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t" sheetId="2" r:id="rId5"/>
    <sheet state="visible" name="Fnl" sheetId="3" r:id="rId6"/>
    <sheet state="visible" name="Descr" sheetId="4" r:id="rId7"/>
  </sheets>
  <definedNames/>
  <calcPr/>
</workbook>
</file>

<file path=xl/sharedStrings.xml><?xml version="1.0" encoding="utf-8"?>
<sst xmlns="http://schemas.openxmlformats.org/spreadsheetml/2006/main" count="8803" uniqueCount="1811">
  <si>
    <t>As of</t>
  </si>
  <si>
    <t>S t+1</t>
  </si>
  <si>
    <t>S t</t>
  </si>
  <si>
    <t>St-1</t>
  </si>
  <si>
    <t>St-2</t>
  </si>
  <si>
    <t>St-3</t>
  </si>
  <si>
    <t>St-4</t>
  </si>
  <si>
    <t>St-5</t>
  </si>
  <si>
    <t>GPt-1</t>
  </si>
  <si>
    <t>GPt-2</t>
  </si>
  <si>
    <t>GPt-3</t>
  </si>
  <si>
    <t>GPt-4</t>
  </si>
  <si>
    <t>GPt-5</t>
  </si>
  <si>
    <t>SGAt-1</t>
  </si>
  <si>
    <t>SGAt-2</t>
  </si>
  <si>
    <t>SGAt-3</t>
  </si>
  <si>
    <t>SGAt-4</t>
  </si>
  <si>
    <t>SGAt-5</t>
  </si>
  <si>
    <t>RDt-1</t>
  </si>
  <si>
    <t>RDt-2</t>
  </si>
  <si>
    <t>RDt-3</t>
  </si>
  <si>
    <t>RDt-4</t>
  </si>
  <si>
    <t>RDt-5</t>
  </si>
  <si>
    <t>EBITt-1</t>
  </si>
  <si>
    <t>EBITt-2</t>
  </si>
  <si>
    <t>EBITt-3</t>
  </si>
  <si>
    <t>EBITt-4</t>
  </si>
  <si>
    <t>EBITt-5</t>
  </si>
  <si>
    <t>PBTt-1</t>
  </si>
  <si>
    <t>PBTt-2</t>
  </si>
  <si>
    <t>PBTt-3</t>
  </si>
  <si>
    <t>PBTt-4</t>
  </si>
  <si>
    <t>PBTt-5</t>
  </si>
  <si>
    <t>EBITDAt-1</t>
  </si>
  <si>
    <t>EBITDAt-2</t>
  </si>
  <si>
    <t>EBITDAt-3</t>
  </si>
  <si>
    <t>EBITDAt-4</t>
  </si>
  <si>
    <t>EBITDAt-5</t>
  </si>
  <si>
    <t>NIt-1</t>
  </si>
  <si>
    <t>NIt-2</t>
  </si>
  <si>
    <t>NIt-3</t>
  </si>
  <si>
    <t>NIt-4</t>
  </si>
  <si>
    <t>NIt-5</t>
  </si>
  <si>
    <t>OCFt-1</t>
  </si>
  <si>
    <t>OCFt-2</t>
  </si>
  <si>
    <t>OCFt-3</t>
  </si>
  <si>
    <t>OCFt-4</t>
  </si>
  <si>
    <t>OCFt-5</t>
  </si>
  <si>
    <t>CPXt-1</t>
  </si>
  <si>
    <t>CPXt-2</t>
  </si>
  <si>
    <t>CPXt-3</t>
  </si>
  <si>
    <t>CPXt-4</t>
  </si>
  <si>
    <t>CPXt-5</t>
  </si>
  <si>
    <t>DIVt-1</t>
  </si>
  <si>
    <t>DIVt-2</t>
  </si>
  <si>
    <t>DIVt-3</t>
  </si>
  <si>
    <t>DIVt-4</t>
  </si>
  <si>
    <t>DIVt-5</t>
  </si>
  <si>
    <t>Cash+t-1</t>
  </si>
  <si>
    <t>Cash+t-2</t>
  </si>
  <si>
    <t>Cash+t-3</t>
  </si>
  <si>
    <t>Cash+t-4</t>
  </si>
  <si>
    <t>Cash+t-5</t>
  </si>
  <si>
    <t>ARt-1</t>
  </si>
  <si>
    <t>ARt-2</t>
  </si>
  <si>
    <t>ARt-3</t>
  </si>
  <si>
    <t>ARt-4</t>
  </si>
  <si>
    <t>ARt-5</t>
  </si>
  <si>
    <t>INVt-1</t>
  </si>
  <si>
    <t>INVt-2</t>
  </si>
  <si>
    <t>INVt-3</t>
  </si>
  <si>
    <t>INVt-4</t>
  </si>
  <si>
    <t>INVt-5</t>
  </si>
  <si>
    <t>TCAt-1</t>
  </si>
  <si>
    <t>TCAt-2</t>
  </si>
  <si>
    <t>TCAt-3</t>
  </si>
  <si>
    <t>TCAt-4</t>
  </si>
  <si>
    <t>TCAt-5</t>
  </si>
  <si>
    <t>PPEt-1</t>
  </si>
  <si>
    <t>PPEt-2</t>
  </si>
  <si>
    <t>PPEt-3</t>
  </si>
  <si>
    <t>PPEt-4</t>
  </si>
  <si>
    <t>PPEt-5</t>
  </si>
  <si>
    <t>GDWLt-1</t>
  </si>
  <si>
    <t>GDWLt-2</t>
  </si>
  <si>
    <t>GDWLt-3</t>
  </si>
  <si>
    <t>GDWLt-4</t>
  </si>
  <si>
    <t>GDWLt-5</t>
  </si>
  <si>
    <t>TAt-1</t>
  </si>
  <si>
    <t>TAt-2</t>
  </si>
  <si>
    <t>TAt-3</t>
  </si>
  <si>
    <t>TAt-4</t>
  </si>
  <si>
    <t>TAt-5</t>
  </si>
  <si>
    <t>APt-1</t>
  </si>
  <si>
    <t>APt-2</t>
  </si>
  <si>
    <t>APt-3</t>
  </si>
  <si>
    <t>APt-4</t>
  </si>
  <si>
    <t>APt-5</t>
  </si>
  <si>
    <t>TCLt-1</t>
  </si>
  <si>
    <t>STDt-1</t>
  </si>
  <si>
    <t>STDt-2</t>
  </si>
  <si>
    <t>STDt-3</t>
  </si>
  <si>
    <t>STDt-4</t>
  </si>
  <si>
    <t>STDt-5</t>
  </si>
  <si>
    <t>TCLt-3</t>
  </si>
  <si>
    <t>TCLt-4</t>
  </si>
  <si>
    <t>TCLt-5</t>
  </si>
  <si>
    <t>TLt-1</t>
  </si>
  <si>
    <t>TLt-2</t>
  </si>
  <si>
    <t>TLt-3</t>
  </si>
  <si>
    <t>TLt-4</t>
  </si>
  <si>
    <t>TLt-5</t>
  </si>
  <si>
    <t>LTIt-1</t>
  </si>
  <si>
    <t>LTIt-2</t>
  </si>
  <si>
    <t>LTIt-3</t>
  </si>
  <si>
    <t>LTIt-4</t>
  </si>
  <si>
    <t>LTIt-5</t>
  </si>
  <si>
    <t>LTDt-1</t>
  </si>
  <si>
    <t>LTDt-2</t>
  </si>
  <si>
    <t>LTDt-3</t>
  </si>
  <si>
    <t>LTDt-4</t>
  </si>
  <si>
    <t>LTDt-5</t>
  </si>
  <si>
    <t>PREFt-1</t>
  </si>
  <si>
    <t>PREFt-2</t>
  </si>
  <si>
    <t>PREFt-3</t>
  </si>
  <si>
    <t>PREFt-4</t>
  </si>
  <si>
    <t>PREFt-5</t>
  </si>
  <si>
    <t>TEQt-1</t>
  </si>
  <si>
    <t>TEQt-2</t>
  </si>
  <si>
    <t>TEQt-3</t>
  </si>
  <si>
    <t>TEQt-4</t>
  </si>
  <si>
    <t>TEQt-5</t>
  </si>
  <si>
    <t>VarT</t>
  </si>
  <si>
    <t>VarT+1</t>
  </si>
  <si>
    <t>Srpr1</t>
  </si>
  <si>
    <t>Srpr4</t>
  </si>
  <si>
    <t>A</t>
  </si>
  <si>
    <t>AA</t>
  </si>
  <si>
    <t>AAL</t>
  </si>
  <si>
    <t>AAN</t>
  </si>
  <si>
    <t>AAOI</t>
  </si>
  <si>
    <t>AAON</t>
  </si>
  <si>
    <t>AAP</t>
  </si>
  <si>
    <t>AAWW</t>
  </si>
  <si>
    <t>ABB</t>
  </si>
  <si>
    <t>ABBV</t>
  </si>
  <si>
    <t>ABC</t>
  </si>
  <si>
    <t>ABEO</t>
  </si>
  <si>
    <t>ABEV</t>
  </si>
  <si>
    <t>ABG</t>
  </si>
  <si>
    <t>ABT</t>
  </si>
  <si>
    <t>ABUS</t>
  </si>
  <si>
    <t>ABX</t>
  </si>
  <si>
    <t>ACAD</t>
  </si>
  <si>
    <t>ACH</t>
  </si>
  <si>
    <t>N/A</t>
  </si>
  <si>
    <t>ACHC</t>
  </si>
  <si>
    <t>ACHN</t>
  </si>
  <si>
    <t>ACIU</t>
  </si>
  <si>
    <t>ACLS</t>
  </si>
  <si>
    <t>ACM</t>
  </si>
  <si>
    <t>ACMR</t>
  </si>
  <si>
    <t>ACRS</t>
  </si>
  <si>
    <t>ACRX</t>
  </si>
  <si>
    <t>ACST</t>
  </si>
  <si>
    <t>ADAP</t>
  </si>
  <si>
    <t>ADCT</t>
  </si>
  <si>
    <t>ADI</t>
  </si>
  <si>
    <t>ADM</t>
  </si>
  <si>
    <t>ADMA</t>
  </si>
  <si>
    <t>ADMS</t>
  </si>
  <si>
    <t>ADPT</t>
  </si>
  <si>
    <t>ADRO</t>
  </si>
  <si>
    <t>ADVM</t>
  </si>
  <si>
    <t>AEGN</t>
  </si>
  <si>
    <t>AEHR</t>
  </si>
  <si>
    <t>AEM</t>
  </si>
  <si>
    <t>AEO</t>
  </si>
  <si>
    <t>AERI</t>
  </si>
  <si>
    <t>AFMD</t>
  </si>
  <si>
    <t>AG</t>
  </si>
  <si>
    <t>AGEN</t>
  </si>
  <si>
    <t>AGFS</t>
  </si>
  <si>
    <t>AGI</t>
  </si>
  <si>
    <t>AGIO</t>
  </si>
  <si>
    <t>AGLE</t>
  </si>
  <si>
    <t>AGRO</t>
  </si>
  <si>
    <t>AGRX</t>
  </si>
  <si>
    <t>AGTC</t>
  </si>
  <si>
    <t>AGX</t>
  </si>
  <si>
    <t>AIH</t>
  </si>
  <si>
    <t>AIMT</t>
  </si>
  <si>
    <t>AIN</t>
  </si>
  <si>
    <t>AIR</t>
  </si>
  <si>
    <t>AJRD</t>
  </si>
  <si>
    <t>AKBA</t>
  </si>
  <si>
    <t>AKCA</t>
  </si>
  <si>
    <t>AKG</t>
  </si>
  <si>
    <t>AKRO</t>
  </si>
  <si>
    <t>AKTX</t>
  </si>
  <si>
    <t>AKUS</t>
  </si>
  <si>
    <t>ALB</t>
  </si>
  <si>
    <t>ALBO</t>
  </si>
  <si>
    <t>ALCO</t>
  </si>
  <si>
    <t>ALDX</t>
  </si>
  <si>
    <t>ALEC</t>
  </si>
  <si>
    <t>ALGT</t>
  </si>
  <si>
    <t>ALK</t>
  </si>
  <si>
    <t>ALKS</t>
  </si>
  <si>
    <t>ALLK</t>
  </si>
  <si>
    <t>ALLO</t>
  </si>
  <si>
    <t>ALNY</t>
  </si>
  <si>
    <t>ALPN</t>
  </si>
  <si>
    <t>ALT</t>
  </si>
  <si>
    <t>ALXN</t>
  </si>
  <si>
    <t>ALXO</t>
  </si>
  <si>
    <t>AMAG</t>
  </si>
  <si>
    <t>AMAT</t>
  </si>
  <si>
    <t>AMBA</t>
  </si>
  <si>
    <t>AMC</t>
  </si>
  <si>
    <t>AMD</t>
  </si>
  <si>
    <t>AMGN</t>
  </si>
  <si>
    <t>AMKR</t>
  </si>
  <si>
    <t>AMMA</t>
  </si>
  <si>
    <t>AMN</t>
  </si>
  <si>
    <t>AMPH</t>
  </si>
  <si>
    <t>AMRC</t>
  </si>
  <si>
    <t>AMRN</t>
  </si>
  <si>
    <t>AMRS</t>
  </si>
  <si>
    <t>AMTI</t>
  </si>
  <si>
    <t>AMTX</t>
  </si>
  <si>
    <t>AMWD</t>
  </si>
  <si>
    <t>AN</t>
  </si>
  <si>
    <t>ANAB</t>
  </si>
  <si>
    <t>ANDE</t>
  </si>
  <si>
    <t>ANF</t>
  </si>
  <si>
    <t>ANIP</t>
  </si>
  <si>
    <t>AOSL</t>
  </si>
  <si>
    <t>APD</t>
  </si>
  <si>
    <t>APLS</t>
  </si>
  <si>
    <t>APLT</t>
  </si>
  <si>
    <t>APOG</t>
  </si>
  <si>
    <t>APOP</t>
  </si>
  <si>
    <t>APRE</t>
  </si>
  <si>
    <t>APRN</t>
  </si>
  <si>
    <t>APTO</t>
  </si>
  <si>
    <t>APTX</t>
  </si>
  <si>
    <t>AQST</t>
  </si>
  <si>
    <t>ARAV</t>
  </si>
  <si>
    <t>ARAY</t>
  </si>
  <si>
    <t>ARCB</t>
  </si>
  <si>
    <t>ARCH</t>
  </si>
  <si>
    <t>ARCO</t>
  </si>
  <si>
    <t>ARDX</t>
  </si>
  <si>
    <t>ARGX</t>
  </si>
  <si>
    <t>ARLP</t>
  </si>
  <si>
    <t>ARMK</t>
  </si>
  <si>
    <t>ARNA</t>
  </si>
  <si>
    <t>ARNC</t>
  </si>
  <si>
    <t>ARQT</t>
  </si>
  <si>
    <t>ARTX</t>
  </si>
  <si>
    <t>ARVN</t>
  </si>
  <si>
    <t>ARWR</t>
  </si>
  <si>
    <t>ASC</t>
  </si>
  <si>
    <t>ASH</t>
  </si>
  <si>
    <t>ASMB</t>
  </si>
  <si>
    <t>ASML</t>
  </si>
  <si>
    <t>ASND</t>
  </si>
  <si>
    <t>ASPN</t>
  </si>
  <si>
    <t>ASR</t>
  </si>
  <si>
    <t>ASTE</t>
  </si>
  <si>
    <t>ASX</t>
  </si>
  <si>
    <t>ASYS</t>
  </si>
  <si>
    <t>ATHX</t>
  </si>
  <si>
    <t>ATI</t>
  </si>
  <si>
    <t>ATNX</t>
  </si>
  <si>
    <t>ATOM</t>
  </si>
  <si>
    <t>ATRA</t>
  </si>
  <si>
    <t>ATRO</t>
  </si>
  <si>
    <t>ATRS</t>
  </si>
  <si>
    <t>ATSG</t>
  </si>
  <si>
    <t>ATV</t>
  </si>
  <si>
    <t>ATVI</t>
  </si>
  <si>
    <t>ATXI</t>
  </si>
  <si>
    <t>AU</t>
  </si>
  <si>
    <t>AUPH</t>
  </si>
  <si>
    <t>AUTL</t>
  </si>
  <si>
    <t>AUY</t>
  </si>
  <si>
    <t>AVAV</t>
  </si>
  <si>
    <t>AVD</t>
  </si>
  <si>
    <t>AVDL</t>
  </si>
  <si>
    <t>AVEO</t>
  </si>
  <si>
    <t>AVGO</t>
  </si>
  <si>
    <t>AVH</t>
  </si>
  <si>
    <t>AVRO</t>
  </si>
  <si>
    <t>AVTR</t>
  </si>
  <si>
    <t>AVXL</t>
  </si>
  <si>
    <t>AWI</t>
  </si>
  <si>
    <t>AXDX</t>
  </si>
  <si>
    <t>AXGN</t>
  </si>
  <si>
    <t>AXLA</t>
  </si>
  <si>
    <t>AXSM</t>
  </si>
  <si>
    <t>AXTA</t>
  </si>
  <si>
    <t>AXTI</t>
  </si>
  <si>
    <t>AYI</t>
  </si>
  <si>
    <t>AYLA</t>
  </si>
  <si>
    <t>AYTU</t>
  </si>
  <si>
    <t>AZO</t>
  </si>
  <si>
    <t>AZUL</t>
  </si>
  <si>
    <t>B</t>
  </si>
  <si>
    <t>BA</t>
  </si>
  <si>
    <t>BAH</t>
  </si>
  <si>
    <t>BAK</t>
  </si>
  <si>
    <t>BATR</t>
  </si>
  <si>
    <t>BAX</t>
  </si>
  <si>
    <t>BBBY</t>
  </si>
  <si>
    <t>BBIO</t>
  </si>
  <si>
    <t>BBL</t>
  </si>
  <si>
    <t>BBW</t>
  </si>
  <si>
    <t>BBY</t>
  </si>
  <si>
    <t>BC</t>
  </si>
  <si>
    <t>BCC</t>
  </si>
  <si>
    <t>BCEL</t>
  </si>
  <si>
    <t>BCLI</t>
  </si>
  <si>
    <t>BCPC</t>
  </si>
  <si>
    <t>BCRX</t>
  </si>
  <si>
    <t>BCYC</t>
  </si>
  <si>
    <t>BDSI</t>
  </si>
  <si>
    <t>BDTX</t>
  </si>
  <si>
    <t>BDX</t>
  </si>
  <si>
    <t>BEAM</t>
  </si>
  <si>
    <t>BECN</t>
  </si>
  <si>
    <t>BEL</t>
  </si>
  <si>
    <t>BFRA</t>
  </si>
  <si>
    <t>BG</t>
  </si>
  <si>
    <t>BGFV</t>
  </si>
  <si>
    <t>BGI</t>
  </si>
  <si>
    <t>BGNE</t>
  </si>
  <si>
    <t>BGS</t>
  </si>
  <si>
    <t>BH</t>
  </si>
  <si>
    <t>BHP</t>
  </si>
  <si>
    <t>BIG</t>
  </si>
  <si>
    <t>BIIB</t>
  </si>
  <si>
    <t>BJRI</t>
  </si>
  <si>
    <t>BKE</t>
  </si>
  <si>
    <t>BKS</t>
  </si>
  <si>
    <t>BLD</t>
  </si>
  <si>
    <t>BLDR</t>
  </si>
  <si>
    <t>BLFS</t>
  </si>
  <si>
    <t>BLI</t>
  </si>
  <si>
    <t>BLL</t>
  </si>
  <si>
    <t>BLMN</t>
  </si>
  <si>
    <t>BLPH</t>
  </si>
  <si>
    <t>BLRX</t>
  </si>
  <si>
    <t>BLUE</t>
  </si>
  <si>
    <t>BMCH</t>
  </si>
  <si>
    <t>BMRN</t>
  </si>
  <si>
    <t>BMY</t>
  </si>
  <si>
    <t>BNED</t>
  </si>
  <si>
    <t>BNTX</t>
  </si>
  <si>
    <t>BOOT</t>
  </si>
  <si>
    <t>BPMC</t>
  </si>
  <si>
    <t>BREW</t>
  </si>
  <si>
    <t>BRFS</t>
  </si>
  <si>
    <t>BRID</t>
  </si>
  <si>
    <t>BRKR</t>
  </si>
  <si>
    <t>BRKS</t>
  </si>
  <si>
    <t>BSET</t>
  </si>
  <si>
    <t>BSGM</t>
  </si>
  <si>
    <t>BSTC</t>
  </si>
  <si>
    <t>BSX</t>
  </si>
  <si>
    <t>BTAI</t>
  </si>
  <si>
    <t>BTG</t>
  </si>
  <si>
    <t>BTI</t>
  </si>
  <si>
    <t>BTN</t>
  </si>
  <si>
    <t>BUD</t>
  </si>
  <si>
    <t>BURL</t>
  </si>
  <si>
    <t>BVN</t>
  </si>
  <si>
    <t>BVXV</t>
  </si>
  <si>
    <t>BWAY</t>
  </si>
  <si>
    <t>BWL.</t>
  </si>
  <si>
    <t>BWXT</t>
  </si>
  <si>
    <t>BXC</t>
  </si>
  <si>
    <t>BXG</t>
  </si>
  <si>
    <t>BYD</t>
  </si>
  <si>
    <t>BYSI</t>
  </si>
  <si>
    <t>BZH</t>
  </si>
  <si>
    <t>CAAP</t>
  </si>
  <si>
    <t>CABA</t>
  </si>
  <si>
    <t>CACI</t>
  </si>
  <si>
    <t>CAE</t>
  </si>
  <si>
    <t>CAG</t>
  </si>
  <si>
    <t>CAH</t>
  </si>
  <si>
    <t>CAI</t>
  </si>
  <si>
    <t>CAJ</t>
  </si>
  <si>
    <t>CAKE</t>
  </si>
  <si>
    <t>CAL</t>
  </si>
  <si>
    <t>CALA</t>
  </si>
  <si>
    <t>CALM</t>
  </si>
  <si>
    <t>CALT</t>
  </si>
  <si>
    <t>CAMT</t>
  </si>
  <si>
    <t>CAPR</t>
  </si>
  <si>
    <t>CAR</t>
  </si>
  <si>
    <t>CARA</t>
  </si>
  <si>
    <t>CASI</t>
  </si>
  <si>
    <t>CASY</t>
  </si>
  <si>
    <t>CAT</t>
  </si>
  <si>
    <t>CATB</t>
  </si>
  <si>
    <t>CATO</t>
  </si>
  <si>
    <t>CBAY</t>
  </si>
  <si>
    <t>CBD</t>
  </si>
  <si>
    <t>CBIO</t>
  </si>
  <si>
    <t>CBM</t>
  </si>
  <si>
    <t>CBMG</t>
  </si>
  <si>
    <t>CBPO</t>
  </si>
  <si>
    <t>CBRL</t>
  </si>
  <si>
    <t>CBT</t>
  </si>
  <si>
    <t>CC</t>
  </si>
  <si>
    <t>CCF</t>
  </si>
  <si>
    <t>CCJ</t>
  </si>
  <si>
    <t>CCL</t>
  </si>
  <si>
    <t>CCMP</t>
  </si>
  <si>
    <t>CCS</t>
  </si>
  <si>
    <t>CCU</t>
  </si>
  <si>
    <t>CCXI</t>
  </si>
  <si>
    <t>CDE</t>
  </si>
  <si>
    <t>CDMO</t>
  </si>
  <si>
    <t>CDNA</t>
  </si>
  <si>
    <t>CDTX</t>
  </si>
  <si>
    <t>CDXC</t>
  </si>
  <si>
    <t>CE</t>
  </si>
  <si>
    <t>CEA</t>
  </si>
  <si>
    <t>CEMI</t>
  </si>
  <si>
    <t>CENT</t>
  </si>
  <si>
    <t>CENX</t>
  </si>
  <si>
    <t>CERC</t>
  </si>
  <si>
    <t>CERN</t>
  </si>
  <si>
    <t>CEVA</t>
  </si>
  <si>
    <t>CF</t>
  </si>
  <si>
    <t>CFRX</t>
  </si>
  <si>
    <t>CGA</t>
  </si>
  <si>
    <t>CGEN</t>
  </si>
  <si>
    <t>CGNX</t>
  </si>
  <si>
    <t>CHD</t>
  </si>
  <si>
    <t>CHDN</t>
  </si>
  <si>
    <t>CHE</t>
  </si>
  <si>
    <t>CHEF</t>
  </si>
  <si>
    <t>CHH</t>
  </si>
  <si>
    <t>CHMA</t>
  </si>
  <si>
    <t>CHRS</t>
  </si>
  <si>
    <t>CHRW</t>
  </si>
  <si>
    <t>CHS</t>
  </si>
  <si>
    <t>CHUY</t>
  </si>
  <si>
    <t>CIDM</t>
  </si>
  <si>
    <t>CINR</t>
  </si>
  <si>
    <t>CJJD</t>
  </si>
  <si>
    <t>CKH</t>
  </si>
  <si>
    <t>CKPT</t>
  </si>
  <si>
    <t>CL</t>
  </si>
  <si>
    <t>CLD</t>
  </si>
  <si>
    <t>CLDX</t>
  </si>
  <si>
    <t>CLF</t>
  </si>
  <si>
    <t>CLLS</t>
  </si>
  <si>
    <t>CLUB</t>
  </si>
  <si>
    <t>CLVS</t>
  </si>
  <si>
    <t>CLX</t>
  </si>
  <si>
    <t>CLXT</t>
  </si>
  <si>
    <t>CMC</t>
  </si>
  <si>
    <t>CMCO</t>
  </si>
  <si>
    <t>CMCS</t>
  </si>
  <si>
    <t>CMG</t>
  </si>
  <si>
    <t>CMP</t>
  </si>
  <si>
    <t>CMRE</t>
  </si>
  <si>
    <t>CMRX</t>
  </si>
  <si>
    <t>CNCE</t>
  </si>
  <si>
    <t>CNI</t>
  </si>
  <si>
    <t>CNK</t>
  </si>
  <si>
    <t>CNMD</t>
  </si>
  <si>
    <t>CNST</t>
  </si>
  <si>
    <t>CNTG</t>
  </si>
  <si>
    <t>CNTY</t>
  </si>
  <si>
    <t>CNX</t>
  </si>
  <si>
    <t>COHR</t>
  </si>
  <si>
    <t>COHU</t>
  </si>
  <si>
    <t>COKE</t>
  </si>
  <si>
    <t>COLL</t>
  </si>
  <si>
    <t>COLM</t>
  </si>
  <si>
    <t>CONN</t>
  </si>
  <si>
    <t>COOL</t>
  </si>
  <si>
    <t>CORE</t>
  </si>
  <si>
    <t>CORT</t>
  </si>
  <si>
    <t>COST</t>
  </si>
  <si>
    <t>COTY</t>
  </si>
  <si>
    <t>CP</t>
  </si>
  <si>
    <t>CPA</t>
  </si>
  <si>
    <t>CPAC</t>
  </si>
  <si>
    <t>CPB</t>
  </si>
  <si>
    <t>CPHC</t>
  </si>
  <si>
    <t>CPLP</t>
  </si>
  <si>
    <t>CPRT</t>
  </si>
  <si>
    <t>CPRX</t>
  </si>
  <si>
    <t>CRBP</t>
  </si>
  <si>
    <t>CREE</t>
  </si>
  <si>
    <t>CRH</t>
  </si>
  <si>
    <t>CRI</t>
  </si>
  <si>
    <t>CRMT</t>
  </si>
  <si>
    <t>CRNX</t>
  </si>
  <si>
    <t>CROX</t>
  </si>
  <si>
    <t>CRS</t>
  </si>
  <si>
    <t>CRSP</t>
  </si>
  <si>
    <t>CRTX</t>
  </si>
  <si>
    <t>CRUS</t>
  </si>
  <si>
    <t>CRVL</t>
  </si>
  <si>
    <t>CRVS</t>
  </si>
  <si>
    <t>CSBR</t>
  </si>
  <si>
    <t>CSIQ</t>
  </si>
  <si>
    <t>CSTE</t>
  </si>
  <si>
    <t>CSTL</t>
  </si>
  <si>
    <t>CSTM</t>
  </si>
  <si>
    <t>CSX</t>
  </si>
  <si>
    <t>CTB</t>
  </si>
  <si>
    <t>CTLT</t>
  </si>
  <si>
    <t>CTMX</t>
  </si>
  <si>
    <t>CTRN</t>
  </si>
  <si>
    <t>CUE</t>
  </si>
  <si>
    <t>CUTR</t>
  </si>
  <si>
    <t>CVCO</t>
  </si>
  <si>
    <t>CVGW</t>
  </si>
  <si>
    <t>CVS</t>
  </si>
  <si>
    <t>CVU</t>
  </si>
  <si>
    <t>CW</t>
  </si>
  <si>
    <t>CWH</t>
  </si>
  <si>
    <t>CX</t>
  </si>
  <si>
    <t>CYAD</t>
  </si>
  <si>
    <t>CYBE</t>
  </si>
  <si>
    <t>CYTK</t>
  </si>
  <si>
    <t>CZR</t>
  </si>
  <si>
    <t>CZZ</t>
  </si>
  <si>
    <t>DAC</t>
  </si>
  <si>
    <t>DAL</t>
  </si>
  <si>
    <t>DAR</t>
  </si>
  <si>
    <t>DBVT</t>
  </si>
  <si>
    <t>DCO</t>
  </si>
  <si>
    <t>DCPH</t>
  </si>
  <si>
    <t>DDE</t>
  </si>
  <si>
    <t>DDS</t>
  </si>
  <si>
    <t>DE</t>
  </si>
  <si>
    <t>DECK</t>
  </si>
  <si>
    <t>DELT</t>
  </si>
  <si>
    <t>DENN</t>
  </si>
  <si>
    <t>DEO</t>
  </si>
  <si>
    <t>DEST</t>
  </si>
  <si>
    <t>DG</t>
  </si>
  <si>
    <t>DGX</t>
  </si>
  <si>
    <t>DHI</t>
  </si>
  <si>
    <t>DHR</t>
  </si>
  <si>
    <t>DHT</t>
  </si>
  <si>
    <t>DIN</t>
  </si>
  <si>
    <t>DIOD</t>
  </si>
  <si>
    <t>DIS</t>
  </si>
  <si>
    <t>DKS</t>
  </si>
  <si>
    <t>DLNG</t>
  </si>
  <si>
    <t>DLTH</t>
  </si>
  <si>
    <t>DLTR</t>
  </si>
  <si>
    <t>DNKN</t>
  </si>
  <si>
    <t>DNLI</t>
  </si>
  <si>
    <t>DNN</t>
  </si>
  <si>
    <t>DOC</t>
  </si>
  <si>
    <t>DOOR</t>
  </si>
  <si>
    <t>DPZ</t>
  </si>
  <si>
    <t>DQ</t>
  </si>
  <si>
    <t>DRI</t>
  </si>
  <si>
    <t>DRNA</t>
  </si>
  <si>
    <t>DRRX</t>
  </si>
  <si>
    <t>DSKE</t>
  </si>
  <si>
    <t>DSPG</t>
  </si>
  <si>
    <t>DSX</t>
  </si>
  <si>
    <t>DTIL</t>
  </si>
  <si>
    <t>DVA</t>
  </si>
  <si>
    <t>DVAX</t>
  </si>
  <si>
    <t>DVD</t>
  </si>
  <si>
    <t>DXC</t>
  </si>
  <si>
    <t>DXLG</t>
  </si>
  <si>
    <t>DY</t>
  </si>
  <si>
    <t>EA</t>
  </si>
  <si>
    <t>EAT</t>
  </si>
  <si>
    <t>ECHO</t>
  </si>
  <si>
    <t>EDIT</t>
  </si>
  <si>
    <t>EGLE</t>
  </si>
  <si>
    <t>EGO</t>
  </si>
  <si>
    <t>EGRX</t>
  </si>
  <si>
    <t>EHC</t>
  </si>
  <si>
    <t>EIDX</t>
  </si>
  <si>
    <t>EIGR</t>
  </si>
  <si>
    <t>EL</t>
  </si>
  <si>
    <t>ELF</t>
  </si>
  <si>
    <t>ELOX</t>
  </si>
  <si>
    <t>ELY</t>
  </si>
  <si>
    <t>EME</t>
  </si>
  <si>
    <t>EMKR</t>
  </si>
  <si>
    <t>EMN</t>
  </si>
  <si>
    <t>EMR</t>
  </si>
  <si>
    <t>ENDP</t>
  </si>
  <si>
    <t>ENPH</t>
  </si>
  <si>
    <t>ENR</t>
  </si>
  <si>
    <t>ENT</t>
  </si>
  <si>
    <t>ENTA</t>
  </si>
  <si>
    <t>ENTG</t>
  </si>
  <si>
    <t>EOLS</t>
  </si>
  <si>
    <t>EPC</t>
  </si>
  <si>
    <t>EPIX</t>
  </si>
  <si>
    <t>EPZM</t>
  </si>
  <si>
    <t>EQ</t>
  </si>
  <si>
    <t>ERI</t>
  </si>
  <si>
    <t>########</t>
  </si>
  <si>
    <t>ERJ</t>
  </si>
  <si>
    <t>EROS</t>
  </si>
  <si>
    <t>ERYP</t>
  </si>
  <si>
    <t>ESCA</t>
  </si>
  <si>
    <t>ESE</t>
  </si>
  <si>
    <t>ESLT</t>
  </si>
  <si>
    <t>ESPR</t>
  </si>
  <si>
    <t>ETH</t>
  </si>
  <si>
    <t>ETN</t>
  </si>
  <si>
    <t>ETNB</t>
  </si>
  <si>
    <t>ETON</t>
  </si>
  <si>
    <t>EURN</t>
  </si>
  <si>
    <t>EVFM</t>
  </si>
  <si>
    <t>EVGN</t>
  </si>
  <si>
    <t>EVK</t>
  </si>
  <si>
    <t>EVLO</t>
  </si>
  <si>
    <t>EVOK</t>
  </si>
  <si>
    <t>EW</t>
  </si>
  <si>
    <t>EXAS</t>
  </si>
  <si>
    <t>EXEL</t>
  </si>
  <si>
    <t>EXK</t>
  </si>
  <si>
    <t>EXP</t>
  </si>
  <si>
    <t>EXPD</t>
  </si>
  <si>
    <t>EXPR</t>
  </si>
  <si>
    <t>EYE</t>
  </si>
  <si>
    <t>EZPW</t>
  </si>
  <si>
    <t>F</t>
  </si>
  <si>
    <t>FANUY</t>
  </si>
  <si>
    <t>FARM</t>
  </si>
  <si>
    <t>FAST</t>
  </si>
  <si>
    <t>FATE</t>
  </si>
  <si>
    <t>FBHS</t>
  </si>
  <si>
    <t>FBIO</t>
  </si>
  <si>
    <t>FBM</t>
  </si>
  <si>
    <t>FCAU</t>
  </si>
  <si>
    <t>FCFS</t>
  </si>
  <si>
    <t>FCX</t>
  </si>
  <si>
    <t>FDP</t>
  </si>
  <si>
    <t>FDX</t>
  </si>
  <si>
    <t>FENC</t>
  </si>
  <si>
    <t>FEYE</t>
  </si>
  <si>
    <t>FF</t>
  </si>
  <si>
    <t>FGEN</t>
  </si>
  <si>
    <t>FIT</t>
  </si>
  <si>
    <t>FIVE</t>
  </si>
  <si>
    <t>FIX</t>
  </si>
  <si>
    <t>FIXX</t>
  </si>
  <si>
    <t>FIZZ</t>
  </si>
  <si>
    <t>FL</t>
  </si>
  <si>
    <t>FLDM</t>
  </si>
  <si>
    <t>FLIR</t>
  </si>
  <si>
    <t>FLL</t>
  </si>
  <si>
    <t>FLO</t>
  </si>
  <si>
    <t>FLR</t>
  </si>
  <si>
    <t>FLWS</t>
  </si>
  <si>
    <t>FLXN</t>
  </si>
  <si>
    <t>FLXS</t>
  </si>
  <si>
    <t>FMC</t>
  </si>
  <si>
    <t>FMS</t>
  </si>
  <si>
    <t>FMTX</t>
  </si>
  <si>
    <t>FMX</t>
  </si>
  <si>
    <t>FND</t>
  </si>
  <si>
    <t>FNKO</t>
  </si>
  <si>
    <t>FNV</t>
  </si>
  <si>
    <t>FOE</t>
  </si>
  <si>
    <t>FOLD</t>
  </si>
  <si>
    <t>FONR</t>
  </si>
  <si>
    <t>FORM</t>
  </si>
  <si>
    <t>FOSL</t>
  </si>
  <si>
    <t>FOX</t>
  </si>
  <si>
    <t>FPRX</t>
  </si>
  <si>
    <t>FRAN</t>
  </si>
  <si>
    <t>FRD</t>
  </si>
  <si>
    <t>FREQ</t>
  </si>
  <si>
    <t>FRGI</t>
  </si>
  <si>
    <t>FRO</t>
  </si>
  <si>
    <t>FRPT</t>
  </si>
  <si>
    <t>FSI</t>
  </si>
  <si>
    <t>FSLR</t>
  </si>
  <si>
    <t>FSM</t>
  </si>
  <si>
    <t>FSTR</t>
  </si>
  <si>
    <t>FTAI</t>
  </si>
  <si>
    <t>FTFT</t>
  </si>
  <si>
    <t>FTV</t>
  </si>
  <si>
    <t>FUL</t>
  </si>
  <si>
    <t>FULC</t>
  </si>
  <si>
    <t>FUN</t>
  </si>
  <si>
    <t>FUSN</t>
  </si>
  <si>
    <t>FWON</t>
  </si>
  <si>
    <t>FWP</t>
  </si>
  <si>
    <t>FWRD</t>
  </si>
  <si>
    <t>GAIA</t>
  </si>
  <si>
    <t>GALT</t>
  </si>
  <si>
    <t>GASS</t>
  </si>
  <si>
    <t>GBIO</t>
  </si>
  <si>
    <t>GBT</t>
  </si>
  <si>
    <t>GCO</t>
  </si>
  <si>
    <t>GCP</t>
  </si>
  <si>
    <t>GD</t>
  </si>
  <si>
    <t>GDEN</t>
  </si>
  <si>
    <t>GENC</t>
  </si>
  <si>
    <t>GENE</t>
  </si>
  <si>
    <t>GERN</t>
  </si>
  <si>
    <t>GES</t>
  </si>
  <si>
    <t>GEVO</t>
  </si>
  <si>
    <t>GFF</t>
  </si>
  <si>
    <t>GFI</t>
  </si>
  <si>
    <t>GG</t>
  </si>
  <si>
    <t>GGB</t>
  </si>
  <si>
    <t>GHG</t>
  </si>
  <si>
    <t>GIII</t>
  </si>
  <si>
    <t>GIL</t>
  </si>
  <si>
    <t>GILD</t>
  </si>
  <si>
    <t>GIS</t>
  </si>
  <si>
    <t>GLDD</t>
  </si>
  <si>
    <t>GLMD</t>
  </si>
  <si>
    <t>GLNG</t>
  </si>
  <si>
    <t>GLOG</t>
  </si>
  <si>
    <t>GLOP</t>
  </si>
  <si>
    <t>GLPG</t>
  </si>
  <si>
    <t>GLUU</t>
  </si>
  <si>
    <t>GLYC</t>
  </si>
  <si>
    <t>GM</t>
  </si>
  <si>
    <t>GMAB</t>
  </si>
  <si>
    <t>GMDA</t>
  </si>
  <si>
    <t>GME</t>
  </si>
  <si>
    <t>GMLP</t>
  </si>
  <si>
    <t>GMO</t>
  </si>
  <si>
    <t>GMS</t>
  </si>
  <si>
    <t>GNK</t>
  </si>
  <si>
    <t>GNMK</t>
  </si>
  <si>
    <t>GNPX</t>
  </si>
  <si>
    <t>GNTX</t>
  </si>
  <si>
    <t>GOGL</t>
  </si>
  <si>
    <t>GOL</t>
  </si>
  <si>
    <t>GOLD</t>
  </si>
  <si>
    <t>GOLF</t>
  </si>
  <si>
    <t>GOOS</t>
  </si>
  <si>
    <t>GOSS</t>
  </si>
  <si>
    <t>GPI</t>
  </si>
  <si>
    <t>GPRO</t>
  </si>
  <si>
    <t>GPS</t>
  </si>
  <si>
    <t>GRA</t>
  </si>
  <si>
    <t>GRBK</t>
  </si>
  <si>
    <t>GRFS</t>
  </si>
  <si>
    <t>GRMN</t>
  </si>
  <si>
    <t>GRTS</t>
  </si>
  <si>
    <t>GRTX</t>
  </si>
  <si>
    <t>GSH</t>
  </si>
  <si>
    <t>GSIT</t>
  </si>
  <si>
    <t>GSK</t>
  </si>
  <si>
    <t>GSL</t>
  </si>
  <si>
    <t>GSM</t>
  </si>
  <si>
    <t>GSS</t>
  </si>
  <si>
    <t>GSV</t>
  </si>
  <si>
    <t>GT</t>
  </si>
  <si>
    <t>GTH</t>
  </si>
  <si>
    <t>GTHX</t>
  </si>
  <si>
    <t>GURE</t>
  </si>
  <si>
    <t>GV</t>
  </si>
  <si>
    <t>GVA</t>
  </si>
  <si>
    <t>GWPH</t>
  </si>
  <si>
    <t>GWR</t>
  </si>
  <si>
    <t>H</t>
  </si>
  <si>
    <t>HA</t>
  </si>
  <si>
    <t>HAIN</t>
  </si>
  <si>
    <t>HALO</t>
  </si>
  <si>
    <t>HARP</t>
  </si>
  <si>
    <t>HAS</t>
  </si>
  <si>
    <t>HAYN</t>
  </si>
  <si>
    <t>HBI</t>
  </si>
  <si>
    <t>HBIO</t>
  </si>
  <si>
    <t>HBM</t>
  </si>
  <si>
    <t>HCA</t>
  </si>
  <si>
    <t>HCC</t>
  </si>
  <si>
    <t>HCM</t>
  </si>
  <si>
    <t>HCSG</t>
  </si>
  <si>
    <t>HD</t>
  </si>
  <si>
    <t>HDS</t>
  </si>
  <si>
    <t>HEES</t>
  </si>
  <si>
    <t>HEI</t>
  </si>
  <si>
    <t>HELE</t>
  </si>
  <si>
    <t>HGV</t>
  </si>
  <si>
    <t>HIBB</t>
  </si>
  <si>
    <t>HII</t>
  </si>
  <si>
    <t>HIMX</t>
  </si>
  <si>
    <t>HL</t>
  </si>
  <si>
    <t>HLF</t>
  </si>
  <si>
    <t>HLT</t>
  </si>
  <si>
    <t>HMC</t>
  </si>
  <si>
    <t>HMLP</t>
  </si>
  <si>
    <t>HMSY</t>
  </si>
  <si>
    <t>HMY</t>
  </si>
  <si>
    <t>HNRG</t>
  </si>
  <si>
    <t>HOFT</t>
  </si>
  <si>
    <t>HOG</t>
  </si>
  <si>
    <t>HOME</t>
  </si>
  <si>
    <t>HON</t>
  </si>
  <si>
    <t>HOOK</t>
  </si>
  <si>
    <t>HOV</t>
  </si>
  <si>
    <t>HQY</t>
  </si>
  <si>
    <t>HR</t>
  </si>
  <si>
    <t>HRL</t>
  </si>
  <si>
    <t>HRS</t>
  </si>
  <si>
    <t>HRTX</t>
  </si>
  <si>
    <t>HSIC</t>
  </si>
  <si>
    <t>HSKA</t>
  </si>
  <si>
    <t>HTA</t>
  </si>
  <si>
    <t>HTBX</t>
  </si>
  <si>
    <t>HTHT</t>
  </si>
  <si>
    <t>HTLD</t>
  </si>
  <si>
    <t>HTZ</t>
  </si>
  <si>
    <t>HUBG</t>
  </si>
  <si>
    <t>HUN</t>
  </si>
  <si>
    <t>HVT</t>
  </si>
  <si>
    <t>HWKN</t>
  </si>
  <si>
    <t>HXL</t>
  </si>
  <si>
    <t>HY</t>
  </si>
  <si>
    <t>HZNP</t>
  </si>
  <si>
    <t>HZO</t>
  </si>
  <si>
    <t>IAG</t>
  </si>
  <si>
    <t>IBA</t>
  </si>
  <si>
    <t>IBP</t>
  </si>
  <si>
    <t>ICHR</t>
  </si>
  <si>
    <t>ICL</t>
  </si>
  <si>
    <t>ICLR</t>
  </si>
  <si>
    <t>ICPT</t>
  </si>
  <si>
    <t>IDXX</t>
  </si>
  <si>
    <t>IDYA</t>
  </si>
  <si>
    <t>IESC</t>
  </si>
  <si>
    <t>IFF</t>
  </si>
  <si>
    <t>IFRX</t>
  </si>
  <si>
    <t>IGMS</t>
  </si>
  <si>
    <t>IHG</t>
  </si>
  <si>
    <t>IIIN</t>
  </si>
  <si>
    <t>ILG</t>
  </si>
  <si>
    <t>ILMN</t>
  </si>
  <si>
    <t>IMAB</t>
  </si>
  <si>
    <t>IMAX</t>
  </si>
  <si>
    <t>IMGN</t>
  </si>
  <si>
    <t>IMMU</t>
  </si>
  <si>
    <t>INCY</t>
  </si>
  <si>
    <t>INGR</t>
  </si>
  <si>
    <t>INSE</t>
  </si>
  <si>
    <t>INSM</t>
  </si>
  <si>
    <t>INSW</t>
  </si>
  <si>
    <t>INTC</t>
  </si>
  <si>
    <t>INTT</t>
  </si>
  <si>
    <t>INVA</t>
  </si>
  <si>
    <t>INZY</t>
  </si>
  <si>
    <t>IONS</t>
  </si>
  <si>
    <t>IOSP</t>
  </si>
  <si>
    <t>IOTS</t>
  </si>
  <si>
    <t>IOVA</t>
  </si>
  <si>
    <t>IPAR</t>
  </si>
  <si>
    <t>IPHA</t>
  </si>
  <si>
    <t>IPHI</t>
  </si>
  <si>
    <t>IPI</t>
  </si>
  <si>
    <t>IPIC</t>
  </si>
  <si>
    <t>IQV</t>
  </si>
  <si>
    <t>IR</t>
  </si>
  <si>
    <t>IRBT</t>
  </si>
  <si>
    <t>IRWD</t>
  </si>
  <si>
    <t>ISCA</t>
  </si>
  <si>
    <t>ISRG</t>
  </si>
  <si>
    <t>ITCI</t>
  </si>
  <si>
    <t>ITOS</t>
  </si>
  <si>
    <t>JACK</t>
  </si>
  <si>
    <t>JAZZ</t>
  </si>
  <si>
    <t>JBHT</t>
  </si>
  <si>
    <t>JBLU</t>
  </si>
  <si>
    <t>JBSS</t>
  </si>
  <si>
    <t>JCP</t>
  </si>
  <si>
    <t>JELD</t>
  </si>
  <si>
    <t>JHX</t>
  </si>
  <si>
    <t>JILL</t>
  </si>
  <si>
    <t>JJSF</t>
  </si>
  <si>
    <t>JKS</t>
  </si>
  <si>
    <t>JNCE</t>
  </si>
  <si>
    <t>JNJ</t>
  </si>
  <si>
    <t>JNP</t>
  </si>
  <si>
    <t>JOUT</t>
  </si>
  <si>
    <t>JWN</t>
  </si>
  <si>
    <t>K</t>
  </si>
  <si>
    <t>KALA</t>
  </si>
  <si>
    <t>KALU</t>
  </si>
  <si>
    <t>KALV</t>
  </si>
  <si>
    <t>KAMN</t>
  </si>
  <si>
    <t>KAR</t>
  </si>
  <si>
    <t>KBH</t>
  </si>
  <si>
    <t>KBR</t>
  </si>
  <si>
    <t>KBSF</t>
  </si>
  <si>
    <t>KEX</t>
  </si>
  <si>
    <t>KGC</t>
  </si>
  <si>
    <t>KHC</t>
  </si>
  <si>
    <t>KIN</t>
  </si>
  <si>
    <t>KIRK</t>
  </si>
  <si>
    <t>KLAC</t>
  </si>
  <si>
    <t>KLDO</t>
  </si>
  <si>
    <t>KLIC</t>
  </si>
  <si>
    <t>KMB</t>
  </si>
  <si>
    <t>KMDA</t>
  </si>
  <si>
    <t>KMX</t>
  </si>
  <si>
    <t>KNDI</t>
  </si>
  <si>
    <t>KNL</t>
  </si>
  <si>
    <t>KNOP</t>
  </si>
  <si>
    <t>KNSA</t>
  </si>
  <si>
    <t>KNX</t>
  </si>
  <si>
    <t>KO</t>
  </si>
  <si>
    <t>KOD</t>
  </si>
  <si>
    <t>KOF</t>
  </si>
  <si>
    <t>KOP</t>
  </si>
  <si>
    <t>KOPN</t>
  </si>
  <si>
    <t>KPTI</t>
  </si>
  <si>
    <t>KR</t>
  </si>
  <si>
    <t>KRA</t>
  </si>
  <si>
    <t>KRO</t>
  </si>
  <si>
    <t>KROS</t>
  </si>
  <si>
    <t>KRTX</t>
  </si>
  <si>
    <t>KRYS</t>
  </si>
  <si>
    <t>KSS</t>
  </si>
  <si>
    <t>KSU</t>
  </si>
  <si>
    <t>KTOS</t>
  </si>
  <si>
    <t>KTOV</t>
  </si>
  <si>
    <t>KURA</t>
  </si>
  <si>
    <t>KWR</t>
  </si>
  <si>
    <t>KYCCF</t>
  </si>
  <si>
    <t>KZR</t>
  </si>
  <si>
    <t>LAD</t>
  </si>
  <si>
    <t>LANC</t>
  </si>
  <si>
    <t>LASR</t>
  </si>
  <si>
    <t>LB</t>
  </si>
  <si>
    <t>LCI</t>
  </si>
  <si>
    <t>LCUT</t>
  </si>
  <si>
    <t>LDOS</t>
  </si>
  <si>
    <t>LE</t>
  </si>
  <si>
    <t>LEDS</t>
  </si>
  <si>
    <t>LEG</t>
  </si>
  <si>
    <t>LEGN</t>
  </si>
  <si>
    <t>LEN</t>
  </si>
  <si>
    <t>LEU</t>
  </si>
  <si>
    <t>LFVN</t>
  </si>
  <si>
    <t>LGF</t>
  </si>
  <si>
    <t>LGIH</t>
  </si>
  <si>
    <t>LGND</t>
  </si>
  <si>
    <t>LH</t>
  </si>
  <si>
    <t>LII</t>
  </si>
  <si>
    <t>LIND</t>
  </si>
  <si>
    <t>LINU</t>
  </si>
  <si>
    <t>LIVN</t>
  </si>
  <si>
    <t>LJPC</t>
  </si>
  <si>
    <t>LL</t>
  </si>
  <si>
    <t>LLY</t>
  </si>
  <si>
    <t>LMNR</t>
  </si>
  <si>
    <t>LMT</t>
  </si>
  <si>
    <t>LND</t>
  </si>
  <si>
    <t>LNDC</t>
  </si>
  <si>
    <t>LNTH</t>
  </si>
  <si>
    <t>LOCO</t>
  </si>
  <si>
    <t>LOGC</t>
  </si>
  <si>
    <t>LOGI</t>
  </si>
  <si>
    <t>LOMA</t>
  </si>
  <si>
    <t>LOW</t>
  </si>
  <si>
    <t>LPCN</t>
  </si>
  <si>
    <t>LPG</t>
  </si>
  <si>
    <t>LPTX</t>
  </si>
  <si>
    <t>LPX</t>
  </si>
  <si>
    <t>LQDA</t>
  </si>
  <si>
    <t>LRCX</t>
  </si>
  <si>
    <t>LSCC</t>
  </si>
  <si>
    <t>LSTR</t>
  </si>
  <si>
    <t>LULU</t>
  </si>
  <si>
    <t>LUNA</t>
  </si>
  <si>
    <t>LUV</t>
  </si>
  <si>
    <t>LVGO</t>
  </si>
  <si>
    <t>LVS</t>
  </si>
  <si>
    <t>LW</t>
  </si>
  <si>
    <t>LXRX</t>
  </si>
  <si>
    <t>LYB</t>
  </si>
  <si>
    <t>LYRA</t>
  </si>
  <si>
    <t>LYTS</t>
  </si>
  <si>
    <t>LYV</t>
  </si>
  <si>
    <t>LZB</t>
  </si>
  <si>
    <t>M</t>
  </si>
  <si>
    <t>MAG</t>
  </si>
  <si>
    <t>MANU</t>
  </si>
  <si>
    <t>MAR</t>
  </si>
  <si>
    <t>MAS</t>
  </si>
  <si>
    <t>MASI</t>
  </si>
  <si>
    <t>MAT</t>
  </si>
  <si>
    <t>MATX</t>
  </si>
  <si>
    <t>MAXR</t>
  </si>
  <si>
    <t>MBII</t>
  </si>
  <si>
    <t>MBIO</t>
  </si>
  <si>
    <t>MBUU</t>
  </si>
  <si>
    <t>MCD</t>
  </si>
  <si>
    <t>MCFT</t>
  </si>
  <si>
    <t>MCHP</t>
  </si>
  <si>
    <t>MCK</t>
  </si>
  <si>
    <t>MCRB</t>
  </si>
  <si>
    <t>MCRI</t>
  </si>
  <si>
    <t>MD</t>
  </si>
  <si>
    <t>MDC</t>
  </si>
  <si>
    <t>MDGL</t>
  </si>
  <si>
    <t>MDLZ</t>
  </si>
  <si>
    <t>MDRX</t>
  </si>
  <si>
    <t>MDT</t>
  </si>
  <si>
    <t>MDU</t>
  </si>
  <si>
    <t>MEDP</t>
  </si>
  <si>
    <t>MEIP</t>
  </si>
  <si>
    <t>MEOH</t>
  </si>
  <si>
    <t>MESO</t>
  </si>
  <si>
    <t>METC</t>
  </si>
  <si>
    <t>MG</t>
  </si>
  <si>
    <t>MGLN</t>
  </si>
  <si>
    <t>MGM</t>
  </si>
  <si>
    <t>MGNX</t>
  </si>
  <si>
    <t>MGP</t>
  </si>
  <si>
    <t>MGPI</t>
  </si>
  <si>
    <t>MGTA</t>
  </si>
  <si>
    <t>MGTX</t>
  </si>
  <si>
    <t>MHK</t>
  </si>
  <si>
    <t>MHO</t>
  </si>
  <si>
    <t>MIC</t>
  </si>
  <si>
    <t>MIDD</t>
  </si>
  <si>
    <t>MIK</t>
  </si>
  <si>
    <t>MIRM</t>
  </si>
  <si>
    <t>MIST</t>
  </si>
  <si>
    <t>MKC</t>
  </si>
  <si>
    <t>MLCO</t>
  </si>
  <si>
    <t>MLHR</t>
  </si>
  <si>
    <t>MLM</t>
  </si>
  <si>
    <t>MNKD</t>
  </si>
  <si>
    <t>MNLO</t>
  </si>
  <si>
    <t>MNOV</t>
  </si>
  <si>
    <t>MNRO</t>
  </si>
  <si>
    <t>MNST</t>
  </si>
  <si>
    <t>MNTA</t>
  </si>
  <si>
    <t>MNTX</t>
  </si>
  <si>
    <t>MO</t>
  </si>
  <si>
    <t>MOMO</t>
  </si>
  <si>
    <t>MOR</t>
  </si>
  <si>
    <t>MORF</t>
  </si>
  <si>
    <t>MOS</t>
  </si>
  <si>
    <t>MOSY</t>
  </si>
  <si>
    <t>MOV</t>
  </si>
  <si>
    <t>MPVD</t>
  </si>
  <si>
    <t>MPW</t>
  </si>
  <si>
    <t>MPWR</t>
  </si>
  <si>
    <t>MPX</t>
  </si>
  <si>
    <t>MRAM</t>
  </si>
  <si>
    <t>MRK</t>
  </si>
  <si>
    <t>MRNA</t>
  </si>
  <si>
    <t>MRNS</t>
  </si>
  <si>
    <t>MRSN</t>
  </si>
  <si>
    <t>MRTN</t>
  </si>
  <si>
    <t>MRTX</t>
  </si>
  <si>
    <t>MRUS</t>
  </si>
  <si>
    <t>MRVL</t>
  </si>
  <si>
    <t>MSG</t>
  </si>
  <si>
    <t>MT</t>
  </si>
  <si>
    <t>MTEM</t>
  </si>
  <si>
    <t>MTH</t>
  </si>
  <si>
    <t>MTL</t>
  </si>
  <si>
    <t>MTN</t>
  </si>
  <si>
    <t>MTRX</t>
  </si>
  <si>
    <t>MTSI</t>
  </si>
  <si>
    <t>MTW</t>
  </si>
  <si>
    <t>MTX</t>
  </si>
  <si>
    <t>MTZ</t>
  </si>
  <si>
    <t>MU</t>
  </si>
  <si>
    <t>MUSA</t>
  </si>
  <si>
    <t>MUX</t>
  </si>
  <si>
    <t>MX</t>
  </si>
  <si>
    <t>MXIM</t>
  </si>
  <si>
    <t>MXL</t>
  </si>
  <si>
    <t>MYGN</t>
  </si>
  <si>
    <t>MYL</t>
  </si>
  <si>
    <t>MYOK</t>
  </si>
  <si>
    <t>MYRG</t>
  </si>
  <si>
    <t>NAK</t>
  </si>
  <si>
    <t>NARI</t>
  </si>
  <si>
    <t>NAT</t>
  </si>
  <si>
    <t>NATH</t>
  </si>
  <si>
    <t>NATR</t>
  </si>
  <si>
    <t>NBEV</t>
  </si>
  <si>
    <t>NBIX</t>
  </si>
  <si>
    <t>NC</t>
  </si>
  <si>
    <t>NCLH</t>
  </si>
  <si>
    <t>NCNA</t>
  </si>
  <si>
    <t>NDLS</t>
  </si>
  <si>
    <t>NEM</t>
  </si>
  <si>
    <t>NEOG</t>
  </si>
  <si>
    <t>NERV</t>
  </si>
  <si>
    <t>NEU</t>
  </si>
  <si>
    <t>NEXA</t>
  </si>
  <si>
    <t>NG</t>
  </si>
  <si>
    <t>NGD</t>
  </si>
  <si>
    <t>NGM</t>
  </si>
  <si>
    <t>NGVC</t>
  </si>
  <si>
    <t>NGVT</t>
  </si>
  <si>
    <t>NHI</t>
  </si>
  <si>
    <t>NK</t>
  </si>
  <si>
    <t>NKE</t>
  </si>
  <si>
    <t>NKTR</t>
  </si>
  <si>
    <t>NKTX</t>
  </si>
  <si>
    <t>NLS</t>
  </si>
  <si>
    <t>NLST</t>
  </si>
  <si>
    <t>NOA</t>
  </si>
  <si>
    <t>NOC</t>
  </si>
  <si>
    <t>NOMD</t>
  </si>
  <si>
    <t>NOVN</t>
  </si>
  <si>
    <t>NPK</t>
  </si>
  <si>
    <t>NPTN</t>
  </si>
  <si>
    <t>NRC</t>
  </si>
  <si>
    <t>NRIX</t>
  </si>
  <si>
    <t>NSC</t>
  </si>
  <si>
    <t>NSTG</t>
  </si>
  <si>
    <t>NSU</t>
  </si>
  <si>
    <t>NTLA</t>
  </si>
  <si>
    <t>NTN</t>
  </si>
  <si>
    <t>NTR</t>
  </si>
  <si>
    <t>NTRA</t>
  </si>
  <si>
    <t>NUE</t>
  </si>
  <si>
    <t>NUS</t>
  </si>
  <si>
    <t>NVAX</t>
  </si>
  <si>
    <t>NVDA</t>
  </si>
  <si>
    <t>NVEC</t>
  </si>
  <si>
    <t>NVGS</t>
  </si>
  <si>
    <t>NVMI</t>
  </si>
  <si>
    <t>NVO</t>
  </si>
  <si>
    <t>NVR</t>
  </si>
  <si>
    <t>NVS</t>
  </si>
  <si>
    <t>NVST</t>
  </si>
  <si>
    <t>NVTA</t>
  </si>
  <si>
    <t>NWL</t>
  </si>
  <si>
    <t>NX</t>
  </si>
  <si>
    <t>NXPI</t>
  </si>
  <si>
    <t>NXTC</t>
  </si>
  <si>
    <t>NYNY</t>
  </si>
  <si>
    <t>OASM</t>
  </si>
  <si>
    <t>OBSV</t>
  </si>
  <si>
    <t>OC</t>
  </si>
  <si>
    <t>OCUL</t>
  </si>
  <si>
    <t>ODC</t>
  </si>
  <si>
    <t>ODFL</t>
  </si>
  <si>
    <t>ODP</t>
  </si>
  <si>
    <t>ODT</t>
  </si>
  <si>
    <t>OEC</t>
  </si>
  <si>
    <t>OESX</t>
  </si>
  <si>
    <t>OHI</t>
  </si>
  <si>
    <t>OII</t>
  </si>
  <si>
    <t>OIIM</t>
  </si>
  <si>
    <t>OLLI</t>
  </si>
  <si>
    <t>OLN</t>
  </si>
  <si>
    <t>OMAB</t>
  </si>
  <si>
    <t>OMER</t>
  </si>
  <si>
    <t>OMI</t>
  </si>
  <si>
    <t>OMN</t>
  </si>
  <si>
    <t>OMRNY</t>
  </si>
  <si>
    <t>ON</t>
  </si>
  <si>
    <t>ONCS</t>
  </si>
  <si>
    <t>ONTX</t>
  </si>
  <si>
    <t>OPK</t>
  </si>
  <si>
    <t>OPTN</t>
  </si>
  <si>
    <t>OR</t>
  </si>
  <si>
    <t>ORGO</t>
  </si>
  <si>
    <t>ORGS</t>
  </si>
  <si>
    <t>ORIC</t>
  </si>
  <si>
    <t>ORLY</t>
  </si>
  <si>
    <t>ORMP</t>
  </si>
  <si>
    <t>ORTX</t>
  </si>
  <si>
    <t>OSB</t>
  </si>
  <si>
    <t>OSG</t>
  </si>
  <si>
    <t>OSMT</t>
  </si>
  <si>
    <t>OSN</t>
  </si>
  <si>
    <t>OSUR</t>
  </si>
  <si>
    <t>OTIC</t>
  </si>
  <si>
    <t>OTLK</t>
  </si>
  <si>
    <t>OVID</t>
  </si>
  <si>
    <t>OXFD</t>
  </si>
  <si>
    <t>OXM</t>
  </si>
  <si>
    <t>OYST</t>
  </si>
  <si>
    <t>PAAS</t>
  </si>
  <si>
    <t>PAC</t>
  </si>
  <si>
    <t>PACB</t>
  </si>
  <si>
    <t>PAG</t>
  </si>
  <si>
    <t>PAHC</t>
  </si>
  <si>
    <t>PAND</t>
  </si>
  <si>
    <t>PANL</t>
  </si>
  <si>
    <t>PASG</t>
  </si>
  <si>
    <t>PATK</t>
  </si>
  <si>
    <t>PBH</t>
  </si>
  <si>
    <t>PBYI</t>
  </si>
  <si>
    <t>PCRX</t>
  </si>
  <si>
    <t>PCVX</t>
  </si>
  <si>
    <t>PDCO</t>
  </si>
  <si>
    <t>PDFS</t>
  </si>
  <si>
    <t>PDLI</t>
  </si>
  <si>
    <t>PENN</t>
  </si>
  <si>
    <t>PEP</t>
  </si>
  <si>
    <t>PETQ</t>
  </si>
  <si>
    <t>PFE</t>
  </si>
  <si>
    <t>PFGC</t>
  </si>
  <si>
    <t>PG</t>
  </si>
  <si>
    <t>PGNY</t>
  </si>
  <si>
    <t>PGTI</t>
  </si>
  <si>
    <t>PH</t>
  </si>
  <si>
    <t>PHAS</t>
  </si>
  <si>
    <t>PHAT</t>
  </si>
  <si>
    <t>PHG</t>
  </si>
  <si>
    <t>PHM</t>
  </si>
  <si>
    <t>PII</t>
  </si>
  <si>
    <t>PINC</t>
  </si>
  <si>
    <t>PIRS</t>
  </si>
  <si>
    <t>PKX</t>
  </si>
  <si>
    <t>PLAB</t>
  </si>
  <si>
    <t>PLAY</t>
  </si>
  <si>
    <t>PLCE</t>
  </si>
  <si>
    <t>PLNT</t>
  </si>
  <si>
    <t>PLOW</t>
  </si>
  <si>
    <t>PLRX</t>
  </si>
  <si>
    <t>PLYA</t>
  </si>
  <si>
    <t>PM</t>
  </si>
  <si>
    <t>PNK</t>
  </si>
  <si>
    <t>POL</t>
  </si>
  <si>
    <t>POOL</t>
  </si>
  <si>
    <t>POST</t>
  </si>
  <si>
    <t>POWI</t>
  </si>
  <si>
    <t>PPC</t>
  </si>
  <si>
    <t>PPD</t>
  </si>
  <si>
    <t>PPG</t>
  </si>
  <si>
    <t>PRAH</t>
  </si>
  <si>
    <t>PRGO</t>
  </si>
  <si>
    <t>PRIM</t>
  </si>
  <si>
    <t>PRMW</t>
  </si>
  <si>
    <t>PRNB</t>
  </si>
  <si>
    <t>PROG</t>
  </si>
  <si>
    <t>PRQR</t>
  </si>
  <si>
    <t>PRTA</t>
  </si>
  <si>
    <t>PRTK</t>
  </si>
  <si>
    <t>PRTY</t>
  </si>
  <si>
    <t>PRVB</t>
  </si>
  <si>
    <t>PRVL</t>
  </si>
  <si>
    <t>PSMT</t>
  </si>
  <si>
    <t>PSNL</t>
  </si>
  <si>
    <t>PSTI</t>
  </si>
  <si>
    <t>PSTX</t>
  </si>
  <si>
    <t>PTCT</t>
  </si>
  <si>
    <t>PTGX</t>
  </si>
  <si>
    <t>PTSI</t>
  </si>
  <si>
    <t>PVG</t>
  </si>
  <si>
    <t>PVH</t>
  </si>
  <si>
    <t>PWR</t>
  </si>
  <si>
    <t>PX</t>
  </si>
  <si>
    <t>PXLW</t>
  </si>
  <si>
    <t>PYPD</t>
  </si>
  <si>
    <t>PZZA</t>
  </si>
  <si>
    <t>QCOM</t>
  </si>
  <si>
    <t>QDEL</t>
  </si>
  <si>
    <t>QGEN</t>
  </si>
  <si>
    <t>QRTE</t>
  </si>
  <si>
    <t>QRVO</t>
  </si>
  <si>
    <t>QSR</t>
  </si>
  <si>
    <t>QTNT</t>
  </si>
  <si>
    <t>QTRX</t>
  </si>
  <si>
    <t>QUIK</t>
  </si>
  <si>
    <t>QURE</t>
  </si>
  <si>
    <t>RACE</t>
  </si>
  <si>
    <t>RAD</t>
  </si>
  <si>
    <t>RADA</t>
  </si>
  <si>
    <t>RAPT</t>
  </si>
  <si>
    <t>RARE</t>
  </si>
  <si>
    <t>RBCN</t>
  </si>
  <si>
    <t>RCII</t>
  </si>
  <si>
    <t>RCKT</t>
  </si>
  <si>
    <t>RCKY</t>
  </si>
  <si>
    <t>RCL</t>
  </si>
  <si>
    <t>RCM</t>
  </si>
  <si>
    <t>RDHL</t>
  </si>
  <si>
    <t>RDI</t>
  </si>
  <si>
    <t>RDUS</t>
  </si>
  <si>
    <t>RDY</t>
  </si>
  <si>
    <t>REFR</t>
  </si>
  <si>
    <t>REGN</t>
  </si>
  <si>
    <t>REPH</t>
  </si>
  <si>
    <t>REPL</t>
  </si>
  <si>
    <t>RETA</t>
  </si>
  <si>
    <t>REV</t>
  </si>
  <si>
    <t>REVG</t>
  </si>
  <si>
    <t>RGEN</t>
  </si>
  <si>
    <t>RGLD</t>
  </si>
  <si>
    <t>RGNX</t>
  </si>
  <si>
    <t>RGR</t>
  </si>
  <si>
    <t>RGS</t>
  </si>
  <si>
    <t>RH</t>
  </si>
  <si>
    <t>RIC</t>
  </si>
  <si>
    <t>RICK</t>
  </si>
  <si>
    <t>RIGL</t>
  </si>
  <si>
    <t>RIO</t>
  </si>
  <si>
    <t>RIOT</t>
  </si>
  <si>
    <t>RL</t>
  </si>
  <si>
    <t>RLAY</t>
  </si>
  <si>
    <t>RLGT</t>
  </si>
  <si>
    <t>RLH</t>
  </si>
  <si>
    <t>RLJE</t>
  </si>
  <si>
    <t>RMBS</t>
  </si>
  <si>
    <t>RMTI</t>
  </si>
  <si>
    <t>RNA</t>
  </si>
  <si>
    <t>ROCK</t>
  </si>
  <si>
    <t>ROK</t>
  </si>
  <si>
    <t>ROP</t>
  </si>
  <si>
    <t>ROST</t>
  </si>
  <si>
    <t>RPM</t>
  </si>
  <si>
    <t>RPRX</t>
  </si>
  <si>
    <t>RPTX</t>
  </si>
  <si>
    <t>RRGB</t>
  </si>
  <si>
    <t>RRR</t>
  </si>
  <si>
    <t>RRTS</t>
  </si>
  <si>
    <t>RS</t>
  </si>
  <si>
    <t>RTN</t>
  </si>
  <si>
    <t>RTRX</t>
  </si>
  <si>
    <t>RTX</t>
  </si>
  <si>
    <t>RUBY</t>
  </si>
  <si>
    <t>RUSH</t>
  </si>
  <si>
    <t>RUTH</t>
  </si>
  <si>
    <t>RVMD</t>
  </si>
  <si>
    <t>RVNC</t>
  </si>
  <si>
    <t>RYAAY</t>
  </si>
  <si>
    <t>RYAM</t>
  </si>
  <si>
    <t>RYI</t>
  </si>
  <si>
    <t>RYTM</t>
  </si>
  <si>
    <t>SA</t>
  </si>
  <si>
    <t>SAFM</t>
  </si>
  <si>
    <t>SAGE</t>
  </si>
  <si>
    <t>SAH</t>
  </si>
  <si>
    <t>SAIA</t>
  </si>
  <si>
    <t>SAIC</t>
  </si>
  <si>
    <t>SALT</t>
  </si>
  <si>
    <t>SAND</t>
  </si>
  <si>
    <t>SAVE</t>
  </si>
  <si>
    <t>SB</t>
  </si>
  <si>
    <t>SBBP</t>
  </si>
  <si>
    <t>SBH</t>
  </si>
  <si>
    <t>SBLK</t>
  </si>
  <si>
    <t>SBUX</t>
  </si>
  <si>
    <t>SCCO</t>
  </si>
  <si>
    <t>SCL</t>
  </si>
  <si>
    <t>SCPH</t>
  </si>
  <si>
    <t>SCVL</t>
  </si>
  <si>
    <t>SDC</t>
  </si>
  <si>
    <t>SDGR</t>
  </si>
  <si>
    <t>SEAS</t>
  </si>
  <si>
    <t>SEB</t>
  </si>
  <si>
    <t>SELB</t>
  </si>
  <si>
    <t>SESN</t>
  </si>
  <si>
    <t>SFL</t>
  </si>
  <si>
    <t>SFM</t>
  </si>
  <si>
    <t>SGEN</t>
  </si>
  <si>
    <t>SGMO</t>
  </si>
  <si>
    <t>SHAK</t>
  </si>
  <si>
    <t>SHOO</t>
  </si>
  <si>
    <t>SHW</t>
  </si>
  <si>
    <t>SID</t>
  </si>
  <si>
    <t>SIEGY</t>
  </si>
  <si>
    <t>SIG</t>
  </si>
  <si>
    <t>SIGA</t>
  </si>
  <si>
    <t>SIGM</t>
  </si>
  <si>
    <t>SILK</t>
  </si>
  <si>
    <t>SIM</t>
  </si>
  <si>
    <t>SIMO</t>
  </si>
  <si>
    <t>SIX</t>
  </si>
  <si>
    <t>SKIS</t>
  </si>
  <si>
    <t>SKX</t>
  </si>
  <si>
    <t>SKY</t>
  </si>
  <si>
    <t>SKYW</t>
  </si>
  <si>
    <t>SLAB</t>
  </si>
  <si>
    <t>SLCA</t>
  </si>
  <si>
    <t>SLDB</t>
  </si>
  <si>
    <t>SLGL</t>
  </si>
  <si>
    <t>SLNO</t>
  </si>
  <si>
    <t>SMG</t>
  </si>
  <si>
    <t>SMRT</t>
  </si>
  <si>
    <t>SMTC</t>
  </si>
  <si>
    <t>SNBR</t>
  </si>
  <si>
    <t>SND</t>
  </si>
  <si>
    <t>SNDR</t>
  </si>
  <si>
    <t>SNDX</t>
  </si>
  <si>
    <t>SNE</t>
  </si>
  <si>
    <t>SNH</t>
  </si>
  <si>
    <t>SNN</t>
  </si>
  <si>
    <t>SNPS</t>
  </si>
  <si>
    <t>SNY</t>
  </si>
  <si>
    <t>SODA</t>
  </si>
  <si>
    <t>SOL</t>
  </si>
  <si>
    <t>SONC</t>
  </si>
  <si>
    <t>SPB</t>
  </si>
  <si>
    <t>SPCB</t>
  </si>
  <si>
    <t>SPPI</t>
  </si>
  <si>
    <t>SPR</t>
  </si>
  <si>
    <t>SPRO</t>
  </si>
  <si>
    <t>SPTN</t>
  </si>
  <si>
    <t>SPWH</t>
  </si>
  <si>
    <t>SPWR</t>
  </si>
  <si>
    <t>SQM</t>
  </si>
  <si>
    <t>SQNS</t>
  </si>
  <si>
    <t>SRNE</t>
  </si>
  <si>
    <t>SRPT</t>
  </si>
  <si>
    <t>SRRA</t>
  </si>
  <si>
    <t>SRRK</t>
  </si>
  <si>
    <t>SSD</t>
  </si>
  <si>
    <t>SSI</t>
  </si>
  <si>
    <t>SSRM</t>
  </si>
  <si>
    <t>SSW</t>
  </si>
  <si>
    <t>STAY</t>
  </si>
  <si>
    <t>STKL</t>
  </si>
  <si>
    <t>STLD</t>
  </si>
  <si>
    <t>STM</t>
  </si>
  <si>
    <t>STN</t>
  </si>
  <si>
    <t>STNG</t>
  </si>
  <si>
    <t>STOK</t>
  </si>
  <si>
    <t>STRL</t>
  </si>
  <si>
    <t>STRO</t>
  </si>
  <si>
    <t>STSA</t>
  </si>
  <si>
    <t>STZ</t>
  </si>
  <si>
    <t>SUM</t>
  </si>
  <si>
    <t>SUPN</t>
  </si>
  <si>
    <t>SURF</t>
  </si>
  <si>
    <t>SVRA</t>
  </si>
  <si>
    <t>SWAV</t>
  </si>
  <si>
    <t>SWKS</t>
  </si>
  <si>
    <t>SWTX</t>
  </si>
  <si>
    <t>SXC</t>
  </si>
  <si>
    <t>SXT</t>
  </si>
  <si>
    <t>SYK</t>
  </si>
  <si>
    <t>SYNH</t>
  </si>
  <si>
    <t>SYPR</t>
  </si>
  <si>
    <t>SYRS</t>
  </si>
  <si>
    <t>SYY</t>
  </si>
  <si>
    <t>TA</t>
  </si>
  <si>
    <t>TACO</t>
  </si>
  <si>
    <t>TAP</t>
  </si>
  <si>
    <t>TARO</t>
  </si>
  <si>
    <t>TAST</t>
  </si>
  <si>
    <t>TATT</t>
  </si>
  <si>
    <t>TBIO</t>
  </si>
  <si>
    <t>TBPH</t>
  </si>
  <si>
    <t>TCDA</t>
  </si>
  <si>
    <t>TCRR</t>
  </si>
  <si>
    <t>TCS</t>
  </si>
  <si>
    <t>TDG</t>
  </si>
  <si>
    <t>TDOC</t>
  </si>
  <si>
    <t>TDY</t>
  </si>
  <si>
    <t>TECH</t>
  </si>
  <si>
    <t>TECK</t>
  </si>
  <si>
    <t>TELA</t>
  </si>
  <si>
    <t>TER</t>
  </si>
  <si>
    <t>TEVA</t>
  </si>
  <si>
    <t>TEX</t>
  </si>
  <si>
    <t>TFFP</t>
  </si>
  <si>
    <t>TGH</t>
  </si>
  <si>
    <t>TGI</t>
  </si>
  <si>
    <t>TGLS</t>
  </si>
  <si>
    <t>TGP</t>
  </si>
  <si>
    <t>TGT</t>
  </si>
  <si>
    <t>TGTX</t>
  </si>
  <si>
    <t>THC</t>
  </si>
  <si>
    <t>THO</t>
  </si>
  <si>
    <t>THS</t>
  </si>
  <si>
    <t>TIF</t>
  </si>
  <si>
    <t>TILE</t>
  </si>
  <si>
    <t>TITN</t>
  </si>
  <si>
    <t>TJX</t>
  </si>
  <si>
    <t>TK</t>
  </si>
  <si>
    <t>TLRD</t>
  </si>
  <si>
    <t>TLSA</t>
  </si>
  <si>
    <t>TLYS</t>
  </si>
  <si>
    <t>TM</t>
  </si>
  <si>
    <t>TMDX</t>
  </si>
  <si>
    <t>TMHC</t>
  </si>
  <si>
    <t>TMST</t>
  </si>
  <si>
    <t>TNK</t>
  </si>
  <si>
    <t>TNP</t>
  </si>
  <si>
    <t>TNXP</t>
  </si>
  <si>
    <t>TOL</t>
  </si>
  <si>
    <t>TPC</t>
  </si>
  <si>
    <t>TPH</t>
  </si>
  <si>
    <t>TPR</t>
  </si>
  <si>
    <t>TPTX</t>
  </si>
  <si>
    <t>TPX</t>
  </si>
  <si>
    <t>TR</t>
  </si>
  <si>
    <t>TRC</t>
  </si>
  <si>
    <t>TREC</t>
  </si>
  <si>
    <t>TREX</t>
  </si>
  <si>
    <t>TRIL</t>
  </si>
  <si>
    <t>TRK</t>
  </si>
  <si>
    <t>TROX</t>
  </si>
  <si>
    <t>TRQ</t>
  </si>
  <si>
    <t>TRTN</t>
  </si>
  <si>
    <t>TRVN</t>
  </si>
  <si>
    <t>TS</t>
  </si>
  <si>
    <t>TSCO</t>
  </si>
  <si>
    <t>TSE</t>
  </si>
  <si>
    <t>TSEM</t>
  </si>
  <si>
    <t>TSLA</t>
  </si>
  <si>
    <t>TSM</t>
  </si>
  <si>
    <t>TSN</t>
  </si>
  <si>
    <t>TTEK</t>
  </si>
  <si>
    <t>TTM</t>
  </si>
  <si>
    <t>TTS</t>
  </si>
  <si>
    <t>TTWO</t>
  </si>
  <si>
    <t>TUP</t>
  </si>
  <si>
    <t>TWMC</t>
  </si>
  <si>
    <t>TWNK</t>
  </si>
  <si>
    <t>TWST</t>
  </si>
  <si>
    <t>TX</t>
  </si>
  <si>
    <t>TXG</t>
  </si>
  <si>
    <t>TXMD</t>
  </si>
  <si>
    <t>TXN</t>
  </si>
  <si>
    <t>TXRH</t>
  </si>
  <si>
    <t>TXT</t>
  </si>
  <si>
    <t>TYME</t>
  </si>
  <si>
    <t>UA</t>
  </si>
  <si>
    <t>UAL</t>
  </si>
  <si>
    <t>UAN</t>
  </si>
  <si>
    <t>UBX</t>
  </si>
  <si>
    <t>UCTT</t>
  </si>
  <si>
    <t>UEIC</t>
  </si>
  <si>
    <t>UFPI</t>
  </si>
  <si>
    <t>UHAL</t>
  </si>
  <si>
    <t>UHS</t>
  </si>
  <si>
    <t>UL</t>
  </si>
  <si>
    <t>ULH</t>
  </si>
  <si>
    <t>ULTA</t>
  </si>
  <si>
    <t>UMC</t>
  </si>
  <si>
    <t>UMRX</t>
  </si>
  <si>
    <t>UN</t>
  </si>
  <si>
    <t>UNFI</t>
  </si>
  <si>
    <t>UNP</t>
  </si>
  <si>
    <t>UNVR</t>
  </si>
  <si>
    <t>UPS</t>
  </si>
  <si>
    <t>URBN</t>
  </si>
  <si>
    <t>URGN</t>
  </si>
  <si>
    <t>UROV</t>
  </si>
  <si>
    <t>USAK</t>
  </si>
  <si>
    <t>USCR</t>
  </si>
  <si>
    <t>USEG</t>
  </si>
  <si>
    <t>USFD</t>
  </si>
  <si>
    <t>USLM</t>
  </si>
  <si>
    <t>USNA</t>
  </si>
  <si>
    <t>UTHR</t>
  </si>
  <si>
    <t>UTX</t>
  </si>
  <si>
    <t>UWN</t>
  </si>
  <si>
    <t>VAC</t>
  </si>
  <si>
    <t>VALE</t>
  </si>
  <si>
    <t>VBIV</t>
  </si>
  <si>
    <t>VCEL</t>
  </si>
  <si>
    <t>VCNX</t>
  </si>
  <si>
    <t>VCYT</t>
  </si>
  <si>
    <t>VECO</t>
  </si>
  <si>
    <t>VERU</t>
  </si>
  <si>
    <t>VFC</t>
  </si>
  <si>
    <t>VGR</t>
  </si>
  <si>
    <t>VHI</t>
  </si>
  <si>
    <t>VIA</t>
  </si>
  <si>
    <t>VIE</t>
  </si>
  <si>
    <t>VIR</t>
  </si>
  <si>
    <t>VIST</t>
  </si>
  <si>
    <t>VIVO</t>
  </si>
  <si>
    <t>VKTX</t>
  </si>
  <si>
    <t>VLRS</t>
  </si>
  <si>
    <t>VMC</t>
  </si>
  <si>
    <t>VNCE</t>
  </si>
  <si>
    <t>VNDA</t>
  </si>
  <si>
    <t>VNTR</t>
  </si>
  <si>
    <t>VOXX</t>
  </si>
  <si>
    <t>VRA</t>
  </si>
  <si>
    <t>VRCA</t>
  </si>
  <si>
    <t>VRNA</t>
  </si>
  <si>
    <t>VRTX</t>
  </si>
  <si>
    <t>VSAT</t>
  </si>
  <si>
    <t>VSH</t>
  </si>
  <si>
    <t>VSI</t>
  </si>
  <si>
    <t>VSTM</t>
  </si>
  <si>
    <t>VSTO</t>
  </si>
  <si>
    <t>VTR</t>
  </si>
  <si>
    <t>VTVT</t>
  </si>
  <si>
    <t>VUZI</t>
  </si>
  <si>
    <t>VVI</t>
  </si>
  <si>
    <t>VVV</t>
  </si>
  <si>
    <t>VXRT</t>
  </si>
  <si>
    <t>VYGR</t>
  </si>
  <si>
    <t>WBA</t>
  </si>
  <si>
    <t>WDFC</t>
  </si>
  <si>
    <t>WELL</t>
  </si>
  <si>
    <t>WEN</t>
  </si>
  <si>
    <t>WERN</t>
  </si>
  <si>
    <t>WEYS</t>
  </si>
  <si>
    <t>WGO</t>
  </si>
  <si>
    <t>WH</t>
  </si>
  <si>
    <t>WHR</t>
  </si>
  <si>
    <t>WILC</t>
  </si>
  <si>
    <t>WINA</t>
  </si>
  <si>
    <t>WING</t>
  </si>
  <si>
    <t>WLDN</t>
  </si>
  <si>
    <t>WLK</t>
  </si>
  <si>
    <t>WLKP</t>
  </si>
  <si>
    <t>WMK</t>
  </si>
  <si>
    <t>WMT</t>
  </si>
  <si>
    <t>WOR</t>
  </si>
  <si>
    <t>WPM</t>
  </si>
  <si>
    <t>WSM</t>
  </si>
  <si>
    <t>WSO</t>
  </si>
  <si>
    <t>WVE</t>
  </si>
  <si>
    <t>WWD</t>
  </si>
  <si>
    <t>WWE</t>
  </si>
  <si>
    <t>WWR</t>
  </si>
  <si>
    <t>WWW</t>
  </si>
  <si>
    <t>WYN</t>
  </si>
  <si>
    <t>WYNN</t>
  </si>
  <si>
    <t>X</t>
  </si>
  <si>
    <t>XBIT</t>
  </si>
  <si>
    <t>XENE</t>
  </si>
  <si>
    <t>XERS</t>
  </si>
  <si>
    <t>XGN</t>
  </si>
  <si>
    <t>XLNX</t>
  </si>
  <si>
    <t>XLRN</t>
  </si>
  <si>
    <t>XNCR</t>
  </si>
  <si>
    <t>XOMA</t>
  </si>
  <si>
    <t>XPER</t>
  </si>
  <si>
    <t>XPL</t>
  </si>
  <si>
    <t>XPO</t>
  </si>
  <si>
    <t>XTLB</t>
  </si>
  <si>
    <t>YASKY</t>
  </si>
  <si>
    <t>YMAB</t>
  </si>
  <si>
    <t>YRCW</t>
  </si>
  <si>
    <t>YUM</t>
  </si>
  <si>
    <t>YUMC</t>
  </si>
  <si>
    <t>ZEAL</t>
  </si>
  <si>
    <t>ZGNX</t>
  </si>
  <si>
    <t>ZIOP</t>
  </si>
  <si>
    <t>ZLAB</t>
  </si>
  <si>
    <t>ZNH</t>
  </si>
  <si>
    <t>ZNTL</t>
  </si>
  <si>
    <t>ZSAN</t>
  </si>
  <si>
    <t>ZTS</t>
  </si>
  <si>
    <t>ZUMZ</t>
  </si>
  <si>
    <t>ZYNE</t>
  </si>
  <si>
    <t>Output Variable: Margin</t>
  </si>
  <si>
    <t>Output Variable: Growth</t>
  </si>
  <si>
    <t>Output Variable: Projections</t>
  </si>
  <si>
    <t>Profit_t-1</t>
  </si>
  <si>
    <t>Growth_t-1</t>
  </si>
  <si>
    <t>State 2</t>
  </si>
  <si>
    <t>State 1</t>
  </si>
  <si>
    <t>Change 1-2</t>
  </si>
  <si>
    <t>Margin_GM</t>
  </si>
  <si>
    <t>Margin_EBITM</t>
  </si>
  <si>
    <t>Margin_PBTM</t>
  </si>
  <si>
    <t>Margin_EBITDAM</t>
  </si>
  <si>
    <t>Margin_NM</t>
  </si>
  <si>
    <t>Margin_OCFM</t>
  </si>
  <si>
    <t>Growth_GM</t>
  </si>
  <si>
    <t>Growth_EBITM</t>
  </si>
  <si>
    <t>Growth_PBTM</t>
  </si>
  <si>
    <t>Growth_EBITDAM</t>
  </si>
  <si>
    <t>Growth_NM</t>
  </si>
  <si>
    <t>Growth_OCFM</t>
  </si>
  <si>
    <t>Projections_St+1</t>
  </si>
  <si>
    <t>Projections_St</t>
  </si>
  <si>
    <t>Projections_SGrt+1</t>
  </si>
  <si>
    <t>Mean</t>
  </si>
  <si>
    <t>Median</t>
  </si>
  <si>
    <t>StDev</t>
  </si>
  <si>
    <t>MktCap</t>
  </si>
  <si>
    <t>Shares</t>
  </si>
  <si>
    <t>AvgV</t>
  </si>
  <si>
    <t>r182</t>
  </si>
  <si>
    <t>r364</t>
  </si>
  <si>
    <t>TIC</t>
  </si>
  <si>
    <t>Sector</t>
  </si>
  <si>
    <t>Industry</t>
  </si>
  <si>
    <t>Employees</t>
  </si>
  <si>
    <t>Healthcare</t>
  </si>
  <si>
    <t>Diagnostics &amp; Research</t>
  </si>
  <si>
    <t>Basic Materials</t>
  </si>
  <si>
    <t>Aluminum</t>
  </si>
  <si>
    <t>Industrials</t>
  </si>
  <si>
    <t>Airlines</t>
  </si>
  <si>
    <t>Rental &amp; Leasing Services</t>
  </si>
  <si>
    <t>Technology</t>
  </si>
  <si>
    <t>Semiconductors</t>
  </si>
  <si>
    <t>Building Products &amp; Equipment</t>
  </si>
  <si>
    <t>Consumer Cyclical</t>
  </si>
  <si>
    <t>Specialty Retail</t>
  </si>
  <si>
    <t>Airports &amp; Air Services</t>
  </si>
  <si>
    <t>Electrical Equipment &amp; Parts</t>
  </si>
  <si>
    <t>Drug Manufacturersâ€”General</t>
  </si>
  <si>
    <t>Medical Distribution</t>
  </si>
  <si>
    <t>Biotechnology</t>
  </si>
  <si>
    <t>Consumer Defensive</t>
  </si>
  <si>
    <t>Beveragesâ€”Brewers</t>
  </si>
  <si>
    <t>Auto &amp; Truck Dealerships</t>
  </si>
  <si>
    <t>Medical Devices</t>
  </si>
  <si>
    <t>Medical Care Facilities</t>
  </si>
  <si>
    <t>Semiconductor Equipment &amp; Materials</t>
  </si>
  <si>
    <t>Engineering &amp; Construction</t>
  </si>
  <si>
    <t>Drug Manufacturersâ€”Specialty &amp; Generic</t>
  </si>
  <si>
    <t>Farm Products</t>
  </si>
  <si>
    <t>Gold</t>
  </si>
  <si>
    <t>Apparel Retail</t>
  </si>
  <si>
    <t>Textile Manufacturing</t>
  </si>
  <si>
    <t>Aerospace &amp; Defense</t>
  </si>
  <si>
    <t>Specialty Chemicals</t>
  </si>
  <si>
    <t>Communication Services</t>
  </si>
  <si>
    <t>Entertainment</t>
  </si>
  <si>
    <t>Furnishings, Fixtures &amp; Appliances</t>
  </si>
  <si>
    <t>Food Distribution</t>
  </si>
  <si>
    <t>Chemicals</t>
  </si>
  <si>
    <t>Trucking</t>
  </si>
  <si>
    <t>Energy</t>
  </si>
  <si>
    <t>Thermal Coal</t>
  </si>
  <si>
    <t>Restaurants</t>
  </si>
  <si>
    <t>Specialty Industrial Machinery</t>
  </si>
  <si>
    <t>Marine Shipping</t>
  </si>
  <si>
    <t>Farm &amp; Heavy Construction Machinery</t>
  </si>
  <si>
    <t>Metal Fabrication</t>
  </si>
  <si>
    <t>Medical Instruments &amp; Supplies</t>
  </si>
  <si>
    <t>Integrated Freight &amp; Logistics</t>
  </si>
  <si>
    <t>Internet Retail</t>
  </si>
  <si>
    <t>Electronic Gaming &amp; Multimedia</t>
  </si>
  <si>
    <t>Consulting Services</t>
  </si>
  <si>
    <t>Leisure</t>
  </si>
  <si>
    <t>Luxury Goods</t>
  </si>
  <si>
    <t>Packaged Foods</t>
  </si>
  <si>
    <t>Discount Stores</t>
  </si>
  <si>
    <t>Packaging &amp; Containers</t>
  </si>
  <si>
    <t>Tobacco</t>
  </si>
  <si>
    <t>Resorts &amp; Casinos</t>
  </si>
  <si>
    <t>Residential Construction</t>
  </si>
  <si>
    <t>Information Technology Services</t>
  </si>
  <si>
    <t>Computer Hardware</t>
  </si>
  <si>
    <t>Footwear &amp; Accessories</t>
  </si>
  <si>
    <t>Grocery Stores</t>
  </si>
  <si>
    <t>Department Stores</t>
  </si>
  <si>
    <t>Travel Services</t>
  </si>
  <si>
    <t>Health Information Services</t>
  </si>
  <si>
    <t>Agricultural Inputs</t>
  </si>
  <si>
    <t>Scientific &amp; Technical Instruments</t>
  </si>
  <si>
    <t>Household &amp; Personal Products</t>
  </si>
  <si>
    <t>Gambling</t>
  </si>
  <si>
    <t>Lodging</t>
  </si>
  <si>
    <t>Oil &amp; Gas Equipment &amp; Services</t>
  </si>
  <si>
    <t>Steel</t>
  </si>
  <si>
    <t>Other Industrial Metals &amp; Mining</t>
  </si>
  <si>
    <t>Railroads</t>
  </si>
  <si>
    <t>Oil &amp; Gas E&amp;P</t>
  </si>
  <si>
    <t>Beveragesâ€”Non-Alcoholic</t>
  </si>
  <si>
    <t>Apparel Manufacturing</t>
  </si>
  <si>
    <t>Building Materials</t>
  </si>
  <si>
    <t>Financial Services</t>
  </si>
  <si>
    <t>Insurance Brokers</t>
  </si>
  <si>
    <t>Solar</t>
  </si>
  <si>
    <t>Auto Parts</t>
  </si>
  <si>
    <t>Recreational Vehicles</t>
  </si>
  <si>
    <t>Beveragesâ€”Wineries &amp; Distilleries</t>
  </si>
  <si>
    <t>Oil &amp; Gas Midstream</t>
  </si>
  <si>
    <t>Uranium</t>
  </si>
  <si>
    <t>Real Estate</t>
  </si>
  <si>
    <t>REITâ€”Healthcare Facilities</t>
  </si>
  <si>
    <t>Silver</t>
  </si>
  <si>
    <t>Credit Services</t>
  </si>
  <si>
    <t>Auto Manufacturers</t>
  </si>
  <si>
    <t>Industrial Distribution</t>
  </si>
  <si>
    <t>Home Improvement Retail</t>
  </si>
  <si>
    <t>Broadcasting</t>
  </si>
  <si>
    <t>Softwareâ€”Application</t>
  </si>
  <si>
    <t>Tools &amp; Accessories</t>
  </si>
  <si>
    <t>Consumer Electronics</t>
  </si>
  <si>
    <t>Business Equipment &amp; Supplies</t>
  </si>
  <si>
    <t>Electronic Components</t>
  </si>
  <si>
    <t>Communication Equipment</t>
  </si>
  <si>
    <t>Confectioners</t>
  </si>
  <si>
    <t>Security &amp; Protection Services</t>
  </si>
  <si>
    <t>Healthcare Plans</t>
  </si>
  <si>
    <t>Internet Content &amp; Information</t>
  </si>
  <si>
    <t>Other Precious Metals &amp; Mining</t>
  </si>
  <si>
    <t>Lumber &amp; Wood Production</t>
  </si>
  <si>
    <t>Pharmaceutical Retailers</t>
  </si>
  <si>
    <t>Personal Services</t>
  </si>
  <si>
    <t>Copper</t>
  </si>
  <si>
    <t>Conglomerates</t>
  </si>
  <si>
    <t>Softwareâ€”Infrastructure</t>
  </si>
  <si>
    <t>Coking Coal</t>
  </si>
  <si>
    <t>Specialty Business Services</t>
  </si>
  <si>
    <t>Oil &amp; Gas Refining &amp; Marketing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</si>
</sst>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0.0%"/>
  </numFmts>
  <fonts count="23">
    <font>
      <sz val="10.0"/>
      <color rgb="FF000000"/>
      <name val="Arial"/>
    </font>
    <font>
      <b/>
      <color rgb="FF000000"/>
      <name val="Arial"/>
    </font>
    <font>
      <color rgb="FFFF0000"/>
      <name val="Arial"/>
    </font>
    <font>
      <b/>
      <sz val="11.0"/>
      <color rgb="FFFF0000"/>
      <name val="Calibri"/>
    </font>
    <font>
      <b/>
      <sz val="12.0"/>
      <color theme="1"/>
      <name val="Arial"/>
    </font>
    <font>
      <b/>
      <sz val="11.0"/>
      <color rgb="FF000000"/>
      <name val="Calibri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color theme="1"/>
      <name val="Arial"/>
    </font>
    <font>
      <b/>
      <sz val="8.0"/>
      <color rgb="FF000000"/>
      <name val="Calibri"/>
    </font>
    <font>
      <sz val="12.0"/>
      <color theme="1"/>
      <name val="Arial"/>
    </font>
    <font/>
    <font>
      <sz val="12.0"/>
      <color rgb="FF000000"/>
      <name val="Arial"/>
    </font>
    <font>
      <b/>
      <color rgb="FFFF0000"/>
      <name val="Arial"/>
    </font>
    <font>
      <sz val="10.0"/>
      <color theme="1"/>
      <name val="Arial"/>
    </font>
    <font>
      <b/>
      <sz val="10.0"/>
      <color theme="1"/>
      <name val="Arial"/>
    </font>
    <font>
      <b/>
      <sz val="8.0"/>
      <color rgb="FF0B8043"/>
      <name val="Arial"/>
    </font>
    <font>
      <b/>
      <sz val="8.0"/>
      <color rgb="FFC53929"/>
      <name val="Arial"/>
    </font>
    <font>
      <sz val="9.0"/>
      <color theme="1"/>
      <name val="Arial"/>
    </font>
    <font>
      <b/>
      <sz val="8.0"/>
      <color theme="1"/>
      <name val="Arial"/>
    </font>
    <font>
      <b/>
      <sz val="9.0"/>
      <color theme="1"/>
      <name val="Arial"/>
    </font>
    <font>
      <sz val="8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vertical="bottom"/>
    </xf>
    <xf borderId="0" fillId="0" fontId="4" numFmtId="164" xfId="0" applyAlignment="1" applyFont="1" applyNumberFormat="1">
      <alignment horizontal="center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horizontal="center" readingOrder="0" shrinkToFit="0" vertical="bottom" wrapText="0"/>
    </xf>
    <xf borderId="0" fillId="0" fontId="6" numFmtId="0" xfId="0" applyFont="1"/>
    <xf borderId="0" fillId="0" fontId="7" numFmtId="0" xfId="0" applyAlignment="1" applyFont="1">
      <alignment vertical="bottom"/>
    </xf>
    <xf borderId="0" fillId="0" fontId="8" numFmtId="3" xfId="0" applyAlignment="1" applyFont="1" applyNumberFormat="1">
      <alignment horizontal="right" vertical="bottom"/>
    </xf>
    <xf borderId="0" fillId="0" fontId="9" numFmtId="3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8" numFmtId="10" xfId="0" applyAlignment="1" applyFont="1" applyNumberFormat="1">
      <alignment horizontal="right" vertical="bottom"/>
    </xf>
    <xf borderId="0" fillId="0" fontId="9" numFmtId="3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9" numFmtId="10" xfId="0" applyAlignment="1" applyFont="1" applyNumberFormat="1">
      <alignment horizontal="right" vertical="bottom"/>
    </xf>
    <xf borderId="0" fillId="0" fontId="7" numFmtId="0" xfId="0" applyFont="1"/>
    <xf borderId="0" fillId="0" fontId="8" numFmtId="3" xfId="0" applyAlignment="1" applyFont="1" applyNumberFormat="1">
      <alignment horizontal="right"/>
    </xf>
    <xf borderId="0" fillId="0" fontId="9" numFmtId="3" xfId="0" applyFont="1" applyNumberFormat="1"/>
    <xf borderId="0" fillId="0" fontId="8" numFmtId="10" xfId="0" applyAlignment="1" applyFont="1" applyNumberFormat="1">
      <alignment horizontal="right"/>
    </xf>
    <xf borderId="0" fillId="0" fontId="10" numFmtId="0" xfId="0" applyAlignment="1" applyFont="1">
      <alignment vertical="bottom"/>
    </xf>
    <xf borderId="0" fillId="0" fontId="9" numFmtId="10" xfId="0" applyAlignment="1" applyFont="1" applyNumberFormat="1">
      <alignment vertical="bottom"/>
    </xf>
    <xf borderId="0" fillId="0" fontId="8" numFmtId="0" xfId="0" applyAlignment="1" applyFont="1">
      <alignment horizontal="right" vertical="bottom"/>
    </xf>
    <xf borderId="0" fillId="0" fontId="7" numFmtId="0" xfId="0" applyAlignment="1" applyFont="1">
      <alignment horizontal="center" vertical="bottom"/>
    </xf>
    <xf borderId="1" fillId="0" fontId="7" numFmtId="0" xfId="0" applyAlignment="1" applyBorder="1" applyFont="1">
      <alignment vertical="bottom"/>
    </xf>
    <xf borderId="0" fillId="0" fontId="9" numFmtId="0" xfId="0" applyFont="1"/>
    <xf borderId="0" fillId="0" fontId="1" numFmtId="3" xfId="0" applyAlignment="1" applyFont="1" applyNumberFormat="1">
      <alignment horizontal="right" vertical="bottom"/>
    </xf>
    <xf borderId="0" fillId="0" fontId="8" numFmtId="10" xfId="0" applyAlignment="1" applyFont="1" applyNumberFormat="1">
      <alignment vertical="bottom"/>
    </xf>
    <xf borderId="0" fillId="0" fontId="9" numFmtId="165" xfId="0" applyAlignment="1" applyFont="1" applyNumberFormat="1">
      <alignment vertical="bottom"/>
    </xf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8" numFmtId="165" xfId="0" applyAlignment="1" applyFont="1" applyNumberFormat="1">
      <alignment horizontal="right" vertical="bottom"/>
    </xf>
    <xf borderId="1" fillId="0" fontId="7" numFmtId="0" xfId="0" applyAlignment="1" applyBorder="1" applyFont="1">
      <alignment horizontal="center" vertical="bottom"/>
    </xf>
    <xf borderId="1" fillId="0" fontId="10" numFmtId="0" xfId="0" applyAlignment="1" applyBorder="1" applyFont="1">
      <alignment vertical="bottom"/>
    </xf>
    <xf borderId="0" fillId="0" fontId="7" numFmtId="3" xfId="0" applyAlignment="1" applyFont="1" applyNumberFormat="1">
      <alignment horizontal="right" vertical="bottom"/>
    </xf>
    <xf borderId="0" fillId="0" fontId="7" numFmtId="0" xfId="0" applyAlignment="1" applyFont="1">
      <alignment horizontal="right" vertical="bottom"/>
    </xf>
    <xf borderId="0" fillId="0" fontId="7" numFmtId="10" xfId="0" applyAlignment="1" applyFont="1" applyNumberFormat="1">
      <alignment horizontal="right" vertical="bottom"/>
    </xf>
    <xf borderId="0" fillId="0" fontId="1" numFmtId="3" xfId="0" applyAlignment="1" applyFont="1" applyNumberFormat="1">
      <alignment horizontal="right"/>
    </xf>
    <xf borderId="0" fillId="0" fontId="7" numFmtId="0" xfId="0" applyAlignment="1" applyFont="1">
      <alignment shrinkToFit="0" vertical="bottom" wrapText="0"/>
    </xf>
    <xf borderId="0" fillId="0" fontId="11" numFmtId="0" xfId="0" applyFont="1"/>
    <xf borderId="2" fillId="0" fontId="6" numFmtId="0" xfId="0" applyAlignment="1" applyBorder="1" applyFont="1">
      <alignment horizontal="center" readingOrder="0"/>
    </xf>
    <xf borderId="3" fillId="0" fontId="12" numFmtId="0" xfId="0" applyBorder="1" applyFont="1"/>
    <xf borderId="0" fillId="0" fontId="6" numFmtId="0" xfId="0" applyAlignment="1" applyFont="1">
      <alignment horizontal="center" readingOrder="0"/>
    </xf>
    <xf borderId="4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/>
    </xf>
    <xf borderId="0" fillId="0" fontId="13" numFmtId="0" xfId="0" applyAlignment="1" applyFont="1">
      <alignment horizontal="center" vertical="bottom"/>
    </xf>
    <xf borderId="0" fillId="0" fontId="9" numFmtId="10" xfId="0" applyAlignment="1" applyFont="1" applyNumberFormat="1">
      <alignment horizontal="center"/>
    </xf>
    <xf borderId="0" fillId="0" fontId="14" numFmtId="0" xfId="0" applyAlignment="1" applyFont="1">
      <alignment horizontal="left" readingOrder="0"/>
    </xf>
    <xf borderId="0" fillId="0" fontId="9" numFmtId="3" xfId="0" applyAlignment="1" applyFont="1" applyNumberFormat="1">
      <alignment horizontal="center"/>
    </xf>
    <xf borderId="0" fillId="0" fontId="9" numFmtId="0" xfId="0" applyAlignment="1" applyFont="1">
      <alignment horizontal="center" readingOrder="0"/>
    </xf>
    <xf borderId="0" fillId="0" fontId="13" numFmtId="0" xfId="0" applyAlignment="1" applyFont="1">
      <alignment horizontal="center"/>
    </xf>
    <xf borderId="0" fillId="0" fontId="9" numFmtId="0" xfId="0" applyAlignment="1" applyFont="1">
      <alignment horizontal="left" readingOrder="0"/>
    </xf>
    <xf borderId="1" fillId="0" fontId="13" numFmtId="0" xfId="0" applyAlignment="1" applyBorder="1" applyFon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13" numFmtId="0" xfId="0" applyAlignment="1" applyFont="1">
      <alignment horizontal="center" shrinkToFit="0" vertical="bottom" wrapText="0"/>
    </xf>
    <xf borderId="0" fillId="0" fontId="15" numFmtId="0" xfId="0" applyAlignment="1" applyFont="1">
      <alignment vertical="center"/>
    </xf>
    <xf borderId="0" fillId="0" fontId="16" numFmtId="0" xfId="0" applyAlignment="1" applyFont="1">
      <alignment horizontal="center" vertical="center"/>
    </xf>
    <xf borderId="0" fillId="0" fontId="15" numFmtId="0" xfId="0" applyAlignment="1" applyFont="1">
      <alignment horizontal="right" readingOrder="0" vertical="center"/>
    </xf>
    <xf borderId="0" fillId="0" fontId="17" numFmtId="10" xfId="0" applyAlignment="1" applyFont="1" applyNumberFormat="1">
      <alignment horizontal="center" vertical="center"/>
    </xf>
    <xf borderId="4" fillId="0" fontId="18" numFmtId="10" xfId="0" applyAlignment="1" applyBorder="1" applyFont="1" applyNumberFormat="1">
      <alignment horizontal="center" vertical="center"/>
    </xf>
    <xf borderId="0" fillId="2" fontId="17" numFmtId="10" xfId="0" applyAlignment="1" applyFill="1" applyFont="1" applyNumberFormat="1">
      <alignment horizontal="center" vertical="center"/>
    </xf>
    <xf borderId="4" fillId="2" fontId="17" numFmtId="10" xfId="0" applyAlignment="1" applyBorder="1" applyFont="1" applyNumberFormat="1">
      <alignment horizontal="center" vertical="center"/>
    </xf>
    <xf borderId="0" fillId="0" fontId="19" numFmtId="165" xfId="0" applyAlignment="1" applyFont="1" applyNumberFormat="1">
      <alignment horizontal="center" vertical="center"/>
    </xf>
    <xf borderId="4" fillId="0" fontId="19" numFmtId="165" xfId="0" applyAlignment="1" applyBorder="1" applyFont="1" applyNumberFormat="1">
      <alignment horizontal="center" vertical="center"/>
    </xf>
    <xf borderId="5" fillId="0" fontId="9" numFmtId="0" xfId="0" applyAlignment="1" applyBorder="1" applyFont="1">
      <alignment vertical="center"/>
    </xf>
    <xf borderId="5" fillId="0" fontId="20" numFmtId="0" xfId="0" applyAlignment="1" applyBorder="1" applyFont="1">
      <alignment horizontal="center" vertical="center"/>
    </xf>
    <xf borderId="5" fillId="0" fontId="20" numFmtId="1" xfId="0" applyAlignment="1" applyBorder="1" applyFont="1" applyNumberFormat="1">
      <alignment horizontal="center" vertical="center"/>
    </xf>
    <xf borderId="5" fillId="0" fontId="21" numFmtId="0" xfId="0" applyAlignment="1" applyBorder="1" applyFont="1">
      <alignment horizontal="center" vertical="center"/>
    </xf>
    <xf borderId="6" fillId="0" fontId="21" numFmtId="0" xfId="0" applyAlignment="1" applyBorder="1" applyFont="1">
      <alignment horizontal="center" vertical="center"/>
    </xf>
    <xf borderId="0" fillId="0" fontId="21" numFmtId="0" xfId="0" applyAlignment="1" applyFont="1">
      <alignment horizontal="right" vertical="center"/>
    </xf>
    <xf borderId="0" fillId="0" fontId="22" numFmtId="3" xfId="0" applyAlignment="1" applyFont="1" applyNumberFormat="1">
      <alignment horizontal="center" vertical="center"/>
    </xf>
    <xf borderId="0" fillId="0" fontId="18" numFmtId="10" xfId="0" applyAlignment="1" applyFont="1" applyNumberFormat="1">
      <alignment horizontal="center" vertical="center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 readingOrder="0"/>
    </xf>
    <xf borderId="0" fillId="0" fontId="9" numFmtId="0" xfId="0" applyAlignment="1" applyFont="1">
      <alignment readingOrder="0"/>
    </xf>
  </cellXfs>
  <cellStyles count="1">
    <cellStyle xfId="0" name="Normal" builtinId="0"/>
  </cellStyles>
  <dxfs count="2">
    <dxf>
      <font>
        <b/>
        <color rgb="FFC53929"/>
      </font>
      <fill>
        <patternFill patternType="none"/>
      </fill>
      <border/>
    </dxf>
    <dxf>
      <font>
        <b/>
        <color rgb="FF0B8043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1.0"/>
    <col customWidth="1" min="2" max="2" width="6.57"/>
  </cols>
  <sheetData>
    <row r="1">
      <c r="A1" s="1" t="s">
        <v>0</v>
      </c>
      <c r="B1" s="2">
        <v>1.0</v>
      </c>
      <c r="C1" s="3">
        <f t="shared" ref="C1:EH1" si="1">B1+1</f>
        <v>2</v>
      </c>
      <c r="D1" s="3">
        <f t="shared" si="1"/>
        <v>3</v>
      </c>
      <c r="E1" s="3">
        <f t="shared" si="1"/>
        <v>4</v>
      </c>
      <c r="F1" s="3">
        <f t="shared" si="1"/>
        <v>5</v>
      </c>
      <c r="G1" s="3">
        <f t="shared" si="1"/>
        <v>6</v>
      </c>
      <c r="H1" s="3">
        <f t="shared" si="1"/>
        <v>7</v>
      </c>
      <c r="I1" s="3">
        <f t="shared" si="1"/>
        <v>8</v>
      </c>
      <c r="J1" s="3">
        <f t="shared" si="1"/>
        <v>9</v>
      </c>
      <c r="K1" s="3">
        <f t="shared" si="1"/>
        <v>10</v>
      </c>
      <c r="L1" s="3">
        <f t="shared" si="1"/>
        <v>11</v>
      </c>
      <c r="M1" s="3">
        <f t="shared" si="1"/>
        <v>12</v>
      </c>
      <c r="N1" s="3">
        <f t="shared" si="1"/>
        <v>13</v>
      </c>
      <c r="O1" s="3">
        <f t="shared" si="1"/>
        <v>14</v>
      </c>
      <c r="P1" s="3">
        <f t="shared" si="1"/>
        <v>15</v>
      </c>
      <c r="Q1" s="3">
        <f t="shared" si="1"/>
        <v>16</v>
      </c>
      <c r="R1" s="3">
        <f t="shared" si="1"/>
        <v>17</v>
      </c>
      <c r="S1" s="3">
        <f t="shared" si="1"/>
        <v>18</v>
      </c>
      <c r="T1" s="3">
        <f t="shared" si="1"/>
        <v>19</v>
      </c>
      <c r="U1" s="3">
        <f t="shared" si="1"/>
        <v>20</v>
      </c>
      <c r="V1" s="3">
        <f t="shared" si="1"/>
        <v>21</v>
      </c>
      <c r="W1" s="3">
        <f t="shared" si="1"/>
        <v>22</v>
      </c>
      <c r="X1" s="3">
        <f t="shared" si="1"/>
        <v>23</v>
      </c>
      <c r="Y1" s="3">
        <f t="shared" si="1"/>
        <v>24</v>
      </c>
      <c r="Z1" s="3">
        <f t="shared" si="1"/>
        <v>25</v>
      </c>
      <c r="AA1" s="3">
        <f t="shared" si="1"/>
        <v>26</v>
      </c>
      <c r="AB1" s="3">
        <f t="shared" si="1"/>
        <v>27</v>
      </c>
      <c r="AC1" s="3">
        <f t="shared" si="1"/>
        <v>28</v>
      </c>
      <c r="AD1" s="3">
        <f t="shared" si="1"/>
        <v>29</v>
      </c>
      <c r="AE1" s="3">
        <f t="shared" si="1"/>
        <v>30</v>
      </c>
      <c r="AF1" s="3">
        <f t="shared" si="1"/>
        <v>31</v>
      </c>
      <c r="AG1" s="3">
        <f t="shared" si="1"/>
        <v>32</v>
      </c>
      <c r="AH1" s="3">
        <f t="shared" si="1"/>
        <v>33</v>
      </c>
      <c r="AI1" s="3">
        <f t="shared" si="1"/>
        <v>34</v>
      </c>
      <c r="AJ1" s="3">
        <f t="shared" si="1"/>
        <v>35</v>
      </c>
      <c r="AK1" s="3">
        <f t="shared" si="1"/>
        <v>36</v>
      </c>
      <c r="AL1" s="3">
        <f t="shared" si="1"/>
        <v>37</v>
      </c>
      <c r="AM1" s="3">
        <f t="shared" si="1"/>
        <v>38</v>
      </c>
      <c r="AN1" s="3">
        <f t="shared" si="1"/>
        <v>39</v>
      </c>
      <c r="AO1" s="3">
        <f t="shared" si="1"/>
        <v>40</v>
      </c>
      <c r="AP1" s="3">
        <f t="shared" si="1"/>
        <v>41</v>
      </c>
      <c r="AQ1" s="3">
        <f t="shared" si="1"/>
        <v>42</v>
      </c>
      <c r="AR1" s="3">
        <f t="shared" si="1"/>
        <v>43</v>
      </c>
      <c r="AS1" s="3">
        <f t="shared" si="1"/>
        <v>44</v>
      </c>
      <c r="AT1" s="3">
        <f t="shared" si="1"/>
        <v>45</v>
      </c>
      <c r="AU1" s="3">
        <f t="shared" si="1"/>
        <v>46</v>
      </c>
      <c r="AV1" s="3">
        <f t="shared" si="1"/>
        <v>47</v>
      </c>
      <c r="AW1" s="3">
        <f t="shared" si="1"/>
        <v>48</v>
      </c>
      <c r="AX1" s="3">
        <f t="shared" si="1"/>
        <v>49</v>
      </c>
      <c r="AY1" s="3">
        <f t="shared" si="1"/>
        <v>50</v>
      </c>
      <c r="AZ1" s="3">
        <f t="shared" si="1"/>
        <v>51</v>
      </c>
      <c r="BA1" s="3">
        <f t="shared" si="1"/>
        <v>52</v>
      </c>
      <c r="BB1" s="3">
        <f t="shared" si="1"/>
        <v>53</v>
      </c>
      <c r="BC1" s="3">
        <f t="shared" si="1"/>
        <v>54</v>
      </c>
      <c r="BD1" s="3">
        <f t="shared" si="1"/>
        <v>55</v>
      </c>
      <c r="BE1" s="3">
        <f t="shared" si="1"/>
        <v>56</v>
      </c>
      <c r="BF1" s="3">
        <f t="shared" si="1"/>
        <v>57</v>
      </c>
      <c r="BG1" s="3">
        <f t="shared" si="1"/>
        <v>58</v>
      </c>
      <c r="BH1" s="4">
        <f t="shared" si="1"/>
        <v>59</v>
      </c>
      <c r="BI1" s="4">
        <f t="shared" si="1"/>
        <v>60</v>
      </c>
      <c r="BJ1" s="4">
        <f t="shared" si="1"/>
        <v>61</v>
      </c>
      <c r="BK1" s="4">
        <f t="shared" si="1"/>
        <v>62</v>
      </c>
      <c r="BL1" s="4">
        <f t="shared" si="1"/>
        <v>63</v>
      </c>
      <c r="BM1" s="4">
        <f t="shared" si="1"/>
        <v>64</v>
      </c>
      <c r="BN1" s="4">
        <f t="shared" si="1"/>
        <v>65</v>
      </c>
      <c r="BO1" s="4">
        <f t="shared" si="1"/>
        <v>66</v>
      </c>
      <c r="BP1" s="4">
        <f t="shared" si="1"/>
        <v>67</v>
      </c>
      <c r="BQ1" s="4">
        <f t="shared" si="1"/>
        <v>68</v>
      </c>
      <c r="BR1" s="4">
        <f t="shared" si="1"/>
        <v>69</v>
      </c>
      <c r="BS1" s="4">
        <f t="shared" si="1"/>
        <v>70</v>
      </c>
      <c r="BT1" s="4">
        <f t="shared" si="1"/>
        <v>71</v>
      </c>
      <c r="BU1" s="4">
        <f t="shared" si="1"/>
        <v>72</v>
      </c>
      <c r="BV1" s="4">
        <f t="shared" si="1"/>
        <v>73</v>
      </c>
      <c r="BW1" s="4">
        <f t="shared" si="1"/>
        <v>74</v>
      </c>
      <c r="BX1" s="4">
        <f t="shared" si="1"/>
        <v>75</v>
      </c>
      <c r="BY1" s="4">
        <f t="shared" si="1"/>
        <v>76</v>
      </c>
      <c r="BZ1" s="4">
        <f t="shared" si="1"/>
        <v>77</v>
      </c>
      <c r="CA1" s="4">
        <f t="shared" si="1"/>
        <v>78</v>
      </c>
      <c r="CB1" s="4">
        <f t="shared" si="1"/>
        <v>79</v>
      </c>
      <c r="CC1" s="4">
        <f t="shared" si="1"/>
        <v>80</v>
      </c>
      <c r="CD1" s="4">
        <f t="shared" si="1"/>
        <v>81</v>
      </c>
      <c r="CE1" s="4">
        <f t="shared" si="1"/>
        <v>82</v>
      </c>
      <c r="CF1" s="4">
        <f t="shared" si="1"/>
        <v>83</v>
      </c>
      <c r="CG1" s="4">
        <f t="shared" si="1"/>
        <v>84</v>
      </c>
      <c r="CH1" s="4">
        <f t="shared" si="1"/>
        <v>85</v>
      </c>
      <c r="CI1" s="4">
        <f t="shared" si="1"/>
        <v>86</v>
      </c>
      <c r="CJ1" s="4">
        <f t="shared" si="1"/>
        <v>87</v>
      </c>
      <c r="CK1" s="4">
        <f t="shared" si="1"/>
        <v>88</v>
      </c>
      <c r="CL1" s="4">
        <f t="shared" si="1"/>
        <v>89</v>
      </c>
      <c r="CM1" s="4">
        <f t="shared" si="1"/>
        <v>90</v>
      </c>
      <c r="CN1" s="4">
        <f t="shared" si="1"/>
        <v>91</v>
      </c>
      <c r="CO1" s="4">
        <f t="shared" si="1"/>
        <v>92</v>
      </c>
      <c r="CP1" s="4">
        <f t="shared" si="1"/>
        <v>93</v>
      </c>
      <c r="CQ1" s="4">
        <f t="shared" si="1"/>
        <v>94</v>
      </c>
      <c r="CR1" s="4">
        <f t="shared" si="1"/>
        <v>95</v>
      </c>
      <c r="CS1" s="4">
        <f t="shared" si="1"/>
        <v>96</v>
      </c>
      <c r="CT1" s="4">
        <f t="shared" si="1"/>
        <v>97</v>
      </c>
      <c r="CU1" s="4">
        <f t="shared" si="1"/>
        <v>98</v>
      </c>
      <c r="CV1" s="4">
        <f t="shared" si="1"/>
        <v>99</v>
      </c>
      <c r="CW1" s="4">
        <f t="shared" si="1"/>
        <v>100</v>
      </c>
      <c r="CX1" s="4">
        <f t="shared" si="1"/>
        <v>101</v>
      </c>
      <c r="CY1" s="4">
        <f t="shared" si="1"/>
        <v>102</v>
      </c>
      <c r="CZ1" s="4">
        <f t="shared" si="1"/>
        <v>103</v>
      </c>
      <c r="DA1" s="4">
        <f t="shared" si="1"/>
        <v>104</v>
      </c>
      <c r="DB1" s="4">
        <f t="shared" si="1"/>
        <v>105</v>
      </c>
      <c r="DC1" s="4">
        <f t="shared" si="1"/>
        <v>106</v>
      </c>
      <c r="DD1" s="4">
        <f t="shared" si="1"/>
        <v>107</v>
      </c>
      <c r="DE1" s="4">
        <f t="shared" si="1"/>
        <v>108</v>
      </c>
      <c r="DF1" s="4">
        <f t="shared" si="1"/>
        <v>109</v>
      </c>
      <c r="DG1" s="4">
        <f t="shared" si="1"/>
        <v>110</v>
      </c>
      <c r="DH1" s="4">
        <f t="shared" si="1"/>
        <v>111</v>
      </c>
      <c r="DI1" s="4">
        <f t="shared" si="1"/>
        <v>112</v>
      </c>
      <c r="DJ1" s="4">
        <f t="shared" si="1"/>
        <v>113</v>
      </c>
      <c r="DK1" s="4">
        <f t="shared" si="1"/>
        <v>114</v>
      </c>
      <c r="DL1" s="4">
        <f t="shared" si="1"/>
        <v>115</v>
      </c>
      <c r="DM1" s="4">
        <f t="shared" si="1"/>
        <v>116</v>
      </c>
      <c r="DN1" s="4">
        <f t="shared" si="1"/>
        <v>117</v>
      </c>
      <c r="DO1" s="4">
        <f t="shared" si="1"/>
        <v>118</v>
      </c>
      <c r="DP1" s="4">
        <f t="shared" si="1"/>
        <v>119</v>
      </c>
      <c r="DQ1" s="4">
        <f t="shared" si="1"/>
        <v>120</v>
      </c>
      <c r="DR1" s="4">
        <f t="shared" si="1"/>
        <v>121</v>
      </c>
      <c r="DS1" s="4">
        <f t="shared" si="1"/>
        <v>122</v>
      </c>
      <c r="DT1" s="4">
        <f t="shared" si="1"/>
        <v>123</v>
      </c>
      <c r="DU1" s="4">
        <f t="shared" si="1"/>
        <v>124</v>
      </c>
      <c r="DV1" s="4">
        <f t="shared" si="1"/>
        <v>125</v>
      </c>
      <c r="DW1" s="4">
        <f t="shared" si="1"/>
        <v>126</v>
      </c>
      <c r="DX1" s="4">
        <f t="shared" si="1"/>
        <v>127</v>
      </c>
      <c r="DY1" s="4">
        <f t="shared" si="1"/>
        <v>128</v>
      </c>
      <c r="DZ1" s="4">
        <f t="shared" si="1"/>
        <v>129</v>
      </c>
      <c r="EA1" s="4">
        <f t="shared" si="1"/>
        <v>130</v>
      </c>
      <c r="EB1" s="4">
        <f t="shared" si="1"/>
        <v>131</v>
      </c>
      <c r="EC1" s="4">
        <f t="shared" si="1"/>
        <v>132</v>
      </c>
      <c r="ED1" s="4">
        <f t="shared" si="1"/>
        <v>133</v>
      </c>
      <c r="EE1" s="4">
        <f t="shared" si="1"/>
        <v>134</v>
      </c>
      <c r="EF1" s="4">
        <f t="shared" si="1"/>
        <v>135</v>
      </c>
      <c r="EG1" s="4">
        <f t="shared" si="1"/>
        <v>136</v>
      </c>
      <c r="EH1" s="4">
        <f t="shared" si="1"/>
        <v>137</v>
      </c>
    </row>
    <row r="2">
      <c r="A2" s="5">
        <v>44066.0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6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 t="s">
        <v>78</v>
      </c>
      <c r="CC2" s="7" t="s">
        <v>79</v>
      </c>
      <c r="CD2" s="7" t="s">
        <v>80</v>
      </c>
      <c r="CE2" s="7" t="s">
        <v>81</v>
      </c>
      <c r="CF2" s="7" t="s">
        <v>82</v>
      </c>
      <c r="CG2" s="7" t="s">
        <v>83</v>
      </c>
      <c r="CH2" s="7" t="s">
        <v>84</v>
      </c>
      <c r="CI2" s="7" t="s">
        <v>85</v>
      </c>
      <c r="CJ2" s="7" t="s">
        <v>86</v>
      </c>
      <c r="CK2" s="7" t="s">
        <v>87</v>
      </c>
      <c r="CL2" s="7" t="s">
        <v>88</v>
      </c>
      <c r="CM2" s="7" t="s">
        <v>89</v>
      </c>
      <c r="CN2" s="7" t="s">
        <v>90</v>
      </c>
      <c r="CO2" s="7" t="s">
        <v>91</v>
      </c>
      <c r="CP2" s="7" t="s">
        <v>92</v>
      </c>
      <c r="CQ2" s="7" t="s">
        <v>93</v>
      </c>
      <c r="CR2" s="7" t="s">
        <v>94</v>
      </c>
      <c r="CS2" s="7" t="s">
        <v>95</v>
      </c>
      <c r="CT2" s="7" t="s">
        <v>96</v>
      </c>
      <c r="CU2" s="7" t="s">
        <v>97</v>
      </c>
      <c r="CV2" s="7" t="s">
        <v>98</v>
      </c>
      <c r="CW2" s="7" t="s">
        <v>99</v>
      </c>
      <c r="CX2" s="7" t="s">
        <v>100</v>
      </c>
      <c r="CY2" s="7" t="s">
        <v>101</v>
      </c>
      <c r="CZ2" s="7" t="s">
        <v>102</v>
      </c>
      <c r="DA2" s="7" t="s">
        <v>103</v>
      </c>
      <c r="DB2" s="7" t="s">
        <v>98</v>
      </c>
      <c r="DC2" s="7" t="s">
        <v>104</v>
      </c>
      <c r="DD2" s="7" t="s">
        <v>105</v>
      </c>
      <c r="DE2" s="7" t="s">
        <v>106</v>
      </c>
      <c r="DF2" s="7" t="s">
        <v>107</v>
      </c>
      <c r="DG2" s="7" t="s">
        <v>108</v>
      </c>
      <c r="DH2" s="7" t="s">
        <v>109</v>
      </c>
      <c r="DI2" s="7" t="s">
        <v>110</v>
      </c>
      <c r="DJ2" s="7" t="s">
        <v>111</v>
      </c>
      <c r="DK2" s="7" t="s">
        <v>112</v>
      </c>
      <c r="DL2" s="7" t="s">
        <v>113</v>
      </c>
      <c r="DM2" s="7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7" t="s">
        <v>128</v>
      </c>
      <c r="EB2" s="7" t="s">
        <v>129</v>
      </c>
      <c r="EC2" s="7" t="s">
        <v>130</v>
      </c>
      <c r="ED2" s="7" t="s">
        <v>131</v>
      </c>
      <c r="EE2" s="7" t="s">
        <v>132</v>
      </c>
      <c r="EF2" s="7" t="s">
        <v>133</v>
      </c>
      <c r="EG2" s="8" t="s">
        <v>134</v>
      </c>
      <c r="EH2" s="8" t="s">
        <v>135</v>
      </c>
    </row>
    <row r="3">
      <c r="A3" s="9">
        <f t="shared" ref="A3:A1527" si="2">IF(B3="","",row()-2)</f>
        <v>1</v>
      </c>
      <c r="B3" s="10" t="s">
        <v>136</v>
      </c>
      <c r="C3" s="11">
        <v>5620000.0</v>
      </c>
      <c r="D3" s="11">
        <v>5200000.0</v>
      </c>
      <c r="E3" s="11">
        <v>5160000.0</v>
      </c>
      <c r="F3" s="11">
        <v>4910000.0</v>
      </c>
      <c r="G3" s="11">
        <v>4470000.0</v>
      </c>
      <c r="H3" s="11">
        <v>4200000.0</v>
      </c>
      <c r="I3" s="11">
        <v>4040000.0</v>
      </c>
      <c r="J3" s="11">
        <v>2790000.0</v>
      </c>
      <c r="K3" s="11">
        <v>2680000.0</v>
      </c>
      <c r="L3" s="11">
        <v>2410000.0</v>
      </c>
      <c r="M3" s="11">
        <v>2200000.0</v>
      </c>
      <c r="N3" s="11">
        <v>2020000.0</v>
      </c>
      <c r="O3" s="11">
        <v>1860000.0</v>
      </c>
      <c r="P3" s="11">
        <v>1780000.0</v>
      </c>
      <c r="Q3" s="11">
        <v>1570000.0</v>
      </c>
      <c r="R3" s="11">
        <v>1470000.0</v>
      </c>
      <c r="S3" s="11">
        <v>1500000.0</v>
      </c>
      <c r="T3" s="11">
        <v>404000.0</v>
      </c>
      <c r="U3" s="11">
        <v>387000.0</v>
      </c>
      <c r="V3" s="11">
        <v>339000.0</v>
      </c>
      <c r="W3" s="11">
        <v>325000.0</v>
      </c>
      <c r="X3" s="11">
        <v>326000.0</v>
      </c>
      <c r="Y3" s="11">
        <v>925000.0</v>
      </c>
      <c r="Z3" s="11">
        <v>-2000.0</v>
      </c>
      <c r="AA3" s="11">
        <v>845000.0</v>
      </c>
      <c r="AB3" s="11">
        <v>-117000.0</v>
      </c>
      <c r="AC3" s="11">
        <v>498000.0</v>
      </c>
      <c r="AD3" s="11">
        <v>919000.0</v>
      </c>
      <c r="AE3" s="11">
        <v>946000.0</v>
      </c>
      <c r="AF3" s="11">
        <v>803000.0</v>
      </c>
      <c r="AG3" s="11">
        <v>544000.0</v>
      </c>
      <c r="AH3" s="11">
        <v>480000.0</v>
      </c>
      <c r="AI3" s="11">
        <v>1170000.0</v>
      </c>
      <c r="AJ3" s="11">
        <v>1120000.0</v>
      </c>
      <c r="AK3" s="11">
        <v>1050000.0</v>
      </c>
      <c r="AL3" s="11">
        <v>982000.0</v>
      </c>
      <c r="AM3" s="11">
        <v>802000.0</v>
      </c>
      <c r="AN3" s="11">
        <v>1070000.0</v>
      </c>
      <c r="AO3" s="11">
        <v>316000.0</v>
      </c>
      <c r="AP3" s="11">
        <v>684000.0</v>
      </c>
      <c r="AQ3" s="11">
        <v>462000.0</v>
      </c>
      <c r="AR3" s="11">
        <v>438000.0</v>
      </c>
      <c r="AS3" s="11">
        <v>1020000.0</v>
      </c>
      <c r="AT3" s="11">
        <v>1090000.0</v>
      </c>
      <c r="AU3" s="11">
        <v>889000.0</v>
      </c>
      <c r="AV3" s="11">
        <v>793000.0</v>
      </c>
      <c r="AW3" s="11">
        <v>491000.0</v>
      </c>
      <c r="AX3" s="11">
        <v>-156000.0</v>
      </c>
      <c r="AY3" s="11">
        <v>-177000.0</v>
      </c>
      <c r="AZ3" s="11">
        <v>-176000.0</v>
      </c>
      <c r="BA3" s="11">
        <v>-139000.0</v>
      </c>
      <c r="BB3" s="11">
        <v>-98000.0</v>
      </c>
      <c r="BC3" s="11">
        <v>-206000.0</v>
      </c>
      <c r="BD3" s="11">
        <v>-191000.0</v>
      </c>
      <c r="BE3" s="11">
        <v>-170000.0</v>
      </c>
      <c r="BF3" s="11">
        <v>-150000.0</v>
      </c>
      <c r="BG3" s="11">
        <v>-133000.0</v>
      </c>
      <c r="BH3" s="11">
        <v>1380000.0</v>
      </c>
      <c r="BI3" s="11">
        <v>2250000.0</v>
      </c>
      <c r="BJ3" s="11">
        <v>2680000.0</v>
      </c>
      <c r="BK3" s="11">
        <v>2290000.0</v>
      </c>
      <c r="BL3" s="11">
        <v>2250000.0</v>
      </c>
      <c r="BM3" s="11">
        <v>998000.0</v>
      </c>
      <c r="BN3" s="11">
        <v>835000.0</v>
      </c>
      <c r="BO3" s="11">
        <v>801000.0</v>
      </c>
      <c r="BP3" s="11">
        <v>714000.0</v>
      </c>
      <c r="BQ3" s="11">
        <v>710000.0</v>
      </c>
      <c r="BR3" s="11">
        <v>679000.0</v>
      </c>
      <c r="BS3" s="11">
        <v>638000.0</v>
      </c>
      <c r="BT3" s="11">
        <v>575000.0</v>
      </c>
      <c r="BU3" s="11">
        <v>533000.0</v>
      </c>
      <c r="BV3" s="11">
        <v>541000.0</v>
      </c>
      <c r="BW3" s="11">
        <v>3190000.0</v>
      </c>
      <c r="BX3" s="11">
        <v>3850000.0</v>
      </c>
      <c r="BY3" s="11">
        <v>4170000.0</v>
      </c>
      <c r="BZ3" s="11">
        <v>3640000.0</v>
      </c>
      <c r="CA3" s="11">
        <v>3690000.0</v>
      </c>
      <c r="CB3" s="11">
        <v>850000.0</v>
      </c>
      <c r="CC3" s="11">
        <v>822000.0</v>
      </c>
      <c r="CD3" s="11">
        <v>757000.0</v>
      </c>
      <c r="CE3" s="11">
        <v>639000.0</v>
      </c>
      <c r="CF3" s="11">
        <v>604000.0</v>
      </c>
      <c r="CG3" s="11">
        <v>3590000.0</v>
      </c>
      <c r="CH3" s="11">
        <v>2970000.0</v>
      </c>
      <c r="CI3" s="11">
        <v>2610000.0</v>
      </c>
      <c r="CJ3" s="11">
        <v>2520000.0</v>
      </c>
      <c r="CK3" s="11">
        <v>2370000.0</v>
      </c>
      <c r="CL3" s="11">
        <v>9450000.0</v>
      </c>
      <c r="CM3" s="11">
        <v>8540000.0</v>
      </c>
      <c r="CN3" s="11">
        <v>8430000.0</v>
      </c>
      <c r="CO3" s="11">
        <v>7800000.0</v>
      </c>
      <c r="CP3" s="11">
        <v>7480000.0</v>
      </c>
      <c r="CQ3" s="11">
        <v>354000.0</v>
      </c>
      <c r="CR3" s="11">
        <v>340000.0</v>
      </c>
      <c r="CS3" s="11">
        <v>305000.0</v>
      </c>
      <c r="CT3" s="11">
        <v>257000.0</v>
      </c>
      <c r="CU3" s="11">
        <v>279000.0</v>
      </c>
      <c r="CV3" s="11">
        <v>2080000.0</v>
      </c>
      <c r="CW3" s="12"/>
      <c r="CX3" s="13"/>
      <c r="CY3" s="11">
        <v>210000.0</v>
      </c>
      <c r="CZ3" s="13"/>
      <c r="DA3" s="12"/>
      <c r="DB3" s="11">
        <v>2080000.0</v>
      </c>
      <c r="DC3" s="11">
        <v>1170000.0</v>
      </c>
      <c r="DD3" s="11">
        <v>1260000.0</v>
      </c>
      <c r="DE3" s="11">
        <v>945000.0</v>
      </c>
      <c r="DF3" s="11">
        <v>4700000.0</v>
      </c>
      <c r="DG3" s="11">
        <v>3970000.0</v>
      </c>
      <c r="DH3" s="11">
        <v>3590000.0</v>
      </c>
      <c r="DI3" s="11">
        <v>3560000.0</v>
      </c>
      <c r="DJ3" s="11">
        <v>3310000.0</v>
      </c>
      <c r="DK3" s="11">
        <v>108000.0</v>
      </c>
      <c r="DL3" s="11">
        <v>75000.0</v>
      </c>
      <c r="DM3" s="11">
        <v>138000.0</v>
      </c>
      <c r="DN3" s="11">
        <v>135000.0</v>
      </c>
      <c r="DO3" s="11">
        <v>86000.0</v>
      </c>
      <c r="DP3" s="11">
        <v>1790000.0</v>
      </c>
      <c r="DQ3" s="11">
        <v>1800000.0</v>
      </c>
      <c r="DR3" s="11">
        <v>1800000.0</v>
      </c>
      <c r="DS3" s="11">
        <v>1910000.0</v>
      </c>
      <c r="DT3" s="11">
        <v>1660000.0</v>
      </c>
      <c r="DU3" s="13"/>
      <c r="DV3" s="12"/>
      <c r="DW3" s="12"/>
      <c r="DX3" s="12"/>
      <c r="DY3" s="12"/>
      <c r="DZ3" s="11">
        <v>4750000.0</v>
      </c>
      <c r="EA3" s="11">
        <v>4570000.0</v>
      </c>
      <c r="EB3" s="11">
        <v>4830000.0</v>
      </c>
      <c r="EC3" s="11">
        <v>4240000.0</v>
      </c>
      <c r="ED3" s="11">
        <v>4170000.0</v>
      </c>
      <c r="EE3" s="14">
        <v>0.048</v>
      </c>
      <c r="EF3" s="14">
        <v>0.046</v>
      </c>
      <c r="EG3" s="14">
        <v>0.164</v>
      </c>
      <c r="EH3" s="14">
        <v>0.067</v>
      </c>
    </row>
    <row r="4">
      <c r="A4" s="9">
        <f t="shared" si="2"/>
        <v>2</v>
      </c>
      <c r="B4" s="10" t="s">
        <v>137</v>
      </c>
      <c r="C4" s="15">
        <v>9470000.0</v>
      </c>
      <c r="D4" s="15">
        <v>8780000.0</v>
      </c>
      <c r="E4" s="15">
        <v>1.05E7</v>
      </c>
      <c r="F4" s="15">
        <v>1.352E7</v>
      </c>
      <c r="G4" s="15">
        <v>1.178E7</v>
      </c>
      <c r="H4" s="15">
        <v>9330000.0</v>
      </c>
      <c r="I4" s="15">
        <v>1.122E7</v>
      </c>
      <c r="J4" s="15">
        <v>1200000.0</v>
      </c>
      <c r="K4" s="15">
        <v>2690000.0</v>
      </c>
      <c r="L4" s="15">
        <v>2020000.0</v>
      </c>
      <c r="M4" s="15">
        <v>709000.0</v>
      </c>
      <c r="N4" s="15">
        <v>1400000.0</v>
      </c>
      <c r="O4" s="15">
        <v>307000.0</v>
      </c>
      <c r="P4" s="15">
        <v>279000.0</v>
      </c>
      <c r="Q4" s="15">
        <v>312000.0</v>
      </c>
      <c r="R4" s="15">
        <v>324000.0</v>
      </c>
      <c r="S4" s="15">
        <v>410000.0</v>
      </c>
      <c r="T4" s="15">
        <v>27000.0</v>
      </c>
      <c r="U4" s="15">
        <v>31000.0</v>
      </c>
      <c r="V4" s="15">
        <v>32000.0</v>
      </c>
      <c r="W4" s="15">
        <v>33000.0</v>
      </c>
      <c r="X4" s="15">
        <v>69000.0</v>
      </c>
      <c r="Y4" s="15">
        <v>311000.0</v>
      </c>
      <c r="Z4" s="15">
        <v>-502000.0</v>
      </c>
      <c r="AA4" s="15">
        <v>-333000.0</v>
      </c>
      <c r="AB4" s="15">
        <v>-395000.0</v>
      </c>
      <c r="AC4" s="15">
        <v>-1020000.0</v>
      </c>
      <c r="AD4" s="15">
        <v>-438000.0</v>
      </c>
      <c r="AE4" s="15">
        <v>1630000.0</v>
      </c>
      <c r="AF4" s="15">
        <v>1160000.0</v>
      </c>
      <c r="AG4" s="15">
        <v>-162000.0</v>
      </c>
      <c r="AH4" s="15">
        <v>-337000.0</v>
      </c>
      <c r="AI4" s="15">
        <v>1610000.0</v>
      </c>
      <c r="AJ4" s="15">
        <v>3150000.0</v>
      </c>
      <c r="AK4" s="15">
        <v>2460000.0</v>
      </c>
      <c r="AL4" s="15">
        <v>1100000.0</v>
      </c>
      <c r="AM4" s="15">
        <v>1770000.0</v>
      </c>
      <c r="AN4" s="15">
        <v>-1130000.0</v>
      </c>
      <c r="AO4" s="15">
        <v>250000.0</v>
      </c>
      <c r="AP4" s="15">
        <v>217000.0</v>
      </c>
      <c r="AQ4" s="15">
        <v>-400000.0</v>
      </c>
      <c r="AR4" s="15">
        <v>-863000.0</v>
      </c>
      <c r="AS4" s="15">
        <v>686000.0</v>
      </c>
      <c r="AT4" s="15">
        <v>448000.0</v>
      </c>
      <c r="AU4" s="15">
        <v>1220000.0</v>
      </c>
      <c r="AV4" s="15">
        <v>-311000.0</v>
      </c>
      <c r="AW4" s="15">
        <v>875000.0</v>
      </c>
      <c r="AX4" s="15">
        <v>-379000.0</v>
      </c>
      <c r="AY4" s="15">
        <v>-399000.0</v>
      </c>
      <c r="AZ4" s="15">
        <v>-405000.0</v>
      </c>
      <c r="BA4" s="15">
        <v>-404000.0</v>
      </c>
      <c r="BB4" s="15">
        <v>-391000.0</v>
      </c>
      <c r="BC4" s="15">
        <v>0.0</v>
      </c>
      <c r="BD4" s="15">
        <v>0.0</v>
      </c>
      <c r="BE4" s="15">
        <v>0.0</v>
      </c>
      <c r="BF4" s="15">
        <v>0.0</v>
      </c>
      <c r="BG4" s="15">
        <v>0.0</v>
      </c>
      <c r="BH4" s="15">
        <v>942000.0</v>
      </c>
      <c r="BI4" s="15">
        <v>1190000.0</v>
      </c>
      <c r="BJ4" s="15">
        <v>1480000.0</v>
      </c>
      <c r="BK4" s="15">
        <v>853000.0</v>
      </c>
      <c r="BL4" s="15">
        <v>557000.0</v>
      </c>
      <c r="BM4" s="15">
        <v>660000.0</v>
      </c>
      <c r="BN4" s="15">
        <v>1000000.0</v>
      </c>
      <c r="BO4" s="15">
        <v>1040000.0</v>
      </c>
      <c r="BP4" s="15">
        <v>834000.0</v>
      </c>
      <c r="BQ4" s="15">
        <v>504000.0</v>
      </c>
      <c r="BR4" s="15">
        <v>1640000.0</v>
      </c>
      <c r="BS4" s="15">
        <v>1820000.0</v>
      </c>
      <c r="BT4" s="15">
        <v>1450000.0</v>
      </c>
      <c r="BU4" s="15">
        <v>1160000.0</v>
      </c>
      <c r="BV4" s="15">
        <v>1170000.0</v>
      </c>
      <c r="BW4" s="15">
        <v>3530000.0</v>
      </c>
      <c r="BX4" s="15">
        <v>4330000.0</v>
      </c>
      <c r="BY4" s="15">
        <v>4240000.0</v>
      </c>
      <c r="BZ4" s="15">
        <v>3180000.0</v>
      </c>
      <c r="CA4" s="15">
        <v>2570000.0</v>
      </c>
      <c r="CB4" s="15">
        <v>7920000.0</v>
      </c>
      <c r="CC4" s="15">
        <v>8330000.0</v>
      </c>
      <c r="CD4" s="15">
        <v>9140000.0</v>
      </c>
      <c r="CE4" s="15">
        <v>9330000.0</v>
      </c>
      <c r="CF4" s="15">
        <v>9390000.0</v>
      </c>
      <c r="CG4" s="15">
        <v>150000.0</v>
      </c>
      <c r="CH4" s="15">
        <v>151000.0</v>
      </c>
      <c r="CI4" s="15">
        <v>154000.0</v>
      </c>
      <c r="CJ4" s="15">
        <v>155000.0</v>
      </c>
      <c r="CK4" s="15">
        <v>152000.0</v>
      </c>
      <c r="CL4" s="15">
        <v>1.463E7</v>
      </c>
      <c r="CM4" s="15">
        <v>1.613E7</v>
      </c>
      <c r="CN4" s="15">
        <v>1.745E7</v>
      </c>
      <c r="CO4" s="15">
        <v>1.674E7</v>
      </c>
      <c r="CP4" s="15">
        <v>1.641E7</v>
      </c>
      <c r="CQ4" s="15">
        <v>1480000.0</v>
      </c>
      <c r="CR4" s="15">
        <v>1660000.0</v>
      </c>
      <c r="CS4" s="15">
        <v>1900000.0</v>
      </c>
      <c r="CT4" s="15">
        <v>1460000.0</v>
      </c>
      <c r="CU4" s="15">
        <v>1380000.0</v>
      </c>
      <c r="CV4" s="15">
        <v>2560000.0</v>
      </c>
      <c r="CW4" s="15">
        <v>61000.0</v>
      </c>
      <c r="CX4" s="16">
        <v>0.0</v>
      </c>
      <c r="CY4" s="16">
        <v>0.0</v>
      </c>
      <c r="CZ4" s="16">
        <v>0.0</v>
      </c>
      <c r="DA4" s="15">
        <v>0.0</v>
      </c>
      <c r="DB4" s="15">
        <v>2560000.0</v>
      </c>
      <c r="DC4" s="15">
        <v>2920000.0</v>
      </c>
      <c r="DD4" s="15">
        <v>3250000.0</v>
      </c>
      <c r="DE4" s="15">
        <v>2820000.0</v>
      </c>
      <c r="DF4" s="15">
        <v>8750000.0</v>
      </c>
      <c r="DG4" s="15">
        <v>8540000.0</v>
      </c>
      <c r="DH4" s="15">
        <v>1.065E7</v>
      </c>
      <c r="DI4" s="15">
        <v>9040000.0</v>
      </c>
      <c r="DJ4" s="15">
        <v>4900000.0</v>
      </c>
      <c r="DK4" s="15">
        <v>1130000.0</v>
      </c>
      <c r="DL4" s="15">
        <v>1440000.0</v>
      </c>
      <c r="DM4" s="15">
        <v>1540000.0</v>
      </c>
      <c r="DN4" s="15">
        <v>1830000.0</v>
      </c>
      <c r="DO4" s="15">
        <v>2470000.0</v>
      </c>
      <c r="DP4" s="15">
        <v>1900000.0</v>
      </c>
      <c r="DQ4" s="15">
        <v>1800000.0</v>
      </c>
      <c r="DR4" s="15">
        <v>1390000.0</v>
      </c>
      <c r="DS4" s="15">
        <v>1420000.0</v>
      </c>
      <c r="DT4" s="15">
        <v>207000.0</v>
      </c>
      <c r="DU4" s="16">
        <v>0.0</v>
      </c>
      <c r="DV4" s="15">
        <v>0.0</v>
      </c>
      <c r="DW4" s="15">
        <v>0.0</v>
      </c>
      <c r="DX4" s="15">
        <v>0.0</v>
      </c>
      <c r="DY4" s="16">
        <v>0.0</v>
      </c>
      <c r="DZ4" s="15">
        <v>4110000.0</v>
      </c>
      <c r="EA4" s="15">
        <v>5620000.0</v>
      </c>
      <c r="EB4" s="15">
        <v>4520000.0</v>
      </c>
      <c r="EC4" s="15">
        <v>5650000.0</v>
      </c>
      <c r="ED4" s="15">
        <v>9440000.0</v>
      </c>
      <c r="EE4" s="17">
        <v>0.131</v>
      </c>
      <c r="EF4" s="17">
        <v>0.213</v>
      </c>
      <c r="EG4" s="17">
        <v>0.042</v>
      </c>
      <c r="EH4" s="17">
        <v>0.056</v>
      </c>
    </row>
    <row r="5">
      <c r="A5" s="9">
        <f t="shared" si="2"/>
        <v>3</v>
      </c>
      <c r="B5" s="18" t="s">
        <v>138</v>
      </c>
      <c r="C5" s="19">
        <v>2.977E7</v>
      </c>
      <c r="D5" s="19">
        <v>1.746E7</v>
      </c>
      <c r="E5" s="19">
        <v>4.577E7</v>
      </c>
      <c r="F5" s="19">
        <v>4.454E7</v>
      </c>
      <c r="G5" s="19">
        <v>4.262E7</v>
      </c>
      <c r="H5" s="19">
        <v>4.018E7</v>
      </c>
      <c r="I5" s="19">
        <v>4.099E7</v>
      </c>
      <c r="J5" s="19">
        <v>1.142E7</v>
      </c>
      <c r="K5" s="19">
        <v>1.102E7</v>
      </c>
      <c r="L5" s="19">
        <v>1.221E7</v>
      </c>
      <c r="M5" s="19">
        <v>1.266E7</v>
      </c>
      <c r="N5" s="19">
        <v>1.398E7</v>
      </c>
      <c r="O5" s="19">
        <v>2000000.0</v>
      </c>
      <c r="P5" s="19">
        <v>1890000.0</v>
      </c>
      <c r="Q5" s="19">
        <v>1840000.0</v>
      </c>
      <c r="R5" s="19">
        <v>1670000.0</v>
      </c>
      <c r="S5" s="19">
        <v>1730000.0</v>
      </c>
      <c r="T5" s="20"/>
      <c r="U5" s="20"/>
      <c r="V5" s="20"/>
      <c r="W5" s="20"/>
      <c r="X5" s="20"/>
      <c r="Y5" s="19">
        <v>3060000.0</v>
      </c>
      <c r="Z5" s="19">
        <v>2540000.0</v>
      </c>
      <c r="AA5" s="19">
        <v>-756000.0</v>
      </c>
      <c r="AB5" s="19">
        <v>-772000.0</v>
      </c>
      <c r="AC5" s="19">
        <v>6210000.0</v>
      </c>
      <c r="AD5" s="19">
        <v>2260000.0</v>
      </c>
      <c r="AE5" s="19">
        <v>1880000.0</v>
      </c>
      <c r="AF5" s="19">
        <v>3400000.0</v>
      </c>
      <c r="AG5" s="19">
        <v>4300000.0</v>
      </c>
      <c r="AH5" s="19">
        <v>4620000.0</v>
      </c>
      <c r="AI5" s="19">
        <v>6020000.0</v>
      </c>
      <c r="AJ5" s="19">
        <v>5610000.0</v>
      </c>
      <c r="AK5" s="19">
        <v>6980000.0</v>
      </c>
      <c r="AL5" s="19">
        <v>7830000.0</v>
      </c>
      <c r="AM5" s="19">
        <v>8900000.0</v>
      </c>
      <c r="AN5" s="19">
        <v>1690000.0</v>
      </c>
      <c r="AO5" s="19">
        <v>1410000.0</v>
      </c>
      <c r="AP5" s="19">
        <v>1280000.0</v>
      </c>
      <c r="AQ5" s="19">
        <v>2680000.0</v>
      </c>
      <c r="AR5" s="19">
        <v>7610000.0</v>
      </c>
      <c r="AS5" s="19">
        <v>3820000.0</v>
      </c>
      <c r="AT5" s="19">
        <v>3530000.0</v>
      </c>
      <c r="AU5" s="19">
        <v>4740000.0</v>
      </c>
      <c r="AV5" s="19">
        <v>6520000.0</v>
      </c>
      <c r="AW5" s="19">
        <v>6250000.0</v>
      </c>
      <c r="AX5" s="19">
        <v>-4270000.0</v>
      </c>
      <c r="AY5" s="19">
        <v>-3750000.0</v>
      </c>
      <c r="AZ5" s="19">
        <v>-5970000.0</v>
      </c>
      <c r="BA5" s="19">
        <v>-5730000.0</v>
      </c>
      <c r="BB5" s="19">
        <v>-6150000.0</v>
      </c>
      <c r="BC5" s="19">
        <v>-178000.0</v>
      </c>
      <c r="BD5" s="19">
        <v>-186000.0</v>
      </c>
      <c r="BE5" s="19">
        <v>-198000.0</v>
      </c>
      <c r="BF5" s="19">
        <v>-224000.0</v>
      </c>
      <c r="BG5" s="19">
        <v>-278000.0</v>
      </c>
      <c r="BH5" s="19">
        <v>3980000.0</v>
      </c>
      <c r="BI5" s="19">
        <v>4910000.0</v>
      </c>
      <c r="BJ5" s="19">
        <v>5380000.0</v>
      </c>
      <c r="BK5" s="19">
        <v>7000000.0</v>
      </c>
      <c r="BL5" s="19">
        <v>6950000.0</v>
      </c>
      <c r="BM5" s="19">
        <v>1750000.0</v>
      </c>
      <c r="BN5" s="19">
        <v>1710000.0</v>
      </c>
      <c r="BO5" s="19">
        <v>1750000.0</v>
      </c>
      <c r="BP5" s="19">
        <v>1590000.0</v>
      </c>
      <c r="BQ5" s="19">
        <v>1430000.0</v>
      </c>
      <c r="BR5" s="19">
        <v>1850000.0</v>
      </c>
      <c r="BS5" s="19">
        <v>1520000.0</v>
      </c>
      <c r="BT5" s="19">
        <v>1360000.0</v>
      </c>
      <c r="BU5" s="19">
        <v>1090000.0</v>
      </c>
      <c r="BV5" s="19">
        <v>863000.0</v>
      </c>
      <c r="BW5" s="19">
        <v>8210000.0</v>
      </c>
      <c r="BX5" s="19">
        <v>8640000.0</v>
      </c>
      <c r="BY5" s="19">
        <v>9150000.0</v>
      </c>
      <c r="BZ5" s="19">
        <v>1.032E7</v>
      </c>
      <c r="CA5" s="19">
        <v>9990000.0</v>
      </c>
      <c r="CB5" s="19">
        <v>4.373E7</v>
      </c>
      <c r="CC5" s="19">
        <v>4.325E7</v>
      </c>
      <c r="CD5" s="19">
        <v>3.416E7</v>
      </c>
      <c r="CE5" s="19">
        <v>3.116E7</v>
      </c>
      <c r="CF5" s="19">
        <v>2.751E7</v>
      </c>
      <c r="CG5" s="19">
        <v>4090000.0</v>
      </c>
      <c r="CH5" s="19">
        <v>4090000.0</v>
      </c>
      <c r="CI5" s="19">
        <v>4090000.0</v>
      </c>
      <c r="CJ5" s="19">
        <v>4090000.0</v>
      </c>
      <c r="CK5" s="19">
        <v>4090000.0</v>
      </c>
      <c r="CL5" s="19">
        <v>6.0E7</v>
      </c>
      <c r="CM5" s="19">
        <v>6.058E7</v>
      </c>
      <c r="CN5" s="19">
        <v>5.279E7</v>
      </c>
      <c r="CO5" s="19">
        <v>5.127E7</v>
      </c>
      <c r="CP5" s="19">
        <v>4.842E7</v>
      </c>
      <c r="CQ5" s="19">
        <v>2060000.0</v>
      </c>
      <c r="CR5" s="19">
        <v>1770000.0</v>
      </c>
      <c r="CS5" s="19">
        <v>1690000.0</v>
      </c>
      <c r="CT5" s="19">
        <v>1590000.0</v>
      </c>
      <c r="CU5" s="19">
        <v>1560000.0</v>
      </c>
      <c r="CV5" s="19">
        <v>1.831E7</v>
      </c>
      <c r="CW5" s="19">
        <v>1710000.0</v>
      </c>
      <c r="CX5" s="19">
        <v>1650000.0</v>
      </c>
      <c r="CY5" s="20"/>
      <c r="CZ5" s="20"/>
      <c r="DA5" s="20"/>
      <c r="DB5" s="19">
        <v>1.831E7</v>
      </c>
      <c r="DC5" s="19">
        <v>1.81E7</v>
      </c>
      <c r="DD5" s="19">
        <v>1.536E7</v>
      </c>
      <c r="DE5" s="19">
        <v>1.387E7</v>
      </c>
      <c r="DF5" s="19">
        <v>6.011E7</v>
      </c>
      <c r="DG5" s="19">
        <v>6.075E7</v>
      </c>
      <c r="DH5" s="19">
        <v>5.357E7</v>
      </c>
      <c r="DI5" s="19">
        <v>4.749E7</v>
      </c>
      <c r="DJ5" s="19">
        <v>4.278E7</v>
      </c>
      <c r="DK5" s="19">
        <v>204000.0</v>
      </c>
      <c r="DL5" s="20"/>
      <c r="DM5" s="20"/>
      <c r="DN5" s="20"/>
      <c r="DO5" s="20"/>
      <c r="DP5" s="19">
        <v>2.888E7</v>
      </c>
      <c r="DQ5" s="19">
        <v>2.908E7</v>
      </c>
      <c r="DR5" s="19">
        <v>2.251E7</v>
      </c>
      <c r="DS5" s="19">
        <v>2.249E7</v>
      </c>
      <c r="DT5" s="19">
        <v>1.833E7</v>
      </c>
      <c r="DU5" s="20"/>
      <c r="DV5" s="20"/>
      <c r="DW5" s="20"/>
      <c r="DX5" s="20"/>
      <c r="DY5" s="20"/>
      <c r="DZ5" s="19">
        <v>-118000.0</v>
      </c>
      <c r="EA5" s="19">
        <v>-169000.0</v>
      </c>
      <c r="EB5" s="19">
        <v>-780000.0</v>
      </c>
      <c r="EC5" s="19">
        <v>3790000.0</v>
      </c>
      <c r="ED5" s="19">
        <v>5640000.0</v>
      </c>
      <c r="EE5" s="21">
        <v>0.32</v>
      </c>
      <c r="EF5" s="21">
        <v>0.514</v>
      </c>
      <c r="EG5" s="21">
        <v>-0.016</v>
      </c>
      <c r="EH5" s="21">
        <v>-0.031</v>
      </c>
    </row>
    <row r="6">
      <c r="A6" s="9">
        <f t="shared" si="2"/>
        <v>4</v>
      </c>
      <c r="B6" s="10" t="s">
        <v>139</v>
      </c>
      <c r="C6" s="11">
        <v>4450000.0</v>
      </c>
      <c r="D6" s="11">
        <v>4120000.0</v>
      </c>
      <c r="E6" s="11">
        <v>3950000.0</v>
      </c>
      <c r="F6" s="11">
        <v>3830000.0</v>
      </c>
      <c r="G6" s="11">
        <v>3380000.0</v>
      </c>
      <c r="H6" s="11">
        <v>3210000.0</v>
      </c>
      <c r="I6" s="11">
        <v>3180000.0</v>
      </c>
      <c r="J6" s="11">
        <v>1730000.0</v>
      </c>
      <c r="K6" s="11">
        <v>1810000.0</v>
      </c>
      <c r="L6" s="11">
        <v>1590000.0</v>
      </c>
      <c r="M6" s="11">
        <v>1530000.0</v>
      </c>
      <c r="N6" s="11">
        <v>1510000.0</v>
      </c>
      <c r="O6" s="11">
        <v>1170000.0</v>
      </c>
      <c r="P6" s="11">
        <v>1330000.0</v>
      </c>
      <c r="Q6" s="11">
        <v>1180000.0</v>
      </c>
      <c r="R6" s="11">
        <v>1140000.0</v>
      </c>
      <c r="S6" s="11">
        <v>1140000.0</v>
      </c>
      <c r="T6" s="12"/>
      <c r="U6" s="12"/>
      <c r="V6" s="12"/>
      <c r="W6" s="12"/>
      <c r="X6" s="12"/>
      <c r="Y6" s="11">
        <v>100570.0</v>
      </c>
      <c r="Z6" s="11">
        <v>267290.0</v>
      </c>
      <c r="AA6" s="11">
        <v>255660.0</v>
      </c>
      <c r="AB6" s="11">
        <v>236430.0</v>
      </c>
      <c r="AC6" s="11">
        <v>800.0</v>
      </c>
      <c r="AD6" s="11">
        <v>92790.0</v>
      </c>
      <c r="AE6" s="11">
        <v>252200.0</v>
      </c>
      <c r="AF6" s="11">
        <v>239580.0</v>
      </c>
      <c r="AG6" s="11">
        <v>218420.0</v>
      </c>
      <c r="AH6" s="11">
        <v>213120.0</v>
      </c>
      <c r="AI6" s="11">
        <v>418260.0</v>
      </c>
      <c r="AJ6" s="11">
        <v>382750.0</v>
      </c>
      <c r="AK6" s="11">
        <v>354730.0</v>
      </c>
      <c r="AL6" s="11">
        <v>338830.0</v>
      </c>
      <c r="AM6" s="11">
        <v>317470.0</v>
      </c>
      <c r="AN6" s="11">
        <v>31470.0</v>
      </c>
      <c r="AO6" s="11">
        <v>196210.0</v>
      </c>
      <c r="AP6" s="11">
        <v>292540.0</v>
      </c>
      <c r="AQ6" s="11">
        <v>139280.0</v>
      </c>
      <c r="AR6" s="11">
        <v>135710.0</v>
      </c>
      <c r="AS6" s="11">
        <v>441570.0</v>
      </c>
      <c r="AT6" s="11">
        <v>356500.0</v>
      </c>
      <c r="AU6" s="11">
        <v>159140.0</v>
      </c>
      <c r="AV6" s="11">
        <v>465440.0</v>
      </c>
      <c r="AW6" s="11">
        <v>166760.0</v>
      </c>
      <c r="AX6" s="11">
        <v>-92960.0</v>
      </c>
      <c r="AY6" s="11">
        <v>-78850.0</v>
      </c>
      <c r="AZ6" s="11">
        <v>-57970.0</v>
      </c>
      <c r="BA6" s="11">
        <v>-57450.0</v>
      </c>
      <c r="BB6" s="11">
        <v>-60560.0</v>
      </c>
      <c r="BC6" s="11">
        <v>-9440.0</v>
      </c>
      <c r="BD6" s="11">
        <v>-6240.0</v>
      </c>
      <c r="BE6" s="11">
        <v>-7960.0</v>
      </c>
      <c r="BF6" s="11">
        <v>-7420.0</v>
      </c>
      <c r="BG6" s="11">
        <v>-6820.0</v>
      </c>
      <c r="BH6" s="11">
        <v>57760.0</v>
      </c>
      <c r="BI6" s="11">
        <v>15280.0</v>
      </c>
      <c r="BJ6" s="11">
        <v>71420.0</v>
      </c>
      <c r="BK6" s="11">
        <v>329080.0</v>
      </c>
      <c r="BL6" s="11">
        <v>37170.0</v>
      </c>
      <c r="BM6" s="11">
        <v>179410.0</v>
      </c>
      <c r="BN6" s="11">
        <v>174310.0</v>
      </c>
      <c r="BO6" s="11">
        <v>186000.0</v>
      </c>
      <c r="BP6" s="11">
        <v>180580.0</v>
      </c>
      <c r="BQ6" s="11">
        <v>199230.0</v>
      </c>
      <c r="BR6" s="11">
        <v>1430000.0</v>
      </c>
      <c r="BS6" s="11">
        <v>1320000.0</v>
      </c>
      <c r="BT6" s="11">
        <v>1150000.0</v>
      </c>
      <c r="BU6" s="11">
        <v>999380.0</v>
      </c>
      <c r="BV6" s="11">
        <v>1140000.0</v>
      </c>
      <c r="BW6" s="11">
        <v>1670000.0</v>
      </c>
      <c r="BX6" s="11">
        <v>1510000.0</v>
      </c>
      <c r="BY6" s="11">
        <v>1410000.0</v>
      </c>
      <c r="BZ6" s="11">
        <v>1510000.0</v>
      </c>
      <c r="CA6" s="11">
        <v>1380000.0</v>
      </c>
      <c r="CB6" s="11">
        <v>566880.0</v>
      </c>
      <c r="CC6" s="11">
        <v>229490.0</v>
      </c>
      <c r="CD6" s="11">
        <v>207690.0</v>
      </c>
      <c r="CE6" s="11">
        <v>211270.0</v>
      </c>
      <c r="CF6" s="11">
        <v>225840.0</v>
      </c>
      <c r="CG6" s="11">
        <v>736580.0</v>
      </c>
      <c r="CH6" s="11">
        <v>733170.0</v>
      </c>
      <c r="CI6" s="11">
        <v>622950.0</v>
      </c>
      <c r="CJ6" s="11">
        <v>526720.0</v>
      </c>
      <c r="CK6" s="11">
        <v>539480.0</v>
      </c>
      <c r="CL6" s="11">
        <v>3300000.0</v>
      </c>
      <c r="CM6" s="11">
        <v>2830000.0</v>
      </c>
      <c r="CN6" s="11">
        <v>2690000.0</v>
      </c>
      <c r="CO6" s="11">
        <v>2620000.0</v>
      </c>
      <c r="CP6" s="11">
        <v>2700000.0</v>
      </c>
      <c r="CQ6" s="11">
        <v>89960.0</v>
      </c>
      <c r="CR6" s="11">
        <v>88370.0</v>
      </c>
      <c r="CS6" s="11">
        <v>80820.0</v>
      </c>
      <c r="CT6" s="11">
        <v>71940.0</v>
      </c>
      <c r="CU6" s="11">
        <v>98660.0</v>
      </c>
      <c r="CV6" s="11">
        <v>449820.0</v>
      </c>
      <c r="CW6" s="11"/>
      <c r="CX6" s="12"/>
      <c r="CY6" s="13"/>
      <c r="CZ6" s="13"/>
      <c r="DA6" s="12"/>
      <c r="DB6" s="11">
        <v>449820.0</v>
      </c>
      <c r="DC6" s="11">
        <v>376930.0</v>
      </c>
      <c r="DD6" s="11">
        <v>402000.0</v>
      </c>
      <c r="DE6" s="11">
        <v>444280.0</v>
      </c>
      <c r="DF6" s="11">
        <v>1560000.0</v>
      </c>
      <c r="DG6" s="11">
        <v>1070000.0</v>
      </c>
      <c r="DH6" s="11">
        <v>964260.0</v>
      </c>
      <c r="DI6" s="11">
        <v>1130000.0</v>
      </c>
      <c r="DJ6" s="11">
        <v>1330000.0</v>
      </c>
      <c r="DK6" s="12"/>
      <c r="DL6" s="11"/>
      <c r="DM6" s="11"/>
      <c r="DN6" s="11"/>
      <c r="DO6" s="11"/>
      <c r="DP6" s="11">
        <v>708410.0</v>
      </c>
      <c r="DQ6" s="11">
        <v>340970.0</v>
      </c>
      <c r="DR6" s="11">
        <v>271610.0</v>
      </c>
      <c r="DS6" s="11">
        <v>351310.0</v>
      </c>
      <c r="DT6" s="11">
        <v>450510.0</v>
      </c>
      <c r="DU6" s="13"/>
      <c r="DV6" s="12"/>
      <c r="DW6" s="12"/>
      <c r="DX6" s="12"/>
      <c r="DY6" s="12"/>
      <c r="DZ6" s="11">
        <v>1740000.0</v>
      </c>
      <c r="EA6" s="11">
        <v>1760000.0</v>
      </c>
      <c r="EB6" s="11">
        <v>1730000.0</v>
      </c>
      <c r="EC6" s="11">
        <v>1480000.0</v>
      </c>
      <c r="ED6" s="11">
        <v>1370000.0</v>
      </c>
      <c r="EE6" s="14">
        <v>0.019</v>
      </c>
      <c r="EF6" s="14">
        <v>0.085</v>
      </c>
      <c r="EG6" s="14">
        <v>0.513</v>
      </c>
      <c r="EH6" s="14">
        <v>0.142</v>
      </c>
    </row>
    <row r="7">
      <c r="A7" s="9">
        <f t="shared" si="2"/>
        <v>5</v>
      </c>
      <c r="B7" s="10" t="s">
        <v>140</v>
      </c>
      <c r="C7" s="15">
        <v>259990.0</v>
      </c>
      <c r="D7" s="15">
        <v>219910.0</v>
      </c>
      <c r="E7" s="15">
        <v>190870.0</v>
      </c>
      <c r="F7" s="15">
        <v>267470.0</v>
      </c>
      <c r="G7" s="15">
        <v>382330.0</v>
      </c>
      <c r="H7" s="15">
        <v>260710.0</v>
      </c>
      <c r="I7" s="15">
        <v>189900.0</v>
      </c>
      <c r="J7" s="15">
        <v>45700.0</v>
      </c>
      <c r="K7" s="15">
        <v>87270.0</v>
      </c>
      <c r="L7" s="15">
        <v>165780.0</v>
      </c>
      <c r="M7" s="15">
        <v>86490.0</v>
      </c>
      <c r="N7" s="15">
        <v>60030.0</v>
      </c>
      <c r="O7" s="15">
        <v>94450.0</v>
      </c>
      <c r="P7" s="15">
        <v>98040.0</v>
      </c>
      <c r="Q7" s="15">
        <v>78830.0</v>
      </c>
      <c r="R7" s="15">
        <v>63470.0</v>
      </c>
      <c r="S7" s="15">
        <v>46580.0</v>
      </c>
      <c r="T7" s="15">
        <v>43400.0</v>
      </c>
      <c r="U7" s="15">
        <v>49900.0</v>
      </c>
      <c r="V7" s="15">
        <v>35370.0</v>
      </c>
      <c r="W7" s="15">
        <v>31780.0</v>
      </c>
      <c r="X7" s="15">
        <v>20850.0</v>
      </c>
      <c r="Y7" s="15">
        <v>0.0</v>
      </c>
      <c r="Z7" s="15">
        <v>0.0</v>
      </c>
      <c r="AA7" s="15">
        <v>0.0</v>
      </c>
      <c r="AB7" s="15">
        <v>0.0</v>
      </c>
      <c r="AC7" s="15">
        <v>0.0</v>
      </c>
      <c r="AD7" s="15">
        <v>-51390.0</v>
      </c>
      <c r="AE7" s="15">
        <v>-9780.0</v>
      </c>
      <c r="AF7" s="15">
        <v>84530.0</v>
      </c>
      <c r="AG7" s="15">
        <v>21000.0</v>
      </c>
      <c r="AH7" s="15">
        <v>11170.0</v>
      </c>
      <c r="AI7" s="15">
        <v>-24730.0</v>
      </c>
      <c r="AJ7" s="15">
        <v>18930.0</v>
      </c>
      <c r="AK7" s="15">
        <v>107330.0</v>
      </c>
      <c r="AL7" s="15">
        <v>37210.0</v>
      </c>
      <c r="AM7" s="15">
        <v>22870.0</v>
      </c>
      <c r="AN7" s="15">
        <v>-66050.0</v>
      </c>
      <c r="AO7" s="15">
        <v>-2150.0</v>
      </c>
      <c r="AP7" s="15">
        <v>73950.0</v>
      </c>
      <c r="AQ7" s="15">
        <v>31230.0</v>
      </c>
      <c r="AR7" s="15">
        <v>10790.0</v>
      </c>
      <c r="AS7" s="15">
        <v>0.0</v>
      </c>
      <c r="AT7" s="15">
        <v>14030.0</v>
      </c>
      <c r="AU7" s="15">
        <v>84280.0</v>
      </c>
      <c r="AV7" s="15">
        <v>57100.0</v>
      </c>
      <c r="AW7" s="15">
        <v>-15210.0</v>
      </c>
      <c r="AX7" s="15">
        <v>-29430.0</v>
      </c>
      <c r="AY7" s="15">
        <v>-77920.0</v>
      </c>
      <c r="AZ7" s="15">
        <v>-67470.0</v>
      </c>
      <c r="BA7" s="15">
        <v>-49990.0</v>
      </c>
      <c r="BB7" s="15">
        <v>-57560.0</v>
      </c>
      <c r="BC7" s="15">
        <v>0.0</v>
      </c>
      <c r="BD7" s="15">
        <v>0.0</v>
      </c>
      <c r="BE7" s="15">
        <v>0.0</v>
      </c>
      <c r="BF7" s="15">
        <v>0.0</v>
      </c>
      <c r="BG7" s="15">
        <v>0.0</v>
      </c>
      <c r="BH7" s="15">
        <v>67030.0</v>
      </c>
      <c r="BI7" s="15">
        <v>58000.0</v>
      </c>
      <c r="BJ7" s="15">
        <v>83980.0</v>
      </c>
      <c r="BK7" s="15">
        <v>52000.0</v>
      </c>
      <c r="BL7" s="15">
        <v>40680.0</v>
      </c>
      <c r="BM7" s="15">
        <v>34660.0</v>
      </c>
      <c r="BN7" s="15">
        <v>30530.0</v>
      </c>
      <c r="BO7" s="15">
        <v>59850.0</v>
      </c>
      <c r="BP7" s="15">
        <v>49770.0</v>
      </c>
      <c r="BQ7" s="15">
        <v>38780.0</v>
      </c>
      <c r="BR7" s="15">
        <v>85030.0</v>
      </c>
      <c r="BS7" s="15">
        <v>93260.0</v>
      </c>
      <c r="BT7" s="15">
        <v>75770.0</v>
      </c>
      <c r="BU7" s="15">
        <v>51820.0</v>
      </c>
      <c r="BV7" s="15">
        <v>66240.0</v>
      </c>
      <c r="BW7" s="15">
        <v>192800.0</v>
      </c>
      <c r="BX7" s="15">
        <v>194280.0</v>
      </c>
      <c r="BY7" s="15">
        <v>229660.0</v>
      </c>
      <c r="BZ7" s="15">
        <v>157550.0</v>
      </c>
      <c r="CA7" s="15">
        <v>153930.0</v>
      </c>
      <c r="CB7" s="15">
        <v>256330.0</v>
      </c>
      <c r="CC7" s="15">
        <v>234210.0</v>
      </c>
      <c r="CD7" s="15">
        <v>197940.0</v>
      </c>
      <c r="CE7" s="15">
        <v>144100.0</v>
      </c>
      <c r="CF7" s="15">
        <v>109700.0</v>
      </c>
      <c r="CG7" s="15">
        <v>0.0</v>
      </c>
      <c r="CH7" s="15">
        <v>0.0</v>
      </c>
      <c r="CI7" s="15">
        <v>0.0</v>
      </c>
      <c r="CJ7" s="15">
        <v>0.0</v>
      </c>
      <c r="CK7" s="15">
        <v>0.0</v>
      </c>
      <c r="CL7" s="15">
        <v>466830.0</v>
      </c>
      <c r="CM7" s="15">
        <v>466840.0</v>
      </c>
      <c r="CN7" s="15">
        <v>452950.0</v>
      </c>
      <c r="CO7" s="15">
        <v>322320.0</v>
      </c>
      <c r="CP7" s="15">
        <v>273480.0</v>
      </c>
      <c r="CQ7" s="15">
        <v>32830.0</v>
      </c>
      <c r="CR7" s="15">
        <v>29910.0</v>
      </c>
      <c r="CS7" s="15">
        <v>43620.0</v>
      </c>
      <c r="CT7" s="15">
        <v>36380.0</v>
      </c>
      <c r="CU7" s="15">
        <v>28670.0</v>
      </c>
      <c r="CV7" s="15">
        <v>91360.0</v>
      </c>
      <c r="CW7" s="15">
        <v>7280.0</v>
      </c>
      <c r="CX7" s="15">
        <v>4630.0</v>
      </c>
      <c r="CY7" s="16">
        <v>0.0</v>
      </c>
      <c r="CZ7" s="16">
        <v>0.0</v>
      </c>
      <c r="DA7" s="15">
        <v>0.0</v>
      </c>
      <c r="DB7" s="15">
        <v>91360.0</v>
      </c>
      <c r="DC7" s="15">
        <v>77420.0</v>
      </c>
      <c r="DD7" s="15">
        <v>70710.0</v>
      </c>
      <c r="DE7" s="15">
        <v>59970.0</v>
      </c>
      <c r="DF7" s="15">
        <v>193030.0</v>
      </c>
      <c r="DG7" s="15">
        <v>137750.0</v>
      </c>
      <c r="DH7" s="15">
        <v>119670.0</v>
      </c>
      <c r="DI7" s="15">
        <v>94930.0</v>
      </c>
      <c r="DJ7" s="15">
        <v>108080.0</v>
      </c>
      <c r="DK7" s="15">
        <v>0.0</v>
      </c>
      <c r="DL7" s="15">
        <v>0.0</v>
      </c>
      <c r="DM7" s="15">
        <v>0.0</v>
      </c>
      <c r="DN7" s="15">
        <v>0.0</v>
      </c>
      <c r="DO7" s="15">
        <v>0.0</v>
      </c>
      <c r="DP7" s="15">
        <v>101680.0</v>
      </c>
      <c r="DQ7" s="15">
        <v>60330.0</v>
      </c>
      <c r="DR7" s="15">
        <v>48960.0</v>
      </c>
      <c r="DS7" s="15">
        <v>34960.0</v>
      </c>
      <c r="DT7" s="15">
        <v>34000.0</v>
      </c>
      <c r="DU7" s="16">
        <v>0.0</v>
      </c>
      <c r="DV7" s="15">
        <v>0.0</v>
      </c>
      <c r="DW7" s="15">
        <v>0.0</v>
      </c>
      <c r="DX7" s="15">
        <v>0.0</v>
      </c>
      <c r="DY7" s="15">
        <v>0.0</v>
      </c>
      <c r="DZ7" s="15">
        <v>273790.0</v>
      </c>
      <c r="EA7" s="15">
        <v>329090.0</v>
      </c>
      <c r="EB7" s="15">
        <v>333280.0</v>
      </c>
      <c r="EC7" s="15">
        <v>227380.0</v>
      </c>
      <c r="ED7" s="15">
        <v>165400.0</v>
      </c>
      <c r="EE7" s="17">
        <v>0.153</v>
      </c>
      <c r="EF7" s="17">
        <v>0.191</v>
      </c>
      <c r="EG7" s="17">
        <v>-0.158</v>
      </c>
      <c r="EH7" s="17">
        <v>0.183</v>
      </c>
    </row>
    <row r="8">
      <c r="A8" s="9">
        <f t="shared" si="2"/>
        <v>6</v>
      </c>
      <c r="B8" s="10" t="s">
        <v>141</v>
      </c>
      <c r="C8" s="11">
        <v>487700.0</v>
      </c>
      <c r="D8" s="11">
        <v>514550.0</v>
      </c>
      <c r="E8" s="11">
        <v>469330.0</v>
      </c>
      <c r="F8" s="11">
        <v>433950.0</v>
      </c>
      <c r="G8" s="11">
        <v>405230.0</v>
      </c>
      <c r="H8" s="11">
        <v>383980.0</v>
      </c>
      <c r="I8" s="11">
        <v>358630.0</v>
      </c>
      <c r="J8" s="11">
        <v>117900.0</v>
      </c>
      <c r="K8" s="11">
        <v>102580.0</v>
      </c>
      <c r="L8" s="11">
        <v>122680.0</v>
      </c>
      <c r="M8" s="11">
        <v>117280.0</v>
      </c>
      <c r="N8" s="11">
        <v>107750.0</v>
      </c>
      <c r="O8" s="11">
        <v>42510.0</v>
      </c>
      <c r="P8" s="11">
        <v>38440.0</v>
      </c>
      <c r="Q8" s="11">
        <v>37300.0</v>
      </c>
      <c r="R8" s="11">
        <v>34110.0</v>
      </c>
      <c r="S8" s="11">
        <v>36510.0</v>
      </c>
      <c r="T8" s="11">
        <v>14800.0</v>
      </c>
      <c r="U8" s="11">
        <v>13500.0</v>
      </c>
      <c r="V8" s="11">
        <v>13000.0</v>
      </c>
      <c r="W8" s="11">
        <v>12000.0</v>
      </c>
      <c r="X8" s="11">
        <v>7500.0</v>
      </c>
      <c r="Y8" s="11"/>
      <c r="Z8" s="11"/>
      <c r="AA8" s="11"/>
      <c r="AB8" s="11"/>
      <c r="AC8" s="11"/>
      <c r="AD8" s="11">
        <v>67030.0</v>
      </c>
      <c r="AE8" s="11">
        <v>55500.0</v>
      </c>
      <c r="AF8" s="11">
        <v>74490.0</v>
      </c>
      <c r="AG8" s="11">
        <v>79990.0</v>
      </c>
      <c r="AH8" s="11">
        <v>71340.0</v>
      </c>
      <c r="AI8" s="11">
        <v>90110.0</v>
      </c>
      <c r="AJ8" s="11">
        <v>72990.0</v>
      </c>
      <c r="AK8" s="11">
        <v>89160.0</v>
      </c>
      <c r="AL8" s="11">
        <v>92610.0</v>
      </c>
      <c r="AM8" s="11">
        <v>82980.0</v>
      </c>
      <c r="AN8" s="11">
        <v>53710.0</v>
      </c>
      <c r="AO8" s="11">
        <v>42330.0</v>
      </c>
      <c r="AP8" s="11">
        <v>54500.0</v>
      </c>
      <c r="AQ8" s="11">
        <v>53380.0</v>
      </c>
      <c r="AR8" s="11">
        <v>45730.0</v>
      </c>
      <c r="AS8" s="11">
        <v>97930.0</v>
      </c>
      <c r="AT8" s="11">
        <v>54860.0</v>
      </c>
      <c r="AU8" s="11">
        <v>57990.0</v>
      </c>
      <c r="AV8" s="11">
        <v>63920.0</v>
      </c>
      <c r="AW8" s="11">
        <v>52910.0</v>
      </c>
      <c r="AX8" s="11">
        <v>-37170.0</v>
      </c>
      <c r="AY8" s="11">
        <v>-37270.0</v>
      </c>
      <c r="AZ8" s="11">
        <v>-41710.0</v>
      </c>
      <c r="BA8" s="11">
        <v>-26600.0</v>
      </c>
      <c r="BB8" s="11">
        <v>-20970.0</v>
      </c>
      <c r="BC8" s="11">
        <v>-16650.0</v>
      </c>
      <c r="BD8" s="11">
        <v>-16730.0</v>
      </c>
      <c r="BE8" s="11">
        <v>-13660.0</v>
      </c>
      <c r="BF8" s="11">
        <v>-12680.0</v>
      </c>
      <c r="BG8" s="11">
        <v>-11860.0</v>
      </c>
      <c r="BH8" s="11">
        <v>44370.0</v>
      </c>
      <c r="BI8" s="11">
        <v>1990.0</v>
      </c>
      <c r="BJ8" s="11">
        <v>30410.0</v>
      </c>
      <c r="BK8" s="11">
        <v>43750.0</v>
      </c>
      <c r="BL8" s="11">
        <v>30430.0</v>
      </c>
      <c r="BM8" s="11">
        <v>68200.0</v>
      </c>
      <c r="BN8" s="11">
        <v>60010.0</v>
      </c>
      <c r="BO8" s="11">
        <v>52010.0</v>
      </c>
      <c r="BP8" s="11">
        <v>49270.0</v>
      </c>
      <c r="BQ8" s="11">
        <v>54750.0</v>
      </c>
      <c r="BR8" s="11">
        <v>73600.0</v>
      </c>
      <c r="BS8" s="11">
        <v>77610.0</v>
      </c>
      <c r="BT8" s="11">
        <v>70790.0</v>
      </c>
      <c r="BU8" s="11">
        <v>47350.0</v>
      </c>
      <c r="BV8" s="11">
        <v>38500.0</v>
      </c>
      <c r="BW8" s="11">
        <v>187550.0</v>
      </c>
      <c r="BX8" s="11">
        <v>140660.0</v>
      </c>
      <c r="BY8" s="11">
        <v>153730.0</v>
      </c>
      <c r="BZ8" s="11">
        <v>140980.0</v>
      </c>
      <c r="CA8" s="11">
        <v>124210.0</v>
      </c>
      <c r="CB8" s="11">
        <v>179780.0</v>
      </c>
      <c r="CC8" s="11">
        <v>163000.0</v>
      </c>
      <c r="CD8" s="11">
        <v>142380.0</v>
      </c>
      <c r="CE8" s="11">
        <v>114890.0</v>
      </c>
      <c r="CF8" s="11">
        <v>101060.0</v>
      </c>
      <c r="CG8" s="11">
        <v>3230.0</v>
      </c>
      <c r="CH8" s="11">
        <v>3230.0</v>
      </c>
      <c r="CI8" s="11"/>
      <c r="CJ8" s="11"/>
      <c r="CK8" s="11"/>
      <c r="CL8" s="11">
        <v>383940.0</v>
      </c>
      <c r="CM8" s="11">
        <v>318140.0</v>
      </c>
      <c r="CN8" s="11">
        <v>303470.0</v>
      </c>
      <c r="CO8" s="11">
        <v>264980.0</v>
      </c>
      <c r="CP8" s="11">
        <v>232850.0</v>
      </c>
      <c r="CQ8" s="11">
        <v>11760.0</v>
      </c>
      <c r="CR8" s="11">
        <v>10620.0</v>
      </c>
      <c r="CS8" s="11">
        <v>10970.0</v>
      </c>
      <c r="CT8" s="11">
        <v>7100.0</v>
      </c>
      <c r="CU8" s="11">
        <v>6180.0</v>
      </c>
      <c r="CV8" s="11">
        <v>56030.0</v>
      </c>
      <c r="CW8" s="12"/>
      <c r="CX8" s="13"/>
      <c r="CY8" s="11"/>
      <c r="CZ8" s="13"/>
      <c r="DA8" s="12"/>
      <c r="DB8" s="11">
        <v>56030.0</v>
      </c>
      <c r="DC8" s="11">
        <v>47490.0</v>
      </c>
      <c r="DD8" s="11">
        <v>50070.0</v>
      </c>
      <c r="DE8" s="11">
        <v>39040.0</v>
      </c>
      <c r="DF8" s="11">
        <v>93800.0</v>
      </c>
      <c r="DG8" s="11">
        <v>68700.0</v>
      </c>
      <c r="DH8" s="11">
        <v>66250.0</v>
      </c>
      <c r="DI8" s="11">
        <v>59080.0</v>
      </c>
      <c r="DJ8" s="11">
        <v>53940.0</v>
      </c>
      <c r="DK8" s="11"/>
      <c r="DL8" s="11"/>
      <c r="DM8" s="11"/>
      <c r="DN8" s="11"/>
      <c r="DO8" s="11">
        <v>6920.0</v>
      </c>
      <c r="DP8" s="11">
        <v>6320.0</v>
      </c>
      <c r="DQ8" s="11"/>
      <c r="DR8" s="11"/>
      <c r="DS8" s="11"/>
      <c r="DT8" s="11"/>
      <c r="DU8" s="13"/>
      <c r="DV8" s="12"/>
      <c r="DW8" s="12"/>
      <c r="DX8" s="12"/>
      <c r="DY8" s="12"/>
      <c r="DZ8" s="11">
        <v>290140.0</v>
      </c>
      <c r="EA8" s="11">
        <v>249440.0</v>
      </c>
      <c r="EB8" s="11">
        <v>237230.0</v>
      </c>
      <c r="EC8" s="11">
        <v>205900.0</v>
      </c>
      <c r="ED8" s="11">
        <v>178920.0</v>
      </c>
      <c r="EE8" s="14">
        <v>0.069</v>
      </c>
      <c r="EF8" s="14">
        <v>0.052</v>
      </c>
      <c r="EG8" s="14">
        <v>0.171</v>
      </c>
      <c r="EH8" s="14">
        <v>0.041</v>
      </c>
    </row>
    <row r="9">
      <c r="A9" s="9">
        <f t="shared" si="2"/>
        <v>7</v>
      </c>
      <c r="B9" s="10" t="s">
        <v>142</v>
      </c>
      <c r="C9" s="11">
        <v>9890000.0</v>
      </c>
      <c r="D9" s="11">
        <v>9700000.0</v>
      </c>
      <c r="E9" s="11">
        <v>9710000.0</v>
      </c>
      <c r="F9" s="11">
        <v>9580000.0</v>
      </c>
      <c r="G9" s="11">
        <v>9370000.0</v>
      </c>
      <c r="H9" s="11">
        <v>9570000.0</v>
      </c>
      <c r="I9" s="11">
        <v>9740000.0</v>
      </c>
      <c r="J9" s="11">
        <v>4250000.0</v>
      </c>
      <c r="K9" s="11">
        <v>4230000.0</v>
      </c>
      <c r="L9" s="11">
        <v>4090000.0</v>
      </c>
      <c r="M9" s="11">
        <v>4260000.0</v>
      </c>
      <c r="N9" s="11">
        <v>4420000.0</v>
      </c>
      <c r="O9" s="11">
        <v>3580000.0</v>
      </c>
      <c r="P9" s="11">
        <v>3560000.0</v>
      </c>
      <c r="Q9" s="11">
        <v>3490000.0</v>
      </c>
      <c r="R9" s="11">
        <v>3450000.0</v>
      </c>
      <c r="S9" s="11">
        <v>3550000.0</v>
      </c>
      <c r="T9" s="11"/>
      <c r="U9" s="11"/>
      <c r="V9" s="11"/>
      <c r="W9" s="11"/>
      <c r="X9" s="11"/>
      <c r="Y9" s="11">
        <v>677180.0</v>
      </c>
      <c r="Z9" s="11">
        <v>604280.0</v>
      </c>
      <c r="AA9" s="11">
        <v>570210.0</v>
      </c>
      <c r="AB9" s="11">
        <v>787600.0</v>
      </c>
      <c r="AC9" s="11">
        <v>-51280.0</v>
      </c>
      <c r="AD9" s="11">
        <v>637750.0</v>
      </c>
      <c r="AE9" s="11">
        <v>555260.0</v>
      </c>
      <c r="AF9" s="11">
        <v>520260.0</v>
      </c>
      <c r="AG9" s="11">
        <v>738840.0</v>
      </c>
      <c r="AH9" s="11">
        <v>752890.0</v>
      </c>
      <c r="AI9" s="11">
        <v>917850.0</v>
      </c>
      <c r="AJ9" s="11">
        <v>901860.0</v>
      </c>
      <c r="AK9" s="11">
        <v>848550.0</v>
      </c>
      <c r="AL9" s="11">
        <v>1070000.0</v>
      </c>
      <c r="AM9" s="11">
        <v>1150000.0</v>
      </c>
      <c r="AN9" s="11">
        <v>486900.0</v>
      </c>
      <c r="AO9" s="11">
        <v>423850.0</v>
      </c>
      <c r="AP9" s="11">
        <v>475510.0</v>
      </c>
      <c r="AQ9" s="11">
        <v>457680.0</v>
      </c>
      <c r="AR9" s="11">
        <v>471750.0</v>
      </c>
      <c r="AS9" s="11">
        <v>866910.0</v>
      </c>
      <c r="AT9" s="11">
        <v>811030.0</v>
      </c>
      <c r="AU9" s="11">
        <v>600810.0</v>
      </c>
      <c r="AV9" s="11">
        <v>500870.0</v>
      </c>
      <c r="AW9" s="11">
        <v>689640.0</v>
      </c>
      <c r="AX9" s="11">
        <v>-471650.0</v>
      </c>
      <c r="AY9" s="11">
        <v>-193720.0</v>
      </c>
      <c r="AZ9" s="11">
        <v>-189760.0</v>
      </c>
      <c r="BA9" s="11">
        <v>-259560.0</v>
      </c>
      <c r="BB9" s="11">
        <v>-234750.0</v>
      </c>
      <c r="BC9" s="11">
        <v>-17190.0</v>
      </c>
      <c r="BD9" s="11">
        <v>-17820.0</v>
      </c>
      <c r="BE9" s="11">
        <v>-17850.0</v>
      </c>
      <c r="BF9" s="11">
        <v>-17740.0</v>
      </c>
      <c r="BG9" s="11">
        <v>-17650.0</v>
      </c>
      <c r="BH9" s="11">
        <v>418670.0</v>
      </c>
      <c r="BI9" s="11">
        <v>896530.0</v>
      </c>
      <c r="BJ9" s="11">
        <v>546940.0</v>
      </c>
      <c r="BK9" s="11">
        <v>135180.0</v>
      </c>
      <c r="BL9" s="11">
        <v>90780.0</v>
      </c>
      <c r="BM9" s="11">
        <v>689470.0</v>
      </c>
      <c r="BN9" s="11">
        <v>624970.0</v>
      </c>
      <c r="BO9" s="11">
        <v>606360.0</v>
      </c>
      <c r="BP9" s="11">
        <v>641250.0</v>
      </c>
      <c r="BQ9" s="11">
        <v>597790.0</v>
      </c>
      <c r="BR9" s="11">
        <v>4430000.0</v>
      </c>
      <c r="BS9" s="11">
        <v>4360000.0</v>
      </c>
      <c r="BT9" s="11">
        <v>4170000.0</v>
      </c>
      <c r="BU9" s="11">
        <v>4330000.0</v>
      </c>
      <c r="BV9" s="11">
        <v>4170000.0</v>
      </c>
      <c r="BW9" s="11">
        <v>5700000.0</v>
      </c>
      <c r="BX9" s="11">
        <v>6080000.0</v>
      </c>
      <c r="BY9" s="11">
        <v>5430000.0</v>
      </c>
      <c r="BZ9" s="11">
        <v>5170000.0</v>
      </c>
      <c r="CA9" s="11">
        <v>4940000.0</v>
      </c>
      <c r="CB9" s="11">
        <v>3800000.0</v>
      </c>
      <c r="CC9" s="11">
        <v>1370000.0</v>
      </c>
      <c r="CD9" s="11">
        <v>1390000.0</v>
      </c>
      <c r="CE9" s="11">
        <v>1450000.0</v>
      </c>
      <c r="CF9" s="11">
        <v>1430000.0</v>
      </c>
      <c r="CG9" s="11">
        <v>992240.0</v>
      </c>
      <c r="CH9" s="11">
        <v>990240.0</v>
      </c>
      <c r="CI9" s="11">
        <v>994290.0</v>
      </c>
      <c r="CJ9" s="11">
        <v>990880.0</v>
      </c>
      <c r="CK9" s="11">
        <v>989480.0</v>
      </c>
      <c r="CL9" s="11">
        <v>1.125E7</v>
      </c>
      <c r="CM9" s="11">
        <v>9040000.0</v>
      </c>
      <c r="CN9" s="11">
        <v>8480000.0</v>
      </c>
      <c r="CO9" s="11">
        <v>8320000.0</v>
      </c>
      <c r="CP9" s="11">
        <v>8130000.0</v>
      </c>
      <c r="CQ9" s="11">
        <v>3420000.0</v>
      </c>
      <c r="CR9" s="11">
        <v>3170000.0</v>
      </c>
      <c r="CS9" s="11">
        <v>2890000.0</v>
      </c>
      <c r="CT9" s="11">
        <v>3090000.0</v>
      </c>
      <c r="CU9" s="11">
        <v>3200000.0</v>
      </c>
      <c r="CV9" s="11">
        <v>4480000.0</v>
      </c>
      <c r="CW9" s="11">
        <v>477980.0</v>
      </c>
      <c r="CX9" s="12"/>
      <c r="CY9" s="12"/>
      <c r="CZ9" s="13"/>
      <c r="DA9" s="12"/>
      <c r="DB9" s="11">
        <v>4480000.0</v>
      </c>
      <c r="DC9" s="11">
        <v>3890000.0</v>
      </c>
      <c r="DD9" s="11">
        <v>3480000.0</v>
      </c>
      <c r="DE9" s="11">
        <v>3680000.0</v>
      </c>
      <c r="DF9" s="11">
        <v>7700000.0</v>
      </c>
      <c r="DG9" s="11">
        <v>5490000.0</v>
      </c>
      <c r="DH9" s="11">
        <v>5070000.0</v>
      </c>
      <c r="DI9" s="11">
        <v>5400000.0</v>
      </c>
      <c r="DJ9" s="11">
        <v>5670000.0</v>
      </c>
      <c r="DK9" s="12"/>
      <c r="DL9" s="12"/>
      <c r="DM9" s="12"/>
      <c r="DN9" s="12"/>
      <c r="DO9" s="12"/>
      <c r="DP9" s="11">
        <v>2760000.0</v>
      </c>
      <c r="DQ9" s="11">
        <v>1050000.0</v>
      </c>
      <c r="DR9" s="11">
        <v>1040000.0</v>
      </c>
      <c r="DS9" s="11">
        <v>1040000.0</v>
      </c>
      <c r="DT9" s="11">
        <v>1210000.0</v>
      </c>
      <c r="DU9" s="13"/>
      <c r="DV9" s="12"/>
      <c r="DW9" s="12"/>
      <c r="DX9" s="12"/>
      <c r="DY9" s="12"/>
      <c r="DZ9" s="11">
        <v>3550000.0</v>
      </c>
      <c r="EA9" s="11">
        <v>3550000.0</v>
      </c>
      <c r="EB9" s="11">
        <v>3420000.0</v>
      </c>
      <c r="EC9" s="11">
        <v>2920000.0</v>
      </c>
      <c r="ED9" s="11">
        <v>2460000.0</v>
      </c>
      <c r="EE9" s="14">
        <v>0.058</v>
      </c>
      <c r="EF9" s="14">
        <v>0.066</v>
      </c>
      <c r="EG9" s="14">
        <v>-0.474</v>
      </c>
      <c r="EH9" s="14">
        <v>-0.083</v>
      </c>
    </row>
    <row r="10">
      <c r="A10" s="9">
        <f t="shared" si="2"/>
        <v>8</v>
      </c>
      <c r="B10" s="10" t="s">
        <v>143</v>
      </c>
      <c r="C10" s="11">
        <v>3120000.0</v>
      </c>
      <c r="D10" s="11">
        <v>3020000.0</v>
      </c>
      <c r="E10" s="11">
        <v>2740000.0</v>
      </c>
      <c r="F10" s="11">
        <v>2680000.0</v>
      </c>
      <c r="G10" s="11">
        <v>2160000.0</v>
      </c>
      <c r="H10" s="11">
        <v>1840000.0</v>
      </c>
      <c r="I10" s="11">
        <v>1820000.0</v>
      </c>
      <c r="J10" s="11">
        <v>402400.0</v>
      </c>
      <c r="K10" s="11">
        <v>490580.0</v>
      </c>
      <c r="L10" s="11">
        <v>415200.0</v>
      </c>
      <c r="M10" s="11">
        <v>343240.0</v>
      </c>
      <c r="N10" s="11">
        <v>376500.0</v>
      </c>
      <c r="O10" s="11">
        <v>215560.0</v>
      </c>
      <c r="P10" s="11">
        <v>195570.0</v>
      </c>
      <c r="Q10" s="11">
        <v>168840.0</v>
      </c>
      <c r="R10" s="11">
        <v>143240.0</v>
      </c>
      <c r="S10" s="11">
        <v>234070.0</v>
      </c>
      <c r="T10" s="12"/>
      <c r="U10" s="12"/>
      <c r="V10" s="12"/>
      <c r="W10" s="12"/>
      <c r="X10" s="12"/>
      <c r="Y10" s="11">
        <v>-381360.0</v>
      </c>
      <c r="Z10" s="11">
        <v>406660.0</v>
      </c>
      <c r="AA10" s="11">
        <v>229240.0</v>
      </c>
      <c r="AB10" s="11">
        <v>165280.0</v>
      </c>
      <c r="AC10" s="11">
        <v>55320.0</v>
      </c>
      <c r="AD10" s="11">
        <v>-472760.0</v>
      </c>
      <c r="AE10" s="11">
        <v>309370.0</v>
      </c>
      <c r="AF10" s="11">
        <v>143370.0</v>
      </c>
      <c r="AG10" s="11">
        <v>89420.0</v>
      </c>
      <c r="AH10" s="11">
        <v>-17220.0</v>
      </c>
      <c r="AI10" s="11">
        <v>437970.0</v>
      </c>
      <c r="AJ10" s="11">
        <v>512370.0</v>
      </c>
      <c r="AK10" s="11">
        <v>413270.0</v>
      </c>
      <c r="AL10" s="11">
        <v>349390.0</v>
      </c>
      <c r="AM10" s="11">
        <v>271170.0</v>
      </c>
      <c r="AN10" s="11">
        <v>-293110.0</v>
      </c>
      <c r="AO10" s="11">
        <v>270650.0</v>
      </c>
      <c r="AP10" s="11">
        <v>224340.0</v>
      </c>
      <c r="AQ10" s="11">
        <v>42630.0</v>
      </c>
      <c r="AR10" s="11">
        <v>7290.0</v>
      </c>
      <c r="AS10" s="11">
        <v>300340.0</v>
      </c>
      <c r="AT10" s="11">
        <v>425580.0</v>
      </c>
      <c r="AU10" s="11">
        <v>331720.0</v>
      </c>
      <c r="AV10" s="11">
        <v>232180.0</v>
      </c>
      <c r="AW10" s="11">
        <v>372890.0</v>
      </c>
      <c r="AX10" s="11">
        <v>-347790.0</v>
      </c>
      <c r="AY10" s="11">
        <v>-713820.0</v>
      </c>
      <c r="AZ10" s="11">
        <v>-546020.0</v>
      </c>
      <c r="BA10" s="11">
        <v>-363710.0</v>
      </c>
      <c r="BB10" s="11">
        <v>-272090.0</v>
      </c>
      <c r="BC10" s="12"/>
      <c r="BD10" s="12"/>
      <c r="BE10" s="12"/>
      <c r="BF10" s="12"/>
      <c r="BG10" s="12"/>
      <c r="BH10" s="11">
        <v>114310.0</v>
      </c>
      <c r="BI10" s="11">
        <v>248370.0</v>
      </c>
      <c r="BJ10" s="11">
        <v>305470.0</v>
      </c>
      <c r="BK10" s="11">
        <v>142560.0</v>
      </c>
      <c r="BL10" s="11">
        <v>444030.0</v>
      </c>
      <c r="BM10" s="11">
        <v>290120.0</v>
      </c>
      <c r="BN10" s="11">
        <v>269320.0</v>
      </c>
      <c r="BO10" s="11">
        <v>194480.0</v>
      </c>
      <c r="BP10" s="11">
        <v>166490.0</v>
      </c>
      <c r="BQ10" s="11">
        <v>164310.0</v>
      </c>
      <c r="BR10" s="11"/>
      <c r="BS10" s="11"/>
      <c r="BT10" s="11"/>
      <c r="BU10" s="11"/>
      <c r="BV10" s="11"/>
      <c r="BW10" s="11">
        <v>632530.0</v>
      </c>
      <c r="BX10" s="11">
        <v>629830.0</v>
      </c>
      <c r="BY10" s="11">
        <v>587590.0</v>
      </c>
      <c r="BZ10" s="11">
        <v>358070.0</v>
      </c>
      <c r="CA10" s="11">
        <v>651940.0</v>
      </c>
      <c r="CB10" s="11">
        <v>4280000.0</v>
      </c>
      <c r="CC10" s="11">
        <v>4460000.0</v>
      </c>
      <c r="CD10" s="11">
        <v>4000000.0</v>
      </c>
      <c r="CE10" s="11">
        <v>3540000.0</v>
      </c>
      <c r="CF10" s="11">
        <v>3340000.0</v>
      </c>
      <c r="CG10" s="11">
        <v>40360.0</v>
      </c>
      <c r="CH10" s="11">
        <v>40360.0</v>
      </c>
      <c r="CI10" s="11"/>
      <c r="CJ10" s="11"/>
      <c r="CK10" s="11"/>
      <c r="CL10" s="11">
        <v>5390000.0</v>
      </c>
      <c r="CM10" s="11">
        <v>5530000.0</v>
      </c>
      <c r="CN10" s="11">
        <v>4960000.0</v>
      </c>
      <c r="CO10" s="11">
        <v>4250000.0</v>
      </c>
      <c r="CP10" s="11">
        <v>4160000.0</v>
      </c>
      <c r="CQ10" s="11">
        <v>79680.0</v>
      </c>
      <c r="CR10" s="11">
        <v>87230.0</v>
      </c>
      <c r="CS10" s="11">
        <v>65740.0</v>
      </c>
      <c r="CT10" s="11">
        <v>59540.0</v>
      </c>
      <c r="CU10" s="11">
        <v>93280.0</v>
      </c>
      <c r="CV10" s="11">
        <v>1100000.0</v>
      </c>
      <c r="CW10" s="11">
        <v>141970.0</v>
      </c>
      <c r="CX10" s="12"/>
      <c r="CY10" s="13"/>
      <c r="CZ10" s="12"/>
      <c r="DA10" s="12"/>
      <c r="DB10" s="11">
        <v>1100000.0</v>
      </c>
      <c r="DC10" s="11">
        <v>817730.0</v>
      </c>
      <c r="DD10" s="11">
        <v>738600.0</v>
      </c>
      <c r="DE10" s="11">
        <v>565180.0</v>
      </c>
      <c r="DF10" s="11">
        <v>3590000.0</v>
      </c>
      <c r="DG10" s="11">
        <v>3470000.0</v>
      </c>
      <c r="DH10" s="11">
        <v>3170000.0</v>
      </c>
      <c r="DI10" s="11">
        <v>2730000.0</v>
      </c>
      <c r="DJ10" s="11">
        <v>2710000.0</v>
      </c>
      <c r="DK10" s="12"/>
      <c r="DL10" s="11">
        <v>635.0</v>
      </c>
      <c r="DM10" s="11">
        <v>20470.0</v>
      </c>
      <c r="DN10" s="11">
        <v>32950.0</v>
      </c>
      <c r="DO10" s="11">
        <v>37600.0</v>
      </c>
      <c r="DP10" s="11">
        <v>2380000.0</v>
      </c>
      <c r="DQ10" s="11">
        <v>2210000.0</v>
      </c>
      <c r="DR10" s="11">
        <v>2010000.0</v>
      </c>
      <c r="DS10" s="11">
        <v>1670000.0</v>
      </c>
      <c r="DT10" s="11">
        <v>1740000.0</v>
      </c>
      <c r="DU10" s="13"/>
      <c r="DV10" s="12"/>
      <c r="DW10" s="12"/>
      <c r="DX10" s="12"/>
      <c r="DY10" s="12"/>
      <c r="DZ10" s="11">
        <v>1790000.0</v>
      </c>
      <c r="EA10" s="11">
        <v>2070000.0</v>
      </c>
      <c r="EB10" s="11">
        <v>1790000.0</v>
      </c>
      <c r="EC10" s="11">
        <v>1520000.0</v>
      </c>
      <c r="ED10" s="11">
        <v>1450000.0</v>
      </c>
      <c r="EE10" s="14">
        <v>0.076</v>
      </c>
      <c r="EF10" s="14">
        <v>0.163</v>
      </c>
      <c r="EG10" s="14">
        <v>1.211</v>
      </c>
      <c r="EH10" s="14">
        <v>5.711</v>
      </c>
    </row>
    <row r="11">
      <c r="A11" s="9">
        <f t="shared" si="2"/>
        <v>9</v>
      </c>
      <c r="B11" s="10" t="s">
        <v>144</v>
      </c>
      <c r="C11" s="11">
        <v>2.694E7</v>
      </c>
      <c r="D11" s="11">
        <v>2.537E7</v>
      </c>
      <c r="E11" s="11">
        <v>2.779E7</v>
      </c>
      <c r="F11" s="11">
        <v>2.713E7</v>
      </c>
      <c r="G11" s="11">
        <v>2.47E7</v>
      </c>
      <c r="H11" s="11">
        <v>3.354E7</v>
      </c>
      <c r="I11" s="11">
        <v>3.428E7</v>
      </c>
      <c r="J11" s="11">
        <v>8940000.0</v>
      </c>
      <c r="K11" s="11">
        <v>8410000.0</v>
      </c>
      <c r="L11" s="11">
        <v>7780000.0</v>
      </c>
      <c r="M11" s="11">
        <v>1.001E7</v>
      </c>
      <c r="N11" s="11">
        <v>1.027E7</v>
      </c>
      <c r="O11" s="11">
        <v>6420000.0</v>
      </c>
      <c r="P11" s="11">
        <v>6260000.0</v>
      </c>
      <c r="Q11" s="11">
        <v>5660000.0</v>
      </c>
      <c r="R11" s="11"/>
      <c r="S11" s="11">
        <v>6500000.0</v>
      </c>
      <c r="T11" s="11">
        <v>1190000.0</v>
      </c>
      <c r="U11" s="11">
        <v>1120000.0</v>
      </c>
      <c r="V11" s="11">
        <v>997060.0</v>
      </c>
      <c r="W11" s="11">
        <v>1290000.0</v>
      </c>
      <c r="X11" s="11">
        <v>1320000.0</v>
      </c>
      <c r="Y11" s="11">
        <v>1510000.0</v>
      </c>
      <c r="Z11" s="11">
        <v>2020000.0</v>
      </c>
      <c r="AA11" s="11">
        <v>-142720.0</v>
      </c>
      <c r="AB11" s="11"/>
      <c r="AC11" s="11">
        <v>2970000.0</v>
      </c>
      <c r="AD11" s="11">
        <v>1850000.0</v>
      </c>
      <c r="AE11" s="11">
        <v>2070000.0</v>
      </c>
      <c r="AF11" s="11">
        <v>2070000.0</v>
      </c>
      <c r="AG11" s="11">
        <v>2760000.0</v>
      </c>
      <c r="AH11" s="11">
        <v>2730000.0</v>
      </c>
      <c r="AI11" s="11">
        <v>3480000.0</v>
      </c>
      <c r="AJ11" s="11">
        <v>3040000.0</v>
      </c>
      <c r="AK11" s="11">
        <v>2940000.0</v>
      </c>
      <c r="AL11" s="11"/>
      <c r="AM11" s="11">
        <v>4880000.0</v>
      </c>
      <c r="AN11" s="11">
        <v>1040000.0</v>
      </c>
      <c r="AO11" s="11">
        <v>1480000.0</v>
      </c>
      <c r="AP11" s="11">
        <v>1420000.0</v>
      </c>
      <c r="AQ11" s="11"/>
      <c r="AR11" s="11">
        <v>1860000.0</v>
      </c>
      <c r="AS11" s="11">
        <v>2310000.0</v>
      </c>
      <c r="AT11" s="11">
        <v>2860000.0</v>
      </c>
      <c r="AU11" s="11">
        <v>3740000.0</v>
      </c>
      <c r="AV11" s="11"/>
      <c r="AW11" s="11">
        <v>3680000.0</v>
      </c>
      <c r="AX11" s="11">
        <v>-757260.0</v>
      </c>
      <c r="AY11" s="11">
        <v>-755530.0</v>
      </c>
      <c r="AZ11" s="11">
        <v>-740170.0</v>
      </c>
      <c r="BA11" s="11"/>
      <c r="BB11" s="11">
        <v>-843480.0</v>
      </c>
      <c r="BC11" s="11">
        <v>-1660000.0</v>
      </c>
      <c r="BD11" s="11">
        <v>-1680000.0</v>
      </c>
      <c r="BE11" s="11">
        <v>-1610000.0</v>
      </c>
      <c r="BF11" s="11"/>
      <c r="BG11" s="11">
        <v>-1310000.0</v>
      </c>
      <c r="BH11" s="11">
        <v>3980000.0</v>
      </c>
      <c r="BI11" s="11">
        <v>4100000.0</v>
      </c>
      <c r="BJ11" s="11">
        <v>5470000.0</v>
      </c>
      <c r="BK11" s="11">
        <v>5690000.0</v>
      </c>
      <c r="BL11" s="11">
        <v>6200000.0</v>
      </c>
      <c r="BM11" s="11">
        <v>7220000.0</v>
      </c>
      <c r="BN11" s="11">
        <v>7360000.0</v>
      </c>
      <c r="BO11" s="11">
        <v>6820000.0</v>
      </c>
      <c r="BP11" s="11">
        <v>9850000.0</v>
      </c>
      <c r="BQ11" s="11">
        <v>1.007E7</v>
      </c>
      <c r="BR11" s="11">
        <v>4050000.0</v>
      </c>
      <c r="BS11" s="11">
        <v>4220000.0</v>
      </c>
      <c r="BT11" s="11">
        <v>3640000.0</v>
      </c>
      <c r="BU11" s="11">
        <v>4610000.0</v>
      </c>
      <c r="BV11" s="11">
        <v>5000000.0</v>
      </c>
      <c r="BW11" s="11">
        <v>2.562E7</v>
      </c>
      <c r="BX11" s="11">
        <v>2.155E7</v>
      </c>
      <c r="BY11" s="11">
        <v>2.157E7</v>
      </c>
      <c r="BZ11" s="11">
        <v>2.159E7</v>
      </c>
      <c r="CA11" s="11">
        <v>2.302E7</v>
      </c>
      <c r="CB11" s="11">
        <v>4810000.0</v>
      </c>
      <c r="CC11" s="11">
        <v>4070000.0</v>
      </c>
      <c r="CD11" s="11">
        <v>3710000.0</v>
      </c>
      <c r="CE11" s="11">
        <v>4820000.0</v>
      </c>
      <c r="CF11" s="11">
        <v>5280000.0</v>
      </c>
      <c r="CG11" s="11">
        <v>1.048E7</v>
      </c>
      <c r="CH11" s="11">
        <v>1.061E7</v>
      </c>
      <c r="CI11" s="11">
        <v>9290000.0</v>
      </c>
      <c r="CJ11" s="11">
        <v>9660000.0</v>
      </c>
      <c r="CK11" s="11">
        <v>9680000.0</v>
      </c>
      <c r="CL11" s="11">
        <v>4.465E7</v>
      </c>
      <c r="CM11" s="11">
        <v>4.381E7</v>
      </c>
      <c r="CN11" s="11">
        <v>4.235E7</v>
      </c>
      <c r="CO11" s="11">
        <v>4.004E7</v>
      </c>
      <c r="CP11" s="11">
        <v>4.164E7</v>
      </c>
      <c r="CQ11" s="11">
        <v>4220000.0</v>
      </c>
      <c r="CR11" s="11">
        <v>4360000.0</v>
      </c>
      <c r="CS11" s="11">
        <v>3640000.0</v>
      </c>
      <c r="CT11" s="11">
        <v>4520000.0</v>
      </c>
      <c r="CU11" s="11">
        <v>4350000.0</v>
      </c>
      <c r="CV11" s="11">
        <v>1.962E7</v>
      </c>
      <c r="CW11" s="11">
        <v>1110000.0</v>
      </c>
      <c r="CX11" s="11">
        <v>553030.0</v>
      </c>
      <c r="CY11" s="11">
        <v>707490.0</v>
      </c>
      <c r="CZ11" s="11">
        <v>137210.0</v>
      </c>
      <c r="DA11" s="11">
        <v>278280.0</v>
      </c>
      <c r="DB11" s="11">
        <v>1.962E7</v>
      </c>
      <c r="DC11" s="11">
        <v>1.819E7</v>
      </c>
      <c r="DD11" s="11">
        <v>1.605E7</v>
      </c>
      <c r="DE11" s="11">
        <v>1.559E7</v>
      </c>
      <c r="DF11" s="11">
        <v>3.111E7</v>
      </c>
      <c r="DG11" s="11">
        <v>2.948E7</v>
      </c>
      <c r="DH11" s="11">
        <v>2.739E7</v>
      </c>
      <c r="DI11" s="11"/>
      <c r="DJ11" s="11">
        <v>2.663E7</v>
      </c>
      <c r="DK11" s="11">
        <v>132660.0</v>
      </c>
      <c r="DL11" s="11">
        <v>85760.0</v>
      </c>
      <c r="DM11" s="11">
        <v>70160.0</v>
      </c>
      <c r="DN11" s="11"/>
      <c r="DO11" s="11">
        <v>697700.0</v>
      </c>
      <c r="DP11" s="11">
        <v>7250000.0</v>
      </c>
      <c r="DQ11" s="11">
        <v>6490000.0</v>
      </c>
      <c r="DR11" s="11">
        <v>6510000.0</v>
      </c>
      <c r="DS11" s="11">
        <v>5890000.0</v>
      </c>
      <c r="DT11" s="11">
        <v>5990000.0</v>
      </c>
      <c r="DU11" s="13"/>
      <c r="DV11" s="12"/>
      <c r="DW11" s="12"/>
      <c r="DX11" s="12"/>
      <c r="DY11" s="12"/>
      <c r="DZ11" s="11">
        <v>1.31E7</v>
      </c>
      <c r="EA11" s="11">
        <v>1.375E7</v>
      </c>
      <c r="EB11" s="11">
        <v>1.444E7</v>
      </c>
      <c r="EC11" s="11">
        <v>1.361E7</v>
      </c>
      <c r="ED11" s="11">
        <v>1.45E7</v>
      </c>
      <c r="EE11" s="14">
        <v>0.05</v>
      </c>
      <c r="EF11" s="14">
        <v>0.11</v>
      </c>
      <c r="EG11" s="14">
        <v>1.3</v>
      </c>
      <c r="EH11" s="14">
        <v>0.462</v>
      </c>
    </row>
    <row r="12">
      <c r="A12" s="9">
        <f t="shared" si="2"/>
        <v>10</v>
      </c>
      <c r="B12" s="10" t="s">
        <v>145</v>
      </c>
      <c r="C12" s="11">
        <v>5.34E7</v>
      </c>
      <c r="D12" s="11">
        <v>4.547E7</v>
      </c>
      <c r="E12" s="11">
        <v>3.327E7</v>
      </c>
      <c r="F12" s="11">
        <v>3.275E7</v>
      </c>
      <c r="G12" s="11">
        <v>2.822E7</v>
      </c>
      <c r="H12" s="11">
        <v>2.564E7</v>
      </c>
      <c r="I12" s="11">
        <v>2.286E7</v>
      </c>
      <c r="J12" s="11">
        <v>2.566E7</v>
      </c>
      <c r="K12" s="11">
        <v>2.52E7</v>
      </c>
      <c r="L12" s="11">
        <v>2.141E7</v>
      </c>
      <c r="M12" s="11">
        <v>1.982E7</v>
      </c>
      <c r="N12" s="11">
        <v>1.816E7</v>
      </c>
      <c r="O12" s="11">
        <v>1.209E7</v>
      </c>
      <c r="P12" s="11">
        <v>1.256E7</v>
      </c>
      <c r="Q12" s="11">
        <v>1.085E7</v>
      </c>
      <c r="R12" s="11">
        <v>1.003E7</v>
      </c>
      <c r="S12" s="11">
        <v>9720000.0</v>
      </c>
      <c r="T12" s="11">
        <v>5380000.0</v>
      </c>
      <c r="U12" s="11">
        <v>5230000.0</v>
      </c>
      <c r="V12" s="11">
        <v>5010000.0</v>
      </c>
      <c r="W12" s="11">
        <v>4230000.0</v>
      </c>
      <c r="X12" s="11">
        <v>4100000.0</v>
      </c>
      <c r="Y12" s="11">
        <v>9690000.0</v>
      </c>
      <c r="Z12" s="11">
        <v>6580000.0</v>
      </c>
      <c r="AA12" s="11">
        <v>-1860000.0</v>
      </c>
      <c r="AB12" s="11">
        <v>9090000.0</v>
      </c>
      <c r="AC12" s="11">
        <v>7080000.0</v>
      </c>
      <c r="AD12" s="11">
        <v>8430000.0</v>
      </c>
      <c r="AE12" s="11">
        <v>5200000.0</v>
      </c>
      <c r="AF12" s="11">
        <v>7730000.0</v>
      </c>
      <c r="AG12" s="11">
        <v>7880000.0</v>
      </c>
      <c r="AH12" s="11">
        <v>6650000.0</v>
      </c>
      <c r="AI12" s="11">
        <v>1.593E7</v>
      </c>
      <c r="AJ12" s="11">
        <v>1.39E7</v>
      </c>
      <c r="AK12" s="11">
        <v>1.207E7</v>
      </c>
      <c r="AL12" s="11">
        <v>1.098E7</v>
      </c>
      <c r="AM12" s="11">
        <v>9280000.0</v>
      </c>
      <c r="AN12" s="11">
        <v>7840000.0</v>
      </c>
      <c r="AO12" s="11">
        <v>5660000.0</v>
      </c>
      <c r="AP12" s="11">
        <v>5280000.0</v>
      </c>
      <c r="AQ12" s="11">
        <v>5920000.0</v>
      </c>
      <c r="AR12" s="11">
        <v>5120000.0</v>
      </c>
      <c r="AS12" s="11">
        <v>1.332E7</v>
      </c>
      <c r="AT12" s="11">
        <v>1.343E7</v>
      </c>
      <c r="AU12" s="11">
        <v>9960000.0</v>
      </c>
      <c r="AV12" s="11">
        <v>7040000.0</v>
      </c>
      <c r="AW12" s="11">
        <v>7540000.0</v>
      </c>
      <c r="AX12" s="11">
        <v>-552000.0</v>
      </c>
      <c r="AY12" s="11">
        <v>-638000.0</v>
      </c>
      <c r="AZ12" s="11">
        <v>-529000.0</v>
      </c>
      <c r="BA12" s="11">
        <v>-479000.0</v>
      </c>
      <c r="BB12" s="11">
        <v>-532000.0</v>
      </c>
      <c r="BC12" s="11">
        <v>-6370000.0</v>
      </c>
      <c r="BD12" s="11">
        <v>-5580000.0</v>
      </c>
      <c r="BE12" s="11">
        <v>-4110000.0</v>
      </c>
      <c r="BF12" s="11">
        <v>-3720000.0</v>
      </c>
      <c r="BG12" s="11">
        <v>-3290000.0</v>
      </c>
      <c r="BH12" s="11">
        <v>3.992E7</v>
      </c>
      <c r="BI12" s="11">
        <v>8060000.0</v>
      </c>
      <c r="BJ12" s="11">
        <v>9790000.0</v>
      </c>
      <c r="BK12" s="11">
        <v>6420000.0</v>
      </c>
      <c r="BL12" s="11">
        <v>8410000.0</v>
      </c>
      <c r="BM12" s="11">
        <v>5430000.0</v>
      </c>
      <c r="BN12" s="11">
        <v>5870000.0</v>
      </c>
      <c r="BO12" s="11">
        <v>7190000.0</v>
      </c>
      <c r="BP12" s="11">
        <v>4760000.0</v>
      </c>
      <c r="BQ12" s="11">
        <v>4730000.0</v>
      </c>
      <c r="BR12" s="11">
        <v>1810000.0</v>
      </c>
      <c r="BS12" s="11">
        <v>1610000.0</v>
      </c>
      <c r="BT12" s="11">
        <v>1610000.0</v>
      </c>
      <c r="BU12" s="11">
        <v>1440000.0</v>
      </c>
      <c r="BV12" s="11">
        <v>1720000.0</v>
      </c>
      <c r="BW12" s="11">
        <v>4.952E7</v>
      </c>
      <c r="BX12" s="11">
        <v>1.695E7</v>
      </c>
      <c r="BY12" s="11">
        <v>2.122E7</v>
      </c>
      <c r="BZ12" s="11">
        <v>1.619E7</v>
      </c>
      <c r="CA12" s="11">
        <v>1.631E7</v>
      </c>
      <c r="CB12" s="11">
        <v>3310000.0</v>
      </c>
      <c r="CC12" s="11">
        <v>2880000.0</v>
      </c>
      <c r="CD12" s="11">
        <v>2800000.0</v>
      </c>
      <c r="CE12" s="11">
        <v>2600000.0</v>
      </c>
      <c r="CF12" s="11">
        <v>2570000.0</v>
      </c>
      <c r="CG12" s="11">
        <v>1.56E7</v>
      </c>
      <c r="CH12" s="11">
        <v>1.566E7</v>
      </c>
      <c r="CI12" s="11">
        <v>1.579E7</v>
      </c>
      <c r="CJ12" s="11">
        <v>1.542E7</v>
      </c>
      <c r="CK12" s="11">
        <v>1.317E7</v>
      </c>
      <c r="CL12" s="11">
        <v>8.912E7</v>
      </c>
      <c r="CM12" s="11">
        <v>5.935E7</v>
      </c>
      <c r="CN12" s="11">
        <v>7.079E7</v>
      </c>
      <c r="CO12" s="11">
        <v>6.61E7</v>
      </c>
      <c r="CP12" s="11">
        <v>5.305E7</v>
      </c>
      <c r="CQ12" s="11">
        <v>1450000.0</v>
      </c>
      <c r="CR12" s="11">
        <v>1550000.0</v>
      </c>
      <c r="CS12" s="11">
        <v>1470000.0</v>
      </c>
      <c r="CT12" s="11">
        <v>1410000.0</v>
      </c>
      <c r="CU12" s="11">
        <v>1600000.0</v>
      </c>
      <c r="CV12" s="11">
        <v>1.559E7</v>
      </c>
      <c r="CW12" s="11">
        <v>109000.0</v>
      </c>
      <c r="CX12" s="11">
        <v>3700000.0</v>
      </c>
      <c r="CY12" s="11">
        <v>400000.0</v>
      </c>
      <c r="CZ12" s="11">
        <v>377000.0</v>
      </c>
      <c r="DA12" s="11">
        <v>406000.0</v>
      </c>
      <c r="DB12" s="11">
        <v>1.559E7</v>
      </c>
      <c r="DC12" s="11">
        <v>1.724E7</v>
      </c>
      <c r="DD12" s="11">
        <v>1.664E7</v>
      </c>
      <c r="DE12" s="11">
        <v>9780000.0</v>
      </c>
      <c r="DF12" s="11">
        <v>9.729E7</v>
      </c>
      <c r="DG12" s="11">
        <v>6.78E7</v>
      </c>
      <c r="DH12" s="11">
        <v>6.569E7</v>
      </c>
      <c r="DI12" s="11">
        <v>6.146E7</v>
      </c>
      <c r="DJ12" s="11">
        <v>4.911E7</v>
      </c>
      <c r="DK12" s="11">
        <v>124000.0</v>
      </c>
      <c r="DL12" s="11">
        <v>1420000.0</v>
      </c>
      <c r="DM12" s="11">
        <v>2090000.0</v>
      </c>
      <c r="DN12" s="11">
        <v>1780000.0</v>
      </c>
      <c r="DO12" s="11">
        <v>145000.0</v>
      </c>
      <c r="DP12" s="11">
        <v>6.323E7</v>
      </c>
      <c r="DQ12" s="11">
        <v>3.5E7</v>
      </c>
      <c r="DR12" s="11">
        <v>3.095E7</v>
      </c>
      <c r="DS12" s="11">
        <v>3.644E7</v>
      </c>
      <c r="DT12" s="11">
        <v>2.924E7</v>
      </c>
      <c r="DU12" s="13"/>
      <c r="DV12" s="12"/>
      <c r="DW12" s="12"/>
      <c r="DX12" s="12"/>
      <c r="DY12" s="12"/>
      <c r="DZ12" s="11">
        <v>-8170000.0</v>
      </c>
      <c r="EA12" s="11">
        <v>-8450000.0</v>
      </c>
      <c r="EB12" s="11">
        <v>5100000.0</v>
      </c>
      <c r="EC12" s="11">
        <v>4640000.0</v>
      </c>
      <c r="ED12" s="11">
        <v>3950000.0</v>
      </c>
      <c r="EE12" s="14">
        <v>0.071</v>
      </c>
      <c r="EF12" s="14">
        <v>0.095</v>
      </c>
      <c r="EG12" s="14">
        <v>0.076</v>
      </c>
      <c r="EH12" s="14">
        <v>0.03</v>
      </c>
    </row>
    <row r="13">
      <c r="A13" s="9">
        <f t="shared" si="2"/>
        <v>11</v>
      </c>
      <c r="B13" s="10" t="s">
        <v>146</v>
      </c>
      <c r="C13" s="11">
        <v>1.9887E8</v>
      </c>
      <c r="D13" s="11">
        <v>1.8751E8</v>
      </c>
      <c r="E13" s="11">
        <v>1.7959E8</v>
      </c>
      <c r="F13" s="11">
        <v>1.6794E8</v>
      </c>
      <c r="G13" s="11">
        <v>1.5314E8</v>
      </c>
      <c r="H13" s="11">
        <v>1.4685E8</v>
      </c>
      <c r="I13" s="11">
        <v>1.3596E8</v>
      </c>
      <c r="J13" s="11">
        <v>4530000.0</v>
      </c>
      <c r="K13" s="11">
        <v>4110000.0</v>
      </c>
      <c r="L13" s="11">
        <v>4150000.0</v>
      </c>
      <c r="M13" s="11">
        <v>3770000.0</v>
      </c>
      <c r="N13" s="11">
        <v>3220000.0</v>
      </c>
      <c r="O13" s="11">
        <v>2660000.0</v>
      </c>
      <c r="P13" s="11">
        <v>2460000.0</v>
      </c>
      <c r="Q13" s="11">
        <v>2130000.0</v>
      </c>
      <c r="R13" s="11">
        <v>2090000.0</v>
      </c>
      <c r="S13" s="11">
        <v>1910000.0</v>
      </c>
      <c r="T13" s="12"/>
      <c r="U13" s="12"/>
      <c r="V13" s="12"/>
      <c r="W13" s="12"/>
      <c r="X13" s="12"/>
      <c r="Y13" s="11">
        <v>1110000.0</v>
      </c>
      <c r="Z13" s="11">
        <v>1390000.0</v>
      </c>
      <c r="AA13" s="11">
        <v>1060000.0</v>
      </c>
      <c r="AB13" s="11">
        <v>-157100.0</v>
      </c>
      <c r="AC13" s="11">
        <v>-915750.0</v>
      </c>
      <c r="AD13" s="11">
        <v>967110.0</v>
      </c>
      <c r="AE13" s="11">
        <v>1180000.0</v>
      </c>
      <c r="AF13" s="11">
        <v>917890.0</v>
      </c>
      <c r="AG13" s="11">
        <v>1390000.0</v>
      </c>
      <c r="AH13" s="11">
        <v>268960.0</v>
      </c>
      <c r="AI13" s="11">
        <v>2360000.0</v>
      </c>
      <c r="AJ13" s="11">
        <v>2150000.0</v>
      </c>
      <c r="AK13" s="11">
        <v>2440000.0</v>
      </c>
      <c r="AL13" s="11">
        <v>2070000.0</v>
      </c>
      <c r="AM13" s="11">
        <v>1560000.0</v>
      </c>
      <c r="AN13" s="11">
        <v>855370.0</v>
      </c>
      <c r="AO13" s="11">
        <v>1660000.0</v>
      </c>
      <c r="AP13" s="11">
        <v>364480.0</v>
      </c>
      <c r="AQ13" s="11">
        <v>1430000.0</v>
      </c>
      <c r="AR13" s="11">
        <v>-138170.0</v>
      </c>
      <c r="AS13" s="11">
        <v>2340000.0</v>
      </c>
      <c r="AT13" s="11">
        <v>1410000.0</v>
      </c>
      <c r="AU13" s="11">
        <v>1500000.0</v>
      </c>
      <c r="AV13" s="11">
        <v>3180000.0</v>
      </c>
      <c r="AW13" s="11">
        <v>3920000.0</v>
      </c>
      <c r="AX13" s="11">
        <v>-310220.0</v>
      </c>
      <c r="AY13" s="11">
        <v>-336410.0</v>
      </c>
      <c r="AZ13" s="11">
        <v>-466400.0</v>
      </c>
      <c r="BA13" s="11">
        <v>-464620.0</v>
      </c>
      <c r="BB13" s="11">
        <v>-231590.0</v>
      </c>
      <c r="BC13" s="11">
        <v>-338970.0</v>
      </c>
      <c r="BD13" s="11">
        <v>-333040.0</v>
      </c>
      <c r="BE13" s="11">
        <v>-320270.0</v>
      </c>
      <c r="BF13" s="11">
        <v>-288480.0</v>
      </c>
      <c r="BG13" s="11">
        <v>-253920.0</v>
      </c>
      <c r="BH13" s="11">
        <v>3370000.0</v>
      </c>
      <c r="BI13" s="11">
        <v>2490000.0</v>
      </c>
      <c r="BJ13" s="11">
        <v>2440000.0</v>
      </c>
      <c r="BK13" s="11">
        <v>2770000.0</v>
      </c>
      <c r="BL13" s="11">
        <v>2220000.0</v>
      </c>
      <c r="BM13" s="11">
        <v>1.239E7</v>
      </c>
      <c r="BN13" s="11">
        <v>1.131E7</v>
      </c>
      <c r="BO13" s="11">
        <v>1.03E7</v>
      </c>
      <c r="BP13" s="11">
        <v>9180000.0</v>
      </c>
      <c r="BQ13" s="11">
        <v>8220000.0</v>
      </c>
      <c r="BR13" s="11">
        <v>1.221E7</v>
      </c>
      <c r="BS13" s="11">
        <v>1.192E7</v>
      </c>
      <c r="BT13" s="11">
        <v>1.146E7</v>
      </c>
      <c r="BU13" s="11">
        <v>1.072E7</v>
      </c>
      <c r="BV13" s="11">
        <v>9760000.0</v>
      </c>
      <c r="BW13" s="11">
        <v>2.813E7</v>
      </c>
      <c r="BX13" s="11">
        <v>2.589E7</v>
      </c>
      <c r="BY13" s="11">
        <v>2.43E7</v>
      </c>
      <c r="BZ13" s="11">
        <v>2.285E7</v>
      </c>
      <c r="CA13" s="11">
        <v>2.033E7</v>
      </c>
      <c r="CB13" s="11">
        <v>1770000.0</v>
      </c>
      <c r="CC13" s="11">
        <v>1890000.0</v>
      </c>
      <c r="CD13" s="11">
        <v>1800000.0</v>
      </c>
      <c r="CE13" s="11">
        <v>1530000.0</v>
      </c>
      <c r="CF13" s="11">
        <v>1190000.0</v>
      </c>
      <c r="CG13" s="11">
        <v>6710000.0</v>
      </c>
      <c r="CH13" s="11">
        <v>6660000.0</v>
      </c>
      <c r="CI13" s="11">
        <v>6040000.0</v>
      </c>
      <c r="CJ13" s="11">
        <v>5990000.0</v>
      </c>
      <c r="CK13" s="11">
        <v>4140000.0</v>
      </c>
      <c r="CL13" s="11">
        <v>3.946E7</v>
      </c>
      <c r="CM13" s="11">
        <v>3.802E7</v>
      </c>
      <c r="CN13" s="11">
        <v>3.532E7</v>
      </c>
      <c r="CO13" s="11">
        <v>3.364E7</v>
      </c>
      <c r="CP13" s="11">
        <v>2.796E7</v>
      </c>
      <c r="CQ13" s="11">
        <v>2.839E7</v>
      </c>
      <c r="CR13" s="11">
        <v>2.684E7</v>
      </c>
      <c r="CS13" s="11">
        <v>2.54E7</v>
      </c>
      <c r="CT13" s="11">
        <v>2.393E7</v>
      </c>
      <c r="CU13" s="11">
        <v>2.089E7</v>
      </c>
      <c r="CV13" s="11">
        <v>2.958E7</v>
      </c>
      <c r="CW13" s="12"/>
      <c r="CX13" s="12"/>
      <c r="CY13" s="12"/>
      <c r="CZ13" s="12"/>
      <c r="DA13" s="12"/>
      <c r="DB13" s="11">
        <v>2.958E7</v>
      </c>
      <c r="DC13" s="11">
        <v>2.787E7</v>
      </c>
      <c r="DD13" s="11">
        <v>2.682E7</v>
      </c>
      <c r="DE13" s="11">
        <v>2.528E7</v>
      </c>
      <c r="DF13" s="11">
        <v>3.647E7</v>
      </c>
      <c r="DG13" s="11">
        <v>3.497E7</v>
      </c>
      <c r="DH13" s="11">
        <v>3.325E7</v>
      </c>
      <c r="DI13" s="11">
        <v>3.151E7</v>
      </c>
      <c r="DJ13" s="11">
        <v>2.735E7</v>
      </c>
      <c r="DK13" s="12"/>
      <c r="DL13" s="12"/>
      <c r="DM13" s="11">
        <v>57600.0</v>
      </c>
      <c r="DN13" s="11">
        <v>56700.0</v>
      </c>
      <c r="DO13" s="11">
        <v>30500.0</v>
      </c>
      <c r="DP13" s="11">
        <v>4350000.0</v>
      </c>
      <c r="DQ13" s="11">
        <v>4510000.0</v>
      </c>
      <c r="DR13" s="11">
        <v>3780000.0</v>
      </c>
      <c r="DS13" s="11">
        <v>3850000.0</v>
      </c>
      <c r="DT13" s="11">
        <v>3740000.0</v>
      </c>
      <c r="DU13" s="13"/>
      <c r="DV13" s="12"/>
      <c r="DW13" s="12"/>
      <c r="DX13" s="13"/>
      <c r="DY13" s="13"/>
      <c r="DZ13" s="11">
        <v>2880000.0</v>
      </c>
      <c r="EA13" s="11">
        <v>2930000.0</v>
      </c>
      <c r="EB13" s="11">
        <v>2060000.0</v>
      </c>
      <c r="EC13" s="11">
        <v>2130000.0</v>
      </c>
      <c r="ED13" s="11">
        <v>616390.0</v>
      </c>
      <c r="EE13" s="14">
        <v>0.039</v>
      </c>
      <c r="EF13" s="14">
        <v>0.047</v>
      </c>
      <c r="EG13" s="14">
        <v>0.057</v>
      </c>
      <c r="EH13" s="14">
        <v>0.054</v>
      </c>
    </row>
    <row r="14">
      <c r="A14" s="9">
        <f t="shared" si="2"/>
        <v>12</v>
      </c>
      <c r="B14" s="22" t="s">
        <v>147</v>
      </c>
      <c r="C14" s="11">
        <v>1390.0</v>
      </c>
      <c r="D14" s="12"/>
      <c r="E14" s="12"/>
      <c r="F14" s="11">
        <v>3000.0</v>
      </c>
      <c r="G14" s="11">
        <v>837.0</v>
      </c>
      <c r="H14" s="11">
        <v>889.0</v>
      </c>
      <c r="I14" s="11">
        <v>1040.0</v>
      </c>
      <c r="J14" s="11">
        <v>-8680.0</v>
      </c>
      <c r="K14" s="12"/>
      <c r="L14" s="12"/>
      <c r="M14" s="12"/>
      <c r="N14" s="12"/>
      <c r="O14" s="11">
        <v>68410.0</v>
      </c>
      <c r="P14" s="11">
        <v>58800.0</v>
      </c>
      <c r="Q14" s="11">
        <v>27930.0</v>
      </c>
      <c r="R14" s="11">
        <v>23950.0</v>
      </c>
      <c r="S14" s="11">
        <v>18660.0</v>
      </c>
      <c r="T14" s="11">
        <v>48570.0</v>
      </c>
      <c r="U14" s="11">
        <v>38700.0</v>
      </c>
      <c r="V14" s="11">
        <v>16990.0</v>
      </c>
      <c r="W14" s="11">
        <v>10660.0</v>
      </c>
      <c r="X14" s="11">
        <v>4720.0</v>
      </c>
      <c r="Y14" s="12"/>
      <c r="Z14" s="12"/>
      <c r="AA14" s="12"/>
      <c r="AB14" s="11">
        <v>-22490.0</v>
      </c>
      <c r="AC14" s="11">
        <v>-14610.0</v>
      </c>
      <c r="AD14" s="11">
        <v>-76280.0</v>
      </c>
      <c r="AE14" s="11">
        <v>-56670.0</v>
      </c>
      <c r="AF14" s="11">
        <v>-27320.0</v>
      </c>
      <c r="AG14" s="11">
        <v>-21870.0</v>
      </c>
      <c r="AH14" s="11">
        <v>-14530.0</v>
      </c>
      <c r="AI14" s="11">
        <v>-68410.0</v>
      </c>
      <c r="AJ14" s="11">
        <v>-55810.0</v>
      </c>
      <c r="AK14" s="11">
        <v>-27100.0</v>
      </c>
      <c r="AL14" s="11">
        <v>-23060.0</v>
      </c>
      <c r="AM14" s="11">
        <v>-17620.0</v>
      </c>
      <c r="AN14" s="11">
        <v>-76280.0</v>
      </c>
      <c r="AO14" s="11">
        <v>-56670.0</v>
      </c>
      <c r="AP14" s="11">
        <v>-27320.0</v>
      </c>
      <c r="AQ14" s="11">
        <v>-21870.0</v>
      </c>
      <c r="AR14" s="11">
        <v>-14530.0</v>
      </c>
      <c r="AS14" s="11">
        <v>-62820.0</v>
      </c>
      <c r="AT14" s="11">
        <v>-39110.0</v>
      </c>
      <c r="AU14" s="11">
        <v>-22940.0</v>
      </c>
      <c r="AV14" s="11">
        <v>-13010.0</v>
      </c>
      <c r="AW14" s="11">
        <v>-10420.0</v>
      </c>
      <c r="AX14" s="11">
        <v>-6510.0</v>
      </c>
      <c r="AY14" s="11">
        <v>-19490.0</v>
      </c>
      <c r="AZ14" s="11">
        <v>-860.0</v>
      </c>
      <c r="BA14" s="11">
        <v>-519.0</v>
      </c>
      <c r="BB14" s="11">
        <v>-308.0</v>
      </c>
      <c r="BC14" s="12"/>
      <c r="BD14" s="12"/>
      <c r="BE14" s="12"/>
      <c r="BF14" s="12"/>
      <c r="BG14" s="12"/>
      <c r="BH14" s="11">
        <v>129260.0</v>
      </c>
      <c r="BI14" s="11">
        <v>84970.0</v>
      </c>
      <c r="BJ14" s="11">
        <v>137750.0</v>
      </c>
      <c r="BK14" s="11">
        <v>69140.0</v>
      </c>
      <c r="BL14" s="11">
        <v>40140.0</v>
      </c>
      <c r="BM14" s="12"/>
      <c r="BN14" s="11">
        <v>81.0</v>
      </c>
      <c r="BO14" s="11">
        <v>107.0</v>
      </c>
      <c r="BP14" s="11">
        <v>124.0</v>
      </c>
      <c r="BQ14" s="11">
        <v>115.0</v>
      </c>
      <c r="BR14" s="12"/>
      <c r="BS14" s="12"/>
      <c r="BT14" s="12"/>
      <c r="BU14" s="12"/>
      <c r="BV14" s="12"/>
      <c r="BW14" s="11">
        <v>132390.0</v>
      </c>
      <c r="BX14" s="11">
        <v>88850.0</v>
      </c>
      <c r="BY14" s="11">
        <v>140590.0</v>
      </c>
      <c r="BZ14" s="11">
        <v>69420.0</v>
      </c>
      <c r="CA14" s="11">
        <v>40570.0</v>
      </c>
      <c r="CB14" s="11">
        <v>21200.0</v>
      </c>
      <c r="CC14" s="11">
        <v>9440.0</v>
      </c>
      <c r="CD14" s="11">
        <v>1370.0</v>
      </c>
      <c r="CE14" s="11">
        <v>721.0</v>
      </c>
      <c r="CF14" s="11">
        <v>350.0</v>
      </c>
      <c r="CG14" s="11">
        <v>32470.0</v>
      </c>
      <c r="CH14" s="11">
        <v>32470.0</v>
      </c>
      <c r="CI14" s="11">
        <v>32470.0</v>
      </c>
      <c r="CJ14" s="11">
        <v>32470.0</v>
      </c>
      <c r="CK14" s="11">
        <v>32470.0</v>
      </c>
      <c r="CL14" s="11">
        <v>223380.0</v>
      </c>
      <c r="CM14" s="11">
        <v>174400.0</v>
      </c>
      <c r="CN14" s="11">
        <v>178770.0</v>
      </c>
      <c r="CO14" s="11">
        <v>111060.0</v>
      </c>
      <c r="CP14" s="11">
        <v>80060.0</v>
      </c>
      <c r="CQ14" s="11">
        <v>3760.0</v>
      </c>
      <c r="CR14" s="11">
        <v>6120.0</v>
      </c>
      <c r="CS14" s="11">
        <v>2390.0</v>
      </c>
      <c r="CT14" s="11">
        <v>3690.0</v>
      </c>
      <c r="CU14" s="11">
        <v>875.0</v>
      </c>
      <c r="CV14" s="11">
        <v>38700.0</v>
      </c>
      <c r="CW14" s="11">
        <v>1700.0</v>
      </c>
      <c r="CX14" s="12"/>
      <c r="CY14" s="12"/>
      <c r="CZ14" s="12"/>
      <c r="DA14" s="12"/>
      <c r="DB14" s="11">
        <v>38700.0</v>
      </c>
      <c r="DC14" s="11">
        <v>20350.0</v>
      </c>
      <c r="DD14" s="11">
        <v>5610.0</v>
      </c>
      <c r="DE14" s="11">
        <v>8300.0</v>
      </c>
      <c r="DF14" s="11">
        <v>44950.0</v>
      </c>
      <c r="DG14" s="11">
        <v>40350.0</v>
      </c>
      <c r="DH14" s="11">
        <v>8670.0</v>
      </c>
      <c r="DI14" s="11">
        <v>11960.0</v>
      </c>
      <c r="DJ14" s="11">
        <v>12330.0</v>
      </c>
      <c r="DK14" s="11">
        <v>1110.0</v>
      </c>
      <c r="DL14" s="11">
        <v>560.0</v>
      </c>
      <c r="DM14" s="12"/>
      <c r="DN14" s="12"/>
      <c r="DO14" s="12"/>
      <c r="DP14" s="11">
        <v>6250.0</v>
      </c>
      <c r="DQ14" s="12"/>
      <c r="DR14" s="12"/>
      <c r="DS14" s="12"/>
      <c r="DT14" s="12"/>
      <c r="DU14" s="13"/>
      <c r="DV14" s="12"/>
      <c r="DW14" s="12"/>
      <c r="DX14" s="13"/>
      <c r="DY14" s="13"/>
      <c r="DZ14" s="11">
        <v>178430.0</v>
      </c>
      <c r="EA14" s="11">
        <v>134050.0</v>
      </c>
      <c r="EB14" s="11">
        <v>170100.0</v>
      </c>
      <c r="EC14" s="11">
        <v>99100.0</v>
      </c>
      <c r="ED14" s="11">
        <v>67720.0</v>
      </c>
      <c r="EE14" s="23"/>
      <c r="EF14" s="23"/>
      <c r="EG14" s="14">
        <v>0.176</v>
      </c>
      <c r="EH14" s="14">
        <v>-0.189</v>
      </c>
    </row>
    <row r="15">
      <c r="A15" s="9">
        <f t="shared" si="2"/>
        <v>13</v>
      </c>
      <c r="B15" s="10" t="s">
        <v>148</v>
      </c>
      <c r="C15" s="15">
        <v>1.077E7</v>
      </c>
      <c r="D15" s="15">
        <v>1.002E7</v>
      </c>
      <c r="E15" s="15">
        <v>5.26E7</v>
      </c>
      <c r="F15" s="15">
        <v>5.023E7</v>
      </c>
      <c r="G15" s="15">
        <v>4.79E7</v>
      </c>
      <c r="H15" s="15">
        <v>4.56E7</v>
      </c>
      <c r="I15" s="15">
        <v>4.672E7</v>
      </c>
      <c r="J15" s="15">
        <v>2.908E7</v>
      </c>
      <c r="K15" s="15">
        <v>2.923E7</v>
      </c>
      <c r="L15" s="15">
        <v>2.874E7</v>
      </c>
      <c r="M15" s="15">
        <v>2.768E7</v>
      </c>
      <c r="N15" s="15">
        <v>2.964E7</v>
      </c>
      <c r="O15" s="15">
        <v>1.349E7</v>
      </c>
      <c r="P15" s="15">
        <v>1.299E7</v>
      </c>
      <c r="Q15" s="15">
        <v>1.329E7</v>
      </c>
      <c r="R15" s="15">
        <v>1.294E7</v>
      </c>
      <c r="S15" s="15">
        <v>1.244E7</v>
      </c>
      <c r="T15" s="12"/>
      <c r="U15" s="12"/>
      <c r="V15" s="12"/>
      <c r="W15" s="12"/>
      <c r="X15" s="12"/>
      <c r="Y15" s="15">
        <v>1.308E7</v>
      </c>
      <c r="Z15" s="15">
        <v>-2290000.0</v>
      </c>
      <c r="AA15" s="15">
        <v>1.356E7</v>
      </c>
      <c r="AB15" s="15">
        <v>1.229E7</v>
      </c>
      <c r="AC15" s="15">
        <v>1.616E7</v>
      </c>
      <c r="AD15" s="15">
        <v>1.297E7</v>
      </c>
      <c r="AE15" s="15">
        <v>1.312E7</v>
      </c>
      <c r="AF15" s="15">
        <v>1.293E7</v>
      </c>
      <c r="AG15" s="15">
        <v>1.34E7</v>
      </c>
      <c r="AH15" s="15">
        <v>1.651E7</v>
      </c>
      <c r="AI15" s="15">
        <v>2.008E7</v>
      </c>
      <c r="AJ15" s="15">
        <v>2.087E7</v>
      </c>
      <c r="AK15" s="15">
        <v>1.892E7</v>
      </c>
      <c r="AL15" s="15">
        <v>1.814E7</v>
      </c>
      <c r="AM15" s="15">
        <v>2.016E7</v>
      </c>
      <c r="AN15" s="15">
        <v>1.178E7</v>
      </c>
      <c r="AO15" s="15">
        <v>1.099E7</v>
      </c>
      <c r="AP15" s="15">
        <v>7330000.0</v>
      </c>
      <c r="AQ15" s="15">
        <v>1.255E7</v>
      </c>
      <c r="AR15" s="15">
        <v>1.242E7</v>
      </c>
      <c r="AS15" s="15">
        <v>1.838E7</v>
      </c>
      <c r="AT15" s="15">
        <v>1.835E7</v>
      </c>
      <c r="AU15" s="15">
        <v>1.787E7</v>
      </c>
      <c r="AV15" s="15">
        <v>1.234E7</v>
      </c>
      <c r="AW15" s="15">
        <v>2.358E7</v>
      </c>
      <c r="AX15" s="15">
        <v>-5070000.0</v>
      </c>
      <c r="AY15" s="15">
        <v>-3570000.0</v>
      </c>
      <c r="AZ15" s="15">
        <v>-3200000.0</v>
      </c>
      <c r="BA15" s="15">
        <v>-4130000.0</v>
      </c>
      <c r="BB15" s="15">
        <v>-5260000.0</v>
      </c>
      <c r="BC15" s="15">
        <v>-7870000.0</v>
      </c>
      <c r="BD15" s="15">
        <v>-8810000.0</v>
      </c>
      <c r="BE15" s="15">
        <v>-8820000.0</v>
      </c>
      <c r="BF15" s="15">
        <v>-1.033E7</v>
      </c>
      <c r="BG15" s="15">
        <v>-1.149E7</v>
      </c>
      <c r="BH15" s="15">
        <v>1.192E7</v>
      </c>
      <c r="BI15" s="15">
        <v>1.148E7</v>
      </c>
      <c r="BJ15" s="15">
        <v>1.072E7</v>
      </c>
      <c r="BK15" s="15">
        <v>8360000.0</v>
      </c>
      <c r="BL15" s="15">
        <v>1.535E7</v>
      </c>
      <c r="BM15" s="15">
        <v>8570000.0</v>
      </c>
      <c r="BN15" s="15">
        <v>7030000.0</v>
      </c>
      <c r="BO15" s="15">
        <v>8320000.0</v>
      </c>
      <c r="BP15" s="15">
        <v>9810000.0</v>
      </c>
      <c r="BQ15" s="15">
        <v>7430000.0</v>
      </c>
      <c r="BR15" s="15">
        <v>5980000.0</v>
      </c>
      <c r="BS15" s="15">
        <v>5400000.0</v>
      </c>
      <c r="BT15" s="15">
        <v>4320000.0</v>
      </c>
      <c r="BU15" s="15">
        <v>4350000.0</v>
      </c>
      <c r="BV15" s="15">
        <v>4340000.0</v>
      </c>
      <c r="BW15" s="15">
        <v>2.762E7</v>
      </c>
      <c r="BX15" s="15">
        <v>2.533E7</v>
      </c>
      <c r="BY15" s="15">
        <v>2.472E7</v>
      </c>
      <c r="BZ15" s="15">
        <v>2.389E7</v>
      </c>
      <c r="CA15" s="15">
        <v>2.831E7</v>
      </c>
      <c r="CB15" s="15">
        <v>2.258E7</v>
      </c>
      <c r="CC15" s="15">
        <v>2.164E7</v>
      </c>
      <c r="CD15" s="15">
        <v>1.882E7</v>
      </c>
      <c r="CE15" s="15">
        <v>1.915E7</v>
      </c>
      <c r="CF15" s="15">
        <v>1.914E7</v>
      </c>
      <c r="CG15" s="15">
        <v>3.501E7</v>
      </c>
      <c r="CH15" s="15">
        <v>3.428E7</v>
      </c>
      <c r="CI15" s="15">
        <v>3.14E7</v>
      </c>
      <c r="CJ15" s="15">
        <v>3.051E7</v>
      </c>
      <c r="CK15" s="15">
        <v>3.095E7</v>
      </c>
      <c r="CL15" s="15">
        <v>1.0411E8</v>
      </c>
      <c r="CM15" s="15">
        <v>9.777E7</v>
      </c>
      <c r="CN15" s="15">
        <v>8.778E7</v>
      </c>
      <c r="CO15" s="15">
        <v>8.498E7</v>
      </c>
      <c r="CP15" s="15">
        <v>9.103E7</v>
      </c>
      <c r="CQ15" s="15">
        <v>1.418E7</v>
      </c>
      <c r="CR15" s="15">
        <v>1.277E7</v>
      </c>
      <c r="CS15" s="15">
        <v>1.042E7</v>
      </c>
      <c r="CT15" s="15">
        <v>9790000.0</v>
      </c>
      <c r="CU15" s="15">
        <v>1.111E7</v>
      </c>
      <c r="CV15" s="15">
        <v>2.501E7</v>
      </c>
      <c r="CW15" s="15">
        <v>217150.0</v>
      </c>
      <c r="CX15" s="15">
        <v>1530000.0</v>
      </c>
      <c r="CY15" s="15">
        <v>1310000.0</v>
      </c>
      <c r="CZ15" s="15">
        <v>3620000.0</v>
      </c>
      <c r="DA15" s="15">
        <v>1280000.0</v>
      </c>
      <c r="DB15" s="15">
        <v>2.501E7</v>
      </c>
      <c r="DC15" s="15">
        <v>2.521E7</v>
      </c>
      <c r="DD15" s="15">
        <v>2.869E7</v>
      </c>
      <c r="DE15" s="15">
        <v>2.877E7</v>
      </c>
      <c r="DF15" s="15">
        <v>4.155E7</v>
      </c>
      <c r="DG15" s="15">
        <v>4.032E7</v>
      </c>
      <c r="DH15" s="15">
        <v>3.98E7</v>
      </c>
      <c r="DI15" s="15">
        <v>3.833E7</v>
      </c>
      <c r="DJ15" s="15">
        <v>4.07E7</v>
      </c>
      <c r="DK15" s="15">
        <v>1160000.0</v>
      </c>
      <c r="DL15" s="15">
        <v>1010000.0</v>
      </c>
      <c r="DM15" s="15">
        <v>946110.0</v>
      </c>
      <c r="DN15" s="15">
        <v>992090.0</v>
      </c>
      <c r="DO15" s="15">
        <v>1510000.0</v>
      </c>
      <c r="DP15" s="15">
        <v>2410000.0</v>
      </c>
      <c r="DQ15" s="15">
        <v>2160000.0</v>
      </c>
      <c r="DR15" s="15">
        <v>1230000.0</v>
      </c>
      <c r="DS15" s="15">
        <v>1770000.0</v>
      </c>
      <c r="DT15" s="15">
        <v>2320000.0</v>
      </c>
      <c r="DU15" s="13"/>
      <c r="DV15" s="12"/>
      <c r="DW15" s="12"/>
      <c r="DX15" s="12"/>
      <c r="DY15" s="12"/>
      <c r="DZ15" s="15">
        <v>6.128E7</v>
      </c>
      <c r="EA15" s="15">
        <v>5.625E7</v>
      </c>
      <c r="EB15" s="15">
        <v>4.601E7</v>
      </c>
      <c r="EC15" s="15">
        <v>4.483E7</v>
      </c>
      <c r="ED15" s="15">
        <v>4.833E7</v>
      </c>
      <c r="EE15" s="17">
        <v>0.088</v>
      </c>
      <c r="EF15" s="17">
        <v>0.056</v>
      </c>
      <c r="EG15" s="17">
        <v>-0.333</v>
      </c>
      <c r="EH15" s="17">
        <v>-0.042</v>
      </c>
    </row>
    <row r="16">
      <c r="A16" s="9">
        <f t="shared" si="2"/>
        <v>14</v>
      </c>
      <c r="B16" s="10" t="s">
        <v>149</v>
      </c>
      <c r="C16" s="11">
        <v>8280000.0</v>
      </c>
      <c r="D16" s="11">
        <v>6890000.0</v>
      </c>
      <c r="E16" s="11">
        <v>7210000.0</v>
      </c>
      <c r="F16" s="11">
        <v>6870000.0</v>
      </c>
      <c r="G16" s="11">
        <v>6460000.0</v>
      </c>
      <c r="H16" s="11">
        <v>6530000.0</v>
      </c>
      <c r="I16" s="11">
        <v>6590000.0</v>
      </c>
      <c r="J16" s="11">
        <v>1130000.0</v>
      </c>
      <c r="K16" s="11">
        <v>1070000.0</v>
      </c>
      <c r="L16" s="11">
        <v>1020000.0</v>
      </c>
      <c r="M16" s="11">
        <v>1030000.0</v>
      </c>
      <c r="N16" s="11">
        <v>1030000.0</v>
      </c>
      <c r="O16" s="11">
        <v>799800.0</v>
      </c>
      <c r="P16" s="11">
        <v>755800.0</v>
      </c>
      <c r="Q16" s="11">
        <v>729700.0</v>
      </c>
      <c r="R16" s="11">
        <v>732500.0</v>
      </c>
      <c r="S16" s="11">
        <v>729900.0</v>
      </c>
      <c r="T16" s="11"/>
      <c r="U16" s="11"/>
      <c r="V16" s="11"/>
      <c r="W16" s="11"/>
      <c r="X16" s="11"/>
      <c r="Y16" s="11">
        <v>325000.0</v>
      </c>
      <c r="Z16" s="11">
        <v>310900.0</v>
      </c>
      <c r="AA16" s="11">
        <v>287700.0</v>
      </c>
      <c r="AB16" s="11">
        <v>-5700.0</v>
      </c>
      <c r="AC16" s="12"/>
      <c r="AD16" s="11">
        <v>243900.0</v>
      </c>
      <c r="AE16" s="11">
        <v>224800.0</v>
      </c>
      <c r="AF16" s="11">
        <v>209100.0</v>
      </c>
      <c r="AG16" s="11">
        <v>267800.0</v>
      </c>
      <c r="AH16" s="11">
        <v>273400.0</v>
      </c>
      <c r="AI16" s="11">
        <v>370900.0</v>
      </c>
      <c r="AJ16" s="11">
        <v>348300.0</v>
      </c>
      <c r="AK16" s="11">
        <v>325100.0</v>
      </c>
      <c r="AL16" s="11">
        <v>334200.0</v>
      </c>
      <c r="AM16" s="11">
        <v>330900.0</v>
      </c>
      <c r="AN16" s="11">
        <v>184400.0</v>
      </c>
      <c r="AO16" s="11">
        <v>168000.0</v>
      </c>
      <c r="AP16" s="11">
        <v>139100.0</v>
      </c>
      <c r="AQ16" s="11">
        <v>167200.0</v>
      </c>
      <c r="AR16" s="11">
        <v>169400.0</v>
      </c>
      <c r="AS16" s="11">
        <v>331300.0</v>
      </c>
      <c r="AT16" s="11">
        <v>300.0</v>
      </c>
      <c r="AU16" s="11">
        <v>270400.0</v>
      </c>
      <c r="AV16" s="11">
        <v>159700.0</v>
      </c>
      <c r="AW16" s="11">
        <v>144200.0</v>
      </c>
      <c r="AX16" s="11">
        <v>-71700.0</v>
      </c>
      <c r="AY16" s="11">
        <v>-62300.0</v>
      </c>
      <c r="AZ16" s="11">
        <v>-53500.0</v>
      </c>
      <c r="BA16" s="11">
        <v>-111600.0</v>
      </c>
      <c r="BB16" s="11">
        <v>-102000.0</v>
      </c>
      <c r="BC16" s="12"/>
      <c r="BD16" s="12"/>
      <c r="BE16" s="12"/>
      <c r="BF16" s="12"/>
      <c r="BG16" s="12"/>
      <c r="BH16" s="11">
        <v>3500.0</v>
      </c>
      <c r="BI16" s="11">
        <v>8300.0</v>
      </c>
      <c r="BJ16" s="11">
        <v>4700.0</v>
      </c>
      <c r="BK16" s="11">
        <v>3400.0</v>
      </c>
      <c r="BL16" s="11">
        <v>2800.0</v>
      </c>
      <c r="BM16" s="11">
        <v>348000.0</v>
      </c>
      <c r="BN16" s="11">
        <v>328600.0</v>
      </c>
      <c r="BO16" s="11">
        <v>321800.0</v>
      </c>
      <c r="BP16" s="11">
        <v>321000.0</v>
      </c>
      <c r="BQ16" s="11">
        <v>295200.0</v>
      </c>
      <c r="BR16" s="11">
        <v>985000.0</v>
      </c>
      <c r="BS16" s="11">
        <v>1070000.0</v>
      </c>
      <c r="BT16" s="11">
        <v>826000.0</v>
      </c>
      <c r="BU16" s="11">
        <v>894900.0</v>
      </c>
      <c r="BV16" s="11">
        <v>917200.0</v>
      </c>
      <c r="BW16" s="11">
        <v>1600000.0</v>
      </c>
      <c r="BX16" s="11">
        <v>1550000.0</v>
      </c>
      <c r="BY16" s="11">
        <v>1300000.0</v>
      </c>
      <c r="BZ16" s="11">
        <v>1330000.0</v>
      </c>
      <c r="CA16" s="11">
        <v>1330000.0</v>
      </c>
      <c r="CB16" s="11">
        <v>975300.0</v>
      </c>
      <c r="CC16" s="11">
        <v>886100.0</v>
      </c>
      <c r="CD16" s="11">
        <v>834200.0</v>
      </c>
      <c r="CE16" s="11">
        <v>815400.0</v>
      </c>
      <c r="CF16" s="11">
        <v>772800.0</v>
      </c>
      <c r="CG16" s="11">
        <v>201700.0</v>
      </c>
      <c r="CH16" s="11">
        <v>181200.0</v>
      </c>
      <c r="CI16" s="11">
        <v>160800.0</v>
      </c>
      <c r="CJ16" s="11">
        <v>128100.0</v>
      </c>
      <c r="CK16" s="11">
        <v>130200.0</v>
      </c>
      <c r="CL16" s="11">
        <v>2960000.0</v>
      </c>
      <c r="CM16" s="11">
        <v>2720000.0</v>
      </c>
      <c r="CN16" s="11">
        <v>2360000.0</v>
      </c>
      <c r="CO16" s="11">
        <v>2340000.0</v>
      </c>
      <c r="CP16" s="11">
        <v>2330000.0</v>
      </c>
      <c r="CQ16" s="11">
        <v>81700.0</v>
      </c>
      <c r="CR16" s="11">
        <v>81900.0</v>
      </c>
      <c r="CS16" s="11">
        <v>92400.0</v>
      </c>
      <c r="CT16" s="11">
        <v>81900.0</v>
      </c>
      <c r="CU16" s="11">
        <v>85500.0</v>
      </c>
      <c r="CV16" s="11">
        <v>1250000.0</v>
      </c>
      <c r="CW16" s="11">
        <v>888900.0</v>
      </c>
      <c r="CX16" s="11">
        <v>1050000.0</v>
      </c>
      <c r="CY16" s="11">
        <v>818900.0</v>
      </c>
      <c r="CZ16" s="11">
        <v>862700.0</v>
      </c>
      <c r="DA16" s="11">
        <v>788800.0</v>
      </c>
      <c r="DB16" s="11">
        <v>1250000.0</v>
      </c>
      <c r="DC16" s="11">
        <v>1300000.0</v>
      </c>
      <c r="DD16" s="11">
        <v>1060000.0</v>
      </c>
      <c r="DE16" s="11">
        <v>1100000.0</v>
      </c>
      <c r="DF16" s="11">
        <v>2310000.0</v>
      </c>
      <c r="DG16" s="11">
        <v>2240000.0</v>
      </c>
      <c r="DH16" s="11">
        <v>1960000.0</v>
      </c>
      <c r="DI16" s="11">
        <v>2060000.0</v>
      </c>
      <c r="DJ16" s="11">
        <v>2010000.0</v>
      </c>
      <c r="DK16" s="12"/>
      <c r="DL16" s="12"/>
      <c r="DM16" s="12"/>
      <c r="DN16" s="12"/>
      <c r="DO16" s="11"/>
      <c r="DP16" s="11">
        <v>959600.0</v>
      </c>
      <c r="DQ16" s="11">
        <v>866500.0</v>
      </c>
      <c r="DR16" s="11">
        <v>862600.0</v>
      </c>
      <c r="DS16" s="11">
        <v>912700.0</v>
      </c>
      <c r="DT16" s="11">
        <v>940400.0</v>
      </c>
      <c r="DU16" s="13"/>
      <c r="DV16" s="12"/>
      <c r="DW16" s="12"/>
      <c r="DX16" s="12"/>
      <c r="DY16" s="12"/>
      <c r="DZ16" s="11">
        <v>646300.0</v>
      </c>
      <c r="EA16" s="11">
        <v>473200.0</v>
      </c>
      <c r="EB16" s="11">
        <v>394200.0</v>
      </c>
      <c r="EC16" s="11">
        <v>279700.0</v>
      </c>
      <c r="ED16" s="11">
        <v>314500.0</v>
      </c>
      <c r="EE16" s="14">
        <v>0.087</v>
      </c>
      <c r="EF16" s="14">
        <v>0.227</v>
      </c>
      <c r="EG16" s="14">
        <v>0.012</v>
      </c>
      <c r="EH16" s="14">
        <v>0.044</v>
      </c>
    </row>
    <row r="17">
      <c r="A17" s="9">
        <f t="shared" si="2"/>
        <v>15</v>
      </c>
      <c r="B17" s="10" t="s">
        <v>150</v>
      </c>
      <c r="C17" s="11">
        <v>3.612E7</v>
      </c>
      <c r="D17" s="11">
        <v>3.276E7</v>
      </c>
      <c r="E17" s="11">
        <v>3.19E7</v>
      </c>
      <c r="F17" s="11">
        <v>3.058E7</v>
      </c>
      <c r="G17" s="11">
        <v>2.739E7</v>
      </c>
      <c r="H17" s="11">
        <v>2.085E7</v>
      </c>
      <c r="I17" s="11">
        <v>2.041E7</v>
      </c>
      <c r="J17" s="11">
        <v>1.669E7</v>
      </c>
      <c r="K17" s="11">
        <v>1.582E7</v>
      </c>
      <c r="L17" s="11">
        <v>1.307E7</v>
      </c>
      <c r="M17" s="11">
        <v>1.124E7</v>
      </c>
      <c r="N17" s="11">
        <v>1.096E7</v>
      </c>
      <c r="O17" s="11">
        <v>1.21E7</v>
      </c>
      <c r="P17" s="11">
        <v>1.198E7</v>
      </c>
      <c r="Q17" s="11">
        <v>1.109E7</v>
      </c>
      <c r="R17" s="11">
        <v>8000000.0</v>
      </c>
      <c r="S17" s="11">
        <v>8010000.0</v>
      </c>
      <c r="T17" s="11">
        <v>2410000.0</v>
      </c>
      <c r="U17" s="11">
        <v>2290000.0</v>
      </c>
      <c r="V17" s="11">
        <v>2130000.0</v>
      </c>
      <c r="W17" s="11">
        <v>1360000.0</v>
      </c>
      <c r="X17" s="11">
        <v>1370000.0</v>
      </c>
      <c r="Y17" s="11">
        <v>4390000.0</v>
      </c>
      <c r="Z17" s="11">
        <v>3600000.0</v>
      </c>
      <c r="AA17" s="11">
        <v>-360000.0</v>
      </c>
      <c r="AB17" s="11">
        <v>3140000.0</v>
      </c>
      <c r="AC17" s="11">
        <v>2820000.0</v>
      </c>
      <c r="AD17" s="11">
        <v>4080000.0</v>
      </c>
      <c r="AE17" s="11">
        <v>2870000.0</v>
      </c>
      <c r="AF17" s="11">
        <v>2230000.0</v>
      </c>
      <c r="AG17" s="11">
        <v>1410000.0</v>
      </c>
      <c r="AH17" s="11">
        <v>3180000.0</v>
      </c>
      <c r="AI17" s="11">
        <v>7610000.0</v>
      </c>
      <c r="AJ17" s="11">
        <v>7120000.0</v>
      </c>
      <c r="AK17" s="11">
        <v>4990000.0</v>
      </c>
      <c r="AL17" s="11">
        <v>4600000.0</v>
      </c>
      <c r="AM17" s="11">
        <v>4420000.0</v>
      </c>
      <c r="AN17" s="11">
        <v>3670000.0</v>
      </c>
      <c r="AO17" s="11">
        <v>2320000.0</v>
      </c>
      <c r="AP17" s="11">
        <v>344000.0</v>
      </c>
      <c r="AQ17" s="11">
        <v>1060000.0</v>
      </c>
      <c r="AR17" s="11">
        <v>2590000.0</v>
      </c>
      <c r="AS17" s="11">
        <v>6140000.0</v>
      </c>
      <c r="AT17" s="11">
        <v>6300000.0</v>
      </c>
      <c r="AU17" s="11">
        <v>5570000.0</v>
      </c>
      <c r="AV17" s="11">
        <v>3200000.0</v>
      </c>
      <c r="AW17" s="11">
        <v>2970000.0</v>
      </c>
      <c r="AX17" s="11">
        <v>-1640000.0</v>
      </c>
      <c r="AY17" s="11">
        <v>-1390000.0</v>
      </c>
      <c r="AZ17" s="11">
        <v>-1140000.0</v>
      </c>
      <c r="BA17" s="11">
        <v>-1120000.0</v>
      </c>
      <c r="BB17" s="11">
        <v>-1110000.0</v>
      </c>
      <c r="BC17" s="11">
        <v>-2270000.0</v>
      </c>
      <c r="BD17" s="11">
        <v>-1970000.0</v>
      </c>
      <c r="BE17" s="11">
        <v>-1850000.0</v>
      </c>
      <c r="BF17" s="11">
        <v>-1540000.0</v>
      </c>
      <c r="BG17" s="11">
        <v>-1440000.0</v>
      </c>
      <c r="BH17" s="11">
        <v>4140000.0</v>
      </c>
      <c r="BI17" s="11">
        <v>4090000.0</v>
      </c>
      <c r="BJ17" s="11">
        <v>9610000.0</v>
      </c>
      <c r="BK17" s="11">
        <v>1.878E7</v>
      </c>
      <c r="BL17" s="11">
        <v>6130000.0</v>
      </c>
      <c r="BM17" s="11">
        <v>5430000.0</v>
      </c>
      <c r="BN17" s="11">
        <v>5180000.0</v>
      </c>
      <c r="BO17" s="11">
        <v>5250000.0</v>
      </c>
      <c r="BP17" s="11">
        <v>3250000.0</v>
      </c>
      <c r="BQ17" s="11">
        <v>3420000.0</v>
      </c>
      <c r="BR17" s="11">
        <v>4320000.0</v>
      </c>
      <c r="BS17" s="11">
        <v>3800000.0</v>
      </c>
      <c r="BT17" s="11">
        <v>3600000.0</v>
      </c>
      <c r="BU17" s="11">
        <v>2430000.0</v>
      </c>
      <c r="BV17" s="11">
        <v>2600000.0</v>
      </c>
      <c r="BW17" s="11">
        <v>1.567E7</v>
      </c>
      <c r="BX17" s="11">
        <v>1.463E7</v>
      </c>
      <c r="BY17" s="11">
        <v>2.015E7</v>
      </c>
      <c r="BZ17" s="11">
        <v>2.678E7</v>
      </c>
      <c r="CA17" s="11">
        <v>1.416E7</v>
      </c>
      <c r="CB17" s="11">
        <v>8970000.0</v>
      </c>
      <c r="CC17" s="11">
        <v>7560000.0</v>
      </c>
      <c r="CD17" s="11">
        <v>7610000.0</v>
      </c>
      <c r="CE17" s="11">
        <v>5710000.0</v>
      </c>
      <c r="CF17" s="11">
        <v>5730000.0</v>
      </c>
      <c r="CG17" s="11">
        <v>2.32E7</v>
      </c>
      <c r="CH17" s="11">
        <v>2.325E7</v>
      </c>
      <c r="CI17" s="11">
        <v>2.402E7</v>
      </c>
      <c r="CJ17" s="11">
        <v>7680000.0</v>
      </c>
      <c r="CK17" s="11">
        <v>9640000.0</v>
      </c>
      <c r="CL17" s="11">
        <v>6.789E7</v>
      </c>
      <c r="CM17" s="11">
        <v>6.717E7</v>
      </c>
      <c r="CN17" s="11">
        <v>7.625E7</v>
      </c>
      <c r="CO17" s="11">
        <v>5.501E7</v>
      </c>
      <c r="CP17" s="11">
        <v>4.4E7</v>
      </c>
      <c r="CQ17" s="11">
        <v>3250000.0</v>
      </c>
      <c r="CR17" s="11">
        <v>2980000.0</v>
      </c>
      <c r="CS17" s="11">
        <v>2400000.0</v>
      </c>
      <c r="CT17" s="11">
        <v>1180000.0</v>
      </c>
      <c r="CU17" s="11">
        <v>1080000.0</v>
      </c>
      <c r="CV17" s="11">
        <v>1.086E7</v>
      </c>
      <c r="CW17" s="11">
        <v>406000.0</v>
      </c>
      <c r="CX17" s="11">
        <v>200000.0</v>
      </c>
      <c r="CY17" s="11">
        <v>206000.0</v>
      </c>
      <c r="CZ17" s="11">
        <v>1320000.0</v>
      </c>
      <c r="DA17" s="11">
        <v>3130000.0</v>
      </c>
      <c r="DB17" s="11">
        <v>1.086E7</v>
      </c>
      <c r="DC17" s="11">
        <v>9010000.0</v>
      </c>
      <c r="DD17" s="11">
        <v>8910000.0</v>
      </c>
      <c r="DE17" s="11">
        <v>6660000.0</v>
      </c>
      <c r="DF17" s="11">
        <v>3.659E7</v>
      </c>
      <c r="DG17" s="11">
        <v>3.645E7</v>
      </c>
      <c r="DH17" s="11">
        <v>4.515E7</v>
      </c>
      <c r="DI17" s="11">
        <v>3.429E7</v>
      </c>
      <c r="DJ17" s="11">
        <v>2.268E7</v>
      </c>
      <c r="DK17" s="11">
        <v>931000.0</v>
      </c>
      <c r="DL17" s="11">
        <v>897000.0</v>
      </c>
      <c r="DM17" s="11">
        <v>883000.0</v>
      </c>
      <c r="DN17" s="11">
        <v>2950000.0</v>
      </c>
      <c r="DO17" s="11">
        <v>4040000.0</v>
      </c>
      <c r="DP17" s="11">
        <v>1.742E7</v>
      </c>
      <c r="DQ17" s="11">
        <v>1.936E7</v>
      </c>
      <c r="DR17" s="11">
        <v>2.721E7</v>
      </c>
      <c r="DS17" s="11">
        <v>2.068E7</v>
      </c>
      <c r="DT17" s="11">
        <v>5870000.0</v>
      </c>
      <c r="DU17" s="13"/>
      <c r="DV17" s="12"/>
      <c r="DW17" s="12"/>
      <c r="DX17" s="12"/>
      <c r="DY17" s="13"/>
      <c r="DZ17" s="11">
        <v>3.109E7</v>
      </c>
      <c r="EA17" s="11">
        <v>3.052E7</v>
      </c>
      <c r="EB17" s="11">
        <v>3.09E7</v>
      </c>
      <c r="EC17" s="11">
        <v>2.054E7</v>
      </c>
      <c r="ED17" s="11">
        <v>2.121E7</v>
      </c>
      <c r="EE17" s="14">
        <v>0.056</v>
      </c>
      <c r="EF17" s="14">
        <v>0.084</v>
      </c>
      <c r="EG17" s="14">
        <v>0.357</v>
      </c>
      <c r="EH17" s="14">
        <v>0.12</v>
      </c>
    </row>
    <row r="18">
      <c r="A18" s="9">
        <f t="shared" si="2"/>
        <v>16</v>
      </c>
      <c r="B18" s="22" t="s">
        <v>151</v>
      </c>
      <c r="C18" s="11">
        <v>10180.0</v>
      </c>
      <c r="D18" s="11">
        <v>6650.0</v>
      </c>
      <c r="E18" s="11">
        <v>6010.0</v>
      </c>
      <c r="F18" s="11">
        <v>5950.0</v>
      </c>
      <c r="G18" s="11">
        <v>10700.0</v>
      </c>
      <c r="H18" s="11">
        <v>1490.0</v>
      </c>
      <c r="I18" s="11">
        <v>24870.0</v>
      </c>
      <c r="J18" s="12"/>
      <c r="K18" s="12"/>
      <c r="L18" s="12"/>
      <c r="M18" s="12"/>
      <c r="N18" s="12"/>
      <c r="O18" s="11">
        <v>75330.0</v>
      </c>
      <c r="P18" s="11">
        <v>73950.0</v>
      </c>
      <c r="Q18" s="11">
        <v>78810.0</v>
      </c>
      <c r="R18" s="11">
        <v>68690.0</v>
      </c>
      <c r="S18" s="11">
        <v>61240.0</v>
      </c>
      <c r="T18" s="11">
        <v>57600.0</v>
      </c>
      <c r="U18" s="11">
        <v>57950.0</v>
      </c>
      <c r="V18" s="11">
        <v>62680.0</v>
      </c>
      <c r="W18" s="11">
        <v>55250.0</v>
      </c>
      <c r="X18" s="11">
        <v>47310.0</v>
      </c>
      <c r="Y18" s="11">
        <v>-143900.0</v>
      </c>
      <c r="Z18" s="11">
        <v>-57620.0</v>
      </c>
      <c r="AA18" s="11">
        <v>-112310.0</v>
      </c>
      <c r="AB18" s="11">
        <v>-492680.0</v>
      </c>
      <c r="AC18" s="11">
        <v>-99750.0</v>
      </c>
      <c r="AD18" s="11">
        <v>-143860.0</v>
      </c>
      <c r="AE18" s="11">
        <v>-61360.0</v>
      </c>
      <c r="AF18" s="11">
        <v>-108730.0</v>
      </c>
      <c r="AG18" s="11">
        <v>-489170.0</v>
      </c>
      <c r="AH18" s="11">
        <v>-77310.0</v>
      </c>
      <c r="AI18" s="11">
        <v>-69320.0</v>
      </c>
      <c r="AJ18" s="11">
        <v>-68010.0</v>
      </c>
      <c r="AK18" s="11">
        <v>-68110.0</v>
      </c>
      <c r="AL18" s="11">
        <v>-67200.0</v>
      </c>
      <c r="AM18" s="11">
        <v>-36370.0</v>
      </c>
      <c r="AN18" s="11">
        <v>-153720.0</v>
      </c>
      <c r="AO18" s="11">
        <v>-57060.0</v>
      </c>
      <c r="AP18" s="11">
        <v>-84410.0</v>
      </c>
      <c r="AQ18" s="11">
        <v>-384160.0</v>
      </c>
      <c r="AR18" s="11">
        <v>-61120.0</v>
      </c>
      <c r="AS18" s="11">
        <v>-71010.0</v>
      </c>
      <c r="AT18" s="11">
        <v>-67870.0</v>
      </c>
      <c r="AU18" s="11">
        <v>-48640.0</v>
      </c>
      <c r="AV18" s="11">
        <v>-57890.0</v>
      </c>
      <c r="AW18" s="11">
        <v>-54790.0</v>
      </c>
      <c r="AX18" s="11">
        <v>-589.0</v>
      </c>
      <c r="AY18" s="11">
        <v>-1140.0</v>
      </c>
      <c r="AZ18" s="11">
        <v>-7260.0</v>
      </c>
      <c r="BA18" s="11">
        <v>-4000.0</v>
      </c>
      <c r="BB18" s="11">
        <v>-2290.0</v>
      </c>
      <c r="BC18" s="12"/>
      <c r="BD18" s="12"/>
      <c r="BE18" s="12"/>
      <c r="BF18" s="12"/>
      <c r="BG18" s="12"/>
      <c r="BH18" s="11">
        <v>90830.0</v>
      </c>
      <c r="BI18" s="11">
        <v>124620.0</v>
      </c>
      <c r="BJ18" s="11">
        <v>126350.0</v>
      </c>
      <c r="BK18" s="11">
        <v>130560.0</v>
      </c>
      <c r="BL18" s="11">
        <v>181300.0</v>
      </c>
      <c r="BM18" s="11">
        <v>1200.0</v>
      </c>
      <c r="BN18" s="11">
        <v>1820.0</v>
      </c>
      <c r="BO18" s="11">
        <v>870.0</v>
      </c>
      <c r="BP18" s="11">
        <v>694.0</v>
      </c>
      <c r="BQ18" s="11">
        <v>1380.0</v>
      </c>
      <c r="BR18" s="12"/>
      <c r="BS18" s="12"/>
      <c r="BT18" s="12"/>
      <c r="BU18" s="12"/>
      <c r="BV18" s="12"/>
      <c r="BW18" s="11">
        <v>93830.0</v>
      </c>
      <c r="BX18" s="11">
        <v>129230.0</v>
      </c>
      <c r="BY18" s="11">
        <v>129370.0</v>
      </c>
      <c r="BZ18" s="11">
        <v>132560.0</v>
      </c>
      <c r="CA18" s="11">
        <v>183880.0</v>
      </c>
      <c r="CB18" s="11">
        <v>11410.0</v>
      </c>
      <c r="CC18" s="11">
        <v>10150.0</v>
      </c>
      <c r="CD18" s="11">
        <v>12180.0</v>
      </c>
      <c r="CE18" s="11">
        <v>6950.0</v>
      </c>
      <c r="CF18" s="11">
        <v>3180.0</v>
      </c>
      <c r="CG18" s="12"/>
      <c r="CH18" s="11">
        <v>22470.0</v>
      </c>
      <c r="CI18" s="11">
        <v>24360.0</v>
      </c>
      <c r="CJ18" s="11">
        <v>24360.0</v>
      </c>
      <c r="CK18" s="11">
        <v>162510.0</v>
      </c>
      <c r="CL18" s="11">
        <v>105540.0</v>
      </c>
      <c r="CM18" s="11">
        <v>227910.0</v>
      </c>
      <c r="CN18" s="11">
        <v>237160.0</v>
      </c>
      <c r="CO18" s="11">
        <v>275920.0</v>
      </c>
      <c r="CP18" s="11">
        <v>712290.0</v>
      </c>
      <c r="CQ18" s="11">
        <v>2400.0</v>
      </c>
      <c r="CR18" s="11">
        <v>3190.0</v>
      </c>
      <c r="CS18" s="11">
        <v>1990.0</v>
      </c>
      <c r="CT18" s="11">
        <v>3220.0</v>
      </c>
      <c r="CU18" s="11">
        <v>2610.0</v>
      </c>
      <c r="CV18" s="11">
        <v>7830.0</v>
      </c>
      <c r="CW18" s="11">
        <v>340.0</v>
      </c>
      <c r="CX18" s="12"/>
      <c r="CY18" s="12"/>
      <c r="CZ18" s="12"/>
      <c r="DA18" s="12"/>
      <c r="DB18" s="11">
        <v>7830.0</v>
      </c>
      <c r="DC18" s="11">
        <v>11240.0</v>
      </c>
      <c r="DD18" s="11">
        <v>14630.0</v>
      </c>
      <c r="DE18" s="11">
        <v>10590.0</v>
      </c>
      <c r="DF18" s="11">
        <v>32790.0</v>
      </c>
      <c r="DG18" s="11">
        <v>27670.0</v>
      </c>
      <c r="DH18" s="11">
        <v>54690.0</v>
      </c>
      <c r="DI18" s="11">
        <v>72910.0</v>
      </c>
      <c r="DJ18" s="11">
        <v>164610.0</v>
      </c>
      <c r="DK18" s="12"/>
      <c r="DL18" s="11">
        <v>22220.0</v>
      </c>
      <c r="DM18" s="11">
        <v>12600.0</v>
      </c>
      <c r="DN18" s="11">
        <v>12600.0</v>
      </c>
      <c r="DO18" s="11">
        <v>10070.0</v>
      </c>
      <c r="DP18" s="11">
        <v>22010.0</v>
      </c>
      <c r="DQ18" s="12"/>
      <c r="DR18" s="11">
        <v>12000.0</v>
      </c>
      <c r="DS18" s="11">
        <v>12000.0</v>
      </c>
      <c r="DT18" s="12"/>
      <c r="DU18" s="11">
        <v>137290.0</v>
      </c>
      <c r="DV18" s="11">
        <v>126140.0</v>
      </c>
      <c r="DW18" s="11">
        <v>49780.0</v>
      </c>
      <c r="DX18" s="13"/>
      <c r="DY18" s="13"/>
      <c r="DZ18" s="11">
        <v>72740.0</v>
      </c>
      <c r="EA18" s="11">
        <v>200230.0</v>
      </c>
      <c r="EB18" s="11">
        <v>182470.0</v>
      </c>
      <c r="EC18" s="11">
        <v>203010.0</v>
      </c>
      <c r="ED18" s="11">
        <v>547680.0</v>
      </c>
      <c r="EE18" s="14">
        <v>0.361</v>
      </c>
      <c r="EF18" s="23"/>
      <c r="EG18" s="14">
        <v>-0.042</v>
      </c>
      <c r="EH18" s="14">
        <v>0.246</v>
      </c>
    </row>
    <row r="19">
      <c r="A19" s="9">
        <f t="shared" si="2"/>
        <v>17</v>
      </c>
      <c r="B19" s="10" t="s">
        <v>152</v>
      </c>
      <c r="C19" s="12"/>
      <c r="D19" s="12"/>
      <c r="E19" s="15">
        <v>1.286E7</v>
      </c>
      <c r="F19" s="15">
        <v>9450000.0</v>
      </c>
      <c r="G19" s="15">
        <v>1.081E7</v>
      </c>
      <c r="H19" s="15">
        <v>1.125E7</v>
      </c>
      <c r="I19" s="15">
        <v>1.164E7</v>
      </c>
      <c r="J19" s="15">
        <v>3130000.0</v>
      </c>
      <c r="K19" s="15">
        <v>2100000.0</v>
      </c>
      <c r="L19" s="15">
        <v>3320000.0</v>
      </c>
      <c r="M19" s="15">
        <v>3620000.0</v>
      </c>
      <c r="N19" s="15">
        <v>2620000.0</v>
      </c>
      <c r="O19" s="15">
        <v>257420.0</v>
      </c>
      <c r="P19" s="15">
        <v>261820.0</v>
      </c>
      <c r="Q19" s="15">
        <v>318010.0</v>
      </c>
      <c r="R19" s="15">
        <v>343150.0</v>
      </c>
      <c r="S19" s="15">
        <v>500240.0</v>
      </c>
      <c r="T19" s="15">
        <v>0.0</v>
      </c>
      <c r="U19" s="15">
        <v>0.0</v>
      </c>
      <c r="V19" s="15">
        <v>0.0</v>
      </c>
      <c r="W19" s="15">
        <v>0.0</v>
      </c>
      <c r="X19" s="15">
        <v>0.0</v>
      </c>
      <c r="Y19" s="15">
        <v>8070000.0</v>
      </c>
      <c r="Z19" s="15">
        <v>366810.0</v>
      </c>
      <c r="AA19" s="15">
        <v>3160000.0</v>
      </c>
      <c r="AB19" s="15">
        <v>3480000.0</v>
      </c>
      <c r="AC19" s="15">
        <v>-3040000.0</v>
      </c>
      <c r="AD19" s="15">
        <v>8220000.0</v>
      </c>
      <c r="AE19" s="15">
        <v>-366810.0</v>
      </c>
      <c r="AF19" s="15">
        <v>3470000.0</v>
      </c>
      <c r="AG19" s="15">
        <v>2330000.0</v>
      </c>
      <c r="AH19" s="15">
        <v>-4010000.0</v>
      </c>
      <c r="AI19" s="15">
        <v>5680000.0</v>
      </c>
      <c r="AJ19" s="15">
        <v>3820000.0</v>
      </c>
      <c r="AK19" s="15">
        <v>5290000.0</v>
      </c>
      <c r="AL19" s="15">
        <v>5600000.0</v>
      </c>
      <c r="AM19" s="15">
        <v>4460000.0</v>
      </c>
      <c r="AN19" s="15">
        <v>5270000.0</v>
      </c>
      <c r="AO19" s="15">
        <v>-2000000.0</v>
      </c>
      <c r="AP19" s="15">
        <v>1870000.0</v>
      </c>
      <c r="AQ19" s="15">
        <v>867820.0</v>
      </c>
      <c r="AR19" s="15">
        <v>-3630000.0</v>
      </c>
      <c r="AS19" s="15">
        <v>3920000.0</v>
      </c>
      <c r="AT19" s="15">
        <v>2290000.0</v>
      </c>
      <c r="AU19" s="15">
        <v>2680000.0</v>
      </c>
      <c r="AV19" s="15">
        <v>3500000.0</v>
      </c>
      <c r="AW19" s="15">
        <v>3570000.0</v>
      </c>
      <c r="AX19" s="15">
        <v>-2260000.0</v>
      </c>
      <c r="AY19" s="15">
        <v>-1810000.0</v>
      </c>
      <c r="AZ19" s="15">
        <v>-1810000.0</v>
      </c>
      <c r="BA19" s="15">
        <v>-1490000.0</v>
      </c>
      <c r="BB19" s="15">
        <v>-2190000.0</v>
      </c>
      <c r="BC19" s="15">
        <v>-727140.0</v>
      </c>
      <c r="BD19" s="15">
        <v>-162020.0</v>
      </c>
      <c r="BE19" s="15">
        <v>-162250.0</v>
      </c>
      <c r="BF19" s="15">
        <v>-113940.0</v>
      </c>
      <c r="BG19" s="15">
        <v>-204700.0</v>
      </c>
      <c r="BH19" s="15">
        <v>4300000.0</v>
      </c>
      <c r="BI19" s="15">
        <v>2150000.0</v>
      </c>
      <c r="BJ19" s="15">
        <v>2800000.0</v>
      </c>
      <c r="BK19" s="15">
        <v>3210000.0</v>
      </c>
      <c r="BL19" s="15">
        <v>3440000.0</v>
      </c>
      <c r="BM19" s="15">
        <v>862340.0</v>
      </c>
      <c r="BN19" s="15">
        <v>587290.0</v>
      </c>
      <c r="BO19" s="15">
        <v>508700.0</v>
      </c>
      <c r="BP19" s="15">
        <v>654430.0</v>
      </c>
      <c r="BQ19" s="15">
        <v>630650.0</v>
      </c>
      <c r="BR19" s="15">
        <v>2970000.0</v>
      </c>
      <c r="BS19" s="15">
        <v>2530000.0</v>
      </c>
      <c r="BT19" s="15">
        <v>2370000.0</v>
      </c>
      <c r="BU19" s="15">
        <v>2590000.0</v>
      </c>
      <c r="BV19" s="15">
        <v>2390000.0</v>
      </c>
      <c r="BW19" s="15">
        <v>8930000.0</v>
      </c>
      <c r="BX19" s="15">
        <v>5430000.0</v>
      </c>
      <c r="BY19" s="15">
        <v>5870000.0</v>
      </c>
      <c r="BZ19" s="15">
        <v>6540000.0</v>
      </c>
      <c r="CA19" s="15">
        <v>7600000.0</v>
      </c>
      <c r="CB19" s="15">
        <v>3.13E7</v>
      </c>
      <c r="CC19" s="15">
        <v>1.752E7</v>
      </c>
      <c r="CD19" s="15">
        <v>1.73E7</v>
      </c>
      <c r="CE19" s="15">
        <v>1.891E7</v>
      </c>
      <c r="CF19" s="15">
        <v>2.005E7</v>
      </c>
      <c r="CG19" s="15">
        <v>6180000.0</v>
      </c>
      <c r="CH19" s="15">
        <v>1610000.0</v>
      </c>
      <c r="CI19" s="15">
        <v>1670000.0</v>
      </c>
      <c r="CJ19" s="15">
        <v>1840000.0</v>
      </c>
      <c r="CK19" s="15">
        <v>1900000.0</v>
      </c>
      <c r="CL19" s="15">
        <v>5.757E7</v>
      </c>
      <c r="CM19" s="15">
        <v>3.091E7</v>
      </c>
      <c r="CN19" s="15">
        <v>3.171E7</v>
      </c>
      <c r="CO19" s="15">
        <v>3.388E7</v>
      </c>
      <c r="CP19" s="15">
        <v>3.654E7</v>
      </c>
      <c r="CQ19" s="15">
        <v>927180.0</v>
      </c>
      <c r="CR19" s="15">
        <v>1020000.0</v>
      </c>
      <c r="CS19" s="15">
        <v>952240.0</v>
      </c>
      <c r="CT19" s="15">
        <v>1000000.0</v>
      </c>
      <c r="CU19" s="15">
        <v>1020000.0</v>
      </c>
      <c r="CV19" s="15">
        <v>3080000.0</v>
      </c>
      <c r="CW19" s="15">
        <v>0.0</v>
      </c>
      <c r="CX19" s="16">
        <v>0.0</v>
      </c>
      <c r="CY19" s="15">
        <v>0.0</v>
      </c>
      <c r="CZ19" s="16">
        <v>0.0</v>
      </c>
      <c r="DA19" s="15">
        <v>0.0</v>
      </c>
      <c r="DB19" s="15">
        <v>3080000.0</v>
      </c>
      <c r="DC19" s="15">
        <v>2280000.0</v>
      </c>
      <c r="DD19" s="15">
        <v>2190000.0</v>
      </c>
      <c r="DE19" s="15">
        <v>2440000.0</v>
      </c>
      <c r="DF19" s="15">
        <v>1.889E7</v>
      </c>
      <c r="DG19" s="15">
        <v>1.809E7</v>
      </c>
      <c r="DH19" s="15">
        <v>1.789E7</v>
      </c>
      <c r="DI19" s="15">
        <v>2.01E7</v>
      </c>
      <c r="DJ19" s="15">
        <v>2.346E7</v>
      </c>
      <c r="DK19" s="15">
        <v>6420000.0</v>
      </c>
      <c r="DL19" s="15">
        <v>2140000.0</v>
      </c>
      <c r="DM19" s="15">
        <v>1670000.0</v>
      </c>
      <c r="DN19" s="15">
        <v>1770000.0</v>
      </c>
      <c r="DO19" s="15">
        <v>1800000.0</v>
      </c>
      <c r="DP19" s="15">
        <v>6690000.0</v>
      </c>
      <c r="DQ19" s="15">
        <v>7780000.0</v>
      </c>
      <c r="DR19" s="15">
        <v>8020000.0</v>
      </c>
      <c r="DS19" s="15">
        <v>1.05E7</v>
      </c>
      <c r="DT19" s="15">
        <v>1.461E7</v>
      </c>
      <c r="DU19" s="16">
        <v>0.0</v>
      </c>
      <c r="DV19" s="15">
        <v>0.0</v>
      </c>
      <c r="DW19" s="15">
        <v>0.0</v>
      </c>
      <c r="DX19" s="15">
        <v>0.0</v>
      </c>
      <c r="DY19" s="16">
        <v>0.0</v>
      </c>
      <c r="DZ19" s="15">
        <v>2.779E7</v>
      </c>
      <c r="EA19" s="15">
        <v>1.037E7</v>
      </c>
      <c r="EB19" s="15">
        <v>1.159E7</v>
      </c>
      <c r="EC19" s="15">
        <v>1.059E7</v>
      </c>
      <c r="ED19" s="15">
        <v>9920000.0</v>
      </c>
      <c r="EE19" s="23"/>
      <c r="EF19" s="23"/>
      <c r="EG19" s="23"/>
      <c r="EH19" s="23"/>
    </row>
    <row r="20">
      <c r="A20" s="9">
        <f t="shared" si="2"/>
        <v>18</v>
      </c>
      <c r="B20" s="22" t="s">
        <v>153</v>
      </c>
      <c r="C20" s="11">
        <v>735350.0</v>
      </c>
      <c r="D20" s="11">
        <v>443030.0</v>
      </c>
      <c r="E20" s="11">
        <v>339080.0</v>
      </c>
      <c r="F20" s="11">
        <v>223810.0</v>
      </c>
      <c r="G20" s="11">
        <v>124900.0</v>
      </c>
      <c r="H20" s="11">
        <v>17330.0</v>
      </c>
      <c r="I20" s="11">
        <v>61.0</v>
      </c>
      <c r="J20" s="11">
        <v>327730.0</v>
      </c>
      <c r="K20" s="11">
        <v>211430.0</v>
      </c>
      <c r="L20" s="11">
        <v>115820.0</v>
      </c>
      <c r="M20" s="11">
        <v>14260.0</v>
      </c>
      <c r="N20" s="12"/>
      <c r="O20" s="11">
        <v>574280.0</v>
      </c>
      <c r="P20" s="11">
        <v>458870.0</v>
      </c>
      <c r="Q20" s="11">
        <v>404250.0</v>
      </c>
      <c r="R20" s="11">
        <v>285740.0</v>
      </c>
      <c r="S20" s="11">
        <v>161530.0</v>
      </c>
      <c r="T20" s="11">
        <v>240390.0</v>
      </c>
      <c r="U20" s="11">
        <v>187160.0</v>
      </c>
      <c r="V20" s="11">
        <v>149190.0</v>
      </c>
      <c r="W20" s="11">
        <v>99280.0</v>
      </c>
      <c r="X20" s="11">
        <v>73870.0</v>
      </c>
      <c r="Y20" s="12"/>
      <c r="Z20" s="12"/>
      <c r="AA20" s="12"/>
      <c r="AB20" s="12"/>
      <c r="AC20" s="12"/>
      <c r="AD20" s="11">
        <v>-234380.0</v>
      </c>
      <c r="AE20" s="11">
        <v>-243940.0</v>
      </c>
      <c r="AF20" s="11">
        <v>-288280.0</v>
      </c>
      <c r="AG20" s="11">
        <v>-270050.0</v>
      </c>
      <c r="AH20" s="11">
        <v>-164110.0</v>
      </c>
      <c r="AI20" s="11">
        <v>-243780.0</v>
      </c>
      <c r="AJ20" s="11">
        <v>-244440.0</v>
      </c>
      <c r="AK20" s="11">
        <v>-289700.0</v>
      </c>
      <c r="AL20" s="11">
        <v>-270990.0</v>
      </c>
      <c r="AM20" s="11">
        <v>-163970.0</v>
      </c>
      <c r="AN20" s="11">
        <v>-235260.0</v>
      </c>
      <c r="AO20" s="11">
        <v>-245190.0</v>
      </c>
      <c r="AP20" s="11">
        <v>-289400.0</v>
      </c>
      <c r="AQ20" s="11">
        <v>-271390.0</v>
      </c>
      <c r="AR20" s="11">
        <v>-164440.0</v>
      </c>
      <c r="AS20" s="11">
        <v>-148610.0</v>
      </c>
      <c r="AT20" s="11">
        <v>-167470.0</v>
      </c>
      <c r="AU20" s="11">
        <v>-217760.0</v>
      </c>
      <c r="AV20" s="11">
        <v>-208410.0</v>
      </c>
      <c r="AW20" s="11">
        <v>-121420.0</v>
      </c>
      <c r="AX20" s="11">
        <v>-1130.0</v>
      </c>
      <c r="AY20" s="11">
        <v>-2150.0</v>
      </c>
      <c r="AZ20" s="11">
        <v>-812.0</v>
      </c>
      <c r="BA20" s="11">
        <v>-9510.0</v>
      </c>
      <c r="BB20" s="11">
        <v>-2140.0</v>
      </c>
      <c r="BC20" s="12"/>
      <c r="BD20" s="12"/>
      <c r="BE20" s="12"/>
      <c r="BF20" s="12"/>
      <c r="BG20" s="12"/>
      <c r="BH20" s="11">
        <v>697430.0</v>
      </c>
      <c r="BI20" s="11">
        <v>473520.0</v>
      </c>
      <c r="BJ20" s="11">
        <v>341340.0</v>
      </c>
      <c r="BK20" s="11">
        <v>529040.0</v>
      </c>
      <c r="BL20" s="11">
        <v>215130.0</v>
      </c>
      <c r="BM20" s="11">
        <v>37870.0</v>
      </c>
      <c r="BN20" s="11">
        <v>27790.0</v>
      </c>
      <c r="BO20" s="11">
        <v>18430.0</v>
      </c>
      <c r="BP20" s="11">
        <v>7140.0</v>
      </c>
      <c r="BQ20" s="11">
        <v>1640.0</v>
      </c>
      <c r="BR20" s="11">
        <v>6340.0</v>
      </c>
      <c r="BS20" s="11">
        <v>4070.0</v>
      </c>
      <c r="BT20" s="11">
        <v>5250.0</v>
      </c>
      <c r="BU20" s="11">
        <v>4180.0</v>
      </c>
      <c r="BV20" s="12"/>
      <c r="BW20" s="11">
        <v>760250.0</v>
      </c>
      <c r="BX20" s="11">
        <v>526110.0</v>
      </c>
      <c r="BY20" s="11">
        <v>373480.0</v>
      </c>
      <c r="BZ20" s="11">
        <v>547900.0</v>
      </c>
      <c r="CA20" s="11">
        <v>218990.0</v>
      </c>
      <c r="CB20" s="11">
        <v>12700.0</v>
      </c>
      <c r="CC20" s="11">
        <v>3310.0</v>
      </c>
      <c r="CD20" s="11">
        <v>2660.0</v>
      </c>
      <c r="CE20" s="11">
        <v>3080.0</v>
      </c>
      <c r="CF20" s="11">
        <v>2200.0</v>
      </c>
      <c r="CG20" s="12"/>
      <c r="CH20" s="12"/>
      <c r="CI20" s="12"/>
      <c r="CJ20" s="12"/>
      <c r="CK20" s="12"/>
      <c r="CL20" s="11">
        <v>783180.0</v>
      </c>
      <c r="CM20" s="11">
        <v>540200.0</v>
      </c>
      <c r="CN20" s="11">
        <v>384510.0</v>
      </c>
      <c r="CO20" s="11">
        <v>561150.0</v>
      </c>
      <c r="CP20" s="11">
        <v>221900.0</v>
      </c>
      <c r="CQ20" s="11">
        <v>7220.0</v>
      </c>
      <c r="CR20" s="11">
        <v>3170.0</v>
      </c>
      <c r="CS20" s="11">
        <v>8790.0</v>
      </c>
      <c r="CT20" s="11">
        <v>3910.0</v>
      </c>
      <c r="CU20" s="11">
        <v>1670.0</v>
      </c>
      <c r="CV20" s="11">
        <v>74830.0</v>
      </c>
      <c r="CW20" s="11">
        <v>3430.0</v>
      </c>
      <c r="CX20" s="12"/>
      <c r="CY20" s="12"/>
      <c r="CZ20" s="12"/>
      <c r="DA20" s="12"/>
      <c r="DB20" s="11">
        <v>74830.0</v>
      </c>
      <c r="DC20" s="11">
        <v>59570.0</v>
      </c>
      <c r="DD20" s="11">
        <v>49030.0</v>
      </c>
      <c r="DE20" s="11">
        <v>42590.0</v>
      </c>
      <c r="DF20" s="11">
        <v>84050.0</v>
      </c>
      <c r="DG20" s="11">
        <v>61120.0</v>
      </c>
      <c r="DH20" s="11">
        <v>49220.0</v>
      </c>
      <c r="DI20" s="11">
        <v>42740.0</v>
      </c>
      <c r="DJ20" s="11">
        <v>22130.0</v>
      </c>
      <c r="DK20" s="11">
        <v>7090.0</v>
      </c>
      <c r="DL20" s="11">
        <v>4830.0</v>
      </c>
      <c r="DM20" s="11">
        <v>2480.0</v>
      </c>
      <c r="DN20" s="11">
        <v>2380.0</v>
      </c>
      <c r="DO20" s="24">
        <v>375.0</v>
      </c>
      <c r="DP20" s="11">
        <v>6360.0</v>
      </c>
      <c r="DQ20" s="12"/>
      <c r="DR20" s="12"/>
      <c r="DS20" s="12"/>
      <c r="DT20" s="12"/>
      <c r="DU20" s="13"/>
      <c r="DV20" s="12"/>
      <c r="DW20" s="12"/>
      <c r="DX20" s="13"/>
      <c r="DY20" s="13"/>
      <c r="DZ20" s="11">
        <v>699140.0</v>
      </c>
      <c r="EA20" s="11">
        <v>479080.0</v>
      </c>
      <c r="EB20" s="11">
        <v>335290.0</v>
      </c>
      <c r="EC20" s="11">
        <v>518410.0</v>
      </c>
      <c r="ED20" s="11">
        <v>199760.0</v>
      </c>
      <c r="EE20" s="14">
        <v>0.036</v>
      </c>
      <c r="EF20" s="14">
        <v>0.581</v>
      </c>
      <c r="EG20" s="14">
        <v>0.386</v>
      </c>
      <c r="EH20" s="14">
        <v>0.133</v>
      </c>
    </row>
    <row r="21">
      <c r="A21" s="9">
        <f t="shared" si="2"/>
        <v>19</v>
      </c>
      <c r="B21" s="10" t="s">
        <v>154</v>
      </c>
      <c r="C21" s="12"/>
      <c r="D21" s="12"/>
      <c r="E21" s="15">
        <v>2.1553E8</v>
      </c>
      <c r="F21" s="15">
        <v>2.1349E8</v>
      </c>
      <c r="G21" s="15">
        <v>2.0873E8</v>
      </c>
      <c r="H21" s="15">
        <v>1.6852E8</v>
      </c>
      <c r="I21" s="15">
        <v>1.523E8</v>
      </c>
      <c r="J21" s="15">
        <v>1.348E7</v>
      </c>
      <c r="K21" s="15">
        <v>1.534E7</v>
      </c>
      <c r="L21" s="15">
        <v>1.665E7</v>
      </c>
      <c r="M21" s="15">
        <v>1.195E7</v>
      </c>
      <c r="N21" s="15">
        <v>2670000.0</v>
      </c>
      <c r="O21" s="15">
        <v>7370000.0</v>
      </c>
      <c r="P21" s="15">
        <v>8210000.0</v>
      </c>
      <c r="Q21" s="15">
        <v>8220000.0</v>
      </c>
      <c r="R21" s="15">
        <v>6160000.0</v>
      </c>
      <c r="S21" s="15">
        <v>4890000.0</v>
      </c>
      <c r="T21" s="15">
        <v>1070000.0</v>
      </c>
      <c r="U21" s="15">
        <v>742500.0</v>
      </c>
      <c r="V21" s="15">
        <v>574510.0</v>
      </c>
      <c r="W21" s="15">
        <v>197300.0</v>
      </c>
      <c r="X21" s="15">
        <v>208300.0</v>
      </c>
      <c r="Y21" s="15">
        <v>5800000.0</v>
      </c>
      <c r="Z21" s="15">
        <v>693640.0</v>
      </c>
      <c r="AA21" s="15">
        <v>-34170.0</v>
      </c>
      <c r="AB21" s="15">
        <v>113930.0</v>
      </c>
      <c r="AC21" s="15">
        <v>-275180.0</v>
      </c>
      <c r="AD21" s="15">
        <v>2040000.0</v>
      </c>
      <c r="AE21" s="15">
        <v>2870000.0</v>
      </c>
      <c r="AF21" s="15">
        <v>3700000.0</v>
      </c>
      <c r="AG21" s="15">
        <v>1880000.0</v>
      </c>
      <c r="AH21" s="15">
        <v>-210810.0</v>
      </c>
      <c r="AI21" s="15">
        <v>1.579E7</v>
      </c>
      <c r="AJ21" s="15">
        <v>1.639E7</v>
      </c>
      <c r="AK21" s="15">
        <v>1.643E7</v>
      </c>
      <c r="AL21" s="15">
        <v>1.388E7</v>
      </c>
      <c r="AM21" s="15">
        <v>6760000.0</v>
      </c>
      <c r="AN21" s="15">
        <v>716350.0</v>
      </c>
      <c r="AO21" s="15">
        <v>684830.0</v>
      </c>
      <c r="AP21" s="15">
        <v>1500000.0</v>
      </c>
      <c r="AQ21" s="15">
        <v>301930.0</v>
      </c>
      <c r="AR21" s="15">
        <v>159530.0</v>
      </c>
      <c r="AS21" s="15">
        <v>8480000.0</v>
      </c>
      <c r="AT21" s="15">
        <v>8880000.0</v>
      </c>
      <c r="AU21" s="15">
        <v>9680000.0</v>
      </c>
      <c r="AV21" s="15">
        <v>8320000.0</v>
      </c>
      <c r="AW21" s="15">
        <v>2610000.0</v>
      </c>
      <c r="AX21" s="15">
        <v>-1.026E7</v>
      </c>
      <c r="AY21" s="15">
        <v>-8110000.0</v>
      </c>
      <c r="AZ21" s="15">
        <v>-1.064E7</v>
      </c>
      <c r="BA21" s="15">
        <v>-7460000.0</v>
      </c>
      <c r="BB21" s="15">
        <v>-1.052E7</v>
      </c>
      <c r="BC21" s="16">
        <v>0.0</v>
      </c>
      <c r="BD21" s="16">
        <v>0.0</v>
      </c>
      <c r="BE21" s="16">
        <v>0.0</v>
      </c>
      <c r="BF21" s="16">
        <v>0.0</v>
      </c>
      <c r="BG21" s="16">
        <v>0.0</v>
      </c>
      <c r="BH21" s="15">
        <v>1.406E7</v>
      </c>
      <c r="BI21" s="15">
        <v>2.43E7</v>
      </c>
      <c r="BJ21" s="15">
        <v>3.603E7</v>
      </c>
      <c r="BK21" s="15">
        <v>2.896E7</v>
      </c>
      <c r="BL21" s="15">
        <v>2.719E7</v>
      </c>
      <c r="BM21" s="15">
        <v>8270000.0</v>
      </c>
      <c r="BN21" s="15">
        <v>9240000.0</v>
      </c>
      <c r="BO21" s="15">
        <v>9610000.0</v>
      </c>
      <c r="BP21" s="15">
        <v>8200000.0</v>
      </c>
      <c r="BQ21" s="15">
        <v>6140000.0</v>
      </c>
      <c r="BR21" s="15">
        <v>2.183E7</v>
      </c>
      <c r="BS21" s="15">
        <v>2.333E7</v>
      </c>
      <c r="BT21" s="15">
        <v>2.467E7</v>
      </c>
      <c r="BU21" s="15">
        <v>2.001E7</v>
      </c>
      <c r="BV21" s="15">
        <v>2.428E7</v>
      </c>
      <c r="BW21" s="15">
        <v>5.449E7</v>
      </c>
      <c r="BX21" s="15">
        <v>6.717E7</v>
      </c>
      <c r="BY21" s="15">
        <v>8.24E7</v>
      </c>
      <c r="BZ21" s="15">
        <v>7.418E7</v>
      </c>
      <c r="CA21" s="15">
        <v>7.694E7</v>
      </c>
      <c r="CB21" s="15">
        <v>1.3336E8</v>
      </c>
      <c r="CC21" s="15">
        <v>1.2116E8</v>
      </c>
      <c r="CD21" s="15">
        <v>1.1909E8</v>
      </c>
      <c r="CE21" s="15">
        <v>1.0511E8</v>
      </c>
      <c r="CF21" s="15">
        <v>1.1347E8</v>
      </c>
      <c r="CG21" s="15">
        <v>3930000.0</v>
      </c>
      <c r="CH21" s="15">
        <v>4000000.0</v>
      </c>
      <c r="CI21" s="15">
        <v>2820000.0</v>
      </c>
      <c r="CJ21" s="15">
        <v>2620000.0</v>
      </c>
      <c r="CK21" s="15">
        <v>2800000.0</v>
      </c>
      <c r="CL21" s="15">
        <v>2.2715E8</v>
      </c>
      <c r="CM21" s="15">
        <v>2.2917E8</v>
      </c>
      <c r="CN21" s="15">
        <v>2.3987E8</v>
      </c>
      <c r="CO21" s="15">
        <v>2.1254E8</v>
      </c>
      <c r="CP21" s="15">
        <v>2.2922E8</v>
      </c>
      <c r="CQ21" s="15">
        <v>8790000.0</v>
      </c>
      <c r="CR21" s="15">
        <v>9770000.0</v>
      </c>
      <c r="CS21" s="15">
        <v>9320000.0</v>
      </c>
      <c r="CT21" s="15">
        <v>7520000.0</v>
      </c>
      <c r="CU21" s="15">
        <v>9540000.0</v>
      </c>
      <c r="CV21" s="15">
        <v>7.737E7</v>
      </c>
      <c r="CW21" s="15">
        <v>4.733E7</v>
      </c>
      <c r="CX21" s="15">
        <v>5.348E7</v>
      </c>
      <c r="CY21" s="15">
        <v>5.529E7</v>
      </c>
      <c r="CZ21" s="15">
        <v>5.348E7</v>
      </c>
      <c r="DA21" s="15">
        <v>5.784E7</v>
      </c>
      <c r="DB21" s="15">
        <v>7.737E7</v>
      </c>
      <c r="DC21" s="15">
        <v>8.534E7</v>
      </c>
      <c r="DD21" s="15">
        <v>1.0844E8</v>
      </c>
      <c r="DE21" s="15">
        <v>9.28E7</v>
      </c>
      <c r="DF21" s="15">
        <v>1.4777E8</v>
      </c>
      <c r="DG21" s="15">
        <v>1.5165E8</v>
      </c>
      <c r="DH21" s="15">
        <v>1.6292E8</v>
      </c>
      <c r="DI21" s="15">
        <v>1.5092E8</v>
      </c>
      <c r="DJ21" s="15">
        <v>1.6787E8</v>
      </c>
      <c r="DK21" s="15">
        <v>1.861E7</v>
      </c>
      <c r="DL21" s="15">
        <v>1.442E7</v>
      </c>
      <c r="DM21" s="15">
        <v>1.945E7</v>
      </c>
      <c r="DN21" s="15">
        <v>1.516E7</v>
      </c>
      <c r="DO21" s="15">
        <v>1.299E7</v>
      </c>
      <c r="DP21" s="15">
        <v>6.627E7</v>
      </c>
      <c r="DQ21" s="15">
        <v>6.182E7</v>
      </c>
      <c r="DR21" s="15">
        <v>5.079E7</v>
      </c>
      <c r="DS21" s="15">
        <v>5.505E7</v>
      </c>
      <c r="DT21" s="15">
        <v>6.686E7</v>
      </c>
      <c r="DU21" s="16">
        <v>0.0</v>
      </c>
      <c r="DV21" s="15">
        <v>0.0</v>
      </c>
      <c r="DW21" s="15">
        <v>0.0</v>
      </c>
      <c r="DX21" s="16">
        <v>0.0</v>
      </c>
      <c r="DY21" s="16">
        <v>0.0</v>
      </c>
      <c r="DZ21" s="15">
        <v>6.114E7</v>
      </c>
      <c r="EA21" s="15">
        <v>5.977E7</v>
      </c>
      <c r="EB21" s="15">
        <v>4.522E7</v>
      </c>
      <c r="EC21" s="15">
        <v>4.033E7</v>
      </c>
      <c r="ED21" s="15">
        <v>4.528E7</v>
      </c>
      <c r="EE21" s="23"/>
      <c r="EF21" s="23"/>
      <c r="EG21" s="23" t="s">
        <v>155</v>
      </c>
      <c r="EH21" s="23"/>
    </row>
    <row r="22">
      <c r="A22" s="9">
        <f t="shared" si="2"/>
        <v>20</v>
      </c>
      <c r="B22" s="10" t="s">
        <v>156</v>
      </c>
      <c r="C22" s="11">
        <v>3400000.0</v>
      </c>
      <c r="D22" s="11">
        <v>3170000.0</v>
      </c>
      <c r="E22" s="11">
        <v>3110000.0</v>
      </c>
      <c r="F22" s="11">
        <v>3010000.0</v>
      </c>
      <c r="G22" s="11">
        <v>2840000.0</v>
      </c>
      <c r="H22" s="11">
        <v>2810000.0</v>
      </c>
      <c r="I22" s="11">
        <v>1790000.0</v>
      </c>
      <c r="J22" s="11">
        <v>645520.0</v>
      </c>
      <c r="K22" s="11">
        <v>640170.0</v>
      </c>
      <c r="L22" s="11">
        <v>634110.0</v>
      </c>
      <c r="M22" s="11">
        <v>630630.0</v>
      </c>
      <c r="N22" s="11">
        <v>437270.0</v>
      </c>
      <c r="O22" s="11">
        <v>240980.0</v>
      </c>
      <c r="P22" s="11">
        <v>227430.0</v>
      </c>
      <c r="Q22" s="11">
        <v>196220.0</v>
      </c>
      <c r="R22" s="11">
        <v>185490.0</v>
      </c>
      <c r="S22" s="11">
        <v>116460.0</v>
      </c>
      <c r="T22" s="12"/>
      <c r="U22" s="12"/>
      <c r="V22" s="12"/>
      <c r="W22" s="12"/>
      <c r="X22" s="12"/>
      <c r="Y22" s="11">
        <v>323080.0</v>
      </c>
      <c r="Z22" s="11">
        <v>16460.0</v>
      </c>
      <c r="AA22" s="11">
        <v>412810.0</v>
      </c>
      <c r="AB22" s="11">
        <v>392570.0</v>
      </c>
      <c r="AC22" s="11">
        <v>273420.0</v>
      </c>
      <c r="AD22" s="11">
        <v>135990.0</v>
      </c>
      <c r="AE22" s="11">
        <v>-168950.0</v>
      </c>
      <c r="AF22" s="11">
        <v>236800.0</v>
      </c>
      <c r="AG22" s="11">
        <v>32960.0</v>
      </c>
      <c r="AH22" s="11">
        <v>164750.0</v>
      </c>
      <c r="AI22" s="11">
        <v>568580.0</v>
      </c>
      <c r="AJ22" s="11">
        <v>571580.0</v>
      </c>
      <c r="AK22" s="11">
        <v>580890.0</v>
      </c>
      <c r="AL22" s="11">
        <v>580250.0</v>
      </c>
      <c r="AM22" s="11">
        <v>384360.0</v>
      </c>
      <c r="AN22" s="11">
        <v>108920.0</v>
      </c>
      <c r="AO22" s="11">
        <v>-175750.0</v>
      </c>
      <c r="AP22" s="11">
        <v>199840.0</v>
      </c>
      <c r="AQ22" s="11">
        <v>6140.0</v>
      </c>
      <c r="AR22" s="11">
        <v>112440.0</v>
      </c>
      <c r="AS22" s="11">
        <v>332900.0</v>
      </c>
      <c r="AT22" s="11">
        <v>414080.0</v>
      </c>
      <c r="AU22" s="11">
        <v>399580.0</v>
      </c>
      <c r="AV22" s="11">
        <v>361480.0</v>
      </c>
      <c r="AW22" s="11">
        <v>240400.0</v>
      </c>
      <c r="AX22" s="11">
        <v>-284680.0</v>
      </c>
      <c r="AY22" s="11">
        <v>-341460.0</v>
      </c>
      <c r="AZ22" s="11">
        <v>-274180.0</v>
      </c>
      <c r="BA22" s="11">
        <v>-307470.0</v>
      </c>
      <c r="BB22" s="11">
        <v>-276050.0</v>
      </c>
      <c r="BC22" s="13"/>
      <c r="BD22" s="13"/>
      <c r="BE22" s="13"/>
      <c r="BF22" s="13"/>
      <c r="BG22" s="13"/>
      <c r="BH22" s="11">
        <v>124190.0</v>
      </c>
      <c r="BI22" s="11">
        <v>50510.0</v>
      </c>
      <c r="BJ22" s="11">
        <v>67290.0</v>
      </c>
      <c r="BK22" s="11">
        <v>57060.0</v>
      </c>
      <c r="BL22" s="11">
        <v>11220.0</v>
      </c>
      <c r="BM22" s="11">
        <v>378200.0</v>
      </c>
      <c r="BN22" s="11">
        <v>352060.0</v>
      </c>
      <c r="BO22" s="11">
        <v>360020.0</v>
      </c>
      <c r="BP22" s="11">
        <v>326490.0</v>
      </c>
      <c r="BQ22" s="11">
        <v>245970.0</v>
      </c>
      <c r="BR22" s="11">
        <v>4760.0</v>
      </c>
      <c r="BS22" s="11">
        <v>5060.0</v>
      </c>
      <c r="BT22" s="11">
        <v>4790.0</v>
      </c>
      <c r="BU22" s="11">
        <v>4630.0</v>
      </c>
      <c r="BV22" s="11">
        <v>4680.0</v>
      </c>
      <c r="BW22" s="11">
        <v>542210.0</v>
      </c>
      <c r="BX22" s="11">
        <v>450420.0</v>
      </c>
      <c r="BY22" s="11">
        <v>471550.0</v>
      </c>
      <c r="BZ22" s="11">
        <v>427930.0</v>
      </c>
      <c r="CA22" s="11">
        <v>294740.0</v>
      </c>
      <c r="CB22" s="11">
        <v>3730000.0</v>
      </c>
      <c r="CC22" s="11">
        <v>3110000.0</v>
      </c>
      <c r="CD22" s="11">
        <v>3050000.0</v>
      </c>
      <c r="CE22" s="11">
        <v>2700000.0</v>
      </c>
      <c r="CF22" s="11">
        <v>1710000.0</v>
      </c>
      <c r="CG22" s="11">
        <v>2450000.0</v>
      </c>
      <c r="CH22" s="11">
        <v>2400000.0</v>
      </c>
      <c r="CI22" s="11">
        <v>2750000.0</v>
      </c>
      <c r="CJ22" s="11">
        <v>2680000.0</v>
      </c>
      <c r="CK22" s="11">
        <v>2130000.0</v>
      </c>
      <c r="CL22" s="11">
        <v>6880000.0</v>
      </c>
      <c r="CM22" s="11">
        <v>6170000.0</v>
      </c>
      <c r="CN22" s="11">
        <v>6420000.0</v>
      </c>
      <c r="CO22" s="11">
        <v>6020000.0</v>
      </c>
      <c r="CP22" s="11">
        <v>4280000.0</v>
      </c>
      <c r="CQ22" s="11">
        <v>127050.0</v>
      </c>
      <c r="CR22" s="11">
        <v>117740.0</v>
      </c>
      <c r="CS22" s="11">
        <v>102300.0</v>
      </c>
      <c r="CT22" s="11">
        <v>80030.0</v>
      </c>
      <c r="CU22" s="11">
        <v>91340.0</v>
      </c>
      <c r="CV22" s="11">
        <v>463580.0</v>
      </c>
      <c r="CW22" s="11">
        <v>29140.0</v>
      </c>
      <c r="CX22" s="13"/>
      <c r="CY22" s="13"/>
      <c r="CZ22" s="13"/>
      <c r="DA22" s="12"/>
      <c r="DB22" s="11">
        <v>463580.0</v>
      </c>
      <c r="DC22" s="11">
        <v>416380.0</v>
      </c>
      <c r="DD22" s="11">
        <v>377390.0</v>
      </c>
      <c r="DE22" s="11">
        <v>342870.0</v>
      </c>
      <c r="DF22" s="11">
        <v>4340000.0</v>
      </c>
      <c r="DG22" s="11">
        <v>3810000.0</v>
      </c>
      <c r="DH22" s="11">
        <v>3830000.0</v>
      </c>
      <c r="DI22" s="11">
        <v>3840000.0</v>
      </c>
      <c r="DJ22" s="11">
        <v>2590000.0</v>
      </c>
      <c r="DK22" s="12"/>
      <c r="DL22" s="11">
        <v>60520.0</v>
      </c>
      <c r="DM22" s="11">
        <v>15300.0</v>
      </c>
      <c r="DN22" s="11">
        <v>75810.0</v>
      </c>
      <c r="DO22" s="11">
        <v>2300.0</v>
      </c>
      <c r="DP22" s="11">
        <v>3650000.0</v>
      </c>
      <c r="DQ22" s="11">
        <v>3160000.0</v>
      </c>
      <c r="DR22" s="11">
        <v>3210000.0</v>
      </c>
      <c r="DS22" s="11">
        <v>3250000.0</v>
      </c>
      <c r="DT22" s="11">
        <v>2200000.0</v>
      </c>
      <c r="DU22" s="13"/>
      <c r="DV22" s="12"/>
      <c r="DW22" s="12"/>
      <c r="DX22" s="13"/>
      <c r="DY22" s="13"/>
      <c r="DZ22" s="11">
        <v>2510000.0</v>
      </c>
      <c r="EA22" s="11">
        <v>2330000.0</v>
      </c>
      <c r="EB22" s="11">
        <v>2570000.0</v>
      </c>
      <c r="EC22" s="11">
        <v>2170000.0</v>
      </c>
      <c r="ED22" s="11">
        <v>1680000.0</v>
      </c>
      <c r="EE22" s="14">
        <v>0.085</v>
      </c>
      <c r="EF22" s="14">
        <v>0.068</v>
      </c>
      <c r="EG22" s="14">
        <v>0.105</v>
      </c>
      <c r="EH22" s="14">
        <v>0.036</v>
      </c>
    </row>
    <row r="23">
      <c r="A23" s="9">
        <f t="shared" si="2"/>
        <v>21</v>
      </c>
      <c r="B23" s="10" t="s">
        <v>157</v>
      </c>
      <c r="C23" s="12"/>
      <c r="D23" s="12"/>
      <c r="E23" s="11">
        <v>2.1553E8</v>
      </c>
      <c r="F23" s="11">
        <v>2.1349E8</v>
      </c>
      <c r="G23" s="11">
        <v>2.0873E8</v>
      </c>
      <c r="H23" s="11">
        <v>1.6852E8</v>
      </c>
      <c r="I23" s="11">
        <v>1.523E8</v>
      </c>
      <c r="J23" s="11">
        <v>1.348E7</v>
      </c>
      <c r="K23" s="11">
        <v>1.534E7</v>
      </c>
      <c r="L23" s="11">
        <v>1.665E7</v>
      </c>
      <c r="M23" s="11">
        <v>1.195E7</v>
      </c>
      <c r="N23" s="11">
        <v>2670000.0</v>
      </c>
      <c r="O23" s="11">
        <v>7370000.0</v>
      </c>
      <c r="P23" s="11">
        <v>8210000.0</v>
      </c>
      <c r="Q23" s="11">
        <v>8220000.0</v>
      </c>
      <c r="R23" s="11">
        <v>6160000.0</v>
      </c>
      <c r="S23" s="11">
        <v>4890000.0</v>
      </c>
      <c r="T23" s="11">
        <v>1070000.0</v>
      </c>
      <c r="U23" s="11">
        <v>742500.0</v>
      </c>
      <c r="V23" s="11">
        <v>574510.0</v>
      </c>
      <c r="W23" s="11">
        <v>197300.0</v>
      </c>
      <c r="X23" s="11">
        <v>208300.0</v>
      </c>
      <c r="Y23" s="11">
        <v>5800000.0</v>
      </c>
      <c r="Z23" s="11">
        <v>693640.0</v>
      </c>
      <c r="AA23" s="11">
        <v>-34170.0</v>
      </c>
      <c r="AB23" s="11">
        <v>113930.0</v>
      </c>
      <c r="AC23" s="11">
        <v>-275180.0</v>
      </c>
      <c r="AD23" s="11">
        <v>2040000.0</v>
      </c>
      <c r="AE23" s="11">
        <v>2870000.0</v>
      </c>
      <c r="AF23" s="11">
        <v>3700000.0</v>
      </c>
      <c r="AG23" s="11">
        <v>1880000.0</v>
      </c>
      <c r="AH23" s="11">
        <v>-210810.0</v>
      </c>
      <c r="AI23" s="11">
        <v>1.579E7</v>
      </c>
      <c r="AJ23" s="11">
        <v>1.639E7</v>
      </c>
      <c r="AK23" s="11">
        <v>1.643E7</v>
      </c>
      <c r="AL23" s="11">
        <v>1.388E7</v>
      </c>
      <c r="AM23" s="11">
        <v>6760000.0</v>
      </c>
      <c r="AN23" s="11">
        <v>716350.0</v>
      </c>
      <c r="AO23" s="11">
        <v>684830.0</v>
      </c>
      <c r="AP23" s="11">
        <v>1500000.0</v>
      </c>
      <c r="AQ23" s="11">
        <v>301930.0</v>
      </c>
      <c r="AR23" s="11">
        <v>159530.0</v>
      </c>
      <c r="AS23" s="11">
        <v>8480000.0</v>
      </c>
      <c r="AT23" s="11">
        <v>8880000.0</v>
      </c>
      <c r="AU23" s="11">
        <v>9680000.0</v>
      </c>
      <c r="AV23" s="11">
        <v>8320000.0</v>
      </c>
      <c r="AW23" s="11">
        <v>2610000.0</v>
      </c>
      <c r="AX23" s="11">
        <v>-1.026E7</v>
      </c>
      <c r="AY23" s="11">
        <v>-8110000.0</v>
      </c>
      <c r="AZ23" s="11">
        <v>-1.064E7</v>
      </c>
      <c r="BA23" s="11">
        <v>-7460000.0</v>
      </c>
      <c r="BB23" s="11">
        <v>-1.052E7</v>
      </c>
      <c r="BC23" s="12"/>
      <c r="BD23" s="13"/>
      <c r="BE23" s="13"/>
      <c r="BF23" s="13"/>
      <c r="BG23" s="13"/>
      <c r="BH23" s="11">
        <v>1.406E7</v>
      </c>
      <c r="BI23" s="11">
        <v>2.43E7</v>
      </c>
      <c r="BJ23" s="11">
        <v>3.603E7</v>
      </c>
      <c r="BK23" s="11">
        <v>2.896E7</v>
      </c>
      <c r="BL23" s="11">
        <v>2.719E7</v>
      </c>
      <c r="BM23" s="11">
        <v>8270000.0</v>
      </c>
      <c r="BN23" s="11">
        <v>9240000.0</v>
      </c>
      <c r="BO23" s="11">
        <v>9610000.0</v>
      </c>
      <c r="BP23" s="11">
        <v>8200000.0</v>
      </c>
      <c r="BQ23" s="11">
        <v>6140000.0</v>
      </c>
      <c r="BR23" s="11">
        <v>2.183E7</v>
      </c>
      <c r="BS23" s="11">
        <v>2.333E7</v>
      </c>
      <c r="BT23" s="11">
        <v>2.467E7</v>
      </c>
      <c r="BU23" s="11">
        <v>2.001E7</v>
      </c>
      <c r="BV23" s="11">
        <v>2.428E7</v>
      </c>
      <c r="BW23" s="11">
        <v>5.449E7</v>
      </c>
      <c r="BX23" s="11">
        <v>6.717E7</v>
      </c>
      <c r="BY23" s="11">
        <v>8.24E7</v>
      </c>
      <c r="BZ23" s="11">
        <v>7.418E7</v>
      </c>
      <c r="CA23" s="11">
        <v>7.694E7</v>
      </c>
      <c r="CB23" s="11">
        <v>1.3336E8</v>
      </c>
      <c r="CC23" s="11">
        <v>1.2116E8</v>
      </c>
      <c r="CD23" s="11">
        <v>1.1909E8</v>
      </c>
      <c r="CE23" s="11">
        <v>1.0511E8</v>
      </c>
      <c r="CF23" s="11">
        <v>1.1347E8</v>
      </c>
      <c r="CG23" s="11">
        <v>3930000.0</v>
      </c>
      <c r="CH23" s="11">
        <v>4000000.0</v>
      </c>
      <c r="CI23" s="11">
        <v>2820000.0</v>
      </c>
      <c r="CJ23" s="11">
        <v>2620000.0</v>
      </c>
      <c r="CK23" s="11">
        <v>2800000.0</v>
      </c>
      <c r="CL23" s="11">
        <v>2.2715E8</v>
      </c>
      <c r="CM23" s="11">
        <v>2.2917E8</v>
      </c>
      <c r="CN23" s="11">
        <v>2.3987E8</v>
      </c>
      <c r="CO23" s="11">
        <v>2.1254E8</v>
      </c>
      <c r="CP23" s="11">
        <v>2.2922E8</v>
      </c>
      <c r="CQ23" s="11">
        <v>8790000.0</v>
      </c>
      <c r="CR23" s="11">
        <v>9770000.0</v>
      </c>
      <c r="CS23" s="11">
        <v>9320000.0</v>
      </c>
      <c r="CT23" s="11">
        <v>7520000.0</v>
      </c>
      <c r="CU23" s="11">
        <v>9540000.0</v>
      </c>
      <c r="CV23" s="11">
        <v>7.737E7</v>
      </c>
      <c r="CW23" s="11">
        <v>4.733E7</v>
      </c>
      <c r="CX23" s="11">
        <v>5.348E7</v>
      </c>
      <c r="CY23" s="11">
        <v>5.529E7</v>
      </c>
      <c r="CZ23" s="11">
        <v>5.348E7</v>
      </c>
      <c r="DA23" s="11">
        <v>5.784E7</v>
      </c>
      <c r="DB23" s="11">
        <v>7.737E7</v>
      </c>
      <c r="DC23" s="11">
        <v>8.534E7</v>
      </c>
      <c r="DD23" s="11">
        <v>1.0844E8</v>
      </c>
      <c r="DE23" s="11">
        <v>9.28E7</v>
      </c>
      <c r="DF23" s="11">
        <v>1.4777E8</v>
      </c>
      <c r="DG23" s="11">
        <v>1.5165E8</v>
      </c>
      <c r="DH23" s="11">
        <v>1.6292E8</v>
      </c>
      <c r="DI23" s="11">
        <v>1.5092E8</v>
      </c>
      <c r="DJ23" s="11">
        <v>1.6787E8</v>
      </c>
      <c r="DK23" s="11">
        <v>1.861E7</v>
      </c>
      <c r="DL23" s="11">
        <v>1.442E7</v>
      </c>
      <c r="DM23" s="11">
        <v>1.945E7</v>
      </c>
      <c r="DN23" s="11">
        <v>1.516E7</v>
      </c>
      <c r="DO23" s="11">
        <v>1.299E7</v>
      </c>
      <c r="DP23" s="11">
        <v>6.627E7</v>
      </c>
      <c r="DQ23" s="11">
        <v>6.182E7</v>
      </c>
      <c r="DR23" s="11">
        <v>5.079E7</v>
      </c>
      <c r="DS23" s="11">
        <v>5.505E7</v>
      </c>
      <c r="DT23" s="11">
        <v>6.686E7</v>
      </c>
      <c r="DU23" s="13"/>
      <c r="DV23" s="12"/>
      <c r="DW23" s="12"/>
      <c r="DX23" s="12"/>
      <c r="DY23" s="12"/>
      <c r="DZ23" s="11">
        <v>6.114E7</v>
      </c>
      <c r="EA23" s="11">
        <v>5.977E7</v>
      </c>
      <c r="EB23" s="11">
        <v>4.522E7</v>
      </c>
      <c r="EC23" s="11">
        <v>4.033E7</v>
      </c>
      <c r="ED23" s="11">
        <v>4.528E7</v>
      </c>
      <c r="EE23" s="23"/>
      <c r="EF23" s="23"/>
      <c r="EG23" s="23"/>
      <c r="EH23" s="23"/>
    </row>
    <row r="24">
      <c r="A24" s="9">
        <f t="shared" si="2"/>
        <v>22</v>
      </c>
      <c r="B24" s="22" t="s">
        <v>158</v>
      </c>
      <c r="C24" s="11">
        <v>50030.0</v>
      </c>
      <c r="D24" s="11">
        <v>20970.0</v>
      </c>
      <c r="E24" s="11">
        <v>111720.0</v>
      </c>
      <c r="F24" s="11">
        <v>7350.0</v>
      </c>
      <c r="G24" s="11">
        <v>20580.0</v>
      </c>
      <c r="H24" s="11">
        <v>23560.0</v>
      </c>
      <c r="I24" s="11">
        <v>40600.0</v>
      </c>
      <c r="J24" s="12"/>
      <c r="K24" s="12"/>
      <c r="L24" s="12"/>
      <c r="M24" s="12"/>
      <c r="N24" s="12"/>
      <c r="O24" s="11">
        <v>65200.0</v>
      </c>
      <c r="P24" s="11">
        <v>57000.0</v>
      </c>
      <c r="Q24" s="11">
        <v>42890.0</v>
      </c>
      <c r="R24" s="11">
        <v>33890.0</v>
      </c>
      <c r="S24" s="11">
        <v>20960.0</v>
      </c>
      <c r="T24" s="11">
        <v>50750.0</v>
      </c>
      <c r="U24" s="11">
        <v>45240.0</v>
      </c>
      <c r="V24" s="11">
        <v>32600.0</v>
      </c>
      <c r="W24" s="11">
        <v>25880.0</v>
      </c>
      <c r="X24" s="11">
        <v>17410.0</v>
      </c>
      <c r="Y24" s="11">
        <v>49390.0</v>
      </c>
      <c r="Z24" s="12"/>
      <c r="AA24" s="12"/>
      <c r="AB24" s="12"/>
      <c r="AC24" s="12"/>
      <c r="AD24" s="11">
        <v>45730.0</v>
      </c>
      <c r="AE24" s="11">
        <v>-52060.0</v>
      </c>
      <c r="AF24" s="11">
        <v>-26830.0</v>
      </c>
      <c r="AG24" s="11">
        <v>-7200.0</v>
      </c>
      <c r="AH24" s="11">
        <v>21050.0</v>
      </c>
      <c r="AI24" s="11">
        <v>46520.0</v>
      </c>
      <c r="AJ24" s="11">
        <v>-49650.0</v>
      </c>
      <c r="AK24" s="11">
        <v>-22310.0</v>
      </c>
      <c r="AL24" s="11">
        <v>-10330.0</v>
      </c>
      <c r="AM24" s="11">
        <v>19640.0</v>
      </c>
      <c r="AN24" s="11">
        <v>45730.0</v>
      </c>
      <c r="AO24" s="11">
        <v>-52060.0</v>
      </c>
      <c r="AP24" s="11">
        <v>-26830.0</v>
      </c>
      <c r="AQ24" s="11">
        <v>-7200.0</v>
      </c>
      <c r="AR24" s="11">
        <v>21050.0</v>
      </c>
      <c r="AS24" s="11">
        <v>55570.0</v>
      </c>
      <c r="AT24" s="11">
        <v>-45040.0</v>
      </c>
      <c r="AU24" s="11">
        <v>-22450.0</v>
      </c>
      <c r="AV24" s="11">
        <v>-5730.0</v>
      </c>
      <c r="AW24" s="11">
        <v>45780.0</v>
      </c>
      <c r="AX24" s="11">
        <v>-1900.0</v>
      </c>
      <c r="AY24" s="11">
        <v>-1900.0</v>
      </c>
      <c r="AZ24" s="11">
        <v>-1830.0</v>
      </c>
      <c r="BA24" s="11">
        <v>-913.0</v>
      </c>
      <c r="BB24" s="11">
        <v>-253.0</v>
      </c>
      <c r="BC24" s="12"/>
      <c r="BD24" s="12"/>
      <c r="BE24" s="12"/>
      <c r="BF24" s="12"/>
      <c r="BG24" s="12"/>
      <c r="BH24" s="11">
        <v>298020.0</v>
      </c>
      <c r="BI24" s="11">
        <v>189150.0</v>
      </c>
      <c r="BJ24" s="11">
        <v>127630.0</v>
      </c>
      <c r="BK24" s="11">
        <v>149760.0</v>
      </c>
      <c r="BL24" s="11">
        <v>76450.0</v>
      </c>
      <c r="BM24" s="11">
        <v>1440.0</v>
      </c>
      <c r="BN24" s="11">
        <v>4160.0</v>
      </c>
      <c r="BO24" s="11">
        <v>3700.0</v>
      </c>
      <c r="BP24" s="11">
        <v>1380.0</v>
      </c>
      <c r="BQ24" s="11">
        <v>316.0</v>
      </c>
      <c r="BR24" s="12"/>
      <c r="BS24" s="12"/>
      <c r="BT24" s="12"/>
      <c r="BU24" s="12"/>
      <c r="BV24" s="12"/>
      <c r="BW24" s="11">
        <v>302340.0</v>
      </c>
      <c r="BX24" s="11">
        <v>195710.0</v>
      </c>
      <c r="BY24" s="11">
        <v>132920.0</v>
      </c>
      <c r="BZ24" s="11">
        <v>152400.0</v>
      </c>
      <c r="CA24" s="11">
        <v>77100.0</v>
      </c>
      <c r="CB24" s="11">
        <v>6370.0</v>
      </c>
      <c r="CC24" s="11">
        <v>3370.0</v>
      </c>
      <c r="CD24" s="11">
        <v>2410.0</v>
      </c>
      <c r="CE24" s="11">
        <v>1100.0</v>
      </c>
      <c r="CF24" s="11">
        <v>500.0</v>
      </c>
      <c r="CG24" s="12"/>
      <c r="CH24" s="12"/>
      <c r="CI24" s="12"/>
      <c r="CJ24" s="12"/>
      <c r="CK24" s="12"/>
      <c r="CL24" s="11">
        <v>309030.0</v>
      </c>
      <c r="CM24" s="11">
        <v>199390.0</v>
      </c>
      <c r="CN24" s="11">
        <v>135470.0</v>
      </c>
      <c r="CO24" s="11">
        <v>153590.0</v>
      </c>
      <c r="CP24" s="11">
        <v>79850.0</v>
      </c>
      <c r="CQ24" s="11">
        <v>147.0</v>
      </c>
      <c r="CR24" s="11">
        <v>2010.0</v>
      </c>
      <c r="CS24" s="11">
        <v>1120.0</v>
      </c>
      <c r="CT24" s="11">
        <v>3970.0</v>
      </c>
      <c r="CU24" s="11">
        <v>1720.0</v>
      </c>
      <c r="CV24" s="11">
        <v>18080.0</v>
      </c>
      <c r="CW24" s="12"/>
      <c r="CX24" s="24">
        <v>337.0</v>
      </c>
      <c r="CY24" s="12"/>
      <c r="CZ24" s="12"/>
      <c r="DA24" s="12"/>
      <c r="DB24" s="11">
        <v>18080.0</v>
      </c>
      <c r="DC24" s="11">
        <v>13270.0</v>
      </c>
      <c r="DD24" s="11">
        <v>10010.0</v>
      </c>
      <c r="DE24" s="11">
        <v>9760.0</v>
      </c>
      <c r="DF24" s="11">
        <v>27680.0</v>
      </c>
      <c r="DG24" s="11">
        <v>19210.0</v>
      </c>
      <c r="DH24" s="11">
        <v>15570.0</v>
      </c>
      <c r="DI24" s="11">
        <v>13500.0</v>
      </c>
      <c r="DJ24" s="11">
        <v>8880.0</v>
      </c>
      <c r="DK24" s="11">
        <v>314.0</v>
      </c>
      <c r="DL24" s="11">
        <v>308.0</v>
      </c>
      <c r="DM24" s="11">
        <v>129.0</v>
      </c>
      <c r="DN24" s="11">
        <v>85.0</v>
      </c>
      <c r="DO24" s="24">
        <v>85.0</v>
      </c>
      <c r="DP24" s="11">
        <v>1870.0</v>
      </c>
      <c r="DQ24" s="11">
        <v>189.0</v>
      </c>
      <c r="DR24" s="11">
        <v>405.0</v>
      </c>
      <c r="DS24" s="12"/>
      <c r="DT24" s="12"/>
      <c r="DU24" s="13"/>
      <c r="DV24" s="12"/>
      <c r="DW24" s="12"/>
      <c r="DX24" s="13"/>
      <c r="DY24" s="13"/>
      <c r="DZ24" s="11">
        <v>281350.0</v>
      </c>
      <c r="EA24" s="11">
        <v>180180.0</v>
      </c>
      <c r="EB24" s="11">
        <v>119900.0</v>
      </c>
      <c r="EC24" s="11">
        <v>140090.0</v>
      </c>
      <c r="ED24" s="11">
        <v>70970.0</v>
      </c>
      <c r="EE24" s="14">
        <v>0.833</v>
      </c>
      <c r="EF24" s="23"/>
      <c r="EG24" s="14">
        <v>0.143</v>
      </c>
      <c r="EH24" s="14">
        <v>0.142</v>
      </c>
    </row>
    <row r="25">
      <c r="A25" s="9">
        <f t="shared" si="2"/>
        <v>23</v>
      </c>
      <c r="B25" s="10" t="s">
        <v>159</v>
      </c>
      <c r="C25" s="15">
        <v>485850.0</v>
      </c>
      <c r="D25" s="15">
        <v>452430.0</v>
      </c>
      <c r="E25" s="15">
        <v>342960.0</v>
      </c>
      <c r="F25" s="15">
        <v>442580.0</v>
      </c>
      <c r="G25" s="15">
        <v>410560.0</v>
      </c>
      <c r="H25" s="15">
        <v>266980.0</v>
      </c>
      <c r="I25" s="15">
        <v>301500.0</v>
      </c>
      <c r="J25" s="15">
        <v>146950.0</v>
      </c>
      <c r="K25" s="15">
        <v>179640.0</v>
      </c>
      <c r="L25" s="15">
        <v>150250.0</v>
      </c>
      <c r="M25" s="15">
        <v>99600.0</v>
      </c>
      <c r="N25" s="15">
        <v>101710.0</v>
      </c>
      <c r="O25" s="15">
        <v>119950.0</v>
      </c>
      <c r="P25" s="15">
        <v>119680.0</v>
      </c>
      <c r="Q25" s="15">
        <v>102410.0</v>
      </c>
      <c r="R25" s="15">
        <v>82690.0</v>
      </c>
      <c r="S25" s="15">
        <v>80970.0</v>
      </c>
      <c r="T25" s="15">
        <v>53930.0</v>
      </c>
      <c r="U25" s="15">
        <v>51880.0</v>
      </c>
      <c r="V25" s="15">
        <v>43070.0</v>
      </c>
      <c r="W25" s="15">
        <v>34400.0</v>
      </c>
      <c r="X25" s="15">
        <v>32590.0</v>
      </c>
      <c r="Y25" s="15">
        <v>0.0</v>
      </c>
      <c r="Z25" s="15">
        <v>0.0</v>
      </c>
      <c r="AA25" s="15">
        <v>0.0</v>
      </c>
      <c r="AB25" s="15">
        <v>16620.0</v>
      </c>
      <c r="AC25" s="15">
        <v>0.0</v>
      </c>
      <c r="AD25" s="15">
        <v>20920.0</v>
      </c>
      <c r="AE25" s="15">
        <v>54710.0</v>
      </c>
      <c r="AF25" s="15">
        <v>43830.0</v>
      </c>
      <c r="AG25" s="15">
        <v>11020.0</v>
      </c>
      <c r="AH25" s="15">
        <v>15210.0</v>
      </c>
      <c r="AI25" s="15">
        <v>32090.0</v>
      </c>
      <c r="AJ25" s="15">
        <v>65730.0</v>
      </c>
      <c r="AK25" s="15">
        <v>52840.0</v>
      </c>
      <c r="AL25" s="15">
        <v>21160.0</v>
      </c>
      <c r="AM25" s="15">
        <v>25610.0</v>
      </c>
      <c r="AN25" s="15">
        <v>17030.0</v>
      </c>
      <c r="AO25" s="15">
        <v>45890.0</v>
      </c>
      <c r="AP25" s="15">
        <v>126960.0</v>
      </c>
      <c r="AQ25" s="15">
        <v>11000.0</v>
      </c>
      <c r="AR25" s="15">
        <v>14680.0</v>
      </c>
      <c r="AS25" s="15">
        <v>-13590.0</v>
      </c>
      <c r="AT25" s="15">
        <v>46970.0</v>
      </c>
      <c r="AU25" s="15">
        <v>56280.0</v>
      </c>
      <c r="AV25" s="15">
        <v>-8800.0</v>
      </c>
      <c r="AW25" s="15">
        <v>18260.0</v>
      </c>
      <c r="AX25" s="15">
        <v>-11970.0</v>
      </c>
      <c r="AY25" s="15">
        <v>-4720.0</v>
      </c>
      <c r="AZ25" s="15">
        <v>-7290.0</v>
      </c>
      <c r="BA25" s="15">
        <v>-2510.0</v>
      </c>
      <c r="BB25" s="15">
        <v>-1830.0</v>
      </c>
      <c r="BC25" s="15">
        <v>0.0</v>
      </c>
      <c r="BD25" s="15">
        <v>0.0</v>
      </c>
      <c r="BE25" s="15">
        <v>0.0</v>
      </c>
      <c r="BF25" s="15">
        <v>0.0</v>
      </c>
      <c r="BG25" s="15">
        <v>0.0</v>
      </c>
      <c r="BH25" s="15">
        <v>139880.0</v>
      </c>
      <c r="BI25" s="15">
        <v>177990.0</v>
      </c>
      <c r="BJ25" s="15">
        <v>134160.0</v>
      </c>
      <c r="BK25" s="15">
        <v>70790.0</v>
      </c>
      <c r="BL25" s="15">
        <v>78890.0</v>
      </c>
      <c r="BM25" s="15">
        <v>83750.0</v>
      </c>
      <c r="BN25" s="15">
        <v>78730.0</v>
      </c>
      <c r="BO25" s="15">
        <v>75300.0</v>
      </c>
      <c r="BP25" s="15">
        <v>50570.0</v>
      </c>
      <c r="BQ25" s="15">
        <v>36870.0</v>
      </c>
      <c r="BR25" s="15">
        <v>140360.0</v>
      </c>
      <c r="BS25" s="15">
        <v>129000.0</v>
      </c>
      <c r="BT25" s="15">
        <v>120540.0</v>
      </c>
      <c r="BU25" s="15">
        <v>113850.0</v>
      </c>
      <c r="BV25" s="15">
        <v>109410.0</v>
      </c>
      <c r="BW25" s="15">
        <v>375680.0</v>
      </c>
      <c r="BX25" s="15">
        <v>396770.0</v>
      </c>
      <c r="BY25" s="15">
        <v>339780.0</v>
      </c>
      <c r="BZ25" s="15">
        <v>240730.0</v>
      </c>
      <c r="CA25" s="15">
        <v>229960.0</v>
      </c>
      <c r="CB25" s="15">
        <v>95820.0</v>
      </c>
      <c r="CC25" s="15">
        <v>70980.0</v>
      </c>
      <c r="CD25" s="15">
        <v>56800.0</v>
      </c>
      <c r="CE25" s="15">
        <v>30840.0</v>
      </c>
      <c r="CF25" s="15">
        <v>30030.0</v>
      </c>
      <c r="CG25" s="15">
        <v>0.0</v>
      </c>
      <c r="CH25" s="15">
        <v>0.0</v>
      </c>
      <c r="CI25" s="15">
        <v>0.0</v>
      </c>
      <c r="CJ25" s="15">
        <v>0.0</v>
      </c>
      <c r="CK25" s="15">
        <v>0.0</v>
      </c>
      <c r="CL25" s="15">
        <v>555540.0</v>
      </c>
      <c r="CM25" s="15">
        <v>548440.0</v>
      </c>
      <c r="CN25" s="15">
        <v>488220.0</v>
      </c>
      <c r="CO25" s="15">
        <v>302230.0</v>
      </c>
      <c r="CP25" s="15">
        <v>281780.0</v>
      </c>
      <c r="CQ25" s="15">
        <v>25340.0</v>
      </c>
      <c r="CR25" s="15">
        <v>35960.0</v>
      </c>
      <c r="CS25" s="15">
        <v>32640.0</v>
      </c>
      <c r="CT25" s="15">
        <v>25000.0</v>
      </c>
      <c r="CU25" s="15">
        <v>19850.0</v>
      </c>
      <c r="CV25" s="15">
        <v>68660.0</v>
      </c>
      <c r="CW25" s="15">
        <v>3140.0</v>
      </c>
      <c r="CX25" s="15">
        <v>0.0</v>
      </c>
      <c r="CY25" s="16">
        <v>0.0</v>
      </c>
      <c r="CZ25" s="16">
        <v>0.0</v>
      </c>
      <c r="DA25" s="15">
        <v>0.0</v>
      </c>
      <c r="DB25" s="15">
        <v>68660.0</v>
      </c>
      <c r="DC25" s="15">
        <v>85000.0</v>
      </c>
      <c r="DD25" s="15">
        <v>79290.0</v>
      </c>
      <c r="DE25" s="15">
        <v>47730.0</v>
      </c>
      <c r="DF25" s="15">
        <v>136120.0</v>
      </c>
      <c r="DG25" s="15">
        <v>140100.0</v>
      </c>
      <c r="DH25" s="15">
        <v>134610.0</v>
      </c>
      <c r="DI25" s="15">
        <v>100780.0</v>
      </c>
      <c r="DJ25" s="15">
        <v>98020.0</v>
      </c>
      <c r="DK25" s="15">
        <v>6650.0</v>
      </c>
      <c r="DL25" s="15">
        <v>6910.0</v>
      </c>
      <c r="DM25" s="15">
        <v>6720.0</v>
      </c>
      <c r="DN25" s="15">
        <v>6860.0</v>
      </c>
      <c r="DO25" s="15">
        <v>6940.0</v>
      </c>
      <c r="DP25" s="15">
        <v>50700.0</v>
      </c>
      <c r="DQ25" s="15">
        <v>47760.0</v>
      </c>
      <c r="DR25" s="15">
        <v>47710.0</v>
      </c>
      <c r="DS25" s="15">
        <v>47590.0</v>
      </c>
      <c r="DT25" s="15">
        <v>47590.0</v>
      </c>
      <c r="DU25" s="16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419430.0</v>
      </c>
      <c r="EA25" s="15">
        <v>408340.0</v>
      </c>
      <c r="EB25" s="15">
        <v>353610.0</v>
      </c>
      <c r="EC25" s="15">
        <v>201460.0</v>
      </c>
      <c r="ED25" s="15">
        <v>183760.0</v>
      </c>
      <c r="EE25" s="17">
        <v>0.121</v>
      </c>
      <c r="EF25" s="17">
        <v>0.15</v>
      </c>
      <c r="EG25" s="17">
        <v>0.32</v>
      </c>
      <c r="EH25" s="17">
        <v>1.45</v>
      </c>
    </row>
    <row r="26">
      <c r="A26" s="9">
        <f t="shared" si="2"/>
        <v>24</v>
      </c>
      <c r="B26" s="10" t="s">
        <v>160</v>
      </c>
      <c r="C26" s="11">
        <v>1.317E7</v>
      </c>
      <c r="D26" s="11">
        <v>1.296E7</v>
      </c>
      <c r="E26" s="11">
        <v>2.017E7</v>
      </c>
      <c r="F26" s="11">
        <v>2.016E7</v>
      </c>
      <c r="G26" s="11">
        <v>1.82E7</v>
      </c>
      <c r="H26" s="11">
        <v>1.741E7</v>
      </c>
      <c r="I26" s="11">
        <v>1.799E7</v>
      </c>
      <c r="J26" s="11">
        <v>840050.0</v>
      </c>
      <c r="K26" s="11">
        <v>668950.0</v>
      </c>
      <c r="L26" s="11">
        <v>696820.0</v>
      </c>
      <c r="M26" s="11">
        <v>659220.0</v>
      </c>
      <c r="N26" s="11">
        <v>562090.0</v>
      </c>
      <c r="O26" s="11">
        <v>174720.0</v>
      </c>
      <c r="P26" s="11">
        <v>154090.0</v>
      </c>
      <c r="Q26" s="11">
        <v>146410.0</v>
      </c>
      <c r="R26" s="11">
        <v>131490.0</v>
      </c>
      <c r="S26" s="11">
        <v>140880.0</v>
      </c>
      <c r="T26" s="12"/>
      <c r="U26" s="12"/>
      <c r="V26" s="12"/>
      <c r="W26" s="12"/>
      <c r="X26" s="12"/>
      <c r="Y26" s="11">
        <v>-45520.0</v>
      </c>
      <c r="Z26" s="11">
        <v>346680.0</v>
      </c>
      <c r="AA26" s="11">
        <v>511700.0</v>
      </c>
      <c r="AB26" s="11">
        <v>-221390.0</v>
      </c>
      <c r="AC26" s="11">
        <v>13780.0</v>
      </c>
      <c r="AD26" s="11">
        <v>-184120.0</v>
      </c>
      <c r="AE26" s="11">
        <v>177480.0</v>
      </c>
      <c r="AF26" s="11">
        <v>429180.0</v>
      </c>
      <c r="AG26" s="11">
        <v>125560.0</v>
      </c>
      <c r="AH26" s="11">
        <v>-151470.0</v>
      </c>
      <c r="AI26" s="11">
        <v>915820.0</v>
      </c>
      <c r="AJ26" s="11">
        <v>770060.0</v>
      </c>
      <c r="AK26" s="11">
        <v>810210.0</v>
      </c>
      <c r="AL26" s="11">
        <v>901840.0</v>
      </c>
      <c r="AM26" s="11">
        <v>1000000.0</v>
      </c>
      <c r="AN26" s="11">
        <v>-261050.0</v>
      </c>
      <c r="AO26" s="11">
        <v>136470.0</v>
      </c>
      <c r="AP26" s="11">
        <v>339390.0</v>
      </c>
      <c r="AQ26" s="11">
        <v>96110.0</v>
      </c>
      <c r="AR26" s="11">
        <v>-154850.0</v>
      </c>
      <c r="AS26" s="11">
        <v>777620.0</v>
      </c>
      <c r="AT26" s="11">
        <v>774550.0</v>
      </c>
      <c r="AU26" s="11">
        <v>696650.0</v>
      </c>
      <c r="AV26" s="11">
        <v>814160.0</v>
      </c>
      <c r="AW26" s="11">
        <v>764430.0</v>
      </c>
      <c r="AX26" s="11">
        <v>-100660.0</v>
      </c>
      <c r="AY26" s="11">
        <v>-113280.0</v>
      </c>
      <c r="AZ26" s="11">
        <v>-86350.0</v>
      </c>
      <c r="BA26" s="11">
        <v>-191390.0</v>
      </c>
      <c r="BB26" s="11">
        <v>-69430.0</v>
      </c>
      <c r="BC26" s="13"/>
      <c r="BD26" s="13"/>
      <c r="BE26" s="13"/>
      <c r="BF26" s="13"/>
      <c r="BG26" s="13"/>
      <c r="BH26" s="11">
        <v>1080000.0</v>
      </c>
      <c r="BI26" s="11">
        <v>886730.0</v>
      </c>
      <c r="BJ26" s="11">
        <v>802360.0</v>
      </c>
      <c r="BK26" s="11">
        <v>692150.0</v>
      </c>
      <c r="BL26" s="11">
        <v>683890.0</v>
      </c>
      <c r="BM26" s="11">
        <v>5830000.0</v>
      </c>
      <c r="BN26" s="11">
        <v>5600000.0</v>
      </c>
      <c r="BO26" s="11">
        <v>5180000.0</v>
      </c>
      <c r="BP26" s="11">
        <v>4580000.0</v>
      </c>
      <c r="BQ26" s="11">
        <v>4920000.0</v>
      </c>
      <c r="BR26" s="11"/>
      <c r="BS26" s="11"/>
      <c r="BT26" s="11"/>
      <c r="BU26" s="11"/>
      <c r="BV26" s="11"/>
      <c r="BW26" s="11">
        <v>7530000.0</v>
      </c>
      <c r="BX26" s="11">
        <v>7130000.0</v>
      </c>
      <c r="BY26" s="11">
        <v>6680000.0</v>
      </c>
      <c r="BZ26" s="11">
        <v>6000000.0</v>
      </c>
      <c r="CA26" s="11">
        <v>6250000.0</v>
      </c>
      <c r="CB26" s="11">
        <v>559400.0</v>
      </c>
      <c r="CC26" s="11">
        <v>614060.0</v>
      </c>
      <c r="CD26" s="11">
        <v>621360.0</v>
      </c>
      <c r="CE26" s="11">
        <v>644990.0</v>
      </c>
      <c r="CF26" s="11">
        <v>699320.0</v>
      </c>
      <c r="CG26" s="11">
        <v>5280000.0</v>
      </c>
      <c r="CH26" s="11">
        <v>5920000.0</v>
      </c>
      <c r="CI26" s="11">
        <v>5990000.0</v>
      </c>
      <c r="CJ26" s="11">
        <v>5820000.0</v>
      </c>
      <c r="CK26" s="11">
        <v>5820000.0</v>
      </c>
      <c r="CL26" s="11">
        <v>1.446E7</v>
      </c>
      <c r="CM26" s="11">
        <v>1.468E7</v>
      </c>
      <c r="CN26" s="11">
        <v>1.44E7</v>
      </c>
      <c r="CO26" s="11">
        <v>1.367E7</v>
      </c>
      <c r="CP26" s="11">
        <v>1.401E7</v>
      </c>
      <c r="CQ26" s="11">
        <v>2950000.0</v>
      </c>
      <c r="CR26" s="11">
        <v>2730000.0</v>
      </c>
      <c r="CS26" s="11">
        <v>2250000.0</v>
      </c>
      <c r="CT26" s="11">
        <v>1910000.0</v>
      </c>
      <c r="CU26" s="11">
        <v>1850000.0</v>
      </c>
      <c r="CV26" s="11">
        <v>6460000.0</v>
      </c>
      <c r="CW26" s="11">
        <v>47840.0</v>
      </c>
      <c r="CX26" s="11">
        <v>8350.0</v>
      </c>
      <c r="CY26" s="11">
        <v>1220.0</v>
      </c>
      <c r="CZ26" s="11">
        <v>26300.0</v>
      </c>
      <c r="DA26" s="11">
        <v>2790.0</v>
      </c>
      <c r="DB26" s="11">
        <v>6460000.0</v>
      </c>
      <c r="DC26" s="11">
        <v>6130000.0</v>
      </c>
      <c r="DD26" s="11">
        <v>5580000.0</v>
      </c>
      <c r="DE26" s="11">
        <v>5300000.0</v>
      </c>
      <c r="DF26" s="11">
        <v>1.056E7</v>
      </c>
      <c r="DG26" s="11">
        <v>1.04E7</v>
      </c>
      <c r="DH26" s="11">
        <v>1.018E7</v>
      </c>
      <c r="DI26" s="11">
        <v>1.012E7</v>
      </c>
      <c r="DJ26" s="11">
        <v>1.038E7</v>
      </c>
      <c r="DK26" s="11">
        <v>405230.0</v>
      </c>
      <c r="DL26" s="11">
        <v>310660.0</v>
      </c>
      <c r="DM26" s="11">
        <v>364220.0</v>
      </c>
      <c r="DN26" s="11">
        <v>330490.0</v>
      </c>
      <c r="DO26" s="11">
        <v>321630.0</v>
      </c>
      <c r="DP26" s="11">
        <v>3290000.0</v>
      </c>
      <c r="DQ26" s="11">
        <v>3480000.0</v>
      </c>
      <c r="DR26" s="11">
        <v>3700000.0</v>
      </c>
      <c r="DS26" s="11">
        <v>3700000.0</v>
      </c>
      <c r="DT26" s="11">
        <v>4450000.0</v>
      </c>
      <c r="DU26" s="13"/>
      <c r="DV26" s="12"/>
      <c r="DW26" s="12"/>
      <c r="DX26" s="13"/>
      <c r="DY26" s="13"/>
      <c r="DZ26" s="11">
        <v>3690000.0</v>
      </c>
      <c r="EA26" s="11">
        <v>4090000.0</v>
      </c>
      <c r="EB26" s="11">
        <v>4000000.0</v>
      </c>
      <c r="EC26" s="11">
        <v>3370000.0</v>
      </c>
      <c r="ED26" s="11">
        <v>3410000.0</v>
      </c>
      <c r="EE26" s="14">
        <v>0.05</v>
      </c>
      <c r="EF26" s="14">
        <v>0.075</v>
      </c>
      <c r="EG26" s="14">
        <v>0.1</v>
      </c>
      <c r="EH26" s="14">
        <v>-0.063</v>
      </c>
    </row>
    <row r="27">
      <c r="A27" s="9">
        <f t="shared" si="2"/>
        <v>25</v>
      </c>
      <c r="B27" s="10" t="s">
        <v>161</v>
      </c>
      <c r="C27" s="15">
        <v>183700.0</v>
      </c>
      <c r="D27" s="15">
        <v>140270.0</v>
      </c>
      <c r="E27" s="15">
        <v>107520.0</v>
      </c>
      <c r="F27" s="15">
        <v>74640.0</v>
      </c>
      <c r="G27" s="15">
        <v>36510.0</v>
      </c>
      <c r="H27" s="15">
        <v>27370.0</v>
      </c>
      <c r="I27" s="15">
        <v>31210.0</v>
      </c>
      <c r="J27" s="15">
        <v>50650.0</v>
      </c>
      <c r="K27" s="15">
        <v>34450.0</v>
      </c>
      <c r="L27" s="15">
        <v>17230.0</v>
      </c>
      <c r="M27" s="15">
        <v>13330.0</v>
      </c>
      <c r="N27" s="15">
        <v>14120.0</v>
      </c>
      <c r="O27" s="15">
        <v>32860.0</v>
      </c>
      <c r="P27" s="15">
        <v>27980.0</v>
      </c>
      <c r="Q27" s="15">
        <v>16530.0</v>
      </c>
      <c r="R27" s="15">
        <v>9840.0</v>
      </c>
      <c r="S27" s="15">
        <v>9260.0</v>
      </c>
      <c r="T27" s="15">
        <v>12900.0</v>
      </c>
      <c r="U27" s="15">
        <v>10380.0</v>
      </c>
      <c r="V27" s="15">
        <v>5140.0</v>
      </c>
      <c r="W27" s="15">
        <v>3260.0</v>
      </c>
      <c r="X27" s="15">
        <v>2940.0</v>
      </c>
      <c r="Y27" s="15">
        <v>0.0</v>
      </c>
      <c r="Z27" s="15">
        <v>0.0</v>
      </c>
      <c r="AA27" s="15">
        <v>0.0</v>
      </c>
      <c r="AB27" s="15">
        <v>0.0</v>
      </c>
      <c r="AC27" s="15">
        <v>0.0</v>
      </c>
      <c r="AD27" s="15">
        <v>18940.0</v>
      </c>
      <c r="AE27" s="15">
        <v>7380.0</v>
      </c>
      <c r="AF27" s="15">
        <v>0.0</v>
      </c>
      <c r="AG27" s="15">
        <v>2980.0</v>
      </c>
      <c r="AH27" s="15">
        <v>5390.0</v>
      </c>
      <c r="AI27" s="15">
        <v>18580.0</v>
      </c>
      <c r="AJ27" s="15">
        <v>6890.0</v>
      </c>
      <c r="AK27" s="15">
        <v>0.0</v>
      </c>
      <c r="AL27" s="15">
        <v>3680.0</v>
      </c>
      <c r="AM27" s="15">
        <v>5020.0</v>
      </c>
      <c r="AN27" s="15">
        <v>18890.0</v>
      </c>
      <c r="AO27" s="15">
        <v>6570.0</v>
      </c>
      <c r="AP27" s="15">
        <v>0.0</v>
      </c>
      <c r="AQ27" s="15">
        <v>1030.0</v>
      </c>
      <c r="AR27" s="15">
        <v>5380.0</v>
      </c>
      <c r="AS27" s="15">
        <v>9400.0</v>
      </c>
      <c r="AT27" s="15">
        <v>6910.0</v>
      </c>
      <c r="AU27" s="15">
        <v>-8100.0</v>
      </c>
      <c r="AV27" s="15">
        <v>-3700.0</v>
      </c>
      <c r="AW27" s="15">
        <v>2700.0</v>
      </c>
      <c r="AX27" s="15">
        <v>-1130.0</v>
      </c>
      <c r="AY27" s="15">
        <v>-2070.0</v>
      </c>
      <c r="AZ27" s="15">
        <v>0.0</v>
      </c>
      <c r="BA27" s="15">
        <v>0.0</v>
      </c>
      <c r="BB27" s="15">
        <v>-1370.0</v>
      </c>
      <c r="BC27" s="15">
        <v>0.0</v>
      </c>
      <c r="BD27" s="15">
        <v>0.0</v>
      </c>
      <c r="BE27" s="15">
        <v>0.0</v>
      </c>
      <c r="BF27" s="15">
        <v>0.0</v>
      </c>
      <c r="BG27" s="15">
        <v>0.0</v>
      </c>
      <c r="BH27" s="15">
        <v>117860.0</v>
      </c>
      <c r="BI27" s="15">
        <v>27120.0</v>
      </c>
      <c r="BJ27" s="15">
        <v>17680.0</v>
      </c>
      <c r="BK27" s="15">
        <v>10120.0</v>
      </c>
      <c r="BL27" s="15">
        <v>4400.0</v>
      </c>
      <c r="BM27" s="15">
        <v>33690.0</v>
      </c>
      <c r="BN27" s="15">
        <v>28160.0</v>
      </c>
      <c r="BO27" s="15">
        <v>29250.0</v>
      </c>
      <c r="BP27" s="15">
        <v>17790.0</v>
      </c>
      <c r="BQ27" s="15">
        <v>13290.0</v>
      </c>
      <c r="BR27" s="15">
        <v>44800.0</v>
      </c>
      <c r="BS27" s="15">
        <v>38760.0</v>
      </c>
      <c r="BT27" s="15">
        <v>15390.0</v>
      </c>
      <c r="BU27" s="15">
        <v>11670.0</v>
      </c>
      <c r="BV27" s="15">
        <v>9150.0</v>
      </c>
      <c r="BW27" s="15">
        <v>198400.0</v>
      </c>
      <c r="BX27" s="15">
        <v>96030.0</v>
      </c>
      <c r="BY27" s="15">
        <v>62910.0</v>
      </c>
      <c r="BZ27" s="15">
        <v>40350.0</v>
      </c>
      <c r="CA27" s="15">
        <v>27950.0</v>
      </c>
      <c r="CB27" s="15">
        <v>7510.0</v>
      </c>
      <c r="CC27" s="15">
        <v>3710.0</v>
      </c>
      <c r="CD27" s="15">
        <v>2340.0</v>
      </c>
      <c r="CE27" s="15">
        <v>2260.0</v>
      </c>
      <c r="CF27" s="15">
        <v>1770.0</v>
      </c>
      <c r="CG27" s="15">
        <v>0.0</v>
      </c>
      <c r="CH27" s="15">
        <v>0.0</v>
      </c>
      <c r="CI27" s="15">
        <v>0.0</v>
      </c>
      <c r="CJ27" s="15">
        <v>0.0</v>
      </c>
      <c r="CK27" s="15">
        <v>0.0</v>
      </c>
      <c r="CL27" s="15">
        <v>217700.0</v>
      </c>
      <c r="CM27" s="15">
        <v>103050.0</v>
      </c>
      <c r="CN27" s="15">
        <v>67890.0</v>
      </c>
      <c r="CO27" s="15">
        <v>44470.0</v>
      </c>
      <c r="CP27" s="15">
        <v>32150.0</v>
      </c>
      <c r="CQ27" s="15">
        <v>13260.0</v>
      </c>
      <c r="CR27" s="15">
        <v>16670.0</v>
      </c>
      <c r="CS27" s="15">
        <v>7420.0</v>
      </c>
      <c r="CT27" s="15">
        <v>5170.0</v>
      </c>
      <c r="CU27" s="15">
        <v>2090.0</v>
      </c>
      <c r="CV27" s="15">
        <v>53500.0</v>
      </c>
      <c r="CW27" s="15">
        <v>15110.0</v>
      </c>
      <c r="CX27" s="15">
        <v>9450.0</v>
      </c>
      <c r="CY27" s="15">
        <v>5110.0</v>
      </c>
      <c r="CZ27" s="15">
        <v>4770.0</v>
      </c>
      <c r="DA27" s="15">
        <v>9690.0</v>
      </c>
      <c r="DB27" s="15">
        <v>53500.0</v>
      </c>
      <c r="DC27" s="15">
        <v>46140.0</v>
      </c>
      <c r="DD27" s="15">
        <v>21820.0</v>
      </c>
      <c r="DE27" s="15">
        <v>17070.0</v>
      </c>
      <c r="DF27" s="15">
        <v>56170.0</v>
      </c>
      <c r="DG27" s="15">
        <v>46140.0</v>
      </c>
      <c r="DH27" s="15">
        <v>21820.0</v>
      </c>
      <c r="DI27" s="15">
        <v>17070.0</v>
      </c>
      <c r="DJ27" s="15">
        <v>20570.0</v>
      </c>
      <c r="DK27" s="15">
        <v>5930.0</v>
      </c>
      <c r="DL27" s="15">
        <v>1360.0</v>
      </c>
      <c r="DM27" s="15">
        <v>1240.0</v>
      </c>
      <c r="DN27" s="15">
        <v>0.0</v>
      </c>
      <c r="DO27" s="15">
        <v>0.0</v>
      </c>
      <c r="DP27" s="15">
        <v>2530.0</v>
      </c>
      <c r="DQ27" s="15">
        <v>0.0</v>
      </c>
      <c r="DR27" s="15">
        <v>0.0</v>
      </c>
      <c r="DS27" s="15">
        <v>0.0</v>
      </c>
      <c r="DT27" s="15">
        <v>0.0</v>
      </c>
      <c r="DU27" s="15">
        <v>0.0</v>
      </c>
      <c r="DV27" s="15">
        <v>0.0</v>
      </c>
      <c r="DW27" s="15">
        <v>0.0</v>
      </c>
      <c r="DX27" s="15">
        <v>18030.0</v>
      </c>
      <c r="DY27" s="15">
        <v>8880.0</v>
      </c>
      <c r="DZ27" s="15">
        <v>97320.0</v>
      </c>
      <c r="EA27" s="15">
        <v>52320.0</v>
      </c>
      <c r="EB27" s="15">
        <v>39860.0</v>
      </c>
      <c r="EC27" s="15">
        <v>15600.0</v>
      </c>
      <c r="ED27" s="15">
        <v>0.0</v>
      </c>
      <c r="EE27" s="17">
        <v>0.032</v>
      </c>
      <c r="EF27" s="17">
        <v>0.184</v>
      </c>
      <c r="EG27" s="17">
        <v>1.75</v>
      </c>
      <c r="EH27" s="17">
        <v>1.531</v>
      </c>
    </row>
    <row r="28">
      <c r="A28" s="9">
        <f t="shared" si="2"/>
        <v>26</v>
      </c>
      <c r="B28" s="22" t="s">
        <v>162</v>
      </c>
      <c r="C28" s="11">
        <v>6530.0</v>
      </c>
      <c r="D28" s="11">
        <v>6160.0</v>
      </c>
      <c r="E28" s="11">
        <v>4230.0</v>
      </c>
      <c r="F28" s="11">
        <v>6150.0</v>
      </c>
      <c r="G28" s="11">
        <v>1680.0</v>
      </c>
      <c r="H28" s="12"/>
      <c r="I28" s="12"/>
      <c r="J28" s="11">
        <v>172.0</v>
      </c>
      <c r="K28" s="11">
        <v>1820.0</v>
      </c>
      <c r="L28" s="11">
        <v>476.0</v>
      </c>
      <c r="M28" s="11">
        <v>-120.0</v>
      </c>
      <c r="N28" s="11">
        <v>-90.0</v>
      </c>
      <c r="O28" s="11">
        <v>91000.0</v>
      </c>
      <c r="P28" s="11">
        <v>85330.0</v>
      </c>
      <c r="Q28" s="11">
        <v>72300.0</v>
      </c>
      <c r="R28" s="11">
        <v>44430.0</v>
      </c>
      <c r="S28" s="11">
        <v>20290.0</v>
      </c>
      <c r="T28" s="11">
        <v>63780.0</v>
      </c>
      <c r="U28" s="11">
        <v>59570.0</v>
      </c>
      <c r="V28" s="11">
        <v>39790.0</v>
      </c>
      <c r="W28" s="11">
        <v>29740.0</v>
      </c>
      <c r="X28" s="11">
        <v>14960.0</v>
      </c>
      <c r="Y28" s="11">
        <v>-111060.0</v>
      </c>
      <c r="Z28" s="11">
        <v>-1270.0</v>
      </c>
      <c r="AA28" s="11">
        <v>-72420.0</v>
      </c>
      <c r="AB28" s="11">
        <v>-48570.0</v>
      </c>
      <c r="AC28" s="11">
        <v>-20670.0</v>
      </c>
      <c r="AD28" s="11">
        <v>-113540.0</v>
      </c>
      <c r="AE28" s="11">
        <v>-82100.0</v>
      </c>
      <c r="AF28" s="11">
        <v>-70350.0</v>
      </c>
      <c r="AG28" s="11">
        <v>-48080.0</v>
      </c>
      <c r="AH28" s="11">
        <v>-20560.0</v>
      </c>
      <c r="AI28" s="11">
        <v>-89250.0</v>
      </c>
      <c r="AJ28" s="11">
        <v>-82190.0</v>
      </c>
      <c r="AK28" s="11">
        <v>-71420.0</v>
      </c>
      <c r="AL28" s="11">
        <v>-44430.0</v>
      </c>
      <c r="AM28" s="11">
        <v>-20290.0</v>
      </c>
      <c r="AN28" s="11">
        <v>-113540.0</v>
      </c>
      <c r="AO28" s="11">
        <v>-82100.0</v>
      </c>
      <c r="AP28" s="11">
        <v>-68520.0</v>
      </c>
      <c r="AQ28" s="11">
        <v>-48080.0</v>
      </c>
      <c r="AR28" s="11">
        <v>-20560.0</v>
      </c>
      <c r="AS28" s="11">
        <v>-96450.0</v>
      </c>
      <c r="AT28" s="11">
        <v>-100810.0</v>
      </c>
      <c r="AU28" s="11">
        <v>-54660.0</v>
      </c>
      <c r="AV28" s="11">
        <v>-34600.0</v>
      </c>
      <c r="AW28" s="11">
        <v>-20370.0</v>
      </c>
      <c r="AX28" s="11">
        <v>-1610.0</v>
      </c>
      <c r="AY28" s="11">
        <v>-68480.0</v>
      </c>
      <c r="AZ28" s="11">
        <v>-1240.0</v>
      </c>
      <c r="BA28" s="11">
        <v>-232.0</v>
      </c>
      <c r="BB28" s="11">
        <v>-507.0</v>
      </c>
      <c r="BC28" s="12"/>
      <c r="BD28" s="12"/>
      <c r="BE28" s="12"/>
      <c r="BF28" s="12"/>
      <c r="BG28" s="12"/>
      <c r="BH28" s="11">
        <v>75020.0</v>
      </c>
      <c r="BI28" s="11">
        <v>167970.0</v>
      </c>
      <c r="BJ28" s="11">
        <v>193860.0</v>
      </c>
      <c r="BK28" s="11">
        <v>137220.0</v>
      </c>
      <c r="BL28" s="11">
        <v>84870.0</v>
      </c>
      <c r="BM28" s="11">
        <v>704.0</v>
      </c>
      <c r="BN28" s="11">
        <v>563.0</v>
      </c>
      <c r="BO28" s="11">
        <v>481.0</v>
      </c>
      <c r="BP28" s="12"/>
      <c r="BQ28" s="12"/>
      <c r="BR28" s="12"/>
      <c r="BS28" s="12"/>
      <c r="BT28" s="12"/>
      <c r="BU28" s="12"/>
      <c r="BV28" s="12"/>
      <c r="BW28" s="11">
        <v>83800.0</v>
      </c>
      <c r="BX28" s="11">
        <v>179500.0</v>
      </c>
      <c r="BY28" s="11">
        <v>200220.0</v>
      </c>
      <c r="BZ28" s="11">
        <v>138560.0</v>
      </c>
      <c r="CA28" s="11">
        <v>86520.0</v>
      </c>
      <c r="CB28" s="11">
        <v>7200.0</v>
      </c>
      <c r="CC28" s="11">
        <v>2290.0</v>
      </c>
      <c r="CD28" s="11">
        <v>2160.0</v>
      </c>
      <c r="CE28" s="11">
        <v>481.0</v>
      </c>
      <c r="CF28" s="11">
        <v>360.0</v>
      </c>
      <c r="CG28" s="12"/>
      <c r="CH28" s="11">
        <v>18500.0</v>
      </c>
      <c r="CI28" s="11">
        <v>18500.0</v>
      </c>
      <c r="CJ28" s="12"/>
      <c r="CK28" s="12"/>
      <c r="CL28" s="11">
        <v>98300.0</v>
      </c>
      <c r="CM28" s="11">
        <v>275570.0</v>
      </c>
      <c r="CN28" s="11">
        <v>245610.0</v>
      </c>
      <c r="CO28" s="11">
        <v>176090.0</v>
      </c>
      <c r="CP28" s="11">
        <v>94080.0</v>
      </c>
      <c r="CQ28" s="11">
        <v>9920.0</v>
      </c>
      <c r="CR28" s="11">
        <v>11680.0</v>
      </c>
      <c r="CS28" s="11">
        <v>7820.0</v>
      </c>
      <c r="CT28" s="12"/>
      <c r="CU28" s="12"/>
      <c r="CV28" s="11">
        <v>22430.0</v>
      </c>
      <c r="CW28" s="11">
        <v>526.0</v>
      </c>
      <c r="CX28" s="24">
        <v>142.0</v>
      </c>
      <c r="CY28" s="12"/>
      <c r="CZ28" s="12"/>
      <c r="DA28" s="12"/>
      <c r="DB28" s="11">
        <v>22430.0</v>
      </c>
      <c r="DC28" s="11">
        <v>27340.0</v>
      </c>
      <c r="DD28" s="11">
        <v>12760.0</v>
      </c>
      <c r="DE28" s="11">
        <v>6220.0</v>
      </c>
      <c r="DF28" s="11">
        <v>28390.0</v>
      </c>
      <c r="DG28" s="11">
        <v>60440.0</v>
      </c>
      <c r="DH28" s="11">
        <v>20350.0</v>
      </c>
      <c r="DI28" s="11">
        <v>6600.0</v>
      </c>
      <c r="DJ28" s="11">
        <v>1560.0</v>
      </c>
      <c r="DK28" s="12"/>
      <c r="DL28" s="12"/>
      <c r="DM28" s="11">
        <v>15000.0</v>
      </c>
      <c r="DN28" s="11">
        <v>36910.0</v>
      </c>
      <c r="DO28" s="11">
        <v>7170.0</v>
      </c>
      <c r="DP28" s="11">
        <v>3570.0</v>
      </c>
      <c r="DQ28" s="11">
        <v>29910.0</v>
      </c>
      <c r="DR28" s="12"/>
      <c r="DS28" s="12"/>
      <c r="DT28" s="12"/>
      <c r="DU28" s="13"/>
      <c r="DV28" s="12"/>
      <c r="DW28" s="12"/>
      <c r="DX28" s="13"/>
      <c r="DY28" s="13"/>
      <c r="DZ28" s="11">
        <v>69910.0</v>
      </c>
      <c r="EA28" s="11">
        <v>215120.0</v>
      </c>
      <c r="EB28" s="11">
        <v>225260.0</v>
      </c>
      <c r="EC28" s="11">
        <v>169490.0</v>
      </c>
      <c r="ED28" s="11">
        <v>92520.0</v>
      </c>
      <c r="EE28" s="14">
        <v>0.411</v>
      </c>
      <c r="EF28" s="14">
        <v>0.476</v>
      </c>
      <c r="EG28" s="14">
        <v>0.222</v>
      </c>
      <c r="EH28" s="14">
        <v>-0.36</v>
      </c>
    </row>
    <row r="29">
      <c r="A29" s="9">
        <f t="shared" si="2"/>
        <v>27</v>
      </c>
      <c r="B29" s="22" t="s">
        <v>163</v>
      </c>
      <c r="C29" s="11">
        <v>26610.0</v>
      </c>
      <c r="D29" s="11">
        <v>13870.0</v>
      </c>
      <c r="E29" s="11">
        <v>2290.0</v>
      </c>
      <c r="F29" s="11">
        <v>2150.0</v>
      </c>
      <c r="G29" s="11">
        <v>8000.0</v>
      </c>
      <c r="H29" s="11">
        <v>17360.0</v>
      </c>
      <c r="I29" s="11">
        <v>19260.0</v>
      </c>
      <c r="J29" s="11">
        <v>-4520.0</v>
      </c>
      <c r="K29" s="11">
        <v>-1830.0</v>
      </c>
      <c r="L29" s="11">
        <v>-2660.0</v>
      </c>
      <c r="M29" s="11">
        <v>5040.0</v>
      </c>
      <c r="N29" s="11">
        <v>16500.0</v>
      </c>
      <c r="O29" s="11">
        <v>49690.0</v>
      </c>
      <c r="P29" s="11">
        <v>33900.0</v>
      </c>
      <c r="Q29" s="11">
        <v>36020.0</v>
      </c>
      <c r="R29" s="11">
        <v>37000.0</v>
      </c>
      <c r="S29" s="11">
        <v>35700.0</v>
      </c>
      <c r="T29" s="11">
        <v>4660.0</v>
      </c>
      <c r="U29" s="11">
        <v>13140.0</v>
      </c>
      <c r="V29" s="11">
        <v>19410.0</v>
      </c>
      <c r="W29" s="11">
        <v>21400.0</v>
      </c>
      <c r="X29" s="11">
        <v>22490.0</v>
      </c>
      <c r="Y29" s="11">
        <v>-54330.0</v>
      </c>
      <c r="Z29" s="11">
        <v>-35640.0</v>
      </c>
      <c r="AA29" s="11">
        <v>-38590.0</v>
      </c>
      <c r="AB29" s="11">
        <v>-31360.0</v>
      </c>
      <c r="AC29" s="11">
        <v>-17850.0</v>
      </c>
      <c r="AD29" s="11">
        <v>-53240.0</v>
      </c>
      <c r="AE29" s="11">
        <v>-47150.0</v>
      </c>
      <c r="AF29" s="11">
        <v>-52210.0</v>
      </c>
      <c r="AG29" s="11">
        <v>-43190.0</v>
      </c>
      <c r="AH29" s="11">
        <v>-23640.0</v>
      </c>
      <c r="AI29" s="11">
        <v>-52540.0</v>
      </c>
      <c r="AJ29" s="11">
        <v>-35150.0</v>
      </c>
      <c r="AK29" s="11">
        <v>-36940.0</v>
      </c>
      <c r="AL29" s="11">
        <v>-29910.0</v>
      </c>
      <c r="AM29" s="11">
        <v>-17210.0</v>
      </c>
      <c r="AN29" s="11">
        <v>-53240.0</v>
      </c>
      <c r="AO29" s="11">
        <v>-47150.0</v>
      </c>
      <c r="AP29" s="11">
        <v>-51510.0</v>
      </c>
      <c r="AQ29" s="11">
        <v>-43160.0</v>
      </c>
      <c r="AR29" s="11">
        <v>-24400.0</v>
      </c>
      <c r="AS29" s="11">
        <v>-50480.0</v>
      </c>
      <c r="AT29" s="11">
        <v>-29080.0</v>
      </c>
      <c r="AU29" s="11">
        <v>-29770.0</v>
      </c>
      <c r="AV29" s="11">
        <v>-29400.0</v>
      </c>
      <c r="AW29" s="11">
        <v>-19950.0</v>
      </c>
      <c r="AX29" s="11">
        <v>-3470.0</v>
      </c>
      <c r="AY29" s="11">
        <v>-819.0</v>
      </c>
      <c r="AZ29" s="11">
        <v>-2410.0</v>
      </c>
      <c r="BA29" s="11">
        <v>-3720.0</v>
      </c>
      <c r="BB29" s="11">
        <v>-1460.0</v>
      </c>
      <c r="BC29" s="12"/>
      <c r="BD29" s="12"/>
      <c r="BE29" s="12"/>
      <c r="BF29" s="12"/>
      <c r="BG29" s="12"/>
      <c r="BH29" s="11">
        <v>66140.0</v>
      </c>
      <c r="BI29" s="11">
        <v>105720.0</v>
      </c>
      <c r="BJ29" s="11">
        <v>60470.0</v>
      </c>
      <c r="BK29" s="11">
        <v>80310.0</v>
      </c>
      <c r="BL29" s="11">
        <v>113460.0</v>
      </c>
      <c r="BM29" s="11">
        <v>598.0</v>
      </c>
      <c r="BN29" s="11">
        <v>401.0</v>
      </c>
      <c r="BO29" s="11">
        <v>1530.0</v>
      </c>
      <c r="BP29" s="11">
        <v>5830.0</v>
      </c>
      <c r="BQ29" s="11">
        <v>3290.0</v>
      </c>
      <c r="BR29" s="11">
        <v>3300.0</v>
      </c>
      <c r="BS29" s="11">
        <v>854.0</v>
      </c>
      <c r="BT29" s="11">
        <v>956.0</v>
      </c>
      <c r="BU29" s="11">
        <v>2150.0</v>
      </c>
      <c r="BV29" s="11">
        <v>466.0</v>
      </c>
      <c r="BW29" s="11">
        <v>71690.0</v>
      </c>
      <c r="BX29" s="11">
        <v>107990.0</v>
      </c>
      <c r="BY29" s="11">
        <v>63410.0</v>
      </c>
      <c r="BZ29" s="11">
        <v>89050.0</v>
      </c>
      <c r="CA29" s="11">
        <v>118950.0</v>
      </c>
      <c r="CB29" s="11">
        <v>18480.0</v>
      </c>
      <c r="CC29" s="11">
        <v>11480.0</v>
      </c>
      <c r="CD29" s="11">
        <v>11050.0</v>
      </c>
      <c r="CE29" s="11">
        <v>10710.0</v>
      </c>
      <c r="CF29" s="11">
        <v>8610.0</v>
      </c>
      <c r="CG29" s="12"/>
      <c r="CH29" s="12"/>
      <c r="CI29" s="12"/>
      <c r="CJ29" s="12"/>
      <c r="CK29" s="12"/>
      <c r="CL29" s="11">
        <v>91360.0</v>
      </c>
      <c r="CM29" s="11">
        <v>120530.0</v>
      </c>
      <c r="CN29" s="11">
        <v>75550.0</v>
      </c>
      <c r="CO29" s="11">
        <v>99990.0</v>
      </c>
      <c r="CP29" s="11">
        <v>127790.0</v>
      </c>
      <c r="CQ29" s="11">
        <v>1720.0</v>
      </c>
      <c r="CR29" s="11">
        <v>2070.0</v>
      </c>
      <c r="CS29" s="11">
        <v>1420.0</v>
      </c>
      <c r="CT29" s="11">
        <v>1560.0</v>
      </c>
      <c r="CU29" s="11">
        <v>1560.0</v>
      </c>
      <c r="CV29" s="11">
        <v>13610.0</v>
      </c>
      <c r="CW29" s="11">
        <v>970.0</v>
      </c>
      <c r="CX29" s="12"/>
      <c r="CY29" s="12"/>
      <c r="CZ29" s="12"/>
      <c r="DA29" s="12"/>
      <c r="DB29" s="11">
        <v>13610.0</v>
      </c>
      <c r="DC29" s="11">
        <v>15930.0</v>
      </c>
      <c r="DD29" s="11">
        <v>13660.0</v>
      </c>
      <c r="DE29" s="11">
        <v>10190.0</v>
      </c>
      <c r="DF29" s="11">
        <v>132770.0</v>
      </c>
      <c r="DG29" s="11">
        <v>116280.0</v>
      </c>
      <c r="DH29" s="11">
        <v>112060.0</v>
      </c>
      <c r="DI29" s="11">
        <v>105330.0</v>
      </c>
      <c r="DJ29" s="11">
        <v>94670.0</v>
      </c>
      <c r="DK29" s="12"/>
      <c r="DL29" s="11">
        <v>178.0</v>
      </c>
      <c r="DM29" s="11">
        <v>178.0</v>
      </c>
      <c r="DN29" s="11">
        <v>178.0</v>
      </c>
      <c r="DO29" s="24">
        <v>178.0</v>
      </c>
      <c r="DP29" s="11">
        <v>115840.0</v>
      </c>
      <c r="DQ29" s="11">
        <v>96670.0</v>
      </c>
      <c r="DR29" s="11">
        <v>94350.0</v>
      </c>
      <c r="DS29" s="11">
        <v>90860.0</v>
      </c>
      <c r="DT29" s="11">
        <v>80140.0</v>
      </c>
      <c r="DU29" s="13"/>
      <c r="DV29" s="12"/>
      <c r="DW29" s="12"/>
      <c r="DX29" s="13"/>
      <c r="DY29" s="13"/>
      <c r="DZ29" s="11">
        <v>-41420.0</v>
      </c>
      <c r="EA29" s="11">
        <v>4250.0</v>
      </c>
      <c r="EB29" s="11">
        <v>-36510.0</v>
      </c>
      <c r="EC29" s="11">
        <v>-5340.0</v>
      </c>
      <c r="ED29" s="11">
        <v>33110.0</v>
      </c>
      <c r="EE29" s="14">
        <v>1.226</v>
      </c>
      <c r="EF29" s="14">
        <v>0.926</v>
      </c>
      <c r="EG29" s="14">
        <v>0.429</v>
      </c>
      <c r="EH29" s="14">
        <v>0.157</v>
      </c>
    </row>
    <row r="30">
      <c r="A30" s="9">
        <f t="shared" si="2"/>
        <v>28</v>
      </c>
      <c r="B30" s="22" t="s">
        <v>164</v>
      </c>
      <c r="C30" s="11">
        <v>3150.0</v>
      </c>
      <c r="D30" s="12"/>
      <c r="E30" s="12"/>
      <c r="F30" s="12"/>
      <c r="G30" s="12"/>
      <c r="H30" s="12"/>
      <c r="I30" s="11">
        <v>38.0</v>
      </c>
      <c r="J30" s="11">
        <v>-3090.0</v>
      </c>
      <c r="K30" s="11">
        <v>-3060.0</v>
      </c>
      <c r="L30" s="11">
        <v>-2670.0</v>
      </c>
      <c r="M30" s="11">
        <v>-2530.0</v>
      </c>
      <c r="N30" s="11">
        <v>-2440.0</v>
      </c>
      <c r="O30" s="11">
        <v>29850.0</v>
      </c>
      <c r="P30" s="11">
        <v>41690.0</v>
      </c>
      <c r="Q30" s="11">
        <v>17430.0</v>
      </c>
      <c r="R30" s="11">
        <v>7820.0</v>
      </c>
      <c r="S30" s="11">
        <v>7000.0</v>
      </c>
      <c r="T30" s="11">
        <v>18590.0</v>
      </c>
      <c r="U30" s="11">
        <v>36060.0</v>
      </c>
      <c r="V30" s="11">
        <v>13410.0</v>
      </c>
      <c r="W30" s="11">
        <v>7060.0</v>
      </c>
      <c r="X30" s="11">
        <v>4820.0</v>
      </c>
      <c r="Y30" s="11">
        <v>-34420.0</v>
      </c>
      <c r="Z30" s="11">
        <v>-7200.0</v>
      </c>
      <c r="AA30" s="11">
        <v>-20450.0</v>
      </c>
      <c r="AB30" s="11">
        <v>-10400.0</v>
      </c>
      <c r="AC30" s="11">
        <v>-7580.0</v>
      </c>
      <c r="AD30" s="11">
        <v>-34370.0</v>
      </c>
      <c r="AE30" s="11">
        <v>-52230.0</v>
      </c>
      <c r="AF30" s="11">
        <v>-21910.0</v>
      </c>
      <c r="AG30" s="11">
        <v>-10500.0</v>
      </c>
      <c r="AH30" s="11">
        <v>-6490.0</v>
      </c>
      <c r="AI30" s="11">
        <v>-29850.0</v>
      </c>
      <c r="AJ30" s="11">
        <v>-41690.0</v>
      </c>
      <c r="AK30" s="11">
        <v>-17430.0</v>
      </c>
      <c r="AL30" s="11">
        <v>-7820.0</v>
      </c>
      <c r="AM30" s="11">
        <v>-7050.0</v>
      </c>
      <c r="AN30" s="11">
        <v>-33950.0</v>
      </c>
      <c r="AO30" s="11">
        <v>-51640.0</v>
      </c>
      <c r="AP30" s="11">
        <v>-21500.0</v>
      </c>
      <c r="AQ30" s="11">
        <v>-10380.0</v>
      </c>
      <c r="AR30" s="11">
        <v>-6320.0</v>
      </c>
      <c r="AS30" s="11">
        <v>-30530.0</v>
      </c>
      <c r="AT30" s="11">
        <v>-32520.0</v>
      </c>
      <c r="AU30" s="11">
        <v>-12450.0</v>
      </c>
      <c r="AV30" s="11">
        <v>-6830.0</v>
      </c>
      <c r="AW30" s="11">
        <v>-6460.0</v>
      </c>
      <c r="AX30" s="11">
        <v>-425.0</v>
      </c>
      <c r="AY30" s="11">
        <v>-701.0</v>
      </c>
      <c r="AZ30" s="11">
        <v>-455.0</v>
      </c>
      <c r="BA30" s="11">
        <v>-2530.0</v>
      </c>
      <c r="BB30" s="11">
        <v>-368.0</v>
      </c>
      <c r="BC30" s="12"/>
      <c r="BD30" s="12"/>
      <c r="BE30" s="12"/>
      <c r="BF30" s="12"/>
      <c r="BG30" s="12"/>
      <c r="BH30" s="11">
        <v>20270.0</v>
      </c>
      <c r="BI30" s="11">
        <v>34410.0</v>
      </c>
      <c r="BJ30" s="11">
        <v>8220.0</v>
      </c>
      <c r="BK30" s="11">
        <v>9770.0</v>
      </c>
      <c r="BL30" s="11">
        <v>10470.0</v>
      </c>
      <c r="BM30" s="11">
        <v>777.0</v>
      </c>
      <c r="BN30" s="11">
        <v>1590.0</v>
      </c>
      <c r="BO30" s="11">
        <v>759.0</v>
      </c>
      <c r="BP30" s="11">
        <v>206.0</v>
      </c>
      <c r="BQ30" s="11">
        <v>399.0</v>
      </c>
      <c r="BR30" s="12"/>
      <c r="BS30" s="12"/>
      <c r="BT30" s="12"/>
      <c r="BU30" s="12"/>
      <c r="BV30" s="12"/>
      <c r="BW30" s="11">
        <v>22710.0</v>
      </c>
      <c r="BX30" s="11">
        <v>37180.0</v>
      </c>
      <c r="BY30" s="11">
        <v>9490.0</v>
      </c>
      <c r="BZ30" s="11">
        <v>10190.0</v>
      </c>
      <c r="CA30" s="11">
        <v>11330.0</v>
      </c>
      <c r="CB30" s="11">
        <v>2930.0</v>
      </c>
      <c r="CC30" s="11">
        <v>2810.0</v>
      </c>
      <c r="CD30" s="11">
        <v>2820.0</v>
      </c>
      <c r="CE30" s="11">
        <v>2880.0</v>
      </c>
      <c r="CF30" s="11">
        <v>287.0</v>
      </c>
      <c r="CG30" s="12"/>
      <c r="CH30" s="12"/>
      <c r="CI30" s="12"/>
      <c r="CJ30" s="12"/>
      <c r="CK30" s="12"/>
      <c r="CL30" s="11">
        <v>32530.0</v>
      </c>
      <c r="CM30" s="11">
        <v>49290.0</v>
      </c>
      <c r="CN30" s="11">
        <v>22960.0</v>
      </c>
      <c r="CO30" s="11">
        <v>25460.0</v>
      </c>
      <c r="CP30" s="11">
        <v>28520.0</v>
      </c>
      <c r="CQ30" s="12"/>
      <c r="CR30" s="12"/>
      <c r="CS30" s="11">
        <v>3420.0</v>
      </c>
      <c r="CT30" s="12"/>
      <c r="CU30" s="11">
        <v>375.0</v>
      </c>
      <c r="CV30" s="11">
        <v>10530.0</v>
      </c>
      <c r="CW30" s="11">
        <v>108.0</v>
      </c>
      <c r="CX30" s="12"/>
      <c r="CY30" s="12"/>
      <c r="CZ30" s="12"/>
      <c r="DA30" s="12"/>
      <c r="DB30" s="11">
        <v>10530.0</v>
      </c>
      <c r="DC30" s="11">
        <v>18260.0</v>
      </c>
      <c r="DD30" s="11">
        <v>6700.0</v>
      </c>
      <c r="DE30" s="11">
        <v>2140.0</v>
      </c>
      <c r="DF30" s="11">
        <v>14030.0</v>
      </c>
      <c r="DG30" s="11">
        <v>34540.0</v>
      </c>
      <c r="DH30" s="11">
        <v>14740.0</v>
      </c>
      <c r="DI30" s="11">
        <v>3750.0</v>
      </c>
      <c r="DJ30" s="11">
        <v>1300.0</v>
      </c>
      <c r="DK30" s="12"/>
      <c r="DL30" s="11">
        <v>27.0</v>
      </c>
      <c r="DM30" s="11">
        <v>26.0</v>
      </c>
      <c r="DN30" s="12"/>
      <c r="DO30" s="11">
        <v>2000.0</v>
      </c>
      <c r="DP30" s="11">
        <v>101.0</v>
      </c>
      <c r="DQ30" s="12"/>
      <c r="DR30" s="11">
        <v>1610.0</v>
      </c>
      <c r="DS30" s="11">
        <v>1410.0</v>
      </c>
      <c r="DT30" s="12"/>
      <c r="DU30" s="13"/>
      <c r="DV30" s="12"/>
      <c r="DW30" s="12"/>
      <c r="DX30" s="13"/>
      <c r="DY30" s="13"/>
      <c r="DZ30" s="11">
        <v>18500.0</v>
      </c>
      <c r="EA30" s="11">
        <v>14760.0</v>
      </c>
      <c r="EB30" s="11">
        <v>8220.0</v>
      </c>
      <c r="EC30" s="11">
        <v>21700.0</v>
      </c>
      <c r="ED30" s="11">
        <v>27220.0</v>
      </c>
      <c r="EE30" s="23"/>
      <c r="EF30" s="23"/>
      <c r="EG30" s="14">
        <v>-0.292</v>
      </c>
      <c r="EH30" s="23"/>
    </row>
    <row r="31">
      <c r="A31" s="9">
        <f t="shared" si="2"/>
        <v>29</v>
      </c>
      <c r="B31" s="22" t="s">
        <v>165</v>
      </c>
      <c r="C31" s="11">
        <v>4970.0</v>
      </c>
      <c r="D31" s="11">
        <v>3970.0</v>
      </c>
      <c r="E31" s="11">
        <v>1130.0</v>
      </c>
      <c r="F31" s="11">
        <v>59400.0</v>
      </c>
      <c r="G31" s="11">
        <v>38240.0</v>
      </c>
      <c r="H31" s="11">
        <v>14160.0</v>
      </c>
      <c r="I31" s="11">
        <v>16800.0</v>
      </c>
      <c r="J31" s="12"/>
      <c r="K31" s="12"/>
      <c r="L31" s="12"/>
      <c r="M31" s="12"/>
      <c r="N31" s="12"/>
      <c r="O31" s="11">
        <v>147580.0</v>
      </c>
      <c r="P31" s="11">
        <v>150890.0</v>
      </c>
      <c r="Q31" s="11">
        <v>123880.0</v>
      </c>
      <c r="R31" s="11">
        <v>83490.0</v>
      </c>
      <c r="S31" s="11">
        <v>70130.0</v>
      </c>
      <c r="T31" s="11">
        <v>112060.0</v>
      </c>
      <c r="U31" s="11">
        <v>115160.0</v>
      </c>
      <c r="V31" s="11">
        <v>98120.0</v>
      </c>
      <c r="W31" s="11">
        <v>63620.0</v>
      </c>
      <c r="X31" s="11">
        <v>50320.0</v>
      </c>
      <c r="Y31" s="11">
        <v>-159070.0</v>
      </c>
      <c r="Z31" s="11">
        <v>-99490.0</v>
      </c>
      <c r="AA31" s="11">
        <v>-92170.0</v>
      </c>
      <c r="AB31" s="12"/>
      <c r="AC31" s="12"/>
      <c r="AD31" s="11">
        <v>-156220.0</v>
      </c>
      <c r="AE31" s="11">
        <v>-112130.0</v>
      </c>
      <c r="AF31" s="11">
        <v>-81280.0</v>
      </c>
      <c r="AG31" s="11">
        <v>-70500.0</v>
      </c>
      <c r="AH31" s="11">
        <v>-26260.0</v>
      </c>
      <c r="AI31" s="11">
        <v>-146460.0</v>
      </c>
      <c r="AJ31" s="11">
        <v>-91480.0</v>
      </c>
      <c r="AK31" s="11">
        <v>-85650.0</v>
      </c>
      <c r="AL31" s="11">
        <v>-69330.0</v>
      </c>
      <c r="AM31" s="11">
        <v>-53330.0</v>
      </c>
      <c r="AN31" s="11">
        <v>-137730.0</v>
      </c>
      <c r="AO31" s="11">
        <v>-95350.0</v>
      </c>
      <c r="AP31" s="11">
        <v>-70890.0</v>
      </c>
      <c r="AQ31" s="11">
        <v>-71390.0</v>
      </c>
      <c r="AR31" s="11">
        <v>-22490.0</v>
      </c>
      <c r="AS31" s="11">
        <v>-112970.0</v>
      </c>
      <c r="AT31" s="11">
        <v>-104210.0</v>
      </c>
      <c r="AU31" s="11">
        <v>-54900.0</v>
      </c>
      <c r="AV31" s="11">
        <v>-48040.0</v>
      </c>
      <c r="AW31" s="11">
        <v>-15720.0</v>
      </c>
      <c r="AX31" s="11">
        <v>-3090.0</v>
      </c>
      <c r="AY31" s="11">
        <v>-4700.0</v>
      </c>
      <c r="AZ31" s="11">
        <v>-25280.0</v>
      </c>
      <c r="BA31" s="11">
        <v>-12750.0</v>
      </c>
      <c r="BB31" s="11">
        <v>-12320.0</v>
      </c>
      <c r="BC31" s="12"/>
      <c r="BD31" s="12"/>
      <c r="BE31" s="12"/>
      <c r="BF31" s="12"/>
      <c r="BG31" s="12"/>
      <c r="BH31" s="11">
        <v>89540.0</v>
      </c>
      <c r="BI31" s="11">
        <v>205130.0</v>
      </c>
      <c r="BJ31" s="11">
        <v>208260.0</v>
      </c>
      <c r="BK31" s="11">
        <v>181470.0</v>
      </c>
      <c r="BL31" s="11">
        <v>247440.0</v>
      </c>
      <c r="BM31" s="11">
        <v>20670.0</v>
      </c>
      <c r="BN31" s="11">
        <v>18160.0</v>
      </c>
      <c r="BO31" s="11">
        <v>11660.0</v>
      </c>
      <c r="BP31" s="11">
        <v>1480.0</v>
      </c>
      <c r="BQ31" s="11">
        <v>11690.0</v>
      </c>
      <c r="BR31" s="12"/>
      <c r="BS31" s="12"/>
      <c r="BT31" s="12"/>
      <c r="BU31" s="12"/>
      <c r="BV31" s="12"/>
      <c r="BW31" s="11">
        <v>120490.0</v>
      </c>
      <c r="BX31" s="11">
        <v>231100.0</v>
      </c>
      <c r="BY31" s="11">
        <v>230180.0</v>
      </c>
      <c r="BZ31" s="11">
        <v>198750.0</v>
      </c>
      <c r="CA31" s="11">
        <v>265200.0</v>
      </c>
      <c r="CB31" s="11">
        <v>51860.0</v>
      </c>
      <c r="CC31" s="11">
        <v>36120.0</v>
      </c>
      <c r="CD31" s="11">
        <v>40680.0</v>
      </c>
      <c r="CE31" s="11">
        <v>27900.0</v>
      </c>
      <c r="CF31" s="11">
        <v>13150.0</v>
      </c>
      <c r="CG31" s="12"/>
      <c r="CH31" s="12"/>
      <c r="CI31" s="12"/>
      <c r="CJ31" s="12"/>
      <c r="CK31" s="12"/>
      <c r="CL31" s="11">
        <v>181540.0</v>
      </c>
      <c r="CM31" s="11">
        <v>276740.0</v>
      </c>
      <c r="CN31" s="11">
        <v>281150.0</v>
      </c>
      <c r="CO31" s="11">
        <v>234520.0</v>
      </c>
      <c r="CP31" s="11">
        <v>290290.0</v>
      </c>
      <c r="CQ31" s="11">
        <v>6360.0</v>
      </c>
      <c r="CR31" s="11">
        <v>4080.0</v>
      </c>
      <c r="CS31" s="11">
        <v>8380.0</v>
      </c>
      <c r="CT31" s="11">
        <v>11350.0</v>
      </c>
      <c r="CU31" s="11">
        <v>7840.0</v>
      </c>
      <c r="CV31" s="11">
        <v>34340.0</v>
      </c>
      <c r="CW31" s="11">
        <v>2490.0</v>
      </c>
      <c r="CX31" s="12"/>
      <c r="CY31" s="12"/>
      <c r="CZ31" s="12"/>
      <c r="DA31" s="12"/>
      <c r="DB31" s="11">
        <v>34340.0</v>
      </c>
      <c r="DC31" s="11">
        <v>24440.0</v>
      </c>
      <c r="DD31" s="11">
        <v>74310.0</v>
      </c>
      <c r="DE31" s="11">
        <v>40270.0</v>
      </c>
      <c r="DF31" s="11">
        <v>57910.0</v>
      </c>
      <c r="DG31" s="11">
        <v>29850.0</v>
      </c>
      <c r="DH31" s="11">
        <v>78160.0</v>
      </c>
      <c r="DI31" s="11">
        <v>68370.0</v>
      </c>
      <c r="DJ31" s="11">
        <v>54210.0</v>
      </c>
      <c r="DK31" s="11">
        <v>4500.0</v>
      </c>
      <c r="DL31" s="11">
        <v>4100.0</v>
      </c>
      <c r="DM31" s="11">
        <v>4250.0</v>
      </c>
      <c r="DN31" s="11">
        <v>4020.0</v>
      </c>
      <c r="DO31" s="11">
        <v>4480.0</v>
      </c>
      <c r="DP31" s="11">
        <v>22970.0</v>
      </c>
      <c r="DQ31" s="12"/>
      <c r="DR31" s="12"/>
      <c r="DS31" s="12"/>
      <c r="DT31" s="12"/>
      <c r="DU31" s="13"/>
      <c r="DV31" s="12"/>
      <c r="DW31" s="12"/>
      <c r="DX31" s="13"/>
      <c r="DY31" s="13"/>
      <c r="DZ31" s="11">
        <v>123640.0</v>
      </c>
      <c r="EA31" s="11">
        <v>246890.0</v>
      </c>
      <c r="EB31" s="11">
        <v>202980.0</v>
      </c>
      <c r="EC31" s="11">
        <v>166140.0</v>
      </c>
      <c r="ED31" s="11">
        <v>236070.0</v>
      </c>
      <c r="EE31" s="14">
        <v>1.698</v>
      </c>
      <c r="EF31" s="23"/>
      <c r="EG31" s="14">
        <v>-0.043</v>
      </c>
      <c r="EH31" s="14">
        <v>-0.012</v>
      </c>
    </row>
    <row r="32">
      <c r="A32" s="9">
        <f t="shared" si="2"/>
        <v>30</v>
      </c>
      <c r="B32" s="22" t="s">
        <v>166</v>
      </c>
      <c r="C32" s="11">
        <v>40850.0</v>
      </c>
      <c r="D32" s="11">
        <v>1680.0</v>
      </c>
      <c r="E32" s="11">
        <v>2340.0</v>
      </c>
      <c r="F32" s="11">
        <v>1140.0</v>
      </c>
      <c r="G32" s="11">
        <v>1800.0</v>
      </c>
      <c r="H32" s="12"/>
      <c r="I32" s="12"/>
      <c r="J32" s="12"/>
      <c r="K32" s="12"/>
      <c r="L32" s="12"/>
      <c r="M32" s="12"/>
      <c r="N32" s="12"/>
      <c r="O32" s="11">
        <v>120090.0</v>
      </c>
      <c r="P32" s="11">
        <v>126340.0</v>
      </c>
      <c r="Q32" s="11">
        <v>93130.0</v>
      </c>
      <c r="R32" s="12"/>
      <c r="S32" s="12"/>
      <c r="T32" s="11">
        <v>106280.0</v>
      </c>
      <c r="U32" s="11">
        <v>117740.0</v>
      </c>
      <c r="V32" s="11">
        <v>85330.0</v>
      </c>
      <c r="W32" s="12"/>
      <c r="X32" s="12"/>
      <c r="Y32" s="12"/>
      <c r="Z32" s="11">
        <v>-125940.0</v>
      </c>
      <c r="AA32" s="12"/>
      <c r="AB32" s="12"/>
      <c r="AC32" s="12"/>
      <c r="AD32" s="11">
        <v>-115900.0</v>
      </c>
      <c r="AE32" s="11">
        <v>-122870.0</v>
      </c>
      <c r="AF32" s="11">
        <v>-89810.0</v>
      </c>
      <c r="AG32" s="12"/>
      <c r="AH32" s="12"/>
      <c r="AI32" s="11">
        <v>-117750.0</v>
      </c>
      <c r="AJ32" s="11">
        <v>-125200.0</v>
      </c>
      <c r="AK32" s="11">
        <v>-91330.0</v>
      </c>
      <c r="AL32" s="12"/>
      <c r="AM32" s="12"/>
      <c r="AN32" s="11">
        <v>-116480.0</v>
      </c>
      <c r="AO32" s="11">
        <v>-123100.0</v>
      </c>
      <c r="AP32" s="11">
        <v>-89860.0</v>
      </c>
      <c r="AQ32" s="12"/>
      <c r="AR32" s="12"/>
      <c r="AS32" s="11">
        <v>-121580.0</v>
      </c>
      <c r="AT32" s="11">
        <v>-121360.0</v>
      </c>
      <c r="AU32" s="11">
        <v>-74950.0</v>
      </c>
      <c r="AV32" s="12"/>
      <c r="AW32" s="12"/>
      <c r="AX32" s="11">
        <v>-2150.0</v>
      </c>
      <c r="AY32" s="11">
        <v>-2470.0</v>
      </c>
      <c r="AZ32" s="11">
        <v>-3160.0</v>
      </c>
      <c r="BA32" s="12"/>
      <c r="BB32" s="12"/>
      <c r="BC32" s="12"/>
      <c r="BD32" s="12"/>
      <c r="BE32" s="12"/>
      <c r="BF32" s="12"/>
      <c r="BG32" s="12"/>
      <c r="BH32" s="11">
        <v>115550.0</v>
      </c>
      <c r="BI32" s="11">
        <v>138810.0</v>
      </c>
      <c r="BJ32" s="11">
        <v>262750.0</v>
      </c>
      <c r="BK32" s="12"/>
      <c r="BL32" s="12"/>
      <c r="BM32" s="11">
        <v>1990.0</v>
      </c>
      <c r="BN32" s="11">
        <v>1710.0</v>
      </c>
      <c r="BO32" s="11">
        <v>1930.0</v>
      </c>
      <c r="BP32" s="12"/>
      <c r="BQ32" s="12"/>
      <c r="BR32" s="12"/>
      <c r="BS32" s="12"/>
      <c r="BT32" s="12"/>
      <c r="BU32" s="12"/>
      <c r="BV32" s="12"/>
      <c r="BW32" s="11">
        <v>122610.0</v>
      </c>
      <c r="BX32" s="11">
        <v>142080.0</v>
      </c>
      <c r="BY32" s="11">
        <v>265170.0</v>
      </c>
      <c r="BZ32" s="12"/>
      <c r="CA32" s="12"/>
      <c r="CB32" s="11">
        <v>6270.0</v>
      </c>
      <c r="CC32" s="11">
        <v>1540.0</v>
      </c>
      <c r="CD32" s="11">
        <v>1140.0</v>
      </c>
      <c r="CE32" s="12"/>
      <c r="CF32" s="12"/>
      <c r="CG32" s="12"/>
      <c r="CH32" s="12"/>
      <c r="CI32" s="12"/>
      <c r="CJ32" s="12"/>
      <c r="CK32" s="12"/>
      <c r="CL32" s="11">
        <v>137680.0</v>
      </c>
      <c r="CM32" s="11">
        <v>150560.0</v>
      </c>
      <c r="CN32" s="11">
        <v>271950.0</v>
      </c>
      <c r="CO32" s="12"/>
      <c r="CP32" s="12"/>
      <c r="CQ32" s="11">
        <v>3330.0</v>
      </c>
      <c r="CR32" s="11">
        <v>6750.0</v>
      </c>
      <c r="CS32" s="11">
        <v>7620.0</v>
      </c>
      <c r="CT32" s="12"/>
      <c r="CU32" s="12"/>
      <c r="CV32" s="11">
        <v>19940.0</v>
      </c>
      <c r="CW32" s="12"/>
      <c r="CX32" s="12"/>
      <c r="CY32" s="12"/>
      <c r="CZ32" s="12"/>
      <c r="DA32" s="12"/>
      <c r="DB32" s="11">
        <v>19940.0</v>
      </c>
      <c r="DC32" s="11">
        <v>22350.0</v>
      </c>
      <c r="DD32" s="11">
        <v>20550.0</v>
      </c>
      <c r="DE32" s="12"/>
      <c r="DF32" s="11">
        <v>26530.0</v>
      </c>
      <c r="DG32" s="11">
        <v>24320.0</v>
      </c>
      <c r="DH32" s="11">
        <v>22780.0</v>
      </c>
      <c r="DI32" s="12"/>
      <c r="DJ32" s="12"/>
      <c r="DK32" s="12"/>
      <c r="DL32" s="12"/>
      <c r="DM32" s="12"/>
      <c r="DN32" s="12"/>
      <c r="DO32" s="12"/>
      <c r="DP32" s="11">
        <v>3900.0</v>
      </c>
      <c r="DQ32" s="12"/>
      <c r="DR32" s="12"/>
      <c r="DS32" s="12"/>
      <c r="DT32" s="12"/>
      <c r="DU32" s="13"/>
      <c r="DV32" s="12"/>
      <c r="DW32" s="12"/>
      <c r="DX32" s="13"/>
      <c r="DY32" s="13"/>
      <c r="DZ32" s="11">
        <v>111160.0</v>
      </c>
      <c r="EA32" s="11">
        <v>126240.0</v>
      </c>
      <c r="EB32" s="11">
        <v>249170.0</v>
      </c>
      <c r="EC32" s="12"/>
      <c r="ED32" s="12"/>
      <c r="EE32" s="23"/>
      <c r="EF32" s="14">
        <v>1.67</v>
      </c>
      <c r="EG32" s="23" t="s">
        <v>155</v>
      </c>
      <c r="EH32" s="23"/>
    </row>
    <row r="33">
      <c r="A33" s="9">
        <f t="shared" si="2"/>
        <v>31</v>
      </c>
      <c r="B33" s="10" t="s">
        <v>167</v>
      </c>
      <c r="C33" s="15">
        <v>5700000.0</v>
      </c>
      <c r="D33" s="15">
        <v>5270000.0</v>
      </c>
      <c r="E33" s="15">
        <v>5990000.0</v>
      </c>
      <c r="F33" s="15">
        <v>6220000.0</v>
      </c>
      <c r="G33" s="15">
        <v>5110000.0</v>
      </c>
      <c r="H33" s="15">
        <v>3420000.0</v>
      </c>
      <c r="I33" s="15">
        <v>3440000.0</v>
      </c>
      <c r="J33" s="15">
        <v>3580000.0</v>
      </c>
      <c r="K33" s="15">
        <v>3820000.0</v>
      </c>
      <c r="L33" s="15">
        <v>2760000.0</v>
      </c>
      <c r="M33" s="15">
        <v>2150000.0</v>
      </c>
      <c r="N33" s="15">
        <v>2160000.0</v>
      </c>
      <c r="O33" s="15">
        <v>1780000.0</v>
      </c>
      <c r="P33" s="15">
        <v>1860000.0</v>
      </c>
      <c r="Q33" s="15">
        <v>1590000.0</v>
      </c>
      <c r="R33" s="15">
        <v>1100000.0</v>
      </c>
      <c r="S33" s="15">
        <v>1120000.0</v>
      </c>
      <c r="T33" s="15">
        <v>1130000.0</v>
      </c>
      <c r="U33" s="15">
        <v>1160000.0</v>
      </c>
      <c r="V33" s="15">
        <v>968600.0</v>
      </c>
      <c r="W33" s="15">
        <v>655740.0</v>
      </c>
      <c r="X33" s="15">
        <v>642800.0</v>
      </c>
      <c r="Y33" s="15">
        <v>1700000.0</v>
      </c>
      <c r="Z33" s="15">
        <v>-61320.0</v>
      </c>
      <c r="AA33" s="15">
        <v>1050000.0</v>
      </c>
      <c r="AB33" s="15">
        <v>1030000.0</v>
      </c>
      <c r="AC33" s="15">
        <v>816770.0</v>
      </c>
      <c r="AD33" s="15">
        <v>1490000.0</v>
      </c>
      <c r="AE33" s="15">
        <v>1660000.0</v>
      </c>
      <c r="AF33" s="15">
        <v>828490.0</v>
      </c>
      <c r="AG33" s="15">
        <v>956920.0</v>
      </c>
      <c r="AH33" s="15">
        <v>810110.0</v>
      </c>
      <c r="AI33" s="15">
        <v>2610000.0</v>
      </c>
      <c r="AJ33" s="15">
        <v>2760000.0</v>
      </c>
      <c r="AK33" s="15">
        <v>1760000.0</v>
      </c>
      <c r="AL33" s="15">
        <v>1260000.0</v>
      </c>
      <c r="AM33" s="15">
        <v>1050000.0</v>
      </c>
      <c r="AN33" s="15">
        <v>1360000.0</v>
      </c>
      <c r="AO33" s="15">
        <v>1500000.0</v>
      </c>
      <c r="AP33" s="15">
        <v>725020.0</v>
      </c>
      <c r="AQ33" s="15">
        <v>861660.0</v>
      </c>
      <c r="AR33" s="15">
        <v>696880.0</v>
      </c>
      <c r="AS33" s="15">
        <v>2250000.0</v>
      </c>
      <c r="AT33" s="15">
        <v>2440000.0</v>
      </c>
      <c r="AU33" s="15">
        <v>1110000.0</v>
      </c>
      <c r="AV33" s="15">
        <v>1280000.0</v>
      </c>
      <c r="AW33" s="15">
        <v>907800.0</v>
      </c>
      <c r="AX33" s="15">
        <v>-282020.0</v>
      </c>
      <c r="AY33" s="15">
        <v>-261160.0</v>
      </c>
      <c r="AZ33" s="15">
        <v>-219940.0</v>
      </c>
      <c r="BA33" s="15">
        <v>-145920.0</v>
      </c>
      <c r="BB33" s="15">
        <v>-162240.0</v>
      </c>
      <c r="BC33" s="15">
        <v>-777480.0</v>
      </c>
      <c r="BD33" s="15">
        <v>-703310.0</v>
      </c>
      <c r="BE33" s="15">
        <v>-602120.0</v>
      </c>
      <c r="BF33" s="15">
        <v>-513180.0</v>
      </c>
      <c r="BG33" s="15">
        <v>-491060.0</v>
      </c>
      <c r="BH33" s="15">
        <v>648320.0</v>
      </c>
      <c r="BI33" s="15">
        <v>816590.0</v>
      </c>
      <c r="BJ33" s="15">
        <v>1050000.0</v>
      </c>
      <c r="BK33" s="15">
        <v>4060000.0</v>
      </c>
      <c r="BL33" s="15">
        <v>3030000.0</v>
      </c>
      <c r="BM33" s="15">
        <v>635140.0</v>
      </c>
      <c r="BN33" s="15">
        <v>639720.0</v>
      </c>
      <c r="BO33" s="15">
        <v>688950.0</v>
      </c>
      <c r="BP33" s="15">
        <v>477610.0</v>
      </c>
      <c r="BQ33" s="15">
        <v>466530.0</v>
      </c>
      <c r="BR33" s="15">
        <v>609890.0</v>
      </c>
      <c r="BS33" s="15">
        <v>586760.0</v>
      </c>
      <c r="BT33" s="15">
        <v>550820.0</v>
      </c>
      <c r="BU33" s="15">
        <v>376560.0</v>
      </c>
      <c r="BV33" s="15">
        <v>412310.0</v>
      </c>
      <c r="BW33" s="15">
        <v>1990000.0</v>
      </c>
      <c r="BX33" s="15">
        <v>2110000.0</v>
      </c>
      <c r="BY33" s="15">
        <v>2350000.0</v>
      </c>
      <c r="BZ33" s="15">
        <v>4970000.0</v>
      </c>
      <c r="CA33" s="15">
        <v>4080000.0</v>
      </c>
      <c r="CB33" s="15">
        <v>1220000.0</v>
      </c>
      <c r="CC33" s="15">
        <v>1150000.0</v>
      </c>
      <c r="CD33" s="15">
        <v>1110000.0</v>
      </c>
      <c r="CE33" s="15">
        <v>636120.0</v>
      </c>
      <c r="CF33" s="15">
        <v>644110.0</v>
      </c>
      <c r="CG33" s="15">
        <v>1.226E7</v>
      </c>
      <c r="CH33" s="15">
        <v>1.225E7</v>
      </c>
      <c r="CI33" s="15">
        <v>1.222E7</v>
      </c>
      <c r="CJ33" s="15">
        <v>1680000.0</v>
      </c>
      <c r="CK33" s="15">
        <v>1640000.0</v>
      </c>
      <c r="CL33" s="15">
        <v>2.139E7</v>
      </c>
      <c r="CM33" s="15">
        <v>2.044E7</v>
      </c>
      <c r="CN33" s="15">
        <v>2.114E7</v>
      </c>
      <c r="CO33" s="15">
        <v>7970000.0</v>
      </c>
      <c r="CP33" s="15">
        <v>7060000.0</v>
      </c>
      <c r="CQ33" s="15">
        <v>225270.0</v>
      </c>
      <c r="CR33" s="15">
        <v>260920.0</v>
      </c>
      <c r="CS33" s="15">
        <v>236630.0</v>
      </c>
      <c r="CT33" s="15">
        <v>171440.0</v>
      </c>
      <c r="CU33" s="15">
        <v>174250.0</v>
      </c>
      <c r="CV33" s="15">
        <v>1510000.0</v>
      </c>
      <c r="CW33" s="15">
        <v>0.0</v>
      </c>
      <c r="CX33" s="15">
        <v>0.0</v>
      </c>
      <c r="CY33" s="16">
        <v>0.0</v>
      </c>
      <c r="CZ33" s="16">
        <v>0.0</v>
      </c>
      <c r="DA33" s="15">
        <v>0.0</v>
      </c>
      <c r="DB33" s="15">
        <v>1510000.0</v>
      </c>
      <c r="DC33" s="15">
        <v>1050000.0</v>
      </c>
      <c r="DD33" s="15">
        <v>1600000.0</v>
      </c>
      <c r="DE33" s="15">
        <v>782930.0</v>
      </c>
      <c r="DF33" s="15">
        <v>9680000.0</v>
      </c>
      <c r="DG33" s="15">
        <v>9170000.0</v>
      </c>
      <c r="DH33" s="15">
        <v>1.098E7</v>
      </c>
      <c r="DI33" s="15">
        <v>2800000.0</v>
      </c>
      <c r="DJ33" s="15">
        <v>1990000.0</v>
      </c>
      <c r="DK33" s="15">
        <v>30170.0</v>
      </c>
      <c r="DL33" s="15">
        <v>28730.0</v>
      </c>
      <c r="DM33" s="15">
        <v>24840.0</v>
      </c>
      <c r="DN33" s="15">
        <v>21940.0</v>
      </c>
      <c r="DO33" s="15">
        <v>17480.0</v>
      </c>
      <c r="DP33" s="15">
        <v>5190000.0</v>
      </c>
      <c r="DQ33" s="15">
        <v>6270000.0</v>
      </c>
      <c r="DR33" s="15">
        <v>7550000.0</v>
      </c>
      <c r="DS33" s="15">
        <v>1730000.0</v>
      </c>
      <c r="DT33" s="15">
        <v>498500.0</v>
      </c>
      <c r="DU33" s="16">
        <v>0.0</v>
      </c>
      <c r="DV33" s="15">
        <v>0.0</v>
      </c>
      <c r="DW33" s="15">
        <v>0.0</v>
      </c>
      <c r="DX33" s="15">
        <v>0.0</v>
      </c>
      <c r="DY33" s="15">
        <v>0.0</v>
      </c>
      <c r="DZ33" s="15">
        <v>1.171E7</v>
      </c>
      <c r="EA33" s="15">
        <v>1.127E7</v>
      </c>
      <c r="EB33" s="15">
        <v>1.016E7</v>
      </c>
      <c r="EC33" s="15">
        <v>5170000.0</v>
      </c>
      <c r="ED33" s="15">
        <v>5070000.0</v>
      </c>
      <c r="EE33" s="17">
        <v>0.025</v>
      </c>
      <c r="EF33" s="17">
        <v>0.125</v>
      </c>
      <c r="EG33" s="17">
        <v>0.049</v>
      </c>
      <c r="EH33" s="17">
        <v>0.022</v>
      </c>
    </row>
    <row r="34">
      <c r="A34" s="9">
        <f t="shared" si="2"/>
        <v>32</v>
      </c>
      <c r="B34" s="10" t="s">
        <v>168</v>
      </c>
      <c r="C34" s="15">
        <v>6.679E7</v>
      </c>
      <c r="D34" s="15">
        <v>6.538E7</v>
      </c>
      <c r="E34" s="15">
        <v>6.469E7</v>
      </c>
      <c r="F34" s="15">
        <v>6.43E7</v>
      </c>
      <c r="G34" s="15">
        <v>6.084E7</v>
      </c>
      <c r="H34" s="15">
        <v>6.242E7</v>
      </c>
      <c r="I34" s="15">
        <v>6.764E7</v>
      </c>
      <c r="J34" s="15">
        <v>4140000.0</v>
      </c>
      <c r="K34" s="15">
        <v>4130000.0</v>
      </c>
      <c r="L34" s="15">
        <v>3140000.0</v>
      </c>
      <c r="M34" s="15">
        <v>3870000.0</v>
      </c>
      <c r="N34" s="15">
        <v>3400000.0</v>
      </c>
      <c r="O34" s="15">
        <v>2460000.0</v>
      </c>
      <c r="P34" s="15">
        <v>2170000.0</v>
      </c>
      <c r="Q34" s="15">
        <v>1980000.0</v>
      </c>
      <c r="R34" s="15">
        <v>1970000.0</v>
      </c>
      <c r="S34" s="15">
        <v>2010000.0</v>
      </c>
      <c r="T34" s="15">
        <v>154000.0</v>
      </c>
      <c r="U34" s="15">
        <v>141000.0</v>
      </c>
      <c r="V34" s="15">
        <v>129000.0</v>
      </c>
      <c r="W34" s="15">
        <v>123000.0</v>
      </c>
      <c r="X34" s="15">
        <v>122000.0</v>
      </c>
      <c r="Y34" s="15">
        <v>1400000.0</v>
      </c>
      <c r="Z34" s="15">
        <v>1750000.0</v>
      </c>
      <c r="AA34" s="15">
        <v>453000.0</v>
      </c>
      <c r="AB34" s="15">
        <v>1480000.0</v>
      </c>
      <c r="AC34" s="15">
        <v>1780000.0</v>
      </c>
      <c r="AD34" s="15">
        <v>1590000.0</v>
      </c>
      <c r="AE34" s="15">
        <v>2060000.0</v>
      </c>
      <c r="AF34" s="15">
        <v>1610000.0</v>
      </c>
      <c r="AG34" s="15">
        <v>1820000.0</v>
      </c>
      <c r="AH34" s="15">
        <v>2280000.0</v>
      </c>
      <c r="AI34" s="15">
        <v>2670000.0</v>
      </c>
      <c r="AJ34" s="15">
        <v>2910000.0</v>
      </c>
      <c r="AK34" s="15">
        <v>2090000.0</v>
      </c>
      <c r="AL34" s="15">
        <v>2790000.0</v>
      </c>
      <c r="AM34" s="15">
        <v>2220000.0</v>
      </c>
      <c r="AN34" s="15">
        <v>1380000.0</v>
      </c>
      <c r="AO34" s="15">
        <v>1810000.0</v>
      </c>
      <c r="AP34" s="15">
        <v>1600000.0</v>
      </c>
      <c r="AQ34" s="15">
        <v>1280000.0</v>
      </c>
      <c r="AR34" s="15">
        <v>1850000.0</v>
      </c>
      <c r="AS34" s="15">
        <v>-5450000.0</v>
      </c>
      <c r="AT34" s="15">
        <v>-4780000.0</v>
      </c>
      <c r="AU34" s="15">
        <v>-5970000.0</v>
      </c>
      <c r="AV34" s="15">
        <v>1480000.0</v>
      </c>
      <c r="AW34" s="15">
        <v>2480000.0</v>
      </c>
      <c r="AX34" s="15">
        <v>-828000.0</v>
      </c>
      <c r="AY34" s="15">
        <v>-842000.0</v>
      </c>
      <c r="AZ34" s="15">
        <v>-1050000.0</v>
      </c>
      <c r="BA34" s="15">
        <v>-882000.0</v>
      </c>
      <c r="BB34" s="15">
        <v>-1130000.0</v>
      </c>
      <c r="BC34" s="15">
        <v>-789000.0</v>
      </c>
      <c r="BD34" s="15">
        <v>-758000.0</v>
      </c>
      <c r="BE34" s="15">
        <v>-730000.0</v>
      </c>
      <c r="BF34" s="15">
        <v>-701000.0</v>
      </c>
      <c r="BG34" s="15">
        <v>-687000.0</v>
      </c>
      <c r="BH34" s="15">
        <v>852000.0</v>
      </c>
      <c r="BI34" s="15">
        <v>2640000.0</v>
      </c>
      <c r="BJ34" s="15">
        <v>1250000.0</v>
      </c>
      <c r="BK34" s="15">
        <v>1540000.0</v>
      </c>
      <c r="BL34" s="15">
        <v>2110000.0</v>
      </c>
      <c r="BM34" s="15">
        <v>5650000.0</v>
      </c>
      <c r="BN34" s="15">
        <v>4220000.0</v>
      </c>
      <c r="BO34" s="15">
        <v>4070000.0</v>
      </c>
      <c r="BP34" s="15">
        <v>4950000.0</v>
      </c>
      <c r="BQ34" s="15">
        <v>5170000.0</v>
      </c>
      <c r="BR34" s="15">
        <v>9170000.0</v>
      </c>
      <c r="BS34" s="15">
        <v>8810000.0</v>
      </c>
      <c r="BT34" s="15">
        <v>9170000.0</v>
      </c>
      <c r="BU34" s="15">
        <v>8830000.0</v>
      </c>
      <c r="BV34" s="15">
        <v>8240000.0</v>
      </c>
      <c r="BW34" s="15">
        <v>2.135E7</v>
      </c>
      <c r="BX34" s="15">
        <v>2.059E7</v>
      </c>
      <c r="BY34" s="15">
        <v>1.993E7</v>
      </c>
      <c r="BZ34" s="15">
        <v>2.105E7</v>
      </c>
      <c r="CA34" s="15">
        <v>2.183E7</v>
      </c>
      <c r="CB34" s="15">
        <v>1.108E7</v>
      </c>
      <c r="CC34" s="15">
        <v>9950000.0</v>
      </c>
      <c r="CD34" s="15">
        <v>1.014E7</v>
      </c>
      <c r="CE34" s="15">
        <v>9760000.0</v>
      </c>
      <c r="CF34" s="15">
        <v>9850000.0</v>
      </c>
      <c r="CG34" s="15">
        <v>3390000.0</v>
      </c>
      <c r="CH34" s="15">
        <v>2500000.0</v>
      </c>
      <c r="CI34" s="15">
        <v>2370000.0</v>
      </c>
      <c r="CJ34" s="15">
        <v>2250000.0</v>
      </c>
      <c r="CK34" s="15">
        <v>2190000.0</v>
      </c>
      <c r="CL34" s="15">
        <v>4.4E7</v>
      </c>
      <c r="CM34" s="15">
        <v>4.083E7</v>
      </c>
      <c r="CN34" s="15">
        <v>3.996E7</v>
      </c>
      <c r="CO34" s="15">
        <v>3.977E7</v>
      </c>
      <c r="CP34" s="15">
        <v>4.016E7</v>
      </c>
      <c r="CQ34" s="15">
        <v>3750000.0</v>
      </c>
      <c r="CR34" s="15">
        <v>3550000.0</v>
      </c>
      <c r="CS34" s="15">
        <v>3890000.0</v>
      </c>
      <c r="CT34" s="15">
        <v>3610000.0</v>
      </c>
      <c r="CU34" s="15">
        <v>3470000.0</v>
      </c>
      <c r="CV34" s="15">
        <v>1.373E7</v>
      </c>
      <c r="CW34" s="15">
        <v>1420000.0</v>
      </c>
      <c r="CX34" s="15">
        <v>108000.0</v>
      </c>
      <c r="CY34" s="15">
        <v>857000.0</v>
      </c>
      <c r="CZ34" s="15">
        <v>154000.0</v>
      </c>
      <c r="DA34" s="15">
        <v>86000.0</v>
      </c>
      <c r="DB34" s="15">
        <v>1.373E7</v>
      </c>
      <c r="DC34" s="15">
        <v>1.178E7</v>
      </c>
      <c r="DD34" s="15">
        <v>1.257E7</v>
      </c>
      <c r="DE34" s="15">
        <v>1.317E7</v>
      </c>
      <c r="DF34" s="15">
        <v>2.471E7</v>
      </c>
      <c r="DG34" s="15">
        <v>2.179E7</v>
      </c>
      <c r="DH34" s="15">
        <v>2.159E7</v>
      </c>
      <c r="DI34" s="15">
        <v>2.256E7</v>
      </c>
      <c r="DJ34" s="15">
        <v>2.224E7</v>
      </c>
      <c r="DK34" s="15">
        <v>5130000.0</v>
      </c>
      <c r="DL34" s="15">
        <v>5320000.0</v>
      </c>
      <c r="DM34" s="15">
        <v>5180000.0</v>
      </c>
      <c r="DN34" s="15">
        <v>4680000.0</v>
      </c>
      <c r="DO34" s="15">
        <v>4340000.0</v>
      </c>
      <c r="DP34" s="15">
        <v>8450000.0</v>
      </c>
      <c r="DQ34" s="15">
        <v>7700000.0</v>
      </c>
      <c r="DR34" s="15">
        <v>6620000.0</v>
      </c>
      <c r="DS34" s="15">
        <v>6500000.0</v>
      </c>
      <c r="DT34" s="15">
        <v>5780000.0</v>
      </c>
      <c r="DU34" s="13"/>
      <c r="DV34" s="12"/>
      <c r="DW34" s="12"/>
      <c r="DX34" s="13"/>
      <c r="DY34" s="13"/>
      <c r="DZ34" s="15">
        <v>1.921E7</v>
      </c>
      <c r="EA34" s="15">
        <v>1.898E7</v>
      </c>
      <c r="EB34" s="15">
        <v>1.831E7</v>
      </c>
      <c r="EC34" s="15">
        <v>1.717E7</v>
      </c>
      <c r="ED34" s="15">
        <v>1.79E7</v>
      </c>
      <c r="EE34" s="17">
        <v>0.065</v>
      </c>
      <c r="EF34" s="17">
        <v>0.069</v>
      </c>
      <c r="EG34" s="17">
        <v>0.667</v>
      </c>
      <c r="EH34" s="17">
        <v>0.28</v>
      </c>
    </row>
    <row r="35">
      <c r="A35" s="9">
        <f t="shared" si="2"/>
        <v>33</v>
      </c>
      <c r="B35" s="22" t="s">
        <v>169</v>
      </c>
      <c r="C35" s="11">
        <v>76580.0</v>
      </c>
      <c r="D35" s="11">
        <v>41000.0</v>
      </c>
      <c r="E35" s="11">
        <v>29350.0</v>
      </c>
      <c r="F35" s="11">
        <v>16990.0</v>
      </c>
      <c r="G35" s="11">
        <v>22760.0</v>
      </c>
      <c r="H35" s="11">
        <v>10660.0</v>
      </c>
      <c r="I35" s="11">
        <v>7180.0</v>
      </c>
      <c r="J35" s="11">
        <v>-11000.0</v>
      </c>
      <c r="K35" s="11">
        <v>-26050.0</v>
      </c>
      <c r="L35" s="11">
        <v>-14140.0</v>
      </c>
      <c r="M35" s="11">
        <v>-1150.0</v>
      </c>
      <c r="N35" s="11">
        <v>2870.0</v>
      </c>
      <c r="O35" s="11">
        <v>30420.0</v>
      </c>
      <c r="P35" s="11">
        <v>30330.0</v>
      </c>
      <c r="Q35" s="11">
        <v>20120.0</v>
      </c>
      <c r="R35" s="11">
        <v>16180.0</v>
      </c>
      <c r="S35" s="11">
        <v>18380.0</v>
      </c>
      <c r="T35" s="11">
        <v>2340.0</v>
      </c>
      <c r="U35" s="11">
        <v>3930.0</v>
      </c>
      <c r="V35" s="11">
        <v>6230.0</v>
      </c>
      <c r="W35" s="11">
        <v>7690.0</v>
      </c>
      <c r="X35" s="11">
        <v>7020.0</v>
      </c>
      <c r="Y35" s="11">
        <v>-51390.0</v>
      </c>
      <c r="Z35" s="11">
        <v>-60290.0</v>
      </c>
      <c r="AA35" s="11">
        <v>-40520.0</v>
      </c>
      <c r="AB35" s="12"/>
      <c r="AC35" s="11">
        <v>-16170.0</v>
      </c>
      <c r="AD35" s="11">
        <v>-48280.0</v>
      </c>
      <c r="AE35" s="11">
        <v>-65740.0</v>
      </c>
      <c r="AF35" s="11">
        <v>-43760.0</v>
      </c>
      <c r="AG35" s="11">
        <v>-19520.0</v>
      </c>
      <c r="AH35" s="11">
        <v>-17970.0</v>
      </c>
      <c r="AI35" s="11">
        <v>-38170.0</v>
      </c>
      <c r="AJ35" s="11">
        <v>-52940.0</v>
      </c>
      <c r="AK35" s="11">
        <v>-31570.0</v>
      </c>
      <c r="AL35" s="11">
        <v>-16860.0</v>
      </c>
      <c r="AM35" s="11">
        <v>-15040.0</v>
      </c>
      <c r="AN35" s="11">
        <v>-48280.0</v>
      </c>
      <c r="AO35" s="11">
        <v>-65740.0</v>
      </c>
      <c r="AP35" s="11">
        <v>-43760.0</v>
      </c>
      <c r="AQ35" s="11">
        <v>-19520.0</v>
      </c>
      <c r="AR35" s="11">
        <v>-17970.0</v>
      </c>
      <c r="AS35" s="11">
        <v>-76190.0</v>
      </c>
      <c r="AT35" s="11">
        <v>-62680.0</v>
      </c>
      <c r="AU35" s="11">
        <v>-37270.0</v>
      </c>
      <c r="AV35" s="11">
        <v>-18270.0</v>
      </c>
      <c r="AW35" s="11">
        <v>-15420.0</v>
      </c>
      <c r="AX35" s="11">
        <v>-3810.0</v>
      </c>
      <c r="AY35" s="11">
        <v>-2100.0</v>
      </c>
      <c r="AZ35" s="11">
        <v>-2680.0</v>
      </c>
      <c r="BA35" s="11">
        <v>-73.0</v>
      </c>
      <c r="BB35" s="11">
        <v>-26.0</v>
      </c>
      <c r="BC35" s="12"/>
      <c r="BD35" s="12"/>
      <c r="BE35" s="12"/>
      <c r="BF35" s="12"/>
      <c r="BG35" s="12"/>
      <c r="BH35" s="11">
        <v>26750.0</v>
      </c>
      <c r="BI35" s="11">
        <v>22750.0</v>
      </c>
      <c r="BJ35" s="11">
        <v>44610.0</v>
      </c>
      <c r="BK35" s="11">
        <v>15310.0</v>
      </c>
      <c r="BL35" s="11">
        <v>16810.0</v>
      </c>
      <c r="BM35" s="11">
        <v>3470.0</v>
      </c>
      <c r="BN35" s="11">
        <v>1390.0</v>
      </c>
      <c r="BO35" s="11">
        <v>3880.0</v>
      </c>
      <c r="BP35" s="11">
        <v>1020.0</v>
      </c>
      <c r="BQ35" s="11">
        <v>924.0</v>
      </c>
      <c r="BR35" s="11">
        <v>53060.0</v>
      </c>
      <c r="BS35" s="11">
        <v>18620.0</v>
      </c>
      <c r="BT35" s="11">
        <v>12630.0</v>
      </c>
      <c r="BU35" s="11">
        <v>5020.0</v>
      </c>
      <c r="BV35" s="11">
        <v>3450.0</v>
      </c>
      <c r="BW35" s="11">
        <v>85820.0</v>
      </c>
      <c r="BX35" s="11">
        <v>44530.0</v>
      </c>
      <c r="BY35" s="11">
        <v>63170.0</v>
      </c>
      <c r="BZ35" s="11">
        <v>21660.0</v>
      </c>
      <c r="CA35" s="11">
        <v>21290.0</v>
      </c>
      <c r="CB35" s="11">
        <v>33140.0</v>
      </c>
      <c r="CC35" s="11">
        <v>30120.0</v>
      </c>
      <c r="CD35" s="11">
        <v>30470.0</v>
      </c>
      <c r="CE35" s="11">
        <v>2000.0</v>
      </c>
      <c r="CF35" s="11">
        <v>2400.0</v>
      </c>
      <c r="CG35" s="11">
        <v>3530.0</v>
      </c>
      <c r="CH35" s="11">
        <v>3530.0</v>
      </c>
      <c r="CI35" s="11">
        <v>3530.0</v>
      </c>
      <c r="CJ35" s="12"/>
      <c r="CK35" s="12"/>
      <c r="CL35" s="11">
        <v>127090.0</v>
      </c>
      <c r="CM35" s="11">
        <v>88880.0</v>
      </c>
      <c r="CN35" s="11">
        <v>108020.0</v>
      </c>
      <c r="CO35" s="11">
        <v>23690.0</v>
      </c>
      <c r="CP35" s="11">
        <v>23710.0</v>
      </c>
      <c r="CQ35" s="11">
        <v>9170.0</v>
      </c>
      <c r="CR35" s="11">
        <v>5900.0</v>
      </c>
      <c r="CS35" s="11">
        <v>5920.0</v>
      </c>
      <c r="CT35" s="11">
        <v>2560.0</v>
      </c>
      <c r="CU35" s="11">
        <v>2090.0</v>
      </c>
      <c r="CV35" s="11">
        <v>14030.0</v>
      </c>
      <c r="CW35" s="11">
        <v>229.0</v>
      </c>
      <c r="CX35" s="12"/>
      <c r="CY35" s="12"/>
      <c r="CZ35" s="12"/>
      <c r="DA35" s="12"/>
      <c r="DB35" s="11">
        <v>14030.0</v>
      </c>
      <c r="DC35" s="11">
        <v>9630.0</v>
      </c>
      <c r="DD35" s="11">
        <v>9440.0</v>
      </c>
      <c r="DE35" s="11">
        <v>11220.0</v>
      </c>
      <c r="DF35" s="11">
        <v>100900.0</v>
      </c>
      <c r="DG35" s="11">
        <v>69110.0</v>
      </c>
      <c r="DH35" s="11">
        <v>67690.0</v>
      </c>
      <c r="DI35" s="11">
        <v>28140.0</v>
      </c>
      <c r="DJ35" s="11">
        <v>22890.0</v>
      </c>
      <c r="DK35" s="12"/>
      <c r="DL35" s="11">
        <v>4000.0</v>
      </c>
      <c r="DM35" s="11">
        <v>4000.0</v>
      </c>
      <c r="DN35" s="12"/>
      <c r="DO35" s="12"/>
      <c r="DP35" s="11">
        <v>84500.0</v>
      </c>
      <c r="DQ35" s="11">
        <v>44190.0</v>
      </c>
      <c r="DR35" s="11">
        <v>42970.0</v>
      </c>
      <c r="DS35" s="11">
        <v>14130.0</v>
      </c>
      <c r="DT35" s="11">
        <v>15720.0</v>
      </c>
      <c r="DU35" s="13"/>
      <c r="DV35" s="12"/>
      <c r="DW35" s="12"/>
      <c r="DX35" s="13"/>
      <c r="DY35" s="13"/>
      <c r="DZ35" s="11">
        <v>26190.0</v>
      </c>
      <c r="EA35" s="11">
        <v>19770.0</v>
      </c>
      <c r="EB35" s="11">
        <v>40330.0</v>
      </c>
      <c r="EC35" s="11">
        <v>-4460.0</v>
      </c>
      <c r="ED35" s="11">
        <v>821.0</v>
      </c>
      <c r="EE35" s="14">
        <v>0.216</v>
      </c>
      <c r="EF35" s="14">
        <v>0.359</v>
      </c>
      <c r="EG35" s="14">
        <v>-0.438</v>
      </c>
      <c r="EH35" s="14">
        <v>-0.373</v>
      </c>
    </row>
    <row r="36">
      <c r="A36" s="9">
        <f t="shared" si="2"/>
        <v>34</v>
      </c>
      <c r="B36" s="22" t="s">
        <v>170</v>
      </c>
      <c r="C36" s="11">
        <v>101290.0</v>
      </c>
      <c r="D36" s="11">
        <v>76670.0</v>
      </c>
      <c r="E36" s="11">
        <v>54640.0</v>
      </c>
      <c r="F36" s="11">
        <v>34050.0</v>
      </c>
      <c r="G36" s="11">
        <v>571.0</v>
      </c>
      <c r="H36" s="11">
        <v>572.0</v>
      </c>
      <c r="I36" s="11">
        <v>1920.0</v>
      </c>
      <c r="J36" s="11">
        <v>52170.0</v>
      </c>
      <c r="K36" s="11">
        <v>31950.0</v>
      </c>
      <c r="L36" s="11">
        <v>-640.0</v>
      </c>
      <c r="M36" s="12"/>
      <c r="N36" s="12"/>
      <c r="O36" s="11">
        <v>144400.0</v>
      </c>
      <c r="P36" s="11">
        <v>146980.0</v>
      </c>
      <c r="Q36" s="11">
        <v>87320.0</v>
      </c>
      <c r="R36" s="11">
        <v>63150.0</v>
      </c>
      <c r="S36" s="11">
        <v>58920.0</v>
      </c>
      <c r="T36" s="11">
        <v>30030.0</v>
      </c>
      <c r="U36" s="11">
        <v>39300.0</v>
      </c>
      <c r="V36" s="11">
        <v>27170.0</v>
      </c>
      <c r="W36" s="11">
        <v>31230.0</v>
      </c>
      <c r="X36" s="11">
        <v>35900.0</v>
      </c>
      <c r="Y36" s="11">
        <v>-93040.0</v>
      </c>
      <c r="Z36" s="11">
        <v>-115900.0</v>
      </c>
      <c r="AA36" s="11">
        <v>-87930.0</v>
      </c>
      <c r="AB36" s="11">
        <v>-60980.0</v>
      </c>
      <c r="AC36" s="12"/>
      <c r="AD36" s="11">
        <v>-105190.0</v>
      </c>
      <c r="AE36" s="11">
        <v>-131000.0</v>
      </c>
      <c r="AF36" s="11">
        <v>-91220.0</v>
      </c>
      <c r="AG36" s="11">
        <v>-60170.0</v>
      </c>
      <c r="AH36" s="11">
        <v>-57070.0</v>
      </c>
      <c r="AI36" s="11">
        <v>-91020.0</v>
      </c>
      <c r="AJ36" s="11">
        <v>-113560.0</v>
      </c>
      <c r="AK36" s="11">
        <v>-86770.0</v>
      </c>
      <c r="AL36" s="11">
        <v>-62580.0</v>
      </c>
      <c r="AM36" s="11">
        <v>-57000.0</v>
      </c>
      <c r="AN36" s="11">
        <v>-105190.0</v>
      </c>
      <c r="AO36" s="11">
        <v>-131000.0</v>
      </c>
      <c r="AP36" s="11">
        <v>-89490.0</v>
      </c>
      <c r="AQ36" s="11">
        <v>-60060.0</v>
      </c>
      <c r="AR36" s="11">
        <v>-51800.0</v>
      </c>
      <c r="AS36" s="11">
        <v>-73140.0</v>
      </c>
      <c r="AT36" s="11">
        <v>-104220.0</v>
      </c>
      <c r="AU36" s="11">
        <v>-66830.0</v>
      </c>
      <c r="AV36" s="11">
        <v>-48070.0</v>
      </c>
      <c r="AW36" s="11">
        <v>-47210.0</v>
      </c>
      <c r="AX36" s="11">
        <v>-18.0</v>
      </c>
      <c r="AY36" s="11">
        <v>-1060.0</v>
      </c>
      <c r="AZ36" s="11">
        <v>-1260.0</v>
      </c>
      <c r="BA36" s="11">
        <v>-1620.0</v>
      </c>
      <c r="BB36" s="11">
        <v>-1400.0</v>
      </c>
      <c r="BC36" s="12"/>
      <c r="BD36" s="12"/>
      <c r="BE36" s="12"/>
      <c r="BF36" s="12"/>
      <c r="BG36" s="12"/>
      <c r="BH36" s="11">
        <v>132210.0</v>
      </c>
      <c r="BI36" s="11">
        <v>210370.0</v>
      </c>
      <c r="BJ36" s="11">
        <v>172840.0</v>
      </c>
      <c r="BK36" s="11">
        <v>113650.0</v>
      </c>
      <c r="BL36" s="11">
        <v>106400.0</v>
      </c>
      <c r="BM36" s="11">
        <v>7430.0</v>
      </c>
      <c r="BN36" s="11">
        <v>6850.0</v>
      </c>
      <c r="BO36" s="11">
        <v>1970.0</v>
      </c>
      <c r="BP36" s="11">
        <v>962.0</v>
      </c>
      <c r="BQ36" s="11">
        <v>5980.0</v>
      </c>
      <c r="BR36" s="11">
        <v>5270.0</v>
      </c>
      <c r="BS36" s="11">
        <v>5120.0</v>
      </c>
      <c r="BT36" s="11">
        <v>1700.0</v>
      </c>
      <c r="BU36" s="12"/>
      <c r="BV36" s="12"/>
      <c r="BW36" s="11">
        <v>150320.0</v>
      </c>
      <c r="BX36" s="11">
        <v>228370.0</v>
      </c>
      <c r="BY36" s="11">
        <v>179180.0</v>
      </c>
      <c r="BZ36" s="11">
        <v>116990.0</v>
      </c>
      <c r="CA36" s="11">
        <v>113190.0</v>
      </c>
      <c r="CB36" s="11">
        <v>10500.0</v>
      </c>
      <c r="CC36" s="11">
        <v>3650.0</v>
      </c>
      <c r="CD36" s="11">
        <v>3130.0</v>
      </c>
      <c r="CE36" s="11">
        <v>3160.0</v>
      </c>
      <c r="CF36" s="11">
        <v>2350.0</v>
      </c>
      <c r="CG36" s="12"/>
      <c r="CH36" s="12"/>
      <c r="CI36" s="12"/>
      <c r="CJ36" s="12"/>
      <c r="CK36" s="12"/>
      <c r="CL36" s="11">
        <v>162160.0</v>
      </c>
      <c r="CM36" s="11">
        <v>234810.0</v>
      </c>
      <c r="CN36" s="11">
        <v>186180.0</v>
      </c>
      <c r="CO36" s="11">
        <v>142470.0</v>
      </c>
      <c r="CP36" s="11">
        <v>128740.0</v>
      </c>
      <c r="CQ36" s="11">
        <v>6930.0</v>
      </c>
      <c r="CR36" s="11">
        <v>6570.0</v>
      </c>
      <c r="CS36" s="11">
        <v>3880.0</v>
      </c>
      <c r="CT36" s="11">
        <v>3590.0</v>
      </c>
      <c r="CU36" s="11">
        <v>3050.0</v>
      </c>
      <c r="CV36" s="11">
        <v>26950.0</v>
      </c>
      <c r="CW36" s="11">
        <v>1670.0</v>
      </c>
      <c r="CX36" s="12"/>
      <c r="CY36" s="12"/>
      <c r="CZ36" s="12"/>
      <c r="DA36" s="12"/>
      <c r="DB36" s="11">
        <v>26950.0</v>
      </c>
      <c r="DC36" s="11">
        <v>24280.0</v>
      </c>
      <c r="DD36" s="11">
        <v>16610.0</v>
      </c>
      <c r="DE36" s="11">
        <v>9740.0</v>
      </c>
      <c r="DF36" s="11">
        <v>163050.0</v>
      </c>
      <c r="DG36" s="11">
        <v>144930.0</v>
      </c>
      <c r="DH36" s="11">
        <v>120050.0</v>
      </c>
      <c r="DI36" s="11">
        <v>10290.0</v>
      </c>
      <c r="DJ36" s="11">
        <v>12560.0</v>
      </c>
      <c r="DK36" s="12"/>
      <c r="DL36" s="12"/>
      <c r="DM36" s="11">
        <v>2980.0</v>
      </c>
      <c r="DN36" s="11">
        <v>22190.0</v>
      </c>
      <c r="DO36" s="11">
        <v>13130.0</v>
      </c>
      <c r="DP36" s="11">
        <v>133950.0</v>
      </c>
      <c r="DQ36" s="11">
        <v>117460.0</v>
      </c>
      <c r="DR36" s="11">
        <v>102650.0</v>
      </c>
      <c r="DS36" s="12"/>
      <c r="DT36" s="12"/>
      <c r="DU36" s="13"/>
      <c r="DV36" s="12"/>
      <c r="DW36" s="12"/>
      <c r="DX36" s="13"/>
      <c r="DY36" s="13"/>
      <c r="DZ36" s="11">
        <v>-893.0</v>
      </c>
      <c r="EA36" s="11">
        <v>89890.0</v>
      </c>
      <c r="EB36" s="11">
        <v>66130.0</v>
      </c>
      <c r="EC36" s="11">
        <v>132180.0</v>
      </c>
      <c r="ED36" s="11">
        <v>116190.0</v>
      </c>
      <c r="EE36" s="14">
        <v>0.19</v>
      </c>
      <c r="EF36" s="14">
        <v>0.337</v>
      </c>
      <c r="EG36" s="14">
        <v>0.393</v>
      </c>
      <c r="EH36" s="14">
        <v>0.135</v>
      </c>
    </row>
    <row r="37">
      <c r="A37" s="9">
        <f t="shared" si="2"/>
        <v>35</v>
      </c>
      <c r="B37" s="22" t="s">
        <v>171</v>
      </c>
      <c r="C37" s="11">
        <v>173670.0</v>
      </c>
      <c r="D37" s="11">
        <v>95980.0</v>
      </c>
      <c r="E37" s="11">
        <v>85070.0</v>
      </c>
      <c r="F37" s="11">
        <v>55660.0</v>
      </c>
      <c r="G37" s="11">
        <v>38450.0</v>
      </c>
      <c r="H37" s="12"/>
      <c r="I37" s="12"/>
      <c r="J37" s="11">
        <v>56030.0</v>
      </c>
      <c r="K37" s="11">
        <v>32180.0</v>
      </c>
      <c r="L37" s="11">
        <v>18980.0</v>
      </c>
      <c r="M37" s="12"/>
      <c r="N37" s="12"/>
      <c r="O37" s="11">
        <v>134420.0</v>
      </c>
      <c r="P37" s="11">
        <v>81930.0</v>
      </c>
      <c r="Q37" s="11">
        <v>62610.0</v>
      </c>
      <c r="R37" s="12"/>
      <c r="S37" s="12"/>
      <c r="T37" s="11">
        <v>65640.0</v>
      </c>
      <c r="U37" s="11">
        <v>37040.0</v>
      </c>
      <c r="V37" s="11">
        <v>29900.0</v>
      </c>
      <c r="W37" s="12"/>
      <c r="X37" s="12"/>
      <c r="Y37" s="12"/>
      <c r="Z37" s="12"/>
      <c r="AA37" s="11">
        <v>-44480.0</v>
      </c>
      <c r="AB37" s="12"/>
      <c r="AC37" s="12"/>
      <c r="AD37" s="11">
        <v>-68610.0</v>
      </c>
      <c r="AE37" s="11">
        <v>-46450.0</v>
      </c>
      <c r="AF37" s="11">
        <v>-42830.0</v>
      </c>
      <c r="AG37" s="12"/>
      <c r="AH37" s="12"/>
      <c r="AI37" s="11">
        <v>-70600.0</v>
      </c>
      <c r="AJ37" s="11">
        <v>-43760.0</v>
      </c>
      <c r="AK37" s="11">
        <v>-37840.0</v>
      </c>
      <c r="AL37" s="12"/>
      <c r="AM37" s="12"/>
      <c r="AN37" s="11">
        <v>-69570.0</v>
      </c>
      <c r="AO37" s="11">
        <v>-46350.0</v>
      </c>
      <c r="AP37" s="11">
        <v>-42700.0</v>
      </c>
      <c r="AQ37" s="12"/>
      <c r="AR37" s="12"/>
      <c r="AS37" s="11">
        <v>205400.0</v>
      </c>
      <c r="AT37" s="11">
        <v>-32260.0</v>
      </c>
      <c r="AU37" s="11">
        <v>-34860.0</v>
      </c>
      <c r="AV37" s="12"/>
      <c r="AW37" s="12"/>
      <c r="AX37" s="11">
        <v>-11200.0</v>
      </c>
      <c r="AY37" s="11">
        <v>-6320.0</v>
      </c>
      <c r="AZ37" s="11">
        <v>-2510.0</v>
      </c>
      <c r="BA37" s="12"/>
      <c r="BB37" s="12"/>
      <c r="BC37" s="12"/>
      <c r="BD37" s="12"/>
      <c r="BE37" s="12"/>
      <c r="BF37" s="12"/>
      <c r="BG37" s="12"/>
      <c r="BH37" s="11">
        <v>576870.0</v>
      </c>
      <c r="BI37" s="11">
        <v>165020.0</v>
      </c>
      <c r="BJ37" s="11">
        <v>192150.0</v>
      </c>
      <c r="BK37" s="12"/>
      <c r="BL37" s="12"/>
      <c r="BM37" s="11">
        <v>12680.0</v>
      </c>
      <c r="BN37" s="11">
        <v>4810.0</v>
      </c>
      <c r="BO37" s="11">
        <v>5580.0</v>
      </c>
      <c r="BP37" s="12"/>
      <c r="BQ37" s="12"/>
      <c r="BR37" s="11">
        <v>9070.0</v>
      </c>
      <c r="BS37" s="11">
        <v>7840.0</v>
      </c>
      <c r="BT37" s="11">
        <v>4790.0</v>
      </c>
      <c r="BU37" s="12"/>
      <c r="BV37" s="12"/>
      <c r="BW37" s="11">
        <v>612690.0</v>
      </c>
      <c r="BX37" s="11">
        <v>180720.0</v>
      </c>
      <c r="BY37" s="11">
        <v>205250.0</v>
      </c>
      <c r="BZ37" s="12"/>
      <c r="CA37" s="12"/>
      <c r="CB37" s="11">
        <v>60360.0</v>
      </c>
      <c r="CC37" s="11">
        <v>19130.0</v>
      </c>
      <c r="CD37" s="11">
        <v>13950.0</v>
      </c>
      <c r="CE37" s="12"/>
      <c r="CF37" s="12"/>
      <c r="CG37" s="11">
        <v>118970.0</v>
      </c>
      <c r="CH37" s="11">
        <v>118970.0</v>
      </c>
      <c r="CI37" s="11">
        <v>118970.0</v>
      </c>
      <c r="CJ37" s="12"/>
      <c r="CK37" s="12"/>
      <c r="CL37" s="11">
        <v>912300.0</v>
      </c>
      <c r="CM37" s="11">
        <v>332690.0</v>
      </c>
      <c r="CN37" s="11">
        <v>362490.0</v>
      </c>
      <c r="CO37" s="12"/>
      <c r="CP37" s="12"/>
      <c r="CQ37" s="11">
        <v>4450.0</v>
      </c>
      <c r="CR37" s="11">
        <v>1790.0</v>
      </c>
      <c r="CS37" s="11">
        <v>1960.0</v>
      </c>
      <c r="CT37" s="12"/>
      <c r="CU37" s="12"/>
      <c r="CV37" s="11">
        <v>78310.0</v>
      </c>
      <c r="CW37" s="12"/>
      <c r="CX37" s="12"/>
      <c r="CY37" s="12"/>
      <c r="CZ37" s="12"/>
      <c r="DA37" s="12"/>
      <c r="DB37" s="11">
        <v>78310.0</v>
      </c>
      <c r="DC37" s="11">
        <v>22800.0</v>
      </c>
      <c r="DD37" s="11">
        <v>21000.0</v>
      </c>
      <c r="DE37" s="12"/>
      <c r="DF37" s="11">
        <v>341260.0</v>
      </c>
      <c r="DG37" s="11">
        <v>590800.0</v>
      </c>
      <c r="DH37" s="11">
        <v>587110.0</v>
      </c>
      <c r="DI37" s="12"/>
      <c r="DJ37" s="12"/>
      <c r="DK37" s="11">
        <v>107570.0</v>
      </c>
      <c r="DL37" s="11">
        <v>247.0</v>
      </c>
      <c r="DM37" s="11">
        <v>8990.0</v>
      </c>
      <c r="DN37" s="12"/>
      <c r="DO37" s="12"/>
      <c r="DP37" s="11">
        <v>36610.0</v>
      </c>
      <c r="DQ37" s="11">
        <v>561190.0</v>
      </c>
      <c r="DR37" s="11">
        <v>561680.0</v>
      </c>
      <c r="DS37" s="12"/>
      <c r="DT37" s="12"/>
      <c r="DU37" s="13"/>
      <c r="DV37" s="12"/>
      <c r="DW37" s="12"/>
      <c r="DX37" s="13"/>
      <c r="DY37" s="13"/>
      <c r="DZ37" s="11">
        <v>571040.0</v>
      </c>
      <c r="EA37" s="11">
        <v>-258110.0</v>
      </c>
      <c r="EB37" s="11">
        <v>-224620.0</v>
      </c>
      <c r="EC37" s="12"/>
      <c r="ED37" s="12"/>
      <c r="EE37" s="14">
        <v>0.122</v>
      </c>
      <c r="EF37" s="14">
        <v>0.38</v>
      </c>
      <c r="EG37" s="14">
        <v>0.071</v>
      </c>
      <c r="EH37" s="14">
        <v>0.128</v>
      </c>
    </row>
    <row r="38">
      <c r="A38" s="9">
        <f t="shared" si="2"/>
        <v>36</v>
      </c>
      <c r="B38" s="22" t="s">
        <v>172</v>
      </c>
      <c r="C38" s="11">
        <v>12870.0</v>
      </c>
      <c r="D38" s="11">
        <v>27520.0</v>
      </c>
      <c r="E38" s="11">
        <v>17260.0</v>
      </c>
      <c r="F38" s="11">
        <v>15090.0</v>
      </c>
      <c r="G38" s="11">
        <v>17240.0</v>
      </c>
      <c r="H38" s="11">
        <v>50680.0</v>
      </c>
      <c r="I38" s="11">
        <v>72980.0</v>
      </c>
      <c r="J38" s="12"/>
      <c r="K38" s="12"/>
      <c r="L38" s="12"/>
      <c r="M38" s="12"/>
      <c r="N38" s="12"/>
      <c r="O38" s="11">
        <v>96280.0</v>
      </c>
      <c r="P38" s="11">
        <v>95260.0</v>
      </c>
      <c r="Q38" s="11">
        <v>107530.0</v>
      </c>
      <c r="R38" s="11">
        <v>111720.0</v>
      </c>
      <c r="S38" s="11">
        <v>85820.0</v>
      </c>
      <c r="T38" s="11">
        <v>65800.0</v>
      </c>
      <c r="U38" s="11">
        <v>67670.0</v>
      </c>
      <c r="V38" s="11">
        <v>81160.0</v>
      </c>
      <c r="W38" s="11">
        <v>83740.0</v>
      </c>
      <c r="X38" s="11">
        <v>58650.0</v>
      </c>
      <c r="Y38" s="11">
        <v>-90140.0</v>
      </c>
      <c r="Z38" s="11">
        <v>-101360.0</v>
      </c>
      <c r="AA38" s="11">
        <v>-106450.0</v>
      </c>
      <c r="AB38" s="11">
        <v>-71860.0</v>
      </c>
      <c r="AC38" s="11">
        <v>-39640.0</v>
      </c>
      <c r="AD38" s="11">
        <v>-84780.0</v>
      </c>
      <c r="AE38" s="11">
        <v>-96140.0</v>
      </c>
      <c r="AF38" s="11">
        <v>-103230.0</v>
      </c>
      <c r="AG38" s="11">
        <v>-69680.0</v>
      </c>
      <c r="AH38" s="11">
        <v>-39310.0</v>
      </c>
      <c r="AI38" s="11">
        <v>-79020.0</v>
      </c>
      <c r="AJ38" s="11">
        <v>-80180.0</v>
      </c>
      <c r="AK38" s="11">
        <v>-90290.0</v>
      </c>
      <c r="AL38" s="11">
        <v>-61040.0</v>
      </c>
      <c r="AM38" s="11">
        <v>-12840.0</v>
      </c>
      <c r="AN38" s="11">
        <v>-82370.0</v>
      </c>
      <c r="AO38" s="11">
        <v>-95360.0</v>
      </c>
      <c r="AP38" s="11">
        <v>-91860.0</v>
      </c>
      <c r="AQ38" s="11">
        <v>-91150.0</v>
      </c>
      <c r="AR38" s="11">
        <v>-39210.0</v>
      </c>
      <c r="AS38" s="11">
        <v>-65170.0</v>
      </c>
      <c r="AT38" s="11">
        <v>-68760.0</v>
      </c>
      <c r="AU38" s="11">
        <v>-88860.0</v>
      </c>
      <c r="AV38" s="11">
        <v>-86080.0</v>
      </c>
      <c r="AW38" s="11">
        <v>154810.0</v>
      </c>
      <c r="AX38" s="11">
        <v>-1260.0</v>
      </c>
      <c r="AY38" s="11">
        <v>-2370.0</v>
      </c>
      <c r="AZ38" s="11">
        <v>-5150.0</v>
      </c>
      <c r="BA38" s="11">
        <v>-23890.0</v>
      </c>
      <c r="BB38" s="11">
        <v>-2170.0</v>
      </c>
      <c r="BC38" s="12"/>
      <c r="BD38" s="12"/>
      <c r="BE38" s="12"/>
      <c r="BF38" s="12"/>
      <c r="BG38" s="12"/>
      <c r="BH38" s="11">
        <v>213600.0</v>
      </c>
      <c r="BI38" s="11">
        <v>266440.0</v>
      </c>
      <c r="BJ38" s="11">
        <v>326100.0</v>
      </c>
      <c r="BK38" s="11">
        <v>347430.0</v>
      </c>
      <c r="BL38" s="11">
        <v>415650.0</v>
      </c>
      <c r="BM38" s="11">
        <v>342.0</v>
      </c>
      <c r="BN38" s="11">
        <v>12040.0</v>
      </c>
      <c r="BO38" s="11">
        <v>18480.0</v>
      </c>
      <c r="BP38" s="11">
        <v>1140.0</v>
      </c>
      <c r="BQ38" s="11">
        <v>4850.0</v>
      </c>
      <c r="BR38" s="12"/>
      <c r="BS38" s="12"/>
      <c r="BT38" s="12"/>
      <c r="BU38" s="12"/>
      <c r="BV38" s="12"/>
      <c r="BW38" s="11">
        <v>217900.0</v>
      </c>
      <c r="BX38" s="11">
        <v>282980.0</v>
      </c>
      <c r="BY38" s="11">
        <v>350130.0</v>
      </c>
      <c r="BZ38" s="11">
        <v>354760.0</v>
      </c>
      <c r="CA38" s="11">
        <v>424500.0</v>
      </c>
      <c r="CB38" s="11">
        <v>45800.0</v>
      </c>
      <c r="CC38" s="11">
        <v>29160.0</v>
      </c>
      <c r="CD38" s="11">
        <v>31090.0</v>
      </c>
      <c r="CE38" s="11">
        <v>26380.0</v>
      </c>
      <c r="CF38" s="11">
        <v>3990.0</v>
      </c>
      <c r="CG38" s="11">
        <v>8170.0</v>
      </c>
      <c r="CH38" s="11">
        <v>8330.0</v>
      </c>
      <c r="CI38" s="11">
        <v>8720.0</v>
      </c>
      <c r="CJ38" s="11">
        <v>7660.0</v>
      </c>
      <c r="CK38" s="11">
        <v>8470.0</v>
      </c>
      <c r="CL38" s="11">
        <v>291310.0</v>
      </c>
      <c r="CM38" s="11">
        <v>357500.0</v>
      </c>
      <c r="CN38" s="11">
        <v>445130.0</v>
      </c>
      <c r="CO38" s="11">
        <v>438610.0</v>
      </c>
      <c r="CP38" s="11">
        <v>481830.0</v>
      </c>
      <c r="CQ38" s="11">
        <v>414.0</v>
      </c>
      <c r="CR38" s="11">
        <v>1460.0</v>
      </c>
      <c r="CS38" s="11">
        <v>1150.0</v>
      </c>
      <c r="CT38" s="11">
        <v>2210.0</v>
      </c>
      <c r="CU38" s="11">
        <v>5090.0</v>
      </c>
      <c r="CV38" s="11">
        <v>21600.0</v>
      </c>
      <c r="CW38" s="11">
        <v>1800.0</v>
      </c>
      <c r="CX38" s="12"/>
      <c r="CY38" s="12"/>
      <c r="CZ38" s="12"/>
      <c r="DA38" s="12"/>
      <c r="DB38" s="11">
        <v>21600.0</v>
      </c>
      <c r="DC38" s="11">
        <v>30520.0</v>
      </c>
      <c r="DD38" s="11">
        <v>41400.0</v>
      </c>
      <c r="DE38" s="11">
        <v>30630.0</v>
      </c>
      <c r="DF38" s="11">
        <v>225720.0</v>
      </c>
      <c r="DG38" s="11">
        <v>222190.0</v>
      </c>
      <c r="DH38" s="11">
        <v>207660.0</v>
      </c>
      <c r="DI38" s="11">
        <v>211390.0</v>
      </c>
      <c r="DJ38" s="11">
        <v>220200.0</v>
      </c>
      <c r="DK38" s="11">
        <v>468.0</v>
      </c>
      <c r="DL38" s="11">
        <v>11900.0</v>
      </c>
      <c r="DM38" s="11">
        <v>24080.0</v>
      </c>
      <c r="DN38" s="11">
        <v>14940.0</v>
      </c>
      <c r="DO38" s="11">
        <v>15390.0</v>
      </c>
      <c r="DP38" s="11">
        <v>31640.0</v>
      </c>
      <c r="DQ38" s="12"/>
      <c r="DR38" s="12"/>
      <c r="DS38" s="12"/>
      <c r="DT38" s="12"/>
      <c r="DU38" s="13"/>
      <c r="DV38" s="12"/>
      <c r="DW38" s="12"/>
      <c r="DX38" s="13"/>
      <c r="DY38" s="13"/>
      <c r="DZ38" s="11">
        <v>65600.0</v>
      </c>
      <c r="EA38" s="11">
        <v>135310.0</v>
      </c>
      <c r="EB38" s="11">
        <v>237470.0</v>
      </c>
      <c r="EC38" s="11">
        <v>227220.0</v>
      </c>
      <c r="ED38" s="11">
        <v>261620.0</v>
      </c>
      <c r="EE38" s="14">
        <v>0.487</v>
      </c>
      <c r="EF38" s="23"/>
      <c r="EG38" s="14">
        <v>-0.105</v>
      </c>
      <c r="EH38" s="14">
        <v>-0.018</v>
      </c>
    </row>
    <row r="39">
      <c r="A39" s="9">
        <f t="shared" si="2"/>
        <v>37</v>
      </c>
      <c r="B39" s="22" t="s">
        <v>173</v>
      </c>
      <c r="C39" s="12"/>
      <c r="D39" s="12"/>
      <c r="E39" s="11">
        <v>250.0</v>
      </c>
      <c r="F39" s="11">
        <v>1610.0</v>
      </c>
      <c r="G39" s="11">
        <v>1850.0</v>
      </c>
      <c r="H39" s="11">
        <v>1460.0</v>
      </c>
      <c r="I39" s="11">
        <v>2320.0</v>
      </c>
      <c r="J39" s="12"/>
      <c r="K39" s="12"/>
      <c r="L39" s="11">
        <v>-247.0</v>
      </c>
      <c r="M39" s="12"/>
      <c r="N39" s="12"/>
      <c r="O39" s="11">
        <v>67220.0</v>
      </c>
      <c r="P39" s="11">
        <v>72940.0</v>
      </c>
      <c r="Q39" s="11">
        <v>58600.0</v>
      </c>
      <c r="R39" s="11">
        <v>52250.0</v>
      </c>
      <c r="S39" s="11">
        <v>46860.0</v>
      </c>
      <c r="T39" s="11">
        <v>40420.0</v>
      </c>
      <c r="U39" s="11">
        <v>50130.0</v>
      </c>
      <c r="V39" s="11">
        <v>39840.0</v>
      </c>
      <c r="W39" s="11">
        <v>32000.0</v>
      </c>
      <c r="X39" s="11">
        <v>25560.0</v>
      </c>
      <c r="Y39" s="12"/>
      <c r="Z39" s="11">
        <v>-78080.0</v>
      </c>
      <c r="AA39" s="12"/>
      <c r="AB39" s="11">
        <v>-115610.0</v>
      </c>
      <c r="AC39" s="11">
        <v>-47920.0</v>
      </c>
      <c r="AD39" s="11">
        <v>-64490.0</v>
      </c>
      <c r="AE39" s="11">
        <v>-73880.0</v>
      </c>
      <c r="AF39" s="11">
        <v>-56150.0</v>
      </c>
      <c r="AG39" s="11">
        <v>-114850.0</v>
      </c>
      <c r="AH39" s="11">
        <v>-47550.0</v>
      </c>
      <c r="AI39" s="11">
        <v>-66970.0</v>
      </c>
      <c r="AJ39" s="11">
        <v>-71330.0</v>
      </c>
      <c r="AK39" s="11">
        <v>-56750.0</v>
      </c>
      <c r="AL39" s="11">
        <v>-50790.0</v>
      </c>
      <c r="AM39" s="11">
        <v>-44540.0</v>
      </c>
      <c r="AN39" s="11">
        <v>-64490.0</v>
      </c>
      <c r="AO39" s="11">
        <v>-72630.0</v>
      </c>
      <c r="AP39" s="11">
        <v>-56150.0</v>
      </c>
      <c r="AQ39" s="11">
        <v>-113750.0</v>
      </c>
      <c r="AR39" s="11">
        <v>-47450.0</v>
      </c>
      <c r="AS39" s="11">
        <v>-56760.0</v>
      </c>
      <c r="AT39" s="11">
        <v>-53960.0</v>
      </c>
      <c r="AU39" s="11">
        <v>-45420.0</v>
      </c>
      <c r="AV39" s="11">
        <v>-38370.0</v>
      </c>
      <c r="AW39" s="11">
        <v>-35340.0</v>
      </c>
      <c r="AX39" s="11">
        <v>-19250.0</v>
      </c>
      <c r="AY39" s="11">
        <v>-809.0</v>
      </c>
      <c r="AZ39" s="11">
        <v>-1020.0</v>
      </c>
      <c r="BA39" s="11">
        <v>-2410.0</v>
      </c>
      <c r="BB39" s="11">
        <v>-2990.0</v>
      </c>
      <c r="BC39" s="12"/>
      <c r="BD39" s="12"/>
      <c r="BE39" s="12"/>
      <c r="BF39" s="12"/>
      <c r="BG39" s="12"/>
      <c r="BH39" s="11">
        <v>166040.0</v>
      </c>
      <c r="BI39" s="11">
        <v>205080.0</v>
      </c>
      <c r="BJ39" s="11">
        <v>190490.0</v>
      </c>
      <c r="BK39" s="11">
        <v>222170.0</v>
      </c>
      <c r="BL39" s="11">
        <v>259080.0</v>
      </c>
      <c r="BM39" s="12"/>
      <c r="BN39" s="12"/>
      <c r="BO39" s="12"/>
      <c r="BP39" s="11">
        <v>886.0</v>
      </c>
      <c r="BQ39" s="11">
        <v>449.0</v>
      </c>
      <c r="BR39" s="12"/>
      <c r="BS39" s="12"/>
      <c r="BT39" s="12"/>
      <c r="BU39" s="12"/>
      <c r="BV39" s="12"/>
      <c r="BW39" s="11">
        <v>175870.0</v>
      </c>
      <c r="BX39" s="11">
        <v>208750.0</v>
      </c>
      <c r="BY39" s="11">
        <v>193740.0</v>
      </c>
      <c r="BZ39" s="11">
        <v>225270.0</v>
      </c>
      <c r="CA39" s="11">
        <v>260990.0</v>
      </c>
      <c r="CB39" s="11">
        <v>45850.0</v>
      </c>
      <c r="CC39" s="11">
        <v>3590.0</v>
      </c>
      <c r="CD39" s="11">
        <v>3020.0</v>
      </c>
      <c r="CE39" s="11">
        <v>4170.0</v>
      </c>
      <c r="CF39" s="11">
        <v>3190.0</v>
      </c>
      <c r="CG39" s="12"/>
      <c r="CH39" s="12"/>
      <c r="CI39" s="12"/>
      <c r="CJ39" s="12"/>
      <c r="CK39" s="12"/>
      <c r="CL39" s="11">
        <v>222730.0</v>
      </c>
      <c r="CM39" s="11">
        <v>213500.0</v>
      </c>
      <c r="CN39" s="11">
        <v>201910.0</v>
      </c>
      <c r="CO39" s="11">
        <v>234580.0</v>
      </c>
      <c r="CP39" s="11">
        <v>264320.0</v>
      </c>
      <c r="CQ39" s="11">
        <v>4100.0</v>
      </c>
      <c r="CR39" s="11">
        <v>1710.0</v>
      </c>
      <c r="CS39" s="11">
        <v>1730.0</v>
      </c>
      <c r="CT39" s="11">
        <v>1470.0</v>
      </c>
      <c r="CU39" s="11">
        <v>605.0</v>
      </c>
      <c r="CV39" s="11">
        <v>19410.0</v>
      </c>
      <c r="CW39" s="11">
        <v>4030.0</v>
      </c>
      <c r="CX39" s="12"/>
      <c r="CY39" s="12"/>
      <c r="CZ39" s="12"/>
      <c r="DA39" s="12"/>
      <c r="DB39" s="11">
        <v>19410.0</v>
      </c>
      <c r="DC39" s="11">
        <v>10720.0</v>
      </c>
      <c r="DD39" s="11">
        <v>10670.0</v>
      </c>
      <c r="DE39" s="11">
        <v>9900.0</v>
      </c>
      <c r="DF39" s="11">
        <v>47770.0</v>
      </c>
      <c r="DG39" s="11">
        <v>12330.0</v>
      </c>
      <c r="DH39" s="11">
        <v>17880.0</v>
      </c>
      <c r="DI39" s="11">
        <v>18980.0</v>
      </c>
      <c r="DJ39" s="11">
        <v>11730.0</v>
      </c>
      <c r="DK39" s="12"/>
      <c r="DL39" s="11">
        <v>999.0</v>
      </c>
      <c r="DM39" s="12"/>
      <c r="DN39" s="12"/>
      <c r="DO39" s="12"/>
      <c r="DP39" s="11">
        <v>28310.0</v>
      </c>
      <c r="DQ39" s="11">
        <v>200.0</v>
      </c>
      <c r="DR39" s="11">
        <v>300.0</v>
      </c>
      <c r="DS39" s="12"/>
      <c r="DT39" s="12"/>
      <c r="DU39" s="13"/>
      <c r="DV39" s="12"/>
      <c r="DW39" s="12"/>
      <c r="DX39" s="13"/>
      <c r="DY39" s="13"/>
      <c r="DZ39" s="11">
        <v>174960.0</v>
      </c>
      <c r="EA39" s="11">
        <v>201170.0</v>
      </c>
      <c r="EB39" s="11">
        <v>184030.0</v>
      </c>
      <c r="EC39" s="11">
        <v>215600.0</v>
      </c>
      <c r="ED39" s="11">
        <v>252590.0</v>
      </c>
      <c r="EE39" s="23"/>
      <c r="EF39" s="23"/>
      <c r="EG39" s="14">
        <v>-0.286</v>
      </c>
      <c r="EH39" s="14">
        <v>-0.099</v>
      </c>
    </row>
    <row r="40">
      <c r="A40" s="9">
        <f t="shared" si="2"/>
        <v>38</v>
      </c>
      <c r="B40" s="10" t="s">
        <v>174</v>
      </c>
      <c r="C40" s="11">
        <v>1130000.0</v>
      </c>
      <c r="D40" s="11">
        <v>1100000.0</v>
      </c>
      <c r="E40" s="11">
        <v>1210000.0</v>
      </c>
      <c r="F40" s="11">
        <v>1330000.0</v>
      </c>
      <c r="G40" s="11">
        <v>1360000.0</v>
      </c>
      <c r="H40" s="11">
        <v>1220000.0</v>
      </c>
      <c r="I40" s="11">
        <v>1330000.0</v>
      </c>
      <c r="J40" s="11">
        <v>248570.0</v>
      </c>
      <c r="K40" s="11">
        <v>268810.0</v>
      </c>
      <c r="L40" s="11">
        <v>284860.0</v>
      </c>
      <c r="M40" s="11">
        <v>253500.0</v>
      </c>
      <c r="N40" s="11">
        <v>278500.0</v>
      </c>
      <c r="O40" s="11">
        <v>188390.0</v>
      </c>
      <c r="P40" s="11">
        <v>206500.0</v>
      </c>
      <c r="Q40" s="11">
        <v>215290.0</v>
      </c>
      <c r="R40" s="11">
        <v>190920.0</v>
      </c>
      <c r="S40" s="11">
        <v>205090.0</v>
      </c>
      <c r="T40" s="11">
        <v>6400.0</v>
      </c>
      <c r="U40" s="11">
        <v>5600.0</v>
      </c>
      <c r="V40" s="11">
        <v>4200.0</v>
      </c>
      <c r="W40" s="11">
        <v>4700.0</v>
      </c>
      <c r="X40" s="11">
        <v>2800.0</v>
      </c>
      <c r="Y40" s="11">
        <v>743.0</v>
      </c>
      <c r="Z40" s="11">
        <v>25680.0</v>
      </c>
      <c r="AA40" s="11">
        <v>-113090.0</v>
      </c>
      <c r="AB40" s="11">
        <v>50580.0</v>
      </c>
      <c r="AC40" s="11">
        <v>-53470.0</v>
      </c>
      <c r="AD40" s="11">
        <v>-12880.0</v>
      </c>
      <c r="AE40" s="11">
        <v>2960.0</v>
      </c>
      <c r="AF40" s="11">
        <v>-61580.0</v>
      </c>
      <c r="AG40" s="11">
        <v>35270.0</v>
      </c>
      <c r="AH40" s="11">
        <v>1220.0</v>
      </c>
      <c r="AI40" s="11">
        <v>96090.0</v>
      </c>
      <c r="AJ40" s="11">
        <v>100160.0</v>
      </c>
      <c r="AK40" s="11">
        <v>113990.0</v>
      </c>
      <c r="AL40" s="11">
        <v>109300.0</v>
      </c>
      <c r="AM40" s="11">
        <v>117210.0</v>
      </c>
      <c r="AN40" s="11">
        <v>-20890.0</v>
      </c>
      <c r="AO40" s="11">
        <v>2930.0</v>
      </c>
      <c r="AP40" s="11">
        <v>-69400.0</v>
      </c>
      <c r="AQ40" s="11">
        <v>29490.0</v>
      </c>
      <c r="AR40" s="11">
        <v>-8070.0</v>
      </c>
      <c r="AS40" s="11">
        <v>78810.0</v>
      </c>
      <c r="AT40" s="11">
        <v>38010.0</v>
      </c>
      <c r="AU40" s="11">
        <v>63590.0</v>
      </c>
      <c r="AV40" s="11">
        <v>71160.0</v>
      </c>
      <c r="AW40" s="11">
        <v>132410.0</v>
      </c>
      <c r="AX40" s="11">
        <v>-29070.0</v>
      </c>
      <c r="AY40" s="11">
        <v>-30810.0</v>
      </c>
      <c r="AZ40" s="11">
        <v>-31210.0</v>
      </c>
      <c r="BA40" s="11">
        <v>-39800.0</v>
      </c>
      <c r="BB40" s="11">
        <v>-30960.0</v>
      </c>
      <c r="BC40" s="12"/>
      <c r="BD40" s="12"/>
      <c r="BE40" s="12"/>
      <c r="BF40" s="12"/>
      <c r="BG40" s="12"/>
      <c r="BH40" s="11">
        <v>66220.0</v>
      </c>
      <c r="BI40" s="11">
        <v>84890.0</v>
      </c>
      <c r="BJ40" s="11">
        <v>107560.0</v>
      </c>
      <c r="BK40" s="11">
        <v>134390.0</v>
      </c>
      <c r="BL40" s="11">
        <v>215050.0</v>
      </c>
      <c r="BM40" s="11">
        <v>276800.0</v>
      </c>
      <c r="BN40" s="11">
        <v>300580.0</v>
      </c>
      <c r="BO40" s="11">
        <v>309940.0</v>
      </c>
      <c r="BP40" s="11">
        <v>282060.0</v>
      </c>
      <c r="BQ40" s="11">
        <v>327310.0</v>
      </c>
      <c r="BR40" s="11">
        <v>57190.0</v>
      </c>
      <c r="BS40" s="11">
        <v>56440.0</v>
      </c>
      <c r="BT40" s="11">
        <v>63970.0</v>
      </c>
      <c r="BU40" s="11">
        <v>63950.0</v>
      </c>
      <c r="BV40" s="11">
        <v>47780.0</v>
      </c>
      <c r="BW40" s="11">
        <v>450220.0</v>
      </c>
      <c r="BX40" s="11">
        <v>481870.0</v>
      </c>
      <c r="BY40" s="11">
        <v>587060.0</v>
      </c>
      <c r="BZ40" s="11">
        <v>532240.0</v>
      </c>
      <c r="CA40" s="11">
        <v>678200.0</v>
      </c>
      <c r="CB40" s="11">
        <v>172560.0</v>
      </c>
      <c r="CC40" s="11">
        <v>107060.0</v>
      </c>
      <c r="CD40" s="11">
        <v>109040.0</v>
      </c>
      <c r="CE40" s="11">
        <v>156750.0</v>
      </c>
      <c r="CF40" s="11">
        <v>144830.0</v>
      </c>
      <c r="CG40" s="11">
        <v>256840.0</v>
      </c>
      <c r="CH40" s="11">
        <v>260630.0</v>
      </c>
      <c r="CI40" s="11">
        <v>260720.0</v>
      </c>
      <c r="CJ40" s="11">
        <v>298620.0</v>
      </c>
      <c r="CK40" s="11">
        <v>249120.0</v>
      </c>
      <c r="CL40" s="11">
        <v>995510.0</v>
      </c>
      <c r="CM40" s="11">
        <v>992420.0</v>
      </c>
      <c r="CN40" s="11">
        <v>1110000.0</v>
      </c>
      <c r="CO40" s="11">
        <v>1190000.0</v>
      </c>
      <c r="CP40" s="11">
        <v>1250000.0</v>
      </c>
      <c r="CQ40" s="11">
        <v>60610.0</v>
      </c>
      <c r="CR40" s="11">
        <v>64560.0</v>
      </c>
      <c r="CS40" s="11">
        <v>70610.0</v>
      </c>
      <c r="CT40" s="11">
        <v>63060.0</v>
      </c>
      <c r="CU40" s="11">
        <v>72730.0</v>
      </c>
      <c r="CV40" s="11">
        <v>234040.0</v>
      </c>
      <c r="CW40" s="11">
        <v>15830.0</v>
      </c>
      <c r="CX40" s="12"/>
      <c r="CY40" s="12"/>
      <c r="CZ40" s="13"/>
      <c r="DA40" s="12"/>
      <c r="DB40" s="11">
        <v>234040.0</v>
      </c>
      <c r="DC40" s="11">
        <v>219650.0</v>
      </c>
      <c r="DD40" s="11">
        <v>261670.0</v>
      </c>
      <c r="DE40" s="11">
        <v>230600.0</v>
      </c>
      <c r="DF40" s="11">
        <v>560420.0</v>
      </c>
      <c r="DG40" s="11">
        <v>522230.0</v>
      </c>
      <c r="DH40" s="11">
        <v>602040.0</v>
      </c>
      <c r="DI40" s="11">
        <v>617400.0</v>
      </c>
      <c r="DJ40" s="11">
        <v>659460.0</v>
      </c>
      <c r="DK40" s="11">
        <v>261.0</v>
      </c>
      <c r="DL40" s="11">
        <v>3650.0</v>
      </c>
      <c r="DM40" s="11">
        <v>3190.0</v>
      </c>
      <c r="DN40" s="12"/>
      <c r="DO40" s="13"/>
      <c r="DP40" s="11">
        <v>299880.0</v>
      </c>
      <c r="DQ40" s="11">
        <v>282000.0</v>
      </c>
      <c r="DR40" s="11">
        <v>318240.0</v>
      </c>
      <c r="DS40" s="11">
        <v>350790.0</v>
      </c>
      <c r="DT40" s="11">
        <v>333480.0</v>
      </c>
      <c r="DU40" s="13"/>
      <c r="DV40" s="12"/>
      <c r="DW40" s="12"/>
      <c r="DX40" s="12"/>
      <c r="DY40" s="13"/>
      <c r="DZ40" s="11">
        <v>427760.0</v>
      </c>
      <c r="EA40" s="11">
        <v>462740.0</v>
      </c>
      <c r="EB40" s="11">
        <v>494250.0</v>
      </c>
      <c r="EC40" s="11">
        <v>568500.0</v>
      </c>
      <c r="ED40" s="11">
        <v>578030.0</v>
      </c>
      <c r="EE40" s="14">
        <v>0.055</v>
      </c>
      <c r="EF40" s="14">
        <v>0.159</v>
      </c>
      <c r="EG40" s="14">
        <v>2.0</v>
      </c>
      <c r="EH40" s="14">
        <v>0.524</v>
      </c>
    </row>
    <row r="41">
      <c r="A41" s="9">
        <f t="shared" si="2"/>
        <v>39</v>
      </c>
      <c r="B41" s="10" t="s">
        <v>175</v>
      </c>
      <c r="C41" s="15">
        <v>28760.0</v>
      </c>
      <c r="D41" s="15">
        <v>23100.0</v>
      </c>
      <c r="E41" s="15">
        <v>21060.0</v>
      </c>
      <c r="F41" s="15">
        <v>29560.0</v>
      </c>
      <c r="G41" s="15">
        <v>18900.0</v>
      </c>
      <c r="H41" s="15">
        <v>14500.0</v>
      </c>
      <c r="I41" s="15">
        <v>10020.0</v>
      </c>
      <c r="J41" s="15">
        <v>7600.0</v>
      </c>
      <c r="K41" s="15">
        <v>12390.0</v>
      </c>
      <c r="L41" s="15">
        <v>6780.0</v>
      </c>
      <c r="M41" s="15">
        <v>5150.0</v>
      </c>
      <c r="N41" s="15">
        <v>3840.0</v>
      </c>
      <c r="O41" s="15">
        <v>11880.0</v>
      </c>
      <c r="P41" s="15">
        <v>11470.0</v>
      </c>
      <c r="Q41" s="15">
        <v>11710.0</v>
      </c>
      <c r="R41" s="15">
        <v>11300.0</v>
      </c>
      <c r="S41" s="15">
        <v>10530.0</v>
      </c>
      <c r="T41" s="15">
        <v>4150.0</v>
      </c>
      <c r="U41" s="15">
        <v>4180.0</v>
      </c>
      <c r="V41" s="15">
        <v>4660.0</v>
      </c>
      <c r="W41" s="15">
        <v>4320.0</v>
      </c>
      <c r="X41" s="15">
        <v>4060.0</v>
      </c>
      <c r="Y41" s="15">
        <v>-5000.0</v>
      </c>
      <c r="Z41" s="15">
        <v>0.0</v>
      </c>
      <c r="AA41" s="15">
        <v>0.0</v>
      </c>
      <c r="AB41" s="15">
        <v>0.0</v>
      </c>
      <c r="AC41" s="15">
        <v>0.0</v>
      </c>
      <c r="AD41" s="15">
        <v>-5210.0</v>
      </c>
      <c r="AE41" s="15">
        <v>0.0</v>
      </c>
      <c r="AF41" s="15">
        <v>-5630.0</v>
      </c>
      <c r="AG41" s="15">
        <v>-6780.0</v>
      </c>
      <c r="AH41" s="15">
        <v>-6610.0</v>
      </c>
      <c r="AI41" s="15">
        <v>-3840.0</v>
      </c>
      <c r="AJ41" s="15">
        <v>1330.0</v>
      </c>
      <c r="AK41" s="15">
        <v>-4660.0</v>
      </c>
      <c r="AL41" s="15">
        <v>-5950.0</v>
      </c>
      <c r="AM41" s="15">
        <v>-6560.0</v>
      </c>
      <c r="AN41" s="15">
        <v>-5240.0</v>
      </c>
      <c r="AO41" s="15">
        <v>0.0</v>
      </c>
      <c r="AP41" s="15">
        <v>-5650.0</v>
      </c>
      <c r="AQ41" s="15">
        <v>-6790.0</v>
      </c>
      <c r="AR41" s="15">
        <v>-6650.0</v>
      </c>
      <c r="AS41" s="15">
        <v>-5640.0</v>
      </c>
      <c r="AT41" s="15">
        <v>-1350.0</v>
      </c>
      <c r="AU41" s="15">
        <v>-4500.0</v>
      </c>
      <c r="AV41" s="15">
        <v>-6280.0</v>
      </c>
      <c r="AW41" s="15">
        <v>-2260.0</v>
      </c>
      <c r="AX41" s="15">
        <v>0.0</v>
      </c>
      <c r="AY41" s="15">
        <v>0.0</v>
      </c>
      <c r="AZ41" s="15">
        <v>0.0</v>
      </c>
      <c r="BA41" s="15">
        <v>0.0</v>
      </c>
      <c r="BB41" s="15">
        <v>0.0</v>
      </c>
      <c r="BC41" s="15">
        <v>0.0</v>
      </c>
      <c r="BD41" s="15">
        <v>0.0</v>
      </c>
      <c r="BE41" s="15">
        <v>0.0</v>
      </c>
      <c r="BF41" s="15">
        <v>0.0</v>
      </c>
      <c r="BG41" s="15">
        <v>0.0</v>
      </c>
      <c r="BH41" s="15">
        <v>5430.0</v>
      </c>
      <c r="BI41" s="15">
        <v>16850.0</v>
      </c>
      <c r="BJ41" s="15">
        <v>17800.0</v>
      </c>
      <c r="BK41" s="15">
        <v>0.0</v>
      </c>
      <c r="BL41" s="15">
        <v>5530.0</v>
      </c>
      <c r="BM41" s="15">
        <v>4860.0</v>
      </c>
      <c r="BN41" s="15">
        <v>2860.0</v>
      </c>
      <c r="BO41" s="15">
        <v>4010.0</v>
      </c>
      <c r="BP41" s="15">
        <v>0.0</v>
      </c>
      <c r="BQ41" s="15">
        <v>1380.0</v>
      </c>
      <c r="BR41" s="15">
        <v>9060.0</v>
      </c>
      <c r="BS41" s="15">
        <v>9050.0</v>
      </c>
      <c r="BT41" s="15">
        <v>6600.0</v>
      </c>
      <c r="BU41" s="15">
        <v>7030.0</v>
      </c>
      <c r="BV41" s="15">
        <v>7120.0</v>
      </c>
      <c r="BW41" s="15">
        <v>20030.0</v>
      </c>
      <c r="BX41" s="15">
        <v>29460.0</v>
      </c>
      <c r="BY41" s="15">
        <v>29380.0</v>
      </c>
      <c r="BZ41" s="15">
        <v>8750.0</v>
      </c>
      <c r="CA41" s="15">
        <v>14300.0</v>
      </c>
      <c r="CB41" s="15">
        <v>1050.0</v>
      </c>
      <c r="CC41" s="15">
        <v>1200.0</v>
      </c>
      <c r="CD41" s="15">
        <v>1420.0</v>
      </c>
      <c r="CE41" s="15">
        <v>1200.0</v>
      </c>
      <c r="CF41" s="15">
        <v>0.0</v>
      </c>
      <c r="CG41" s="15">
        <v>0.0</v>
      </c>
      <c r="CH41" s="15">
        <v>0.0</v>
      </c>
      <c r="CI41" s="15">
        <v>0.0</v>
      </c>
      <c r="CJ41" s="15">
        <v>0.0</v>
      </c>
      <c r="CK41" s="15">
        <v>0.0</v>
      </c>
      <c r="CL41" s="15">
        <v>21310.0</v>
      </c>
      <c r="CM41" s="15">
        <v>30960.0</v>
      </c>
      <c r="CN41" s="15">
        <v>30890.0</v>
      </c>
      <c r="CO41" s="15">
        <v>10050.0</v>
      </c>
      <c r="CP41" s="15">
        <v>14870.0</v>
      </c>
      <c r="CQ41" s="15">
        <v>1930.0</v>
      </c>
      <c r="CR41" s="15">
        <v>1760.0</v>
      </c>
      <c r="CS41" s="15">
        <v>2810.0</v>
      </c>
      <c r="CT41" s="15">
        <v>1410.0</v>
      </c>
      <c r="CU41" s="15">
        <v>0.0</v>
      </c>
      <c r="CV41" s="15">
        <v>5510.0</v>
      </c>
      <c r="CW41" s="15">
        <v>0.0</v>
      </c>
      <c r="CX41" s="15">
        <v>0.0</v>
      </c>
      <c r="CY41" s="15">
        <v>0.0</v>
      </c>
      <c r="CZ41" s="15">
        <v>0.0</v>
      </c>
      <c r="DA41" s="15">
        <v>0.0</v>
      </c>
      <c r="DB41" s="15">
        <v>5510.0</v>
      </c>
      <c r="DC41" s="15">
        <v>11150.0</v>
      </c>
      <c r="DD41" s="15">
        <v>7880.0</v>
      </c>
      <c r="DE41" s="15">
        <v>4680.0</v>
      </c>
      <c r="DF41" s="15">
        <v>5850.0</v>
      </c>
      <c r="DG41" s="15">
        <v>11670.0</v>
      </c>
      <c r="DH41" s="15">
        <v>14100.0</v>
      </c>
      <c r="DI41" s="15">
        <v>10770.0</v>
      </c>
      <c r="DJ41" s="15">
        <v>10320.0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6110.0</v>
      </c>
      <c r="DS41" s="15">
        <v>5960.0</v>
      </c>
      <c r="DT41" s="15">
        <v>3790.0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15470.0</v>
      </c>
      <c r="EA41" s="15">
        <v>19310.0</v>
      </c>
      <c r="EB41" s="15">
        <v>16810.0</v>
      </c>
      <c r="EC41" s="15">
        <v>0.0</v>
      </c>
      <c r="ED41" s="15">
        <v>4570.0</v>
      </c>
      <c r="EE41" s="17">
        <v>0.0</v>
      </c>
      <c r="EF41" s="17">
        <v>0.0</v>
      </c>
      <c r="EG41" s="17">
        <v>-0.5</v>
      </c>
      <c r="EH41" s="17">
        <v>0.333</v>
      </c>
    </row>
    <row r="42">
      <c r="A42" s="9">
        <f t="shared" si="2"/>
        <v>40</v>
      </c>
      <c r="B42" s="10" t="s">
        <v>176</v>
      </c>
      <c r="C42" s="15">
        <v>3600000.0</v>
      </c>
      <c r="D42" s="15">
        <v>2890000.0</v>
      </c>
      <c r="E42" s="15">
        <v>3310000.0</v>
      </c>
      <c r="F42" s="15">
        <v>2840000.0</v>
      </c>
      <c r="G42" s="15">
        <v>2910000.0</v>
      </c>
      <c r="H42" s="15">
        <v>2830000.0</v>
      </c>
      <c r="I42" s="15">
        <v>2540000.0</v>
      </c>
      <c r="J42" s="15">
        <v>783710.0</v>
      </c>
      <c r="K42" s="15">
        <v>430520.0</v>
      </c>
      <c r="L42" s="15">
        <v>687090.0</v>
      </c>
      <c r="M42" s="15">
        <v>453610.0</v>
      </c>
      <c r="N42" s="15">
        <v>341610.0</v>
      </c>
      <c r="O42" s="15">
        <v>160540.0</v>
      </c>
      <c r="P42" s="15">
        <v>161850.0</v>
      </c>
      <c r="Q42" s="15">
        <v>149350.0</v>
      </c>
      <c r="R42" s="15">
        <v>136180.0</v>
      </c>
      <c r="S42" s="15">
        <v>124060.0</v>
      </c>
      <c r="T42" s="15">
        <v>0.0</v>
      </c>
      <c r="U42" s="15">
        <v>0.0</v>
      </c>
      <c r="V42" s="15">
        <v>0.0</v>
      </c>
      <c r="W42" s="15">
        <v>0.0</v>
      </c>
      <c r="X42" s="15">
        <v>0.0</v>
      </c>
      <c r="Y42" s="15">
        <v>1100000.0</v>
      </c>
      <c r="Z42" s="15">
        <v>-270630.0</v>
      </c>
      <c r="AA42" s="15">
        <v>-5700.0</v>
      </c>
      <c r="AB42" s="15">
        <v>481600.0</v>
      </c>
      <c r="AC42" s="15">
        <v>193910.0</v>
      </c>
      <c r="AD42" s="15">
        <v>980230.0</v>
      </c>
      <c r="AE42" s="15">
        <v>-335770.0</v>
      </c>
      <c r="AF42" s="15">
        <v>440400.0</v>
      </c>
      <c r="AG42" s="15">
        <v>355690.0</v>
      </c>
      <c r="AH42" s="15">
        <v>105710.0</v>
      </c>
      <c r="AI42" s="15">
        <v>1350000.0</v>
      </c>
      <c r="AJ42" s="15">
        <v>977170.0</v>
      </c>
      <c r="AK42" s="15">
        <v>1200000.0</v>
      </c>
      <c r="AL42" s="15">
        <v>1130000.0</v>
      </c>
      <c r="AM42" s="15">
        <v>998950.0</v>
      </c>
      <c r="AN42" s="15">
        <v>627840.0</v>
      </c>
      <c r="AO42" s="15">
        <v>-423450.0</v>
      </c>
      <c r="AP42" s="15">
        <v>312550.0</v>
      </c>
      <c r="AQ42" s="15">
        <v>210430.0</v>
      </c>
      <c r="AR42" s="15">
        <v>31450.0</v>
      </c>
      <c r="AS42" s="15">
        <v>1170000.0</v>
      </c>
      <c r="AT42" s="15">
        <v>785010.0</v>
      </c>
      <c r="AU42" s="15">
        <v>996300.0</v>
      </c>
      <c r="AV42" s="15">
        <v>1030000.0</v>
      </c>
      <c r="AW42" s="15">
        <v>788400.0</v>
      </c>
      <c r="AX42" s="15">
        <v>-1170000.0</v>
      </c>
      <c r="AY42" s="15">
        <v>-1410000.0</v>
      </c>
      <c r="AZ42" s="15">
        <v>-1130000.0</v>
      </c>
      <c r="BA42" s="15">
        <v>-683730.0</v>
      </c>
      <c r="BB42" s="15">
        <v>-575410.0</v>
      </c>
      <c r="BC42" s="15">
        <v>-139870.0</v>
      </c>
      <c r="BD42" s="15">
        <v>-108830.0</v>
      </c>
      <c r="BE42" s="15">
        <v>-98750.0</v>
      </c>
      <c r="BF42" s="15">
        <v>-94570.0</v>
      </c>
      <c r="BG42" s="15">
        <v>-76140.0</v>
      </c>
      <c r="BH42" s="15">
        <v>537050.0</v>
      </c>
      <c r="BI42" s="15">
        <v>525070.0</v>
      </c>
      <c r="BJ42" s="15">
        <v>960600.0</v>
      </c>
      <c r="BK42" s="15">
        <v>860240.0</v>
      </c>
      <c r="BL42" s="15">
        <v>228130.0</v>
      </c>
      <c r="BM42" s="15">
        <v>115980.0</v>
      </c>
      <c r="BN42" s="15">
        <v>165470.0</v>
      </c>
      <c r="BO42" s="15">
        <v>136810.0</v>
      </c>
      <c r="BP42" s="15">
        <v>114750.0</v>
      </c>
      <c r="BQ42" s="15">
        <v>152980.0</v>
      </c>
      <c r="BR42" s="15">
        <v>752200.0</v>
      </c>
      <c r="BS42" s="15">
        <v>674910.0</v>
      </c>
      <c r="BT42" s="15">
        <v>627700.0</v>
      </c>
      <c r="BU42" s="15">
        <v>595040.0</v>
      </c>
      <c r="BV42" s="15">
        <v>641730.0</v>
      </c>
      <c r="BW42" s="15">
        <v>1550000.0</v>
      </c>
      <c r="BX42" s="15">
        <v>1460000.0</v>
      </c>
      <c r="BY42" s="15">
        <v>1830000.0</v>
      </c>
      <c r="BZ42" s="15">
        <v>1650000.0</v>
      </c>
      <c r="CA42" s="15">
        <v>1150000.0</v>
      </c>
      <c r="CB42" s="15">
        <v>9080000.0</v>
      </c>
      <c r="CC42" s="15">
        <v>8510000.0</v>
      </c>
      <c r="CD42" s="15">
        <v>7050000.0</v>
      </c>
      <c r="CE42" s="15">
        <v>6850000.0</v>
      </c>
      <c r="CF42" s="15">
        <v>7070000.0</v>
      </c>
      <c r="CG42" s="15">
        <v>528800.0</v>
      </c>
      <c r="CH42" s="15">
        <v>556960.0</v>
      </c>
      <c r="CI42" s="15">
        <v>873070.0</v>
      </c>
      <c r="CJ42" s="15">
        <v>934460.0</v>
      </c>
      <c r="CK42" s="15">
        <v>967940.0</v>
      </c>
      <c r="CL42" s="15">
        <v>1.14E7</v>
      </c>
      <c r="CM42" s="15">
        <v>1.073E7</v>
      </c>
      <c r="CN42" s="15">
        <v>9860000.0</v>
      </c>
      <c r="CO42" s="15">
        <v>9530000.0</v>
      </c>
      <c r="CP42" s="15">
        <v>9280000.0</v>
      </c>
      <c r="CQ42" s="15">
        <v>205300.0</v>
      </c>
      <c r="CR42" s="15">
        <v>222670.0</v>
      </c>
      <c r="CS42" s="15">
        <v>180590.0</v>
      </c>
      <c r="CT42" s="15">
        <v>149090.0</v>
      </c>
      <c r="CU42" s="15">
        <v>184630.0</v>
      </c>
      <c r="CV42" s="15">
        <v>1010000.0</v>
      </c>
      <c r="CW42" s="15">
        <v>0.0</v>
      </c>
      <c r="CX42" s="15">
        <v>0.0</v>
      </c>
      <c r="CY42" s="16">
        <v>0.0</v>
      </c>
      <c r="CZ42" s="16">
        <v>0.0</v>
      </c>
      <c r="DA42" s="15">
        <v>0.0</v>
      </c>
      <c r="DB42" s="15">
        <v>1010000.0</v>
      </c>
      <c r="DC42" s="15">
        <v>493670.0</v>
      </c>
      <c r="DD42" s="15">
        <v>418260.0</v>
      </c>
      <c r="DE42" s="15">
        <v>568100.0</v>
      </c>
      <c r="DF42" s="15">
        <v>4770000.0</v>
      </c>
      <c r="DG42" s="15">
        <v>4510000.0</v>
      </c>
      <c r="DH42" s="15">
        <v>3660000.0</v>
      </c>
      <c r="DI42" s="15">
        <v>3510000.0</v>
      </c>
      <c r="DJ42" s="15">
        <v>3530000.0</v>
      </c>
      <c r="DK42" s="15">
        <v>0.0</v>
      </c>
      <c r="DL42" s="15">
        <v>0.0</v>
      </c>
      <c r="DM42" s="15">
        <v>0.0</v>
      </c>
      <c r="DN42" s="15">
        <v>1020.0</v>
      </c>
      <c r="DO42" s="15">
        <v>1030.0</v>
      </c>
      <c r="DP42" s="15">
        <v>1900000.0</v>
      </c>
      <c r="DQ42" s="15">
        <v>2350000.0</v>
      </c>
      <c r="DR42" s="15">
        <v>1720000.0</v>
      </c>
      <c r="DS42" s="15">
        <v>1450000.0</v>
      </c>
      <c r="DT42" s="15">
        <v>1570000.0</v>
      </c>
      <c r="DU42" s="16">
        <v>0.0</v>
      </c>
      <c r="DV42" s="15">
        <v>0.0</v>
      </c>
      <c r="DW42" s="15">
        <v>0.0</v>
      </c>
      <c r="DX42" s="16">
        <v>0.0</v>
      </c>
      <c r="DY42" s="16">
        <v>0.0</v>
      </c>
      <c r="DZ42" s="15">
        <v>6630000.0</v>
      </c>
      <c r="EA42" s="15">
        <v>6210000.0</v>
      </c>
      <c r="EB42" s="15">
        <v>6200000.0</v>
      </c>
      <c r="EC42" s="15">
        <v>6020000.0</v>
      </c>
      <c r="ED42" s="15">
        <v>5750000.0</v>
      </c>
      <c r="EE42" s="17">
        <v>0.159</v>
      </c>
      <c r="EF42" s="17">
        <v>0.35</v>
      </c>
      <c r="EG42" s="17">
        <v>0.278</v>
      </c>
      <c r="EH42" s="17">
        <v>0.544</v>
      </c>
    </row>
    <row r="43">
      <c r="A43" s="9">
        <f t="shared" si="2"/>
        <v>41</v>
      </c>
      <c r="B43" s="10" t="s">
        <v>177</v>
      </c>
      <c r="C43" s="11">
        <v>4280000.0</v>
      </c>
      <c r="D43" s="11">
        <v>3730000.0</v>
      </c>
      <c r="E43" s="11">
        <v>4310000.0</v>
      </c>
      <c r="F43" s="11">
        <v>4040000.0</v>
      </c>
      <c r="G43" s="11">
        <v>3800000.0</v>
      </c>
      <c r="H43" s="11">
        <v>3610000.0</v>
      </c>
      <c r="I43" s="11">
        <v>3520000.0</v>
      </c>
      <c r="J43" s="11">
        <v>1340000.0</v>
      </c>
      <c r="K43" s="11">
        <v>1320000.0</v>
      </c>
      <c r="L43" s="11">
        <v>1200000.0</v>
      </c>
      <c r="M43" s="11">
        <v>1210000.0</v>
      </c>
      <c r="N43" s="11">
        <v>1160000.0</v>
      </c>
      <c r="O43" s="11">
        <v>1030000.0</v>
      </c>
      <c r="P43" s="11">
        <v>980610.0</v>
      </c>
      <c r="Q43" s="11">
        <v>879690.0</v>
      </c>
      <c r="R43" s="11">
        <v>857560.0</v>
      </c>
      <c r="S43" s="11">
        <v>834700.0</v>
      </c>
      <c r="T43" s="11"/>
      <c r="U43" s="11"/>
      <c r="V43" s="11"/>
      <c r="W43" s="11"/>
      <c r="X43" s="11"/>
      <c r="Y43" s="11">
        <v>233350.0</v>
      </c>
      <c r="Z43" s="11">
        <v>337130.0</v>
      </c>
      <c r="AA43" s="11">
        <v>294820.0</v>
      </c>
      <c r="AB43" s="11">
        <v>331480.0</v>
      </c>
      <c r="AC43" s="11">
        <v>319880.0</v>
      </c>
      <c r="AD43" s="11">
        <v>245280.0</v>
      </c>
      <c r="AE43" s="11">
        <v>345100.0</v>
      </c>
      <c r="AF43" s="11">
        <v>287170.0</v>
      </c>
      <c r="AG43" s="11">
        <v>335260.0</v>
      </c>
      <c r="AH43" s="11">
        <v>321870.0</v>
      </c>
      <c r="AI43" s="11">
        <v>496060.0</v>
      </c>
      <c r="AJ43" s="11">
        <v>507190.0</v>
      </c>
      <c r="AK43" s="11">
        <v>492490.0</v>
      </c>
      <c r="AL43" s="11">
        <v>509370.0</v>
      </c>
      <c r="AM43" s="11">
        <v>468030.0</v>
      </c>
      <c r="AN43" s="11">
        <v>191260.0</v>
      </c>
      <c r="AO43" s="11">
        <v>261900.0</v>
      </c>
      <c r="AP43" s="11">
        <v>204160.0</v>
      </c>
      <c r="AQ43" s="11">
        <v>212450.0</v>
      </c>
      <c r="AR43" s="11">
        <v>213290.0</v>
      </c>
      <c r="AS43" s="11">
        <v>686940.0</v>
      </c>
      <c r="AT43" s="11">
        <v>456650.0</v>
      </c>
      <c r="AU43" s="11">
        <v>394430.0</v>
      </c>
      <c r="AV43" s="11">
        <v>365600.0</v>
      </c>
      <c r="AW43" s="11">
        <v>335110.0</v>
      </c>
      <c r="AX43" s="11">
        <v>-210360.0</v>
      </c>
      <c r="AY43" s="11">
        <v>-189690.0</v>
      </c>
      <c r="AZ43" s="11">
        <v>-172150.0</v>
      </c>
      <c r="BA43" s="11">
        <v>-163020.0</v>
      </c>
      <c r="BB43" s="11">
        <v>-155640.0</v>
      </c>
      <c r="BC43" s="11">
        <v>-92780.0</v>
      </c>
      <c r="BD43" s="11">
        <v>-97120.0</v>
      </c>
      <c r="BE43" s="11">
        <v>-88550.0</v>
      </c>
      <c r="BF43" s="11">
        <v>-90680.0</v>
      </c>
      <c r="BG43" s="11">
        <v>-97240.0</v>
      </c>
      <c r="BH43" s="11">
        <v>416930.0</v>
      </c>
      <c r="BI43" s="11">
        <v>425470.0</v>
      </c>
      <c r="BJ43" s="11">
        <v>413610.0</v>
      </c>
      <c r="BK43" s="11">
        <v>378610.0</v>
      </c>
      <c r="BL43" s="11">
        <v>260070.0</v>
      </c>
      <c r="BM43" s="11">
        <v>119060.0</v>
      </c>
      <c r="BN43" s="11">
        <v>93480.0</v>
      </c>
      <c r="BO43" s="11">
        <v>78300.0</v>
      </c>
      <c r="BP43" s="11">
        <v>86630.0</v>
      </c>
      <c r="BQ43" s="11">
        <v>80910.0</v>
      </c>
      <c r="BR43" s="11">
        <v>446280.0</v>
      </c>
      <c r="BS43" s="11">
        <v>424400.0</v>
      </c>
      <c r="BT43" s="11">
        <v>398210.0</v>
      </c>
      <c r="BU43" s="11">
        <v>358450.0</v>
      </c>
      <c r="BV43" s="11">
        <v>305180.0</v>
      </c>
      <c r="BW43" s="11">
        <v>1050000.0</v>
      </c>
      <c r="BX43" s="11">
        <v>1050000.0</v>
      </c>
      <c r="BY43" s="11">
        <v>968530.0</v>
      </c>
      <c r="BZ43" s="11">
        <v>901230.0</v>
      </c>
      <c r="CA43" s="11">
        <v>723380.0</v>
      </c>
      <c r="CB43" s="11">
        <v>2150000.0</v>
      </c>
      <c r="CC43" s="11">
        <v>742150.0</v>
      </c>
      <c r="CD43" s="11">
        <v>724240.0</v>
      </c>
      <c r="CE43" s="11">
        <v>707800.0</v>
      </c>
      <c r="CF43" s="11">
        <v>703590.0</v>
      </c>
      <c r="CG43" s="11">
        <v>13160.0</v>
      </c>
      <c r="CH43" s="11">
        <v>14900.0</v>
      </c>
      <c r="CI43" s="11">
        <v>15070.0</v>
      </c>
      <c r="CJ43" s="11">
        <v>14890.0</v>
      </c>
      <c r="CK43" s="11">
        <v>17190.0</v>
      </c>
      <c r="CL43" s="11">
        <v>3760000.0</v>
      </c>
      <c r="CM43" s="11">
        <v>1960000.0</v>
      </c>
      <c r="CN43" s="11">
        <v>1870000.0</v>
      </c>
      <c r="CO43" s="11">
        <v>1850000.0</v>
      </c>
      <c r="CP43" s="11">
        <v>1680000.0</v>
      </c>
      <c r="CQ43" s="11">
        <v>285750.0</v>
      </c>
      <c r="CR43" s="11">
        <v>240670.0</v>
      </c>
      <c r="CS43" s="11">
        <v>236700.0</v>
      </c>
      <c r="CT43" s="11">
        <v>246200.0</v>
      </c>
      <c r="CU43" s="11">
        <v>182790.0</v>
      </c>
      <c r="CV43" s="11">
        <v>751760.0</v>
      </c>
      <c r="CW43" s="11">
        <v>299160.0</v>
      </c>
      <c r="CX43" s="12"/>
      <c r="CY43" s="12"/>
      <c r="CZ43" s="12"/>
      <c r="DA43" s="12"/>
      <c r="DB43" s="11">
        <v>751760.0</v>
      </c>
      <c r="DC43" s="11">
        <v>542650.0</v>
      </c>
      <c r="DD43" s="11">
        <v>485220.0</v>
      </c>
      <c r="DE43" s="11">
        <v>493780.0</v>
      </c>
      <c r="DF43" s="11">
        <v>2510000.0</v>
      </c>
      <c r="DG43" s="11">
        <v>676260.0</v>
      </c>
      <c r="DH43" s="11">
        <v>622450.0</v>
      </c>
      <c r="DI43" s="11">
        <v>649560.0</v>
      </c>
      <c r="DJ43" s="11">
        <v>628200.0</v>
      </c>
      <c r="DK43" s="12"/>
      <c r="DL43" s="12"/>
      <c r="DM43" s="12"/>
      <c r="DN43" s="12"/>
      <c r="DO43" s="12"/>
      <c r="DP43" s="11">
        <v>1300000.0</v>
      </c>
      <c r="DQ43" s="12"/>
      <c r="DR43" s="12"/>
      <c r="DS43" s="11"/>
      <c r="DT43" s="11"/>
      <c r="DU43" s="13"/>
      <c r="DV43" s="12"/>
      <c r="DW43" s="12"/>
      <c r="DX43" s="12"/>
      <c r="DY43" s="12"/>
      <c r="DZ43" s="11">
        <v>1250000.0</v>
      </c>
      <c r="EA43" s="11">
        <v>1290000.0</v>
      </c>
      <c r="EB43" s="11">
        <v>1250000.0</v>
      </c>
      <c r="EC43" s="11">
        <v>1200000.0</v>
      </c>
      <c r="ED43" s="11">
        <v>1050000.0</v>
      </c>
      <c r="EE43" s="14">
        <v>0.158</v>
      </c>
      <c r="EF43" s="14">
        <v>0.201</v>
      </c>
      <c r="EG43" s="14">
        <v>-1.8</v>
      </c>
      <c r="EH43" s="14">
        <v>-0.388</v>
      </c>
    </row>
    <row r="44">
      <c r="A44" s="9">
        <f t="shared" si="2"/>
        <v>42</v>
      </c>
      <c r="B44" s="22" t="s">
        <v>178</v>
      </c>
      <c r="C44" s="11">
        <v>128740.0</v>
      </c>
      <c r="D44" s="11">
        <v>81020.0</v>
      </c>
      <c r="E44" s="11">
        <v>69890.0</v>
      </c>
      <c r="F44" s="11">
        <v>24180.0</v>
      </c>
      <c r="G44" s="12"/>
      <c r="H44" s="12"/>
      <c r="I44" s="12"/>
      <c r="J44" s="11">
        <v>62490.0</v>
      </c>
      <c r="K44" s="11">
        <v>21100.0</v>
      </c>
      <c r="L44" s="11">
        <v>-1410.0</v>
      </c>
      <c r="M44" s="11">
        <v>-970.0</v>
      </c>
      <c r="N44" s="11">
        <v>-252.0</v>
      </c>
      <c r="O44" s="11">
        <v>249980.0</v>
      </c>
      <c r="P44" s="11">
        <v>230840.0</v>
      </c>
      <c r="Q44" s="11">
        <v>119480.0</v>
      </c>
      <c r="R44" s="11">
        <v>95900.0</v>
      </c>
      <c r="S44" s="11">
        <v>74830.0</v>
      </c>
      <c r="T44" s="11">
        <v>91380.0</v>
      </c>
      <c r="U44" s="11">
        <v>86120.0</v>
      </c>
      <c r="V44" s="11">
        <v>47280.0</v>
      </c>
      <c r="W44" s="11">
        <v>51420.0</v>
      </c>
      <c r="X44" s="11">
        <v>44200.0</v>
      </c>
      <c r="Y44" s="12"/>
      <c r="Z44" s="11">
        <v>-233840.0</v>
      </c>
      <c r="AA44" s="11">
        <v>-145690.0</v>
      </c>
      <c r="AB44" s="12"/>
      <c r="AC44" s="12"/>
      <c r="AD44" s="11">
        <v>-199670.0</v>
      </c>
      <c r="AE44" s="11">
        <v>-232570.0</v>
      </c>
      <c r="AF44" s="11">
        <v>-146860.0</v>
      </c>
      <c r="AG44" s="11">
        <v>-98870.0</v>
      </c>
      <c r="AH44" s="11">
        <v>-74220.0</v>
      </c>
      <c r="AI44" s="11">
        <v>-182350.0</v>
      </c>
      <c r="AJ44" s="11">
        <v>-207300.0</v>
      </c>
      <c r="AK44" s="11">
        <v>-119480.0</v>
      </c>
      <c r="AL44" s="11">
        <v>-95900.0</v>
      </c>
      <c r="AM44" s="11">
        <v>-74830.0</v>
      </c>
      <c r="AN44" s="11">
        <v>-199580.0</v>
      </c>
      <c r="AO44" s="11">
        <v>-232570.0</v>
      </c>
      <c r="AP44" s="11">
        <v>-145110.0</v>
      </c>
      <c r="AQ44" s="11">
        <v>-99060.0</v>
      </c>
      <c r="AR44" s="11">
        <v>-74360.0</v>
      </c>
      <c r="AS44" s="11">
        <v>-145750.0</v>
      </c>
      <c r="AT44" s="11">
        <v>-152580.0</v>
      </c>
      <c r="AU44" s="11">
        <v>-93210.0</v>
      </c>
      <c r="AV44" s="11">
        <v>-79840.0</v>
      </c>
      <c r="AW44" s="11">
        <v>-55750.0</v>
      </c>
      <c r="AX44" s="11">
        <v>-9960.0</v>
      </c>
      <c r="AY44" s="11">
        <v>-31310.0</v>
      </c>
      <c r="AZ44" s="11">
        <v>-26470.0</v>
      </c>
      <c r="BA44" s="11">
        <v>-5080.0</v>
      </c>
      <c r="BB44" s="11">
        <v>-3280.0</v>
      </c>
      <c r="BC44" s="12"/>
      <c r="BD44" s="12"/>
      <c r="BE44" s="12"/>
      <c r="BF44" s="12"/>
      <c r="BG44" s="12"/>
      <c r="BH44" s="11">
        <v>309190.0</v>
      </c>
      <c r="BI44" s="11">
        <v>202820.0</v>
      </c>
      <c r="BJ44" s="11">
        <v>249660.0</v>
      </c>
      <c r="BK44" s="11">
        <v>233660.0</v>
      </c>
      <c r="BL44" s="11">
        <v>136560.0</v>
      </c>
      <c r="BM44" s="11">
        <v>38350.0</v>
      </c>
      <c r="BN44" s="11">
        <v>2720.0</v>
      </c>
      <c r="BO44" s="12"/>
      <c r="BP44" s="12"/>
      <c r="BQ44" s="12"/>
      <c r="BR44" s="11">
        <v>21050.0</v>
      </c>
      <c r="BS44" s="11">
        <v>10110.0</v>
      </c>
      <c r="BT44" s="12"/>
      <c r="BU44" s="12"/>
      <c r="BV44" s="12"/>
      <c r="BW44" s="11">
        <v>376340.0</v>
      </c>
      <c r="BX44" s="11">
        <v>220180.0</v>
      </c>
      <c r="BY44" s="11">
        <v>254140.0</v>
      </c>
      <c r="BZ44" s="11">
        <v>237690.0</v>
      </c>
      <c r="CA44" s="11">
        <v>138430.0</v>
      </c>
      <c r="CB44" s="11">
        <v>74670.0</v>
      </c>
      <c r="CC44" s="11">
        <v>60530.0</v>
      </c>
      <c r="CD44" s="11">
        <v>31930.0</v>
      </c>
      <c r="CE44" s="11">
        <v>7860.0</v>
      </c>
      <c r="CF44" s="11">
        <v>3820.0</v>
      </c>
      <c r="CG44" s="12"/>
      <c r="CH44" s="12"/>
      <c r="CI44" s="12"/>
      <c r="CJ44" s="12"/>
      <c r="CK44" s="12"/>
      <c r="CL44" s="11">
        <v>452610.0</v>
      </c>
      <c r="CM44" s="11">
        <v>285040.0</v>
      </c>
      <c r="CN44" s="11">
        <v>290280.0</v>
      </c>
      <c r="CO44" s="11">
        <v>248250.0</v>
      </c>
      <c r="CP44" s="11">
        <v>159130.0</v>
      </c>
      <c r="CQ44" s="11">
        <v>12770.0</v>
      </c>
      <c r="CR44" s="11">
        <v>12400.0</v>
      </c>
      <c r="CS44" s="11">
        <v>6250.0</v>
      </c>
      <c r="CT44" s="11">
        <v>5610.0</v>
      </c>
      <c r="CU44" s="12"/>
      <c r="CV44" s="11">
        <v>83650.0</v>
      </c>
      <c r="CW44" s="11">
        <v>5500.0</v>
      </c>
      <c r="CX44" s="12"/>
      <c r="CY44" s="12"/>
      <c r="CZ44" s="12"/>
      <c r="DA44" s="12"/>
      <c r="DB44" s="11">
        <v>83650.0</v>
      </c>
      <c r="DC44" s="11">
        <v>50780.0</v>
      </c>
      <c r="DD44" s="11">
        <v>25180.0</v>
      </c>
      <c r="DE44" s="11">
        <v>19370.0</v>
      </c>
      <c r="DF44" s="11">
        <v>285660.0</v>
      </c>
      <c r="DG44" s="11">
        <v>57240.0</v>
      </c>
      <c r="DH44" s="11">
        <v>154680.0</v>
      </c>
      <c r="DI44" s="11">
        <v>142910.0</v>
      </c>
      <c r="DJ44" s="11">
        <v>140350.0</v>
      </c>
      <c r="DK44" s="12"/>
      <c r="DL44" s="12"/>
      <c r="DM44" s="12"/>
      <c r="DN44" s="12"/>
      <c r="DO44" s="11">
        <v>13810.0</v>
      </c>
      <c r="DP44" s="11">
        <v>200750.0</v>
      </c>
      <c r="DQ44" s="12"/>
      <c r="DR44" s="11">
        <v>123850.0</v>
      </c>
      <c r="DS44" s="11">
        <v>123540.0</v>
      </c>
      <c r="DT44" s="11">
        <v>123240.0</v>
      </c>
      <c r="DU44" s="13"/>
      <c r="DV44" s="12"/>
      <c r="DW44" s="12"/>
      <c r="DX44" s="13"/>
      <c r="DY44" s="13"/>
      <c r="DZ44" s="11">
        <v>166950.0</v>
      </c>
      <c r="EA44" s="11">
        <v>227810.0</v>
      </c>
      <c r="EB44" s="11">
        <v>135600.0</v>
      </c>
      <c r="EC44" s="11">
        <v>105340.0</v>
      </c>
      <c r="ED44" s="11">
        <v>18780.0</v>
      </c>
      <c r="EE44" s="14">
        <v>0.096</v>
      </c>
      <c r="EF44" s="14">
        <v>0.318</v>
      </c>
      <c r="EG44" s="14">
        <v>-0.037</v>
      </c>
      <c r="EH44" s="14">
        <v>-0.109</v>
      </c>
    </row>
    <row r="45">
      <c r="A45" s="9">
        <f t="shared" si="2"/>
        <v>43</v>
      </c>
      <c r="B45" s="22" t="s">
        <v>179</v>
      </c>
      <c r="C45" s="11">
        <v>51540.0</v>
      </c>
      <c r="D45" s="11">
        <v>26700.0</v>
      </c>
      <c r="E45" s="11">
        <v>23940.0</v>
      </c>
      <c r="F45" s="11">
        <v>28000.0</v>
      </c>
      <c r="G45" s="11">
        <v>2270.0</v>
      </c>
      <c r="H45" s="11">
        <v>6980.0</v>
      </c>
      <c r="I45" s="11">
        <v>8390.0</v>
      </c>
      <c r="J45" s="12"/>
      <c r="K45" s="12"/>
      <c r="L45" s="12"/>
      <c r="M45" s="12"/>
      <c r="N45" s="12"/>
      <c r="O45" s="11">
        <v>59490.0</v>
      </c>
      <c r="P45" s="11">
        <v>52360.0</v>
      </c>
      <c r="Q45" s="11">
        <v>32850.0</v>
      </c>
      <c r="R45" s="11">
        <v>42180.0</v>
      </c>
      <c r="S45" s="11">
        <v>32400.0</v>
      </c>
      <c r="T45" s="11">
        <v>48200.0</v>
      </c>
      <c r="U45" s="11">
        <v>41050.0</v>
      </c>
      <c r="V45" s="11">
        <v>23890.0</v>
      </c>
      <c r="W45" s="11">
        <v>33030.0</v>
      </c>
      <c r="X45" s="11">
        <v>24060.0</v>
      </c>
      <c r="Y45" s="12"/>
      <c r="Z45" s="12"/>
      <c r="AA45" s="12"/>
      <c r="AB45" s="12"/>
      <c r="AC45" s="12"/>
      <c r="AD45" s="11">
        <v>-36220.0</v>
      </c>
      <c r="AE45" s="11">
        <v>-22980.0</v>
      </c>
      <c r="AF45" s="11">
        <v>-34110.0</v>
      </c>
      <c r="AG45" s="11">
        <v>-35700.0</v>
      </c>
      <c r="AH45" s="11">
        <v>-22440.0</v>
      </c>
      <c r="AI45" s="11">
        <v>-35550.0</v>
      </c>
      <c r="AJ45" s="11">
        <v>-24360.0</v>
      </c>
      <c r="AK45" s="11">
        <v>-30580.0</v>
      </c>
      <c r="AL45" s="11">
        <v>-35200.0</v>
      </c>
      <c r="AM45" s="11">
        <v>-24020.0</v>
      </c>
      <c r="AN45" s="11">
        <v>-36220.0</v>
      </c>
      <c r="AO45" s="11">
        <v>-22980.0</v>
      </c>
      <c r="AP45" s="11">
        <v>-34090.0</v>
      </c>
      <c r="AQ45" s="11">
        <v>-35640.0</v>
      </c>
      <c r="AR45" s="11">
        <v>-22440.0</v>
      </c>
      <c r="AS45" s="11">
        <v>-32520.0</v>
      </c>
      <c r="AT45" s="11">
        <v>58320.0</v>
      </c>
      <c r="AU45" s="11">
        <v>-28820.0</v>
      </c>
      <c r="AV45" s="11">
        <v>-35540.0</v>
      </c>
      <c r="AW45" s="11">
        <v>-20550.0</v>
      </c>
      <c r="AX45" s="11">
        <v>-1650.0</v>
      </c>
      <c r="AY45" s="11">
        <v>-851.0</v>
      </c>
      <c r="AZ45" s="11">
        <v>-753.0</v>
      </c>
      <c r="BA45" s="11">
        <v>-287.0</v>
      </c>
      <c r="BB45" s="11">
        <v>-307.0</v>
      </c>
      <c r="BC45" s="12"/>
      <c r="BD45" s="12"/>
      <c r="BE45" s="12"/>
      <c r="BF45" s="12"/>
      <c r="BG45" s="12"/>
      <c r="BH45" s="11">
        <v>116890.0</v>
      </c>
      <c r="BI45" s="11">
        <v>124380.0</v>
      </c>
      <c r="BJ45" s="11">
        <v>47840.0</v>
      </c>
      <c r="BK45" s="11">
        <v>47350.0</v>
      </c>
      <c r="BL45" s="11">
        <v>83360.0</v>
      </c>
      <c r="BM45" s="11">
        <v>1660.0</v>
      </c>
      <c r="BN45" s="11">
        <v>1630.0</v>
      </c>
      <c r="BO45" s="11">
        <v>1320.0</v>
      </c>
      <c r="BP45" s="11">
        <v>2380.0</v>
      </c>
      <c r="BQ45" s="11">
        <v>994.0</v>
      </c>
      <c r="BR45" s="11">
        <v>332.0</v>
      </c>
      <c r="BS45" s="11">
        <v>297.0</v>
      </c>
      <c r="BT45" s="11">
        <v>289.0</v>
      </c>
      <c r="BU45" s="11">
        <v>208.0</v>
      </c>
      <c r="BV45" s="11">
        <v>248.0</v>
      </c>
      <c r="BW45" s="11">
        <v>118890.0</v>
      </c>
      <c r="BX45" s="11">
        <v>126750.0</v>
      </c>
      <c r="BY45" s="11">
        <v>50410.0</v>
      </c>
      <c r="BZ45" s="11">
        <v>50480.0</v>
      </c>
      <c r="CA45" s="11">
        <v>84770.0</v>
      </c>
      <c r="CB45" s="11">
        <v>3500.0</v>
      </c>
      <c r="CC45" s="11">
        <v>1620.0</v>
      </c>
      <c r="CD45" s="11">
        <v>1340.0</v>
      </c>
      <c r="CE45" s="11">
        <v>867.0</v>
      </c>
      <c r="CF45" s="11">
        <v>994.0</v>
      </c>
      <c r="CG45" s="12"/>
      <c r="CH45" s="12"/>
      <c r="CI45" s="12"/>
      <c r="CJ45" s="12"/>
      <c r="CK45" s="12"/>
      <c r="CL45" s="11">
        <v>126120.0</v>
      </c>
      <c r="CM45" s="11">
        <v>132800.0</v>
      </c>
      <c r="CN45" s="11">
        <v>51820.0</v>
      </c>
      <c r="CO45" s="11">
        <v>51410.0</v>
      </c>
      <c r="CP45" s="11">
        <v>86170.0</v>
      </c>
      <c r="CQ45" s="11">
        <v>11500.0</v>
      </c>
      <c r="CR45" s="11">
        <v>9700.0</v>
      </c>
      <c r="CS45" s="11">
        <v>4060.0</v>
      </c>
      <c r="CT45" s="11">
        <v>4750.0</v>
      </c>
      <c r="CU45" s="11">
        <v>4070.0</v>
      </c>
      <c r="CV45" s="11">
        <v>39490.0</v>
      </c>
      <c r="CW45" s="11">
        <v>2360.0</v>
      </c>
      <c r="CX45" s="11">
        <v>3520.0</v>
      </c>
      <c r="CY45" s="11">
        <v>3700.0</v>
      </c>
      <c r="CZ45" s="11">
        <v>1030.0</v>
      </c>
      <c r="DA45" s="11">
        <v>1600.0</v>
      </c>
      <c r="DB45" s="11">
        <v>39490.0</v>
      </c>
      <c r="DC45" s="11">
        <v>42120.0</v>
      </c>
      <c r="DD45" s="11">
        <v>9000.0</v>
      </c>
      <c r="DE45" s="11">
        <v>6720.0</v>
      </c>
      <c r="DF45" s="11">
        <v>82720.0</v>
      </c>
      <c r="DG45" s="11">
        <v>86930.0</v>
      </c>
      <c r="DH45" s="11">
        <v>13900.0</v>
      </c>
      <c r="DI45" s="11">
        <v>10530.0</v>
      </c>
      <c r="DJ45" s="11">
        <v>13090.0</v>
      </c>
      <c r="DK45" s="11">
        <v>3580.0</v>
      </c>
      <c r="DL45" s="11">
        <v>4370.0</v>
      </c>
      <c r="DM45" s="12"/>
      <c r="DN45" s="12"/>
      <c r="DO45" s="12"/>
      <c r="DP45" s="11">
        <v>617.0</v>
      </c>
      <c r="DQ45" s="11">
        <v>1930.0</v>
      </c>
      <c r="DR45" s="11">
        <v>4910.0</v>
      </c>
      <c r="DS45" s="11">
        <v>3820.0</v>
      </c>
      <c r="DT45" s="11">
        <v>3370.0</v>
      </c>
      <c r="DU45" s="13"/>
      <c r="DV45" s="12"/>
      <c r="DW45" s="12"/>
      <c r="DX45" s="13"/>
      <c r="DY45" s="13"/>
      <c r="DZ45" s="11">
        <v>43400.0</v>
      </c>
      <c r="EA45" s="11">
        <v>45870.0</v>
      </c>
      <c r="EB45" s="11">
        <v>37920.0</v>
      </c>
      <c r="EC45" s="11">
        <v>40870.0</v>
      </c>
      <c r="ED45" s="11">
        <v>73080.0</v>
      </c>
      <c r="EE45" s="14">
        <v>0.539</v>
      </c>
      <c r="EF45" s="14">
        <v>2.156</v>
      </c>
      <c r="EG45" s="14">
        <v>-0.188</v>
      </c>
      <c r="EH45" s="14">
        <v>-0.03</v>
      </c>
    </row>
    <row r="46">
      <c r="A46" s="9">
        <f t="shared" si="2"/>
        <v>44</v>
      </c>
      <c r="B46" s="25" t="s">
        <v>180</v>
      </c>
      <c r="C46" s="12">
        <v>338010.0</v>
      </c>
      <c r="D46" s="12">
        <v>261300.0</v>
      </c>
      <c r="E46" s="12">
        <v>482920.0</v>
      </c>
      <c r="F46" s="12">
        <v>390050.0</v>
      </c>
      <c r="G46" s="12">
        <v>327470.0</v>
      </c>
      <c r="H46" s="12">
        <v>368430.0</v>
      </c>
      <c r="I46" s="12">
        <v>280750.0</v>
      </c>
      <c r="J46" s="12">
        <v>84670.0</v>
      </c>
      <c r="K46" s="12">
        <v>-18470.0</v>
      </c>
      <c r="L46" s="12">
        <v>18190.0</v>
      </c>
      <c r="M46" s="12">
        <v>63080.0</v>
      </c>
      <c r="N46" s="12">
        <v>9100.0</v>
      </c>
      <c r="O46" s="12">
        <v>54490.0</v>
      </c>
      <c r="P46" s="12">
        <v>38180.0</v>
      </c>
      <c r="Q46" s="12">
        <v>32130.0</v>
      </c>
      <c r="R46" s="12">
        <v>28340.0</v>
      </c>
      <c r="S46" s="12">
        <v>27050.0</v>
      </c>
      <c r="T46" s="12">
        <v>0.0</v>
      </c>
      <c r="U46" s="12">
        <v>0.0</v>
      </c>
      <c r="V46" s="12">
        <v>0.0</v>
      </c>
      <c r="W46" s="12">
        <v>0.0</v>
      </c>
      <c r="X46" s="12">
        <v>0.0</v>
      </c>
      <c r="Y46" s="12">
        <v>-47600.0</v>
      </c>
      <c r="Z46" s="12">
        <v>-328340.0</v>
      </c>
      <c r="AA46" s="12">
        <v>-100780.0</v>
      </c>
      <c r="AB46" s="12">
        <v>36760.0</v>
      </c>
      <c r="AC46" s="12">
        <v>-161170.0</v>
      </c>
      <c r="AD46" s="12">
        <v>-51780.0</v>
      </c>
      <c r="AE46" s="12">
        <v>-340950.0</v>
      </c>
      <c r="AF46" s="12">
        <v>-97740.0</v>
      </c>
      <c r="AG46" s="12">
        <v>33770.0</v>
      </c>
      <c r="AH46" s="12">
        <v>-162390.0</v>
      </c>
      <c r="AI46" s="12">
        <v>122570.0</v>
      </c>
      <c r="AJ46" s="12">
        <v>67800.0</v>
      </c>
      <c r="AK46" s="12">
        <v>88610.0</v>
      </c>
      <c r="AL46" s="12">
        <v>142300.0</v>
      </c>
      <c r="AM46" s="12">
        <v>80120.0</v>
      </c>
      <c r="AN46" s="12">
        <v>-53700.0</v>
      </c>
      <c r="AO46" s="12">
        <v>-264630.0</v>
      </c>
      <c r="AP46" s="12">
        <v>-69150.0</v>
      </c>
      <c r="AQ46" s="12">
        <v>11400.0</v>
      </c>
      <c r="AR46" s="12">
        <v>-138720.0</v>
      </c>
      <c r="AS46" s="12">
        <v>174510.0</v>
      </c>
      <c r="AT46" s="12">
        <v>37320.0</v>
      </c>
      <c r="AU46" s="12">
        <v>87840.0</v>
      </c>
      <c r="AV46" s="12">
        <v>123330.0</v>
      </c>
      <c r="AW46" s="12">
        <v>66610.0</v>
      </c>
      <c r="AX46" s="12">
        <v>-159700.0</v>
      </c>
      <c r="AY46" s="12">
        <v>-144270.0</v>
      </c>
      <c r="AZ46" s="12">
        <v>-98020.0</v>
      </c>
      <c r="BA46" s="12">
        <v>-82750.0</v>
      </c>
      <c r="BB46" s="12">
        <v>-72840.0</v>
      </c>
      <c r="BC46" s="16">
        <v>0.0</v>
      </c>
      <c r="BD46" s="16">
        <v>0.0</v>
      </c>
      <c r="BE46" s="16">
        <v>0.0</v>
      </c>
      <c r="BF46" s="16">
        <v>0.0</v>
      </c>
      <c r="BG46" s="16">
        <v>0.0</v>
      </c>
      <c r="BH46" s="12">
        <v>227600.0</v>
      </c>
      <c r="BI46" s="12">
        <v>89420.0</v>
      </c>
      <c r="BJ46" s="12">
        <v>162220.0</v>
      </c>
      <c r="BK46" s="12">
        <v>191420.0</v>
      </c>
      <c r="BL46" s="12">
        <v>78790.0</v>
      </c>
      <c r="BM46" s="12">
        <v>44000.0</v>
      </c>
      <c r="BN46" s="12">
        <v>90480.0</v>
      </c>
      <c r="BO46" s="12">
        <v>26130.0</v>
      </c>
      <c r="BP46" s="12">
        <v>22090.0</v>
      </c>
      <c r="BQ46" s="12">
        <v>34020.0</v>
      </c>
      <c r="BR46" s="12">
        <v>39570.0</v>
      </c>
      <c r="BS46" s="12">
        <v>44340.0</v>
      </c>
      <c r="BT46" s="12">
        <v>23630.0</v>
      </c>
      <c r="BU46" s="12">
        <v>27160.0</v>
      </c>
      <c r="BV46" s="12">
        <v>30840.0</v>
      </c>
      <c r="BW46" s="12">
        <v>315080.0</v>
      </c>
      <c r="BX46" s="12">
        <v>227100.0</v>
      </c>
      <c r="BY46" s="12">
        <v>213830.0</v>
      </c>
      <c r="BZ46" s="12">
        <v>241660.0</v>
      </c>
      <c r="CA46" s="12">
        <v>145560.0</v>
      </c>
      <c r="CB46" s="12">
        <v>798830.0</v>
      </c>
      <c r="CC46" s="12">
        <v>825950.0</v>
      </c>
      <c r="CD46" s="12">
        <v>600500.0</v>
      </c>
      <c r="CE46" s="12">
        <v>746770.0</v>
      </c>
      <c r="CF46" s="12">
        <v>790450.0</v>
      </c>
      <c r="CG46" s="12">
        <v>0.0</v>
      </c>
      <c r="CH46" s="12">
        <v>0.0</v>
      </c>
      <c r="CI46" s="12">
        <v>0.0</v>
      </c>
      <c r="CJ46" s="12">
        <v>0.0</v>
      </c>
      <c r="CK46" s="12">
        <v>0.0</v>
      </c>
      <c r="CL46" s="12">
        <v>1330000.0</v>
      </c>
      <c r="CM46" s="12">
        <v>1260000.0</v>
      </c>
      <c r="CN46" s="12">
        <v>979110.0</v>
      </c>
      <c r="CO46" s="12">
        <v>1150000.0</v>
      </c>
      <c r="CP46" s="12">
        <v>1100000.0</v>
      </c>
      <c r="CQ46" s="12">
        <v>31100.0</v>
      </c>
      <c r="CR46" s="12">
        <v>36080.0</v>
      </c>
      <c r="CS46" s="12">
        <v>22910.0</v>
      </c>
      <c r="CT46" s="12">
        <v>14420.0</v>
      </c>
      <c r="CU46" s="12">
        <v>39300.0</v>
      </c>
      <c r="CV46" s="12">
        <v>93180.0</v>
      </c>
      <c r="CW46" s="15">
        <v>0.0</v>
      </c>
      <c r="CX46" s="12">
        <v>0.0</v>
      </c>
      <c r="CY46" s="12">
        <v>0.0</v>
      </c>
      <c r="CZ46" s="16">
        <v>0.0</v>
      </c>
      <c r="DA46" s="15">
        <v>0.0</v>
      </c>
      <c r="DB46" s="12">
        <v>93180.0</v>
      </c>
      <c r="DC46" s="12">
        <v>79400.0</v>
      </c>
      <c r="DD46" s="12">
        <v>68130.0</v>
      </c>
      <c r="DE46" s="12">
        <v>66480.0</v>
      </c>
      <c r="DF46" s="12">
        <v>474100.0</v>
      </c>
      <c r="DG46" s="12">
        <v>452810.0</v>
      </c>
      <c r="DH46" s="12">
        <v>249280.0</v>
      </c>
      <c r="DI46" s="12">
        <v>315780.0</v>
      </c>
      <c r="DJ46" s="12">
        <v>340300.0</v>
      </c>
      <c r="DK46" s="12">
        <v>0.0</v>
      </c>
      <c r="DL46" s="12">
        <v>0.0</v>
      </c>
      <c r="DM46" s="12">
        <v>0.0</v>
      </c>
      <c r="DN46" s="12">
        <v>0.0</v>
      </c>
      <c r="DO46" s="12">
        <v>0.0</v>
      </c>
      <c r="DP46" s="12">
        <v>220010.0</v>
      </c>
      <c r="DQ46" s="12">
        <v>206470.0</v>
      </c>
      <c r="DR46" s="12">
        <v>30640.0</v>
      </c>
      <c r="DS46" s="12">
        <v>45150.0</v>
      </c>
      <c r="DT46" s="12">
        <v>26030.0</v>
      </c>
      <c r="DU46" s="16">
        <v>0.0</v>
      </c>
      <c r="DV46" s="15">
        <v>0.0</v>
      </c>
      <c r="DW46" s="12">
        <v>0.0</v>
      </c>
      <c r="DX46" s="12">
        <v>0.0</v>
      </c>
      <c r="DY46" s="16">
        <v>0.0</v>
      </c>
      <c r="DZ46" s="12">
        <v>858860.0</v>
      </c>
      <c r="EA46" s="12">
        <v>812070.0</v>
      </c>
      <c r="EB46" s="12">
        <v>729820.0</v>
      </c>
      <c r="EC46" s="12">
        <v>833730.0</v>
      </c>
      <c r="ED46" s="12">
        <v>756670.0</v>
      </c>
      <c r="EE46" s="23">
        <v>0.122</v>
      </c>
      <c r="EF46" s="23">
        <v>0.093</v>
      </c>
      <c r="EG46" s="23">
        <v>-1.0</v>
      </c>
      <c r="EH46" s="23">
        <v>-1.25</v>
      </c>
    </row>
    <row r="47">
      <c r="A47" s="9">
        <f t="shared" si="2"/>
        <v>45</v>
      </c>
      <c r="B47" s="22" t="s">
        <v>181</v>
      </c>
      <c r="C47" s="11">
        <v>61580.0</v>
      </c>
      <c r="D47" s="11">
        <v>70740.0</v>
      </c>
      <c r="E47" s="11">
        <v>36780.0</v>
      </c>
      <c r="F47" s="11">
        <v>42880.0</v>
      </c>
      <c r="G47" s="11">
        <v>22570.0</v>
      </c>
      <c r="H47" s="11">
        <v>24820.0</v>
      </c>
      <c r="I47" s="11">
        <v>6980.0</v>
      </c>
      <c r="J47" s="12"/>
      <c r="K47" s="12"/>
      <c r="L47" s="12"/>
      <c r="M47" s="11">
        <v>22860.0</v>
      </c>
      <c r="N47" s="11">
        <v>5390.0</v>
      </c>
      <c r="O47" s="11">
        <v>155650.0</v>
      </c>
      <c r="P47" s="11">
        <v>143860.0</v>
      </c>
      <c r="Q47" s="11">
        <v>123150.0</v>
      </c>
      <c r="R47" s="11">
        <v>83660.0</v>
      </c>
      <c r="S47" s="11">
        <v>42020.0</v>
      </c>
      <c r="T47" s="11">
        <v>124600.0</v>
      </c>
      <c r="U47" s="11">
        <v>116130.0</v>
      </c>
      <c r="V47" s="11">
        <v>94970.0</v>
      </c>
      <c r="W47" s="11">
        <v>57240.0</v>
      </c>
      <c r="X47" s="11">
        <v>22350.0</v>
      </c>
      <c r="Y47" s="11">
        <v>-134590.0</v>
      </c>
      <c r="Z47" s="11">
        <v>-103800.0</v>
      </c>
      <c r="AA47" s="11">
        <v>-107480.0</v>
      </c>
      <c r="AB47" s="11">
        <v>-87720.0</v>
      </c>
      <c r="AC47" s="11">
        <v>-40200.0</v>
      </c>
      <c r="AD47" s="11">
        <v>-162040.0</v>
      </c>
      <c r="AE47" s="11">
        <v>-120690.0</v>
      </c>
      <c r="AF47" s="11">
        <v>-127000.0</v>
      </c>
      <c r="AG47" s="11">
        <v>-93270.0</v>
      </c>
      <c r="AH47" s="11">
        <v>-42490.0</v>
      </c>
      <c r="AI47" s="11">
        <v>-118870.0</v>
      </c>
      <c r="AJ47" s="11">
        <v>-100980.0</v>
      </c>
      <c r="AK47" s="11">
        <v>-100580.0</v>
      </c>
      <c r="AL47" s="11">
        <v>-58840.0</v>
      </c>
      <c r="AM47" s="11">
        <v>-35040.0</v>
      </c>
      <c r="AN47" s="11">
        <v>-159690.0</v>
      </c>
      <c r="AO47" s="11">
        <v>-120690.0</v>
      </c>
      <c r="AP47" s="11">
        <v>-127000.0</v>
      </c>
      <c r="AQ47" s="11">
        <v>-87880.0</v>
      </c>
      <c r="AR47" s="11">
        <v>-42490.0</v>
      </c>
      <c r="AS47" s="11">
        <v>-131090.0</v>
      </c>
      <c r="AT47" s="11">
        <v>-94230.0</v>
      </c>
      <c r="AU47" s="11">
        <v>-79960.0</v>
      </c>
      <c r="AV47" s="11">
        <v>-47180.0</v>
      </c>
      <c r="AW47" s="11">
        <v>-38230.0</v>
      </c>
      <c r="AX47" s="11">
        <v>-3600.0</v>
      </c>
      <c r="AY47" s="11">
        <v>-3120.0</v>
      </c>
      <c r="AZ47" s="11">
        <v>-12520.0</v>
      </c>
      <c r="BA47" s="11">
        <v>-3590.0</v>
      </c>
      <c r="BB47" s="11">
        <v>-2820.0</v>
      </c>
      <c r="BC47" s="12"/>
      <c r="BD47" s="12"/>
      <c r="BE47" s="12"/>
      <c r="BF47" s="12"/>
      <c r="BG47" s="24">
        <v>-461.0</v>
      </c>
      <c r="BH47" s="11">
        <v>53050.0</v>
      </c>
      <c r="BI47" s="11">
        <v>60190.0</v>
      </c>
      <c r="BJ47" s="11">
        <v>76440.0</v>
      </c>
      <c r="BK47" s="11">
        <v>171670.0</v>
      </c>
      <c r="BL47" s="11">
        <v>40220.0</v>
      </c>
      <c r="BM47" s="11">
        <v>938.0</v>
      </c>
      <c r="BN47" s="11">
        <v>1130.0</v>
      </c>
      <c r="BO47" s="11">
        <v>11350.0</v>
      </c>
      <c r="BP47" s="11">
        <v>9800.0</v>
      </c>
      <c r="BQ47" s="12"/>
      <c r="BR47" s="11">
        <v>55.0</v>
      </c>
      <c r="BS47" s="11">
        <v>79.0</v>
      </c>
      <c r="BT47" s="11">
        <v>88.0</v>
      </c>
      <c r="BU47" s="11">
        <v>88.0</v>
      </c>
      <c r="BV47" s="11">
        <v>96.0</v>
      </c>
      <c r="BW47" s="11">
        <v>74810.0</v>
      </c>
      <c r="BX47" s="11">
        <v>73550.0</v>
      </c>
      <c r="BY47" s="11">
        <v>91310.0</v>
      </c>
      <c r="BZ47" s="11">
        <v>184100.0</v>
      </c>
      <c r="CA47" s="11">
        <v>42670.0</v>
      </c>
      <c r="CB47" s="11">
        <v>25120.0</v>
      </c>
      <c r="CC47" s="11">
        <v>26180.0</v>
      </c>
      <c r="CD47" s="11">
        <v>25630.0</v>
      </c>
      <c r="CE47" s="11">
        <v>15310.0</v>
      </c>
      <c r="CF47" s="11">
        <v>6000.0</v>
      </c>
      <c r="CG47" s="11">
        <v>22920.0</v>
      </c>
      <c r="CH47" s="11">
        <v>23050.0</v>
      </c>
      <c r="CI47" s="11">
        <v>22390.0</v>
      </c>
      <c r="CJ47" s="11">
        <v>22790.0</v>
      </c>
      <c r="CK47" s="12"/>
      <c r="CL47" s="11">
        <v>136400.0</v>
      </c>
      <c r="CM47" s="11">
        <v>138400.0</v>
      </c>
      <c r="CN47" s="11">
        <v>156990.0</v>
      </c>
      <c r="CO47" s="11">
        <v>242230.0</v>
      </c>
      <c r="CP47" s="11">
        <v>74530.0</v>
      </c>
      <c r="CQ47" s="11">
        <v>13620.0</v>
      </c>
      <c r="CR47" s="11">
        <v>8090.0</v>
      </c>
      <c r="CS47" s="11">
        <v>5430.0</v>
      </c>
      <c r="CT47" s="11">
        <v>4490.0</v>
      </c>
      <c r="CU47" s="11">
        <v>1710.0</v>
      </c>
      <c r="CV47" s="11">
        <v>68060.0</v>
      </c>
      <c r="CW47" s="12"/>
      <c r="CX47" s="12"/>
      <c r="CY47" s="12"/>
      <c r="CZ47" s="12"/>
      <c r="DA47" s="12"/>
      <c r="DB47" s="11">
        <v>68060.0</v>
      </c>
      <c r="DC47" s="11">
        <v>56440.0</v>
      </c>
      <c r="DD47" s="11">
        <v>40850.0</v>
      </c>
      <c r="DE47" s="11">
        <v>28930.0</v>
      </c>
      <c r="DF47" s="11">
        <v>271070.0</v>
      </c>
      <c r="DG47" s="11">
        <v>214220.0</v>
      </c>
      <c r="DH47" s="11">
        <v>196110.0</v>
      </c>
      <c r="DI47" s="11">
        <v>171500.0</v>
      </c>
      <c r="DJ47" s="11">
        <v>51510.0</v>
      </c>
      <c r="DK47" s="12"/>
      <c r="DL47" s="12"/>
      <c r="DM47" s="12"/>
      <c r="DN47" s="12"/>
      <c r="DO47" s="12"/>
      <c r="DP47" s="11">
        <v>13320.0</v>
      </c>
      <c r="DQ47" s="11">
        <v>111400.0</v>
      </c>
      <c r="DR47" s="11">
        <v>111720.0</v>
      </c>
      <c r="DS47" s="11">
        <v>114330.0</v>
      </c>
      <c r="DT47" s="11">
        <v>4770.0</v>
      </c>
      <c r="DU47" s="11">
        <v>39880.0</v>
      </c>
      <c r="DV47" s="24">
        <v>0.0</v>
      </c>
      <c r="DW47" s="24">
        <v>0.0</v>
      </c>
      <c r="DX47" s="24">
        <v>0.0</v>
      </c>
      <c r="DY47" s="24">
        <v>0.0</v>
      </c>
      <c r="DZ47" s="11">
        <v>-132590.0</v>
      </c>
      <c r="EA47" s="11">
        <v>-75820.0</v>
      </c>
      <c r="EB47" s="11">
        <v>-39130.0</v>
      </c>
      <c r="EC47" s="11">
        <v>70730.0</v>
      </c>
      <c r="ED47" s="11">
        <v>23020.0</v>
      </c>
      <c r="EE47" s="14">
        <v>0.109</v>
      </c>
      <c r="EF47" s="14">
        <v>0.66</v>
      </c>
      <c r="EG47" s="14">
        <v>-0.037</v>
      </c>
      <c r="EH47" s="14">
        <v>0.144</v>
      </c>
    </row>
    <row r="48">
      <c r="A48" s="9">
        <f t="shared" si="2"/>
        <v>46</v>
      </c>
      <c r="B48" s="10" t="s">
        <v>182</v>
      </c>
      <c r="C48" s="15">
        <v>185330.0</v>
      </c>
      <c r="D48" s="15">
        <v>173030.0</v>
      </c>
      <c r="E48" s="15">
        <v>170070.0</v>
      </c>
      <c r="F48" s="15">
        <v>178790.0</v>
      </c>
      <c r="G48" s="15">
        <v>164030.0</v>
      </c>
      <c r="H48" s="15">
        <v>159670.0</v>
      </c>
      <c r="I48" s="15">
        <v>163760.0</v>
      </c>
      <c r="J48" s="15">
        <v>43900.0</v>
      </c>
      <c r="K48" s="15">
        <v>86570.0</v>
      </c>
      <c r="L48" s="15">
        <v>89460.0</v>
      </c>
      <c r="M48" s="15">
        <v>59370.0</v>
      </c>
      <c r="N48" s="15">
        <v>27240.0</v>
      </c>
      <c r="O48" s="15">
        <v>64260.0</v>
      </c>
      <c r="P48" s="15">
        <v>78940.0</v>
      </c>
      <c r="Q48" s="15">
        <v>75330.0</v>
      </c>
      <c r="R48" s="15">
        <v>73460.0</v>
      </c>
      <c r="S48" s="15">
        <v>61000.0</v>
      </c>
      <c r="T48" s="15">
        <v>13610.0</v>
      </c>
      <c r="U48" s="15">
        <v>13870.0</v>
      </c>
      <c r="V48" s="15">
        <v>13780.0</v>
      </c>
      <c r="W48" s="15">
        <v>14770.0</v>
      </c>
      <c r="X48" s="15">
        <v>16860.0</v>
      </c>
      <c r="Y48" s="15">
        <v>-40760.0</v>
      </c>
      <c r="Z48" s="15">
        <v>7340.0</v>
      </c>
      <c r="AA48" s="15">
        <v>40780.0</v>
      </c>
      <c r="AB48" s="15">
        <v>-36850.0</v>
      </c>
      <c r="AC48" s="15">
        <v>-13270.0</v>
      </c>
      <c r="AD48" s="15">
        <v>-78650.0</v>
      </c>
      <c r="AE48" s="15">
        <v>-28400.0</v>
      </c>
      <c r="AF48" s="15">
        <v>18980.0</v>
      </c>
      <c r="AG48" s="15">
        <v>-98540.0</v>
      </c>
      <c r="AH48" s="15">
        <v>-36880.0</v>
      </c>
      <c r="AI48" s="15">
        <v>63100.0</v>
      </c>
      <c r="AJ48" s="15">
        <v>55170.0</v>
      </c>
      <c r="AK48" s="15">
        <v>57350.0</v>
      </c>
      <c r="AL48" s="15">
        <v>28760.0</v>
      </c>
      <c r="AM48" s="15">
        <v>378.0</v>
      </c>
      <c r="AN48" s="15">
        <v>-60830.0</v>
      </c>
      <c r="AO48" s="15">
        <v>-30060.0</v>
      </c>
      <c r="AP48" s="15">
        <v>23470.0</v>
      </c>
      <c r="AQ48" s="15">
        <v>-111560.0</v>
      </c>
      <c r="AR48" s="15">
        <v>-28490.0</v>
      </c>
      <c r="AS48" s="15">
        <v>20060.0</v>
      </c>
      <c r="AT48" s="15">
        <v>3010.0</v>
      </c>
      <c r="AU48" s="15">
        <v>35390.0</v>
      </c>
      <c r="AV48" s="15">
        <v>30480.0</v>
      </c>
      <c r="AW48" s="15">
        <v>13180.0</v>
      </c>
      <c r="AX48" s="15">
        <v>-4180.0</v>
      </c>
      <c r="AY48" s="15">
        <v>-4160.0</v>
      </c>
      <c r="AZ48" s="15">
        <v>-7730.0</v>
      </c>
      <c r="BA48" s="15">
        <v>-6000.0</v>
      </c>
      <c r="BB48" s="15">
        <v>-1190.0</v>
      </c>
      <c r="BC48" s="12"/>
      <c r="BD48" s="12"/>
      <c r="BE48" s="12"/>
      <c r="BF48" s="12"/>
      <c r="BG48" s="12"/>
      <c r="BH48" s="15">
        <v>29820.0</v>
      </c>
      <c r="BI48" s="15">
        <v>34850.0</v>
      </c>
      <c r="BJ48" s="15">
        <v>64530.0</v>
      </c>
      <c r="BK48" s="15">
        <v>77310.0</v>
      </c>
      <c r="BL48" s="15">
        <v>57770.0</v>
      </c>
      <c r="BM48" s="15">
        <v>73560.0</v>
      </c>
      <c r="BN48" s="15">
        <v>75800.0</v>
      </c>
      <c r="BO48" s="15">
        <v>85600.0</v>
      </c>
      <c r="BP48" s="15">
        <v>72980.0</v>
      </c>
      <c r="BQ48" s="15">
        <v>71520.0</v>
      </c>
      <c r="BR48" s="15">
        <v>22620.0</v>
      </c>
      <c r="BS48" s="15">
        <v>24810.0</v>
      </c>
      <c r="BT48" s="15">
        <v>24110.0</v>
      </c>
      <c r="BU48" s="15">
        <v>15470.0</v>
      </c>
      <c r="BV48" s="15">
        <v>44180.0</v>
      </c>
      <c r="BW48" s="15">
        <v>132350.0</v>
      </c>
      <c r="BX48" s="15">
        <v>143210.0</v>
      </c>
      <c r="BY48" s="15">
        <v>178840.0</v>
      </c>
      <c r="BZ48" s="15">
        <v>170500.0</v>
      </c>
      <c r="CA48" s="15">
        <v>180660.0</v>
      </c>
      <c r="CB48" s="15">
        <v>19780.0</v>
      </c>
      <c r="CC48" s="15">
        <v>13290.0</v>
      </c>
      <c r="CD48" s="15">
        <v>12200.0</v>
      </c>
      <c r="CE48" s="15">
        <v>8050.0</v>
      </c>
      <c r="CF48" s="15">
        <v>4610.0</v>
      </c>
      <c r="CG48" s="15">
        <v>6320.0</v>
      </c>
      <c r="CH48" s="15">
        <v>6670.0</v>
      </c>
      <c r="CI48" s="15">
        <v>9400.0</v>
      </c>
      <c r="CJ48" s="12"/>
      <c r="CK48" s="15">
        <v>56010.0</v>
      </c>
      <c r="CL48" s="15">
        <v>805690.0</v>
      </c>
      <c r="CM48" s="15">
        <v>899290.0</v>
      </c>
      <c r="CN48" s="15">
        <v>983260.0</v>
      </c>
      <c r="CO48" s="15">
        <v>965840.0</v>
      </c>
      <c r="CP48" s="15">
        <v>1080000.0</v>
      </c>
      <c r="CQ48" s="15">
        <v>15110.0</v>
      </c>
      <c r="CR48" s="15">
        <v>7530.0</v>
      </c>
      <c r="CS48" s="15">
        <v>15010.0</v>
      </c>
      <c r="CT48" s="15">
        <v>12130.0</v>
      </c>
      <c r="CU48" s="15">
        <v>13920.0</v>
      </c>
      <c r="CV48" s="15">
        <v>49780.0</v>
      </c>
      <c r="CW48" s="15">
        <v>1490.0</v>
      </c>
      <c r="CX48" s="12"/>
      <c r="CY48" s="15">
        <v>5060.0</v>
      </c>
      <c r="CZ48" s="13"/>
      <c r="DA48" s="12"/>
      <c r="DB48" s="15">
        <v>49780.0</v>
      </c>
      <c r="DC48" s="15">
        <v>64100.0</v>
      </c>
      <c r="DD48" s="15">
        <v>94680.0</v>
      </c>
      <c r="DE48" s="15">
        <v>96870.0</v>
      </c>
      <c r="DF48" s="15">
        <v>471660.0</v>
      </c>
      <c r="DG48" s="15">
        <v>526710.0</v>
      </c>
      <c r="DH48" s="15">
        <v>567180.0</v>
      </c>
      <c r="DI48" s="15">
        <v>630700.0</v>
      </c>
      <c r="DJ48" s="15">
        <v>638770.0</v>
      </c>
      <c r="DK48" s="12"/>
      <c r="DL48" s="12"/>
      <c r="DM48" s="12"/>
      <c r="DN48" s="12"/>
      <c r="DO48" s="13"/>
      <c r="DP48" s="15">
        <v>403400.0</v>
      </c>
      <c r="DQ48" s="15">
        <v>400310.0</v>
      </c>
      <c r="DR48" s="15">
        <v>402870.0</v>
      </c>
      <c r="DS48" s="15">
        <v>393000.0</v>
      </c>
      <c r="DT48" s="15">
        <v>406290.0</v>
      </c>
      <c r="DU48" s="13"/>
      <c r="DV48" s="12"/>
      <c r="DW48" s="12"/>
      <c r="DX48" s="12"/>
      <c r="DY48" s="13"/>
      <c r="DZ48" s="15">
        <v>326450.0</v>
      </c>
      <c r="EA48" s="15">
        <v>364310.0</v>
      </c>
      <c r="EB48" s="15">
        <v>407640.0</v>
      </c>
      <c r="EC48" s="15">
        <v>335150.0</v>
      </c>
      <c r="ED48" s="15">
        <v>443900.0</v>
      </c>
      <c r="EE48" s="17">
        <v>0.035</v>
      </c>
      <c r="EF48" s="17">
        <v>0.043</v>
      </c>
      <c r="EG48" s="17">
        <v>0.467</v>
      </c>
      <c r="EH48" s="17">
        <v>-1.389</v>
      </c>
    </row>
    <row r="49">
      <c r="A49" s="9">
        <f t="shared" si="2"/>
        <v>47</v>
      </c>
      <c r="B49" s="10" t="s">
        <v>183</v>
      </c>
      <c r="C49" s="15">
        <v>659600.0</v>
      </c>
      <c r="D49" s="15">
        <v>537230.0</v>
      </c>
      <c r="E49" s="15">
        <v>906400.0</v>
      </c>
      <c r="F49" s="15">
        <v>844830.0</v>
      </c>
      <c r="G49" s="15">
        <v>704560.0</v>
      </c>
      <c r="H49" s="15">
        <v>638880.0</v>
      </c>
      <c r="I49" s="15">
        <v>454310.0</v>
      </c>
      <c r="J49" s="15">
        <v>201950.0</v>
      </c>
      <c r="K49" s="15">
        <v>-2070.0</v>
      </c>
      <c r="L49" s="15">
        <v>97480.0</v>
      </c>
      <c r="M49" s="15">
        <v>60550.0</v>
      </c>
      <c r="N49" s="15">
        <v>-50660.0</v>
      </c>
      <c r="O49" s="15">
        <v>38480.0</v>
      </c>
      <c r="P49" s="15">
        <v>31110.0</v>
      </c>
      <c r="Q49" s="15">
        <v>28170.0</v>
      </c>
      <c r="R49" s="15">
        <v>35110.0</v>
      </c>
      <c r="S49" s="15">
        <v>31860.0</v>
      </c>
      <c r="T49" s="15">
        <v>0.0</v>
      </c>
      <c r="U49" s="15">
        <v>0.0</v>
      </c>
      <c r="V49" s="15">
        <v>0.0</v>
      </c>
      <c r="W49" s="15">
        <v>0.0</v>
      </c>
      <c r="X49" s="15">
        <v>0.0</v>
      </c>
      <c r="Y49" s="15">
        <v>162680.0</v>
      </c>
      <c r="Z49" s="15">
        <v>0.0</v>
      </c>
      <c r="AA49" s="15">
        <v>-43090.0</v>
      </c>
      <c r="AB49" s="15">
        <v>40150.0</v>
      </c>
      <c r="AC49" s="15">
        <v>-658490.0</v>
      </c>
      <c r="AD49" s="15">
        <v>171040.0</v>
      </c>
      <c r="AE49" s="15">
        <v>-49770.0</v>
      </c>
      <c r="AF49" s="15">
        <v>28820.0</v>
      </c>
      <c r="AG49" s="15">
        <v>-10070.0</v>
      </c>
      <c r="AH49" s="15">
        <v>-714790.0</v>
      </c>
      <c r="AI49" s="15">
        <v>386130.0</v>
      </c>
      <c r="AJ49" s="15">
        <v>186650.0</v>
      </c>
      <c r="AK49" s="15">
        <v>235720.0</v>
      </c>
      <c r="AL49" s="15">
        <v>185890.0</v>
      </c>
      <c r="AM49" s="15">
        <v>69470.0</v>
      </c>
      <c r="AN49" s="15">
        <v>127510.0</v>
      </c>
      <c r="AO49" s="15">
        <v>-94100.0</v>
      </c>
      <c r="AP49" s="15">
        <v>34530.0</v>
      </c>
      <c r="AQ49" s="15">
        <v>-23720.0</v>
      </c>
      <c r="AR49" s="15">
        <v>-651070.0</v>
      </c>
      <c r="AS49" s="15">
        <v>343930.0</v>
      </c>
      <c r="AT49" s="15">
        <v>276210.0</v>
      </c>
      <c r="AU49" s="15">
        <v>196390.0</v>
      </c>
      <c r="AV49" s="15">
        <v>147460.0</v>
      </c>
      <c r="AW49" s="15">
        <v>45550.0</v>
      </c>
      <c r="AX49" s="15">
        <v>-349770.0</v>
      </c>
      <c r="AY49" s="15">
        <v>-287100.0</v>
      </c>
      <c r="AZ49" s="15">
        <v>-210930.0</v>
      </c>
      <c r="BA49" s="15">
        <v>-194100.0</v>
      </c>
      <c r="BB49" s="15">
        <v>-208670.0</v>
      </c>
      <c r="BC49" s="15">
        <v>-20700.0</v>
      </c>
      <c r="BD49" s="15">
        <v>-10110.0</v>
      </c>
      <c r="BE49" s="15">
        <v>-7790.0</v>
      </c>
      <c r="BF49" s="15">
        <v>-7150.0</v>
      </c>
      <c r="BG49" s="15">
        <v>-13560.0</v>
      </c>
      <c r="BH49" s="15">
        <v>266610.0</v>
      </c>
      <c r="BI49" s="15">
        <v>292010.0</v>
      </c>
      <c r="BJ49" s="15">
        <v>296450.0</v>
      </c>
      <c r="BK49" s="15">
        <v>357120.0</v>
      </c>
      <c r="BL49" s="15">
        <v>402280.0</v>
      </c>
      <c r="BM49" s="15">
        <v>54460.0</v>
      </c>
      <c r="BN49" s="15">
        <v>64880.0</v>
      </c>
      <c r="BO49" s="15">
        <v>51370.0</v>
      </c>
      <c r="BP49" s="15">
        <v>60210.0</v>
      </c>
      <c r="BQ49" s="15">
        <v>81540.0</v>
      </c>
      <c r="BR49" s="15">
        <v>164560.0</v>
      </c>
      <c r="BS49" s="15">
        <v>150510.0</v>
      </c>
      <c r="BT49" s="15">
        <v>201980.0</v>
      </c>
      <c r="BU49" s="15">
        <v>176620.0</v>
      </c>
      <c r="BV49" s="15">
        <v>175170.0</v>
      </c>
      <c r="BW49" s="15">
        <v>511310.0</v>
      </c>
      <c r="BX49" s="15">
        <v>528560.0</v>
      </c>
      <c r="BY49" s="15">
        <v>567840.0</v>
      </c>
      <c r="BZ49" s="15">
        <v>609510.0</v>
      </c>
      <c r="CA49" s="15">
        <v>671210.0</v>
      </c>
      <c r="CB49" s="15">
        <v>3800000.0</v>
      </c>
      <c r="CC49" s="15">
        <v>3840000.0</v>
      </c>
      <c r="CD49" s="15">
        <v>3050000.0</v>
      </c>
      <c r="CE49" s="15">
        <v>2200000.0</v>
      </c>
      <c r="CF49" s="15">
        <v>2250000.0</v>
      </c>
      <c r="CG49" s="15">
        <v>0.0</v>
      </c>
      <c r="CH49" s="15">
        <v>0.0</v>
      </c>
      <c r="CI49" s="15">
        <v>0.0</v>
      </c>
      <c r="CJ49" s="15">
        <v>0.0</v>
      </c>
      <c r="CK49" s="15">
        <v>0.0</v>
      </c>
      <c r="CL49" s="15">
        <v>4400000.0</v>
      </c>
      <c r="CM49" s="15">
        <v>4470000.0</v>
      </c>
      <c r="CN49" s="15">
        <v>4160000.0</v>
      </c>
      <c r="CO49" s="15">
        <v>3340000.0</v>
      </c>
      <c r="CP49" s="15">
        <v>3420000.0</v>
      </c>
      <c r="CQ49" s="15">
        <v>159110.0</v>
      </c>
      <c r="CR49" s="15">
        <v>167170.0</v>
      </c>
      <c r="CS49" s="15">
        <v>115520.0</v>
      </c>
      <c r="CT49" s="15">
        <v>106210.0</v>
      </c>
      <c r="CU49" s="15">
        <v>119180.0</v>
      </c>
      <c r="CV49" s="15">
        <v>165080.0</v>
      </c>
      <c r="CW49" s="15">
        <v>0.0</v>
      </c>
      <c r="CX49" s="16">
        <v>0.0</v>
      </c>
      <c r="CY49" s="16">
        <v>0.0</v>
      </c>
      <c r="CZ49" s="16">
        <v>0.0</v>
      </c>
      <c r="DA49" s="15">
        <v>0.0</v>
      </c>
      <c r="DB49" s="15">
        <v>165080.0</v>
      </c>
      <c r="DC49" s="15">
        <v>180150.0</v>
      </c>
      <c r="DD49" s="15">
        <v>141830.0</v>
      </c>
      <c r="DE49" s="15">
        <v>133570.0</v>
      </c>
      <c r="DF49" s="15">
        <v>909280.0</v>
      </c>
      <c r="DG49" s="15">
        <v>914950.0</v>
      </c>
      <c r="DH49" s="15">
        <v>800760.0</v>
      </c>
      <c r="DI49" s="15">
        <v>982720.0</v>
      </c>
      <c r="DJ49" s="15">
        <v>1030000.0</v>
      </c>
      <c r="DK49" s="15">
        <v>0.0</v>
      </c>
      <c r="DL49" s="15">
        <v>0.0</v>
      </c>
      <c r="DM49" s="15">
        <v>0.0</v>
      </c>
      <c r="DN49" s="15">
        <v>0.0</v>
      </c>
      <c r="DO49" s="15">
        <v>0.0</v>
      </c>
      <c r="DP49" s="15">
        <v>0.0</v>
      </c>
      <c r="DQ49" s="15">
        <v>0.0</v>
      </c>
      <c r="DR49" s="15">
        <v>0.0</v>
      </c>
      <c r="DS49" s="15">
        <v>404060.0</v>
      </c>
      <c r="DT49" s="15">
        <v>437570.0</v>
      </c>
      <c r="DU49" s="16">
        <v>0.0</v>
      </c>
      <c r="DV49" s="15">
        <v>0.0</v>
      </c>
      <c r="DW49" s="15">
        <v>0.0</v>
      </c>
      <c r="DX49" s="15">
        <v>0.0</v>
      </c>
      <c r="DY49" s="16">
        <v>0.0</v>
      </c>
      <c r="DZ49" s="15">
        <v>3500000.0</v>
      </c>
      <c r="EA49" s="15">
        <v>3550000.0</v>
      </c>
      <c r="EB49" s="15">
        <v>3360000.0</v>
      </c>
      <c r="EC49" s="15">
        <v>2360000.0</v>
      </c>
      <c r="ED49" s="15">
        <v>2400000.0</v>
      </c>
      <c r="EE49" s="17">
        <v>0.049</v>
      </c>
      <c r="EF49" s="17">
        <v>0.246</v>
      </c>
      <c r="EG49" s="17">
        <v>1.0</v>
      </c>
      <c r="EH49" s="17">
        <v>1.333</v>
      </c>
    </row>
    <row r="50">
      <c r="A50" s="9">
        <f t="shared" si="2"/>
        <v>48</v>
      </c>
      <c r="B50" s="22" t="s">
        <v>184</v>
      </c>
      <c r="C50" s="11">
        <v>265430.0</v>
      </c>
      <c r="D50" s="11">
        <v>205170.0</v>
      </c>
      <c r="E50" s="11">
        <v>117910.0</v>
      </c>
      <c r="F50" s="11">
        <v>94390.0</v>
      </c>
      <c r="G50" s="11">
        <v>43010.0</v>
      </c>
      <c r="H50" s="11">
        <v>69890.0</v>
      </c>
      <c r="I50" s="11">
        <v>59120.0</v>
      </c>
      <c r="J50" s="11">
        <v>99980.0</v>
      </c>
      <c r="K50" s="11">
        <v>85820.0</v>
      </c>
      <c r="L50" s="12"/>
      <c r="M50" s="12"/>
      <c r="N50" s="12"/>
      <c r="O50" s="11">
        <v>526310.0</v>
      </c>
      <c r="P50" s="11">
        <v>448300.0</v>
      </c>
      <c r="Q50" s="11">
        <v>357370.0</v>
      </c>
      <c r="R50" s="11">
        <v>265170.0</v>
      </c>
      <c r="S50" s="11">
        <v>174480.0</v>
      </c>
      <c r="T50" s="11">
        <v>402810.0</v>
      </c>
      <c r="U50" s="11">
        <v>341320.0</v>
      </c>
      <c r="V50" s="11">
        <v>292680.0</v>
      </c>
      <c r="W50" s="11">
        <v>220160.0</v>
      </c>
      <c r="X50" s="11">
        <v>141830.0</v>
      </c>
      <c r="Y50" s="12"/>
      <c r="Z50" s="12"/>
      <c r="AA50" s="12"/>
      <c r="AB50" s="12"/>
      <c r="AC50" s="12"/>
      <c r="AD50" s="11">
        <v>-411470.0</v>
      </c>
      <c r="AE50" s="11">
        <v>-346030.0</v>
      </c>
      <c r="AF50" s="11">
        <v>-314670.0</v>
      </c>
      <c r="AG50" s="11">
        <v>-198470.0</v>
      </c>
      <c r="AH50" s="11">
        <v>-117730.0</v>
      </c>
      <c r="AI50" s="11">
        <v>-409710.0</v>
      </c>
      <c r="AJ50" s="11">
        <v>-355310.0</v>
      </c>
      <c r="AK50" s="11">
        <v>-314360.0</v>
      </c>
      <c r="AL50" s="11">
        <v>-195280.0</v>
      </c>
      <c r="AM50" s="11">
        <v>-115360.0</v>
      </c>
      <c r="AN50" s="11">
        <v>-411470.0</v>
      </c>
      <c r="AO50" s="11">
        <v>-346030.0</v>
      </c>
      <c r="AP50" s="11">
        <v>-314670.0</v>
      </c>
      <c r="AQ50" s="11">
        <v>-198470.0</v>
      </c>
      <c r="AR50" s="11">
        <v>-117730.0</v>
      </c>
      <c r="AS50" s="11">
        <v>-363760.0</v>
      </c>
      <c r="AT50" s="11">
        <v>-304420.0</v>
      </c>
      <c r="AU50" s="11">
        <v>-285230.0</v>
      </c>
      <c r="AV50" s="11">
        <v>38560.0</v>
      </c>
      <c r="AW50" s="11">
        <v>-76950.0</v>
      </c>
      <c r="AX50" s="11">
        <v>-12170.0</v>
      </c>
      <c r="AY50" s="11">
        <v>-6990.0</v>
      </c>
      <c r="AZ50" s="11">
        <v>-4630.0</v>
      </c>
      <c r="BA50" s="11">
        <v>-9920.0</v>
      </c>
      <c r="BB50" s="11">
        <v>-20160.0</v>
      </c>
      <c r="BC50" s="12"/>
      <c r="BD50" s="12"/>
      <c r="BE50" s="12"/>
      <c r="BF50" s="12"/>
      <c r="BG50" s="12"/>
      <c r="BH50" s="11">
        <v>564880.0</v>
      </c>
      <c r="BI50" s="11">
        <v>585300.0</v>
      </c>
      <c r="BJ50" s="11">
        <v>423940.0</v>
      </c>
      <c r="BK50" s="11">
        <v>541310.0</v>
      </c>
      <c r="BL50" s="11">
        <v>317000.0</v>
      </c>
      <c r="BM50" s="11">
        <v>15320.0</v>
      </c>
      <c r="BN50" s="11">
        <v>10440.0</v>
      </c>
      <c r="BO50" s="11">
        <v>3840.0</v>
      </c>
      <c r="BP50" s="11">
        <v>8310.0</v>
      </c>
      <c r="BQ50" s="11">
        <v>11600.0</v>
      </c>
      <c r="BR50" s="11">
        <v>7330.0</v>
      </c>
      <c r="BS50" s="11">
        <v>869.0</v>
      </c>
      <c r="BT50" s="12"/>
      <c r="BU50" s="12"/>
      <c r="BV50" s="12"/>
      <c r="BW50" s="11">
        <v>611700.0</v>
      </c>
      <c r="BX50" s="11">
        <v>613780.0</v>
      </c>
      <c r="BY50" s="11">
        <v>445260.0</v>
      </c>
      <c r="BZ50" s="11">
        <v>559890.0</v>
      </c>
      <c r="CA50" s="11">
        <v>337330.0</v>
      </c>
      <c r="CB50" s="11">
        <v>126110.0</v>
      </c>
      <c r="CC50" s="11">
        <v>24320.0</v>
      </c>
      <c r="CD50" s="11">
        <v>24430.0</v>
      </c>
      <c r="CE50" s="11">
        <v>25340.0</v>
      </c>
      <c r="CF50" s="11">
        <v>23220.0</v>
      </c>
      <c r="CG50" s="12"/>
      <c r="CH50" s="12"/>
      <c r="CI50" s="12"/>
      <c r="CJ50" s="12"/>
      <c r="CK50" s="12"/>
      <c r="CL50" s="11">
        <v>890740.0</v>
      </c>
      <c r="CM50" s="11">
        <v>858460.0</v>
      </c>
      <c r="CN50" s="11">
        <v>614400.0</v>
      </c>
      <c r="CO50" s="11">
        <v>619090.0</v>
      </c>
      <c r="CP50" s="11">
        <v>420070.0</v>
      </c>
      <c r="CQ50" s="11">
        <v>21900.0</v>
      </c>
      <c r="CR50" s="11">
        <v>17880.0</v>
      </c>
      <c r="CS50" s="11">
        <v>22770.0</v>
      </c>
      <c r="CT50" s="11">
        <v>17110.0</v>
      </c>
      <c r="CU50" s="11">
        <v>14750.0</v>
      </c>
      <c r="CV50" s="11">
        <v>92890.0</v>
      </c>
      <c r="CW50" s="11">
        <v>6640.0</v>
      </c>
      <c r="CX50" s="12"/>
      <c r="CY50" s="12"/>
      <c r="CZ50" s="12"/>
      <c r="DA50" s="12"/>
      <c r="DB50" s="11">
        <v>92890.0</v>
      </c>
      <c r="DC50" s="11">
        <v>93500.0</v>
      </c>
      <c r="DD50" s="11">
        <v>94940.0</v>
      </c>
      <c r="DE50" s="11">
        <v>88430.0</v>
      </c>
      <c r="DF50" s="11">
        <v>250210.0</v>
      </c>
      <c r="DG50" s="11">
        <v>170920.0</v>
      </c>
      <c r="DH50" s="11">
        <v>238890.0</v>
      </c>
      <c r="DI50" s="11">
        <v>260500.0</v>
      </c>
      <c r="DJ50" s="11">
        <v>74950.0</v>
      </c>
      <c r="DK50" s="11">
        <v>152930.0</v>
      </c>
      <c r="DL50" s="11">
        <v>220120.0</v>
      </c>
      <c r="DM50" s="11">
        <v>143810.0</v>
      </c>
      <c r="DN50" s="11">
        <v>32250.0</v>
      </c>
      <c r="DO50" s="11">
        <v>58910.0</v>
      </c>
      <c r="DP50" s="11">
        <v>106750.0</v>
      </c>
      <c r="DQ50" s="12"/>
      <c r="DR50" s="12"/>
      <c r="DS50" s="12"/>
      <c r="DT50" s="12"/>
      <c r="DU50" s="13"/>
      <c r="DV50" s="12"/>
      <c r="DW50" s="12"/>
      <c r="DX50" s="13"/>
      <c r="DY50" s="13"/>
      <c r="DZ50" s="11">
        <v>640530.0</v>
      </c>
      <c r="EA50" s="11">
        <v>687540.0</v>
      </c>
      <c r="EB50" s="11">
        <v>375500.0</v>
      </c>
      <c r="EC50" s="11">
        <v>358590.0</v>
      </c>
      <c r="ED50" s="11">
        <v>345120.0</v>
      </c>
      <c r="EE50" s="14">
        <v>0.294</v>
      </c>
      <c r="EF50" s="14">
        <v>3.018</v>
      </c>
      <c r="EG50" s="14">
        <v>0.044</v>
      </c>
      <c r="EH50" s="14">
        <v>0.189</v>
      </c>
    </row>
    <row r="51">
      <c r="A51" s="9">
        <f t="shared" si="2"/>
        <v>49</v>
      </c>
      <c r="B51" s="22" t="s">
        <v>185</v>
      </c>
      <c r="C51" s="12"/>
      <c r="D51" s="12"/>
      <c r="E51" s="12"/>
      <c r="F51" s="11">
        <v>3890.0</v>
      </c>
      <c r="G51" s="11">
        <v>5210.0</v>
      </c>
      <c r="H51" s="11">
        <v>4630.0</v>
      </c>
      <c r="I51" s="11">
        <v>6090.0</v>
      </c>
      <c r="J51" s="11">
        <v>-901.0</v>
      </c>
      <c r="K51" s="12"/>
      <c r="L51" s="12"/>
      <c r="M51" s="12"/>
      <c r="N51" s="11">
        <v>6000.0</v>
      </c>
      <c r="O51" s="11">
        <v>79430.0</v>
      </c>
      <c r="P51" s="11">
        <v>49060.0</v>
      </c>
      <c r="Q51" s="11">
        <v>32630.0</v>
      </c>
      <c r="R51" s="11">
        <v>26400.0</v>
      </c>
      <c r="S51" s="11">
        <v>17310.0</v>
      </c>
      <c r="T51" s="11">
        <v>64600.0</v>
      </c>
      <c r="U51" s="11">
        <v>36720.0</v>
      </c>
      <c r="V51" s="11">
        <v>22820.0</v>
      </c>
      <c r="W51" s="11">
        <v>18140.0</v>
      </c>
      <c r="X51" s="11">
        <v>11450.0</v>
      </c>
      <c r="Y51" s="12"/>
      <c r="Z51" s="12"/>
      <c r="AA51" s="12"/>
      <c r="AB51" s="12"/>
      <c r="AC51" s="12"/>
      <c r="AD51" s="11">
        <v>-78250.0</v>
      </c>
      <c r="AE51" s="11">
        <v>-44350.0</v>
      </c>
      <c r="AF51" s="11">
        <v>-27240.0</v>
      </c>
      <c r="AG51" s="11">
        <v>-21700.0</v>
      </c>
      <c r="AH51" s="11">
        <v>-11300.0</v>
      </c>
      <c r="AI51" s="11">
        <v>-79430.0</v>
      </c>
      <c r="AJ51" s="11">
        <v>-45170.0</v>
      </c>
      <c r="AK51" s="11">
        <v>-27430.0</v>
      </c>
      <c r="AL51" s="11">
        <v>-21770.0</v>
      </c>
      <c r="AM51" s="11">
        <v>-11230.0</v>
      </c>
      <c r="AN51" s="11">
        <v>-78250.0</v>
      </c>
      <c r="AO51" s="11">
        <v>-44350.0</v>
      </c>
      <c r="AP51" s="11">
        <v>-27240.0</v>
      </c>
      <c r="AQ51" s="11">
        <v>-21700.0</v>
      </c>
      <c r="AR51" s="11">
        <v>-11300.0</v>
      </c>
      <c r="AS51" s="11">
        <v>-65430.0</v>
      </c>
      <c r="AT51" s="11">
        <v>-32190.0</v>
      </c>
      <c r="AU51" s="11">
        <v>-24620.0</v>
      </c>
      <c r="AV51" s="11">
        <v>-18840.0</v>
      </c>
      <c r="AW51" s="11">
        <v>-10980.0</v>
      </c>
      <c r="AX51" s="11">
        <v>-1490.0</v>
      </c>
      <c r="AY51" s="11">
        <v>-422.0</v>
      </c>
      <c r="AZ51" s="11">
        <v>-619.0</v>
      </c>
      <c r="BA51" s="11">
        <v>-212.0</v>
      </c>
      <c r="BB51" s="11">
        <v>-208.0</v>
      </c>
      <c r="BC51" s="12"/>
      <c r="BD51" s="12"/>
      <c r="BE51" s="12"/>
      <c r="BF51" s="12"/>
      <c r="BG51" s="12"/>
      <c r="BH51" s="11">
        <v>71950.0</v>
      </c>
      <c r="BI51" s="11">
        <v>74510.0</v>
      </c>
      <c r="BJ51" s="11">
        <v>50300.0</v>
      </c>
      <c r="BK51" s="11">
        <v>63500.0</v>
      </c>
      <c r="BL51" s="11">
        <v>33140.0</v>
      </c>
      <c r="BM51" s="12"/>
      <c r="BN51" s="11">
        <v>300.0</v>
      </c>
      <c r="BO51" s="11">
        <v>3080.0</v>
      </c>
      <c r="BP51" s="11">
        <v>1220.0</v>
      </c>
      <c r="BQ51" s="11">
        <v>1700.0</v>
      </c>
      <c r="BR51" s="12"/>
      <c r="BS51" s="12"/>
      <c r="BT51" s="12"/>
      <c r="BU51" s="12"/>
      <c r="BV51" s="12"/>
      <c r="BW51" s="11">
        <v>74510.0</v>
      </c>
      <c r="BX51" s="11">
        <v>76670.0</v>
      </c>
      <c r="BY51" s="11">
        <v>54990.0</v>
      </c>
      <c r="BZ51" s="11">
        <v>66420.0</v>
      </c>
      <c r="CA51" s="11">
        <v>35750.0</v>
      </c>
      <c r="CB51" s="11">
        <v>7170.0</v>
      </c>
      <c r="CC51" s="11">
        <v>1020.0</v>
      </c>
      <c r="CD51" s="11">
        <v>854.0</v>
      </c>
      <c r="CE51" s="11">
        <v>599.0</v>
      </c>
      <c r="CF51" s="11">
        <v>348.0</v>
      </c>
      <c r="CG51" s="12"/>
      <c r="CH51" s="12"/>
      <c r="CI51" s="12"/>
      <c r="CJ51" s="12"/>
      <c r="CK51" s="12"/>
      <c r="CL51" s="11">
        <v>83180.0</v>
      </c>
      <c r="CM51" s="11">
        <v>77740.0</v>
      </c>
      <c r="CN51" s="11">
        <v>56080.0</v>
      </c>
      <c r="CO51" s="11">
        <v>67060.0</v>
      </c>
      <c r="CP51" s="11">
        <v>38650.0</v>
      </c>
      <c r="CQ51" s="11">
        <v>3150.0</v>
      </c>
      <c r="CR51" s="11">
        <v>663.0</v>
      </c>
      <c r="CS51" s="11">
        <v>389.0</v>
      </c>
      <c r="CT51" s="11">
        <v>168.0</v>
      </c>
      <c r="CU51" s="11">
        <v>176.0</v>
      </c>
      <c r="CV51" s="11">
        <v>18360.0</v>
      </c>
      <c r="CW51" s="11">
        <v>351.0</v>
      </c>
      <c r="CX51" s="12"/>
      <c r="CY51" s="12"/>
      <c r="CZ51" s="12"/>
      <c r="DA51" s="12"/>
      <c r="DB51" s="11">
        <v>18360.0</v>
      </c>
      <c r="DC51" s="11">
        <v>10240.0</v>
      </c>
      <c r="DD51" s="11">
        <v>5630.0</v>
      </c>
      <c r="DE51" s="11">
        <v>3970.0</v>
      </c>
      <c r="DF51" s="11">
        <v>23100.0</v>
      </c>
      <c r="DG51" s="11">
        <v>10310.0</v>
      </c>
      <c r="DH51" s="11">
        <v>5740.0</v>
      </c>
      <c r="DI51" s="11">
        <v>4100.0</v>
      </c>
      <c r="DJ51" s="11">
        <v>2550.0</v>
      </c>
      <c r="DK51" s="11">
        <v>1500.0</v>
      </c>
      <c r="DL51" s="12"/>
      <c r="DM51" s="12"/>
      <c r="DN51" s="12"/>
      <c r="DO51" s="12"/>
      <c r="DP51" s="11">
        <v>4740.0</v>
      </c>
      <c r="DQ51" s="12"/>
      <c r="DR51" s="12"/>
      <c r="DS51" s="12"/>
      <c r="DT51" s="12"/>
      <c r="DU51" s="13"/>
      <c r="DV51" s="12"/>
      <c r="DW51" s="12"/>
      <c r="DX51" s="13"/>
      <c r="DY51" s="11">
        <v>58310.0</v>
      </c>
      <c r="DZ51" s="11">
        <v>60080.0</v>
      </c>
      <c r="EA51" s="11">
        <v>67430.0</v>
      </c>
      <c r="EB51" s="11">
        <v>50340.0</v>
      </c>
      <c r="EC51" s="11">
        <v>62970.0</v>
      </c>
      <c r="ED51" s="11">
        <v>36100.0</v>
      </c>
      <c r="EE51" s="23"/>
      <c r="EF51" s="23"/>
      <c r="EG51" s="14">
        <v>0.091</v>
      </c>
      <c r="EH51" s="14">
        <v>0.009</v>
      </c>
    </row>
    <row r="52">
      <c r="A52" s="9">
        <f t="shared" si="2"/>
        <v>50</v>
      </c>
      <c r="B52" s="10" t="s">
        <v>186</v>
      </c>
      <c r="C52" s="15">
        <v>783300.0</v>
      </c>
      <c r="D52" s="15">
        <v>887140.0</v>
      </c>
      <c r="E52" s="15">
        <v>815440.0</v>
      </c>
      <c r="F52" s="15">
        <v>725140.0</v>
      </c>
      <c r="G52" s="15">
        <v>933180.0</v>
      </c>
      <c r="H52" s="15">
        <v>869240.0</v>
      </c>
      <c r="I52" s="15">
        <v>674310.0</v>
      </c>
      <c r="J52" s="15">
        <v>122650.0</v>
      </c>
      <c r="K52" s="15">
        <v>88130.0</v>
      </c>
      <c r="L52" s="15">
        <v>168360.0</v>
      </c>
      <c r="M52" s="15">
        <v>179110.0</v>
      </c>
      <c r="N52" s="15">
        <v>124690.0</v>
      </c>
      <c r="O52" s="15">
        <v>150080.0</v>
      </c>
      <c r="P52" s="15">
        <v>135860.0</v>
      </c>
      <c r="Q52" s="15">
        <v>143580.0</v>
      </c>
      <c r="R52" s="15">
        <v>123890.0</v>
      </c>
      <c r="S52" s="15">
        <v>110680.0</v>
      </c>
      <c r="T52" s="12"/>
      <c r="U52" s="12"/>
      <c r="V52" s="12"/>
      <c r="W52" s="12"/>
      <c r="X52" s="12"/>
      <c r="Y52" s="15">
        <v>21450.0</v>
      </c>
      <c r="Z52" s="15">
        <v>6730.0</v>
      </c>
      <c r="AA52" s="15">
        <v>105910.0</v>
      </c>
      <c r="AB52" s="15">
        <v>80380.0</v>
      </c>
      <c r="AC52" s="15">
        <v>38030.0</v>
      </c>
      <c r="AD52" s="15">
        <v>21160.0</v>
      </c>
      <c r="AE52" s="15">
        <v>-24260.0</v>
      </c>
      <c r="AF52" s="15">
        <v>5680.0</v>
      </c>
      <c r="AG52" s="15">
        <v>13130.0</v>
      </c>
      <c r="AH52" s="15">
        <v>-9620.0</v>
      </c>
      <c r="AI52" s="15">
        <v>154850.0</v>
      </c>
      <c r="AJ52" s="15">
        <v>103380.0</v>
      </c>
      <c r="AK52" s="15">
        <v>175790.0</v>
      </c>
      <c r="AL52" s="15">
        <v>182730.0</v>
      </c>
      <c r="AM52" s="15">
        <v>118410.0</v>
      </c>
      <c r="AN52" s="15">
        <v>-772.0</v>
      </c>
      <c r="AO52" s="15">
        <v>-24620.0</v>
      </c>
      <c r="AP52" s="15">
        <v>9970.0</v>
      </c>
      <c r="AQ52" s="15">
        <v>2040.0</v>
      </c>
      <c r="AR52" s="15">
        <v>-5590.0</v>
      </c>
      <c r="AS52" s="15">
        <v>272590.0</v>
      </c>
      <c r="AT52" s="15">
        <v>176410.0</v>
      </c>
      <c r="AU52" s="15">
        <v>165810.0</v>
      </c>
      <c r="AV52" s="15">
        <v>232560.0</v>
      </c>
      <c r="AW52" s="15">
        <v>79070.0</v>
      </c>
      <c r="AX52" s="15">
        <v>-266020.0</v>
      </c>
      <c r="AY52" s="15">
        <v>-216100.0</v>
      </c>
      <c r="AZ52" s="15">
        <v>-202390.0</v>
      </c>
      <c r="BA52" s="15">
        <v>-135320.0</v>
      </c>
      <c r="BB52" s="15">
        <v>-142970.0</v>
      </c>
      <c r="BC52" s="12"/>
      <c r="BD52" s="13"/>
      <c r="BE52" s="13"/>
      <c r="BF52" s="13"/>
      <c r="BG52" s="13"/>
      <c r="BH52" s="15">
        <v>290280.0</v>
      </c>
      <c r="BI52" s="15">
        <v>273640.0</v>
      </c>
      <c r="BJ52" s="15">
        <v>273680.0</v>
      </c>
      <c r="BK52" s="15">
        <v>165510.0</v>
      </c>
      <c r="BL52" s="15">
        <v>203750.0</v>
      </c>
      <c r="BM52" s="15">
        <v>100400.0</v>
      </c>
      <c r="BN52" s="15">
        <v>105930.0</v>
      </c>
      <c r="BO52" s="15">
        <v>101670.0</v>
      </c>
      <c r="BP52" s="15">
        <v>124230.0</v>
      </c>
      <c r="BQ52" s="15">
        <v>128910.0</v>
      </c>
      <c r="BR52" s="15">
        <v>244340.0</v>
      </c>
      <c r="BS52" s="15">
        <v>265580.0</v>
      </c>
      <c r="BT52" s="15">
        <v>302130.0</v>
      </c>
      <c r="BU52" s="15">
        <v>270090.0</v>
      </c>
      <c r="BV52" s="15">
        <v>202810.0</v>
      </c>
      <c r="BW52" s="15">
        <v>649070.0</v>
      </c>
      <c r="BX52" s="15">
        <v>660830.0</v>
      </c>
      <c r="BY52" s="15">
        <v>709640.0</v>
      </c>
      <c r="BZ52" s="15">
        <v>585660.0</v>
      </c>
      <c r="CA52" s="15">
        <v>575950.0</v>
      </c>
      <c r="CB52" s="15">
        <v>1740000.0</v>
      </c>
      <c r="CC52" s="15">
        <v>1490000.0</v>
      </c>
      <c r="CD52" s="15">
        <v>832210.0</v>
      </c>
      <c r="CE52" s="15">
        <v>811120.0</v>
      </c>
      <c r="CF52" s="15">
        <v>703370.0</v>
      </c>
      <c r="CG52" s="15">
        <v>20020.0</v>
      </c>
      <c r="CH52" s="15">
        <v>21350.0</v>
      </c>
      <c r="CI52" s="15">
        <v>12410.0</v>
      </c>
      <c r="CJ52" s="15">
        <v>13410.0</v>
      </c>
      <c r="CK52" s="15">
        <v>13510.0</v>
      </c>
      <c r="CL52" s="15">
        <v>2520000.0</v>
      </c>
      <c r="CM52" s="15">
        <v>2280000.0</v>
      </c>
      <c r="CN52" s="15">
        <v>1610000.0</v>
      </c>
      <c r="CO52" s="15">
        <v>1460000.0</v>
      </c>
      <c r="CP52" s="15">
        <v>1360000.0</v>
      </c>
      <c r="CQ52" s="15">
        <v>90590.0</v>
      </c>
      <c r="CR52" s="15">
        <v>94480.0</v>
      </c>
      <c r="CS52" s="15">
        <v>82820.0</v>
      </c>
      <c r="CT52" s="15">
        <v>77330.0</v>
      </c>
      <c r="CU52" s="15">
        <v>47040.0</v>
      </c>
      <c r="CV52" s="15">
        <v>364400.0</v>
      </c>
      <c r="CW52" s="15">
        <v>179830.0</v>
      </c>
      <c r="CX52" s="15">
        <v>135180.0</v>
      </c>
      <c r="CY52" s="15">
        <v>146580.0</v>
      </c>
      <c r="CZ52" s="15">
        <v>205010.0</v>
      </c>
      <c r="DA52" s="15">
        <v>239480.0</v>
      </c>
      <c r="DB52" s="15">
        <v>364400.0</v>
      </c>
      <c r="DC52" s="15">
        <v>277850.0</v>
      </c>
      <c r="DD52" s="15">
        <v>288500.0</v>
      </c>
      <c r="DE52" s="15">
        <v>336330.0</v>
      </c>
      <c r="DF52" s="15">
        <v>1490000.0</v>
      </c>
      <c r="DG52" s="15">
        <v>1170000.0</v>
      </c>
      <c r="DH52" s="15">
        <v>962070.0</v>
      </c>
      <c r="DI52" s="15">
        <v>784090.0</v>
      </c>
      <c r="DJ52" s="15">
        <v>827980.0</v>
      </c>
      <c r="DK52" s="15">
        <v>36890.0</v>
      </c>
      <c r="DL52" s="15">
        <v>43630.0</v>
      </c>
      <c r="DM52" s="15">
        <v>5460.0</v>
      </c>
      <c r="DN52" s="15">
        <v>5950.0</v>
      </c>
      <c r="DO52" s="15">
        <v>6900.0</v>
      </c>
      <c r="DP52" s="15">
        <v>954770.0</v>
      </c>
      <c r="DQ52" s="15">
        <v>718480.0</v>
      </c>
      <c r="DR52" s="15">
        <v>663060.0</v>
      </c>
      <c r="DS52" s="15">
        <v>430300.0</v>
      </c>
      <c r="DT52" s="15">
        <v>483650.0</v>
      </c>
      <c r="DU52" s="13"/>
      <c r="DV52" s="12"/>
      <c r="DW52" s="12"/>
      <c r="DX52" s="12"/>
      <c r="DY52" s="12"/>
      <c r="DZ52" s="15">
        <v>988270.0</v>
      </c>
      <c r="EA52" s="15">
        <v>1060000.0</v>
      </c>
      <c r="EB52" s="15">
        <v>639710.0</v>
      </c>
      <c r="EC52" s="15">
        <v>664090.0</v>
      </c>
      <c r="ED52" s="15">
        <v>520080.0</v>
      </c>
      <c r="EE52" s="17">
        <v>0.157</v>
      </c>
      <c r="EF52" s="17">
        <v>0.226</v>
      </c>
      <c r="EG52" s="17">
        <v>27.0</v>
      </c>
      <c r="EH52" s="17">
        <v>5.917</v>
      </c>
    </row>
    <row r="53">
      <c r="A53" s="9">
        <f t="shared" si="2"/>
        <v>51</v>
      </c>
      <c r="B53" s="22" t="s">
        <v>187</v>
      </c>
      <c r="C53" s="11">
        <v>48780.0</v>
      </c>
      <c r="D53" s="11">
        <v>2210.0</v>
      </c>
      <c r="E53" s="12"/>
      <c r="F53" s="12"/>
      <c r="G53" s="12"/>
      <c r="H53" s="12"/>
      <c r="I53" s="12"/>
      <c r="J53" s="11">
        <v>-163.0</v>
      </c>
      <c r="K53" s="11">
        <v>-23.0</v>
      </c>
      <c r="L53" s="11">
        <v>-23.0</v>
      </c>
      <c r="M53" s="11">
        <v>-19.0</v>
      </c>
      <c r="N53" s="11">
        <v>-18.0</v>
      </c>
      <c r="O53" s="11">
        <v>18700.0</v>
      </c>
      <c r="P53" s="11">
        <v>18490.0</v>
      </c>
      <c r="Q53" s="11">
        <v>26790.0</v>
      </c>
      <c r="R53" s="11">
        <v>29700.0</v>
      </c>
      <c r="S53" s="11">
        <v>33070.0</v>
      </c>
      <c r="T53" s="11">
        <v>9860.0</v>
      </c>
      <c r="U53" s="11">
        <v>9780.0</v>
      </c>
      <c r="V53" s="11">
        <v>14430.0</v>
      </c>
      <c r="W53" s="11">
        <v>20930.0</v>
      </c>
      <c r="X53" s="11">
        <v>25620.0</v>
      </c>
      <c r="Y53" s="12"/>
      <c r="Z53" s="11">
        <v>-19510.0</v>
      </c>
      <c r="AA53" s="11">
        <v>-26670.0</v>
      </c>
      <c r="AB53" s="11">
        <v>-29490.0</v>
      </c>
      <c r="AC53" s="11">
        <v>-1150.0</v>
      </c>
      <c r="AD53" s="11">
        <v>-18610.0</v>
      </c>
      <c r="AE53" s="11">
        <v>-20260.0</v>
      </c>
      <c r="AF53" s="11">
        <v>-28300.0</v>
      </c>
      <c r="AG53" s="11">
        <v>-31820.0</v>
      </c>
      <c r="AH53" s="11">
        <v>-36310.0</v>
      </c>
      <c r="AI53" s="11">
        <v>-18700.0</v>
      </c>
      <c r="AJ53" s="11">
        <v>-18490.0</v>
      </c>
      <c r="AK53" s="11">
        <v>-26790.0</v>
      </c>
      <c r="AL53" s="11">
        <v>-29700.0</v>
      </c>
      <c r="AM53" s="11">
        <v>-33070.0</v>
      </c>
      <c r="AN53" s="11">
        <v>-18610.0</v>
      </c>
      <c r="AO53" s="11">
        <v>-19780.0</v>
      </c>
      <c r="AP53" s="11">
        <v>-28300.0</v>
      </c>
      <c r="AQ53" s="11">
        <v>-28740.0</v>
      </c>
      <c r="AR53" s="11">
        <v>-30340.0</v>
      </c>
      <c r="AS53" s="11">
        <v>-15690.0</v>
      </c>
      <c r="AT53" s="11">
        <v>-16900.0</v>
      </c>
      <c r="AU53" s="11">
        <v>-24560.0</v>
      </c>
      <c r="AV53" s="11">
        <v>-23300.0</v>
      </c>
      <c r="AW53" s="11">
        <v>-25480.0</v>
      </c>
      <c r="AX53" s="11">
        <v>-98.0</v>
      </c>
      <c r="AY53" s="11">
        <v>-318.0</v>
      </c>
      <c r="AZ53" s="11">
        <v>-1310.0</v>
      </c>
      <c r="BA53" s="11">
        <v>-31.0</v>
      </c>
      <c r="BB53" s="11">
        <v>-290.0</v>
      </c>
      <c r="BC53" s="12"/>
      <c r="BD53" s="12"/>
      <c r="BE53" s="12"/>
      <c r="BF53" s="12"/>
      <c r="BG53" s="12"/>
      <c r="BH53" s="11">
        <v>34480.0</v>
      </c>
      <c r="BI53" s="11">
        <v>7850.0</v>
      </c>
      <c r="BJ53" s="11">
        <v>35950.0</v>
      </c>
      <c r="BK53" s="11">
        <v>48750.0</v>
      </c>
      <c r="BL53" s="11">
        <v>34400.0</v>
      </c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1">
        <v>35320.0</v>
      </c>
      <c r="BX53" s="11">
        <v>8460.0</v>
      </c>
      <c r="BY53" s="11">
        <v>36710.0</v>
      </c>
      <c r="BZ53" s="11">
        <v>51520.0</v>
      </c>
      <c r="CA53" s="11">
        <v>38090.0</v>
      </c>
      <c r="CB53" s="11">
        <v>14040.0</v>
      </c>
      <c r="CC53" s="11">
        <v>13920.0</v>
      </c>
      <c r="CD53" s="11">
        <v>13860.0</v>
      </c>
      <c r="CE53" s="11">
        <v>12330.0</v>
      </c>
      <c r="CF53" s="11">
        <v>12320.0</v>
      </c>
      <c r="CG53" s="12"/>
      <c r="CH53" s="12"/>
      <c r="CI53" s="12"/>
      <c r="CJ53" s="12"/>
      <c r="CK53" s="12"/>
      <c r="CL53" s="11">
        <v>49540.0</v>
      </c>
      <c r="CM53" s="11">
        <v>22390.0</v>
      </c>
      <c r="CN53" s="11">
        <v>50600.0</v>
      </c>
      <c r="CO53" s="11">
        <v>63870.0</v>
      </c>
      <c r="CP53" s="11">
        <v>50420.0</v>
      </c>
      <c r="CQ53" s="11">
        <v>1820.0</v>
      </c>
      <c r="CR53" s="11">
        <v>875.0</v>
      </c>
      <c r="CS53" s="11">
        <v>2780.0</v>
      </c>
      <c r="CT53" s="11">
        <v>2050.0</v>
      </c>
      <c r="CU53" s="11">
        <v>2390.0</v>
      </c>
      <c r="CV53" s="11">
        <v>3800.0</v>
      </c>
      <c r="CW53" s="11">
        <v>172.0</v>
      </c>
      <c r="CX53" s="12"/>
      <c r="CY53" s="12"/>
      <c r="CZ53" s="12"/>
      <c r="DA53" s="12"/>
      <c r="DB53" s="11">
        <v>3800.0</v>
      </c>
      <c r="DC53" s="11">
        <v>2220.0</v>
      </c>
      <c r="DD53" s="11">
        <v>14270.0</v>
      </c>
      <c r="DE53" s="11">
        <v>10680.0</v>
      </c>
      <c r="DF53" s="11">
        <v>3800.0</v>
      </c>
      <c r="DG53" s="11">
        <v>2220.0</v>
      </c>
      <c r="DH53" s="11">
        <v>14270.0</v>
      </c>
      <c r="DI53" s="11">
        <v>21580.0</v>
      </c>
      <c r="DJ53" s="11">
        <v>20680.0</v>
      </c>
      <c r="DK53" s="12"/>
      <c r="DL53" s="12"/>
      <c r="DM53" s="12"/>
      <c r="DN53" s="12"/>
      <c r="DO53" s="12"/>
      <c r="DP53" s="12"/>
      <c r="DQ53" s="12"/>
      <c r="DR53" s="12"/>
      <c r="DS53" s="11">
        <v>10900.0</v>
      </c>
      <c r="DT53" s="11">
        <v>12900.0</v>
      </c>
      <c r="DU53" s="13"/>
      <c r="DV53" s="12"/>
      <c r="DW53" s="12"/>
      <c r="DX53" s="13"/>
      <c r="DY53" s="13"/>
      <c r="DZ53" s="11">
        <v>45750.0</v>
      </c>
      <c r="EA53" s="11">
        <v>20170.0</v>
      </c>
      <c r="EB53" s="11">
        <v>36320.0</v>
      </c>
      <c r="EC53" s="11">
        <v>42290.0</v>
      </c>
      <c r="ED53" s="11">
        <v>29740.0</v>
      </c>
      <c r="EE53" s="14">
        <v>1.131</v>
      </c>
      <c r="EF53" s="14">
        <v>0.782</v>
      </c>
      <c r="EG53" s="14">
        <v>0.143</v>
      </c>
      <c r="EH53" s="14">
        <v>-0.099</v>
      </c>
    </row>
    <row r="54">
      <c r="A54" s="9">
        <f t="shared" si="2"/>
        <v>52</v>
      </c>
      <c r="B54" s="22" t="s">
        <v>188</v>
      </c>
      <c r="C54" s="12"/>
      <c r="D54" s="11">
        <v>2550.0</v>
      </c>
      <c r="E54" s="11">
        <v>41690.0</v>
      </c>
      <c r="F54" s="11">
        <v>24190.0</v>
      </c>
      <c r="G54" s="11">
        <v>39470.0</v>
      </c>
      <c r="H54" s="11">
        <v>47360.0</v>
      </c>
      <c r="I54" s="11">
        <v>2350.0</v>
      </c>
      <c r="J54" s="12"/>
      <c r="K54" s="12"/>
      <c r="L54" s="12"/>
      <c r="M54" s="12"/>
      <c r="N54" s="12"/>
      <c r="O54" s="11">
        <v>44780.0</v>
      </c>
      <c r="P54" s="11">
        <v>45400.0</v>
      </c>
      <c r="Q54" s="11">
        <v>36660.0</v>
      </c>
      <c r="R54" s="11">
        <v>48880.0</v>
      </c>
      <c r="S54" s="11">
        <v>26510.0</v>
      </c>
      <c r="T54" s="11">
        <v>33180.0</v>
      </c>
      <c r="U54" s="11">
        <v>32180.0</v>
      </c>
      <c r="V54" s="11">
        <v>26220.0</v>
      </c>
      <c r="W54" s="11">
        <v>38860.0</v>
      </c>
      <c r="X54" s="11">
        <v>16530.0</v>
      </c>
      <c r="Y54" s="12"/>
      <c r="Z54" s="12"/>
      <c r="AA54" s="12"/>
      <c r="AB54" s="12"/>
      <c r="AC54" s="12"/>
      <c r="AD54" s="11">
        <v>-1900.0</v>
      </c>
      <c r="AE54" s="11">
        <v>-21210.0</v>
      </c>
      <c r="AF54" s="11">
        <v>2810.0</v>
      </c>
      <c r="AG54" s="11">
        <v>-1380.0</v>
      </c>
      <c r="AH54" s="11">
        <v>-24320.0</v>
      </c>
      <c r="AI54" s="11">
        <v>-3090.0</v>
      </c>
      <c r="AJ54" s="11">
        <v>-21210.0</v>
      </c>
      <c r="AK54" s="11">
        <v>2810.0</v>
      </c>
      <c r="AL54" s="11">
        <v>-1520.0</v>
      </c>
      <c r="AM54" s="11">
        <v>-24160.0</v>
      </c>
      <c r="AN54" s="11">
        <v>-2010.0</v>
      </c>
      <c r="AO54" s="11">
        <v>-21300.0</v>
      </c>
      <c r="AP54" s="11">
        <v>407.0</v>
      </c>
      <c r="AQ54" s="11">
        <v>-1380.0</v>
      </c>
      <c r="AR54" s="11">
        <v>-24320.0</v>
      </c>
      <c r="AS54" s="11">
        <v>-23460.0</v>
      </c>
      <c r="AT54" s="11">
        <v>-32520.0</v>
      </c>
      <c r="AU54" s="11">
        <v>-31000.0</v>
      </c>
      <c r="AV54" s="11">
        <v>70990.0</v>
      </c>
      <c r="AW54" s="11">
        <v>-19490.0</v>
      </c>
      <c r="AX54" s="11">
        <v>-311.0</v>
      </c>
      <c r="AY54" s="11">
        <v>-803.0</v>
      </c>
      <c r="AZ54" s="11">
        <v>-891.0</v>
      </c>
      <c r="BA54" s="11">
        <v>-2590.0</v>
      </c>
      <c r="BB54" s="11">
        <v>-323.0</v>
      </c>
      <c r="BC54" s="12"/>
      <c r="BD54" s="12"/>
      <c r="BE54" s="12"/>
      <c r="BF54" s="12"/>
      <c r="BG54" s="12"/>
      <c r="BH54" s="11">
        <v>82000.0</v>
      </c>
      <c r="BI54" s="11">
        <v>104910.0</v>
      </c>
      <c r="BJ54" s="11">
        <v>126700.0</v>
      </c>
      <c r="BK54" s="11">
        <v>98530.0</v>
      </c>
      <c r="BL54" s="11">
        <v>61640.0</v>
      </c>
      <c r="BM54" s="11">
        <v>13.0</v>
      </c>
      <c r="BN54" s="11">
        <v>210.0</v>
      </c>
      <c r="BO54" s="11">
        <v>174.0</v>
      </c>
      <c r="BP54" s="11">
        <v>954.0</v>
      </c>
      <c r="BQ54" s="11">
        <v>883.0</v>
      </c>
      <c r="BR54" s="12"/>
      <c r="BS54" s="12"/>
      <c r="BT54" s="12"/>
      <c r="BU54" s="12"/>
      <c r="BV54" s="12"/>
      <c r="BW54" s="11">
        <v>84280.0</v>
      </c>
      <c r="BX54" s="11">
        <v>109120.0</v>
      </c>
      <c r="BY54" s="11">
        <v>130240.0</v>
      </c>
      <c r="BZ54" s="11">
        <v>102580.0</v>
      </c>
      <c r="CA54" s="11">
        <v>64130.0</v>
      </c>
      <c r="CB54" s="11">
        <v>4430.0</v>
      </c>
      <c r="CC54" s="11">
        <v>5250.0</v>
      </c>
      <c r="CD54" s="11">
        <v>2660.0</v>
      </c>
      <c r="CE54" s="11">
        <v>2630.0</v>
      </c>
      <c r="CF54" s="11">
        <v>478.0</v>
      </c>
      <c r="CG54" s="12"/>
      <c r="CH54" s="12"/>
      <c r="CI54" s="12"/>
      <c r="CJ54" s="12"/>
      <c r="CK54" s="12"/>
      <c r="CL54" s="11">
        <v>92220.0</v>
      </c>
      <c r="CM54" s="11">
        <v>118530.0</v>
      </c>
      <c r="CN54" s="11">
        <v>147920.0</v>
      </c>
      <c r="CO54" s="11">
        <v>180800.0</v>
      </c>
      <c r="CP54" s="11">
        <v>90170.0</v>
      </c>
      <c r="CQ54" s="11">
        <v>1330.0</v>
      </c>
      <c r="CR54" s="11">
        <v>945.0</v>
      </c>
      <c r="CS54" s="11">
        <v>998.0</v>
      </c>
      <c r="CT54" s="11">
        <v>1330.0</v>
      </c>
      <c r="CU54" s="11">
        <v>1190.0</v>
      </c>
      <c r="CV54" s="11">
        <v>9360.0</v>
      </c>
      <c r="CW54" s="12"/>
      <c r="CX54" s="12"/>
      <c r="CY54" s="12"/>
      <c r="CZ54" s="12"/>
      <c r="DA54" s="12"/>
      <c r="DB54" s="11">
        <v>9360.0</v>
      </c>
      <c r="DC54" s="11">
        <v>14400.0</v>
      </c>
      <c r="DD54" s="11">
        <v>28160.0</v>
      </c>
      <c r="DE54" s="11">
        <v>54740.0</v>
      </c>
      <c r="DF54" s="11">
        <v>13510.0</v>
      </c>
      <c r="DG54" s="11">
        <v>19350.0</v>
      </c>
      <c r="DH54" s="11">
        <v>32590.0</v>
      </c>
      <c r="DI54" s="11">
        <v>71510.0</v>
      </c>
      <c r="DJ54" s="11">
        <v>4640.0</v>
      </c>
      <c r="DK54" s="11">
        <v>1950.0</v>
      </c>
      <c r="DL54" s="11">
        <v>1980.0</v>
      </c>
      <c r="DM54" s="11">
        <v>13750.0</v>
      </c>
      <c r="DN54" s="11">
        <v>74180.0</v>
      </c>
      <c r="DO54" s="11">
        <v>23630.0</v>
      </c>
      <c r="DP54" s="12"/>
      <c r="DQ54" s="12"/>
      <c r="DR54" s="12"/>
      <c r="DS54" s="12"/>
      <c r="DT54" s="12"/>
      <c r="DU54" s="13"/>
      <c r="DV54" s="12"/>
      <c r="DW54" s="12"/>
      <c r="DX54" s="13"/>
      <c r="DY54" s="13"/>
      <c r="DZ54" s="11">
        <v>78710.0</v>
      </c>
      <c r="EA54" s="11">
        <v>99180.0</v>
      </c>
      <c r="EB54" s="11">
        <v>115330.0</v>
      </c>
      <c r="EC54" s="11">
        <v>109290.0</v>
      </c>
      <c r="ED54" s="11">
        <v>85530.0</v>
      </c>
      <c r="EE54" s="14">
        <v>0.216</v>
      </c>
      <c r="EF54" s="23"/>
      <c r="EG54" s="14">
        <v>0.091</v>
      </c>
      <c r="EH54" s="14">
        <v>0.045</v>
      </c>
    </row>
    <row r="55">
      <c r="A55" s="9">
        <f t="shared" si="2"/>
        <v>53</v>
      </c>
      <c r="B55" s="10" t="s">
        <v>189</v>
      </c>
      <c r="C55" s="11">
        <v>808900.0</v>
      </c>
      <c r="D55" s="11">
        <v>379350.0</v>
      </c>
      <c r="E55" s="11">
        <v>239000.0</v>
      </c>
      <c r="F55" s="11">
        <v>482150.0</v>
      </c>
      <c r="G55" s="11">
        <v>892820.0</v>
      </c>
      <c r="H55" s="11">
        <v>675050.0</v>
      </c>
      <c r="I55" s="11">
        <v>413280.0</v>
      </c>
      <c r="J55" s="11">
        <v>-10330.0</v>
      </c>
      <c r="K55" s="11">
        <v>79020.0</v>
      </c>
      <c r="L55" s="11">
        <v>146550.0</v>
      </c>
      <c r="M55" s="11">
        <v>146710.0</v>
      </c>
      <c r="N55" s="11">
        <v>99470.0</v>
      </c>
      <c r="O55" s="11">
        <v>40610.0</v>
      </c>
      <c r="P55" s="11">
        <v>37290.0</v>
      </c>
      <c r="Q55" s="11">
        <v>38990.0</v>
      </c>
      <c r="R55" s="11">
        <v>32480.0</v>
      </c>
      <c r="S55" s="11">
        <v>25060.0</v>
      </c>
      <c r="T55" s="11"/>
      <c r="U55" s="11"/>
      <c r="V55" s="11"/>
      <c r="W55" s="11"/>
      <c r="X55" s="11"/>
      <c r="Y55" s="11">
        <v>-53640.0</v>
      </c>
      <c r="Z55" s="11">
        <v>41640.0</v>
      </c>
      <c r="AA55" s="11">
        <v>-584.0</v>
      </c>
      <c r="AB55" s="11">
        <v>-1980.0</v>
      </c>
      <c r="AC55" s="12"/>
      <c r="AD55" s="11">
        <v>-47770.0</v>
      </c>
      <c r="AE55" s="11">
        <v>47220.0</v>
      </c>
      <c r="AF55" s="11">
        <v>112630.0</v>
      </c>
      <c r="AG55" s="11">
        <v>114530.0</v>
      </c>
      <c r="AH55" s="11">
        <v>75510.0</v>
      </c>
      <c r="AI55" s="11">
        <v>-46300.0</v>
      </c>
      <c r="AJ55" s="11">
        <v>46160.0</v>
      </c>
      <c r="AK55" s="11">
        <v>111370.0</v>
      </c>
      <c r="AL55" s="11">
        <v>117440.0</v>
      </c>
      <c r="AM55" s="11">
        <v>75720.0</v>
      </c>
      <c r="AN55" s="11">
        <v>-42690.0</v>
      </c>
      <c r="AO55" s="11">
        <v>52040.0</v>
      </c>
      <c r="AP55" s="11">
        <v>72010.0</v>
      </c>
      <c r="AQ55" s="11">
        <v>70330.0</v>
      </c>
      <c r="AR55" s="11">
        <v>36350.0</v>
      </c>
      <c r="AS55" s="11">
        <v>53570.0</v>
      </c>
      <c r="AT55" s="11">
        <v>-112320.0</v>
      </c>
      <c r="AU55" s="11">
        <v>-72790.0</v>
      </c>
      <c r="AV55" s="11">
        <v>259040.0</v>
      </c>
      <c r="AW55" s="11">
        <v>-33030.0</v>
      </c>
      <c r="AX55" s="11">
        <v>-7060.0</v>
      </c>
      <c r="AY55" s="11">
        <v>-8600.0</v>
      </c>
      <c r="AZ55" s="11">
        <v>-4830.0</v>
      </c>
      <c r="BA55" s="11">
        <v>-2810.0</v>
      </c>
      <c r="BB55" s="11">
        <v>-3120.0</v>
      </c>
      <c r="BC55" s="11">
        <v>-15620.0</v>
      </c>
      <c r="BD55" s="11">
        <v>-15640.0</v>
      </c>
      <c r="BE55" s="11">
        <v>-16780.0</v>
      </c>
      <c r="BF55" s="11">
        <v>-24760.0</v>
      </c>
      <c r="BG55" s="11">
        <v>-10380.0</v>
      </c>
      <c r="BH55" s="11">
        <v>327860.0</v>
      </c>
      <c r="BI55" s="11">
        <v>296530.0</v>
      </c>
      <c r="BJ55" s="11">
        <v>434020.0</v>
      </c>
      <c r="BK55" s="11">
        <v>522990.0</v>
      </c>
      <c r="BL55" s="11">
        <v>275010.0</v>
      </c>
      <c r="BM55" s="11">
        <v>70570.0</v>
      </c>
      <c r="BN55" s="11">
        <v>94530.0</v>
      </c>
      <c r="BO55" s="11">
        <v>40130.0</v>
      </c>
      <c r="BP55" s="11">
        <v>58030.0</v>
      </c>
      <c r="BQ55" s="11">
        <v>68260.0</v>
      </c>
      <c r="BR55" s="11"/>
      <c r="BS55" s="11"/>
      <c r="BT55" s="12"/>
      <c r="BU55" s="12"/>
      <c r="BV55" s="12"/>
      <c r="BW55" s="11">
        <v>421760.0</v>
      </c>
      <c r="BX55" s="11">
        <v>416350.0</v>
      </c>
      <c r="BY55" s="11">
        <v>485030.0</v>
      </c>
      <c r="BZ55" s="11">
        <v>587950.0</v>
      </c>
      <c r="CA55" s="11">
        <v>350610.0</v>
      </c>
      <c r="CB55" s="11">
        <v>24540.0</v>
      </c>
      <c r="CC55" s="11">
        <v>19780.0</v>
      </c>
      <c r="CD55" s="11">
        <v>15300.0</v>
      </c>
      <c r="CE55" s="11">
        <v>13110.0</v>
      </c>
      <c r="CF55" s="11">
        <v>12310.0</v>
      </c>
      <c r="CG55" s="11">
        <v>27940.0</v>
      </c>
      <c r="CH55" s="11">
        <v>32840.0</v>
      </c>
      <c r="CI55" s="11">
        <v>34330.0</v>
      </c>
      <c r="CJ55" s="11">
        <v>34910.0</v>
      </c>
      <c r="CK55" s="11">
        <v>37410.0</v>
      </c>
      <c r="CL55" s="11">
        <v>487540.0</v>
      </c>
      <c r="CM55" s="11">
        <v>476650.0</v>
      </c>
      <c r="CN55" s="11">
        <v>542670.0</v>
      </c>
      <c r="CO55" s="11">
        <v>644490.0</v>
      </c>
      <c r="CP55" s="11">
        <v>409790.0</v>
      </c>
      <c r="CQ55" s="11">
        <v>35440.0</v>
      </c>
      <c r="CR55" s="11">
        <v>44430.0</v>
      </c>
      <c r="CS55" s="11">
        <v>100240.0</v>
      </c>
      <c r="CT55" s="11">
        <v>101940.0</v>
      </c>
      <c r="CU55" s="11">
        <v>46400.0</v>
      </c>
      <c r="CV55" s="11">
        <v>144030.0</v>
      </c>
      <c r="CW55" s="11">
        <v>1570.0</v>
      </c>
      <c r="CX55" s="13"/>
      <c r="CY55" s="13"/>
      <c r="CZ55" s="13"/>
      <c r="DA55" s="12"/>
      <c r="DB55" s="11">
        <v>144030.0</v>
      </c>
      <c r="DC55" s="11">
        <v>82280.0</v>
      </c>
      <c r="DD55" s="11">
        <v>183260.0</v>
      </c>
      <c r="DE55" s="11">
        <v>350720.0</v>
      </c>
      <c r="DF55" s="11">
        <v>146510.0</v>
      </c>
      <c r="DG55" s="11">
        <v>82280.0</v>
      </c>
      <c r="DH55" s="11">
        <v>184540.0</v>
      </c>
      <c r="DI55" s="11">
        <v>351920.0</v>
      </c>
      <c r="DJ55" s="11">
        <v>187940.0</v>
      </c>
      <c r="DK55" s="12"/>
      <c r="DL55" s="12"/>
      <c r="DM55" s="12"/>
      <c r="DN55" s="12"/>
      <c r="DO55" s="11"/>
      <c r="DP55" s="11">
        <v>636.0</v>
      </c>
      <c r="DQ55" s="12"/>
      <c r="DR55" s="11"/>
      <c r="DS55" s="11"/>
      <c r="DT55" s="11"/>
      <c r="DU55" s="13"/>
      <c r="DV55" s="12"/>
      <c r="DW55" s="12"/>
      <c r="DX55" s="12"/>
      <c r="DY55" s="12"/>
      <c r="DZ55" s="11">
        <v>339250.0</v>
      </c>
      <c r="EA55" s="11">
        <v>394570.0</v>
      </c>
      <c r="EB55" s="11">
        <v>358090.0</v>
      </c>
      <c r="EC55" s="11">
        <v>291630.0</v>
      </c>
      <c r="ED55" s="11">
        <v>218520.0</v>
      </c>
      <c r="EE55" s="14">
        <v>0.062</v>
      </c>
      <c r="EF55" s="14">
        <v>0.003</v>
      </c>
      <c r="EG55" s="14">
        <v>0.375</v>
      </c>
      <c r="EH55" s="14">
        <v>-12.481</v>
      </c>
    </row>
    <row r="56">
      <c r="A56" s="9">
        <f t="shared" si="2"/>
        <v>54</v>
      </c>
      <c r="B56" s="22" t="s">
        <v>190</v>
      </c>
      <c r="C56" s="11">
        <v>152110.0</v>
      </c>
      <c r="D56" s="11">
        <v>128410.0</v>
      </c>
      <c r="E56" s="11">
        <v>125770.0</v>
      </c>
      <c r="F56" s="11">
        <v>115050.0</v>
      </c>
      <c r="G56" s="11">
        <v>103190.0</v>
      </c>
      <c r="H56" s="11">
        <v>88030.0</v>
      </c>
      <c r="I56" s="12"/>
      <c r="J56" s="11">
        <v>85830.0</v>
      </c>
      <c r="K56" s="11">
        <v>75980.0</v>
      </c>
      <c r="L56" s="11">
        <v>68490.0</v>
      </c>
      <c r="M56" s="11">
        <v>55320.0</v>
      </c>
      <c r="N56" s="12"/>
      <c r="O56" s="11">
        <v>88190.0</v>
      </c>
      <c r="P56" s="11">
        <v>67840.0</v>
      </c>
      <c r="Q56" s="11">
        <v>58100.0</v>
      </c>
      <c r="R56" s="11">
        <v>53130.0</v>
      </c>
      <c r="S56" s="12"/>
      <c r="T56" s="12"/>
      <c r="U56" s="12"/>
      <c r="V56" s="12"/>
      <c r="W56" s="12"/>
      <c r="X56" s="12"/>
      <c r="Y56" s="11">
        <v>23060.0</v>
      </c>
      <c r="Z56" s="11">
        <v>-36090.0</v>
      </c>
      <c r="AA56" s="11">
        <v>-8110.0</v>
      </c>
      <c r="AB56" s="11">
        <v>9570.0</v>
      </c>
      <c r="AC56" s="12"/>
      <c r="AD56" s="11">
        <v>22300.0</v>
      </c>
      <c r="AE56" s="11">
        <v>-35620.0</v>
      </c>
      <c r="AF56" s="11">
        <v>-7660.0</v>
      </c>
      <c r="AG56" s="11">
        <v>9430.0</v>
      </c>
      <c r="AH56" s="12"/>
      <c r="AI56" s="11">
        <v>9770.0</v>
      </c>
      <c r="AJ56" s="11">
        <v>12620.0</v>
      </c>
      <c r="AK56" s="11">
        <v>14500.0</v>
      </c>
      <c r="AL56" s="11">
        <v>7810.0</v>
      </c>
      <c r="AM56" s="12"/>
      <c r="AN56" s="11">
        <v>19730.0</v>
      </c>
      <c r="AO56" s="11">
        <v>-38570.0</v>
      </c>
      <c r="AP56" s="11">
        <v>-11350.0</v>
      </c>
      <c r="AQ56" s="11">
        <v>7580.0</v>
      </c>
      <c r="AR56" s="12"/>
      <c r="AS56" s="11">
        <v>-81.0</v>
      </c>
      <c r="AT56" s="11">
        <v>10550.0</v>
      </c>
      <c r="AU56" s="11">
        <v>7450.0</v>
      </c>
      <c r="AV56" s="12"/>
      <c r="AW56" s="12"/>
      <c r="AX56" s="11">
        <v>-6990.0</v>
      </c>
      <c r="AY56" s="11">
        <v>-7050.0</v>
      </c>
      <c r="AZ56" s="11">
        <v>-5900.0</v>
      </c>
      <c r="BA56" s="12"/>
      <c r="BB56" s="12"/>
      <c r="BC56" s="12"/>
      <c r="BD56" s="12"/>
      <c r="BE56" s="12"/>
      <c r="BF56" s="12"/>
      <c r="BG56" s="12"/>
      <c r="BH56" s="11">
        <v>22180.0</v>
      </c>
      <c r="BI56" s="11">
        <v>14840.0</v>
      </c>
      <c r="BJ56" s="11">
        <v>16180.0</v>
      </c>
      <c r="BK56" s="12"/>
      <c r="BL56" s="12"/>
      <c r="BM56" s="11">
        <v>1840.0</v>
      </c>
      <c r="BN56" s="11">
        <v>9630.0</v>
      </c>
      <c r="BO56" s="11">
        <v>6860.0</v>
      </c>
      <c r="BP56" s="12"/>
      <c r="BQ56" s="12"/>
      <c r="BR56" s="11">
        <v>3750.0</v>
      </c>
      <c r="BS56" s="11">
        <v>3080.0</v>
      </c>
      <c r="BT56" s="11">
        <v>3850.0</v>
      </c>
      <c r="BU56" s="12"/>
      <c r="BV56" s="12"/>
      <c r="BW56" s="11">
        <v>38000.0</v>
      </c>
      <c r="BX56" s="11">
        <v>41210.0</v>
      </c>
      <c r="BY56" s="11">
        <v>34970.0</v>
      </c>
      <c r="BZ56" s="12"/>
      <c r="CA56" s="12"/>
      <c r="CB56" s="11">
        <v>74550.0</v>
      </c>
      <c r="CC56" s="11">
        <v>34230.0</v>
      </c>
      <c r="CD56" s="11">
        <v>32290.0</v>
      </c>
      <c r="CE56" s="12"/>
      <c r="CF56" s="12"/>
      <c r="CG56" s="12"/>
      <c r="CH56" s="11">
        <v>7930.0</v>
      </c>
      <c r="CI56" s="11">
        <v>7760.0</v>
      </c>
      <c r="CJ56" s="12"/>
      <c r="CK56" s="12"/>
      <c r="CL56" s="11">
        <v>150330.0</v>
      </c>
      <c r="CM56" s="11">
        <v>98540.0</v>
      </c>
      <c r="CN56" s="11">
        <v>88760.0</v>
      </c>
      <c r="CO56" s="12"/>
      <c r="CP56" s="12"/>
      <c r="CQ56" s="11">
        <v>2440.0</v>
      </c>
      <c r="CR56" s="11">
        <v>2090.0</v>
      </c>
      <c r="CS56" s="11">
        <v>2580.0</v>
      </c>
      <c r="CT56" s="12"/>
      <c r="CU56" s="12"/>
      <c r="CV56" s="11">
        <v>38090.0</v>
      </c>
      <c r="CW56" s="11">
        <v>23510.0</v>
      </c>
      <c r="CX56" s="11">
        <v>11230.0</v>
      </c>
      <c r="CY56" s="11">
        <v>3380.0</v>
      </c>
      <c r="CZ56" s="12"/>
      <c r="DA56" s="12"/>
      <c r="DB56" s="11">
        <v>38090.0</v>
      </c>
      <c r="DC56" s="11">
        <v>24950.0</v>
      </c>
      <c r="DD56" s="11">
        <v>20500.0</v>
      </c>
      <c r="DE56" s="12"/>
      <c r="DF56" s="11">
        <v>65540.0</v>
      </c>
      <c r="DG56" s="11">
        <v>134860.0</v>
      </c>
      <c r="DH56" s="11">
        <v>92170.0</v>
      </c>
      <c r="DI56" s="12"/>
      <c r="DJ56" s="12"/>
      <c r="DK56" s="11">
        <v>3680.0</v>
      </c>
      <c r="DL56" s="11">
        <v>10690.0</v>
      </c>
      <c r="DM56" s="11">
        <v>7850.0</v>
      </c>
      <c r="DN56" s="12"/>
      <c r="DO56" s="12"/>
      <c r="DP56" s="11">
        <v>25630.0</v>
      </c>
      <c r="DQ56" s="11">
        <v>109580.0</v>
      </c>
      <c r="DR56" s="11">
        <v>71270.0</v>
      </c>
      <c r="DS56" s="12"/>
      <c r="DT56" s="12"/>
      <c r="DU56" s="13"/>
      <c r="DV56" s="12"/>
      <c r="DW56" s="12"/>
      <c r="DX56" s="13"/>
      <c r="DY56" s="13"/>
      <c r="DZ56" s="11">
        <v>78600.0</v>
      </c>
      <c r="EA56" s="11">
        <v>-40550.0</v>
      </c>
      <c r="EB56" s="11">
        <v>-7200.0</v>
      </c>
      <c r="EC56" s="12"/>
      <c r="ED56" s="12"/>
      <c r="EE56" s="14">
        <v>0.0</v>
      </c>
      <c r="EF56" s="14">
        <v>0.0</v>
      </c>
      <c r="EG56" s="14">
        <v>-40.0</v>
      </c>
      <c r="EH56" s="23"/>
    </row>
    <row r="57">
      <c r="A57" s="9">
        <f t="shared" si="2"/>
        <v>55</v>
      </c>
      <c r="B57" s="22" t="s">
        <v>191</v>
      </c>
      <c r="C57" s="11">
        <v>97550.0</v>
      </c>
      <c r="D57" s="11">
        <v>7950.0</v>
      </c>
      <c r="E57" s="12"/>
      <c r="F57" s="12"/>
      <c r="G57" s="12"/>
      <c r="H57" s="12"/>
      <c r="I57" s="12"/>
      <c r="J57" s="11">
        <v>-4090.0</v>
      </c>
      <c r="K57" s="11">
        <v>-1600.0</v>
      </c>
      <c r="L57" s="11">
        <v>-966.0</v>
      </c>
      <c r="M57" s="11">
        <v>-534.0</v>
      </c>
      <c r="N57" s="11">
        <v>-115.0</v>
      </c>
      <c r="O57" s="11">
        <v>245720.0</v>
      </c>
      <c r="P57" s="11">
        <v>213740.0</v>
      </c>
      <c r="Q57" s="11">
        <v>132310.0</v>
      </c>
      <c r="R57" s="11">
        <v>80990.0</v>
      </c>
      <c r="S57" s="11">
        <v>35880.0</v>
      </c>
      <c r="T57" s="11">
        <v>123990.0</v>
      </c>
      <c r="U57" s="11">
        <v>133420.0</v>
      </c>
      <c r="V57" s="11">
        <v>89330.0</v>
      </c>
      <c r="W57" s="11">
        <v>54640.0</v>
      </c>
      <c r="X57" s="11">
        <v>19820.0</v>
      </c>
      <c r="Y57" s="12"/>
      <c r="Z57" s="12"/>
      <c r="AA57" s="12"/>
      <c r="AB57" s="12"/>
      <c r="AC57" s="12"/>
      <c r="AD57" s="11">
        <v>-247780.0</v>
      </c>
      <c r="AE57" s="11">
        <v>-210690.0</v>
      </c>
      <c r="AF57" s="11">
        <v>-131270.0</v>
      </c>
      <c r="AG57" s="11">
        <v>-80820.0</v>
      </c>
      <c r="AH57" s="11">
        <v>-35820.0</v>
      </c>
      <c r="AI57" s="11">
        <v>-245720.0</v>
      </c>
      <c r="AJ57" s="11">
        <v>-213740.0</v>
      </c>
      <c r="AK57" s="11">
        <v>-132310.0</v>
      </c>
      <c r="AL57" s="11">
        <v>-80990.0</v>
      </c>
      <c r="AM57" s="11">
        <v>-35880.0</v>
      </c>
      <c r="AN57" s="11">
        <v>-248500.0</v>
      </c>
      <c r="AO57" s="11">
        <v>-210750.0</v>
      </c>
      <c r="AP57" s="11">
        <v>-131330.0</v>
      </c>
      <c r="AQ57" s="11">
        <v>-80820.0</v>
      </c>
      <c r="AR57" s="11">
        <v>-35820.0</v>
      </c>
      <c r="AS57" s="11">
        <v>-195410.0</v>
      </c>
      <c r="AT57" s="11">
        <v>-169130.0</v>
      </c>
      <c r="AU57" s="11">
        <v>-99610.0</v>
      </c>
      <c r="AV57" s="11">
        <v>-56610.0</v>
      </c>
      <c r="AW57" s="11">
        <v>-35690.0</v>
      </c>
      <c r="AX57" s="11">
        <v>-8050.0</v>
      </c>
      <c r="AY57" s="11">
        <v>-9420.0</v>
      </c>
      <c r="AZ57" s="11">
        <v>-6430.0</v>
      </c>
      <c r="BA57" s="11">
        <v>-7670.0</v>
      </c>
      <c r="BB57" s="11">
        <v>-1710.0</v>
      </c>
      <c r="BC57" s="12"/>
      <c r="BD57" s="12"/>
      <c r="BE57" s="12"/>
      <c r="BF57" s="12"/>
      <c r="BG57" s="12"/>
      <c r="BH57" s="11">
        <v>143510.0</v>
      </c>
      <c r="BI57" s="11">
        <v>303930.0</v>
      </c>
      <c r="BJ57" s="11">
        <v>182430.0</v>
      </c>
      <c r="BK57" s="11">
        <v>248930.0</v>
      </c>
      <c r="BL57" s="11">
        <v>191840.0</v>
      </c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1">
        <v>149080.0</v>
      </c>
      <c r="BX57" s="11">
        <v>312620.0</v>
      </c>
      <c r="BY57" s="11">
        <v>189110.0</v>
      </c>
      <c r="BZ57" s="11">
        <v>251680.0</v>
      </c>
      <c r="CA57" s="11">
        <v>197460.0</v>
      </c>
      <c r="CB57" s="11">
        <v>40120.0</v>
      </c>
      <c r="CC57" s="11">
        <v>26330.0</v>
      </c>
      <c r="CD57" s="11">
        <v>17210.0</v>
      </c>
      <c r="CE57" s="11">
        <v>10390.0</v>
      </c>
      <c r="CF57" s="11">
        <v>2700.0</v>
      </c>
      <c r="CG57" s="12"/>
      <c r="CH57" s="12"/>
      <c r="CI57" s="12"/>
      <c r="CJ57" s="12"/>
      <c r="CK57" s="12"/>
      <c r="CL57" s="11">
        <v>204370.0</v>
      </c>
      <c r="CM57" s="11">
        <v>339560.0</v>
      </c>
      <c r="CN57" s="11">
        <v>206930.0</v>
      </c>
      <c r="CO57" s="11">
        <v>298790.0</v>
      </c>
      <c r="CP57" s="11">
        <v>212360.0</v>
      </c>
      <c r="CQ57" s="11">
        <v>13880.0</v>
      </c>
      <c r="CR57" s="11">
        <v>8830.0</v>
      </c>
      <c r="CS57" s="11">
        <v>5100.0</v>
      </c>
      <c r="CT57" s="12"/>
      <c r="CU57" s="12"/>
      <c r="CV57" s="11">
        <v>47450.0</v>
      </c>
      <c r="CW57" s="11">
        <v>2260.0</v>
      </c>
      <c r="CX57" s="12"/>
      <c r="CY57" s="12"/>
      <c r="CZ57" s="12"/>
      <c r="DA57" s="12"/>
      <c r="DB57" s="11">
        <v>47450.0</v>
      </c>
      <c r="DC57" s="11">
        <v>38010.0</v>
      </c>
      <c r="DD57" s="11">
        <v>26600.0</v>
      </c>
      <c r="DE57" s="11">
        <v>11450.0</v>
      </c>
      <c r="DF57" s="11">
        <v>100350.0</v>
      </c>
      <c r="DG57" s="11">
        <v>40610.0</v>
      </c>
      <c r="DH57" s="11">
        <v>29130.0</v>
      </c>
      <c r="DI57" s="11">
        <v>12820.0</v>
      </c>
      <c r="DJ57" s="11">
        <v>6110.0</v>
      </c>
      <c r="DK57" s="11">
        <v>14660.0</v>
      </c>
      <c r="DL57" s="12"/>
      <c r="DM57" s="12"/>
      <c r="DN57" s="11">
        <v>33600.0</v>
      </c>
      <c r="DO57" s="11">
        <v>7990.0</v>
      </c>
      <c r="DP57" s="11">
        <v>51550.0</v>
      </c>
      <c r="DQ57" s="11">
        <v>61.0</v>
      </c>
      <c r="DR57" s="11">
        <v>77.0</v>
      </c>
      <c r="DS57" s="12"/>
      <c r="DT57" s="12"/>
      <c r="DU57" s="12"/>
      <c r="DV57" s="12"/>
      <c r="DW57" s="12"/>
      <c r="DX57" s="12"/>
      <c r="DY57" s="12"/>
      <c r="DZ57" s="11">
        <v>104020.0</v>
      </c>
      <c r="EA57" s="11">
        <v>298950.0</v>
      </c>
      <c r="EB57" s="11">
        <v>177810.0</v>
      </c>
      <c r="EC57" s="11">
        <v>285970.0</v>
      </c>
      <c r="ED57" s="11">
        <v>206250.0</v>
      </c>
      <c r="EE57" s="14">
        <v>1.709</v>
      </c>
      <c r="EF57" s="14">
        <v>1.305</v>
      </c>
      <c r="EG57" s="14">
        <v>0.028</v>
      </c>
      <c r="EH57" s="14">
        <v>-0.027</v>
      </c>
    </row>
    <row r="58">
      <c r="A58" s="9">
        <f t="shared" si="2"/>
        <v>56</v>
      </c>
      <c r="B58" s="26" t="s">
        <v>192</v>
      </c>
      <c r="C58" s="11">
        <v>969600.0</v>
      </c>
      <c r="D58" s="11">
        <v>896440.0</v>
      </c>
      <c r="E58" s="11">
        <v>1050000.0</v>
      </c>
      <c r="F58" s="11">
        <v>982480.0</v>
      </c>
      <c r="G58" s="11">
        <v>863720.0</v>
      </c>
      <c r="H58" s="11">
        <v>779840.0</v>
      </c>
      <c r="I58" s="11">
        <v>709870.0</v>
      </c>
      <c r="J58" s="11">
        <v>392000.0</v>
      </c>
      <c r="K58" s="11">
        <v>343250.0</v>
      </c>
      <c r="L58" s="11">
        <v>293580.0</v>
      </c>
      <c r="M58" s="11">
        <v>293870.0</v>
      </c>
      <c r="N58" s="11">
        <v>286190.0</v>
      </c>
      <c r="O58" s="11">
        <v>194240.0</v>
      </c>
      <c r="P58" s="11">
        <v>190550.0</v>
      </c>
      <c r="Q58" s="11">
        <v>192790.0</v>
      </c>
      <c r="R58" s="11">
        <v>194100.0</v>
      </c>
      <c r="S58" s="11">
        <v>189540.0</v>
      </c>
      <c r="T58" s="11">
        <v>37570.0</v>
      </c>
      <c r="U58" s="11">
        <v>40580.0</v>
      </c>
      <c r="V58" s="11">
        <v>41170.0</v>
      </c>
      <c r="W58" s="11">
        <v>40300.0</v>
      </c>
      <c r="X58" s="11">
        <v>44750.0</v>
      </c>
      <c r="Y58" s="11">
        <v>195360.0</v>
      </c>
      <c r="Z58" s="11">
        <v>137070.0</v>
      </c>
      <c r="AA58" s="11">
        <v>-16120.0</v>
      </c>
      <c r="AB58" s="11">
        <v>-10680.0</v>
      </c>
      <c r="AC58" s="11">
        <v>58930.0</v>
      </c>
      <c r="AD58" s="11">
        <v>178210.0</v>
      </c>
      <c r="AE58" s="11">
        <v>115250.0</v>
      </c>
      <c r="AF58" s="11">
        <v>54710.0</v>
      </c>
      <c r="AG58" s="11">
        <v>78270.0</v>
      </c>
      <c r="AH58" s="11">
        <v>51480.0</v>
      </c>
      <c r="AI58" s="11">
        <v>268560.0</v>
      </c>
      <c r="AJ58" s="11">
        <v>231740.0</v>
      </c>
      <c r="AK58" s="11">
        <v>172750.0</v>
      </c>
      <c r="AL58" s="11">
        <v>167230.0</v>
      </c>
      <c r="AM58" s="11">
        <v>156770.0</v>
      </c>
      <c r="AN58" s="11">
        <v>132400.0</v>
      </c>
      <c r="AO58" s="11">
        <v>82890.0</v>
      </c>
      <c r="AP58" s="11">
        <v>33110.0</v>
      </c>
      <c r="AQ58" s="11">
        <v>52730.0</v>
      </c>
      <c r="AR58" s="11">
        <v>57280.0</v>
      </c>
      <c r="AS58" s="11">
        <v>200350.0</v>
      </c>
      <c r="AT58" s="11">
        <v>132490.0</v>
      </c>
      <c r="AU58" s="11">
        <v>64220.0</v>
      </c>
      <c r="AV58" s="11">
        <v>80940.0</v>
      </c>
      <c r="AW58" s="11">
        <v>95940.0</v>
      </c>
      <c r="AX58" s="11">
        <v>-67960.0</v>
      </c>
      <c r="AY58" s="11">
        <v>-82890.0</v>
      </c>
      <c r="AZ58" s="11">
        <v>-87640.0</v>
      </c>
      <c r="BA58" s="11">
        <v>-73490.0</v>
      </c>
      <c r="BB58" s="11">
        <v>-50600.0</v>
      </c>
      <c r="BC58" s="11">
        <v>-23250.0</v>
      </c>
      <c r="BD58" s="11">
        <v>-21930.0</v>
      </c>
      <c r="BE58" s="11">
        <v>-21870.0</v>
      </c>
      <c r="BF58" s="11">
        <v>-21810.0</v>
      </c>
      <c r="BG58" s="11">
        <v>-21090.0</v>
      </c>
      <c r="BH58" s="11">
        <v>195540.0</v>
      </c>
      <c r="BI58" s="11">
        <v>197760.0</v>
      </c>
      <c r="BJ58" s="11">
        <v>183730.0</v>
      </c>
      <c r="BK58" s="11">
        <v>181740.0</v>
      </c>
      <c r="BL58" s="11">
        <v>185110.0</v>
      </c>
      <c r="BM58" s="11">
        <v>299100.0</v>
      </c>
      <c r="BN58" s="11">
        <v>283240.0</v>
      </c>
      <c r="BO58" s="11">
        <v>204070.0</v>
      </c>
      <c r="BP58" s="11">
        <v>172490.0</v>
      </c>
      <c r="BQ58" s="11">
        <v>146890.0</v>
      </c>
      <c r="BR58" s="11">
        <v>95150.0</v>
      </c>
      <c r="BS58" s="11">
        <v>85900.0</v>
      </c>
      <c r="BT58" s="11">
        <v>136520.0</v>
      </c>
      <c r="BU58" s="11">
        <v>133910.0</v>
      </c>
      <c r="BV58" s="11">
        <v>106410.0</v>
      </c>
      <c r="BW58" s="11">
        <v>618330.0</v>
      </c>
      <c r="BX58" s="11">
        <v>593050.0</v>
      </c>
      <c r="BY58" s="11">
        <v>543710.0</v>
      </c>
      <c r="BZ58" s="11">
        <v>501310.0</v>
      </c>
      <c r="CA58" s="11">
        <v>452060.0</v>
      </c>
      <c r="CB58" s="11">
        <v>484690.0</v>
      </c>
      <c r="CC58" s="11">
        <v>462060.0</v>
      </c>
      <c r="CD58" s="11">
        <v>454300.0</v>
      </c>
      <c r="CE58" s="11">
        <v>422560.0</v>
      </c>
      <c r="CF58" s="11">
        <v>357470.0</v>
      </c>
      <c r="CG58" s="11">
        <v>180930.0</v>
      </c>
      <c r="CH58" s="11">
        <v>164380.0</v>
      </c>
      <c r="CI58" s="11">
        <v>166800.0</v>
      </c>
      <c r="CJ58" s="11">
        <v>160380.0</v>
      </c>
      <c r="CK58" s="11">
        <v>66370.0</v>
      </c>
      <c r="CL58" s="11">
        <v>1470000.0</v>
      </c>
      <c r="CM58" s="11">
        <v>1420000.0</v>
      </c>
      <c r="CN58" s="11">
        <v>1360000.0</v>
      </c>
      <c r="CO58" s="11">
        <v>1260000.0</v>
      </c>
      <c r="CP58" s="11">
        <v>1010000.0</v>
      </c>
      <c r="CQ58" s="11">
        <v>65200.0</v>
      </c>
      <c r="CR58" s="11">
        <v>52250.0</v>
      </c>
      <c r="CS58" s="11">
        <v>44900.0</v>
      </c>
      <c r="CT58" s="11">
        <v>43310.0</v>
      </c>
      <c r="CU58" s="11">
        <v>26750.0</v>
      </c>
      <c r="CV58" s="11">
        <v>202720.0</v>
      </c>
      <c r="CW58" s="11">
        <v>4020.0</v>
      </c>
      <c r="CX58" s="12"/>
      <c r="CY58" s="11">
        <v>262.0</v>
      </c>
      <c r="CZ58" s="11">
        <v>312.0</v>
      </c>
      <c r="DA58" s="11">
        <v>587.0</v>
      </c>
      <c r="DB58" s="11">
        <v>202720.0</v>
      </c>
      <c r="DC58" s="11">
        <v>189310.0</v>
      </c>
      <c r="DD58" s="11">
        <v>161520.0</v>
      </c>
      <c r="DE58" s="11">
        <v>200010.0</v>
      </c>
      <c r="DF58" s="11">
        <v>771680.0</v>
      </c>
      <c r="DG58" s="11">
        <v>809710.0</v>
      </c>
      <c r="DH58" s="11">
        <v>788180.0</v>
      </c>
      <c r="DI58" s="11">
        <v>752140.0</v>
      </c>
      <c r="DJ58" s="11">
        <v>507010.0</v>
      </c>
      <c r="DK58" s="11">
        <v>500.0</v>
      </c>
      <c r="DL58" s="11">
        <v>400.0</v>
      </c>
      <c r="DM58" s="11">
        <v>500.0</v>
      </c>
      <c r="DN58" s="11">
        <v>400.0</v>
      </c>
      <c r="DO58" s="11">
        <v>400.0</v>
      </c>
      <c r="DP58" s="11">
        <v>461100.0</v>
      </c>
      <c r="DQ58" s="11">
        <v>523710.0</v>
      </c>
      <c r="DR58" s="11">
        <v>514120.0</v>
      </c>
      <c r="DS58" s="11">
        <v>432920.0</v>
      </c>
      <c r="DT58" s="11">
        <v>265080.0</v>
      </c>
      <c r="DU58" s="13"/>
      <c r="DV58" s="13"/>
      <c r="DW58" s="13"/>
      <c r="DX58" s="12"/>
      <c r="DY58" s="12"/>
      <c r="DZ58" s="11">
        <v>698680.0</v>
      </c>
      <c r="EA58" s="11">
        <v>605250.0</v>
      </c>
      <c r="EB58" s="11">
        <v>569770.0</v>
      </c>
      <c r="EC58" s="11">
        <v>507520.0</v>
      </c>
      <c r="ED58" s="11">
        <v>498860.0</v>
      </c>
      <c r="EE58" s="14">
        <v>0.062</v>
      </c>
      <c r="EF58" s="14">
        <v>0.122</v>
      </c>
      <c r="EG58" s="14">
        <v>0.258</v>
      </c>
      <c r="EH58" s="14">
        <v>0.312</v>
      </c>
    </row>
    <row r="59">
      <c r="A59" s="9">
        <f t="shared" si="2"/>
        <v>57</v>
      </c>
      <c r="B59" s="10" t="s">
        <v>193</v>
      </c>
      <c r="C59" s="11">
        <v>2000000.0</v>
      </c>
      <c r="D59" s="11">
        <v>1730000.0</v>
      </c>
      <c r="E59" s="11">
        <v>2070000.0</v>
      </c>
      <c r="F59" s="11">
        <v>2050000.0</v>
      </c>
      <c r="G59" s="11">
        <v>1750000.0</v>
      </c>
      <c r="H59" s="11">
        <v>1590000.0</v>
      </c>
      <c r="I59" s="11">
        <v>1700000.0</v>
      </c>
      <c r="J59" s="11">
        <v>269200.0</v>
      </c>
      <c r="K59" s="11">
        <v>329500.0</v>
      </c>
      <c r="L59" s="11">
        <v>294600.0</v>
      </c>
      <c r="M59" s="11">
        <v>260800.0</v>
      </c>
      <c r="N59" s="11">
        <v>237900.0</v>
      </c>
      <c r="O59" s="11">
        <v>226000.0</v>
      </c>
      <c r="P59" s="11">
        <v>231200.0</v>
      </c>
      <c r="Q59" s="11">
        <v>208600.0</v>
      </c>
      <c r="R59" s="11">
        <v>181100.0</v>
      </c>
      <c r="S59" s="11">
        <v>173200.0</v>
      </c>
      <c r="T59" s="12"/>
      <c r="U59" s="12"/>
      <c r="V59" s="12"/>
      <c r="W59" s="12"/>
      <c r="X59" s="12"/>
      <c r="Y59" s="12"/>
      <c r="Z59" s="12"/>
      <c r="AA59" s="12"/>
      <c r="AB59" s="12"/>
      <c r="AC59" s="11">
        <v>-400.0</v>
      </c>
      <c r="AD59" s="11">
        <v>30400.0</v>
      </c>
      <c r="AE59" s="11">
        <v>89000.0</v>
      </c>
      <c r="AF59" s="11">
        <v>77200.0</v>
      </c>
      <c r="AG59" s="11">
        <v>77100.0</v>
      </c>
      <c r="AH59" s="11">
        <v>57900.0</v>
      </c>
      <c r="AI59" s="11">
        <v>86900.0</v>
      </c>
      <c r="AJ59" s="11">
        <v>141100.0</v>
      </c>
      <c r="AK59" s="11">
        <v>126500.0</v>
      </c>
      <c r="AL59" s="11">
        <v>115400.0</v>
      </c>
      <c r="AM59" s="11">
        <v>115800.0</v>
      </c>
      <c r="AN59" s="11">
        <v>24700.0</v>
      </c>
      <c r="AO59" s="11">
        <v>83700.0</v>
      </c>
      <c r="AP59" s="11">
        <v>73100.0</v>
      </c>
      <c r="AQ59" s="11">
        <v>51500.0</v>
      </c>
      <c r="AR59" s="11">
        <v>37900.0</v>
      </c>
      <c r="AS59" s="11">
        <v>-36100.0</v>
      </c>
      <c r="AT59" s="11">
        <v>67400.0</v>
      </c>
      <c r="AU59" s="11">
        <v>64300.0</v>
      </c>
      <c r="AV59" s="11">
        <v>21800.0</v>
      </c>
      <c r="AW59" s="11">
        <v>32100.0</v>
      </c>
      <c r="AX59" s="11">
        <v>-23600.0</v>
      </c>
      <c r="AY59" s="11">
        <v>-17400.0</v>
      </c>
      <c r="AZ59" s="11">
        <v>-22000.0</v>
      </c>
      <c r="BA59" s="11">
        <v>-25200.0</v>
      </c>
      <c r="BB59" s="11">
        <v>-88900.0</v>
      </c>
      <c r="BC59" s="11">
        <v>-10700.0</v>
      </c>
      <c r="BD59" s="11">
        <v>-10500.0</v>
      </c>
      <c r="BE59" s="11">
        <v>-10300.0</v>
      </c>
      <c r="BF59" s="11">
        <v>-10200.0</v>
      </c>
      <c r="BG59" s="11">
        <v>-10400.0</v>
      </c>
      <c r="BH59" s="11">
        <v>424700.0</v>
      </c>
      <c r="BI59" s="11">
        <v>41100.0</v>
      </c>
      <c r="BJ59" s="11">
        <v>41600.0</v>
      </c>
      <c r="BK59" s="11">
        <v>10300.0</v>
      </c>
      <c r="BL59" s="11">
        <v>31200.0</v>
      </c>
      <c r="BM59" s="11">
        <v>229100.0</v>
      </c>
      <c r="BN59" s="11">
        <v>258100.0</v>
      </c>
      <c r="BO59" s="11">
        <v>203000.0</v>
      </c>
      <c r="BP59" s="11">
        <v>234500.0</v>
      </c>
      <c r="BQ59" s="11">
        <v>248300.0</v>
      </c>
      <c r="BR59" s="11">
        <v>623100.0</v>
      </c>
      <c r="BS59" s="11">
        <v>523700.0</v>
      </c>
      <c r="BT59" s="11">
        <v>460700.0</v>
      </c>
      <c r="BU59" s="11">
        <v>433400.0</v>
      </c>
      <c r="BV59" s="11">
        <v>452000.0</v>
      </c>
      <c r="BW59" s="11">
        <v>1440000.0</v>
      </c>
      <c r="BX59" s="11">
        <v>952500.0</v>
      </c>
      <c r="BY59" s="11">
        <v>942700.0</v>
      </c>
      <c r="BZ59" s="11">
        <v>888400.0</v>
      </c>
      <c r="CA59" s="11">
        <v>881700.0</v>
      </c>
      <c r="CB59" s="11">
        <v>437100.0</v>
      </c>
      <c r="CC59" s="11">
        <v>348800.0</v>
      </c>
      <c r="CD59" s="11">
        <v>316600.0</v>
      </c>
      <c r="CE59" s="11">
        <v>276800.0</v>
      </c>
      <c r="CF59" s="11">
        <v>319200.0</v>
      </c>
      <c r="CG59" s="11">
        <v>115700.0</v>
      </c>
      <c r="CH59" s="11">
        <v>116200.0</v>
      </c>
      <c r="CI59" s="11">
        <v>118700.0</v>
      </c>
      <c r="CJ59" s="11">
        <v>105600.0</v>
      </c>
      <c r="CK59" s="11">
        <v>117300.0</v>
      </c>
      <c r="CL59" s="11">
        <v>2080000.0</v>
      </c>
      <c r="CM59" s="11">
        <v>1520000.0</v>
      </c>
      <c r="CN59" s="11">
        <v>1560000.0</v>
      </c>
      <c r="CO59" s="11">
        <v>1550000.0</v>
      </c>
      <c r="CP59" s="11">
        <v>1520000.0</v>
      </c>
      <c r="CQ59" s="11">
        <v>191600.0</v>
      </c>
      <c r="CR59" s="11">
        <v>187800.0</v>
      </c>
      <c r="CS59" s="11">
        <v>170000.0</v>
      </c>
      <c r="CT59" s="11">
        <v>164200.0</v>
      </c>
      <c r="CU59" s="11">
        <v>166300.0</v>
      </c>
      <c r="CV59" s="11">
        <v>383100.0</v>
      </c>
      <c r="CW59" s="12"/>
      <c r="CX59" s="12"/>
      <c r="CY59" s="12"/>
      <c r="CZ59" s="12"/>
      <c r="DA59" s="12"/>
      <c r="DB59" s="11">
        <v>383100.0</v>
      </c>
      <c r="DC59" s="11">
        <v>357500.0</v>
      </c>
      <c r="DD59" s="11">
        <v>333300.0</v>
      </c>
      <c r="DE59" s="11">
        <v>335000.0</v>
      </c>
      <c r="DF59" s="11">
        <v>1180000.0</v>
      </c>
      <c r="DG59" s="11">
        <v>611300.0</v>
      </c>
      <c r="DH59" s="11">
        <v>623100.0</v>
      </c>
      <c r="DI59" s="11">
        <v>638300.0</v>
      </c>
      <c r="DJ59" s="11">
        <v>655000.0</v>
      </c>
      <c r="DK59" s="11">
        <v>17800.0</v>
      </c>
      <c r="DL59" s="11">
        <v>12300.0</v>
      </c>
      <c r="DM59" s="11">
        <v>7600.0</v>
      </c>
      <c r="DN59" s="11">
        <v>15000.0</v>
      </c>
      <c r="DO59" s="11">
        <v>17600.0</v>
      </c>
      <c r="DP59" s="11">
        <v>670900.0</v>
      </c>
      <c r="DQ59" s="11">
        <v>141700.0</v>
      </c>
      <c r="DR59" s="11">
        <v>177200.0</v>
      </c>
      <c r="DS59" s="11">
        <v>154100.0</v>
      </c>
      <c r="DT59" s="11">
        <v>136100.0</v>
      </c>
      <c r="DU59" s="13"/>
      <c r="DV59" s="13"/>
      <c r="DW59" s="13"/>
      <c r="DX59" s="13"/>
      <c r="DY59" s="13"/>
      <c r="DZ59" s="11">
        <v>902600.0</v>
      </c>
      <c r="EA59" s="11">
        <v>905900.0</v>
      </c>
      <c r="EB59" s="11">
        <v>936300.0</v>
      </c>
      <c r="EC59" s="11">
        <v>914200.0</v>
      </c>
      <c r="ED59" s="11">
        <v>865800.0</v>
      </c>
      <c r="EE59" s="14">
        <v>0.087</v>
      </c>
      <c r="EF59" s="14">
        <v>0.075</v>
      </c>
      <c r="EG59" s="14">
        <v>1.897</v>
      </c>
      <c r="EH59" s="14">
        <v>0.532</v>
      </c>
    </row>
    <row r="60">
      <c r="A60" s="9">
        <f t="shared" si="2"/>
        <v>58</v>
      </c>
      <c r="B60" s="10" t="s">
        <v>194</v>
      </c>
      <c r="C60" s="11">
        <v>2170000.0</v>
      </c>
      <c r="D60" s="11">
        <v>2050000.0</v>
      </c>
      <c r="E60" s="11">
        <v>1980000.0</v>
      </c>
      <c r="F60" s="11">
        <v>1900000.0</v>
      </c>
      <c r="G60" s="11">
        <v>1880000.0</v>
      </c>
      <c r="H60" s="11">
        <v>1760000.0</v>
      </c>
      <c r="I60" s="11">
        <v>1710000.0</v>
      </c>
      <c r="J60" s="11">
        <v>358500.0</v>
      </c>
      <c r="K60" s="11">
        <v>320900.0</v>
      </c>
      <c r="L60" s="11">
        <v>287000.0</v>
      </c>
      <c r="M60" s="11">
        <v>212000.0</v>
      </c>
      <c r="N60" s="11">
        <v>183700.0</v>
      </c>
      <c r="O60" s="11">
        <v>118700.0</v>
      </c>
      <c r="P60" s="11">
        <v>90500.0</v>
      </c>
      <c r="Q60" s="11">
        <v>91600.0</v>
      </c>
      <c r="R60" s="11">
        <v>96600.0</v>
      </c>
      <c r="S60" s="11">
        <v>81100.0</v>
      </c>
      <c r="T60" s="11">
        <v>65100.0</v>
      </c>
      <c r="U60" s="11">
        <v>46700.0</v>
      </c>
      <c r="V60" s="11">
        <v>44600.0</v>
      </c>
      <c r="W60" s="11">
        <v>43000.0</v>
      </c>
      <c r="X60" s="11">
        <v>32100.0</v>
      </c>
      <c r="Y60" s="11">
        <v>238200.0</v>
      </c>
      <c r="Z60" s="11">
        <v>213000.0</v>
      </c>
      <c r="AA60" s="11">
        <v>1000.0</v>
      </c>
      <c r="AB60" s="11">
        <v>61200.0</v>
      </c>
      <c r="AC60" s="11">
        <v>33300.0</v>
      </c>
      <c r="AD60" s="11">
        <v>191900.0</v>
      </c>
      <c r="AE60" s="11">
        <v>188600.0</v>
      </c>
      <c r="AF60" s="11">
        <v>86900.0</v>
      </c>
      <c r="AG60" s="11">
        <v>29300.0</v>
      </c>
      <c r="AH60" s="11">
        <v>-16800.0</v>
      </c>
      <c r="AI60" s="11">
        <v>315100.0</v>
      </c>
      <c r="AJ60" s="11">
        <v>285500.0</v>
      </c>
      <c r="AK60" s="11">
        <v>185900.0</v>
      </c>
      <c r="AL60" s="11">
        <v>160600.0</v>
      </c>
      <c r="AM60" s="11">
        <v>150300.0</v>
      </c>
      <c r="AN60" s="11">
        <v>138400.0</v>
      </c>
      <c r="AO60" s="11">
        <v>134400.0</v>
      </c>
      <c r="AP60" s="11">
        <v>-9200.0</v>
      </c>
      <c r="AQ60" s="11">
        <v>17700.0</v>
      </c>
      <c r="AR60" s="11">
        <v>-17100.0</v>
      </c>
      <c r="AS60" s="11">
        <v>261200.0</v>
      </c>
      <c r="AT60" s="11">
        <v>249400.0</v>
      </c>
      <c r="AU60" s="11">
        <v>212800.0</v>
      </c>
      <c r="AV60" s="11">
        <v>158400.0</v>
      </c>
      <c r="AW60" s="11">
        <v>65100.0</v>
      </c>
      <c r="AX60" s="11">
        <v>-42900.0</v>
      </c>
      <c r="AY60" s="11">
        <v>-43200.0</v>
      </c>
      <c r="AZ60" s="11">
        <v>-29400.0</v>
      </c>
      <c r="BA60" s="11">
        <v>-47600.0</v>
      </c>
      <c r="BB60" s="11">
        <v>-36800.0</v>
      </c>
      <c r="BC60" s="12"/>
      <c r="BD60" s="12"/>
      <c r="BE60" s="12"/>
      <c r="BF60" s="12"/>
      <c r="BG60" s="12"/>
      <c r="BH60" s="11">
        <v>935600.0</v>
      </c>
      <c r="BI60" s="11">
        <v>740300.0</v>
      </c>
      <c r="BJ60" s="11">
        <v>555000.0</v>
      </c>
      <c r="BK60" s="11">
        <v>410300.0</v>
      </c>
      <c r="BL60" s="11">
        <v>211100.0</v>
      </c>
      <c r="BM60" s="11">
        <v>380000.0</v>
      </c>
      <c r="BN60" s="11">
        <v>407700.0</v>
      </c>
      <c r="BO60" s="11">
        <v>366600.0</v>
      </c>
      <c r="BP60" s="11">
        <v>237200.0</v>
      </c>
      <c r="BQ60" s="11">
        <v>248700.0</v>
      </c>
      <c r="BR60" s="11">
        <v>24000.0</v>
      </c>
      <c r="BS60" s="11">
        <v>14900.0</v>
      </c>
      <c r="BT60" s="11">
        <v>19300.0</v>
      </c>
      <c r="BU60" s="11">
        <v>185100.0</v>
      </c>
      <c r="BV60" s="11">
        <v>157500.0</v>
      </c>
      <c r="BW60" s="11">
        <v>1370000.0</v>
      </c>
      <c r="BX60" s="11">
        <v>1230000.0</v>
      </c>
      <c r="BY60" s="11">
        <v>1020000.0</v>
      </c>
      <c r="BZ60" s="11">
        <v>854700.0</v>
      </c>
      <c r="CA60" s="11">
        <v>662600.0</v>
      </c>
      <c r="CB60" s="11">
        <v>457900.0</v>
      </c>
      <c r="CC60" s="11">
        <v>399700.0</v>
      </c>
      <c r="CD60" s="11">
        <v>359000.0</v>
      </c>
      <c r="CE60" s="11">
        <v>366000.0</v>
      </c>
      <c r="CF60" s="11">
        <v>365800.0</v>
      </c>
      <c r="CG60" s="11">
        <v>161400.0</v>
      </c>
      <c r="CH60" s="11">
        <v>161300.0</v>
      </c>
      <c r="CI60" s="11">
        <v>161300.0</v>
      </c>
      <c r="CJ60" s="11">
        <v>158100.0</v>
      </c>
      <c r="CK60" s="11">
        <v>158100.0</v>
      </c>
      <c r="CL60" s="11">
        <v>2710000.0</v>
      </c>
      <c r="CM60" s="11">
        <v>2490000.0</v>
      </c>
      <c r="CN60" s="11">
        <v>2260000.0</v>
      </c>
      <c r="CO60" s="11">
        <v>2250000.0</v>
      </c>
      <c r="CP60" s="11">
        <v>2030000.0</v>
      </c>
      <c r="CQ60" s="11">
        <v>127300.0</v>
      </c>
      <c r="CR60" s="11">
        <v>88700.0</v>
      </c>
      <c r="CS60" s="11">
        <v>100900.0</v>
      </c>
      <c r="CT60" s="11">
        <v>96200.0</v>
      </c>
      <c r="CU60" s="11">
        <v>105200.0</v>
      </c>
      <c r="CV60" s="11">
        <v>869900.0</v>
      </c>
      <c r="CW60" s="11">
        <v>12000.0</v>
      </c>
      <c r="CX60" s="12"/>
      <c r="CY60" s="12"/>
      <c r="CZ60" s="12"/>
      <c r="DA60" s="12"/>
      <c r="DB60" s="11">
        <v>869900.0</v>
      </c>
      <c r="DC60" s="11">
        <v>878300.0</v>
      </c>
      <c r="DD60" s="11">
        <v>594800.0</v>
      </c>
      <c r="DE60" s="11">
        <v>583700.0</v>
      </c>
      <c r="DF60" s="11">
        <v>2130000.0</v>
      </c>
      <c r="DG60" s="11">
        <v>2070000.0</v>
      </c>
      <c r="DH60" s="11">
        <v>2160000.0</v>
      </c>
      <c r="DI60" s="11">
        <v>2210000.0</v>
      </c>
      <c r="DJ60" s="11">
        <v>2180000.0</v>
      </c>
      <c r="DK60" s="11">
        <v>100300.0</v>
      </c>
      <c r="DL60" s="11">
        <v>122300.0</v>
      </c>
      <c r="DM60" s="11">
        <v>118200.0</v>
      </c>
      <c r="DN60" s="11">
        <v>108400.0</v>
      </c>
      <c r="DO60" s="11">
        <v>96900.0</v>
      </c>
      <c r="DP60" s="11">
        <v>391400.0</v>
      </c>
      <c r="DQ60" s="11">
        <v>352300.0</v>
      </c>
      <c r="DR60" s="11">
        <v>591400.0</v>
      </c>
      <c r="DS60" s="11">
        <v>608000.0</v>
      </c>
      <c r="DT60" s="11">
        <v>646700.0</v>
      </c>
      <c r="DU60" s="13"/>
      <c r="DV60" s="12"/>
      <c r="DW60" s="12"/>
      <c r="DX60" s="12"/>
      <c r="DY60" s="13"/>
      <c r="DZ60" s="11">
        <v>576700.0</v>
      </c>
      <c r="EA60" s="11">
        <v>421300.0</v>
      </c>
      <c r="EB60" s="11">
        <v>102400.0</v>
      </c>
      <c r="EC60" s="11">
        <v>34500.0</v>
      </c>
      <c r="ED60" s="11">
        <v>-146400.0</v>
      </c>
      <c r="EE60" s="14">
        <v>0.015</v>
      </c>
      <c r="EF60" s="14">
        <v>0.028</v>
      </c>
      <c r="EG60" s="14">
        <v>-0.159</v>
      </c>
      <c r="EH60" s="14">
        <v>-0.076</v>
      </c>
    </row>
    <row r="61">
      <c r="A61" s="9">
        <f t="shared" si="2"/>
        <v>59</v>
      </c>
      <c r="B61" s="22" t="s">
        <v>195</v>
      </c>
      <c r="C61" s="11">
        <v>302980.0</v>
      </c>
      <c r="D61" s="11">
        <v>312080.0</v>
      </c>
      <c r="E61" s="11">
        <v>335000.0</v>
      </c>
      <c r="F61" s="11">
        <v>207740.0</v>
      </c>
      <c r="G61" s="11">
        <v>181230.0</v>
      </c>
      <c r="H61" s="11">
        <v>1540.0</v>
      </c>
      <c r="I61" s="12"/>
      <c r="J61" s="11">
        <v>189650.0</v>
      </c>
      <c r="K61" s="11">
        <v>199080.0</v>
      </c>
      <c r="L61" s="11">
        <v>180610.0</v>
      </c>
      <c r="M61" s="12"/>
      <c r="N61" s="11">
        <v>-96.0</v>
      </c>
      <c r="O61" s="11">
        <v>475940.0</v>
      </c>
      <c r="P61" s="11">
        <v>354140.0</v>
      </c>
      <c r="Q61" s="11">
        <v>257280.0</v>
      </c>
      <c r="R61" s="11">
        <v>137200.0</v>
      </c>
      <c r="S61" s="11">
        <v>61120.0</v>
      </c>
      <c r="T61" s="11">
        <v>322970.0</v>
      </c>
      <c r="U61" s="11">
        <v>291010.0</v>
      </c>
      <c r="V61" s="11">
        <v>230890.0</v>
      </c>
      <c r="W61" s="11">
        <v>115490.0</v>
      </c>
      <c r="X61" s="11">
        <v>42720.0</v>
      </c>
      <c r="Y61" s="12"/>
      <c r="Z61" s="11">
        <v>-178160.0</v>
      </c>
      <c r="AA61" s="12"/>
      <c r="AB61" s="11">
        <v>-136460.0</v>
      </c>
      <c r="AC61" s="11">
        <v>-61510.0</v>
      </c>
      <c r="AD61" s="11">
        <v>-286290.0</v>
      </c>
      <c r="AE61" s="11">
        <v>-171930.0</v>
      </c>
      <c r="AF61" s="11">
        <v>-73670.0</v>
      </c>
      <c r="AG61" s="11">
        <v>-135750.0</v>
      </c>
      <c r="AH61" s="11">
        <v>-60720.0</v>
      </c>
      <c r="AI61" s="11">
        <v>-249870.0</v>
      </c>
      <c r="AJ61" s="11">
        <v>-152650.0</v>
      </c>
      <c r="AK61" s="11">
        <v>-76060.0</v>
      </c>
      <c r="AL61" s="11">
        <v>-135660.0</v>
      </c>
      <c r="AM61" s="11">
        <v>-61120.0</v>
      </c>
      <c r="AN61" s="11">
        <v>-279660.0</v>
      </c>
      <c r="AO61" s="11">
        <v>-143590.0</v>
      </c>
      <c r="AP61" s="11">
        <v>-73670.0</v>
      </c>
      <c r="AQ61" s="11">
        <v>-135750.0</v>
      </c>
      <c r="AR61" s="11">
        <v>-60720.0</v>
      </c>
      <c r="AS61" s="11">
        <v>-259970.0</v>
      </c>
      <c r="AT61" s="11">
        <v>-97490.0</v>
      </c>
      <c r="AU61" s="11">
        <v>-56160.0</v>
      </c>
      <c r="AV61" s="11">
        <v>57910.0</v>
      </c>
      <c r="AW61" s="11">
        <v>-52410.0</v>
      </c>
      <c r="AX61" s="11">
        <v>-6660.0</v>
      </c>
      <c r="AY61" s="11">
        <v>-1610.0</v>
      </c>
      <c r="AZ61" s="11">
        <v>-1620.0</v>
      </c>
      <c r="BA61" s="11">
        <v>-2660.0</v>
      </c>
      <c r="BB61" s="11">
        <v>-414.0</v>
      </c>
      <c r="BC61" s="12"/>
      <c r="BD61" s="12"/>
      <c r="BE61" s="12"/>
      <c r="BF61" s="12"/>
      <c r="BG61" s="12"/>
      <c r="BH61" s="11">
        <v>147960.0</v>
      </c>
      <c r="BI61" s="11">
        <v>321640.0</v>
      </c>
      <c r="BJ61" s="11">
        <v>317790.0</v>
      </c>
      <c r="BK61" s="11">
        <v>260340.0</v>
      </c>
      <c r="BL61" s="11">
        <v>138450.0</v>
      </c>
      <c r="BM61" s="11">
        <v>38860.0</v>
      </c>
      <c r="BN61" s="11">
        <v>16670.0</v>
      </c>
      <c r="BO61" s="11">
        <v>34220.0</v>
      </c>
      <c r="BP61" s="11">
        <v>33820.0</v>
      </c>
      <c r="BQ61" s="12"/>
      <c r="BR61" s="11">
        <v>116350.0</v>
      </c>
      <c r="BS61" s="11">
        <v>114250.0</v>
      </c>
      <c r="BT61" s="12"/>
      <c r="BU61" s="12"/>
      <c r="BV61" s="12"/>
      <c r="BW61" s="11">
        <v>309530.0</v>
      </c>
      <c r="BX61" s="11">
        <v>468280.0</v>
      </c>
      <c r="BY61" s="11">
        <v>358360.0</v>
      </c>
      <c r="BZ61" s="11">
        <v>296320.0</v>
      </c>
      <c r="CA61" s="11">
        <v>141020.0</v>
      </c>
      <c r="CB61" s="11">
        <v>39420.0</v>
      </c>
      <c r="CC61" s="11">
        <v>8020.0</v>
      </c>
      <c r="CD61" s="11">
        <v>3620.0</v>
      </c>
      <c r="CE61" s="11">
        <v>2610.0</v>
      </c>
      <c r="CF61" s="11">
        <v>540.0</v>
      </c>
      <c r="CG61" s="11">
        <v>55050.0</v>
      </c>
      <c r="CH61" s="11">
        <v>55050.0</v>
      </c>
      <c r="CI61" s="12"/>
      <c r="CJ61" s="12"/>
      <c r="CK61" s="12"/>
      <c r="CL61" s="11">
        <v>771200.0</v>
      </c>
      <c r="CM61" s="11">
        <v>1110000.0</v>
      </c>
      <c r="CN61" s="11">
        <v>364430.0</v>
      </c>
      <c r="CO61" s="11">
        <v>300220.0</v>
      </c>
      <c r="CP61" s="11">
        <v>142940.0</v>
      </c>
      <c r="CQ61" s="11">
        <v>39220.0</v>
      </c>
      <c r="CR61" s="11">
        <v>42800.0</v>
      </c>
      <c r="CS61" s="11">
        <v>7000.0</v>
      </c>
      <c r="CT61" s="12"/>
      <c r="CU61" s="12"/>
      <c r="CV61" s="11">
        <v>208120.0</v>
      </c>
      <c r="CW61" s="11">
        <v>4990.0</v>
      </c>
      <c r="CX61" s="11">
        <v>15000.0</v>
      </c>
      <c r="CY61" s="12"/>
      <c r="CZ61" s="12"/>
      <c r="DA61" s="12"/>
      <c r="DB61" s="11">
        <v>208120.0</v>
      </c>
      <c r="DC61" s="11">
        <v>265690.0</v>
      </c>
      <c r="DD61" s="11">
        <v>141110.0</v>
      </c>
      <c r="DE61" s="11">
        <v>114270.0</v>
      </c>
      <c r="DF61" s="11">
        <v>376440.0</v>
      </c>
      <c r="DG61" s="11">
        <v>473390.0</v>
      </c>
      <c r="DH61" s="11">
        <v>241850.0</v>
      </c>
      <c r="DI61" s="11">
        <v>232100.0</v>
      </c>
      <c r="DJ61" s="11">
        <v>11940.0</v>
      </c>
      <c r="DK61" s="11">
        <v>2090.0</v>
      </c>
      <c r="DL61" s="11">
        <v>2460.0</v>
      </c>
      <c r="DM61" s="11">
        <v>1280.0</v>
      </c>
      <c r="DN61" s="12"/>
      <c r="DO61" s="12"/>
      <c r="DP61" s="11">
        <v>103330.0</v>
      </c>
      <c r="DQ61" s="12"/>
      <c r="DR61" s="12"/>
      <c r="DS61" s="11">
        <v>5.0</v>
      </c>
      <c r="DT61" s="11">
        <v>6.0</v>
      </c>
      <c r="DU61" s="13"/>
      <c r="DV61" s="12"/>
      <c r="DW61" s="12"/>
      <c r="DX61" s="13"/>
      <c r="DY61" s="13"/>
      <c r="DZ61" s="11">
        <v>394760.0</v>
      </c>
      <c r="EA61" s="11">
        <v>635930.0</v>
      </c>
      <c r="EB61" s="11">
        <v>122570.0</v>
      </c>
      <c r="EC61" s="11">
        <v>68120.0</v>
      </c>
      <c r="ED61" s="11">
        <v>131000.0</v>
      </c>
      <c r="EE61" s="14">
        <v>0.245</v>
      </c>
      <c r="EF61" s="14">
        <v>0.869</v>
      </c>
      <c r="EG61" s="14">
        <v>-1.56</v>
      </c>
      <c r="EH61" s="14">
        <v>-0.517</v>
      </c>
    </row>
    <row r="62">
      <c r="A62" s="9">
        <f t="shared" si="2"/>
        <v>60</v>
      </c>
      <c r="B62" s="22" t="s">
        <v>196</v>
      </c>
      <c r="C62" s="11">
        <v>161730.0</v>
      </c>
      <c r="D62" s="11">
        <v>108140.0</v>
      </c>
      <c r="E62" s="11">
        <v>488540.0</v>
      </c>
      <c r="F62" s="11">
        <v>64870.0</v>
      </c>
      <c r="G62" s="11">
        <v>43400.0</v>
      </c>
      <c r="H62" s="12"/>
      <c r="I62" s="12"/>
      <c r="J62" s="11">
        <v>472710.0</v>
      </c>
      <c r="K62" s="11">
        <v>53130.0</v>
      </c>
      <c r="L62" s="11">
        <v>43170.0</v>
      </c>
      <c r="M62" s="11">
        <v>-131.0</v>
      </c>
      <c r="N62" s="11">
        <v>-119.0</v>
      </c>
      <c r="O62" s="11">
        <v>474360.0</v>
      </c>
      <c r="P62" s="11">
        <v>281800.0</v>
      </c>
      <c r="Q62" s="11">
        <v>163640.0</v>
      </c>
      <c r="R62" s="11">
        <v>83380.0</v>
      </c>
      <c r="S62" s="11">
        <v>61320.0</v>
      </c>
      <c r="T62" s="11">
        <v>292850.0</v>
      </c>
      <c r="U62" s="11">
        <v>129840.0</v>
      </c>
      <c r="V62" s="11">
        <v>126890.0</v>
      </c>
      <c r="W62" s="11">
        <v>68460.0</v>
      </c>
      <c r="X62" s="11">
        <v>50890.0</v>
      </c>
      <c r="Y62" s="12"/>
      <c r="Z62" s="11">
        <v>-230820.0</v>
      </c>
      <c r="AA62" s="12"/>
      <c r="AB62" s="12"/>
      <c r="AC62" s="12"/>
      <c r="AD62" s="11">
        <v>42960.0</v>
      </c>
      <c r="AE62" s="11">
        <v>-225370.0</v>
      </c>
      <c r="AF62" s="11">
        <v>-120280.0</v>
      </c>
      <c r="AG62" s="11">
        <v>-83220.0</v>
      </c>
      <c r="AH62" s="11">
        <v>-61420.0</v>
      </c>
      <c r="AI62" s="11">
        <v>5950.0</v>
      </c>
      <c r="AJ62" s="11">
        <v>-225490.0</v>
      </c>
      <c r="AK62" s="11">
        <v>-120240.0</v>
      </c>
      <c r="AL62" s="11">
        <v>-83380.0</v>
      </c>
      <c r="AM62" s="11">
        <v>-61320.0</v>
      </c>
      <c r="AN62" s="11">
        <v>27280.0</v>
      </c>
      <c r="AO62" s="11">
        <v>-233610.0</v>
      </c>
      <c r="AP62" s="11">
        <v>-121560.0</v>
      </c>
      <c r="AQ62" s="11">
        <v>-83220.0</v>
      </c>
      <c r="AR62" s="11">
        <v>-61420.0</v>
      </c>
      <c r="AS62" s="11">
        <v>223830.0</v>
      </c>
      <c r="AT62" s="11">
        <v>-202890.0</v>
      </c>
      <c r="AU62" s="11">
        <v>-36190.0</v>
      </c>
      <c r="AV62" s="11">
        <v>-55360.0</v>
      </c>
      <c r="AW62" s="11">
        <v>-44280.0</v>
      </c>
      <c r="AX62" s="11">
        <v>-1600.0</v>
      </c>
      <c r="AY62" s="11">
        <v>-1120.0</v>
      </c>
      <c r="AZ62" s="11">
        <v>-9.0</v>
      </c>
      <c r="BA62" s="11">
        <v>-179.0</v>
      </c>
      <c r="BB62" s="11">
        <v>-10.0</v>
      </c>
      <c r="BC62" s="12"/>
      <c r="BD62" s="12"/>
      <c r="BE62" s="12"/>
      <c r="BF62" s="12"/>
      <c r="BG62" s="12"/>
      <c r="BH62" s="11">
        <v>463670.0</v>
      </c>
      <c r="BI62" s="11">
        <v>252610.0</v>
      </c>
      <c r="BJ62" s="11">
        <v>260130.0</v>
      </c>
      <c r="BK62" s="11">
        <v>7860.0</v>
      </c>
      <c r="BL62" s="11">
        <v>64310.0</v>
      </c>
      <c r="BM62" s="11">
        <v>13730.0</v>
      </c>
      <c r="BN62" s="11">
        <v>4600.0</v>
      </c>
      <c r="BO62" s="11">
        <v>5410.0</v>
      </c>
      <c r="BP62" s="12"/>
      <c r="BQ62" s="12"/>
      <c r="BR62" s="11">
        <v>8820.0</v>
      </c>
      <c r="BS62" s="11">
        <v>85.0</v>
      </c>
      <c r="BT62" s="12"/>
      <c r="BU62" s="12"/>
      <c r="BV62" s="12"/>
      <c r="BW62" s="11">
        <v>496910.0</v>
      </c>
      <c r="BX62" s="11">
        <v>267240.0</v>
      </c>
      <c r="BY62" s="11">
        <v>266850.0</v>
      </c>
      <c r="BZ62" s="11">
        <v>9070.0</v>
      </c>
      <c r="CA62" s="11">
        <v>64530.0</v>
      </c>
      <c r="CB62" s="11">
        <v>16360.0</v>
      </c>
      <c r="CC62" s="11">
        <v>5700.0</v>
      </c>
      <c r="CD62" s="11">
        <v>77.0</v>
      </c>
      <c r="CE62" s="11">
        <v>177.0</v>
      </c>
      <c r="CF62" s="11">
        <v>10.0</v>
      </c>
      <c r="CG62" s="12"/>
      <c r="CH62" s="12"/>
      <c r="CI62" s="12"/>
      <c r="CJ62" s="12"/>
      <c r="CK62" s="12"/>
      <c r="CL62" s="11">
        <v>599250.0</v>
      </c>
      <c r="CM62" s="11">
        <v>365260.0</v>
      </c>
      <c r="CN62" s="11">
        <v>268800.0</v>
      </c>
      <c r="CO62" s="11">
        <v>10680.0</v>
      </c>
      <c r="CP62" s="11">
        <v>66070.0</v>
      </c>
      <c r="CQ62" s="11">
        <v>10220.0</v>
      </c>
      <c r="CR62" s="11">
        <v>12070.0</v>
      </c>
      <c r="CS62" s="11">
        <v>2380.0</v>
      </c>
      <c r="CT62" s="12"/>
      <c r="CU62" s="12"/>
      <c r="CV62" s="11">
        <v>42000.0</v>
      </c>
      <c r="CW62" s="11">
        <v>1400.0</v>
      </c>
      <c r="CX62" s="12"/>
      <c r="CY62" s="12"/>
      <c r="CZ62" s="12"/>
      <c r="DA62" s="12"/>
      <c r="DB62" s="11">
        <v>42000.0</v>
      </c>
      <c r="DC62" s="11">
        <v>80660.0</v>
      </c>
      <c r="DD62" s="11">
        <v>88470.0</v>
      </c>
      <c r="DE62" s="11">
        <v>28410.0</v>
      </c>
      <c r="DF62" s="11">
        <v>56250.0</v>
      </c>
      <c r="DG62" s="11">
        <v>88540.0</v>
      </c>
      <c r="DH62" s="11">
        <v>100980.0</v>
      </c>
      <c r="DI62" s="11">
        <v>28430.0</v>
      </c>
      <c r="DJ62" s="11">
        <v>10800.0</v>
      </c>
      <c r="DK62" s="11">
        <v>2380.0</v>
      </c>
      <c r="DL62" s="11">
        <v>2380.0</v>
      </c>
      <c r="DM62" s="12"/>
      <c r="DN62" s="12"/>
      <c r="DO62" s="12"/>
      <c r="DP62" s="11">
        <v>14250.0</v>
      </c>
      <c r="DQ62" s="12"/>
      <c r="DR62" s="12"/>
      <c r="DS62" s="12"/>
      <c r="DT62" s="12"/>
      <c r="DU62" s="13"/>
      <c r="DV62" s="12"/>
      <c r="DW62" s="12"/>
      <c r="DX62" s="11">
        <v>100000.0</v>
      </c>
      <c r="DY62" s="11">
        <v>100000.0</v>
      </c>
      <c r="DZ62" s="11">
        <v>543000.0</v>
      </c>
      <c r="EA62" s="11">
        <v>276720.0</v>
      </c>
      <c r="EB62" s="11">
        <v>167830.0</v>
      </c>
      <c r="EC62" s="11">
        <v>-17750.0</v>
      </c>
      <c r="ED62" s="11">
        <v>55270.0</v>
      </c>
      <c r="EE62" s="14">
        <v>0.5</v>
      </c>
      <c r="EF62" s="14">
        <v>0.578</v>
      </c>
      <c r="EG62" s="14">
        <v>-0.4</v>
      </c>
      <c r="EH62" s="14">
        <v>-0.065</v>
      </c>
    </row>
    <row r="63">
      <c r="A63" s="9">
        <f t="shared" si="2"/>
        <v>61</v>
      </c>
      <c r="B63" s="10" t="s">
        <v>197</v>
      </c>
      <c r="C63" s="15">
        <v>275200.0</v>
      </c>
      <c r="D63" s="15">
        <v>281670.0</v>
      </c>
      <c r="E63" s="15">
        <v>8170000.0</v>
      </c>
      <c r="F63" s="15">
        <v>3050000.0</v>
      </c>
      <c r="G63" s="15">
        <v>3690000.0</v>
      </c>
      <c r="H63" s="15">
        <v>3920000.0</v>
      </c>
      <c r="I63" s="15">
        <v>4200000.0</v>
      </c>
      <c r="J63" s="15">
        <v>515950.0</v>
      </c>
      <c r="K63" s="15">
        <v>297770.0</v>
      </c>
      <c r="L63" s="15">
        <v>313380.0</v>
      </c>
      <c r="M63" s="15">
        <v>360520.0</v>
      </c>
      <c r="N63" s="15">
        <v>313300.0</v>
      </c>
      <c r="O63" s="15">
        <v>436840.0</v>
      </c>
      <c r="P63" s="15">
        <v>251370.0</v>
      </c>
      <c r="Q63" s="15">
        <v>287930.0</v>
      </c>
      <c r="R63" s="15">
        <v>318400.0</v>
      </c>
      <c r="S63" s="15">
        <v>338110.0</v>
      </c>
      <c r="T63" s="15">
        <v>0.0</v>
      </c>
      <c r="U63" s="15">
        <v>0.0</v>
      </c>
      <c r="V63" s="15">
        <v>0.0</v>
      </c>
      <c r="W63" s="15">
        <v>0.0</v>
      </c>
      <c r="X63" s="15">
        <v>0.0</v>
      </c>
      <c r="Y63" s="15">
        <v>71200.0</v>
      </c>
      <c r="Z63" s="15">
        <v>33350.0</v>
      </c>
      <c r="AA63" s="15">
        <v>-42720.0</v>
      </c>
      <c r="AB63" s="15">
        <v>33510.0</v>
      </c>
      <c r="AC63" s="15">
        <v>-133490.0</v>
      </c>
      <c r="AD63" s="15">
        <v>28110.0</v>
      </c>
      <c r="AE63" s="15">
        <v>53160.0</v>
      </c>
      <c r="AF63" s="15">
        <v>-20530.0</v>
      </c>
      <c r="AG63" s="15">
        <v>21380.0</v>
      </c>
      <c r="AH63" s="15">
        <v>-11560.0</v>
      </c>
      <c r="AI63" s="15">
        <v>225280.0</v>
      </c>
      <c r="AJ63" s="15">
        <v>136690.0</v>
      </c>
      <c r="AK63" s="15">
        <v>111860.0</v>
      </c>
      <c r="AL63" s="15">
        <v>126450.0</v>
      </c>
      <c r="AM63" s="15">
        <v>53640.0</v>
      </c>
      <c r="AN63" s="15">
        <v>18310.0</v>
      </c>
      <c r="AO63" s="15">
        <v>41480.0</v>
      </c>
      <c r="AP63" s="15">
        <v>42510.0</v>
      </c>
      <c r="AQ63" s="15">
        <v>11590.0</v>
      </c>
      <c r="AR63" s="15">
        <v>-13100.0</v>
      </c>
      <c r="AS63" s="15">
        <v>348560.0</v>
      </c>
      <c r="AT63" s="15">
        <v>-35520.0</v>
      </c>
      <c r="AU63" s="15">
        <v>55000.0</v>
      </c>
      <c r="AV63" s="15">
        <v>49580.0</v>
      </c>
      <c r="AW63" s="15">
        <v>140040.0</v>
      </c>
      <c r="AX63" s="15">
        <v>-270480.0</v>
      </c>
      <c r="AY63" s="15">
        <v>-309580.0</v>
      </c>
      <c r="AZ63" s="15">
        <v>-177620.0</v>
      </c>
      <c r="BA63" s="15">
        <v>-163010.0</v>
      </c>
      <c r="BB63" s="15">
        <v>-187500.0</v>
      </c>
      <c r="BC63" s="15">
        <v>-22120.0</v>
      </c>
      <c r="BD63" s="15">
        <v>-18640.0</v>
      </c>
      <c r="BE63" s="15">
        <v>-18150.0</v>
      </c>
      <c r="BF63" s="15">
        <v>-17360.0</v>
      </c>
      <c r="BG63" s="15">
        <v>-15920.0</v>
      </c>
      <c r="BH63" s="15">
        <v>54900.0</v>
      </c>
      <c r="BI63" s="15">
        <v>22590.0</v>
      </c>
      <c r="BJ63" s="15">
        <v>34920.0</v>
      </c>
      <c r="BK63" s="15">
        <v>63100.0</v>
      </c>
      <c r="BL63" s="15">
        <v>64200.0</v>
      </c>
      <c r="BM63" s="15">
        <v>536370.0</v>
      </c>
      <c r="BN63" s="15">
        <v>207290.0</v>
      </c>
      <c r="BO63" s="15">
        <v>183240.0</v>
      </c>
      <c r="BP63" s="15">
        <v>194700.0</v>
      </c>
      <c r="BQ63" s="15">
        <v>170910.0</v>
      </c>
      <c r="BR63" s="15">
        <v>1170000.0</v>
      </c>
      <c r="BS63" s="15">
        <v>690800.0</v>
      </c>
      <c r="BT63" s="15">
        <v>648700.0</v>
      </c>
      <c r="BU63" s="15">
        <v>682750.0</v>
      </c>
      <c r="BV63" s="15">
        <v>747400.0</v>
      </c>
      <c r="BW63" s="15">
        <v>1950000.0</v>
      </c>
      <c r="BX63" s="15">
        <v>1020000.0</v>
      </c>
      <c r="BY63" s="15">
        <v>999210.0</v>
      </c>
      <c r="BZ63" s="15">
        <v>1060000.0</v>
      </c>
      <c r="CA63" s="15">
        <v>1130000.0</v>
      </c>
      <c r="CB63" s="15">
        <v>1600000.0</v>
      </c>
      <c r="CC63" s="15">
        <v>998500.0</v>
      </c>
      <c r="CD63" s="15">
        <v>808120.0</v>
      </c>
      <c r="CE63" s="15">
        <v>777250.0</v>
      </c>
      <c r="CF63" s="15">
        <v>793370.0</v>
      </c>
      <c r="CG63" s="15">
        <v>135360.0</v>
      </c>
      <c r="CH63" s="15">
        <v>6020.0</v>
      </c>
      <c r="CI63" s="15">
        <v>6020.0</v>
      </c>
      <c r="CJ63" s="15">
        <v>63930.0</v>
      </c>
      <c r="CK63" s="15">
        <v>63930.0</v>
      </c>
      <c r="CL63" s="15">
        <v>3900000.0</v>
      </c>
      <c r="CM63" s="15">
        <v>2390000.0</v>
      </c>
      <c r="CN63" s="15">
        <v>2160000.0</v>
      </c>
      <c r="CO63" s="15">
        <v>2230000.0</v>
      </c>
      <c r="CP63" s="15">
        <v>2360000.0</v>
      </c>
      <c r="CQ63" s="15">
        <v>873080.0</v>
      </c>
      <c r="CR63" s="15">
        <v>462540.0</v>
      </c>
      <c r="CS63" s="15">
        <v>503570.0</v>
      </c>
      <c r="CT63" s="15">
        <v>581830.0</v>
      </c>
      <c r="CU63" s="15">
        <v>668790.0</v>
      </c>
      <c r="CV63" s="15">
        <v>1440000.0</v>
      </c>
      <c r="CW63" s="15">
        <v>172730.0</v>
      </c>
      <c r="CX63" s="15">
        <v>205000.0</v>
      </c>
      <c r="CY63" s="15">
        <v>22000.0</v>
      </c>
      <c r="CZ63" s="15">
        <v>29000.0</v>
      </c>
      <c r="DA63" s="15">
        <v>16990.0</v>
      </c>
      <c r="DB63" s="15">
        <v>1440000.0</v>
      </c>
      <c r="DC63" s="15">
        <v>833350.0</v>
      </c>
      <c r="DD63" s="15">
        <v>738720.0</v>
      </c>
      <c r="DE63" s="15">
        <v>799780.0</v>
      </c>
      <c r="DF63" s="15">
        <v>2710000.0</v>
      </c>
      <c r="DG63" s="15">
        <v>1520000.0</v>
      </c>
      <c r="DH63" s="15">
        <v>1340000.0</v>
      </c>
      <c r="DI63" s="15">
        <v>1440000.0</v>
      </c>
      <c r="DJ63" s="15">
        <v>1580000.0</v>
      </c>
      <c r="DK63" s="15">
        <v>33210.0</v>
      </c>
      <c r="DL63" s="15">
        <v>249960.0</v>
      </c>
      <c r="DM63" s="15">
        <v>223550.0</v>
      </c>
      <c r="DN63" s="15">
        <v>217030.0</v>
      </c>
      <c r="DO63" s="15">
        <v>242520.0</v>
      </c>
      <c r="DP63" s="15">
        <v>1070000.0</v>
      </c>
      <c r="DQ63" s="15">
        <v>496190.0</v>
      </c>
      <c r="DR63" s="15">
        <v>442640.0</v>
      </c>
      <c r="DS63" s="15">
        <v>411070.0</v>
      </c>
      <c r="DT63" s="15">
        <v>436210.0</v>
      </c>
      <c r="DU63" s="16">
        <v>0.0</v>
      </c>
      <c r="DV63" s="15">
        <v>0.0</v>
      </c>
      <c r="DW63" s="15">
        <v>0.0</v>
      </c>
      <c r="DX63" s="15">
        <v>0.0</v>
      </c>
      <c r="DY63" s="16">
        <v>0.0</v>
      </c>
      <c r="DZ63" s="15">
        <v>973610.0</v>
      </c>
      <c r="EA63" s="15">
        <v>830320.0</v>
      </c>
      <c r="EB63" s="15">
        <v>815200.0</v>
      </c>
      <c r="EC63" s="15">
        <v>774360.0</v>
      </c>
      <c r="ED63" s="15">
        <v>764250.0</v>
      </c>
      <c r="EE63" s="17">
        <v>0.738</v>
      </c>
      <c r="EF63" s="17">
        <v>0.722</v>
      </c>
      <c r="EG63" s="17">
        <v>1.0</v>
      </c>
      <c r="EH63" s="17">
        <v>-5.792</v>
      </c>
    </row>
    <row r="64">
      <c r="A64" s="9">
        <f t="shared" si="2"/>
        <v>62</v>
      </c>
      <c r="B64" s="22" t="s">
        <v>198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1">
        <v>45630.0</v>
      </c>
      <c r="P64" s="11">
        <v>13780.0</v>
      </c>
      <c r="Q64" s="11">
        <v>4560.0</v>
      </c>
      <c r="R64" s="12"/>
      <c r="S64" s="12"/>
      <c r="T64" s="11">
        <v>37050.0</v>
      </c>
      <c r="U64" s="11">
        <v>11880.0</v>
      </c>
      <c r="V64" s="11">
        <v>3490.0</v>
      </c>
      <c r="W64" s="12"/>
      <c r="X64" s="12"/>
      <c r="Y64" s="12"/>
      <c r="Z64" s="11">
        <v>-81690.0</v>
      </c>
      <c r="AA64" s="12"/>
      <c r="AB64" s="12"/>
      <c r="AC64" s="12"/>
      <c r="AD64" s="11">
        <v>-43730.0</v>
      </c>
      <c r="AE64" s="11">
        <v>-81710.0</v>
      </c>
      <c r="AF64" s="11">
        <v>-4560.0</v>
      </c>
      <c r="AG64" s="12"/>
      <c r="AH64" s="12"/>
      <c r="AI64" s="11">
        <v>-45630.0</v>
      </c>
      <c r="AJ64" s="11">
        <v>-13780.0</v>
      </c>
      <c r="AK64" s="11">
        <v>-4560.0</v>
      </c>
      <c r="AL64" s="12"/>
      <c r="AM64" s="12"/>
      <c r="AN64" s="11">
        <v>-43760.0</v>
      </c>
      <c r="AO64" s="11">
        <v>-81710.0</v>
      </c>
      <c r="AP64" s="11">
        <v>-4560.0</v>
      </c>
      <c r="AQ64" s="12"/>
      <c r="AR64" s="12"/>
      <c r="AS64" s="11">
        <v>-35630.0</v>
      </c>
      <c r="AT64" s="11">
        <v>-4630.0</v>
      </c>
      <c r="AU64" s="11">
        <v>-4380.0</v>
      </c>
      <c r="AV64" s="12"/>
      <c r="AW64" s="12"/>
      <c r="AX64" s="12"/>
      <c r="AY64" s="11">
        <v>-5000.0</v>
      </c>
      <c r="AZ64" s="12"/>
      <c r="BA64" s="12"/>
      <c r="BB64" s="12"/>
      <c r="BC64" s="12"/>
      <c r="BD64" s="12"/>
      <c r="BE64" s="12"/>
      <c r="BF64" s="12"/>
      <c r="BG64" s="12"/>
      <c r="BH64" s="11">
        <v>136400.0</v>
      </c>
      <c r="BI64" s="11">
        <v>75980.0</v>
      </c>
      <c r="BJ64" s="11">
        <v>598.0</v>
      </c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1">
        <v>138050.0</v>
      </c>
      <c r="BX64" s="11">
        <v>77130.0</v>
      </c>
      <c r="BY64" s="11">
        <v>638.0</v>
      </c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1">
        <v>138120.0</v>
      </c>
      <c r="CM64" s="11">
        <v>77150.0</v>
      </c>
      <c r="CN64" s="11">
        <v>658.0</v>
      </c>
      <c r="CO64" s="12"/>
      <c r="CP64" s="12"/>
      <c r="CQ64" s="11">
        <v>947.0</v>
      </c>
      <c r="CR64" s="11">
        <v>1370.0</v>
      </c>
      <c r="CS64" s="11">
        <v>60.0</v>
      </c>
      <c r="CT64" s="12"/>
      <c r="CU64" s="12"/>
      <c r="CV64" s="11">
        <v>9370.0</v>
      </c>
      <c r="CW64" s="12"/>
      <c r="CX64" s="12"/>
      <c r="CY64" s="12"/>
      <c r="CZ64" s="12"/>
      <c r="DA64" s="12"/>
      <c r="DB64" s="11">
        <v>9370.0</v>
      </c>
      <c r="DC64" s="11">
        <v>2340.0</v>
      </c>
      <c r="DD64" s="11">
        <v>222.0</v>
      </c>
      <c r="DE64" s="12"/>
      <c r="DF64" s="11">
        <v>9390.0</v>
      </c>
      <c r="DG64" s="11">
        <v>2340.0</v>
      </c>
      <c r="DH64" s="11">
        <v>222.0</v>
      </c>
      <c r="DI64" s="12"/>
      <c r="DJ64" s="12"/>
      <c r="DK64" s="11">
        <v>40.0</v>
      </c>
      <c r="DL64" s="11">
        <v>20.0</v>
      </c>
      <c r="DM64" s="11">
        <v>20.0</v>
      </c>
      <c r="DN64" s="12"/>
      <c r="DO64" s="12"/>
      <c r="DP64" s="12"/>
      <c r="DQ64" s="12"/>
      <c r="DR64" s="12"/>
      <c r="DS64" s="12"/>
      <c r="DT64" s="12"/>
      <c r="DU64" s="13"/>
      <c r="DV64" s="11">
        <v>124730.0</v>
      </c>
      <c r="DW64" s="11">
        <v>5000.0</v>
      </c>
      <c r="DX64" s="13"/>
      <c r="DY64" s="13"/>
      <c r="DZ64" s="11">
        <v>128730.0</v>
      </c>
      <c r="EA64" s="11">
        <v>74810.0</v>
      </c>
      <c r="EB64" s="11">
        <v>436.0</v>
      </c>
      <c r="EC64" s="12"/>
      <c r="ED64" s="12"/>
      <c r="EE64" s="23"/>
      <c r="EF64" s="23"/>
      <c r="EG64" s="14">
        <v>0.081</v>
      </c>
      <c r="EH64" s="14">
        <v>0.04</v>
      </c>
    </row>
    <row r="65">
      <c r="A65" s="9">
        <f t="shared" si="2"/>
        <v>63</v>
      </c>
      <c r="B65" s="22" t="s">
        <v>199</v>
      </c>
      <c r="C65" s="11">
        <v>8900.0</v>
      </c>
      <c r="D65" s="12"/>
      <c r="E65" s="12"/>
      <c r="F65" s="12"/>
      <c r="G65" s="12"/>
      <c r="H65" s="12"/>
      <c r="I65" s="12"/>
      <c r="J65" s="11">
        <v>-19.0</v>
      </c>
      <c r="K65" s="11">
        <v>-36.0</v>
      </c>
      <c r="L65" s="11">
        <v>-43.0</v>
      </c>
      <c r="M65" s="11">
        <v>-40.0</v>
      </c>
      <c r="N65" s="11">
        <v>-10.0</v>
      </c>
      <c r="O65" s="11">
        <v>24950.0</v>
      </c>
      <c r="P65" s="11">
        <v>22620.0</v>
      </c>
      <c r="Q65" s="11">
        <v>35420.0</v>
      </c>
      <c r="R65" s="11">
        <v>27590.0</v>
      </c>
      <c r="S65" s="11">
        <v>11270.0</v>
      </c>
      <c r="T65" s="11">
        <v>16720.0</v>
      </c>
      <c r="U65" s="11">
        <v>11780.0</v>
      </c>
      <c r="V65" s="11">
        <v>23530.0</v>
      </c>
      <c r="W65" s="11">
        <v>17760.0</v>
      </c>
      <c r="X65" s="11">
        <v>5790.0</v>
      </c>
      <c r="Y65" s="11">
        <v>-25030.0</v>
      </c>
      <c r="Z65" s="11">
        <v>-16720.0</v>
      </c>
      <c r="AA65" s="11">
        <v>-35580.0</v>
      </c>
      <c r="AB65" s="11">
        <v>-18960.0</v>
      </c>
      <c r="AC65" s="11">
        <v>-19140.0</v>
      </c>
      <c r="AD65" s="11">
        <v>-25120.0</v>
      </c>
      <c r="AE65" s="11">
        <v>-16440.0</v>
      </c>
      <c r="AF65" s="11">
        <v>-35780.0</v>
      </c>
      <c r="AG65" s="11">
        <v>-18590.0</v>
      </c>
      <c r="AH65" s="11">
        <v>-45230.0</v>
      </c>
      <c r="AI65" s="11">
        <v>-24950.0</v>
      </c>
      <c r="AJ65" s="11">
        <v>-22620.0</v>
      </c>
      <c r="AK65" s="11">
        <v>-35420.0</v>
      </c>
      <c r="AL65" s="11">
        <v>-27590.0</v>
      </c>
      <c r="AM65" s="11">
        <v>-11270.0</v>
      </c>
      <c r="AN65" s="11">
        <v>-17180.0</v>
      </c>
      <c r="AO65" s="11">
        <v>-16440.0</v>
      </c>
      <c r="AP65" s="11">
        <v>-35780.0</v>
      </c>
      <c r="AQ65" s="11">
        <v>-18020.0</v>
      </c>
      <c r="AR65" s="11">
        <v>-45230.0</v>
      </c>
      <c r="AS65" s="11">
        <v>-12970.0</v>
      </c>
      <c r="AT65" s="11">
        <v>-22540.0</v>
      </c>
      <c r="AU65" s="11">
        <v>-31940.0</v>
      </c>
      <c r="AV65" s="11">
        <v>-24450.0</v>
      </c>
      <c r="AW65" s="11">
        <v>-4960.0</v>
      </c>
      <c r="AX65" s="12"/>
      <c r="AY65" s="12"/>
      <c r="AZ65" s="11">
        <v>-37.0</v>
      </c>
      <c r="BA65" s="11">
        <v>-54.0</v>
      </c>
      <c r="BB65" s="11">
        <v>-11.0</v>
      </c>
      <c r="BC65" s="12"/>
      <c r="BD65" s="12"/>
      <c r="BE65" s="12"/>
      <c r="BF65" s="12"/>
      <c r="BG65" s="12"/>
      <c r="BH65" s="11">
        <v>5730.0</v>
      </c>
      <c r="BI65" s="11">
        <v>5450.0</v>
      </c>
      <c r="BJ65" s="11">
        <v>28110.0</v>
      </c>
      <c r="BK65" s="11">
        <v>44590.0</v>
      </c>
      <c r="BL65" s="11">
        <v>68920.0</v>
      </c>
      <c r="BM65" s="12"/>
      <c r="BN65" s="12"/>
      <c r="BO65" s="12"/>
      <c r="BP65" s="12"/>
      <c r="BQ65" s="11">
        <v>10.0</v>
      </c>
      <c r="BR65" s="12"/>
      <c r="BS65" s="12"/>
      <c r="BT65" s="12"/>
      <c r="BU65" s="12"/>
      <c r="BV65" s="12"/>
      <c r="BW65" s="11">
        <v>6440.0</v>
      </c>
      <c r="BX65" s="11">
        <v>6870.0</v>
      </c>
      <c r="BY65" s="11">
        <v>28810.0</v>
      </c>
      <c r="BZ65" s="11">
        <v>46120.0</v>
      </c>
      <c r="CA65" s="11">
        <v>69660.0</v>
      </c>
      <c r="CB65" s="11">
        <v>5.0</v>
      </c>
      <c r="CC65" s="11">
        <v>20.0</v>
      </c>
      <c r="CD65" s="11">
        <v>56.0</v>
      </c>
      <c r="CE65" s="11">
        <v>59.0</v>
      </c>
      <c r="CF65" s="11">
        <v>41.0</v>
      </c>
      <c r="CG65" s="12"/>
      <c r="CH65" s="12"/>
      <c r="CI65" s="12"/>
      <c r="CJ65" s="12"/>
      <c r="CK65" s="12"/>
      <c r="CL65" s="11">
        <v>6800.0</v>
      </c>
      <c r="CM65" s="11">
        <v>8030.0</v>
      </c>
      <c r="CN65" s="11">
        <v>29050.0</v>
      </c>
      <c r="CO65" s="11">
        <v>46360.0</v>
      </c>
      <c r="CP65" s="11">
        <v>69890.0</v>
      </c>
      <c r="CQ65" s="12"/>
      <c r="CR65" s="12"/>
      <c r="CS65" s="12"/>
      <c r="CT65" s="12"/>
      <c r="CU65" s="11">
        <v>4320.0</v>
      </c>
      <c r="CV65" s="11">
        <v>8570.0</v>
      </c>
      <c r="CW65" s="12"/>
      <c r="CX65" s="12"/>
      <c r="CY65" s="12"/>
      <c r="CZ65" s="12"/>
      <c r="DA65" s="12"/>
      <c r="DB65" s="11">
        <v>8570.0</v>
      </c>
      <c r="DC65" s="11">
        <v>4920.0</v>
      </c>
      <c r="DD65" s="11">
        <v>11850.0</v>
      </c>
      <c r="DE65" s="11">
        <v>11840.0</v>
      </c>
      <c r="DF65" s="11">
        <v>8570.0</v>
      </c>
      <c r="DG65" s="11">
        <v>4920.0</v>
      </c>
      <c r="DH65" s="11">
        <v>11900.0</v>
      </c>
      <c r="DI65" s="11">
        <v>11900.0</v>
      </c>
      <c r="DJ65" s="11">
        <v>21170.0</v>
      </c>
      <c r="DK65" s="12"/>
      <c r="DL65" s="11">
        <v>522.0</v>
      </c>
      <c r="DM65" s="11">
        <v>142.0</v>
      </c>
      <c r="DN65" s="11">
        <v>144.0</v>
      </c>
      <c r="DO65" s="24">
        <v>142.0</v>
      </c>
      <c r="DP65" s="12"/>
      <c r="DQ65" s="12"/>
      <c r="DR65" s="12"/>
      <c r="DS65" s="12"/>
      <c r="DT65" s="12"/>
      <c r="DU65" s="13"/>
      <c r="DV65" s="12"/>
      <c r="DW65" s="12"/>
      <c r="DX65" s="13"/>
      <c r="DY65" s="13"/>
      <c r="DZ65" s="11">
        <v>-1770.0</v>
      </c>
      <c r="EA65" s="11">
        <v>3110.0</v>
      </c>
      <c r="EB65" s="11">
        <v>17150.0</v>
      </c>
      <c r="EC65" s="11">
        <v>34460.0</v>
      </c>
      <c r="ED65" s="11">
        <v>48720.0</v>
      </c>
      <c r="EE65" s="23"/>
      <c r="EF65" s="14">
        <v>0.0</v>
      </c>
      <c r="EG65" s="23" t="s">
        <v>155</v>
      </c>
      <c r="EH65" s="23"/>
    </row>
    <row r="66">
      <c r="A66" s="9">
        <f t="shared" si="2"/>
        <v>64</v>
      </c>
      <c r="B66" s="22" t="s">
        <v>200</v>
      </c>
      <c r="C66" s="12"/>
      <c r="D66" s="12"/>
      <c r="E66" s="12"/>
      <c r="F66" s="12"/>
      <c r="G66" s="12"/>
      <c r="H66" s="12"/>
      <c r="I66" s="12"/>
      <c r="J66" s="11">
        <v>-697.0</v>
      </c>
      <c r="K66" s="11">
        <v>-55.0</v>
      </c>
      <c r="L66" s="12"/>
      <c r="M66" s="12"/>
      <c r="N66" s="12"/>
      <c r="O66" s="11">
        <v>23190.0</v>
      </c>
      <c r="P66" s="11">
        <v>7370.0</v>
      </c>
      <c r="Q66" s="12"/>
      <c r="R66" s="12"/>
      <c r="S66" s="12"/>
      <c r="T66" s="11">
        <v>19780.0</v>
      </c>
      <c r="U66" s="11">
        <v>5590.0</v>
      </c>
      <c r="V66" s="12"/>
      <c r="W66" s="12"/>
      <c r="X66" s="12"/>
      <c r="Y66" s="11">
        <v>-26140.0</v>
      </c>
      <c r="Z66" s="11">
        <v>-6380.0</v>
      </c>
      <c r="AA66" s="12"/>
      <c r="AB66" s="12"/>
      <c r="AC66" s="12"/>
      <c r="AD66" s="11">
        <v>-25740.0</v>
      </c>
      <c r="AE66" s="11">
        <v>-6010.0</v>
      </c>
      <c r="AF66" s="12"/>
      <c r="AG66" s="12"/>
      <c r="AH66" s="12"/>
      <c r="AI66" s="11">
        <v>-23190.0</v>
      </c>
      <c r="AJ66" s="11">
        <v>-7370.0</v>
      </c>
      <c r="AK66" s="12"/>
      <c r="AL66" s="12"/>
      <c r="AM66" s="12"/>
      <c r="AN66" s="11">
        <v>-25740.0</v>
      </c>
      <c r="AO66" s="11">
        <v>-6010.0</v>
      </c>
      <c r="AP66" s="12"/>
      <c r="AQ66" s="12"/>
      <c r="AR66" s="12"/>
      <c r="AS66" s="11">
        <v>-20180.0</v>
      </c>
      <c r="AT66" s="11">
        <v>-6740.0</v>
      </c>
      <c r="AU66" s="12"/>
      <c r="AV66" s="12"/>
      <c r="AW66" s="12"/>
      <c r="AX66" s="11">
        <v>-3440.0</v>
      </c>
      <c r="AY66" s="11">
        <v>-532.0</v>
      </c>
      <c r="AZ66" s="12"/>
      <c r="BA66" s="12"/>
      <c r="BB66" s="12"/>
      <c r="BC66" s="12"/>
      <c r="BD66" s="12"/>
      <c r="BE66" s="12"/>
      <c r="BF66" s="12"/>
      <c r="BG66" s="12"/>
      <c r="BH66" s="11">
        <v>25080.0</v>
      </c>
      <c r="BI66" s="11">
        <v>23020.0</v>
      </c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1">
        <v>26140.0</v>
      </c>
      <c r="BX66" s="11">
        <v>23340.0</v>
      </c>
      <c r="BY66" s="12"/>
      <c r="BZ66" s="12"/>
      <c r="CA66" s="12"/>
      <c r="CB66" s="11">
        <v>17710.0</v>
      </c>
      <c r="CC66" s="11">
        <v>1120.0</v>
      </c>
      <c r="CD66" s="12"/>
      <c r="CE66" s="12"/>
      <c r="CF66" s="12"/>
      <c r="CG66" s="12"/>
      <c r="CH66" s="12"/>
      <c r="CI66" s="12"/>
      <c r="CJ66" s="12"/>
      <c r="CK66" s="12"/>
      <c r="CL66" s="11">
        <v>45160.0</v>
      </c>
      <c r="CM66" s="11">
        <v>25780.0</v>
      </c>
      <c r="CN66" s="12"/>
      <c r="CO66" s="12"/>
      <c r="CP66" s="12"/>
      <c r="CQ66" s="11">
        <v>339.0</v>
      </c>
      <c r="CR66" s="11">
        <v>427.0</v>
      </c>
      <c r="CS66" s="12"/>
      <c r="CT66" s="12"/>
      <c r="CU66" s="12"/>
      <c r="CV66" s="11">
        <v>5940.0</v>
      </c>
      <c r="CW66" s="11">
        <v>641.0</v>
      </c>
      <c r="CX66" s="12"/>
      <c r="CY66" s="12"/>
      <c r="CZ66" s="12"/>
      <c r="DA66" s="12"/>
      <c r="DB66" s="11">
        <v>5940.0</v>
      </c>
      <c r="DC66" s="11">
        <v>4940.0</v>
      </c>
      <c r="DD66" s="12"/>
      <c r="DE66" s="12"/>
      <c r="DF66" s="11">
        <v>77960.0</v>
      </c>
      <c r="DG66" s="11">
        <v>33010.0</v>
      </c>
      <c r="DH66" s="12"/>
      <c r="DI66" s="12"/>
      <c r="DJ66" s="12"/>
      <c r="DK66" s="11">
        <v>1320.0</v>
      </c>
      <c r="DL66" s="11">
        <v>1320.0</v>
      </c>
      <c r="DM66" s="12"/>
      <c r="DN66" s="12"/>
      <c r="DO66" s="12"/>
      <c r="DP66" s="11">
        <v>72020.0</v>
      </c>
      <c r="DQ66" s="11">
        <v>27650.0</v>
      </c>
      <c r="DR66" s="12"/>
      <c r="DS66" s="12"/>
      <c r="DT66" s="12"/>
      <c r="DU66" s="13"/>
      <c r="DV66" s="12"/>
      <c r="DW66" s="12"/>
      <c r="DX66" s="13"/>
      <c r="DY66" s="13"/>
      <c r="DZ66" s="11">
        <v>-32800.0</v>
      </c>
      <c r="EA66" s="11">
        <v>-7230.0</v>
      </c>
      <c r="EB66" s="12"/>
      <c r="EC66" s="12"/>
      <c r="ED66" s="12"/>
      <c r="EE66" s="23"/>
      <c r="EF66" s="23"/>
      <c r="EG66" s="14">
        <v>-0.077</v>
      </c>
      <c r="EH66" s="23"/>
    </row>
    <row r="67">
      <c r="A67" s="9">
        <f t="shared" si="2"/>
        <v>65</v>
      </c>
      <c r="B67" s="25" t="s">
        <v>201</v>
      </c>
      <c r="C67" s="15">
        <v>3340000.0</v>
      </c>
      <c r="D67" s="15">
        <v>3040000.0</v>
      </c>
      <c r="E67" s="15">
        <v>3590000.0</v>
      </c>
      <c r="F67" s="15">
        <v>3370000.0</v>
      </c>
      <c r="G67" s="15">
        <v>3070000.0</v>
      </c>
      <c r="H67" s="15">
        <v>2680000.0</v>
      </c>
      <c r="I67" s="15">
        <v>2830000.0</v>
      </c>
      <c r="J67" s="15">
        <v>1260000.0</v>
      </c>
      <c r="K67" s="15">
        <v>1220000.0</v>
      </c>
      <c r="L67" s="15">
        <v>1120000.0</v>
      </c>
      <c r="M67" s="15">
        <v>970580.0</v>
      </c>
      <c r="N67" s="15">
        <v>860230.0</v>
      </c>
      <c r="O67" s="15">
        <v>573460.0</v>
      </c>
      <c r="P67" s="15">
        <v>496740.0</v>
      </c>
      <c r="Q67" s="15">
        <v>500920.0</v>
      </c>
      <c r="R67" s="15">
        <v>460940.0</v>
      </c>
      <c r="S67" s="15">
        <v>389630.0</v>
      </c>
      <c r="T67" s="15">
        <v>58290.0</v>
      </c>
      <c r="U67" s="15">
        <v>70050.0</v>
      </c>
      <c r="V67" s="15">
        <v>78630.0</v>
      </c>
      <c r="W67" s="15">
        <v>80480.0</v>
      </c>
      <c r="X67" s="15">
        <v>89190.0</v>
      </c>
      <c r="Y67" s="15">
        <v>632230.0</v>
      </c>
      <c r="Z67" s="15">
        <v>681260.0</v>
      </c>
      <c r="AA67" s="15">
        <v>-45310.0</v>
      </c>
      <c r="AB67" s="15">
        <v>468350.0</v>
      </c>
      <c r="AC67" s="15">
        <v>-164000.0</v>
      </c>
      <c r="AD67" s="15">
        <v>562950.0</v>
      </c>
      <c r="AE67" s="15">
        <v>794700.0</v>
      </c>
      <c r="AF67" s="15">
        <v>446800.0</v>
      </c>
      <c r="AG67" s="15">
        <v>515260.0</v>
      </c>
      <c r="AH67" s="15">
        <v>310740.0</v>
      </c>
      <c r="AI67" s="15">
        <v>898810.0</v>
      </c>
      <c r="AJ67" s="15">
        <v>925010.0</v>
      </c>
      <c r="AK67" s="15">
        <v>819490.0</v>
      </c>
      <c r="AL67" s="15">
        <v>735810.0</v>
      </c>
      <c r="AM67" s="15">
        <v>730680.0</v>
      </c>
      <c r="AN67" s="15">
        <v>533230.0</v>
      </c>
      <c r="AO67" s="15">
        <v>693560.0</v>
      </c>
      <c r="AP67" s="15">
        <v>54850.0</v>
      </c>
      <c r="AQ67" s="15">
        <v>441540.0</v>
      </c>
      <c r="AR67" s="15">
        <v>302430.0</v>
      </c>
      <c r="AS67" s="15">
        <v>719370.0</v>
      </c>
      <c r="AT67" s="15">
        <v>546170.0</v>
      </c>
      <c r="AU67" s="15">
        <v>303980.0</v>
      </c>
      <c r="AV67" s="15">
        <v>733400.0</v>
      </c>
      <c r="AW67" s="15">
        <v>458690.0</v>
      </c>
      <c r="AX67" s="15">
        <v>-851800.0</v>
      </c>
      <c r="AY67" s="15">
        <v>-699990.0</v>
      </c>
      <c r="AZ67" s="15">
        <v>-317700.0</v>
      </c>
      <c r="BA67" s="15">
        <v>-196650.0</v>
      </c>
      <c r="BB67" s="15">
        <v>-227650.0</v>
      </c>
      <c r="BC67" s="15">
        <v>-152200.0</v>
      </c>
      <c r="BD67" s="15">
        <v>-144600.0</v>
      </c>
      <c r="BE67" s="15">
        <v>-140560.0</v>
      </c>
      <c r="BF67" s="15">
        <v>-135350.0</v>
      </c>
      <c r="BG67" s="15">
        <v>-119300.0</v>
      </c>
      <c r="BH67" s="15">
        <v>613110.0</v>
      </c>
      <c r="BI67" s="15">
        <v>555320.0</v>
      </c>
      <c r="BJ67" s="15">
        <v>1140000.0</v>
      </c>
      <c r="BK67" s="15">
        <v>2270000.0</v>
      </c>
      <c r="BL67" s="15">
        <v>213730.0</v>
      </c>
      <c r="BM67" s="15">
        <v>752450.0</v>
      </c>
      <c r="BN67" s="15">
        <v>697890.0</v>
      </c>
      <c r="BO67" s="15">
        <v>619390.0</v>
      </c>
      <c r="BP67" s="15">
        <v>543110.0</v>
      </c>
      <c r="BQ67" s="15">
        <v>495550.0</v>
      </c>
      <c r="BR67" s="15">
        <v>768980.0</v>
      </c>
      <c r="BS67" s="15">
        <v>700540.0</v>
      </c>
      <c r="BT67" s="15">
        <v>592780.0</v>
      </c>
      <c r="BU67" s="15">
        <v>450260.0</v>
      </c>
      <c r="BV67" s="15">
        <v>439510.0</v>
      </c>
      <c r="BW67" s="15">
        <v>2230000.0</v>
      </c>
      <c r="BX67" s="15">
        <v>2000000.0</v>
      </c>
      <c r="BY67" s="15">
        <v>2480000.0</v>
      </c>
      <c r="BZ67" s="15">
        <v>3310000.0</v>
      </c>
      <c r="CA67" s="15">
        <v>1830000.0</v>
      </c>
      <c r="CB67" s="15">
        <v>5040000.0</v>
      </c>
      <c r="CC67" s="15">
        <v>3020000.0</v>
      </c>
      <c r="CD67" s="15">
        <v>2490000.0</v>
      </c>
      <c r="CE67" s="15">
        <v>2360000.0</v>
      </c>
      <c r="CF67" s="15">
        <v>2320000.0</v>
      </c>
      <c r="CG67" s="15">
        <v>1580000.0</v>
      </c>
      <c r="CH67" s="15">
        <v>1570000.0</v>
      </c>
      <c r="CI67" s="15">
        <v>1610000.0</v>
      </c>
      <c r="CJ67" s="15">
        <v>1540000.0</v>
      </c>
      <c r="CK67" s="15">
        <v>1460000.0</v>
      </c>
      <c r="CL67" s="15">
        <v>9860000.0</v>
      </c>
      <c r="CM67" s="15">
        <v>7580000.0</v>
      </c>
      <c r="CN67" s="15">
        <v>7750000.0</v>
      </c>
      <c r="CO67" s="15">
        <v>8160000.0</v>
      </c>
      <c r="CP67" s="15">
        <v>9600000.0</v>
      </c>
      <c r="CQ67" s="15">
        <v>574140.0</v>
      </c>
      <c r="CR67" s="15">
        <v>522520.0</v>
      </c>
      <c r="CS67" s="15">
        <v>418540.0</v>
      </c>
      <c r="CT67" s="15">
        <v>281870.0</v>
      </c>
      <c r="CU67" s="15">
        <v>239570.0</v>
      </c>
      <c r="CV67" s="15">
        <v>1410000.0</v>
      </c>
      <c r="CW67" s="15">
        <v>23140.0</v>
      </c>
      <c r="CX67" s="15"/>
      <c r="CY67" s="13"/>
      <c r="CZ67" s="13"/>
      <c r="DA67" s="12"/>
      <c r="DB67" s="15">
        <v>1410000.0</v>
      </c>
      <c r="DC67" s="15">
        <v>1180000.0</v>
      </c>
      <c r="DD67" s="15">
        <v>1200000.0</v>
      </c>
      <c r="DE67" s="15">
        <v>1140000.0</v>
      </c>
      <c r="DF67" s="15">
        <v>5770000.0</v>
      </c>
      <c r="DG67" s="15">
        <v>3820000.0</v>
      </c>
      <c r="DH67" s="15">
        <v>3930000.0</v>
      </c>
      <c r="DI67" s="15">
        <v>4220000.0</v>
      </c>
      <c r="DJ67" s="15">
        <v>6200000.0</v>
      </c>
      <c r="DK67" s="15">
        <v>581510.0</v>
      </c>
      <c r="DL67" s="15">
        <v>528720.0</v>
      </c>
      <c r="DM67" s="15">
        <v>534060.0</v>
      </c>
      <c r="DN67" s="15">
        <v>457530.0</v>
      </c>
      <c r="DO67" s="15">
        <v>435580.0</v>
      </c>
      <c r="DP67" s="15">
        <v>2980000.0</v>
      </c>
      <c r="DQ67" s="15">
        <v>1400000.0</v>
      </c>
      <c r="DR67" s="15">
        <v>1420000.0</v>
      </c>
      <c r="DS67" s="15">
        <v>2120000.0</v>
      </c>
      <c r="DT67" s="15">
        <v>3140000.0</v>
      </c>
      <c r="DU67" s="13"/>
      <c r="DV67" s="12"/>
      <c r="DW67" s="12"/>
      <c r="DX67" s="15"/>
      <c r="DY67" s="15"/>
      <c r="DZ67" s="15">
        <v>3930000.0</v>
      </c>
      <c r="EA67" s="15">
        <v>3590000.0</v>
      </c>
      <c r="EB67" s="15">
        <v>3670000.0</v>
      </c>
      <c r="EC67" s="15">
        <v>3800000.0</v>
      </c>
      <c r="ED67" s="15">
        <v>3250000.0</v>
      </c>
      <c r="EE67" s="23"/>
      <c r="EF67" s="23"/>
      <c r="EG67" s="23">
        <v>0.205</v>
      </c>
      <c r="EH67" s="23">
        <v>0.064</v>
      </c>
    </row>
    <row r="68">
      <c r="A68" s="9">
        <f t="shared" si="2"/>
        <v>66</v>
      </c>
      <c r="B68" s="22" t="s">
        <v>202</v>
      </c>
      <c r="C68" s="11">
        <v>16490.0</v>
      </c>
      <c r="D68" s="11">
        <v>7500.0</v>
      </c>
      <c r="E68" s="11">
        <v>9640.0</v>
      </c>
      <c r="F68" s="11">
        <v>12740.0</v>
      </c>
      <c r="G68" s="11">
        <v>1.0</v>
      </c>
      <c r="H68" s="12"/>
      <c r="I68" s="12"/>
      <c r="J68" s="12"/>
      <c r="K68" s="12"/>
      <c r="L68" s="11">
        <v>-34.0</v>
      </c>
      <c r="M68" s="11">
        <v>-81.0</v>
      </c>
      <c r="N68" s="11">
        <v>-197.0</v>
      </c>
      <c r="O68" s="11">
        <v>68410.0</v>
      </c>
      <c r="P68" s="11">
        <v>49750.0</v>
      </c>
      <c r="Q68" s="11">
        <v>28200.0</v>
      </c>
      <c r="R68" s="11">
        <v>10590.0</v>
      </c>
      <c r="S68" s="11">
        <v>19570.0</v>
      </c>
      <c r="T68" s="11">
        <v>45580.0</v>
      </c>
      <c r="U68" s="11">
        <v>31730.0</v>
      </c>
      <c r="V68" s="11">
        <v>12990.0</v>
      </c>
      <c r="W68" s="11">
        <v>3680.0</v>
      </c>
      <c r="X68" s="11">
        <v>13370.0</v>
      </c>
      <c r="Y68" s="12"/>
      <c r="Z68" s="12"/>
      <c r="AA68" s="12"/>
      <c r="AB68" s="11">
        <v>-13970.0</v>
      </c>
      <c r="AC68" s="11">
        <v>-18760.0</v>
      </c>
      <c r="AD68" s="11">
        <v>-62720.0</v>
      </c>
      <c r="AE68" s="11">
        <v>-46090.0</v>
      </c>
      <c r="AF68" s="11">
        <v>-24200.0</v>
      </c>
      <c r="AG68" s="11">
        <v>-13700.0</v>
      </c>
      <c r="AH68" s="11">
        <v>-18710.0</v>
      </c>
      <c r="AI68" s="11">
        <v>-60990.0</v>
      </c>
      <c r="AJ68" s="11">
        <v>-37840.0</v>
      </c>
      <c r="AK68" s="11">
        <v>-28200.0</v>
      </c>
      <c r="AL68" s="11">
        <v>-10590.0</v>
      </c>
      <c r="AM68" s="11">
        <v>-19570.0</v>
      </c>
      <c r="AN68" s="11">
        <v>-62720.0</v>
      </c>
      <c r="AO68" s="11">
        <v>-46110.0</v>
      </c>
      <c r="AP68" s="11">
        <v>-24410.0</v>
      </c>
      <c r="AQ68" s="11">
        <v>-13760.0</v>
      </c>
      <c r="AR68" s="11">
        <v>-18740.0</v>
      </c>
      <c r="AS68" s="11">
        <v>-52920.0</v>
      </c>
      <c r="AT68" s="11">
        <v>-26800.0</v>
      </c>
      <c r="AU68" s="11">
        <v>-27570.0</v>
      </c>
      <c r="AV68" s="11">
        <v>-12540.0</v>
      </c>
      <c r="AW68" s="11">
        <v>-18200.0</v>
      </c>
      <c r="AX68" s="11">
        <v>-540.0</v>
      </c>
      <c r="AY68" s="11">
        <v>-61.0</v>
      </c>
      <c r="AZ68" s="11">
        <v>-190.0</v>
      </c>
      <c r="BA68" s="12"/>
      <c r="BB68" s="12"/>
      <c r="BC68" s="12"/>
      <c r="BD68" s="12"/>
      <c r="BE68" s="12"/>
      <c r="BF68" s="12"/>
      <c r="BG68" s="12"/>
      <c r="BH68" s="11">
        <v>131840.0</v>
      </c>
      <c r="BI68" s="11">
        <v>163890.0</v>
      </c>
      <c r="BJ68" s="11">
        <v>53230.0</v>
      </c>
      <c r="BK68" s="11">
        <v>28710.0</v>
      </c>
      <c r="BL68" s="11">
        <v>40850.0</v>
      </c>
      <c r="BM68" s="12"/>
      <c r="BN68" s="11">
        <v>2920.0</v>
      </c>
      <c r="BO68" s="11">
        <v>726.0</v>
      </c>
      <c r="BP68" s="12"/>
      <c r="BQ68" s="12"/>
      <c r="BR68" s="12"/>
      <c r="BS68" s="12"/>
      <c r="BT68" s="12"/>
      <c r="BU68" s="12"/>
      <c r="BV68" s="12"/>
      <c r="BW68" s="11">
        <v>141800.0</v>
      </c>
      <c r="BX68" s="11">
        <v>167650.0</v>
      </c>
      <c r="BY68" s="11">
        <v>55010.0</v>
      </c>
      <c r="BZ68" s="11">
        <v>28840.0</v>
      </c>
      <c r="CA68" s="11">
        <v>41110.0</v>
      </c>
      <c r="CB68" s="11">
        <v>5300.0</v>
      </c>
      <c r="CC68" s="11">
        <v>187.0</v>
      </c>
      <c r="CD68" s="11">
        <v>178.0</v>
      </c>
      <c r="CE68" s="12"/>
      <c r="CF68" s="11">
        <v>280.0</v>
      </c>
      <c r="CG68" s="11">
        <v>17260.0</v>
      </c>
      <c r="CH68" s="11">
        <v>17260.0</v>
      </c>
      <c r="CI68" s="11">
        <v>17260.0</v>
      </c>
      <c r="CJ68" s="12"/>
      <c r="CK68" s="12"/>
      <c r="CL68" s="11">
        <v>165070.0</v>
      </c>
      <c r="CM68" s="11">
        <v>185470.0</v>
      </c>
      <c r="CN68" s="11">
        <v>73220.0</v>
      </c>
      <c r="CO68" s="11">
        <v>28870.0</v>
      </c>
      <c r="CP68" s="11">
        <v>41420.0</v>
      </c>
      <c r="CQ68" s="11">
        <v>4790.0</v>
      </c>
      <c r="CR68" s="11">
        <v>4350.0</v>
      </c>
      <c r="CS68" s="11">
        <v>1350.0</v>
      </c>
      <c r="CT68" s="11">
        <v>150.0</v>
      </c>
      <c r="CU68" s="11">
        <v>421.0</v>
      </c>
      <c r="CV68" s="11">
        <v>18920.0</v>
      </c>
      <c r="CW68" s="11">
        <v>561.0</v>
      </c>
      <c r="CX68" s="12"/>
      <c r="CY68" s="12"/>
      <c r="CZ68" s="12"/>
      <c r="DA68" s="12"/>
      <c r="DB68" s="11">
        <v>18920.0</v>
      </c>
      <c r="DC68" s="11">
        <v>12830.0</v>
      </c>
      <c r="DD68" s="11">
        <v>7930.0</v>
      </c>
      <c r="DE68" s="11">
        <v>2070.0</v>
      </c>
      <c r="DF68" s="11">
        <v>71910.0</v>
      </c>
      <c r="DG68" s="11">
        <v>62830.0</v>
      </c>
      <c r="DH68" s="11">
        <v>7970.0</v>
      </c>
      <c r="DI68" s="11">
        <v>2430.0</v>
      </c>
      <c r="DJ68" s="11">
        <v>1870.0</v>
      </c>
      <c r="DK68" s="12"/>
      <c r="DL68" s="12"/>
      <c r="DM68" s="12"/>
      <c r="DN68" s="12"/>
      <c r="DO68" s="12"/>
      <c r="DP68" s="11">
        <v>52900.0</v>
      </c>
      <c r="DQ68" s="11">
        <v>49970.0</v>
      </c>
      <c r="DR68" s="12"/>
      <c r="DS68" s="12"/>
      <c r="DT68" s="12"/>
      <c r="DU68" s="13"/>
      <c r="DV68" s="12"/>
      <c r="DW68" s="12"/>
      <c r="DX68" s="13"/>
      <c r="DY68" s="24">
        <v>19.0</v>
      </c>
      <c r="DZ68" s="11">
        <v>93160.0</v>
      </c>
      <c r="EA68" s="11">
        <v>122640.0</v>
      </c>
      <c r="EB68" s="11">
        <v>65250.0</v>
      </c>
      <c r="EC68" s="11">
        <v>26440.0</v>
      </c>
      <c r="ED68" s="11">
        <v>39560.0</v>
      </c>
      <c r="EE68" s="14">
        <v>1.072</v>
      </c>
      <c r="EF68" s="14">
        <v>1.547</v>
      </c>
      <c r="EG68" s="14">
        <v>0.183</v>
      </c>
      <c r="EH68" s="14">
        <v>0.019</v>
      </c>
    </row>
    <row r="69">
      <c r="A69" s="9">
        <f t="shared" si="2"/>
        <v>67</v>
      </c>
      <c r="B69" s="10" t="s">
        <v>203</v>
      </c>
      <c r="C69" s="12"/>
      <c r="D69" s="12"/>
      <c r="E69" s="15">
        <v>122250.0</v>
      </c>
      <c r="F69" s="15">
        <v>81280.0</v>
      </c>
      <c r="G69" s="15">
        <v>129830.0</v>
      </c>
      <c r="H69" s="15">
        <v>144200.0</v>
      </c>
      <c r="I69" s="15">
        <v>153130.0</v>
      </c>
      <c r="J69" s="15">
        <v>60760.0</v>
      </c>
      <c r="K69" s="15">
        <v>27830.0</v>
      </c>
      <c r="L69" s="15">
        <v>18280.0</v>
      </c>
      <c r="M69" s="15">
        <v>35060.0</v>
      </c>
      <c r="N69" s="15">
        <v>36000.0</v>
      </c>
      <c r="O69" s="15">
        <v>14180.0</v>
      </c>
      <c r="P69" s="15">
        <v>15060.0</v>
      </c>
      <c r="Q69" s="15">
        <v>15020.0</v>
      </c>
      <c r="R69" s="15">
        <v>13100.0</v>
      </c>
      <c r="S69" s="15">
        <v>13110.0</v>
      </c>
      <c r="T69" s="12"/>
      <c r="U69" s="12"/>
      <c r="V69" s="12"/>
      <c r="W69" s="12"/>
      <c r="X69" s="12"/>
      <c r="Y69" s="15">
        <v>44230.0</v>
      </c>
      <c r="Z69" s="15">
        <v>10540.0</v>
      </c>
      <c r="AA69" s="15">
        <v>-6090.0</v>
      </c>
      <c r="AB69" s="15">
        <v>-116.0</v>
      </c>
      <c r="AC69" s="15">
        <v>-4980.0</v>
      </c>
      <c r="AD69" s="15">
        <v>50230.0</v>
      </c>
      <c r="AE69" s="15">
        <v>13190.0</v>
      </c>
      <c r="AF69" s="15">
        <v>-13340.0</v>
      </c>
      <c r="AG69" s="15">
        <v>12480.0</v>
      </c>
      <c r="AH69" s="15">
        <v>24090.0</v>
      </c>
      <c r="AI69" s="15">
        <v>60500.0</v>
      </c>
      <c r="AJ69" s="15">
        <v>26530.0</v>
      </c>
      <c r="AK69" s="15">
        <v>18480.0</v>
      </c>
      <c r="AL69" s="15">
        <v>37340.0</v>
      </c>
      <c r="AM69" s="15">
        <v>37620.0</v>
      </c>
      <c r="AN69" s="15">
        <v>37830.0</v>
      </c>
      <c r="AO69" s="15">
        <v>13050.0</v>
      </c>
      <c r="AP69" s="15">
        <v>-9450.0</v>
      </c>
      <c r="AQ69" s="15">
        <v>6990.0</v>
      </c>
      <c r="AR69" s="15">
        <v>13210.0</v>
      </c>
      <c r="AS69" s="15">
        <v>48830.0</v>
      </c>
      <c r="AT69" s="15">
        <v>19080.0</v>
      </c>
      <c r="AU69" s="15">
        <v>28550.0</v>
      </c>
      <c r="AV69" s="15">
        <v>30530.0</v>
      </c>
      <c r="AW69" s="15">
        <v>34400.0</v>
      </c>
      <c r="AX69" s="15">
        <v>-20110.0</v>
      </c>
      <c r="AY69" s="15">
        <v>-16780.0</v>
      </c>
      <c r="AZ69" s="15">
        <v>-13350.0</v>
      </c>
      <c r="BA69" s="15">
        <v>-14310.0</v>
      </c>
      <c r="BB69" s="15">
        <v>-11520.0</v>
      </c>
      <c r="BC69" s="15">
        <v>-1830.0</v>
      </c>
      <c r="BD69" s="15">
        <v>-1970.0</v>
      </c>
      <c r="BE69" s="15">
        <v>-1990.0</v>
      </c>
      <c r="BF69" s="15">
        <v>-1990.0</v>
      </c>
      <c r="BG69" s="15">
        <v>-1880.0</v>
      </c>
      <c r="BH69" s="15">
        <v>18630.0</v>
      </c>
      <c r="BI69" s="15">
        <v>25260.0</v>
      </c>
      <c r="BJ69" s="15">
        <v>3400.0</v>
      </c>
      <c r="BK69" s="15">
        <v>6630.0</v>
      </c>
      <c r="BL69" s="15">
        <v>5470.0</v>
      </c>
      <c r="BM69" s="15">
        <v>713.0</v>
      </c>
      <c r="BN69" s="15">
        <v>2540.0</v>
      </c>
      <c r="BO69" s="15">
        <v>4290.0</v>
      </c>
      <c r="BP69" s="15">
        <v>5750.0</v>
      </c>
      <c r="BQ69" s="15">
        <v>5230.0</v>
      </c>
      <c r="BR69" s="15">
        <v>40140.0</v>
      </c>
      <c r="BS69" s="15">
        <v>41030.0</v>
      </c>
      <c r="BT69" s="15">
        <v>36200.0</v>
      </c>
      <c r="BU69" s="15">
        <v>58470.0</v>
      </c>
      <c r="BV69" s="15">
        <v>58270.0</v>
      </c>
      <c r="BW69" s="15">
        <v>61980.0</v>
      </c>
      <c r="BX69" s="15">
        <v>72240.0</v>
      </c>
      <c r="BY69" s="15">
        <v>66490.0</v>
      </c>
      <c r="BZ69" s="15">
        <v>71870.0</v>
      </c>
      <c r="CA69" s="15">
        <v>70760.0</v>
      </c>
      <c r="CB69" s="15">
        <v>345650.0</v>
      </c>
      <c r="CC69" s="15">
        <v>340400.0</v>
      </c>
      <c r="CD69" s="15">
        <v>349340.0</v>
      </c>
      <c r="CE69" s="15">
        <v>379250.0</v>
      </c>
      <c r="CF69" s="15">
        <v>381100.0</v>
      </c>
      <c r="CG69" s="15">
        <v>2250.0</v>
      </c>
      <c r="CH69" s="15">
        <v>2250.0</v>
      </c>
      <c r="CI69" s="15">
        <v>2250.0</v>
      </c>
      <c r="CJ69" s="15">
        <v>2250.0</v>
      </c>
      <c r="CK69" s="15">
        <v>2250.0</v>
      </c>
      <c r="CL69" s="15">
        <v>438860.0</v>
      </c>
      <c r="CM69" s="15">
        <v>423420.0</v>
      </c>
      <c r="CN69" s="15">
        <v>419180.0</v>
      </c>
      <c r="CO69" s="15">
        <v>455450.0</v>
      </c>
      <c r="CP69" s="15">
        <v>460090.0</v>
      </c>
      <c r="CQ69" s="15">
        <v>4160.0</v>
      </c>
      <c r="CR69" s="15">
        <v>3760.0</v>
      </c>
      <c r="CS69" s="15">
        <v>3190.0</v>
      </c>
      <c r="CT69" s="15">
        <v>5980.0</v>
      </c>
      <c r="CU69" s="15">
        <v>4410.0</v>
      </c>
      <c r="CV69" s="15">
        <v>28950.0</v>
      </c>
      <c r="CW69" s="12"/>
      <c r="CX69" s="12"/>
      <c r="CY69" s="12"/>
      <c r="CZ69" s="12"/>
      <c r="DA69" s="12"/>
      <c r="DB69" s="15">
        <v>28950.0</v>
      </c>
      <c r="DC69" s="15">
        <v>21500.0</v>
      </c>
      <c r="DD69" s="15">
        <v>15980.0</v>
      </c>
      <c r="DE69" s="15">
        <v>18680.0</v>
      </c>
      <c r="DF69" s="15">
        <v>239460.0</v>
      </c>
      <c r="DG69" s="15">
        <v>245830.0</v>
      </c>
      <c r="DH69" s="15">
        <v>253810.0</v>
      </c>
      <c r="DI69" s="15">
        <v>277180.0</v>
      </c>
      <c r="DJ69" s="15">
        <v>284580.0</v>
      </c>
      <c r="DK69" s="15">
        <v>5210.0</v>
      </c>
      <c r="DL69" s="15">
        <v>7000.0</v>
      </c>
      <c r="DM69" s="12"/>
      <c r="DN69" s="12"/>
      <c r="DO69" s="15">
        <v>1660.0</v>
      </c>
      <c r="DP69" s="15">
        <v>156740.0</v>
      </c>
      <c r="DQ69" s="15">
        <v>170200.0</v>
      </c>
      <c r="DR69" s="15">
        <v>180160.0</v>
      </c>
      <c r="DS69" s="15">
        <v>196050.0</v>
      </c>
      <c r="DT69" s="15">
        <v>201560.0</v>
      </c>
      <c r="DU69" s="13"/>
      <c r="DV69" s="12"/>
      <c r="DW69" s="12"/>
      <c r="DX69" s="13"/>
      <c r="DY69" s="13"/>
      <c r="DZ69" s="15">
        <v>194300.0</v>
      </c>
      <c r="EA69" s="15">
        <v>172120.0</v>
      </c>
      <c r="EB69" s="15">
        <v>160640.0</v>
      </c>
      <c r="EC69" s="15">
        <v>173490.0</v>
      </c>
      <c r="ED69" s="15">
        <v>170700.0</v>
      </c>
      <c r="EE69" s="23"/>
      <c r="EF69" s="23"/>
      <c r="EG69" s="23" t="s">
        <v>155</v>
      </c>
      <c r="EH69" s="23"/>
    </row>
    <row r="70">
      <c r="A70" s="9">
        <f t="shared" si="2"/>
        <v>68</v>
      </c>
      <c r="B70" s="22" t="s">
        <v>204</v>
      </c>
      <c r="C70" s="11">
        <v>2560.0</v>
      </c>
      <c r="D70" s="12"/>
      <c r="E70" s="12"/>
      <c r="F70" s="12"/>
      <c r="G70" s="12"/>
      <c r="H70" s="12"/>
      <c r="I70" s="12"/>
      <c r="J70" s="11">
        <v>-96.0</v>
      </c>
      <c r="K70" s="11">
        <v>-71.0</v>
      </c>
      <c r="L70" s="11">
        <v>-38.0</v>
      </c>
      <c r="M70" s="11">
        <v>-36.0</v>
      </c>
      <c r="N70" s="11">
        <v>-19.0</v>
      </c>
      <c r="O70" s="11">
        <v>56410.0</v>
      </c>
      <c r="P70" s="11">
        <v>39630.0</v>
      </c>
      <c r="Q70" s="11">
        <v>22450.0</v>
      </c>
      <c r="R70" s="11">
        <v>18660.0</v>
      </c>
      <c r="S70" s="11">
        <v>11970.0</v>
      </c>
      <c r="T70" s="11">
        <v>44350.0</v>
      </c>
      <c r="U70" s="11">
        <v>29820.0</v>
      </c>
      <c r="V70" s="11">
        <v>16300.0</v>
      </c>
      <c r="W70" s="11">
        <v>13180.0</v>
      </c>
      <c r="X70" s="11">
        <v>7570.0</v>
      </c>
      <c r="Y70" s="11">
        <v>-63070.0</v>
      </c>
      <c r="Z70" s="12"/>
      <c r="AA70" s="12"/>
      <c r="AB70" s="12"/>
      <c r="AC70" s="12"/>
      <c r="AD70" s="11">
        <v>-62140.0</v>
      </c>
      <c r="AE70" s="11">
        <v>-38890.0</v>
      </c>
      <c r="AF70" s="11">
        <v>-22340.0</v>
      </c>
      <c r="AG70" s="11">
        <v>-18700.0</v>
      </c>
      <c r="AH70" s="11">
        <v>-12090.0</v>
      </c>
      <c r="AI70" s="11">
        <v>-56410.0</v>
      </c>
      <c r="AJ70" s="11">
        <v>-39630.0</v>
      </c>
      <c r="AK70" s="11">
        <v>-22450.0</v>
      </c>
      <c r="AL70" s="11">
        <v>-18660.0</v>
      </c>
      <c r="AM70" s="11">
        <v>-11970.0</v>
      </c>
      <c r="AN70" s="11">
        <v>-60830.0</v>
      </c>
      <c r="AO70" s="11">
        <v>-38890.0</v>
      </c>
      <c r="AP70" s="11">
        <v>-22340.0</v>
      </c>
      <c r="AQ70" s="11">
        <v>-18700.0</v>
      </c>
      <c r="AR70" s="11">
        <v>-12090.0</v>
      </c>
      <c r="AS70" s="11">
        <v>-44980.0</v>
      </c>
      <c r="AT70" s="11">
        <v>-29860.0</v>
      </c>
      <c r="AU70" s="11">
        <v>-19390.0</v>
      </c>
      <c r="AV70" s="11">
        <v>-15150.0</v>
      </c>
      <c r="AW70" s="11">
        <v>-9350.0</v>
      </c>
      <c r="AX70" s="11">
        <v>-10.0</v>
      </c>
      <c r="AY70" s="11">
        <v>-263.0</v>
      </c>
      <c r="AZ70" s="11">
        <v>-25.0</v>
      </c>
      <c r="BA70" s="11">
        <v>-12.0</v>
      </c>
      <c r="BB70" s="11">
        <v>-86.0</v>
      </c>
      <c r="BC70" s="12"/>
      <c r="BD70" s="12"/>
      <c r="BE70" s="12"/>
      <c r="BF70" s="12"/>
      <c r="BG70" s="12"/>
      <c r="BH70" s="11">
        <v>45360.0</v>
      </c>
      <c r="BI70" s="11">
        <v>93600.0</v>
      </c>
      <c r="BJ70" s="11">
        <v>42950.0</v>
      </c>
      <c r="BK70" s="11">
        <v>24910.0</v>
      </c>
      <c r="BL70" s="11">
        <v>27590.0</v>
      </c>
      <c r="BM70" s="11">
        <v>28000.0</v>
      </c>
      <c r="BN70" s="12"/>
      <c r="BO70" s="12"/>
      <c r="BP70" s="12"/>
      <c r="BQ70" s="12"/>
      <c r="BR70" s="12"/>
      <c r="BS70" s="12"/>
      <c r="BT70" s="12"/>
      <c r="BU70" s="12"/>
      <c r="BV70" s="12"/>
      <c r="BW70" s="11">
        <v>75170.0</v>
      </c>
      <c r="BX70" s="11">
        <v>94770.0</v>
      </c>
      <c r="BY70" s="11">
        <v>43970.0</v>
      </c>
      <c r="BZ70" s="11">
        <v>25130.0</v>
      </c>
      <c r="CA70" s="11">
        <v>28090.0</v>
      </c>
      <c r="CB70" s="11">
        <v>349.0</v>
      </c>
      <c r="CC70" s="11">
        <v>235.0</v>
      </c>
      <c r="CD70" s="11">
        <v>43.0</v>
      </c>
      <c r="CE70" s="11">
        <v>56.0</v>
      </c>
      <c r="CF70" s="11">
        <v>80.0</v>
      </c>
      <c r="CG70" s="12"/>
      <c r="CH70" s="12"/>
      <c r="CI70" s="12"/>
      <c r="CJ70" s="12"/>
      <c r="CK70" s="12"/>
      <c r="CL70" s="11">
        <v>75570.0</v>
      </c>
      <c r="CM70" s="11">
        <v>95090.0</v>
      </c>
      <c r="CN70" s="11">
        <v>44170.0</v>
      </c>
      <c r="CO70" s="11">
        <v>25190.0</v>
      </c>
      <c r="CP70" s="11">
        <v>28200.0</v>
      </c>
      <c r="CQ70" s="11">
        <v>808.0</v>
      </c>
      <c r="CR70" s="11">
        <v>3050.0</v>
      </c>
      <c r="CS70" s="11">
        <v>1000.0</v>
      </c>
      <c r="CT70" s="12"/>
      <c r="CU70" s="12"/>
      <c r="CV70" s="11">
        <v>12910.0</v>
      </c>
      <c r="CW70" s="11">
        <v>226.0</v>
      </c>
      <c r="CX70" s="12"/>
      <c r="CY70" s="12"/>
      <c r="CZ70" s="12"/>
      <c r="DA70" s="12"/>
      <c r="DB70" s="11">
        <v>12910.0</v>
      </c>
      <c r="DC70" s="11">
        <v>8470.0</v>
      </c>
      <c r="DD70" s="11">
        <v>3350.0</v>
      </c>
      <c r="DE70" s="11">
        <v>2300.0</v>
      </c>
      <c r="DF70" s="11">
        <v>27490.0</v>
      </c>
      <c r="DG70" s="11">
        <v>8470.0</v>
      </c>
      <c r="DH70" s="11">
        <v>4570.0</v>
      </c>
      <c r="DI70" s="11">
        <v>3540.0</v>
      </c>
      <c r="DJ70" s="11">
        <v>3330.0</v>
      </c>
      <c r="DK70" s="12"/>
      <c r="DL70" s="12"/>
      <c r="DM70" s="12"/>
      <c r="DN70" s="12"/>
      <c r="DO70" s="12"/>
      <c r="DP70" s="11">
        <v>14530.0</v>
      </c>
      <c r="DQ70" s="12"/>
      <c r="DR70" s="11">
        <v>1220.0</v>
      </c>
      <c r="DS70" s="11">
        <v>1240.0</v>
      </c>
      <c r="DT70" s="11">
        <v>1210.0</v>
      </c>
      <c r="DU70" s="13"/>
      <c r="DV70" s="12"/>
      <c r="DW70" s="12"/>
      <c r="DX70" s="13"/>
      <c r="DY70" s="13"/>
      <c r="DZ70" s="11">
        <v>48080.0</v>
      </c>
      <c r="EA70" s="11">
        <v>86620.0</v>
      </c>
      <c r="EB70" s="11">
        <v>39600.0</v>
      </c>
      <c r="EC70" s="11">
        <v>21650.0</v>
      </c>
      <c r="ED70" s="11">
        <v>24880.0</v>
      </c>
      <c r="EE70" s="23"/>
      <c r="EF70" s="23"/>
      <c r="EG70" s="14">
        <v>0.265</v>
      </c>
      <c r="EH70" s="14">
        <v>0.162</v>
      </c>
    </row>
    <row r="71">
      <c r="A71" s="9">
        <f t="shared" si="2"/>
        <v>69</v>
      </c>
      <c r="B71" s="22" t="s">
        <v>205</v>
      </c>
      <c r="C71" s="11">
        <v>37140.0</v>
      </c>
      <c r="D71" s="11">
        <v>27460.0</v>
      </c>
      <c r="E71" s="11">
        <v>21220.0</v>
      </c>
      <c r="F71" s="11">
        <v>27680.0</v>
      </c>
      <c r="G71" s="11">
        <v>3740.0</v>
      </c>
      <c r="H71" s="11">
        <v>416.0</v>
      </c>
      <c r="I71" s="12"/>
      <c r="J71" s="12"/>
      <c r="K71" s="12"/>
      <c r="L71" s="12"/>
      <c r="M71" s="12"/>
      <c r="N71" s="12"/>
      <c r="O71" s="11">
        <v>128890.0</v>
      </c>
      <c r="P71" s="11">
        <v>83950.0</v>
      </c>
      <c r="Q71" s="11">
        <v>35730.0</v>
      </c>
      <c r="R71" s="11">
        <v>15350.0</v>
      </c>
      <c r="S71" s="12"/>
      <c r="T71" s="11">
        <v>100530.0</v>
      </c>
      <c r="U71" s="11">
        <v>73030.0</v>
      </c>
      <c r="V71" s="11">
        <v>29910.0</v>
      </c>
      <c r="W71" s="11">
        <v>13670.0</v>
      </c>
      <c r="X71" s="12"/>
      <c r="Y71" s="11">
        <v>-114400.0</v>
      </c>
      <c r="Z71" s="12"/>
      <c r="AA71" s="12"/>
      <c r="AB71" s="12"/>
      <c r="AC71" s="12"/>
      <c r="AD71" s="11">
        <v>-105390.0</v>
      </c>
      <c r="AE71" s="11">
        <v>-52250.0</v>
      </c>
      <c r="AF71" s="11">
        <v>-32480.0</v>
      </c>
      <c r="AG71" s="11">
        <v>-15110.0</v>
      </c>
      <c r="AH71" s="12"/>
      <c r="AI71" s="11">
        <v>-107670.0</v>
      </c>
      <c r="AJ71" s="11">
        <v>-56270.0</v>
      </c>
      <c r="AK71" s="11">
        <v>-32000.0</v>
      </c>
      <c r="AL71" s="11">
        <v>-14930.0</v>
      </c>
      <c r="AM71" s="12"/>
      <c r="AN71" s="11">
        <v>-105390.0</v>
      </c>
      <c r="AO71" s="11">
        <v>-52250.0</v>
      </c>
      <c r="AP71" s="11">
        <v>-32480.0</v>
      </c>
      <c r="AQ71" s="11">
        <v>-15110.0</v>
      </c>
      <c r="AR71" s="12"/>
      <c r="AS71" s="11">
        <v>-100180.0</v>
      </c>
      <c r="AT71" s="11">
        <v>127460.0</v>
      </c>
      <c r="AU71" s="11">
        <v>-17770.0</v>
      </c>
      <c r="AV71" s="11">
        <v>-12990.0</v>
      </c>
      <c r="AW71" s="12"/>
      <c r="AX71" s="11">
        <v>-15270.0</v>
      </c>
      <c r="AY71" s="11">
        <v>-1880.0</v>
      </c>
      <c r="AZ71" s="11">
        <v>-801.0</v>
      </c>
      <c r="BA71" s="11">
        <v>-2250.0</v>
      </c>
      <c r="BB71" s="12"/>
      <c r="BC71" s="12"/>
      <c r="BD71" s="12"/>
      <c r="BE71" s="12"/>
      <c r="BF71" s="12"/>
      <c r="BG71" s="12"/>
      <c r="BH71" s="11">
        <v>353070.0</v>
      </c>
      <c r="BI71" s="11">
        <v>290410.0</v>
      </c>
      <c r="BJ71" s="11">
        <v>32450.0</v>
      </c>
      <c r="BK71" s="11">
        <v>50840.0</v>
      </c>
      <c r="BL71" s="12"/>
      <c r="BM71" s="12"/>
      <c r="BN71" s="12"/>
      <c r="BO71" s="11">
        <v>200240.0</v>
      </c>
      <c r="BP71" s="11">
        <v>218.0</v>
      </c>
      <c r="BQ71" s="12"/>
      <c r="BR71" s="12"/>
      <c r="BS71" s="12"/>
      <c r="BT71" s="12"/>
      <c r="BU71" s="12"/>
      <c r="BV71" s="12"/>
      <c r="BW71" s="11">
        <v>357440.0</v>
      </c>
      <c r="BX71" s="11">
        <v>293180.0</v>
      </c>
      <c r="BY71" s="11">
        <v>232970.0</v>
      </c>
      <c r="BZ71" s="11">
        <v>51190.0</v>
      </c>
      <c r="CA71" s="12"/>
      <c r="CB71" s="11">
        <v>62330.0</v>
      </c>
      <c r="CC71" s="11">
        <v>10940.0</v>
      </c>
      <c r="CD71" s="11">
        <v>2830.0</v>
      </c>
      <c r="CE71" s="11">
        <v>2540.0</v>
      </c>
      <c r="CF71" s="12"/>
      <c r="CG71" s="12"/>
      <c r="CH71" s="12"/>
      <c r="CI71" s="12"/>
      <c r="CJ71" s="12"/>
      <c r="CK71" s="12"/>
      <c r="CL71" s="11">
        <v>421910.0</v>
      </c>
      <c r="CM71" s="11">
        <v>308360.0</v>
      </c>
      <c r="CN71" s="11">
        <v>236060.0</v>
      </c>
      <c r="CO71" s="11">
        <v>54110.0</v>
      </c>
      <c r="CP71" s="12"/>
      <c r="CQ71" s="11">
        <v>278.0</v>
      </c>
      <c r="CR71" s="11">
        <v>126.0</v>
      </c>
      <c r="CS71" s="11">
        <v>1140.0</v>
      </c>
      <c r="CT71" s="11">
        <v>1150.0</v>
      </c>
      <c r="CU71" s="12"/>
      <c r="CV71" s="11">
        <v>61970.0</v>
      </c>
      <c r="CW71" s="11">
        <v>6570.0</v>
      </c>
      <c r="CX71" s="12"/>
      <c r="CY71" s="12"/>
      <c r="CZ71" s="12"/>
      <c r="DA71" s="12"/>
      <c r="DB71" s="11">
        <v>61970.0</v>
      </c>
      <c r="DC71" s="11">
        <v>47950.0</v>
      </c>
      <c r="DD71" s="11">
        <v>27400.0</v>
      </c>
      <c r="DE71" s="11">
        <v>1510.0</v>
      </c>
      <c r="DF71" s="11">
        <v>227170.0</v>
      </c>
      <c r="DG71" s="11">
        <v>195240.0</v>
      </c>
      <c r="DH71" s="11">
        <v>210610.0</v>
      </c>
      <c r="DI71" s="11">
        <v>1530.0</v>
      </c>
      <c r="DJ71" s="12"/>
      <c r="DK71" s="11">
        <v>1470.0</v>
      </c>
      <c r="DL71" s="11">
        <v>1470.0</v>
      </c>
      <c r="DM71" s="12"/>
      <c r="DN71" s="11">
        <v>200.0</v>
      </c>
      <c r="DO71" s="12"/>
      <c r="DP71" s="11">
        <v>41470.0</v>
      </c>
      <c r="DQ71" s="12"/>
      <c r="DR71" s="12"/>
      <c r="DS71" s="12"/>
      <c r="DT71" s="12"/>
      <c r="DU71" s="13"/>
      <c r="DV71" s="11">
        <v>210520.0</v>
      </c>
      <c r="DW71" s="11">
        <v>77490.0</v>
      </c>
      <c r="DX71" s="11">
        <v>77490.0</v>
      </c>
      <c r="DY71" s="13"/>
      <c r="DZ71" s="11">
        <v>194740.0</v>
      </c>
      <c r="EA71" s="11">
        <v>113120.0</v>
      </c>
      <c r="EB71" s="11">
        <v>25450.0</v>
      </c>
      <c r="EC71" s="11">
        <v>52580.0</v>
      </c>
      <c r="ED71" s="12"/>
      <c r="EE71" s="14">
        <v>0.476</v>
      </c>
      <c r="EF71" s="14">
        <v>0.898</v>
      </c>
      <c r="EG71" s="14">
        <v>-0.184</v>
      </c>
      <c r="EH71" s="14">
        <v>-0.218</v>
      </c>
    </row>
    <row r="72">
      <c r="A72" s="9">
        <f t="shared" si="2"/>
        <v>70</v>
      </c>
      <c r="B72" s="18" t="s">
        <v>206</v>
      </c>
      <c r="C72" s="19">
        <v>1490000.0</v>
      </c>
      <c r="D72" s="19">
        <v>1020000.0</v>
      </c>
      <c r="E72" s="19">
        <v>1840000.0</v>
      </c>
      <c r="F72" s="19">
        <v>1670000.0</v>
      </c>
      <c r="G72" s="19">
        <v>1510000.0</v>
      </c>
      <c r="H72" s="19">
        <v>1360000.0</v>
      </c>
      <c r="I72" s="19">
        <v>1260000.0</v>
      </c>
      <c r="J72" s="19">
        <v>442860.0</v>
      </c>
      <c r="K72" s="19">
        <v>417490.0</v>
      </c>
      <c r="L72" s="19">
        <v>415400.0</v>
      </c>
      <c r="M72" s="19">
        <v>471220.0</v>
      </c>
      <c r="N72" s="19">
        <v>457410.0</v>
      </c>
      <c r="O72" s="19">
        <v>78910.0</v>
      </c>
      <c r="P72" s="19">
        <v>174030.0</v>
      </c>
      <c r="Q72" s="19">
        <v>149520.0</v>
      </c>
      <c r="R72" s="19">
        <v>20530.0</v>
      </c>
      <c r="S72" s="19">
        <v>21350.0</v>
      </c>
      <c r="T72" s="20"/>
      <c r="U72" s="20"/>
      <c r="V72" s="20"/>
      <c r="W72" s="20"/>
      <c r="X72" s="20"/>
      <c r="Y72" s="19">
        <v>360270.0</v>
      </c>
      <c r="Z72" s="20"/>
      <c r="AA72" s="19">
        <v>-35250.0</v>
      </c>
      <c r="AB72" s="20"/>
      <c r="AC72" s="20"/>
      <c r="AD72" s="19">
        <v>301250.0</v>
      </c>
      <c r="AE72" s="19">
        <v>199320.0</v>
      </c>
      <c r="AF72" s="19">
        <v>199010.0</v>
      </c>
      <c r="AG72" s="19">
        <v>345960.0</v>
      </c>
      <c r="AH72" s="19">
        <v>346720.0</v>
      </c>
      <c r="AI72" s="19">
        <v>519800.0</v>
      </c>
      <c r="AJ72" s="19">
        <v>372810.0</v>
      </c>
      <c r="AK72" s="19">
        <v>387600.0</v>
      </c>
      <c r="AL72" s="19">
        <v>474730.0</v>
      </c>
      <c r="AM72" s="19">
        <v>468510.0</v>
      </c>
      <c r="AN72" s="19">
        <v>228700.0</v>
      </c>
      <c r="AO72" s="19">
        <v>159700.0</v>
      </c>
      <c r="AP72" s="19">
        <v>195180.0</v>
      </c>
      <c r="AQ72" s="19">
        <v>217840.0</v>
      </c>
      <c r="AR72" s="19">
        <v>219410.0</v>
      </c>
      <c r="AS72" s="19">
        <v>442210.0</v>
      </c>
      <c r="AT72" s="19">
        <v>356610.0</v>
      </c>
      <c r="AU72" s="19">
        <v>390670.0</v>
      </c>
      <c r="AV72" s="19">
        <v>346860.0</v>
      </c>
      <c r="AW72" s="19">
        <v>365370.0</v>
      </c>
      <c r="AX72" s="19">
        <v>-506850.0</v>
      </c>
      <c r="AY72" s="19">
        <v>-334770.0</v>
      </c>
      <c r="AZ72" s="19">
        <v>-568440.0</v>
      </c>
      <c r="BA72" s="19">
        <v>-199740.0</v>
      </c>
      <c r="BB72" s="19">
        <v>-252690.0</v>
      </c>
      <c r="BC72" s="19">
        <v>-45550.0</v>
      </c>
      <c r="BD72" s="19">
        <v>-45250.0</v>
      </c>
      <c r="BE72" s="19">
        <v>-45720.0</v>
      </c>
      <c r="BF72" s="19">
        <v>-67540.0</v>
      </c>
      <c r="BG72" s="19">
        <v>-62440.0</v>
      </c>
      <c r="BH72" s="19">
        <v>472710.0</v>
      </c>
      <c r="BI72" s="19">
        <v>410380.0</v>
      </c>
      <c r="BJ72" s="19">
        <v>423320.0</v>
      </c>
      <c r="BK72" s="19">
        <v>345630.0</v>
      </c>
      <c r="BL72" s="19">
        <v>343050.0</v>
      </c>
      <c r="BM72" s="19">
        <v>25520.0</v>
      </c>
      <c r="BN72" s="19">
        <v>36010.0</v>
      </c>
      <c r="BO72" s="19">
        <v>71060.0</v>
      </c>
      <c r="BP72" s="19">
        <v>40670.0</v>
      </c>
      <c r="BQ72" s="19">
        <v>21820.0</v>
      </c>
      <c r="BR72" s="19">
        <v>28380.0</v>
      </c>
      <c r="BS72" s="19">
        <v>19520.0</v>
      </c>
      <c r="BT72" s="19">
        <v>17650.0</v>
      </c>
      <c r="BU72" s="19">
        <v>16800.0</v>
      </c>
      <c r="BV72" s="19">
        <v>15580.0</v>
      </c>
      <c r="BW72" s="19">
        <v>562220.0</v>
      </c>
      <c r="BX72" s="19">
        <v>495250.0</v>
      </c>
      <c r="BY72" s="19">
        <v>541280.0</v>
      </c>
      <c r="BZ72" s="19">
        <v>422050.0</v>
      </c>
      <c r="CA72" s="19">
        <v>401910.0</v>
      </c>
      <c r="CB72" s="19">
        <v>2260000.0</v>
      </c>
      <c r="CC72" s="19">
        <v>1850000.0</v>
      </c>
      <c r="CD72" s="19">
        <v>1510000.0</v>
      </c>
      <c r="CE72" s="19">
        <v>1100000.0</v>
      </c>
      <c r="CF72" s="19">
        <v>885940.0</v>
      </c>
      <c r="CG72" s="20"/>
      <c r="CH72" s="20"/>
      <c r="CI72" s="20"/>
      <c r="CJ72" s="20"/>
      <c r="CK72" s="20"/>
      <c r="CL72" s="19">
        <v>3010000.0</v>
      </c>
      <c r="CM72" s="19">
        <v>2500000.0</v>
      </c>
      <c r="CN72" s="19">
        <v>2180000.0</v>
      </c>
      <c r="CO72" s="19">
        <v>1670000.0</v>
      </c>
      <c r="CP72" s="19">
        <v>1360000.0</v>
      </c>
      <c r="CQ72" s="19">
        <v>27670.0</v>
      </c>
      <c r="CR72" s="19">
        <v>27450.0</v>
      </c>
      <c r="CS72" s="19">
        <v>20110.0</v>
      </c>
      <c r="CT72" s="19">
        <v>16010.0</v>
      </c>
      <c r="CU72" s="19">
        <v>6800.0</v>
      </c>
      <c r="CV72" s="19">
        <v>612580.0</v>
      </c>
      <c r="CW72" s="19">
        <v>2660.0</v>
      </c>
      <c r="CX72" s="20"/>
      <c r="CY72" s="20"/>
      <c r="CZ72" s="20"/>
      <c r="DA72" s="20"/>
      <c r="DB72" s="19">
        <v>612580.0</v>
      </c>
      <c r="DC72" s="19">
        <v>514000.0</v>
      </c>
      <c r="DD72" s="19">
        <v>544300.0</v>
      </c>
      <c r="DE72" s="19">
        <v>392900.0</v>
      </c>
      <c r="DF72" s="19">
        <v>2130000.0</v>
      </c>
      <c r="DG72" s="19">
        <v>1810000.0</v>
      </c>
      <c r="DH72" s="19">
        <v>1630000.0</v>
      </c>
      <c r="DI72" s="19">
        <v>1200000.0</v>
      </c>
      <c r="DJ72" s="19">
        <v>1010000.0</v>
      </c>
      <c r="DK72" s="19">
        <v>15540.0</v>
      </c>
      <c r="DL72" s="19">
        <v>51530.0</v>
      </c>
      <c r="DM72" s="19">
        <v>78570.0</v>
      </c>
      <c r="DN72" s="19">
        <v>124830.0</v>
      </c>
      <c r="DO72" s="19">
        <v>64750.0</v>
      </c>
      <c r="DP72" s="19">
        <v>1270000.0</v>
      </c>
      <c r="DQ72" s="19">
        <v>1120000.0</v>
      </c>
      <c r="DR72" s="19">
        <v>950130.0</v>
      </c>
      <c r="DS72" s="19">
        <v>722050.0</v>
      </c>
      <c r="DT72" s="19">
        <v>567610.0</v>
      </c>
      <c r="DU72" s="20"/>
      <c r="DV72" s="20"/>
      <c r="DW72" s="20"/>
      <c r="DX72" s="20"/>
      <c r="DY72" s="20"/>
      <c r="DZ72" s="19">
        <v>883550.0</v>
      </c>
      <c r="EA72" s="19">
        <v>690320.0</v>
      </c>
      <c r="EB72" s="19">
        <v>553310.0</v>
      </c>
      <c r="EC72" s="19">
        <v>473620.0</v>
      </c>
      <c r="ED72" s="19">
        <v>350010.0</v>
      </c>
      <c r="EE72" s="21">
        <v>0.501</v>
      </c>
      <c r="EF72" s="21">
        <v>0.497</v>
      </c>
      <c r="EG72" s="21">
        <v>-0.19</v>
      </c>
      <c r="EH72" s="21">
        <v>0.72</v>
      </c>
    </row>
    <row r="73">
      <c r="A73" s="9">
        <f t="shared" si="2"/>
        <v>71</v>
      </c>
      <c r="B73" s="18" t="s">
        <v>207</v>
      </c>
      <c r="C73" s="19">
        <v>6280000.0</v>
      </c>
      <c r="D73" s="19">
        <v>3910000.0</v>
      </c>
      <c r="E73" s="19">
        <v>8780000.0</v>
      </c>
      <c r="F73" s="19">
        <v>8260000.0</v>
      </c>
      <c r="G73" s="19">
        <v>7890000.0</v>
      </c>
      <c r="H73" s="19">
        <v>5930000.0</v>
      </c>
      <c r="I73" s="19">
        <v>5600000.0</v>
      </c>
      <c r="J73" s="19">
        <v>1990000.0</v>
      </c>
      <c r="K73" s="19">
        <v>1630000.0</v>
      </c>
      <c r="L73" s="19">
        <v>2270000.0</v>
      </c>
      <c r="M73" s="19">
        <v>2070000.0</v>
      </c>
      <c r="N73" s="19">
        <v>1920000.0</v>
      </c>
      <c r="O73" s="19">
        <v>313000.0</v>
      </c>
      <c r="P73" s="19">
        <v>326000.0</v>
      </c>
      <c r="Q73" s="19">
        <v>368000.0</v>
      </c>
      <c r="R73" s="19">
        <v>225000.0</v>
      </c>
      <c r="S73" s="19">
        <v>211000.0</v>
      </c>
      <c r="T73" s="20"/>
      <c r="U73" s="20"/>
      <c r="V73" s="20"/>
      <c r="W73" s="20"/>
      <c r="X73" s="20"/>
      <c r="Y73" s="19">
        <v>1080000.0</v>
      </c>
      <c r="Z73" s="19">
        <v>622000.0</v>
      </c>
      <c r="AA73" s="19">
        <v>-109000.0</v>
      </c>
      <c r="AB73" s="19">
        <v>1370000.0</v>
      </c>
      <c r="AC73" s="19">
        <v>-32000.0</v>
      </c>
      <c r="AD73" s="19">
        <v>1020000.0</v>
      </c>
      <c r="AE73" s="19">
        <v>585000.0</v>
      </c>
      <c r="AF73" s="19">
        <v>1160000.0</v>
      </c>
      <c r="AG73" s="19">
        <v>1350000.0</v>
      </c>
      <c r="AH73" s="19">
        <v>1310000.0</v>
      </c>
      <c r="AI73" s="19">
        <v>1540000.0</v>
      </c>
      <c r="AJ73" s="19">
        <v>1130000.0</v>
      </c>
      <c r="AK73" s="19">
        <v>1710000.0</v>
      </c>
      <c r="AL73" s="19">
        <v>1840000.0</v>
      </c>
      <c r="AM73" s="19">
        <v>1680000.0</v>
      </c>
      <c r="AN73" s="19">
        <v>769000.0</v>
      </c>
      <c r="AO73" s="19">
        <v>437000.0</v>
      </c>
      <c r="AP73" s="19">
        <v>960000.0</v>
      </c>
      <c r="AQ73" s="19">
        <v>814000.0</v>
      </c>
      <c r="AR73" s="19">
        <v>848000.0</v>
      </c>
      <c r="AS73" s="19">
        <v>1720000.0</v>
      </c>
      <c r="AT73" s="19">
        <v>1200000.0</v>
      </c>
      <c r="AU73" s="19">
        <v>1590000.0</v>
      </c>
      <c r="AV73" s="19">
        <v>1390000.0</v>
      </c>
      <c r="AW73" s="19">
        <v>1580000.0</v>
      </c>
      <c r="AX73" s="19">
        <v>-696000.0</v>
      </c>
      <c r="AY73" s="19">
        <v>-960000.0</v>
      </c>
      <c r="AZ73" s="19">
        <v>-1030000.0</v>
      </c>
      <c r="BA73" s="19">
        <v>-678000.0</v>
      </c>
      <c r="BB73" s="19">
        <v>-831000.0</v>
      </c>
      <c r="BC73" s="19">
        <v>-173000.0</v>
      </c>
      <c r="BD73" s="19">
        <v>-158000.0</v>
      </c>
      <c r="BE73" s="19">
        <v>-148000.0</v>
      </c>
      <c r="BF73" s="19">
        <v>-136000.0</v>
      </c>
      <c r="BG73" s="19">
        <v>-102000.0</v>
      </c>
      <c r="BH73" s="19">
        <v>1520000.0</v>
      </c>
      <c r="BI73" s="19">
        <v>1240000.0</v>
      </c>
      <c r="BJ73" s="19">
        <v>1620000.0</v>
      </c>
      <c r="BK73" s="19">
        <v>1580000.0</v>
      </c>
      <c r="BL73" s="19">
        <v>1330000.0</v>
      </c>
      <c r="BM73" s="19">
        <v>323000.0</v>
      </c>
      <c r="BN73" s="19">
        <v>366000.0</v>
      </c>
      <c r="BO73" s="19">
        <v>341000.0</v>
      </c>
      <c r="BP73" s="19">
        <v>302000.0</v>
      </c>
      <c r="BQ73" s="19">
        <v>212000.0</v>
      </c>
      <c r="BR73" s="19">
        <v>72000.0</v>
      </c>
      <c r="BS73" s="19">
        <v>60000.0</v>
      </c>
      <c r="BT73" s="19">
        <v>57000.0</v>
      </c>
      <c r="BU73" s="19">
        <v>47000.0</v>
      </c>
      <c r="BV73" s="19">
        <v>51000.0</v>
      </c>
      <c r="BW73" s="19">
        <v>2040000.0</v>
      </c>
      <c r="BX73" s="19">
        <v>1790000.0</v>
      </c>
      <c r="BY73" s="19">
        <v>2150000.0</v>
      </c>
      <c r="BZ73" s="19">
        <v>2050000.0</v>
      </c>
      <c r="CA73" s="19">
        <v>1660000.0</v>
      </c>
      <c r="CB73" s="19">
        <v>8610000.0</v>
      </c>
      <c r="CC73" s="19">
        <v>6780000.0</v>
      </c>
      <c r="CD73" s="19">
        <v>6280000.0</v>
      </c>
      <c r="CE73" s="19">
        <v>5670000.0</v>
      </c>
      <c r="CF73" s="19">
        <v>4800000.0</v>
      </c>
      <c r="CG73" s="19">
        <v>1940000.0</v>
      </c>
      <c r="CH73" s="19">
        <v>1940000.0</v>
      </c>
      <c r="CI73" s="19">
        <v>1940000.0</v>
      </c>
      <c r="CJ73" s="19">
        <v>1930000.0</v>
      </c>
      <c r="CK73" s="20"/>
      <c r="CL73" s="19">
        <v>1.4E7</v>
      </c>
      <c r="CM73" s="19">
        <v>1.152E7</v>
      </c>
      <c r="CN73" s="19">
        <v>1.144E7</v>
      </c>
      <c r="CO73" s="19">
        <v>9960000.0</v>
      </c>
      <c r="CP73" s="19">
        <v>6530000.0</v>
      </c>
      <c r="CQ73" s="19">
        <v>146000.0</v>
      </c>
      <c r="CR73" s="19">
        <v>132000.0</v>
      </c>
      <c r="CS73" s="19">
        <v>120000.0</v>
      </c>
      <c r="CT73" s="19">
        <v>92000.0</v>
      </c>
      <c r="CU73" s="19">
        <v>63000.0</v>
      </c>
      <c r="CV73" s="19">
        <v>3200000.0</v>
      </c>
      <c r="CW73" s="19">
        <v>269000.0</v>
      </c>
      <c r="CX73" s="20"/>
      <c r="CY73" s="20"/>
      <c r="CZ73" s="20"/>
      <c r="DA73" s="20"/>
      <c r="DB73" s="19">
        <v>3200000.0</v>
      </c>
      <c r="DC73" s="19">
        <v>2940000.0</v>
      </c>
      <c r="DD73" s="19">
        <v>2690000.0</v>
      </c>
      <c r="DE73" s="19">
        <v>2540000.0</v>
      </c>
      <c r="DF73" s="19">
        <v>9670000.0</v>
      </c>
      <c r="DG73" s="19">
        <v>7770000.0</v>
      </c>
      <c r="DH73" s="19">
        <v>7980000.0</v>
      </c>
      <c r="DI73" s="19">
        <v>7030000.0</v>
      </c>
      <c r="DJ73" s="19">
        <v>4120000.0</v>
      </c>
      <c r="DK73" s="19">
        <v>16000.0</v>
      </c>
      <c r="DL73" s="19">
        <v>18000.0</v>
      </c>
      <c r="DM73" s="19">
        <v>14000.0</v>
      </c>
      <c r="DN73" s="19">
        <v>3000.0</v>
      </c>
      <c r="DO73" s="20"/>
      <c r="DP73" s="19">
        <v>2700000.0</v>
      </c>
      <c r="DQ73" s="19">
        <v>1620000.0</v>
      </c>
      <c r="DR73" s="19">
        <v>2260000.0</v>
      </c>
      <c r="DS73" s="19">
        <v>2650000.0</v>
      </c>
      <c r="DT73" s="19">
        <v>569000.0</v>
      </c>
      <c r="DU73" s="27"/>
      <c r="DV73" s="20"/>
      <c r="DW73" s="20"/>
      <c r="DX73" s="20"/>
      <c r="DY73" s="20"/>
      <c r="DZ73" s="19">
        <v>4330000.0</v>
      </c>
      <c r="EA73" s="19">
        <v>3750000.0</v>
      </c>
      <c r="EB73" s="19">
        <v>3460000.0</v>
      </c>
      <c r="EC73" s="19">
        <v>2930000.0</v>
      </c>
      <c r="ED73" s="19">
        <v>2410000.0</v>
      </c>
      <c r="EE73" s="21">
        <v>0.171</v>
      </c>
      <c r="EF73" s="21">
        <v>0.482</v>
      </c>
      <c r="EG73" s="21">
        <v>0.051</v>
      </c>
      <c r="EH73" s="21">
        <v>0.101</v>
      </c>
    </row>
    <row r="74">
      <c r="A74" s="9">
        <f t="shared" si="2"/>
        <v>72</v>
      </c>
      <c r="B74" s="22" t="s">
        <v>208</v>
      </c>
      <c r="C74" s="11">
        <v>1080000.0</v>
      </c>
      <c r="D74" s="11">
        <v>979190.0</v>
      </c>
      <c r="E74" s="11">
        <v>1170000.0</v>
      </c>
      <c r="F74" s="11">
        <v>1090000.0</v>
      </c>
      <c r="G74" s="11">
        <v>903370.0</v>
      </c>
      <c r="H74" s="11">
        <v>745690.0</v>
      </c>
      <c r="I74" s="11">
        <v>628340.0</v>
      </c>
      <c r="J74" s="11">
        <v>936200.0</v>
      </c>
      <c r="K74" s="11">
        <v>840790.0</v>
      </c>
      <c r="L74" s="11">
        <v>676070.0</v>
      </c>
      <c r="M74" s="11">
        <v>544710.0</v>
      </c>
      <c r="N74" s="11">
        <v>425460.0</v>
      </c>
      <c r="O74" s="11">
        <v>1010000.0</v>
      </c>
      <c r="P74" s="11">
        <v>934210.0</v>
      </c>
      <c r="Q74" s="11">
        <v>823970.0</v>
      </c>
      <c r="R74" s="11">
        <v>753380.0</v>
      </c>
      <c r="S74" s="11">
        <v>649760.0</v>
      </c>
      <c r="T74" s="11">
        <v>412230.0</v>
      </c>
      <c r="U74" s="11">
        <v>413510.0</v>
      </c>
      <c r="V74" s="11">
        <v>402390.0</v>
      </c>
      <c r="W74" s="11">
        <v>379250.0</v>
      </c>
      <c r="X74" s="11">
        <v>338200.0</v>
      </c>
      <c r="Y74" s="11">
        <v>-198280.0</v>
      </c>
      <c r="Z74" s="11">
        <v>-121030.0</v>
      </c>
      <c r="AA74" s="11">
        <v>-136800.0</v>
      </c>
      <c r="AB74" s="11">
        <v>-200770.0</v>
      </c>
      <c r="AC74" s="11">
        <v>-226600.0</v>
      </c>
      <c r="AD74" s="11">
        <v>-197060.0</v>
      </c>
      <c r="AE74" s="11">
        <v>-126970.0</v>
      </c>
      <c r="AF74" s="11">
        <v>-143270.0</v>
      </c>
      <c r="AG74" s="11">
        <v>-214390.0</v>
      </c>
      <c r="AH74" s="11">
        <v>-224010.0</v>
      </c>
      <c r="AI74" s="11">
        <v>4940.0</v>
      </c>
      <c r="AJ74" s="11">
        <v>10230.0</v>
      </c>
      <c r="AK74" s="11">
        <v>-49380.0</v>
      </c>
      <c r="AL74" s="11">
        <v>-114410.0</v>
      </c>
      <c r="AM74" s="11">
        <v>-138710.0</v>
      </c>
      <c r="AN74" s="11">
        <v>-196620.0</v>
      </c>
      <c r="AO74" s="11">
        <v>-139310.0</v>
      </c>
      <c r="AP74" s="11">
        <v>-157950.0</v>
      </c>
      <c r="AQ74" s="11">
        <v>-208440.0</v>
      </c>
      <c r="AR74" s="11">
        <v>-227160.0</v>
      </c>
      <c r="AS74" s="11">
        <v>81190.0</v>
      </c>
      <c r="AT74" s="11">
        <v>99280.0</v>
      </c>
      <c r="AU74" s="11">
        <v>19190.0</v>
      </c>
      <c r="AV74" s="11">
        <v>-67230.0</v>
      </c>
      <c r="AW74" s="11">
        <v>-40360.0</v>
      </c>
      <c r="AX74" s="11">
        <v>-90940.0</v>
      </c>
      <c r="AY74" s="11">
        <v>-69430.0</v>
      </c>
      <c r="AZ74" s="11">
        <v>-51300.0</v>
      </c>
      <c r="BA74" s="11">
        <v>-43660.0</v>
      </c>
      <c r="BB74" s="11">
        <v>-52880.0</v>
      </c>
      <c r="BC74" s="12"/>
      <c r="BD74" s="12"/>
      <c r="BE74" s="12"/>
      <c r="BF74" s="12"/>
      <c r="BG74" s="12"/>
      <c r="BH74" s="11">
        <v>534980.0</v>
      </c>
      <c r="BI74" s="11">
        <v>539300.0</v>
      </c>
      <c r="BJ74" s="11">
        <v>433500.0</v>
      </c>
      <c r="BK74" s="11">
        <v>497230.0</v>
      </c>
      <c r="BL74" s="11">
        <v>534780.0</v>
      </c>
      <c r="BM74" s="11">
        <v>265470.0</v>
      </c>
      <c r="BN74" s="11">
        <v>300450.0</v>
      </c>
      <c r="BO74" s="11">
        <v>233590.0</v>
      </c>
      <c r="BP74" s="11">
        <v>191100.0</v>
      </c>
      <c r="BQ74" s="11">
        <v>155490.0</v>
      </c>
      <c r="BR74" s="11">
        <v>101800.0</v>
      </c>
      <c r="BS74" s="11">
        <v>90200.0</v>
      </c>
      <c r="BT74" s="11">
        <v>93280.0</v>
      </c>
      <c r="BU74" s="11">
        <v>63000.0</v>
      </c>
      <c r="BV74" s="11">
        <v>38410.0</v>
      </c>
      <c r="BW74" s="11">
        <v>961970.0</v>
      </c>
      <c r="BX74" s="11">
        <v>983250.0</v>
      </c>
      <c r="BY74" s="11">
        <v>808660.0</v>
      </c>
      <c r="BZ74" s="11">
        <v>790490.0</v>
      </c>
      <c r="CA74" s="11">
        <v>754770.0</v>
      </c>
      <c r="CB74" s="11">
        <v>374550.0</v>
      </c>
      <c r="CC74" s="11">
        <v>309990.0</v>
      </c>
      <c r="CD74" s="11">
        <v>284740.0</v>
      </c>
      <c r="CE74" s="11">
        <v>264790.0</v>
      </c>
      <c r="CF74" s="11">
        <v>254820.0</v>
      </c>
      <c r="CG74" s="11">
        <v>92870.0</v>
      </c>
      <c r="CH74" s="11">
        <v>92870.0</v>
      </c>
      <c r="CI74" s="11">
        <v>92870.0</v>
      </c>
      <c r="CJ74" s="11">
        <v>92870.0</v>
      </c>
      <c r="CK74" s="11">
        <v>92870.0</v>
      </c>
      <c r="CL74" s="11">
        <v>1810000.0</v>
      </c>
      <c r="CM74" s="11">
        <v>1830000.0</v>
      </c>
      <c r="CN74" s="11">
        <v>1800000.0</v>
      </c>
      <c r="CO74" s="11">
        <v>1730000.0</v>
      </c>
      <c r="CP74" s="11">
        <v>1860000.0</v>
      </c>
      <c r="CQ74" s="11">
        <v>54260.0</v>
      </c>
      <c r="CR74" s="11">
        <v>39770.0</v>
      </c>
      <c r="CS74" s="11">
        <v>55530.0</v>
      </c>
      <c r="CT74" s="11">
        <v>46280.0</v>
      </c>
      <c r="CU74" s="11">
        <v>37400.0</v>
      </c>
      <c r="CV74" s="11">
        <v>391110.0</v>
      </c>
      <c r="CW74" s="11">
        <v>8470.0</v>
      </c>
      <c r="CX74" s="12"/>
      <c r="CY74" s="12"/>
      <c r="CZ74" s="12"/>
      <c r="DA74" s="12"/>
      <c r="DB74" s="11">
        <v>391110.0</v>
      </c>
      <c r="DC74" s="11">
        <v>339770.0</v>
      </c>
      <c r="DD74" s="11">
        <v>291120.0</v>
      </c>
      <c r="DE74" s="11">
        <v>211990.0</v>
      </c>
      <c r="DF74" s="11">
        <v>719960.0</v>
      </c>
      <c r="DG74" s="11">
        <v>653720.0</v>
      </c>
      <c r="DH74" s="11">
        <v>594420.0</v>
      </c>
      <c r="DI74" s="11">
        <v>516940.0</v>
      </c>
      <c r="DJ74" s="11">
        <v>541470.0</v>
      </c>
      <c r="DK74" s="11">
        <v>85290.0</v>
      </c>
      <c r="DL74" s="11">
        <v>86240.0</v>
      </c>
      <c r="DM74" s="11">
        <v>157210.0</v>
      </c>
      <c r="DN74" s="11">
        <v>121930.0</v>
      </c>
      <c r="DO74" s="11">
        <v>265670.0</v>
      </c>
      <c r="DP74" s="11">
        <v>279640.0</v>
      </c>
      <c r="DQ74" s="11">
        <v>276470.0</v>
      </c>
      <c r="DR74" s="11">
        <v>278440.0</v>
      </c>
      <c r="DS74" s="11">
        <v>280670.0</v>
      </c>
      <c r="DT74" s="11">
        <v>284210.0</v>
      </c>
      <c r="DU74" s="13"/>
      <c r="DV74" s="12"/>
      <c r="DW74" s="12"/>
      <c r="DX74" s="13"/>
      <c r="DY74" s="13"/>
      <c r="DZ74" s="11">
        <v>1090000.0</v>
      </c>
      <c r="EA74" s="11">
        <v>1170000.0</v>
      </c>
      <c r="EB74" s="11">
        <v>1200000.0</v>
      </c>
      <c r="EC74" s="11">
        <v>1210000.0</v>
      </c>
      <c r="ED74" s="11">
        <v>1310000.0</v>
      </c>
      <c r="EE74" s="14">
        <v>0.048</v>
      </c>
      <c r="EF74" s="14">
        <v>0.161</v>
      </c>
      <c r="EG74" s="14">
        <v>7.0</v>
      </c>
      <c r="EH74" s="14">
        <v>2.314</v>
      </c>
    </row>
    <row r="75">
      <c r="A75" s="9">
        <f t="shared" si="2"/>
        <v>73</v>
      </c>
      <c r="B75" s="22" t="s">
        <v>209</v>
      </c>
      <c r="C75" s="12"/>
      <c r="D75" s="12"/>
      <c r="E75" s="12"/>
      <c r="F75" s="12"/>
      <c r="G75" s="12"/>
      <c r="H75" s="12"/>
      <c r="I75" s="12"/>
      <c r="J75" s="11">
        <v>-1510.0</v>
      </c>
      <c r="K75" s="11">
        <v>-242.0</v>
      </c>
      <c r="L75" s="11">
        <v>-241.0</v>
      </c>
      <c r="M75" s="11">
        <v>-148.0</v>
      </c>
      <c r="N75" s="12"/>
      <c r="O75" s="11">
        <v>89910.0</v>
      </c>
      <c r="P75" s="11">
        <v>45480.0</v>
      </c>
      <c r="Q75" s="11">
        <v>22010.0</v>
      </c>
      <c r="R75" s="11">
        <v>16910.0</v>
      </c>
      <c r="S75" s="12"/>
      <c r="T75" s="11">
        <v>61860.0</v>
      </c>
      <c r="U75" s="11">
        <v>33290.0</v>
      </c>
      <c r="V75" s="11">
        <v>18510.0</v>
      </c>
      <c r="W75" s="11">
        <v>14670.0</v>
      </c>
      <c r="X75" s="12"/>
      <c r="Y75" s="12"/>
      <c r="Z75" s="12"/>
      <c r="AA75" s="11">
        <v>-22450.0</v>
      </c>
      <c r="AB75" s="12"/>
      <c r="AC75" s="12"/>
      <c r="AD75" s="11">
        <v>-85370.0</v>
      </c>
      <c r="AE75" s="11">
        <v>-43540.0</v>
      </c>
      <c r="AF75" s="11">
        <v>-23840.0</v>
      </c>
      <c r="AG75" s="11">
        <v>-17100.0</v>
      </c>
      <c r="AH75" s="12"/>
      <c r="AI75" s="11">
        <v>-89910.0</v>
      </c>
      <c r="AJ75" s="11">
        <v>-45480.0</v>
      </c>
      <c r="AK75" s="11">
        <v>-22010.0</v>
      </c>
      <c r="AL75" s="11">
        <v>-16910.0</v>
      </c>
      <c r="AM75" s="12"/>
      <c r="AN75" s="11">
        <v>-85370.0</v>
      </c>
      <c r="AO75" s="11">
        <v>-43540.0</v>
      </c>
      <c r="AP75" s="11">
        <v>-23550.0</v>
      </c>
      <c r="AQ75" s="11">
        <v>-17100.0</v>
      </c>
      <c r="AR75" s="12"/>
      <c r="AS75" s="11">
        <v>-63010.0</v>
      </c>
      <c r="AT75" s="11">
        <v>-38450.0</v>
      </c>
      <c r="AU75" s="11">
        <v>-22570.0</v>
      </c>
      <c r="AV75" s="11">
        <v>-17580.0</v>
      </c>
      <c r="AW75" s="12"/>
      <c r="AX75" s="11">
        <v>-770.0</v>
      </c>
      <c r="AY75" s="11">
        <v>-6950.0</v>
      </c>
      <c r="AZ75" s="11">
        <v>-264.0</v>
      </c>
      <c r="BA75" s="11">
        <v>-234.0</v>
      </c>
      <c r="BB75" s="12"/>
      <c r="BC75" s="12"/>
      <c r="BD75" s="12"/>
      <c r="BE75" s="12"/>
      <c r="BF75" s="12"/>
      <c r="BG75" s="12"/>
      <c r="BH75" s="11">
        <v>495900.0</v>
      </c>
      <c r="BI75" s="11">
        <v>178910.0</v>
      </c>
      <c r="BJ75" s="11">
        <v>85210.0</v>
      </c>
      <c r="BK75" s="11">
        <v>13420.0</v>
      </c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1">
        <v>499870.0</v>
      </c>
      <c r="BX75" s="11">
        <v>181610.0</v>
      </c>
      <c r="BY75" s="11">
        <v>86240.0</v>
      </c>
      <c r="BZ75" s="11">
        <v>13570.0</v>
      </c>
      <c r="CA75" s="12"/>
      <c r="CB75" s="11">
        <v>14190.0</v>
      </c>
      <c r="CC75" s="11">
        <v>8850.0</v>
      </c>
      <c r="CD75" s="11">
        <v>445.0</v>
      </c>
      <c r="CE75" s="11">
        <v>333.0</v>
      </c>
      <c r="CF75" s="12"/>
      <c r="CG75" s="12"/>
      <c r="CH75" s="12"/>
      <c r="CI75" s="12"/>
      <c r="CJ75" s="12"/>
      <c r="CK75" s="12"/>
      <c r="CL75" s="11">
        <v>516890.0</v>
      </c>
      <c r="CM75" s="11">
        <v>191260.0</v>
      </c>
      <c r="CN75" s="11">
        <v>87030.0</v>
      </c>
      <c r="CO75" s="11">
        <v>14180.0</v>
      </c>
      <c r="CP75" s="12"/>
      <c r="CQ75" s="12"/>
      <c r="CR75" s="12"/>
      <c r="CS75" s="12"/>
      <c r="CT75" s="12"/>
      <c r="CU75" s="12"/>
      <c r="CV75" s="11">
        <v>13060.0</v>
      </c>
      <c r="CW75" s="11">
        <v>410.0</v>
      </c>
      <c r="CX75" s="12"/>
      <c r="CY75" s="12"/>
      <c r="CZ75" s="12"/>
      <c r="DA75" s="12"/>
      <c r="DB75" s="11">
        <v>13060.0</v>
      </c>
      <c r="DC75" s="11">
        <v>5260.0</v>
      </c>
      <c r="DD75" s="11">
        <v>2790.0</v>
      </c>
      <c r="DE75" s="11">
        <v>2540.0</v>
      </c>
      <c r="DF75" s="11">
        <v>21170.0</v>
      </c>
      <c r="DG75" s="11">
        <v>7270.0</v>
      </c>
      <c r="DH75" s="11">
        <v>2830.0</v>
      </c>
      <c r="DI75" s="11">
        <v>7620.0</v>
      </c>
      <c r="DJ75" s="12"/>
      <c r="DK75" s="11">
        <v>2280.0</v>
      </c>
      <c r="DL75" s="11">
        <v>802.0</v>
      </c>
      <c r="DM75" s="12"/>
      <c r="DN75" s="12"/>
      <c r="DO75" s="12"/>
      <c r="DP75" s="11">
        <v>8110.0</v>
      </c>
      <c r="DQ75" s="12"/>
      <c r="DR75" s="12"/>
      <c r="DS75" s="11">
        <v>4990.0</v>
      </c>
      <c r="DT75" s="12"/>
      <c r="DU75" s="13"/>
      <c r="DV75" s="12"/>
      <c r="DW75" s="11">
        <v>142970.0</v>
      </c>
      <c r="DX75" s="11">
        <v>43000.0</v>
      </c>
      <c r="DY75" s="13"/>
      <c r="DZ75" s="11">
        <v>495720.0</v>
      </c>
      <c r="EA75" s="11">
        <v>183990.0</v>
      </c>
      <c r="EB75" s="11">
        <v>84200.0</v>
      </c>
      <c r="EC75" s="11">
        <v>6560.0</v>
      </c>
      <c r="ED75" s="12"/>
      <c r="EE75" s="23"/>
      <c r="EF75" s="23"/>
      <c r="EG75" s="14">
        <v>-0.311</v>
      </c>
      <c r="EH75" s="14">
        <v>-0.125</v>
      </c>
    </row>
    <row r="76">
      <c r="A76" s="9">
        <f t="shared" si="2"/>
        <v>74</v>
      </c>
      <c r="B76" s="22" t="s">
        <v>210</v>
      </c>
      <c r="C76" s="12"/>
      <c r="D76" s="12"/>
      <c r="E76" s="12"/>
      <c r="F76" s="12"/>
      <c r="G76" s="12"/>
      <c r="H76" s="12"/>
      <c r="I76" s="12"/>
      <c r="J76" s="11">
        <v>-5030.0</v>
      </c>
      <c r="K76" s="11">
        <v>-1500.0</v>
      </c>
      <c r="L76" s="12"/>
      <c r="M76" s="12"/>
      <c r="N76" s="12"/>
      <c r="O76" s="11">
        <v>196980.0</v>
      </c>
      <c r="P76" s="11">
        <v>81910.0</v>
      </c>
      <c r="Q76" s="11">
        <v>2.0</v>
      </c>
      <c r="R76" s="12"/>
      <c r="S76" s="12"/>
      <c r="T76" s="11">
        <v>139510.0</v>
      </c>
      <c r="U76" s="11">
        <v>42420.0</v>
      </c>
      <c r="V76" s="12"/>
      <c r="W76" s="12"/>
      <c r="X76" s="12"/>
      <c r="Y76" s="12"/>
      <c r="Z76" s="11">
        <v>-214050.0</v>
      </c>
      <c r="AA76" s="12"/>
      <c r="AB76" s="12"/>
      <c r="AC76" s="12"/>
      <c r="AD76" s="11">
        <v>-184930.0</v>
      </c>
      <c r="AE76" s="11">
        <v>-211620.0</v>
      </c>
      <c r="AF76" s="11">
        <v>-2.0</v>
      </c>
      <c r="AG76" s="12"/>
      <c r="AH76" s="12"/>
      <c r="AI76" s="11">
        <v>-196980.0</v>
      </c>
      <c r="AJ76" s="11">
        <v>-81910.0</v>
      </c>
      <c r="AK76" s="11">
        <v>-2.0</v>
      </c>
      <c r="AL76" s="12"/>
      <c r="AM76" s="12"/>
      <c r="AN76" s="11">
        <v>-184590.0</v>
      </c>
      <c r="AO76" s="11">
        <v>-211510.0</v>
      </c>
      <c r="AP76" s="11">
        <v>-2.0</v>
      </c>
      <c r="AQ76" s="12"/>
      <c r="AR76" s="12"/>
      <c r="AS76" s="11">
        <v>-137350.0</v>
      </c>
      <c r="AT76" s="11">
        <v>-44650.0</v>
      </c>
      <c r="AU76" s="12"/>
      <c r="AV76" s="12"/>
      <c r="AW76" s="12"/>
      <c r="AX76" s="11">
        <v>-50790.0</v>
      </c>
      <c r="AY76" s="11">
        <v>-5330.0</v>
      </c>
      <c r="AZ76" s="12"/>
      <c r="BA76" s="12"/>
      <c r="BB76" s="12"/>
      <c r="BC76" s="12"/>
      <c r="BD76" s="12"/>
      <c r="BE76" s="12"/>
      <c r="BF76" s="12"/>
      <c r="BG76" s="12"/>
      <c r="BH76" s="11">
        <v>530530.0</v>
      </c>
      <c r="BI76" s="11">
        <v>459380.0</v>
      </c>
      <c r="BJ76" s="12"/>
      <c r="BK76" s="12"/>
      <c r="BL76" s="12"/>
      <c r="BM76" s="11">
        <v>2400.0</v>
      </c>
      <c r="BN76" s="11">
        <v>3110.0</v>
      </c>
      <c r="BO76" s="12"/>
      <c r="BP76" s="12"/>
      <c r="BQ76" s="12"/>
      <c r="BR76" s="12"/>
      <c r="BS76" s="12"/>
      <c r="BT76" s="12"/>
      <c r="BU76" s="12"/>
      <c r="BV76" s="12"/>
      <c r="BW76" s="11">
        <v>544580.0</v>
      </c>
      <c r="BX76" s="11">
        <v>467980.0</v>
      </c>
      <c r="BY76" s="12"/>
      <c r="BZ76" s="12"/>
      <c r="CA76" s="12"/>
      <c r="CB76" s="11">
        <v>100940.0</v>
      </c>
      <c r="CC76" s="11">
        <v>41610.0</v>
      </c>
      <c r="CD76" s="12"/>
      <c r="CE76" s="12"/>
      <c r="CF76" s="12"/>
      <c r="CG76" s="12"/>
      <c r="CH76" s="12"/>
      <c r="CI76" s="12"/>
      <c r="CJ76" s="12"/>
      <c r="CK76" s="12"/>
      <c r="CL76" s="11">
        <v>717800.0</v>
      </c>
      <c r="CM76" s="11">
        <v>773860.0</v>
      </c>
      <c r="CN76" s="11">
        <v>5.0</v>
      </c>
      <c r="CO76" s="12"/>
      <c r="CP76" s="12"/>
      <c r="CQ76" s="11">
        <v>9250.0</v>
      </c>
      <c r="CR76" s="11">
        <v>12340.0</v>
      </c>
      <c r="CS76" s="12"/>
      <c r="CT76" s="12"/>
      <c r="CU76" s="12"/>
      <c r="CV76" s="11">
        <v>33080.0</v>
      </c>
      <c r="CW76" s="12"/>
      <c r="CX76" s="12"/>
      <c r="CY76" s="12"/>
      <c r="CZ76" s="12"/>
      <c r="DA76" s="12"/>
      <c r="DB76" s="11">
        <v>33080.0</v>
      </c>
      <c r="DC76" s="11">
        <v>29460.0</v>
      </c>
      <c r="DD76" s="11">
        <v>2.0</v>
      </c>
      <c r="DE76" s="12"/>
      <c r="DF76" s="11">
        <v>88780.0</v>
      </c>
      <c r="DG76" s="11">
        <v>70690.0</v>
      </c>
      <c r="DH76" s="11">
        <v>2.0</v>
      </c>
      <c r="DI76" s="12"/>
      <c r="DJ76" s="12"/>
      <c r="DK76" s="11">
        <v>67510.0</v>
      </c>
      <c r="DL76" s="11">
        <v>261970.0</v>
      </c>
      <c r="DM76" s="12"/>
      <c r="DN76" s="12"/>
      <c r="DO76" s="12"/>
      <c r="DP76" s="11">
        <v>51350.0</v>
      </c>
      <c r="DQ76" s="11">
        <v>34460.0</v>
      </c>
      <c r="DR76" s="12"/>
      <c r="DS76" s="12"/>
      <c r="DT76" s="12"/>
      <c r="DU76" s="13"/>
      <c r="DV76" s="12"/>
      <c r="DW76" s="12"/>
      <c r="DX76" s="13"/>
      <c r="DY76" s="13"/>
      <c r="DZ76" s="11">
        <v>629020.0</v>
      </c>
      <c r="EA76" s="11">
        <v>703160.0</v>
      </c>
      <c r="EB76" s="11">
        <v>3.0</v>
      </c>
      <c r="EC76" s="12"/>
      <c r="ED76" s="12"/>
      <c r="EE76" s="23"/>
      <c r="EF76" s="23"/>
      <c r="EG76" s="14">
        <v>0.019</v>
      </c>
      <c r="EH76" s="14">
        <v>0.095</v>
      </c>
    </row>
    <row r="77">
      <c r="A77" s="9">
        <f t="shared" si="2"/>
        <v>75</v>
      </c>
      <c r="B77" s="22" t="s">
        <v>211</v>
      </c>
      <c r="C77" s="11">
        <v>813850.0</v>
      </c>
      <c r="D77" s="11">
        <v>469610.0</v>
      </c>
      <c r="E77" s="11">
        <v>219750.0</v>
      </c>
      <c r="F77" s="11">
        <v>74910.0</v>
      </c>
      <c r="G77" s="11">
        <v>89910.0</v>
      </c>
      <c r="H77" s="11">
        <v>47160.0</v>
      </c>
      <c r="I77" s="11">
        <v>41100.0</v>
      </c>
      <c r="J77" s="11">
        <v>194690.0</v>
      </c>
      <c r="K77" s="11">
        <v>66670.0</v>
      </c>
      <c r="L77" s="12"/>
      <c r="M77" s="12"/>
      <c r="N77" s="12"/>
      <c r="O77" s="11">
        <v>1130000.0</v>
      </c>
      <c r="P77" s="11">
        <v>881340.0</v>
      </c>
      <c r="Q77" s="11">
        <v>576630.0</v>
      </c>
      <c r="R77" s="11">
        <v>456620.0</v>
      </c>
      <c r="S77" s="11">
        <v>318060.0</v>
      </c>
      <c r="T77" s="11">
        <v>655110.0</v>
      </c>
      <c r="U77" s="11">
        <v>505420.0</v>
      </c>
      <c r="V77" s="11">
        <v>390640.0</v>
      </c>
      <c r="W77" s="11">
        <v>382390.0</v>
      </c>
      <c r="X77" s="11">
        <v>276500.0</v>
      </c>
      <c r="Y77" s="11">
        <v>-930010.0</v>
      </c>
      <c r="Z77" s="11">
        <v>-794110.0</v>
      </c>
      <c r="AA77" s="12"/>
      <c r="AB77" s="12"/>
      <c r="AC77" s="12"/>
      <c r="AD77" s="11">
        <v>-885250.0</v>
      </c>
      <c r="AE77" s="11">
        <v>-760670.0</v>
      </c>
      <c r="AF77" s="11">
        <v>-490870.0</v>
      </c>
      <c r="AG77" s="11">
        <v>-410110.0</v>
      </c>
      <c r="AH77" s="11">
        <v>-290070.0</v>
      </c>
      <c r="AI77" s="11">
        <v>-922260.0</v>
      </c>
      <c r="AJ77" s="11">
        <v>-808240.0</v>
      </c>
      <c r="AK77" s="11">
        <v>-486720.0</v>
      </c>
      <c r="AL77" s="11">
        <v>-409460.0</v>
      </c>
      <c r="AM77" s="11">
        <v>-276960.0</v>
      </c>
      <c r="AN77" s="11">
        <v>-886120.0</v>
      </c>
      <c r="AO77" s="11">
        <v>-761500.0</v>
      </c>
      <c r="AP77" s="11">
        <v>-490870.0</v>
      </c>
      <c r="AQ77" s="11">
        <v>-410110.0</v>
      </c>
      <c r="AR77" s="11">
        <v>-290070.0</v>
      </c>
      <c r="AS77" s="11">
        <v>-244720.0</v>
      </c>
      <c r="AT77" s="11">
        <v>-562620.0</v>
      </c>
      <c r="AU77" s="11">
        <v>-382790.0</v>
      </c>
      <c r="AV77" s="11">
        <v>-307700.0</v>
      </c>
      <c r="AW77" s="11">
        <v>-189140.0</v>
      </c>
      <c r="AX77" s="11">
        <v>-140160.0</v>
      </c>
      <c r="AY77" s="11">
        <v>-126890.0</v>
      </c>
      <c r="AZ77" s="11">
        <v>-104210.0</v>
      </c>
      <c r="BA77" s="11">
        <v>-64560.0</v>
      </c>
      <c r="BB77" s="11">
        <v>-12950.0</v>
      </c>
      <c r="BC77" s="12"/>
      <c r="BD77" s="12"/>
      <c r="BE77" s="12"/>
      <c r="BF77" s="12"/>
      <c r="BG77" s="12"/>
      <c r="BH77" s="11">
        <v>1540000.0</v>
      </c>
      <c r="BI77" s="11">
        <v>1080000.0</v>
      </c>
      <c r="BJ77" s="11">
        <v>1690000.0</v>
      </c>
      <c r="BK77" s="11">
        <v>626800.0</v>
      </c>
      <c r="BL77" s="11">
        <v>1080000.0</v>
      </c>
      <c r="BM77" s="11">
        <v>43010.0</v>
      </c>
      <c r="BN77" s="11">
        <v>18760.0</v>
      </c>
      <c r="BO77" s="11">
        <v>34000.0</v>
      </c>
      <c r="BP77" s="11">
        <v>23330.0</v>
      </c>
      <c r="BQ77" s="11">
        <v>8300.0</v>
      </c>
      <c r="BR77" s="11">
        <v>56350.0</v>
      </c>
      <c r="BS77" s="11">
        <v>24070.0</v>
      </c>
      <c r="BT77" s="12"/>
      <c r="BU77" s="12"/>
      <c r="BV77" s="12"/>
      <c r="BW77" s="11">
        <v>1720000.0</v>
      </c>
      <c r="BX77" s="11">
        <v>1200000.0</v>
      </c>
      <c r="BY77" s="11">
        <v>1760000.0</v>
      </c>
      <c r="BZ77" s="11">
        <v>671880.0</v>
      </c>
      <c r="CA77" s="11">
        <v>1110000.0</v>
      </c>
      <c r="CB77" s="11">
        <v>646380.0</v>
      </c>
      <c r="CC77" s="11">
        <v>320660.0</v>
      </c>
      <c r="CD77" s="11">
        <v>181900.0</v>
      </c>
      <c r="CE77" s="11">
        <v>114570.0</v>
      </c>
      <c r="CF77" s="11">
        <v>27810.0</v>
      </c>
      <c r="CG77" s="12"/>
      <c r="CH77" s="12"/>
      <c r="CI77" s="12"/>
      <c r="CJ77" s="12"/>
      <c r="CK77" s="12"/>
      <c r="CL77" s="11">
        <v>2400000.0</v>
      </c>
      <c r="CM77" s="11">
        <v>1570000.0</v>
      </c>
      <c r="CN77" s="11">
        <v>1990000.0</v>
      </c>
      <c r="CO77" s="11">
        <v>1260000.0</v>
      </c>
      <c r="CP77" s="11">
        <v>1390000.0</v>
      </c>
      <c r="CQ77" s="11">
        <v>49880.0</v>
      </c>
      <c r="CR77" s="11">
        <v>59710.0</v>
      </c>
      <c r="CS77" s="11">
        <v>28360.0</v>
      </c>
      <c r="CT77" s="11">
        <v>54470.0</v>
      </c>
      <c r="CU77" s="11">
        <v>16790.0</v>
      </c>
      <c r="CV77" s="11">
        <v>352590.0</v>
      </c>
      <c r="CW77" s="11">
        <v>27690.0</v>
      </c>
      <c r="CX77" s="12"/>
      <c r="CY77" s="12"/>
      <c r="CZ77" s="12"/>
      <c r="DA77" s="12"/>
      <c r="DB77" s="11">
        <v>352590.0</v>
      </c>
      <c r="DC77" s="11">
        <v>179490.0</v>
      </c>
      <c r="DD77" s="11">
        <v>144250.0</v>
      </c>
      <c r="DE77" s="11">
        <v>131700.0</v>
      </c>
      <c r="DF77" s="11">
        <v>956440.0</v>
      </c>
      <c r="DG77" s="11">
        <v>272840.0</v>
      </c>
      <c r="DH77" s="11">
        <v>228300.0</v>
      </c>
      <c r="DI77" s="11">
        <v>342590.0</v>
      </c>
      <c r="DJ77" s="11">
        <v>121800.0</v>
      </c>
      <c r="DK77" s="11">
        <v>17270.0</v>
      </c>
      <c r="DL77" s="11">
        <v>47090.0</v>
      </c>
      <c r="DM77" s="11">
        <v>45420.0</v>
      </c>
      <c r="DN77" s="11">
        <v>476300.0</v>
      </c>
      <c r="DO77" s="11">
        <v>251840.0</v>
      </c>
      <c r="DP77" s="11">
        <v>276140.0</v>
      </c>
      <c r="DQ77" s="11">
        <v>30000.0</v>
      </c>
      <c r="DR77" s="11">
        <v>30000.0</v>
      </c>
      <c r="DS77" s="11">
        <v>150000.0</v>
      </c>
      <c r="DT77" s="12"/>
      <c r="DU77" s="13"/>
      <c r="DV77" s="12"/>
      <c r="DW77" s="12"/>
      <c r="DX77" s="13"/>
      <c r="DY77" s="13"/>
      <c r="DZ77" s="11">
        <v>1440000.0</v>
      </c>
      <c r="EA77" s="11">
        <v>1300000.0</v>
      </c>
      <c r="EB77" s="11">
        <v>1770000.0</v>
      </c>
      <c r="EC77" s="11">
        <v>920220.0</v>
      </c>
      <c r="ED77" s="11">
        <v>1260000.0</v>
      </c>
      <c r="EE77" s="14">
        <v>0.135</v>
      </c>
      <c r="EF77" s="14">
        <v>0.485</v>
      </c>
      <c r="EG77" s="14">
        <v>0.103</v>
      </c>
      <c r="EH77" s="14">
        <v>0.048</v>
      </c>
    </row>
    <row r="78">
      <c r="A78" s="9">
        <f t="shared" si="2"/>
        <v>76</v>
      </c>
      <c r="B78" s="22" t="s">
        <v>212</v>
      </c>
      <c r="C78" s="11">
        <v>40370.0</v>
      </c>
      <c r="D78" s="11">
        <v>24100.0</v>
      </c>
      <c r="E78" s="11">
        <v>1740.0</v>
      </c>
      <c r="F78" s="11">
        <v>705.0</v>
      </c>
      <c r="G78" s="11">
        <v>1730.0</v>
      </c>
      <c r="H78" s="11">
        <v>2950.0</v>
      </c>
      <c r="I78" s="12"/>
      <c r="J78" s="12"/>
      <c r="K78" s="12"/>
      <c r="L78" s="12"/>
      <c r="M78" s="12"/>
      <c r="N78" s="11">
        <v>-66.0</v>
      </c>
      <c r="O78" s="11">
        <v>44850.0</v>
      </c>
      <c r="P78" s="11">
        <v>36940.0</v>
      </c>
      <c r="Q78" s="11">
        <v>16460.0</v>
      </c>
      <c r="R78" s="11">
        <v>4070.0</v>
      </c>
      <c r="S78" s="11">
        <v>22830.0</v>
      </c>
      <c r="T78" s="11">
        <v>35850.0</v>
      </c>
      <c r="U78" s="11">
        <v>28970.0</v>
      </c>
      <c r="V78" s="11">
        <v>10630.0</v>
      </c>
      <c r="W78" s="11">
        <v>2990.0</v>
      </c>
      <c r="X78" s="11">
        <v>16050.0</v>
      </c>
      <c r="Y78" s="12"/>
      <c r="Z78" s="12"/>
      <c r="AA78" s="12"/>
      <c r="AB78" s="12"/>
      <c r="AC78" s="12"/>
      <c r="AD78" s="11">
        <v>-41850.0</v>
      </c>
      <c r="AE78" s="11">
        <v>-36850.0</v>
      </c>
      <c r="AF78" s="11">
        <v>-7980.0</v>
      </c>
      <c r="AG78" s="11">
        <v>-1170.0</v>
      </c>
      <c r="AH78" s="11">
        <v>-22820.0</v>
      </c>
      <c r="AI78" s="11">
        <v>-43110.0</v>
      </c>
      <c r="AJ78" s="11">
        <v>-36240.0</v>
      </c>
      <c r="AK78" s="11">
        <v>-14730.0</v>
      </c>
      <c r="AL78" s="11">
        <v>-1120.0</v>
      </c>
      <c r="AM78" s="11">
        <v>-22830.0</v>
      </c>
      <c r="AN78" s="11">
        <v>-41850.0</v>
      </c>
      <c r="AO78" s="11">
        <v>-36490.0</v>
      </c>
      <c r="AP78" s="11">
        <v>-7780.0</v>
      </c>
      <c r="AQ78" s="11">
        <v>-1230.0</v>
      </c>
      <c r="AR78" s="11">
        <v>-22820.0</v>
      </c>
      <c r="AS78" s="11">
        <v>-35150.0</v>
      </c>
      <c r="AT78" s="11">
        <v>-28420.0</v>
      </c>
      <c r="AU78" s="11">
        <v>-16570.0</v>
      </c>
      <c r="AV78" s="11">
        <v>-3800.0</v>
      </c>
      <c r="AW78" s="11">
        <v>-19210.0</v>
      </c>
      <c r="AX78" s="11">
        <v>-821.0</v>
      </c>
      <c r="AY78" s="11">
        <v>-495.0</v>
      </c>
      <c r="AZ78" s="11">
        <v>-586.0</v>
      </c>
      <c r="BA78" s="11">
        <v>-782.0</v>
      </c>
      <c r="BB78" s="11">
        <v>-188.0</v>
      </c>
      <c r="BC78" s="12"/>
      <c r="BD78" s="12"/>
      <c r="BE78" s="12"/>
      <c r="BF78" s="12"/>
      <c r="BG78" s="12"/>
      <c r="BH78" s="11">
        <v>40650.0</v>
      </c>
      <c r="BI78" s="11">
        <v>52300.0</v>
      </c>
      <c r="BJ78" s="11">
        <v>81240.0</v>
      </c>
      <c r="BK78" s="11">
        <v>11820.0</v>
      </c>
      <c r="BL78" s="11">
        <v>87250.0</v>
      </c>
      <c r="BM78" s="11">
        <v>686.0</v>
      </c>
      <c r="BN78" s="11">
        <v>237.0</v>
      </c>
      <c r="BO78" s="11">
        <v>128.0</v>
      </c>
      <c r="BP78" s="12"/>
      <c r="BQ78" s="12"/>
      <c r="BR78" s="12"/>
      <c r="BS78" s="12"/>
      <c r="BT78" s="12"/>
      <c r="BU78" s="12"/>
      <c r="BV78" s="12"/>
      <c r="BW78" s="11">
        <v>42290.0</v>
      </c>
      <c r="BX78" s="11">
        <v>53070.0</v>
      </c>
      <c r="BY78" s="11">
        <v>82550.0</v>
      </c>
      <c r="BZ78" s="11">
        <v>11860.0</v>
      </c>
      <c r="CA78" s="11">
        <v>87690.0</v>
      </c>
      <c r="CB78" s="11">
        <v>11540.0</v>
      </c>
      <c r="CC78" s="11">
        <v>1200.0</v>
      </c>
      <c r="CD78" s="11">
        <v>1090.0</v>
      </c>
      <c r="CE78" s="11">
        <v>740.0</v>
      </c>
      <c r="CF78" s="11">
        <v>213.0</v>
      </c>
      <c r="CG78" s="12"/>
      <c r="CH78" s="12"/>
      <c r="CI78" s="12"/>
      <c r="CJ78" s="12"/>
      <c r="CK78" s="12"/>
      <c r="CL78" s="11">
        <v>54090.0</v>
      </c>
      <c r="CM78" s="11">
        <v>55060.0</v>
      </c>
      <c r="CN78" s="11">
        <v>85220.0</v>
      </c>
      <c r="CO78" s="11">
        <v>12600.0</v>
      </c>
      <c r="CP78" s="11">
        <v>87910.0</v>
      </c>
      <c r="CQ78" s="11">
        <v>1540.0</v>
      </c>
      <c r="CR78" s="11">
        <v>1720.0</v>
      </c>
      <c r="CS78" s="11">
        <v>193.0</v>
      </c>
      <c r="CT78" s="11">
        <v>127.0</v>
      </c>
      <c r="CU78" s="12"/>
      <c r="CV78" s="11">
        <v>8680.0</v>
      </c>
      <c r="CW78" s="12"/>
      <c r="CX78" s="12"/>
      <c r="CY78" s="12"/>
      <c r="CZ78" s="12"/>
      <c r="DA78" s="12"/>
      <c r="DB78" s="11">
        <v>8680.0</v>
      </c>
      <c r="DC78" s="11">
        <v>8130.0</v>
      </c>
      <c r="DD78" s="11">
        <v>1900.0</v>
      </c>
      <c r="DE78" s="11">
        <v>2400.0</v>
      </c>
      <c r="DF78" s="11">
        <v>24620.0</v>
      </c>
      <c r="DG78" s="11">
        <v>10470.0</v>
      </c>
      <c r="DH78" s="11">
        <v>6310.0</v>
      </c>
      <c r="DI78" s="11">
        <v>2520.0</v>
      </c>
      <c r="DJ78" s="11">
        <v>4420.0</v>
      </c>
      <c r="DK78" s="11">
        <v>254.0</v>
      </c>
      <c r="DL78" s="11">
        <v>132.0</v>
      </c>
      <c r="DM78" s="11">
        <v>132.0</v>
      </c>
      <c r="DN78" s="12"/>
      <c r="DO78" s="12"/>
      <c r="DP78" s="11">
        <v>15940.0</v>
      </c>
      <c r="DQ78" s="11">
        <v>2160.0</v>
      </c>
      <c r="DR78" s="11">
        <v>4040.0</v>
      </c>
      <c r="DS78" s="11">
        <v>113.0</v>
      </c>
      <c r="DT78" s="12"/>
      <c r="DU78" s="13"/>
      <c r="DV78" s="12"/>
      <c r="DW78" s="12"/>
      <c r="DX78" s="11">
        <v>11540.0</v>
      </c>
      <c r="DY78" s="13"/>
      <c r="DZ78" s="11">
        <v>29470.0</v>
      </c>
      <c r="EA78" s="11">
        <v>44590.0</v>
      </c>
      <c r="EB78" s="11">
        <v>78920.0</v>
      </c>
      <c r="EC78" s="11">
        <v>10080.0</v>
      </c>
      <c r="ED78" s="11">
        <v>83490.0</v>
      </c>
      <c r="EE78" s="14">
        <v>2.432</v>
      </c>
      <c r="EF78" s="14">
        <v>0.409</v>
      </c>
      <c r="EG78" s="14">
        <v>-2.0</v>
      </c>
      <c r="EH78" s="14">
        <v>-0.28</v>
      </c>
    </row>
    <row r="79">
      <c r="A79" s="9">
        <f t="shared" si="2"/>
        <v>77</v>
      </c>
      <c r="B79" s="22" t="s">
        <v>213</v>
      </c>
      <c r="C79" s="11">
        <v>227200.0</v>
      </c>
      <c r="D79" s="11">
        <v>4280.0</v>
      </c>
      <c r="E79" s="11">
        <v>5800.0</v>
      </c>
      <c r="F79" s="11">
        <v>10330.0</v>
      </c>
      <c r="G79" s="11">
        <v>10740.0</v>
      </c>
      <c r="H79" s="11">
        <v>3240.0</v>
      </c>
      <c r="I79" s="11">
        <v>10640.0</v>
      </c>
      <c r="J79" s="12"/>
      <c r="K79" s="12"/>
      <c r="L79" s="12"/>
      <c r="M79" s="12"/>
      <c r="N79" s="12"/>
      <c r="O79" s="11">
        <v>22450.0</v>
      </c>
      <c r="P79" s="11">
        <v>27920.0</v>
      </c>
      <c r="Q79" s="11">
        <v>25210.0</v>
      </c>
      <c r="R79" s="11">
        <v>13520.0</v>
      </c>
      <c r="S79" s="11">
        <v>11360.0</v>
      </c>
      <c r="T79" s="11">
        <v>14190.0</v>
      </c>
      <c r="U79" s="11">
        <v>18380.0</v>
      </c>
      <c r="V79" s="11">
        <v>18350.0</v>
      </c>
      <c r="W79" s="11">
        <v>7150.0</v>
      </c>
      <c r="X79" s="11">
        <v>5130.0</v>
      </c>
      <c r="Y79" s="11">
        <v>-21430.0</v>
      </c>
      <c r="Z79" s="11">
        <v>-45530.0</v>
      </c>
      <c r="AA79" s="11">
        <v>-51950.0</v>
      </c>
      <c r="AB79" s="11">
        <v>-671.0</v>
      </c>
      <c r="AC79" s="11">
        <v>-3100.0</v>
      </c>
      <c r="AD79" s="11">
        <v>-20580.0</v>
      </c>
      <c r="AE79" s="11">
        <v>-45320.0</v>
      </c>
      <c r="AF79" s="11">
        <v>-52060.0</v>
      </c>
      <c r="AG79" s="11">
        <v>-11090.0</v>
      </c>
      <c r="AH79" s="11">
        <v>-3380.0</v>
      </c>
      <c r="AI79" s="11">
        <v>-16650.0</v>
      </c>
      <c r="AJ79" s="11">
        <v>-17590.0</v>
      </c>
      <c r="AK79" s="11">
        <v>-14470.0</v>
      </c>
      <c r="AL79" s="11">
        <v>-10290.0</v>
      </c>
      <c r="AM79" s="11">
        <v>-715.0</v>
      </c>
      <c r="AN79" s="11">
        <v>-20520.0</v>
      </c>
      <c r="AO79" s="11">
        <v>-39170.0</v>
      </c>
      <c r="AP79" s="11">
        <v>-46430.0</v>
      </c>
      <c r="AQ79" s="11">
        <v>-11090.0</v>
      </c>
      <c r="AR79" s="11">
        <v>-3440.0</v>
      </c>
      <c r="AS79" s="11">
        <v>-9600.0</v>
      </c>
      <c r="AT79" s="11">
        <v>-9390.0</v>
      </c>
      <c r="AU79" s="11">
        <v>-20210.0</v>
      </c>
      <c r="AV79" s="11">
        <v>-6350.0</v>
      </c>
      <c r="AW79" s="11">
        <v>-3220.0</v>
      </c>
      <c r="AX79" s="11">
        <v>-29.0</v>
      </c>
      <c r="AY79" s="11">
        <v>-1020.0</v>
      </c>
      <c r="AZ79" s="11">
        <v>-166.0</v>
      </c>
      <c r="BA79" s="11">
        <v>-221.0</v>
      </c>
      <c r="BB79" s="11">
        <v>-87.0</v>
      </c>
      <c r="BC79" s="12"/>
      <c r="BD79" s="12"/>
      <c r="BE79" s="12"/>
      <c r="BF79" s="12"/>
      <c r="BG79" s="12"/>
      <c r="BH79" s="11">
        <v>37270.0</v>
      </c>
      <c r="BI79" s="11">
        <v>34350.0</v>
      </c>
      <c r="BJ79" s="11">
        <v>12300.0</v>
      </c>
      <c r="BK79" s="11">
        <v>2880.0</v>
      </c>
      <c r="BL79" s="11">
        <v>15570.0</v>
      </c>
      <c r="BM79" s="11">
        <v>1650.0</v>
      </c>
      <c r="BN79" s="11">
        <v>4470.0</v>
      </c>
      <c r="BO79" s="11">
        <v>10170.0</v>
      </c>
      <c r="BP79" s="11">
        <v>1190.0</v>
      </c>
      <c r="BQ79" s="11">
        <v>1480.0</v>
      </c>
      <c r="BR79" s="12"/>
      <c r="BS79" s="12"/>
      <c r="BT79" s="12"/>
      <c r="BU79" s="12"/>
      <c r="BV79" s="12"/>
      <c r="BW79" s="11">
        <v>39390.0</v>
      </c>
      <c r="BX79" s="11">
        <v>39370.0</v>
      </c>
      <c r="BY79" s="11">
        <v>23470.0</v>
      </c>
      <c r="BZ79" s="11">
        <v>4490.0</v>
      </c>
      <c r="CA79" s="11">
        <v>17230.0</v>
      </c>
      <c r="CB79" s="11">
        <v>1800.0</v>
      </c>
      <c r="CC79" s="11">
        <v>1340.0</v>
      </c>
      <c r="CD79" s="11">
        <v>603.0</v>
      </c>
      <c r="CE79" s="11">
        <v>178.0</v>
      </c>
      <c r="CF79" s="11">
        <v>234.0</v>
      </c>
      <c r="CG79" s="12"/>
      <c r="CH79" s="12"/>
      <c r="CI79" s="12"/>
      <c r="CJ79" s="11">
        <v>18760.0</v>
      </c>
      <c r="CK79" s="11">
        <v>2350.0</v>
      </c>
      <c r="CL79" s="11">
        <v>54060.0</v>
      </c>
      <c r="CM79" s="11">
        <v>54750.0</v>
      </c>
      <c r="CN79" s="11">
        <v>63030.0</v>
      </c>
      <c r="CO79" s="11">
        <v>38400.0</v>
      </c>
      <c r="CP79" s="11">
        <v>19860.0</v>
      </c>
      <c r="CQ79" s="11">
        <v>18.0</v>
      </c>
      <c r="CR79" s="11">
        <v>373.0</v>
      </c>
      <c r="CS79" s="11">
        <v>129.0</v>
      </c>
      <c r="CT79" s="11">
        <v>2010.0</v>
      </c>
      <c r="CU79" s="11">
        <v>521.0</v>
      </c>
      <c r="CV79" s="11">
        <v>3920.0</v>
      </c>
      <c r="CW79" s="11">
        <v>259.0</v>
      </c>
      <c r="CX79" s="13"/>
      <c r="CY79" s="24">
        <v>50.0</v>
      </c>
      <c r="CZ79" s="24">
        <v>459.0</v>
      </c>
      <c r="DA79" s="13"/>
      <c r="DB79" s="11">
        <v>3920.0</v>
      </c>
      <c r="DC79" s="11">
        <v>4530.0</v>
      </c>
      <c r="DD79" s="11">
        <v>3840.0</v>
      </c>
      <c r="DE79" s="11">
        <v>5470.0</v>
      </c>
      <c r="DF79" s="11">
        <v>8540.0</v>
      </c>
      <c r="DG79" s="11">
        <v>6440.0</v>
      </c>
      <c r="DH79" s="11">
        <v>14350.0</v>
      </c>
      <c r="DI79" s="11">
        <v>6190.0</v>
      </c>
      <c r="DJ79" s="11">
        <v>3210.0</v>
      </c>
      <c r="DK79" s="12"/>
      <c r="DL79" s="12"/>
      <c r="DM79" s="12"/>
      <c r="DN79" s="12"/>
      <c r="DO79" s="12"/>
      <c r="DP79" s="11">
        <v>1480.0</v>
      </c>
      <c r="DQ79" s="11">
        <v>501.0</v>
      </c>
      <c r="DR79" s="12"/>
      <c r="DS79" s="12"/>
      <c r="DT79" s="12"/>
      <c r="DU79" s="13"/>
      <c r="DV79" s="13"/>
      <c r="DW79" s="11">
        <v>9280.0</v>
      </c>
      <c r="DX79" s="11">
        <v>6.0</v>
      </c>
      <c r="DY79" s="12"/>
      <c r="DZ79" s="11">
        <v>45520.0</v>
      </c>
      <c r="EA79" s="11">
        <v>48310.0</v>
      </c>
      <c r="EB79" s="11">
        <v>48680.0</v>
      </c>
      <c r="EC79" s="11">
        <v>32210.0</v>
      </c>
      <c r="ED79" s="11">
        <v>16650.0</v>
      </c>
      <c r="EE79" s="14">
        <v>1.028</v>
      </c>
      <c r="EF79" s="23"/>
      <c r="EG79" s="14">
        <v>-1.35</v>
      </c>
      <c r="EH79" s="14">
        <v>-0.992</v>
      </c>
    </row>
    <row r="80">
      <c r="A80" s="9">
        <f t="shared" si="2"/>
        <v>78</v>
      </c>
      <c r="B80" s="22" t="s">
        <v>214</v>
      </c>
      <c r="C80" s="11">
        <v>6280000.0</v>
      </c>
      <c r="D80" s="11">
        <v>5660000.0</v>
      </c>
      <c r="E80" s="11">
        <v>4950000.0</v>
      </c>
      <c r="F80" s="11">
        <v>4130000.0</v>
      </c>
      <c r="G80" s="11">
        <v>3520000.0</v>
      </c>
      <c r="H80" s="11">
        <v>3010000.0</v>
      </c>
      <c r="I80" s="11">
        <v>2490000.0</v>
      </c>
      <c r="J80" s="11">
        <v>4250000.0</v>
      </c>
      <c r="K80" s="11">
        <v>3440000.0</v>
      </c>
      <c r="L80" s="11">
        <v>2900000.0</v>
      </c>
      <c r="M80" s="11">
        <v>2430000.0</v>
      </c>
      <c r="N80" s="11">
        <v>2140000.0</v>
      </c>
      <c r="O80" s="11">
        <v>2150000.0</v>
      </c>
      <c r="P80" s="11">
        <v>1820000.0</v>
      </c>
      <c r="Q80" s="11">
        <v>1950000.0</v>
      </c>
      <c r="R80" s="11">
        <v>1710000.0</v>
      </c>
      <c r="S80" s="11">
        <v>1570000.0</v>
      </c>
      <c r="T80" s="11">
        <v>886000.0</v>
      </c>
      <c r="U80" s="11">
        <v>730300.0</v>
      </c>
      <c r="V80" s="11">
        <v>862100.0</v>
      </c>
      <c r="W80" s="11">
        <v>757000.0</v>
      </c>
      <c r="X80" s="11">
        <v>709000.0</v>
      </c>
      <c r="Y80" s="11">
        <v>2090000.0</v>
      </c>
      <c r="Z80" s="11">
        <v>271500.0</v>
      </c>
      <c r="AA80" s="11">
        <v>595900.0</v>
      </c>
      <c r="AB80" s="11">
        <v>594000.0</v>
      </c>
      <c r="AC80" s="11">
        <v>-145000.0</v>
      </c>
      <c r="AD80" s="11">
        <v>2180000.0</v>
      </c>
      <c r="AE80" s="11">
        <v>242200.0</v>
      </c>
      <c r="AF80" s="11">
        <v>547800.0</v>
      </c>
      <c r="AG80" s="11">
        <v>576000.0</v>
      </c>
      <c r="AH80" s="11">
        <v>498000.0</v>
      </c>
      <c r="AI80" s="11">
        <v>2480000.0</v>
      </c>
      <c r="AJ80" s="11">
        <v>2020000.0</v>
      </c>
      <c r="AK80" s="11">
        <v>1450000.0</v>
      </c>
      <c r="AL80" s="11">
        <v>1110000.0</v>
      </c>
      <c r="AM80" s="11">
        <v>725000.0</v>
      </c>
      <c r="AN80" s="11">
        <v>2400000.0</v>
      </c>
      <c r="AO80" s="11">
        <v>77600.0</v>
      </c>
      <c r="AP80" s="11">
        <v>443300.0</v>
      </c>
      <c r="AQ80" s="11">
        <v>399000.0</v>
      </c>
      <c r="AR80" s="11">
        <v>144000.0</v>
      </c>
      <c r="AS80" s="11">
        <v>2080000.0</v>
      </c>
      <c r="AT80" s="11">
        <v>426000.0</v>
      </c>
      <c r="AU80" s="11">
        <v>1120000.0</v>
      </c>
      <c r="AV80" s="11">
        <v>1090000.0</v>
      </c>
      <c r="AW80" s="11">
        <v>675000.0</v>
      </c>
      <c r="AX80" s="11">
        <v>-170700.0</v>
      </c>
      <c r="AY80" s="11">
        <v>-213000.0</v>
      </c>
      <c r="AZ80" s="11">
        <v>-357300.0</v>
      </c>
      <c r="BA80" s="11">
        <v>-333000.0</v>
      </c>
      <c r="BB80" s="11">
        <v>-286000.0</v>
      </c>
      <c r="BC80" s="12"/>
      <c r="BD80" s="12"/>
      <c r="BE80" s="12"/>
      <c r="BF80" s="12"/>
      <c r="BG80" s="12"/>
      <c r="BH80" s="11">
        <v>2790000.0</v>
      </c>
      <c r="BI80" s="11">
        <v>1560000.0</v>
      </c>
      <c r="BJ80" s="11">
        <v>1470000.0</v>
      </c>
      <c r="BK80" s="11">
        <v>1290000.0</v>
      </c>
      <c r="BL80" s="11">
        <v>1390000.0</v>
      </c>
      <c r="BM80" s="11">
        <v>1240000.0</v>
      </c>
      <c r="BN80" s="11">
        <v>922300.0</v>
      </c>
      <c r="BO80" s="11">
        <v>726500.0</v>
      </c>
      <c r="BP80" s="11">
        <v>650000.0</v>
      </c>
      <c r="BQ80" s="11">
        <v>533000.0</v>
      </c>
      <c r="BR80" s="11">
        <v>627600.0</v>
      </c>
      <c r="BS80" s="11">
        <v>472500.0</v>
      </c>
      <c r="BT80" s="11">
        <v>460400.0</v>
      </c>
      <c r="BU80" s="11">
        <v>375000.0</v>
      </c>
      <c r="BV80" s="11">
        <v>290000.0</v>
      </c>
      <c r="BW80" s="11">
        <v>5080000.0</v>
      </c>
      <c r="BX80" s="11">
        <v>3390000.0</v>
      </c>
      <c r="BY80" s="11">
        <v>2950000.0</v>
      </c>
      <c r="BZ80" s="11">
        <v>2580000.0</v>
      </c>
      <c r="CA80" s="11">
        <v>2420000.0</v>
      </c>
      <c r="CB80" s="11">
        <v>1370000.0</v>
      </c>
      <c r="CC80" s="11">
        <v>1470000.0</v>
      </c>
      <c r="CD80" s="11">
        <v>1330000.0</v>
      </c>
      <c r="CE80" s="11">
        <v>1040000.0</v>
      </c>
      <c r="CF80" s="11">
        <v>697000.0</v>
      </c>
      <c r="CG80" s="11">
        <v>5040000.0</v>
      </c>
      <c r="CH80" s="11">
        <v>5040000.0</v>
      </c>
      <c r="CI80" s="11">
        <v>5040000.0</v>
      </c>
      <c r="CJ80" s="11">
        <v>5040000.0</v>
      </c>
      <c r="CK80" s="11">
        <v>5050000.0</v>
      </c>
      <c r="CL80" s="11">
        <v>1.754E7</v>
      </c>
      <c r="CM80" s="11">
        <v>1.393E7</v>
      </c>
      <c r="CN80" s="11">
        <v>1.358E7</v>
      </c>
      <c r="CO80" s="11">
        <v>1.325E7</v>
      </c>
      <c r="CP80" s="11">
        <v>1.31E7</v>
      </c>
      <c r="CQ80" s="11">
        <v>74000.0</v>
      </c>
      <c r="CR80" s="11">
        <v>74400.0</v>
      </c>
      <c r="CS80" s="11">
        <v>70800.0</v>
      </c>
      <c r="CT80" s="11">
        <v>64000.0</v>
      </c>
      <c r="CU80" s="11">
        <v>57000.0</v>
      </c>
      <c r="CV80" s="11">
        <v>1190000.0</v>
      </c>
      <c r="CW80" s="11">
        <v>18800.0</v>
      </c>
      <c r="CX80" s="11">
        <v>250000.0</v>
      </c>
      <c r="CY80" s="12"/>
      <c r="CZ80" s="12"/>
      <c r="DA80" s="12"/>
      <c r="DB80" s="11">
        <v>1190000.0</v>
      </c>
      <c r="DC80" s="11">
        <v>1170000.0</v>
      </c>
      <c r="DD80" s="11">
        <v>952500.0</v>
      </c>
      <c r="DE80" s="11">
        <v>823000.0</v>
      </c>
      <c r="DF80" s="11">
        <v>6270000.0</v>
      </c>
      <c r="DG80" s="11">
        <v>4770000.0</v>
      </c>
      <c r="DH80" s="11">
        <v>4690000.0</v>
      </c>
      <c r="DI80" s="11">
        <v>4560000.0</v>
      </c>
      <c r="DJ80" s="11">
        <v>4840000.0</v>
      </c>
      <c r="DK80" s="11">
        <v>79900.0</v>
      </c>
      <c r="DL80" s="11">
        <v>300.0</v>
      </c>
      <c r="DM80" s="11">
        <v>16600.0</v>
      </c>
      <c r="DN80" s="11">
        <v>69000.0</v>
      </c>
      <c r="DO80" s="11">
        <v>66000.0</v>
      </c>
      <c r="DP80" s="11">
        <v>2610000.0</v>
      </c>
      <c r="DQ80" s="11">
        <v>2860000.0</v>
      </c>
      <c r="DR80" s="11">
        <v>2720000.0</v>
      </c>
      <c r="DS80" s="11">
        <v>2890000.0</v>
      </c>
      <c r="DT80" s="11">
        <v>3250000.0</v>
      </c>
      <c r="DU80" s="13"/>
      <c r="DV80" s="12"/>
      <c r="DW80" s="12"/>
      <c r="DX80" s="13"/>
      <c r="DY80" s="13"/>
      <c r="DZ80" s="11">
        <v>1.127E7</v>
      </c>
      <c r="EA80" s="11">
        <v>9170000.0</v>
      </c>
      <c r="EB80" s="11">
        <v>8890000.0</v>
      </c>
      <c r="EC80" s="11">
        <v>8690000.0</v>
      </c>
      <c r="ED80" s="11">
        <v>8260000.0</v>
      </c>
      <c r="EE80" s="14">
        <v>0.074</v>
      </c>
      <c r="EF80" s="14">
        <v>0.24</v>
      </c>
      <c r="EG80" s="14">
        <v>0.201</v>
      </c>
      <c r="EH80" s="14">
        <v>0.14</v>
      </c>
    </row>
    <row r="81">
      <c r="A81" s="9">
        <f t="shared" si="2"/>
        <v>79</v>
      </c>
      <c r="B81" s="22" t="s">
        <v>215</v>
      </c>
      <c r="C81" s="11">
        <v>2530.0</v>
      </c>
      <c r="D81" s="11">
        <v>2190.0</v>
      </c>
      <c r="E81" s="11">
        <v>4800.0</v>
      </c>
      <c r="F81" s="11">
        <v>2070.0</v>
      </c>
      <c r="G81" s="12"/>
      <c r="H81" s="12"/>
      <c r="I81" s="12"/>
      <c r="J81" s="11">
        <v>436.0</v>
      </c>
      <c r="K81" s="11">
        <v>187.0</v>
      </c>
      <c r="L81" s="12"/>
      <c r="M81" s="12"/>
      <c r="N81" s="12"/>
      <c r="O81" s="11">
        <v>19620.0</v>
      </c>
      <c r="P81" s="11">
        <v>13870.0</v>
      </c>
      <c r="Q81" s="12"/>
      <c r="R81" s="12"/>
      <c r="S81" s="12"/>
      <c r="T81" s="11">
        <v>16310.0</v>
      </c>
      <c r="U81" s="11">
        <v>11270.0</v>
      </c>
      <c r="V81" s="12"/>
      <c r="W81" s="12"/>
      <c r="X81" s="12"/>
      <c r="Y81" s="12"/>
      <c r="Z81" s="12"/>
      <c r="AA81" s="12"/>
      <c r="AB81" s="12"/>
      <c r="AC81" s="12"/>
      <c r="AD81" s="11">
        <v>-19210.0</v>
      </c>
      <c r="AE81" s="11">
        <v>-13690.0</v>
      </c>
      <c r="AF81" s="12"/>
      <c r="AG81" s="12"/>
      <c r="AH81" s="12"/>
      <c r="AI81" s="11">
        <v>-18750.0</v>
      </c>
      <c r="AJ81" s="11">
        <v>-13250.0</v>
      </c>
      <c r="AK81" s="12"/>
      <c r="AL81" s="12"/>
      <c r="AM81" s="12"/>
      <c r="AN81" s="11">
        <v>-19240.0</v>
      </c>
      <c r="AO81" s="11">
        <v>-13730.0</v>
      </c>
      <c r="AP81" s="12"/>
      <c r="AQ81" s="12"/>
      <c r="AR81" s="12"/>
      <c r="AS81" s="11">
        <v>-14250.0</v>
      </c>
      <c r="AT81" s="11">
        <v>-13190.0</v>
      </c>
      <c r="AU81" s="12"/>
      <c r="AV81" s="12"/>
      <c r="AW81" s="12"/>
      <c r="AX81" s="11">
        <v>-353.0</v>
      </c>
      <c r="AY81" s="11">
        <v>-653.0</v>
      </c>
      <c r="AZ81" s="12"/>
      <c r="BA81" s="12"/>
      <c r="BB81" s="12"/>
      <c r="BC81" s="12"/>
      <c r="BD81" s="12"/>
      <c r="BE81" s="12"/>
      <c r="BF81" s="12"/>
      <c r="BG81" s="12"/>
      <c r="BH81" s="11">
        <v>9020.0</v>
      </c>
      <c r="BI81" s="11">
        <v>8260.0</v>
      </c>
      <c r="BJ81" s="12"/>
      <c r="BK81" s="12"/>
      <c r="BL81" s="12"/>
      <c r="BM81" s="11">
        <v>536.0</v>
      </c>
      <c r="BN81" s="11">
        <v>932.0</v>
      </c>
      <c r="BO81" s="12"/>
      <c r="BP81" s="12"/>
      <c r="BQ81" s="12"/>
      <c r="BR81" s="12"/>
      <c r="BS81" s="12"/>
      <c r="BT81" s="12"/>
      <c r="BU81" s="12"/>
      <c r="BV81" s="12"/>
      <c r="BW81" s="11">
        <v>9810.0</v>
      </c>
      <c r="BX81" s="11">
        <v>10210.0</v>
      </c>
      <c r="BY81" s="12"/>
      <c r="BZ81" s="12"/>
      <c r="CA81" s="12"/>
      <c r="CB81" s="11">
        <v>860.0</v>
      </c>
      <c r="CC81" s="11">
        <v>956.0</v>
      </c>
      <c r="CD81" s="12"/>
      <c r="CE81" s="12"/>
      <c r="CF81" s="12"/>
      <c r="CG81" s="12"/>
      <c r="CH81" s="12"/>
      <c r="CI81" s="12"/>
      <c r="CJ81" s="12"/>
      <c r="CK81" s="12"/>
      <c r="CL81" s="11">
        <v>10680.0</v>
      </c>
      <c r="CM81" s="11">
        <v>11160.0</v>
      </c>
      <c r="CN81" s="12"/>
      <c r="CO81" s="12"/>
      <c r="CP81" s="12"/>
      <c r="CQ81" s="11">
        <v>3750.0</v>
      </c>
      <c r="CR81" s="11">
        <v>697.0</v>
      </c>
      <c r="CS81" s="12"/>
      <c r="CT81" s="12"/>
      <c r="CU81" s="12"/>
      <c r="CV81" s="11">
        <v>4980.0</v>
      </c>
      <c r="CW81" s="12"/>
      <c r="CX81" s="12"/>
      <c r="CY81" s="12"/>
      <c r="CZ81" s="12"/>
      <c r="DA81" s="12"/>
      <c r="DB81" s="11">
        <v>4980.0</v>
      </c>
      <c r="DC81" s="11">
        <v>1870.0</v>
      </c>
      <c r="DD81" s="12"/>
      <c r="DE81" s="12"/>
      <c r="DF81" s="11">
        <v>10950.0</v>
      </c>
      <c r="DG81" s="11">
        <v>2010.0</v>
      </c>
      <c r="DH81" s="12"/>
      <c r="DI81" s="12"/>
      <c r="DJ81" s="12"/>
      <c r="DK81" s="12"/>
      <c r="DL81" s="12"/>
      <c r="DM81" s="12"/>
      <c r="DN81" s="12"/>
      <c r="DO81" s="12"/>
      <c r="DP81" s="11">
        <v>5420.0</v>
      </c>
      <c r="DQ81" s="12"/>
      <c r="DR81" s="12"/>
      <c r="DS81" s="12"/>
      <c r="DT81" s="12"/>
      <c r="DU81" s="11">
        <v>70360.0</v>
      </c>
      <c r="DV81" s="11">
        <v>60930.0</v>
      </c>
      <c r="DW81" s="12"/>
      <c r="DX81" s="13"/>
      <c r="DY81" s="13"/>
      <c r="DZ81" s="11">
        <v>-276.0</v>
      </c>
      <c r="EA81" s="11">
        <v>9160.0</v>
      </c>
      <c r="EB81" s="12"/>
      <c r="EC81" s="12"/>
      <c r="ED81" s="12"/>
      <c r="EE81" s="14">
        <v>0.913</v>
      </c>
      <c r="EF81" s="14">
        <v>0.395</v>
      </c>
      <c r="EG81" s="23" t="s">
        <v>155</v>
      </c>
      <c r="EH81" s="23"/>
    </row>
    <row r="82">
      <c r="A82" s="9">
        <f t="shared" si="2"/>
        <v>80</v>
      </c>
      <c r="B82" s="22" t="s">
        <v>216</v>
      </c>
      <c r="C82" s="11">
        <v>248750.0</v>
      </c>
      <c r="D82" s="11">
        <v>246870.0</v>
      </c>
      <c r="E82" s="11">
        <v>327750.0</v>
      </c>
      <c r="F82" s="11">
        <v>474000.0</v>
      </c>
      <c r="G82" s="11">
        <v>495770.0</v>
      </c>
      <c r="H82" s="11">
        <v>532090.0</v>
      </c>
      <c r="I82" s="11">
        <v>418280.0</v>
      </c>
      <c r="J82" s="11">
        <v>218000.0</v>
      </c>
      <c r="K82" s="11">
        <v>256500.0</v>
      </c>
      <c r="L82" s="11">
        <v>333360.0</v>
      </c>
      <c r="M82" s="11">
        <v>402670.0</v>
      </c>
      <c r="N82" s="11">
        <v>328710.0</v>
      </c>
      <c r="O82" s="11">
        <v>349160.0</v>
      </c>
      <c r="P82" s="11">
        <v>320650.0</v>
      </c>
      <c r="Q82" s="11">
        <v>299800.0</v>
      </c>
      <c r="R82" s="11">
        <v>277740.0</v>
      </c>
      <c r="S82" s="11">
        <v>197860.0</v>
      </c>
      <c r="T82" s="11">
        <v>64280.0</v>
      </c>
      <c r="U82" s="11">
        <v>44830.0</v>
      </c>
      <c r="V82" s="11">
        <v>74840.0</v>
      </c>
      <c r="W82" s="11">
        <v>66080.0</v>
      </c>
      <c r="X82" s="11">
        <v>42880.0</v>
      </c>
      <c r="Y82" s="11">
        <v>-445510.0</v>
      </c>
      <c r="Z82" s="11">
        <v>-82970.0</v>
      </c>
      <c r="AA82" s="11">
        <v>-348330.0</v>
      </c>
      <c r="AB82" s="11">
        <v>78870.0</v>
      </c>
      <c r="AC82" s="11">
        <v>-30090.0</v>
      </c>
      <c r="AD82" s="11">
        <v>-466500.0</v>
      </c>
      <c r="AE82" s="11">
        <v>-129690.0</v>
      </c>
      <c r="AF82" s="11">
        <v>-380410.0</v>
      </c>
      <c r="AG82" s="11">
        <v>9060.0</v>
      </c>
      <c r="AH82" s="11">
        <v>39840.0</v>
      </c>
      <c r="AI82" s="11">
        <v>-101040.0</v>
      </c>
      <c r="AJ82" s="11">
        <v>95850.0</v>
      </c>
      <c r="AK82" s="11">
        <v>165170.0</v>
      </c>
      <c r="AL82" s="11">
        <v>224820.0</v>
      </c>
      <c r="AM82" s="11">
        <v>199960.0</v>
      </c>
      <c r="AN82" s="11">
        <v>-466460.0</v>
      </c>
      <c r="AO82" s="11">
        <v>-169340.0</v>
      </c>
      <c r="AP82" s="11">
        <v>-205150.0</v>
      </c>
      <c r="AQ82" s="11">
        <v>-2480.0</v>
      </c>
      <c r="AR82" s="11">
        <v>32780.0</v>
      </c>
      <c r="AS82" s="11">
        <v>-125700.0</v>
      </c>
      <c r="AT82" s="11">
        <v>60800.0</v>
      </c>
      <c r="AU82" s="11">
        <v>106600.0</v>
      </c>
      <c r="AV82" s="11">
        <v>246220.0</v>
      </c>
      <c r="AW82" s="11">
        <v>108470.0</v>
      </c>
      <c r="AX82" s="11">
        <v>-62540.0</v>
      </c>
      <c r="AY82" s="11">
        <v>-2530.0</v>
      </c>
      <c r="AZ82" s="11">
        <v>-64790.0</v>
      </c>
      <c r="BA82" s="11">
        <v>-5460.0</v>
      </c>
      <c r="BB82" s="11">
        <v>-1260.0</v>
      </c>
      <c r="BC82" s="12"/>
      <c r="BD82" s="12"/>
      <c r="BE82" s="12"/>
      <c r="BF82" s="12"/>
      <c r="BG82" s="12"/>
      <c r="BH82" s="11">
        <v>171750.0</v>
      </c>
      <c r="BI82" s="11">
        <v>394170.0</v>
      </c>
      <c r="BJ82" s="11">
        <v>299450.0</v>
      </c>
      <c r="BK82" s="11">
        <v>579090.0</v>
      </c>
      <c r="BL82" s="11">
        <v>466330.0</v>
      </c>
      <c r="BM82" s="11">
        <v>94160.0</v>
      </c>
      <c r="BN82" s="11">
        <v>85350.0</v>
      </c>
      <c r="BO82" s="11">
        <v>91460.0</v>
      </c>
      <c r="BP82" s="11">
        <v>92380.0</v>
      </c>
      <c r="BQ82" s="11">
        <v>86110.0</v>
      </c>
      <c r="BR82" s="11">
        <v>31550.0</v>
      </c>
      <c r="BS82" s="11">
        <v>26690.0</v>
      </c>
      <c r="BT82" s="11">
        <v>34440.0</v>
      </c>
      <c r="BU82" s="11">
        <v>37260.0</v>
      </c>
      <c r="BV82" s="11">
        <v>40650.0</v>
      </c>
      <c r="BW82" s="11">
        <v>316570.0</v>
      </c>
      <c r="BX82" s="11">
        <v>525170.0</v>
      </c>
      <c r="BY82" s="11">
        <v>481870.0</v>
      </c>
      <c r="BZ82" s="11">
        <v>718560.0</v>
      </c>
      <c r="CA82" s="11">
        <v>606670.0</v>
      </c>
      <c r="CB82" s="11">
        <v>27400.0</v>
      </c>
      <c r="CC82" s="11">
        <v>7520.0</v>
      </c>
      <c r="CD82" s="11">
        <v>7900.0</v>
      </c>
      <c r="CE82" s="11">
        <v>24460.0</v>
      </c>
      <c r="CF82" s="11">
        <v>28730.0</v>
      </c>
      <c r="CG82" s="11">
        <v>422510.0</v>
      </c>
      <c r="CH82" s="11">
        <v>422510.0</v>
      </c>
      <c r="CI82" s="11">
        <v>422510.0</v>
      </c>
      <c r="CJ82" s="11">
        <v>639480.0</v>
      </c>
      <c r="CK82" s="11">
        <v>639190.0</v>
      </c>
      <c r="CL82" s="11">
        <v>791230.0</v>
      </c>
      <c r="CM82" s="11">
        <v>1180000.0</v>
      </c>
      <c r="CN82" s="11">
        <v>1900000.0</v>
      </c>
      <c r="CO82" s="11">
        <v>2480000.0</v>
      </c>
      <c r="CP82" s="11">
        <v>2480000.0</v>
      </c>
      <c r="CQ82" s="11">
        <v>27020.0</v>
      </c>
      <c r="CR82" s="11">
        <v>14490.0</v>
      </c>
      <c r="CS82" s="11">
        <v>7720.0</v>
      </c>
      <c r="CT82" s="11">
        <v>3680.0</v>
      </c>
      <c r="CU82" s="11">
        <v>4910.0</v>
      </c>
      <c r="CV82" s="11">
        <v>208190.0</v>
      </c>
      <c r="CW82" s="11">
        <v>4080.0</v>
      </c>
      <c r="CX82" s="12"/>
      <c r="CY82" s="12"/>
      <c r="CZ82" s="12"/>
      <c r="DA82" s="12"/>
      <c r="DB82" s="11">
        <v>208190.0</v>
      </c>
      <c r="DC82" s="11">
        <v>165440.0</v>
      </c>
      <c r="DD82" s="11">
        <v>277720.0</v>
      </c>
      <c r="DE82" s="11">
        <v>312880.0</v>
      </c>
      <c r="DF82" s="11">
        <v>505110.0</v>
      </c>
      <c r="DG82" s="11">
        <v>428800.0</v>
      </c>
      <c r="DH82" s="11">
        <v>1110000.0</v>
      </c>
      <c r="DI82" s="11">
        <v>1540000.0</v>
      </c>
      <c r="DJ82" s="11">
        <v>1540000.0</v>
      </c>
      <c r="DK82" s="11">
        <v>495.0</v>
      </c>
      <c r="DL82" s="11">
        <v>495.0</v>
      </c>
      <c r="DM82" s="11">
        <v>495.0</v>
      </c>
      <c r="DN82" s="11">
        <v>2590.0</v>
      </c>
      <c r="DO82" s="11">
        <v>2590.0</v>
      </c>
      <c r="DP82" s="11">
        <v>296830.0</v>
      </c>
      <c r="DQ82" s="11">
        <v>261930.0</v>
      </c>
      <c r="DR82" s="11">
        <v>734680.0</v>
      </c>
      <c r="DS82" s="11">
        <v>965360.0</v>
      </c>
      <c r="DT82" s="11">
        <v>974420.0</v>
      </c>
      <c r="DU82" s="13"/>
      <c r="DV82" s="12"/>
      <c r="DW82" s="12"/>
      <c r="DX82" s="13"/>
      <c r="DY82" s="13"/>
      <c r="DZ82" s="11">
        <v>286120.0</v>
      </c>
      <c r="EA82" s="11">
        <v>746660.0</v>
      </c>
      <c r="EB82" s="11">
        <v>790240.0</v>
      </c>
      <c r="EC82" s="11">
        <v>934390.0</v>
      </c>
      <c r="ED82" s="11">
        <v>932260.0</v>
      </c>
      <c r="EE82" s="14">
        <v>0.06</v>
      </c>
      <c r="EF82" s="14">
        <v>0.292</v>
      </c>
      <c r="EG82" s="14">
        <v>-0.211</v>
      </c>
      <c r="EH82" s="14">
        <v>-2.212</v>
      </c>
    </row>
    <row r="83">
      <c r="A83" s="9">
        <f t="shared" si="2"/>
        <v>81</v>
      </c>
      <c r="B83" s="10" t="s">
        <v>217</v>
      </c>
      <c r="C83" s="15">
        <v>1.776E7</v>
      </c>
      <c r="D83" s="15">
        <v>1.66E7</v>
      </c>
      <c r="E83" s="15">
        <v>1.461E7</v>
      </c>
      <c r="F83" s="15">
        <v>1.671E7</v>
      </c>
      <c r="G83" s="15">
        <v>1.454E7</v>
      </c>
      <c r="H83" s="15">
        <v>1.083E7</v>
      </c>
      <c r="I83" s="15">
        <v>9660000.0</v>
      </c>
      <c r="J83" s="15">
        <v>6350000.0</v>
      </c>
      <c r="K83" s="15">
        <v>7480000.0</v>
      </c>
      <c r="L83" s="15">
        <v>6510000.0</v>
      </c>
      <c r="M83" s="15">
        <v>4530000.0</v>
      </c>
      <c r="N83" s="15">
        <v>3950000.0</v>
      </c>
      <c r="O83" s="15">
        <v>3000000.0</v>
      </c>
      <c r="P83" s="15">
        <v>2990000.0</v>
      </c>
      <c r="Q83" s="15">
        <v>2690000.0</v>
      </c>
      <c r="R83" s="15">
        <v>2250000.0</v>
      </c>
      <c r="S83" s="15">
        <v>2320000.0</v>
      </c>
      <c r="T83" s="15">
        <v>2050000.0</v>
      </c>
      <c r="U83" s="15">
        <v>2020000.0</v>
      </c>
      <c r="V83" s="15">
        <v>1770000.0</v>
      </c>
      <c r="W83" s="15">
        <v>1540000.0</v>
      </c>
      <c r="X83" s="15">
        <v>1450000.0</v>
      </c>
      <c r="Y83" s="15">
        <v>3380000.0</v>
      </c>
      <c r="Z83" s="15">
        <v>2000.0</v>
      </c>
      <c r="AA83" s="15">
        <v>3840000.0</v>
      </c>
      <c r="AB83" s="15">
        <v>-92000.0</v>
      </c>
      <c r="AC83" s="15">
        <v>1680000.0</v>
      </c>
      <c r="AD83" s="15">
        <v>3270000.0</v>
      </c>
      <c r="AE83" s="15">
        <v>4400000.0</v>
      </c>
      <c r="AF83" s="15">
        <v>3730000.0</v>
      </c>
      <c r="AG83" s="15">
        <v>2010000.0</v>
      </c>
      <c r="AH83" s="15">
        <v>1600000.0</v>
      </c>
      <c r="AI83" s="15">
        <v>3710000.0</v>
      </c>
      <c r="AJ83" s="15">
        <v>4940000.0</v>
      </c>
      <c r="AK83" s="15">
        <v>4230000.0</v>
      </c>
      <c r="AL83" s="15">
        <v>2670000.0</v>
      </c>
      <c r="AM83" s="15">
        <v>2000000.0</v>
      </c>
      <c r="AN83" s="15">
        <v>2710000.0</v>
      </c>
      <c r="AO83" s="15">
        <v>3040000.0</v>
      </c>
      <c r="AP83" s="15">
        <v>3430000.0</v>
      </c>
      <c r="AQ83" s="15">
        <v>1720000.0</v>
      </c>
      <c r="AR83" s="15">
        <v>1380000.0</v>
      </c>
      <c r="AS83" s="15">
        <v>3250000.0</v>
      </c>
      <c r="AT83" s="15">
        <v>3790000.0</v>
      </c>
      <c r="AU83" s="15">
        <v>3610000.0</v>
      </c>
      <c r="AV83" s="15">
        <v>2470000.0</v>
      </c>
      <c r="AW83" s="15">
        <v>1160000.0</v>
      </c>
      <c r="AX83" s="15">
        <v>-441000.0</v>
      </c>
      <c r="AY83" s="15">
        <v>-622000.0</v>
      </c>
      <c r="AZ83" s="15">
        <v>-345000.0</v>
      </c>
      <c r="BA83" s="15">
        <v>-253000.0</v>
      </c>
      <c r="BB83" s="15">
        <v>-215000.0</v>
      </c>
      <c r="BC83" s="15">
        <v>-771000.0</v>
      </c>
      <c r="BD83" s="15">
        <v>-605000.0</v>
      </c>
      <c r="BE83" s="15">
        <v>-430000.0</v>
      </c>
      <c r="BF83" s="15">
        <v>-444000.0</v>
      </c>
      <c r="BG83" s="15">
        <v>-487000.0</v>
      </c>
      <c r="BH83" s="15">
        <v>3620000.0</v>
      </c>
      <c r="BI83" s="15">
        <v>4030000.0</v>
      </c>
      <c r="BJ83" s="15">
        <v>7280000.0</v>
      </c>
      <c r="BK83" s="15">
        <v>3750000.0</v>
      </c>
      <c r="BL83" s="15">
        <v>4970000.0</v>
      </c>
      <c r="BM83" s="15">
        <v>2640000.0</v>
      </c>
      <c r="BN83" s="15">
        <v>2420000.0</v>
      </c>
      <c r="BO83" s="15">
        <v>2340000.0</v>
      </c>
      <c r="BP83" s="15">
        <v>2280000.0</v>
      </c>
      <c r="BQ83" s="15">
        <v>1740000.0</v>
      </c>
      <c r="BR83" s="15">
        <v>3470000.0</v>
      </c>
      <c r="BS83" s="15">
        <v>3720000.0</v>
      </c>
      <c r="BT83" s="15">
        <v>2930000.0</v>
      </c>
      <c r="BU83" s="15">
        <v>2050000.0</v>
      </c>
      <c r="BV83" s="15">
        <v>1830000.0</v>
      </c>
      <c r="BW83" s="15">
        <v>1.021E7</v>
      </c>
      <c r="BX83" s="15">
        <v>1.06E7</v>
      </c>
      <c r="BY83" s="15">
        <v>1.292E7</v>
      </c>
      <c r="BZ83" s="15">
        <v>8350000.0</v>
      </c>
      <c r="CA83" s="15">
        <v>9260000.0</v>
      </c>
      <c r="CB83" s="15">
        <v>1530000.0</v>
      </c>
      <c r="CC83" s="15">
        <v>1410000.0</v>
      </c>
      <c r="CD83" s="15">
        <v>1070000.0</v>
      </c>
      <c r="CE83" s="15">
        <v>937000.0</v>
      </c>
      <c r="CF83" s="15">
        <v>892000.0</v>
      </c>
      <c r="CG83" s="15">
        <v>3400000.0</v>
      </c>
      <c r="CH83" s="15">
        <v>3370000.0</v>
      </c>
      <c r="CI83" s="15">
        <v>3370000.0</v>
      </c>
      <c r="CJ83" s="15">
        <v>3320000.0</v>
      </c>
      <c r="CK83" s="15">
        <v>3300000.0</v>
      </c>
      <c r="CL83" s="15">
        <v>1.904E7</v>
      </c>
      <c r="CM83" s="15">
        <v>1.765E7</v>
      </c>
      <c r="CN83" s="15">
        <v>1.942E7</v>
      </c>
      <c r="CO83" s="15">
        <v>1.457E7</v>
      </c>
      <c r="CP83" s="15">
        <v>1.531E7</v>
      </c>
      <c r="CQ83" s="15">
        <v>958000.0</v>
      </c>
      <c r="CR83" s="15">
        <v>996000.0</v>
      </c>
      <c r="CS83" s="15">
        <v>945000.0</v>
      </c>
      <c r="CT83" s="15">
        <v>813000.0</v>
      </c>
      <c r="CU83" s="15">
        <v>658000.0</v>
      </c>
      <c r="CV83" s="15">
        <v>4450000.0</v>
      </c>
      <c r="CW83" s="15">
        <v>0.0</v>
      </c>
      <c r="CX83" s="15">
        <v>0.0</v>
      </c>
      <c r="CY83" s="16">
        <v>0.0</v>
      </c>
      <c r="CZ83" s="16">
        <v>0.0</v>
      </c>
      <c r="DA83" s="15">
        <v>1200000.0</v>
      </c>
      <c r="DB83" s="15">
        <v>4450000.0</v>
      </c>
      <c r="DC83" s="15">
        <v>3920000.0</v>
      </c>
      <c r="DD83" s="15">
        <v>4120000.0</v>
      </c>
      <c r="DE83" s="15">
        <v>3630000.0</v>
      </c>
      <c r="DF83" s="15">
        <v>1.082E7</v>
      </c>
      <c r="DG83" s="15">
        <v>1.08E7</v>
      </c>
      <c r="DH83" s="15">
        <v>1.008E7</v>
      </c>
      <c r="DI83" s="15">
        <v>7350000.0</v>
      </c>
      <c r="DJ83" s="15">
        <v>7700000.0</v>
      </c>
      <c r="DK83" s="15">
        <v>1700000.0</v>
      </c>
      <c r="DL83" s="15">
        <v>1570000.0</v>
      </c>
      <c r="DM83" s="15">
        <v>1140000.0</v>
      </c>
      <c r="DN83" s="15">
        <v>929000.0</v>
      </c>
      <c r="DO83" s="15">
        <v>946000.0</v>
      </c>
      <c r="DP83" s="15">
        <v>4710000.0</v>
      </c>
      <c r="DQ83" s="15">
        <v>5310000.0</v>
      </c>
      <c r="DR83" s="15">
        <v>5300000.0</v>
      </c>
      <c r="DS83" s="15">
        <v>3130000.0</v>
      </c>
      <c r="DT83" s="15">
        <v>3340000.0</v>
      </c>
      <c r="DU83" s="16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8210000.0</v>
      </c>
      <c r="EA83" s="15">
        <v>6850000.0</v>
      </c>
      <c r="EB83" s="15">
        <v>9350000.0</v>
      </c>
      <c r="EC83" s="15">
        <v>7220000.0</v>
      </c>
      <c r="ED83" s="15">
        <v>7610000.0</v>
      </c>
      <c r="EE83" s="17">
        <v>0.044</v>
      </c>
      <c r="EF83" s="17">
        <v>0.181</v>
      </c>
      <c r="EG83" s="17">
        <v>-0.053</v>
      </c>
      <c r="EH83" s="17">
        <v>0.028</v>
      </c>
    </row>
    <row r="84">
      <c r="A84" s="9">
        <f t="shared" si="2"/>
        <v>82</v>
      </c>
      <c r="B84" s="10" t="s">
        <v>218</v>
      </c>
      <c r="C84" s="15">
        <v>244900.0</v>
      </c>
      <c r="D84" s="15">
        <v>214170.0</v>
      </c>
      <c r="E84" s="15">
        <v>228730.0</v>
      </c>
      <c r="F84" s="15">
        <v>227770.0</v>
      </c>
      <c r="G84" s="15">
        <v>295400.0</v>
      </c>
      <c r="H84" s="15">
        <v>310300.0</v>
      </c>
      <c r="I84" s="15">
        <v>316370.0</v>
      </c>
      <c r="J84" s="15">
        <v>126980.0</v>
      </c>
      <c r="K84" s="15">
        <v>138140.0</v>
      </c>
      <c r="L84" s="15">
        <v>187730.0</v>
      </c>
      <c r="M84" s="15">
        <v>205010.0</v>
      </c>
      <c r="N84" s="15">
        <v>205340.0</v>
      </c>
      <c r="O84" s="15">
        <v>176630.0</v>
      </c>
      <c r="P84" s="15">
        <v>178560.0</v>
      </c>
      <c r="Q84" s="15">
        <v>163300.0</v>
      </c>
      <c r="R84" s="15">
        <v>144650.0</v>
      </c>
      <c r="S84" s="15">
        <v>120670.0</v>
      </c>
      <c r="T84" s="15">
        <v>129720.0</v>
      </c>
      <c r="U84" s="15">
        <v>128080.0</v>
      </c>
      <c r="V84" s="15">
        <v>115510.0</v>
      </c>
      <c r="W84" s="15">
        <v>101210.0</v>
      </c>
      <c r="X84" s="15">
        <v>82930.0</v>
      </c>
      <c r="Y84" s="15">
        <v>0.0</v>
      </c>
      <c r="Z84" s="15">
        <v>0.0</v>
      </c>
      <c r="AA84" s="15">
        <v>0.0</v>
      </c>
      <c r="AB84" s="15">
        <v>0.0</v>
      </c>
      <c r="AC84" s="15">
        <v>0.0</v>
      </c>
      <c r="AD84" s="15">
        <v>-41630.0</v>
      </c>
      <c r="AE84" s="15">
        <v>-34550.0</v>
      </c>
      <c r="AF84" s="15">
        <v>25730.0</v>
      </c>
      <c r="AG84" s="15">
        <v>60880.0</v>
      </c>
      <c r="AH84" s="15">
        <v>85210.0</v>
      </c>
      <c r="AI84" s="15">
        <v>-38020.0</v>
      </c>
      <c r="AJ84" s="15">
        <v>-33200.0</v>
      </c>
      <c r="AK84" s="15">
        <v>29200.0</v>
      </c>
      <c r="AL84" s="15">
        <v>61950.0</v>
      </c>
      <c r="AM84" s="15">
        <v>86290.0</v>
      </c>
      <c r="AN84" s="15">
        <v>-44790.0</v>
      </c>
      <c r="AO84" s="15">
        <v>-30450.0</v>
      </c>
      <c r="AP84" s="15">
        <v>18850.0</v>
      </c>
      <c r="AQ84" s="15">
        <v>57810.0</v>
      </c>
      <c r="AR84" s="15">
        <v>76510.0</v>
      </c>
      <c r="AS84" s="15">
        <v>42270.0</v>
      </c>
      <c r="AT84" s="15">
        <v>24470.0</v>
      </c>
      <c r="AU84" s="15">
        <v>85400.0</v>
      </c>
      <c r="AV84" s="15">
        <v>113310.0</v>
      </c>
      <c r="AW84" s="15">
        <v>123560.0</v>
      </c>
      <c r="AX84" s="15">
        <v>-1820.0</v>
      </c>
      <c r="AY84" s="15">
        <v>-2940.0</v>
      </c>
      <c r="AZ84" s="15">
        <v>-3690.0</v>
      </c>
      <c r="BA84" s="15">
        <v>-2700.0</v>
      </c>
      <c r="BB84" s="15">
        <v>-2090.0</v>
      </c>
      <c r="BC84" s="15">
        <v>0.0</v>
      </c>
      <c r="BD84" s="15">
        <v>0.0</v>
      </c>
      <c r="BE84" s="15">
        <v>0.0</v>
      </c>
      <c r="BF84" s="15">
        <v>0.0</v>
      </c>
      <c r="BG84" s="15">
        <v>0.0</v>
      </c>
      <c r="BH84" s="15">
        <v>404760.0</v>
      </c>
      <c r="BI84" s="15">
        <v>358920.0</v>
      </c>
      <c r="BJ84" s="15">
        <v>434600.0</v>
      </c>
      <c r="BK84" s="15">
        <v>405400.0</v>
      </c>
      <c r="BL84" s="15">
        <v>307900.0</v>
      </c>
      <c r="BM84" s="15">
        <v>18490.0</v>
      </c>
      <c r="BN84" s="15">
        <v>26210.0</v>
      </c>
      <c r="BO84" s="15">
        <v>31290.0</v>
      </c>
      <c r="BP84" s="15">
        <v>38600.0</v>
      </c>
      <c r="BQ84" s="15">
        <v>39410.0</v>
      </c>
      <c r="BR84" s="15">
        <v>22970.0</v>
      </c>
      <c r="BS84" s="15">
        <v>18250.0</v>
      </c>
      <c r="BT84" s="15">
        <v>23380.0</v>
      </c>
      <c r="BU84" s="15">
        <v>20150.0</v>
      </c>
      <c r="BV84" s="15">
        <v>18170.0</v>
      </c>
      <c r="BW84" s="15">
        <v>451190.0</v>
      </c>
      <c r="BX84" s="15">
        <v>409590.0</v>
      </c>
      <c r="BY84" s="15">
        <v>493280.0</v>
      </c>
      <c r="BZ84" s="15">
        <v>468540.0</v>
      </c>
      <c r="CA84" s="15">
        <v>369650.0</v>
      </c>
      <c r="CB84" s="15">
        <v>15550.0</v>
      </c>
      <c r="CC84" s="15">
        <v>6730.0</v>
      </c>
      <c r="CD84" s="15">
        <v>6450.0</v>
      </c>
      <c r="CE84" s="15">
        <v>4990.0</v>
      </c>
      <c r="CF84" s="15">
        <v>3450.0</v>
      </c>
      <c r="CG84" s="15">
        <v>26600.0</v>
      </c>
      <c r="CH84" s="15">
        <v>26600.0</v>
      </c>
      <c r="CI84" s="15">
        <v>26600.0</v>
      </c>
      <c r="CJ84" s="15">
        <v>26600.0</v>
      </c>
      <c r="CK84" s="15">
        <v>26600.0</v>
      </c>
      <c r="CL84" s="15">
        <v>527280.0</v>
      </c>
      <c r="CM84" s="15">
        <v>466850.0</v>
      </c>
      <c r="CN84" s="15">
        <v>546650.0</v>
      </c>
      <c r="CO84" s="15">
        <v>512270.0</v>
      </c>
      <c r="CP84" s="15">
        <v>410620.0</v>
      </c>
      <c r="CQ84" s="15">
        <v>14910.0</v>
      </c>
      <c r="CR84" s="15">
        <v>12800.0</v>
      </c>
      <c r="CS84" s="15">
        <v>19820.0</v>
      </c>
      <c r="CT84" s="15">
        <v>19960.0</v>
      </c>
      <c r="CU84" s="15">
        <v>14180.0</v>
      </c>
      <c r="CV84" s="15">
        <v>53450.0</v>
      </c>
      <c r="CW84" s="15">
        <v>2180.0</v>
      </c>
      <c r="CX84" s="15">
        <v>0.0</v>
      </c>
      <c r="CY84" s="16">
        <v>0.0</v>
      </c>
      <c r="CZ84" s="16">
        <v>0.0</v>
      </c>
      <c r="DA84" s="15">
        <v>0.0</v>
      </c>
      <c r="DB84" s="15">
        <v>53450.0</v>
      </c>
      <c r="DC84" s="15">
        <v>39020.0</v>
      </c>
      <c r="DD84" s="15">
        <v>53240.0</v>
      </c>
      <c r="DE84" s="15">
        <v>54400.0</v>
      </c>
      <c r="DF84" s="15">
        <v>79200.0</v>
      </c>
      <c r="DG84" s="15">
        <v>47360.0</v>
      </c>
      <c r="DH84" s="15">
        <v>64460.0</v>
      </c>
      <c r="DI84" s="15">
        <v>57640.0</v>
      </c>
      <c r="DJ84" s="15">
        <v>61160.0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7980.0</v>
      </c>
      <c r="DQ84" s="15">
        <v>0.0</v>
      </c>
      <c r="DR84" s="15">
        <v>0.0</v>
      </c>
      <c r="DS84" s="15">
        <v>0.0</v>
      </c>
      <c r="DT84" s="15">
        <v>0.0</v>
      </c>
      <c r="DU84" s="16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448070.0</v>
      </c>
      <c r="EA84" s="15">
        <v>419490.0</v>
      </c>
      <c r="EB84" s="15">
        <v>482190.0</v>
      </c>
      <c r="EC84" s="15">
        <v>454630.0</v>
      </c>
      <c r="ED84" s="15">
        <v>349460.0</v>
      </c>
      <c r="EE84" s="17">
        <v>0.084</v>
      </c>
      <c r="EF84" s="17">
        <v>0.191</v>
      </c>
      <c r="EG84" s="17">
        <v>5.0</v>
      </c>
      <c r="EH84" s="17">
        <v>3.843</v>
      </c>
    </row>
    <row r="85">
      <c r="A85" s="9">
        <f t="shared" si="2"/>
        <v>83</v>
      </c>
      <c r="B85" s="10" t="s">
        <v>219</v>
      </c>
      <c r="C85" s="15">
        <v>4740000.0</v>
      </c>
      <c r="D85" s="15">
        <v>2600000.0</v>
      </c>
      <c r="E85" s="15">
        <v>5470000.0</v>
      </c>
      <c r="F85" s="15">
        <v>5460000.0</v>
      </c>
      <c r="G85" s="15">
        <v>5080000.0</v>
      </c>
      <c r="H85" s="15">
        <v>3240000.0</v>
      </c>
      <c r="I85" s="15">
        <v>2950000.0</v>
      </c>
      <c r="J85" s="15">
        <v>1360000.0</v>
      </c>
      <c r="K85" s="15">
        <v>1290000.0</v>
      </c>
      <c r="L85" s="15">
        <v>1140000.0</v>
      </c>
      <c r="M85" s="15">
        <v>867680.0</v>
      </c>
      <c r="N85" s="15">
        <v>773220.0</v>
      </c>
      <c r="O85" s="15">
        <v>1120000.0</v>
      </c>
      <c r="P85" s="15">
        <v>971400.0</v>
      </c>
      <c r="Q85" s="15">
        <v>927600.0</v>
      </c>
      <c r="R85" s="15">
        <v>589180.0</v>
      </c>
      <c r="S85" s="15">
        <v>526030.0</v>
      </c>
      <c r="T85" s="15">
        <v>0.0</v>
      </c>
      <c r="U85" s="15">
        <v>0.0</v>
      </c>
      <c r="V85" s="15">
        <v>0.0</v>
      </c>
      <c r="W85" s="15">
        <v>0.0</v>
      </c>
      <c r="X85" s="15">
        <v>0.0</v>
      </c>
      <c r="Y85" s="15">
        <v>121800.0</v>
      </c>
      <c r="Z85" s="15">
        <v>376000.0</v>
      </c>
      <c r="AA85" s="15">
        <v>-109600.0</v>
      </c>
      <c r="AB85" s="15">
        <v>213280.0</v>
      </c>
      <c r="AC85" s="15">
        <v>-20810.0</v>
      </c>
      <c r="AD85" s="15">
        <v>-171600.0</v>
      </c>
      <c r="AE85" s="15">
        <v>123700.0</v>
      </c>
      <c r="AF85" s="15">
        <v>-333100.0</v>
      </c>
      <c r="AG85" s="15">
        <v>149640.0</v>
      </c>
      <c r="AH85" s="15">
        <v>163530.0</v>
      </c>
      <c r="AI85" s="15">
        <v>685800.0</v>
      </c>
      <c r="AJ85" s="15">
        <v>856300.0</v>
      </c>
      <c r="AK85" s="15">
        <v>750200.0</v>
      </c>
      <c r="AL85" s="15">
        <v>546740.0</v>
      </c>
      <c r="AM85" s="15">
        <v>480150.0</v>
      </c>
      <c r="AN85" s="15">
        <v>-149100.0</v>
      </c>
      <c r="AO85" s="15">
        <v>110100.0</v>
      </c>
      <c r="AP85" s="15">
        <v>-487200.0</v>
      </c>
      <c r="AQ85" s="15">
        <v>111670.0</v>
      </c>
      <c r="AR85" s="15">
        <v>103860.0</v>
      </c>
      <c r="AS85" s="15">
        <v>579000.0</v>
      </c>
      <c r="AT85" s="15">
        <v>523200.0</v>
      </c>
      <c r="AU85" s="15">
        <v>537400.0</v>
      </c>
      <c r="AV85" s="15">
        <v>431660.0</v>
      </c>
      <c r="AW85" s="15">
        <v>467560.0</v>
      </c>
      <c r="AX85" s="15">
        <v>-518100.0</v>
      </c>
      <c r="AY85" s="15">
        <v>-576300.0</v>
      </c>
      <c r="AZ85" s="15">
        <v>-626800.0</v>
      </c>
      <c r="BA85" s="15">
        <v>-421710.0</v>
      </c>
      <c r="BB85" s="15">
        <v>-333420.0</v>
      </c>
      <c r="BC85" s="15">
        <v>-84100.0</v>
      </c>
      <c r="BD85" s="15">
        <v>-258100.0</v>
      </c>
      <c r="BE85" s="15">
        <v>-104600.0</v>
      </c>
      <c r="BF85" s="15">
        <v>-79630.0</v>
      </c>
      <c r="BG85" s="15">
        <v>-78610.0</v>
      </c>
      <c r="BH85" s="15">
        <v>275500.0</v>
      </c>
      <c r="BI85" s="15">
        <v>324000.0</v>
      </c>
      <c r="BJ85" s="15">
        <v>318300.0</v>
      </c>
      <c r="BK85" s="15">
        <v>230210.0</v>
      </c>
      <c r="BL85" s="15">
        <v>211250.0</v>
      </c>
      <c r="BM85" s="15">
        <v>265900.0</v>
      </c>
      <c r="BN85" s="15">
        <v>284200.0</v>
      </c>
      <c r="BO85" s="15">
        <v>298000.0</v>
      </c>
      <c r="BP85" s="15">
        <v>222390.0</v>
      </c>
      <c r="BQ85" s="15">
        <v>106080.0</v>
      </c>
      <c r="BR85" s="15">
        <v>37500.0</v>
      </c>
      <c r="BS85" s="15">
        <v>35200.0</v>
      </c>
      <c r="BT85" s="15">
        <v>34000.0</v>
      </c>
      <c r="BU85" s="15">
        <v>29040.0</v>
      </c>
      <c r="BV85" s="15">
        <v>13990.0</v>
      </c>
      <c r="BW85" s="15">
        <v>673100.0</v>
      </c>
      <c r="BX85" s="15">
        <v>781300.0</v>
      </c>
      <c r="BY85" s="15">
        <v>872400.0</v>
      </c>
      <c r="BZ85" s="15">
        <v>683640.0</v>
      </c>
      <c r="CA85" s="15">
        <v>414370.0</v>
      </c>
      <c r="CB85" s="15">
        <v>7560000.0</v>
      </c>
      <c r="CC85" s="15">
        <v>3040000.0</v>
      </c>
      <c r="CD85" s="15">
        <v>3120000.0</v>
      </c>
      <c r="CE85" s="15">
        <v>3040000.0</v>
      </c>
      <c r="CF85" s="15">
        <v>1400000.0</v>
      </c>
      <c r="CG85" s="15">
        <v>4790000.0</v>
      </c>
      <c r="CH85" s="15">
        <v>4790000.0</v>
      </c>
      <c r="CI85" s="15">
        <v>4930000.0</v>
      </c>
      <c r="CJ85" s="15">
        <v>3930000.0</v>
      </c>
      <c r="CK85" s="15">
        <v>2410000.0</v>
      </c>
      <c r="CL85" s="15">
        <v>1.368E7</v>
      </c>
      <c r="CM85" s="15">
        <v>9500000.0</v>
      </c>
      <c r="CN85" s="15">
        <v>9810000.0</v>
      </c>
      <c r="CO85" s="15">
        <v>8640000.0</v>
      </c>
      <c r="CP85" s="15">
        <v>5090000.0</v>
      </c>
      <c r="CQ85" s="15">
        <v>543300.0</v>
      </c>
      <c r="CR85" s="15">
        <v>452600.0</v>
      </c>
      <c r="CS85" s="15">
        <v>569600.0</v>
      </c>
      <c r="CT85" s="15">
        <v>501760.0</v>
      </c>
      <c r="CU85" s="15">
        <v>313030.0</v>
      </c>
      <c r="CV85" s="15">
        <v>1930000.0</v>
      </c>
      <c r="CW85" s="15">
        <v>585800.0</v>
      </c>
      <c r="CX85" s="16">
        <v>0.0</v>
      </c>
      <c r="CY85" s="16">
        <v>0.0</v>
      </c>
      <c r="CZ85" s="16">
        <v>0.0</v>
      </c>
      <c r="DA85" s="15">
        <v>0.0</v>
      </c>
      <c r="DB85" s="15">
        <v>1930000.0</v>
      </c>
      <c r="DC85" s="15">
        <v>1330000.0</v>
      </c>
      <c r="DD85" s="15">
        <v>1410000.0</v>
      </c>
      <c r="DE85" s="15">
        <v>1190000.0</v>
      </c>
      <c r="DF85" s="15">
        <v>1.246E7</v>
      </c>
      <c r="DG85" s="15">
        <v>8100000.0</v>
      </c>
      <c r="DH85" s="15">
        <v>7690000.0</v>
      </c>
      <c r="DI85" s="15">
        <v>6630000.0</v>
      </c>
      <c r="DJ85" s="15">
        <v>3550000.0</v>
      </c>
      <c r="DK85" s="15">
        <v>321900.0</v>
      </c>
      <c r="DL85" s="15">
        <v>335200.0</v>
      </c>
      <c r="DM85" s="15">
        <v>332100.0</v>
      </c>
      <c r="DN85" s="15">
        <v>430040.0</v>
      </c>
      <c r="DO85" s="15">
        <v>442880.0</v>
      </c>
      <c r="DP85" s="15">
        <v>9740000.0</v>
      </c>
      <c r="DQ85" s="15">
        <v>5200000.0</v>
      </c>
      <c r="DR85" s="15">
        <v>4800000.0</v>
      </c>
      <c r="DS85" s="15">
        <v>4360000.0</v>
      </c>
      <c r="DT85" s="15">
        <v>2000000.0</v>
      </c>
      <c r="DU85" s="16">
        <v>0.0</v>
      </c>
      <c r="DV85" s="15">
        <v>0.0</v>
      </c>
      <c r="DW85" s="15">
        <v>0.0</v>
      </c>
      <c r="DX85" s="15">
        <v>1080.0</v>
      </c>
      <c r="DY85" s="15">
        <v>1360.0</v>
      </c>
      <c r="DZ85" s="15">
        <v>1210000.0</v>
      </c>
      <c r="EA85" s="15">
        <v>1400000.0</v>
      </c>
      <c r="EB85" s="15">
        <v>2110000.0</v>
      </c>
      <c r="EC85" s="15">
        <v>2010000.0</v>
      </c>
      <c r="ED85" s="15">
        <v>1540000.0</v>
      </c>
      <c r="EE85" s="17">
        <v>0.431</v>
      </c>
      <c r="EF85" s="17">
        <v>0.342</v>
      </c>
      <c r="EG85" s="17">
        <v>-12.737</v>
      </c>
      <c r="EH85" s="17">
        <v>-5.109</v>
      </c>
    </row>
    <row r="86">
      <c r="A86" s="9">
        <f t="shared" si="2"/>
        <v>84</v>
      </c>
      <c r="B86" s="10" t="s">
        <v>220</v>
      </c>
      <c r="C86" s="15">
        <v>1.021E7</v>
      </c>
      <c r="D86" s="15">
        <v>8410000.0</v>
      </c>
      <c r="E86" s="15">
        <v>6730000.0</v>
      </c>
      <c r="F86" s="15">
        <v>6480000.0</v>
      </c>
      <c r="G86" s="15">
        <v>5250000.0</v>
      </c>
      <c r="H86" s="15">
        <v>4270000.0</v>
      </c>
      <c r="I86" s="15">
        <v>3990000.0</v>
      </c>
      <c r="J86" s="15">
        <v>2870000.0</v>
      </c>
      <c r="K86" s="15">
        <v>2450000.0</v>
      </c>
      <c r="L86" s="15">
        <v>1790000.0</v>
      </c>
      <c r="M86" s="15">
        <v>998000.0</v>
      </c>
      <c r="N86" s="15">
        <v>1080000.0</v>
      </c>
      <c r="O86" s="15">
        <v>2280000.0</v>
      </c>
      <c r="P86" s="15">
        <v>1990000.0</v>
      </c>
      <c r="Q86" s="15">
        <v>1720000.0</v>
      </c>
      <c r="R86" s="15">
        <v>1470000.0</v>
      </c>
      <c r="S86" s="15">
        <v>1410000.0</v>
      </c>
      <c r="T86" s="15">
        <v>1540000.0</v>
      </c>
      <c r="U86" s="15">
        <v>1430000.0</v>
      </c>
      <c r="V86" s="15">
        <v>1200000.0</v>
      </c>
      <c r="W86" s="15">
        <v>1010000.0</v>
      </c>
      <c r="X86" s="15">
        <v>937000.0</v>
      </c>
      <c r="Y86" s="15">
        <v>400000.0</v>
      </c>
      <c r="Z86" s="15">
        <v>441000.0</v>
      </c>
      <c r="AA86" s="15">
        <v>-15000.0</v>
      </c>
      <c r="AB86" s="15">
        <v>-524000.0</v>
      </c>
      <c r="AC86" s="15">
        <v>-132000.0</v>
      </c>
      <c r="AD86" s="15">
        <v>372000.0</v>
      </c>
      <c r="AE86" s="15">
        <v>330000.0</v>
      </c>
      <c r="AF86" s="15">
        <v>-8000.0</v>
      </c>
      <c r="AG86" s="15">
        <v>-448000.0</v>
      </c>
      <c r="AH86" s="15">
        <v>-646000.0</v>
      </c>
      <c r="AI86" s="15">
        <v>847000.0</v>
      </c>
      <c r="AJ86" s="15">
        <v>626000.0</v>
      </c>
      <c r="AK86" s="15">
        <v>211000.0</v>
      </c>
      <c r="AL86" s="15">
        <v>-336000.0</v>
      </c>
      <c r="AM86" s="15">
        <v>-164000.0</v>
      </c>
      <c r="AN86" s="15">
        <v>341000.0</v>
      </c>
      <c r="AO86" s="15">
        <v>337000.0</v>
      </c>
      <c r="AP86" s="15">
        <v>-33000.0</v>
      </c>
      <c r="AQ86" s="15">
        <v>-497000.0</v>
      </c>
      <c r="AR86" s="15">
        <v>-660000.0</v>
      </c>
      <c r="AS86" s="15">
        <v>493000.0</v>
      </c>
      <c r="AT86" s="15">
        <v>34000.0</v>
      </c>
      <c r="AU86" s="15">
        <v>12000.0</v>
      </c>
      <c r="AV86" s="15">
        <v>90000.0</v>
      </c>
      <c r="AW86" s="15">
        <v>-226000.0</v>
      </c>
      <c r="AX86" s="15">
        <v>-217000.0</v>
      </c>
      <c r="AY86" s="15">
        <v>-163000.0</v>
      </c>
      <c r="AZ86" s="15">
        <v>-113000.0</v>
      </c>
      <c r="BA86" s="15">
        <v>-77000.0</v>
      </c>
      <c r="BB86" s="15">
        <v>-96000.0</v>
      </c>
      <c r="BC86" s="15">
        <v>0.0</v>
      </c>
      <c r="BD86" s="15">
        <v>0.0</v>
      </c>
      <c r="BE86" s="15">
        <v>0.0</v>
      </c>
      <c r="BF86" s="15">
        <v>0.0</v>
      </c>
      <c r="BG86" s="15">
        <v>0.0</v>
      </c>
      <c r="BH86" s="15">
        <v>1510000.0</v>
      </c>
      <c r="BI86" s="15">
        <v>1160000.0</v>
      </c>
      <c r="BJ86" s="15">
        <v>1190000.0</v>
      </c>
      <c r="BK86" s="15">
        <v>1270000.0</v>
      </c>
      <c r="BL86" s="15">
        <v>786000.0</v>
      </c>
      <c r="BM86" s="15">
        <v>1860000.0</v>
      </c>
      <c r="BN86" s="15">
        <v>1270000.0</v>
      </c>
      <c r="BO86" s="15">
        <v>460000.0</v>
      </c>
      <c r="BP86" s="15">
        <v>311000.0</v>
      </c>
      <c r="BQ86" s="15">
        <v>533000.0</v>
      </c>
      <c r="BR86" s="15">
        <v>982000.0</v>
      </c>
      <c r="BS86" s="15">
        <v>845000.0</v>
      </c>
      <c r="BT86" s="15">
        <v>694000.0</v>
      </c>
      <c r="BU86" s="15">
        <v>751000.0</v>
      </c>
      <c r="BV86" s="15">
        <v>678000.0</v>
      </c>
      <c r="BW86" s="15">
        <v>4600000.0</v>
      </c>
      <c r="BX86" s="15">
        <v>3540000.0</v>
      </c>
      <c r="BY86" s="15">
        <v>2630000.0</v>
      </c>
      <c r="BZ86" s="15">
        <v>2530000.0</v>
      </c>
      <c r="CA86" s="15">
        <v>2320000.0</v>
      </c>
      <c r="CB86" s="15">
        <v>705000.0</v>
      </c>
      <c r="CC86" s="15">
        <v>348000.0</v>
      </c>
      <c r="CD86" s="15">
        <v>261000.0</v>
      </c>
      <c r="CE86" s="15">
        <v>164000.0</v>
      </c>
      <c r="CF86" s="15">
        <v>188000.0</v>
      </c>
      <c r="CG86" s="15">
        <v>289000.0</v>
      </c>
      <c r="CH86" s="15">
        <v>289000.0</v>
      </c>
      <c r="CI86" s="15">
        <v>289000.0</v>
      </c>
      <c r="CJ86" s="15">
        <v>289000.0</v>
      </c>
      <c r="CK86" s="15">
        <v>278000.0</v>
      </c>
      <c r="CL86" s="15">
        <v>6030000.0</v>
      </c>
      <c r="CM86" s="15">
        <v>4560000.0</v>
      </c>
      <c r="CN86" s="15">
        <v>3550000.0</v>
      </c>
      <c r="CO86" s="15">
        <v>3320000.0</v>
      </c>
      <c r="CP86" s="15">
        <v>3080000.0</v>
      </c>
      <c r="CQ86" s="15">
        <v>1200000.0</v>
      </c>
      <c r="CR86" s="15">
        <v>1060000.0</v>
      </c>
      <c r="CS86" s="15">
        <v>796000.0</v>
      </c>
      <c r="CT86" s="15">
        <v>823000.0</v>
      </c>
      <c r="CU86" s="15">
        <v>524000.0</v>
      </c>
      <c r="CV86" s="15">
        <v>2360000.0</v>
      </c>
      <c r="CW86" s="15">
        <v>43000.0</v>
      </c>
      <c r="CX86" s="15">
        <v>0.0</v>
      </c>
      <c r="CY86" s="16">
        <v>0.0</v>
      </c>
      <c r="CZ86" s="16">
        <v>0.0</v>
      </c>
      <c r="DA86" s="15">
        <v>0.0</v>
      </c>
      <c r="DB86" s="15">
        <v>2360000.0</v>
      </c>
      <c r="DC86" s="15">
        <v>1980000.0</v>
      </c>
      <c r="DD86" s="15">
        <v>1510000.0</v>
      </c>
      <c r="DE86" s="15">
        <v>1350000.0</v>
      </c>
      <c r="DF86" s="15">
        <v>3200000.0</v>
      </c>
      <c r="DG86" s="15">
        <v>3290000.0</v>
      </c>
      <c r="DH86" s="15">
        <v>2960000.0</v>
      </c>
      <c r="DI86" s="15">
        <v>2910000.0</v>
      </c>
      <c r="DJ86" s="15">
        <v>3500000.0</v>
      </c>
      <c r="DK86" s="15">
        <v>88000.0</v>
      </c>
      <c r="DL86" s="15">
        <v>79000.0</v>
      </c>
      <c r="DM86" s="15">
        <v>79000.0</v>
      </c>
      <c r="DN86" s="15">
        <v>74000.0</v>
      </c>
      <c r="DO86" s="15">
        <v>15000.0</v>
      </c>
      <c r="DP86" s="15">
        <v>685000.0</v>
      </c>
      <c r="DQ86" s="15">
        <v>1110000.0</v>
      </c>
      <c r="DR86" s="15">
        <v>1330000.0</v>
      </c>
      <c r="DS86" s="15">
        <v>1440000.0</v>
      </c>
      <c r="DT86" s="15">
        <v>2010000.0</v>
      </c>
      <c r="DU86" s="16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2830000.0</v>
      </c>
      <c r="EA86" s="15">
        <v>1270000.0</v>
      </c>
      <c r="EB86" s="15">
        <v>596000.0</v>
      </c>
      <c r="EC86" s="15">
        <v>416000.0</v>
      </c>
      <c r="ED86" s="15">
        <v>-412000.0</v>
      </c>
      <c r="EE86" s="17">
        <v>0.092</v>
      </c>
      <c r="EF86" s="17">
        <v>0.254</v>
      </c>
      <c r="EG86" s="17">
        <v>0.0</v>
      </c>
      <c r="EH86" s="17">
        <v>0.008</v>
      </c>
    </row>
    <row r="87">
      <c r="A87" s="9">
        <f t="shared" si="2"/>
        <v>85</v>
      </c>
      <c r="B87" s="22" t="s">
        <v>221</v>
      </c>
      <c r="C87" s="11">
        <v>2.652E7</v>
      </c>
      <c r="D87" s="11">
        <v>2.544E7</v>
      </c>
      <c r="E87" s="11">
        <v>2.326E7</v>
      </c>
      <c r="F87" s="11">
        <v>2.377E7</v>
      </c>
      <c r="G87" s="11">
        <v>2.278E7</v>
      </c>
      <c r="H87" s="11">
        <v>2.268E7</v>
      </c>
      <c r="I87" s="11">
        <v>2.134E7</v>
      </c>
      <c r="J87" s="11">
        <v>1.891E7</v>
      </c>
      <c r="K87" s="11">
        <v>1.967E7</v>
      </c>
      <c r="L87" s="11">
        <v>1.872E7</v>
      </c>
      <c r="M87" s="11">
        <v>1.852E7</v>
      </c>
      <c r="N87" s="11">
        <v>1.711E7</v>
      </c>
      <c r="O87" s="11">
        <v>9270000.0</v>
      </c>
      <c r="P87" s="11">
        <v>9070000.0</v>
      </c>
      <c r="Q87" s="11">
        <v>8430000.0</v>
      </c>
      <c r="R87" s="11">
        <v>8960000.0</v>
      </c>
      <c r="S87" s="11">
        <v>8980000.0</v>
      </c>
      <c r="T87" s="11">
        <v>4120000.0</v>
      </c>
      <c r="U87" s="11">
        <v>3740000.0</v>
      </c>
      <c r="V87" s="11">
        <v>3560000.0</v>
      </c>
      <c r="W87" s="11">
        <v>3840000.0</v>
      </c>
      <c r="X87" s="11">
        <v>4070000.0</v>
      </c>
      <c r="Y87" s="12"/>
      <c r="Z87" s="11">
        <v>1.032E7</v>
      </c>
      <c r="AA87" s="11">
        <v>9930000.0</v>
      </c>
      <c r="AB87" s="11">
        <v>9380000.0</v>
      </c>
      <c r="AC87" s="11">
        <v>-143000.0</v>
      </c>
      <c r="AD87" s="11">
        <v>9140000.0</v>
      </c>
      <c r="AE87" s="11">
        <v>9550000.0</v>
      </c>
      <c r="AF87" s="11">
        <v>9600000.0</v>
      </c>
      <c r="AG87" s="11">
        <v>9160000.0</v>
      </c>
      <c r="AH87" s="11">
        <v>7980000.0</v>
      </c>
      <c r="AI87" s="11">
        <v>1.178E7</v>
      </c>
      <c r="AJ87" s="11">
        <v>1.227E7</v>
      </c>
      <c r="AK87" s="11">
        <v>1.192E7</v>
      </c>
      <c r="AL87" s="11">
        <v>1.163E7</v>
      </c>
      <c r="AM87" s="11">
        <v>1.027E7</v>
      </c>
      <c r="AN87" s="11">
        <v>7840000.0</v>
      </c>
      <c r="AO87" s="11">
        <v>8390000.0</v>
      </c>
      <c r="AP87" s="11">
        <v>1980000.0</v>
      </c>
      <c r="AQ87" s="11">
        <v>7720000.0</v>
      </c>
      <c r="AR87" s="11">
        <v>6940000.0</v>
      </c>
      <c r="AS87" s="11">
        <v>9150000.0</v>
      </c>
      <c r="AT87" s="11">
        <v>1.13E7</v>
      </c>
      <c r="AU87" s="11">
        <v>1.118E7</v>
      </c>
      <c r="AV87" s="11">
        <v>1.035E7</v>
      </c>
      <c r="AW87" s="11">
        <v>9730000.0</v>
      </c>
      <c r="AX87" s="11">
        <v>-618000.0</v>
      </c>
      <c r="AY87" s="11">
        <v>-738000.0</v>
      </c>
      <c r="AZ87" s="11">
        <v>-664000.0</v>
      </c>
      <c r="BA87" s="11">
        <v>-837000.0</v>
      </c>
      <c r="BB87" s="11">
        <v>-649000.0</v>
      </c>
      <c r="BC87" s="11">
        <v>-3510000.0</v>
      </c>
      <c r="BD87" s="11">
        <v>-3510000.0</v>
      </c>
      <c r="BE87" s="11">
        <v>-3370000.0</v>
      </c>
      <c r="BF87" s="11">
        <v>-3000000.0</v>
      </c>
      <c r="BG87" s="11">
        <v>-2400000.0</v>
      </c>
      <c r="BH87" s="11">
        <v>8910000.0</v>
      </c>
      <c r="BI87" s="11">
        <v>2.93E7</v>
      </c>
      <c r="BJ87" s="11">
        <v>4.168E7</v>
      </c>
      <c r="BK87" s="11">
        <v>3.809E7</v>
      </c>
      <c r="BL87" s="11">
        <v>3.138E7</v>
      </c>
      <c r="BM87" s="11">
        <v>4650000.0</v>
      </c>
      <c r="BN87" s="11">
        <v>3580000.0</v>
      </c>
      <c r="BO87" s="11">
        <v>3240000.0</v>
      </c>
      <c r="BP87" s="11">
        <v>3170000.0</v>
      </c>
      <c r="BQ87" s="11">
        <v>3000000.0</v>
      </c>
      <c r="BR87" s="11">
        <v>3580000.0</v>
      </c>
      <c r="BS87" s="11">
        <v>2940000.0</v>
      </c>
      <c r="BT87" s="11">
        <v>2830000.0</v>
      </c>
      <c r="BU87" s="11">
        <v>2750000.0</v>
      </c>
      <c r="BV87" s="11">
        <v>2440000.0</v>
      </c>
      <c r="BW87" s="11">
        <v>1.844E7</v>
      </c>
      <c r="BX87" s="11">
        <v>3.762E7</v>
      </c>
      <c r="BY87" s="11">
        <v>4.948E7</v>
      </c>
      <c r="BZ87" s="11">
        <v>4.601E7</v>
      </c>
      <c r="CA87" s="11">
        <v>3.852E7</v>
      </c>
      <c r="CB87" s="11">
        <v>5400000.0</v>
      </c>
      <c r="CC87" s="11">
        <v>4960000.0</v>
      </c>
      <c r="CD87" s="11">
        <v>4990000.0</v>
      </c>
      <c r="CE87" s="11">
        <v>4960000.0</v>
      </c>
      <c r="CF87" s="11">
        <v>4910000.0</v>
      </c>
      <c r="CG87" s="11">
        <v>1.47E7</v>
      </c>
      <c r="CH87" s="11">
        <v>1.47E7</v>
      </c>
      <c r="CI87" s="11">
        <v>1.476E7</v>
      </c>
      <c r="CJ87" s="11">
        <v>1.475E7</v>
      </c>
      <c r="CK87" s="11">
        <v>1.479E7</v>
      </c>
      <c r="CL87" s="11">
        <v>5.971E7</v>
      </c>
      <c r="CM87" s="11">
        <v>6.642E7</v>
      </c>
      <c r="CN87" s="11">
        <v>7.995E7</v>
      </c>
      <c r="CO87" s="11">
        <v>7.763E7</v>
      </c>
      <c r="CP87" s="11">
        <v>7.145E7</v>
      </c>
      <c r="CQ87" s="11">
        <v>1370000.0</v>
      </c>
      <c r="CR87" s="11">
        <v>1210000.0</v>
      </c>
      <c r="CS87" s="11">
        <v>1350000.0</v>
      </c>
      <c r="CT87" s="11">
        <v>917000.0</v>
      </c>
      <c r="CU87" s="11">
        <v>965000.0</v>
      </c>
      <c r="CV87" s="11">
        <v>1.284E7</v>
      </c>
      <c r="CW87" s="11">
        <v>140000.0</v>
      </c>
      <c r="CX87" s="12"/>
      <c r="CY87" s="12"/>
      <c r="CZ87" s="11">
        <v>605000.0</v>
      </c>
      <c r="DA87" s="12"/>
      <c r="DB87" s="11">
        <v>1.284E7</v>
      </c>
      <c r="DC87" s="11">
        <v>1.349E7</v>
      </c>
      <c r="DD87" s="11">
        <v>9020000.0</v>
      </c>
      <c r="DE87" s="11">
        <v>1.12E7</v>
      </c>
      <c r="DF87" s="11">
        <v>5.003E7</v>
      </c>
      <c r="DG87" s="11">
        <v>5.392E7</v>
      </c>
      <c r="DH87" s="11">
        <v>5.471E7</v>
      </c>
      <c r="DI87" s="11">
        <v>4.775E7</v>
      </c>
      <c r="DJ87" s="11">
        <v>4.337E7</v>
      </c>
      <c r="DK87" s="11">
        <v>548000.0</v>
      </c>
      <c r="DL87" s="11">
        <v>683000.0</v>
      </c>
      <c r="DM87" s="11">
        <v>719000.0</v>
      </c>
      <c r="DN87" s="11">
        <v>655000.0</v>
      </c>
      <c r="DO87" s="11">
        <v>579000.0</v>
      </c>
      <c r="DP87" s="11">
        <v>2.734E7</v>
      </c>
      <c r="DQ87" s="11">
        <v>2.951E7</v>
      </c>
      <c r="DR87" s="11">
        <v>3.419E7</v>
      </c>
      <c r="DS87" s="11">
        <v>3.019E7</v>
      </c>
      <c r="DT87" s="11">
        <v>2.918E7</v>
      </c>
      <c r="DU87" s="13"/>
      <c r="DV87" s="12"/>
      <c r="DW87" s="12"/>
      <c r="DX87" s="13"/>
      <c r="DY87" s="13"/>
      <c r="DZ87" s="11">
        <v>9670000.0</v>
      </c>
      <c r="EA87" s="11">
        <v>1.25E7</v>
      </c>
      <c r="EB87" s="11">
        <v>2.524E7</v>
      </c>
      <c r="EC87" s="11">
        <v>2.988E7</v>
      </c>
      <c r="ED87" s="11">
        <v>2.808E7</v>
      </c>
      <c r="EE87" s="14">
        <v>0.039</v>
      </c>
      <c r="EF87" s="14">
        <v>0.087</v>
      </c>
      <c r="EG87" s="14">
        <v>0.113</v>
      </c>
      <c r="EH87" s="14">
        <v>0.078</v>
      </c>
    </row>
    <row r="88">
      <c r="A88" s="9">
        <f t="shared" si="2"/>
        <v>86</v>
      </c>
      <c r="B88" s="10" t="s">
        <v>222</v>
      </c>
      <c r="C88" s="15">
        <v>4690000.0</v>
      </c>
      <c r="D88" s="15">
        <v>4500000.0</v>
      </c>
      <c r="E88" s="15">
        <v>4050000.0</v>
      </c>
      <c r="F88" s="15">
        <v>4320000.0</v>
      </c>
      <c r="G88" s="15">
        <v>4210000.0</v>
      </c>
      <c r="H88" s="15">
        <v>3890000.0</v>
      </c>
      <c r="I88" s="15">
        <v>2880000.0</v>
      </c>
      <c r="J88" s="15">
        <v>649440.0</v>
      </c>
      <c r="K88" s="15">
        <v>710570.0</v>
      </c>
      <c r="L88" s="15">
        <v>761080.0</v>
      </c>
      <c r="M88" s="15">
        <v>668580.0</v>
      </c>
      <c r="N88" s="15">
        <v>479270.0</v>
      </c>
      <c r="O88" s="15">
        <v>419570.0</v>
      </c>
      <c r="P88" s="15">
        <v>452420.0</v>
      </c>
      <c r="Q88" s="15">
        <v>463650.0</v>
      </c>
      <c r="R88" s="15">
        <v>401540.0</v>
      </c>
      <c r="S88" s="15">
        <v>314430.0</v>
      </c>
      <c r="T88" s="15">
        <v>137640.0</v>
      </c>
      <c r="U88" s="15">
        <v>157180.0</v>
      </c>
      <c r="V88" s="15">
        <v>166630.0</v>
      </c>
      <c r="W88" s="15">
        <v>117210.0</v>
      </c>
      <c r="X88" s="15">
        <v>82020.0</v>
      </c>
      <c r="Y88" s="15">
        <v>221330.0</v>
      </c>
      <c r="Z88" s="15">
        <v>256630.0</v>
      </c>
      <c r="AA88" s="15">
        <v>-4840.0</v>
      </c>
      <c r="AB88" s="15">
        <v>293940.0</v>
      </c>
      <c r="AC88" s="15">
        <v>-23060.0</v>
      </c>
      <c r="AD88" s="15">
        <v>159810.0</v>
      </c>
      <c r="AE88" s="15">
        <v>185820.0</v>
      </c>
      <c r="AF88" s="15">
        <v>307500.0</v>
      </c>
      <c r="AG88" s="15">
        <v>215160.0</v>
      </c>
      <c r="AH88" s="15">
        <v>67910.0</v>
      </c>
      <c r="AI88" s="15">
        <v>754050.0</v>
      </c>
      <c r="AJ88" s="15">
        <v>830110.0</v>
      </c>
      <c r="AK88" s="15">
        <v>879370.0</v>
      </c>
      <c r="AL88" s="15">
        <v>822230.0</v>
      </c>
      <c r="AM88" s="15">
        <v>659040.0</v>
      </c>
      <c r="AN88" s="15">
        <v>120890.0</v>
      </c>
      <c r="AO88" s="15">
        <v>127090.0</v>
      </c>
      <c r="AP88" s="15">
        <v>263550.0</v>
      </c>
      <c r="AQ88" s="15">
        <v>164190.0</v>
      </c>
      <c r="AR88" s="15">
        <v>51040.0</v>
      </c>
      <c r="AS88" s="15">
        <v>431880.0</v>
      </c>
      <c r="AT88" s="15">
        <v>663410.0</v>
      </c>
      <c r="AU88" s="15">
        <v>618270.0</v>
      </c>
      <c r="AV88" s="15">
        <v>729400.0</v>
      </c>
      <c r="AW88" s="15">
        <v>584980.0</v>
      </c>
      <c r="AX88" s="15">
        <v>-472430.0</v>
      </c>
      <c r="AY88" s="15">
        <v>-547120.0</v>
      </c>
      <c r="AZ88" s="15">
        <v>-550940.0</v>
      </c>
      <c r="BA88" s="15">
        <v>-650040.0</v>
      </c>
      <c r="BB88" s="15">
        <v>-537980.0</v>
      </c>
      <c r="BC88" s="15">
        <v>0.0</v>
      </c>
      <c r="BD88" s="15">
        <v>0.0</v>
      </c>
      <c r="BE88" s="15">
        <v>0.0</v>
      </c>
      <c r="BF88" s="15">
        <v>0.0</v>
      </c>
      <c r="BG88" s="15">
        <v>0.0</v>
      </c>
      <c r="BH88" s="15">
        <v>895560.0</v>
      </c>
      <c r="BI88" s="15">
        <v>684160.0</v>
      </c>
      <c r="BJ88" s="15">
        <v>598360.0</v>
      </c>
      <c r="BK88" s="15">
        <v>551520.0</v>
      </c>
      <c r="BL88" s="15">
        <v>525170.0</v>
      </c>
      <c r="BM88" s="15">
        <v>850750.0</v>
      </c>
      <c r="BN88" s="15">
        <v>724460.0</v>
      </c>
      <c r="BO88" s="15">
        <v>798260.0</v>
      </c>
      <c r="BP88" s="15">
        <v>563110.0</v>
      </c>
      <c r="BQ88" s="15">
        <v>526140.0</v>
      </c>
      <c r="BR88" s="15">
        <v>220600.0</v>
      </c>
      <c r="BS88" s="15">
        <v>230590.0</v>
      </c>
      <c r="BT88" s="15">
        <v>213650.0</v>
      </c>
      <c r="BU88" s="15">
        <v>267990.0</v>
      </c>
      <c r="BV88" s="15">
        <v>238210.0</v>
      </c>
      <c r="BW88" s="15">
        <v>2000000.0</v>
      </c>
      <c r="BX88" s="15">
        <v>1670000.0</v>
      </c>
      <c r="BY88" s="15">
        <v>1640000.0</v>
      </c>
      <c r="BZ88" s="15">
        <v>1410000.0</v>
      </c>
      <c r="CA88" s="15">
        <v>1320000.0</v>
      </c>
      <c r="CB88" s="15">
        <v>2550000.0</v>
      </c>
      <c r="CC88" s="15">
        <v>2650000.0</v>
      </c>
      <c r="CD88" s="15">
        <v>2700000.0</v>
      </c>
      <c r="CE88" s="15">
        <v>2560000.0</v>
      </c>
      <c r="CF88" s="15">
        <v>2580000.0</v>
      </c>
      <c r="CG88" s="15">
        <v>25980.0</v>
      </c>
      <c r="CH88" s="15">
        <v>25720.0</v>
      </c>
      <c r="CI88" s="15">
        <v>25040.0</v>
      </c>
      <c r="CJ88" s="15">
        <v>24120.0</v>
      </c>
      <c r="CK88" s="15">
        <v>23410.0</v>
      </c>
      <c r="CL88" s="15">
        <v>4700000.0</v>
      </c>
      <c r="CM88" s="15">
        <v>4500000.0</v>
      </c>
      <c r="CN88" s="15">
        <v>4510000.0</v>
      </c>
      <c r="CO88" s="15">
        <v>4090000.0</v>
      </c>
      <c r="CP88" s="15">
        <v>4030000.0</v>
      </c>
      <c r="CQ88" s="15">
        <v>571050.0</v>
      </c>
      <c r="CR88" s="15">
        <v>530400.0</v>
      </c>
      <c r="CS88" s="15">
        <v>569090.0</v>
      </c>
      <c r="CT88" s="15">
        <v>487430.0</v>
      </c>
      <c r="CU88" s="15">
        <v>434220.0</v>
      </c>
      <c r="CV88" s="15">
        <v>1060000.0</v>
      </c>
      <c r="CW88" s="15">
        <v>40970.0</v>
      </c>
      <c r="CX88" s="15">
        <v>0.0</v>
      </c>
      <c r="CY88" s="16">
        <v>0.0</v>
      </c>
      <c r="CZ88" s="16">
        <v>0.0</v>
      </c>
      <c r="DA88" s="15">
        <v>0.0</v>
      </c>
      <c r="DB88" s="15">
        <v>1060000.0</v>
      </c>
      <c r="DC88" s="15">
        <v>1160000.0</v>
      </c>
      <c r="DD88" s="15">
        <v>1320000.0</v>
      </c>
      <c r="DE88" s="15">
        <v>1010000.0</v>
      </c>
      <c r="DF88" s="15">
        <v>2710000.0</v>
      </c>
      <c r="DG88" s="15">
        <v>2640000.0</v>
      </c>
      <c r="DH88" s="15">
        <v>2790000.0</v>
      </c>
      <c r="DI88" s="15">
        <v>2690000.0</v>
      </c>
      <c r="DJ88" s="15">
        <v>2810000.0</v>
      </c>
      <c r="DK88" s="15">
        <v>2970.0</v>
      </c>
      <c r="DL88" s="15">
        <v>3890.0</v>
      </c>
      <c r="DM88" s="15">
        <v>4490.0</v>
      </c>
      <c r="DN88" s="15">
        <v>3980.0</v>
      </c>
      <c r="DO88" s="15">
        <v>2180.0</v>
      </c>
      <c r="DP88" s="15">
        <v>1410000.0</v>
      </c>
      <c r="DQ88" s="15">
        <v>1220000.0</v>
      </c>
      <c r="DR88" s="15">
        <v>1240000.0</v>
      </c>
      <c r="DS88" s="15">
        <v>1440000.0</v>
      </c>
      <c r="DT88" s="15">
        <v>1510000.0</v>
      </c>
      <c r="DU88" s="16">
        <v>0.0</v>
      </c>
      <c r="DV88" s="15">
        <v>0.0</v>
      </c>
      <c r="DW88" s="15">
        <v>0.0</v>
      </c>
      <c r="DX88" s="15">
        <v>0.0</v>
      </c>
      <c r="DY88" s="15">
        <v>0.0</v>
      </c>
      <c r="DZ88" s="15">
        <v>1960000.0</v>
      </c>
      <c r="EA88" s="15">
        <v>1830000.0</v>
      </c>
      <c r="EB88" s="15">
        <v>1700000.0</v>
      </c>
      <c r="EC88" s="15">
        <v>1380000.0</v>
      </c>
      <c r="ED88" s="15">
        <v>1200000.0</v>
      </c>
      <c r="EE88" s="17">
        <v>0.038</v>
      </c>
      <c r="EF88" s="17">
        <v>0.058</v>
      </c>
      <c r="EG88" s="17">
        <v>0.733</v>
      </c>
      <c r="EH88" s="17">
        <v>1.015</v>
      </c>
    </row>
    <row r="89">
      <c r="A89" s="9">
        <f t="shared" si="2"/>
        <v>87</v>
      </c>
      <c r="B89" s="25" t="s">
        <v>223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3"/>
      <c r="DV89" s="12"/>
      <c r="DW89" s="12"/>
      <c r="DX89" s="13"/>
      <c r="DY89" s="13"/>
      <c r="DZ89" s="12"/>
      <c r="EA89" s="12"/>
      <c r="EB89" s="12"/>
      <c r="EC89" s="12"/>
      <c r="ED89" s="12"/>
      <c r="EE89" s="17"/>
      <c r="EF89" s="17"/>
      <c r="EG89" s="17"/>
      <c r="EH89" s="17"/>
    </row>
    <row r="90">
      <c r="A90" s="9">
        <f t="shared" si="2"/>
        <v>88</v>
      </c>
      <c r="B90" s="10" t="s">
        <v>224</v>
      </c>
      <c r="C90" s="11">
        <v>2330000.0</v>
      </c>
      <c r="D90" s="11">
        <v>2200000.0</v>
      </c>
      <c r="E90" s="11">
        <v>2220000.0</v>
      </c>
      <c r="F90" s="11">
        <v>2140000.0</v>
      </c>
      <c r="G90" s="11">
        <v>1990000.0</v>
      </c>
      <c r="H90" s="11">
        <v>1900000.0</v>
      </c>
      <c r="I90" s="11">
        <v>1460000.0</v>
      </c>
      <c r="J90" s="11">
        <v>684950.0</v>
      </c>
      <c r="K90" s="11">
        <v>655150.0</v>
      </c>
      <c r="L90" s="11">
        <v>612140.0</v>
      </c>
      <c r="M90" s="11">
        <v>590100.0</v>
      </c>
      <c r="N90" s="11">
        <v>448410.0</v>
      </c>
      <c r="O90" s="11">
        <v>500850.0</v>
      </c>
      <c r="P90" s="11">
        <v>454720.0</v>
      </c>
      <c r="Q90" s="11">
        <v>399520.0</v>
      </c>
      <c r="R90" s="11">
        <v>398500.0</v>
      </c>
      <c r="S90" s="11">
        <v>319530.0</v>
      </c>
      <c r="T90" s="12"/>
      <c r="U90" s="12"/>
      <c r="V90" s="12"/>
      <c r="W90" s="12"/>
      <c r="X90" s="12"/>
      <c r="Y90" s="11">
        <v>176920.0</v>
      </c>
      <c r="Z90" s="11">
        <v>202830.0</v>
      </c>
      <c r="AA90" s="11">
        <v>212440.0</v>
      </c>
      <c r="AB90" s="11">
        <v>191390.0</v>
      </c>
      <c r="AC90" s="11">
        <v>129210.0</v>
      </c>
      <c r="AD90" s="11">
        <v>148490.0</v>
      </c>
      <c r="AE90" s="11">
        <v>186690.0</v>
      </c>
      <c r="AF90" s="11">
        <v>192760.0</v>
      </c>
      <c r="AG90" s="11">
        <v>176170.0</v>
      </c>
      <c r="AH90" s="11">
        <v>121090.0</v>
      </c>
      <c r="AI90" s="11">
        <v>242610.0</v>
      </c>
      <c r="AJ90" s="11">
        <v>241670.0</v>
      </c>
      <c r="AK90" s="11">
        <v>244900.0</v>
      </c>
      <c r="AL90" s="11">
        <v>221230.0</v>
      </c>
      <c r="AM90" s="11">
        <v>149830.0</v>
      </c>
      <c r="AN90" s="11">
        <v>113990.0</v>
      </c>
      <c r="AO90" s="11">
        <v>141740.0</v>
      </c>
      <c r="AP90" s="11">
        <v>132560.0</v>
      </c>
      <c r="AQ90" s="11">
        <v>105840.0</v>
      </c>
      <c r="AR90" s="11">
        <v>81890.0</v>
      </c>
      <c r="AS90" s="11">
        <v>224780.0</v>
      </c>
      <c r="AT90" s="11">
        <v>227090.0</v>
      </c>
      <c r="AU90" s="11">
        <v>115260.0</v>
      </c>
      <c r="AV90" s="11">
        <v>125630.0</v>
      </c>
      <c r="AW90" s="11">
        <v>56310.0</v>
      </c>
      <c r="AX90" s="11">
        <v>-36460.0</v>
      </c>
      <c r="AY90" s="11">
        <v>-36390.0</v>
      </c>
      <c r="AZ90" s="11">
        <v>-26530.0</v>
      </c>
      <c r="BA90" s="11">
        <v>-21960.0</v>
      </c>
      <c r="BB90" s="11">
        <v>-27010.0</v>
      </c>
      <c r="BC90" s="13"/>
      <c r="BD90" s="13"/>
      <c r="BE90" s="13"/>
      <c r="BF90" s="13"/>
      <c r="BG90" s="13"/>
      <c r="BH90" s="11">
        <v>101380.0</v>
      </c>
      <c r="BI90" s="11">
        <v>40190.0</v>
      </c>
      <c r="BJ90" s="11">
        <v>40650.0</v>
      </c>
      <c r="BK90" s="11">
        <v>30890.0</v>
      </c>
      <c r="BL90" s="11">
        <v>21570.0</v>
      </c>
      <c r="BM90" s="11">
        <v>431380.0</v>
      </c>
      <c r="BN90" s="11">
        <v>416810.0</v>
      </c>
      <c r="BO90" s="11">
        <v>407410.0</v>
      </c>
      <c r="BP90" s="11">
        <v>391570.0</v>
      </c>
      <c r="BQ90" s="11">
        <v>332490.0</v>
      </c>
      <c r="BR90" s="12"/>
      <c r="BS90" s="12"/>
      <c r="BT90" s="12"/>
      <c r="BU90" s="12"/>
      <c r="BV90" s="12"/>
      <c r="BW90" s="11">
        <v>560500.0</v>
      </c>
      <c r="BX90" s="11">
        <v>482170.0</v>
      </c>
      <c r="BY90" s="11">
        <v>474150.0</v>
      </c>
      <c r="BZ90" s="11">
        <v>450630.0</v>
      </c>
      <c r="CA90" s="11">
        <v>375630.0</v>
      </c>
      <c r="CB90" s="11">
        <v>194700.0</v>
      </c>
      <c r="CC90" s="11">
        <v>90420.0</v>
      </c>
      <c r="CD90" s="11">
        <v>73430.0</v>
      </c>
      <c r="CE90" s="11">
        <v>59950.0</v>
      </c>
      <c r="CF90" s="11">
        <v>50130.0</v>
      </c>
      <c r="CG90" s="11">
        <v>595550.0</v>
      </c>
      <c r="CH90" s="11">
        <v>438510.0</v>
      </c>
      <c r="CI90" s="11">
        <v>340600.0</v>
      </c>
      <c r="CJ90" s="11">
        <v>341750.0</v>
      </c>
      <c r="CK90" s="11">
        <v>204780.0</v>
      </c>
      <c r="CL90" s="11">
        <v>2010000.0</v>
      </c>
      <c r="CM90" s="11">
        <v>1540000.0</v>
      </c>
      <c r="CN90" s="11">
        <v>1300000.0</v>
      </c>
      <c r="CO90" s="11">
        <v>1270000.0</v>
      </c>
      <c r="CP90" s="11">
        <v>880430.0</v>
      </c>
      <c r="CQ90" s="11">
        <v>102550.0</v>
      </c>
      <c r="CR90" s="11">
        <v>82430.0</v>
      </c>
      <c r="CS90" s="11">
        <v>73210.0</v>
      </c>
      <c r="CT90" s="11">
        <v>85370.0</v>
      </c>
      <c r="CU90" s="11">
        <v>109440.0</v>
      </c>
      <c r="CV90" s="11">
        <v>378110.0</v>
      </c>
      <c r="CW90" s="11">
        <v>13940.0</v>
      </c>
      <c r="CX90" s="13"/>
      <c r="CY90" s="13"/>
      <c r="CZ90" s="13"/>
      <c r="DA90" s="12"/>
      <c r="DB90" s="11">
        <v>378110.0</v>
      </c>
      <c r="DC90" s="11">
        <v>307270.0</v>
      </c>
      <c r="DD90" s="11">
        <v>265270.0</v>
      </c>
      <c r="DE90" s="11">
        <v>274790.0</v>
      </c>
      <c r="DF90" s="11">
        <v>1270000.0</v>
      </c>
      <c r="DG90" s="11">
        <v>902730.0</v>
      </c>
      <c r="DH90" s="11">
        <v>735030.0</v>
      </c>
      <c r="DI90" s="11">
        <v>815850.0</v>
      </c>
      <c r="DJ90" s="11">
        <v>532570.0</v>
      </c>
      <c r="DK90" s="11">
        <v>62170.0</v>
      </c>
      <c r="DL90" s="11">
        <v>59330.0</v>
      </c>
      <c r="DM90" s="11">
        <v>64320.0</v>
      </c>
      <c r="DN90" s="11">
        <v>31290.0</v>
      </c>
      <c r="DO90" s="11">
        <v>27350.0</v>
      </c>
      <c r="DP90" s="11">
        <v>708370.0</v>
      </c>
      <c r="DQ90" s="11">
        <v>440610.0</v>
      </c>
      <c r="DR90" s="11">
        <v>319840.0</v>
      </c>
      <c r="DS90" s="11">
        <v>359190.0</v>
      </c>
      <c r="DT90" s="11">
        <v>180990.0</v>
      </c>
      <c r="DU90" s="13"/>
      <c r="DV90" s="12"/>
      <c r="DW90" s="12"/>
      <c r="DX90" s="12"/>
      <c r="DY90" s="13"/>
      <c r="DZ90" s="11">
        <v>736740.0</v>
      </c>
      <c r="EA90" s="11">
        <v>638990.0</v>
      </c>
      <c r="EB90" s="11">
        <v>562530.0</v>
      </c>
      <c r="EC90" s="11">
        <v>449380.0</v>
      </c>
      <c r="ED90" s="11">
        <v>347860.0</v>
      </c>
      <c r="EE90" s="14">
        <v>0.073</v>
      </c>
      <c r="EF90" s="14">
        <v>0.129</v>
      </c>
      <c r="EG90" s="14">
        <v>0.013</v>
      </c>
      <c r="EH90" s="14">
        <v>0.113</v>
      </c>
    </row>
    <row r="91">
      <c r="A91" s="9">
        <f t="shared" si="2"/>
        <v>89</v>
      </c>
      <c r="B91" s="22" t="s">
        <v>225</v>
      </c>
      <c r="C91" s="11">
        <v>454510.0</v>
      </c>
      <c r="D91" s="11">
        <v>359590.0</v>
      </c>
      <c r="E91" s="11">
        <v>322360.0</v>
      </c>
      <c r="F91" s="11">
        <v>294670.0</v>
      </c>
      <c r="G91" s="11">
        <v>240180.0</v>
      </c>
      <c r="H91" s="11">
        <v>255170.0</v>
      </c>
      <c r="I91" s="11">
        <v>251520.0</v>
      </c>
      <c r="J91" s="11">
        <v>123190.0</v>
      </c>
      <c r="K91" s="11">
        <v>101670.0</v>
      </c>
      <c r="L91" s="11">
        <v>85470.0</v>
      </c>
      <c r="M91" s="11">
        <v>99450.0</v>
      </c>
      <c r="N91" s="11">
        <v>73550.0</v>
      </c>
      <c r="O91" s="11">
        <v>123230.0</v>
      </c>
      <c r="P91" s="11">
        <v>110290.0</v>
      </c>
      <c r="Q91" s="11">
        <v>89380.0</v>
      </c>
      <c r="R91" s="11">
        <v>83760.0</v>
      </c>
      <c r="S91" s="11">
        <v>76940.0</v>
      </c>
      <c r="T91" s="11">
        <v>60260.0</v>
      </c>
      <c r="U91" s="11">
        <v>52430.0</v>
      </c>
      <c r="V91" s="11">
        <v>38460.0</v>
      </c>
      <c r="W91" s="11">
        <v>36460.0</v>
      </c>
      <c r="X91" s="11">
        <v>33270.0</v>
      </c>
      <c r="Y91" s="11">
        <v>59860.0</v>
      </c>
      <c r="Z91" s="12"/>
      <c r="AA91" s="12"/>
      <c r="AB91" s="12"/>
      <c r="AC91" s="11">
        <v>-6900.0</v>
      </c>
      <c r="AD91" s="11">
        <v>60230.0</v>
      </c>
      <c r="AE91" s="11">
        <v>-9930.0</v>
      </c>
      <c r="AF91" s="11">
        <v>1250.0</v>
      </c>
      <c r="AG91" s="11">
        <v>14950.0</v>
      </c>
      <c r="AH91" s="11">
        <v>-10360.0</v>
      </c>
      <c r="AI91" s="11">
        <v>21080.0</v>
      </c>
      <c r="AJ91" s="11">
        <v>7890.0</v>
      </c>
      <c r="AK91" s="11">
        <v>11900.0</v>
      </c>
      <c r="AL91" s="11">
        <v>30260.0</v>
      </c>
      <c r="AM91" s="11">
        <v>9860.0</v>
      </c>
      <c r="AN91" s="11">
        <v>48940.0</v>
      </c>
      <c r="AO91" s="11">
        <v>-5740.0</v>
      </c>
      <c r="AP91" s="11">
        <v>3650.0</v>
      </c>
      <c r="AQ91" s="11">
        <v>10530.0</v>
      </c>
      <c r="AR91" s="11">
        <v>-2790.0</v>
      </c>
      <c r="AS91" s="11">
        <v>44380.0</v>
      </c>
      <c r="AT91" s="11">
        <v>38190.0</v>
      </c>
      <c r="AU91" s="11">
        <v>39210.0</v>
      </c>
      <c r="AV91" s="11">
        <v>38560.0</v>
      </c>
      <c r="AW91" s="11">
        <v>10680.0</v>
      </c>
      <c r="AX91" s="11">
        <v>-41560.0</v>
      </c>
      <c r="AY91" s="11">
        <v>-46810.0</v>
      </c>
      <c r="AZ91" s="11">
        <v>-35100.0</v>
      </c>
      <c r="BA91" s="11">
        <v>-21380.0</v>
      </c>
      <c r="BB91" s="11">
        <v>-16050.0</v>
      </c>
      <c r="BC91" s="12"/>
      <c r="BD91" s="12"/>
      <c r="BE91" s="12"/>
      <c r="BF91" s="12"/>
      <c r="BG91" s="12"/>
      <c r="BH91" s="11">
        <v>89520.0</v>
      </c>
      <c r="BI91" s="11">
        <v>93320.0</v>
      </c>
      <c r="BJ91" s="11">
        <v>72380.0</v>
      </c>
      <c r="BK91" s="11">
        <v>74270.0</v>
      </c>
      <c r="BL91" s="11">
        <v>67360.0</v>
      </c>
      <c r="BM91" s="11">
        <v>45380.0</v>
      </c>
      <c r="BN91" s="11">
        <v>52160.0</v>
      </c>
      <c r="BO91" s="11">
        <v>36000.0</v>
      </c>
      <c r="BP91" s="11">
        <v>26780.0</v>
      </c>
      <c r="BQ91" s="11">
        <v>33230.0</v>
      </c>
      <c r="BR91" s="11">
        <v>110500.0</v>
      </c>
      <c r="BS91" s="11">
        <v>69320.0</v>
      </c>
      <c r="BT91" s="11">
        <v>63610.0</v>
      </c>
      <c r="BU91" s="11">
        <v>79750.0</v>
      </c>
      <c r="BV91" s="11">
        <v>70670.0</v>
      </c>
      <c r="BW91" s="11">
        <v>255240.0</v>
      </c>
      <c r="BX91" s="11">
        <v>220340.0</v>
      </c>
      <c r="BY91" s="11">
        <v>187780.0</v>
      </c>
      <c r="BZ91" s="11">
        <v>184100.0</v>
      </c>
      <c r="CA91" s="11">
        <v>175930.0</v>
      </c>
      <c r="CB91" s="11">
        <v>253550.0</v>
      </c>
      <c r="CC91" s="11">
        <v>210420.0</v>
      </c>
      <c r="CD91" s="11">
        <v>180550.0</v>
      </c>
      <c r="CE91" s="11">
        <v>152940.0</v>
      </c>
      <c r="CF91" s="11">
        <v>142160.0</v>
      </c>
      <c r="CG91" s="11">
        <v>3630.0</v>
      </c>
      <c r="CH91" s="11">
        <v>3950.0</v>
      </c>
      <c r="CI91" s="11">
        <v>4460.0</v>
      </c>
      <c r="CJ91" s="11">
        <v>3980.0</v>
      </c>
      <c r="CK91" s="11">
        <v>3730.0</v>
      </c>
      <c r="CL91" s="11">
        <v>586970.0</v>
      </c>
      <c r="CM91" s="11">
        <v>513560.0</v>
      </c>
      <c r="CN91" s="11">
        <v>451070.0</v>
      </c>
      <c r="CO91" s="11">
        <v>427740.0</v>
      </c>
      <c r="CP91" s="11">
        <v>390140.0</v>
      </c>
      <c r="CQ91" s="11">
        <v>25060.0</v>
      </c>
      <c r="CR91" s="11">
        <v>31320.0</v>
      </c>
      <c r="CS91" s="11">
        <v>16630.0</v>
      </c>
      <c r="CT91" s="11">
        <v>19930.0</v>
      </c>
      <c r="CU91" s="11">
        <v>13870.0</v>
      </c>
      <c r="CV91" s="11">
        <v>90010.0</v>
      </c>
      <c r="CW91" s="11">
        <v>3180.0</v>
      </c>
      <c r="CX91" s="12"/>
      <c r="CY91" s="12"/>
      <c r="CZ91" s="12"/>
      <c r="DA91" s="12"/>
      <c r="DB91" s="11">
        <v>90010.0</v>
      </c>
      <c r="DC91" s="11">
        <v>106830.0</v>
      </c>
      <c r="DD91" s="11">
        <v>67190.0</v>
      </c>
      <c r="DE91" s="11">
        <v>60620.0</v>
      </c>
      <c r="DF91" s="11">
        <v>159440.0</v>
      </c>
      <c r="DG91" s="11">
        <v>149200.0</v>
      </c>
      <c r="DH91" s="11">
        <v>117340.0</v>
      </c>
      <c r="DI91" s="11">
        <v>98480.0</v>
      </c>
      <c r="DJ91" s="11">
        <v>94630.0</v>
      </c>
      <c r="DK91" s="12"/>
      <c r="DL91" s="12"/>
      <c r="DM91" s="12"/>
      <c r="DN91" s="12"/>
      <c r="DO91" s="12"/>
      <c r="DP91" s="11">
        <v>55710.0</v>
      </c>
      <c r="DQ91" s="11">
        <v>31980.0</v>
      </c>
      <c r="DR91" s="11">
        <v>40840.0</v>
      </c>
      <c r="DS91" s="11">
        <v>32360.0</v>
      </c>
      <c r="DT91" s="11">
        <v>30170.0</v>
      </c>
      <c r="DU91" s="13"/>
      <c r="DV91" s="12"/>
      <c r="DW91" s="12"/>
      <c r="DX91" s="13"/>
      <c r="DY91" s="13"/>
      <c r="DZ91" s="11">
        <v>381370.0</v>
      </c>
      <c r="EA91" s="11">
        <v>332440.0</v>
      </c>
      <c r="EB91" s="11">
        <v>333740.0</v>
      </c>
      <c r="EC91" s="11">
        <v>329260.0</v>
      </c>
      <c r="ED91" s="11">
        <v>295510.0</v>
      </c>
      <c r="EE91" s="14">
        <v>0.032</v>
      </c>
      <c r="EF91" s="14">
        <v>0.25</v>
      </c>
      <c r="EG91" s="14">
        <v>0.143</v>
      </c>
      <c r="EH91" s="14">
        <v>0.365</v>
      </c>
    </row>
    <row r="92">
      <c r="A92" s="9">
        <f t="shared" si="2"/>
        <v>90</v>
      </c>
      <c r="B92" s="10" t="s">
        <v>226</v>
      </c>
      <c r="C92" s="11">
        <v>1020000.0</v>
      </c>
      <c r="D92" s="11">
        <v>942620.0</v>
      </c>
      <c r="E92" s="11">
        <v>866930.0</v>
      </c>
      <c r="F92" s="11">
        <v>787140.0</v>
      </c>
      <c r="G92" s="11">
        <v>717150.0</v>
      </c>
      <c r="H92" s="11">
        <v>651230.0</v>
      </c>
      <c r="I92" s="11">
        <v>630830.0</v>
      </c>
      <c r="J92" s="11">
        <v>164310.0</v>
      </c>
      <c r="K92" s="11">
        <v>170420.0</v>
      </c>
      <c r="L92" s="11">
        <v>140340.0</v>
      </c>
      <c r="M92" s="11">
        <v>129150.0</v>
      </c>
      <c r="N92" s="11">
        <v>110580.0</v>
      </c>
      <c r="O92" s="11">
        <v>114780.0</v>
      </c>
      <c r="P92" s="11">
        <v>111320.0</v>
      </c>
      <c r="Q92" s="11">
        <v>103760.0</v>
      </c>
      <c r="R92" s="11">
        <v>99170.0</v>
      </c>
      <c r="S92" s="11">
        <v>96930.0</v>
      </c>
      <c r="T92" s="11"/>
      <c r="U92" s="11"/>
      <c r="V92" s="11"/>
      <c r="W92" s="11"/>
      <c r="X92" s="11"/>
      <c r="Y92" s="11">
        <v>52680.0</v>
      </c>
      <c r="Z92" s="11">
        <v>59160.0</v>
      </c>
      <c r="AA92" s="11">
        <v>36860.0</v>
      </c>
      <c r="AB92" s="11">
        <v>24060.0</v>
      </c>
      <c r="AC92" s="11">
        <v>-6230.0</v>
      </c>
      <c r="AD92" s="11">
        <v>36550.0</v>
      </c>
      <c r="AE92" s="11">
        <v>42390.0</v>
      </c>
      <c r="AF92" s="11">
        <v>28720.0</v>
      </c>
      <c r="AG92" s="11">
        <v>16370.0</v>
      </c>
      <c r="AH92" s="11">
        <v>292.0</v>
      </c>
      <c r="AI92" s="11">
        <v>89020.0</v>
      </c>
      <c r="AJ92" s="11">
        <v>89630.0</v>
      </c>
      <c r="AK92" s="11">
        <v>62080.0</v>
      </c>
      <c r="AL92" s="11">
        <v>54730.0</v>
      </c>
      <c r="AM92" s="11">
        <v>37980.0</v>
      </c>
      <c r="AN92" s="11">
        <v>44440.0</v>
      </c>
      <c r="AO92" s="11">
        <v>37980.0</v>
      </c>
      <c r="AP92" s="11">
        <v>37490.0</v>
      </c>
      <c r="AQ92" s="11">
        <v>12030.0</v>
      </c>
      <c r="AR92" s="11">
        <v>844.0</v>
      </c>
      <c r="AS92" s="11">
        <v>-196290.0</v>
      </c>
      <c r="AT92" s="11">
        <v>-53200.0</v>
      </c>
      <c r="AU92" s="11">
        <v>-135740.0</v>
      </c>
      <c r="AV92" s="11">
        <v>-52650.0</v>
      </c>
      <c r="AW92" s="11">
        <v>-52650.0</v>
      </c>
      <c r="AX92" s="11">
        <v>-140630.0</v>
      </c>
      <c r="AY92" s="11">
        <v>-129620.0</v>
      </c>
      <c r="AZ92" s="11">
        <v>-88410.0</v>
      </c>
      <c r="BA92" s="11">
        <v>-76040.0</v>
      </c>
      <c r="BB92" s="11">
        <v>-52680.0</v>
      </c>
      <c r="BC92" s="12"/>
      <c r="BD92" s="12"/>
      <c r="BE92" s="12"/>
      <c r="BF92" s="12"/>
      <c r="BG92" s="12"/>
      <c r="BH92" s="11">
        <v>53230.0</v>
      </c>
      <c r="BI92" s="11">
        <v>78280.0</v>
      </c>
      <c r="BJ92" s="11">
        <v>40010.0</v>
      </c>
      <c r="BK92" s="11">
        <v>32910.0</v>
      </c>
      <c r="BL92" s="11">
        <v>37880.0</v>
      </c>
      <c r="BM92" s="11">
        <v>320120.0</v>
      </c>
      <c r="BN92" s="11">
        <v>191640.0</v>
      </c>
      <c r="BO92" s="11">
        <v>213510.0</v>
      </c>
      <c r="BP92" s="11">
        <v>160140.0</v>
      </c>
      <c r="BQ92" s="11">
        <v>185310.0</v>
      </c>
      <c r="BR92" s="11">
        <v>9240.0</v>
      </c>
      <c r="BS92" s="11">
        <v>7770.0</v>
      </c>
      <c r="BT92" s="11">
        <v>8140.0</v>
      </c>
      <c r="BU92" s="11">
        <v>12100.0</v>
      </c>
      <c r="BV92" s="11">
        <v>13220.0</v>
      </c>
      <c r="BW92" s="11">
        <v>412000.0</v>
      </c>
      <c r="BX92" s="11">
        <v>289250.0</v>
      </c>
      <c r="BY92" s="11">
        <v>275700.0</v>
      </c>
      <c r="BZ92" s="11">
        <v>216880.0</v>
      </c>
      <c r="CA92" s="11">
        <v>248160.0</v>
      </c>
      <c r="CB92" s="11">
        <v>622360.0</v>
      </c>
      <c r="CC92" s="11">
        <v>466940.0</v>
      </c>
      <c r="CD92" s="11">
        <v>361750.0</v>
      </c>
      <c r="CE92" s="11">
        <v>324780.0</v>
      </c>
      <c r="CF92" s="11">
        <v>249640.0</v>
      </c>
      <c r="CG92" s="11">
        <v>58410.0</v>
      </c>
      <c r="CH92" s="11">
        <v>58330.0</v>
      </c>
      <c r="CI92" s="11">
        <v>56140.0</v>
      </c>
      <c r="CJ92" s="11">
        <v>57980.0</v>
      </c>
      <c r="CK92" s="11">
        <v>59090.0</v>
      </c>
      <c r="CL92" s="11">
        <v>1440000.0</v>
      </c>
      <c r="CM92" s="11">
        <v>1210000.0</v>
      </c>
      <c r="CN92" s="11">
        <v>1020000.0</v>
      </c>
      <c r="CO92" s="11">
        <v>797280.0</v>
      </c>
      <c r="CP92" s="11">
        <v>723440.0</v>
      </c>
      <c r="CQ92" s="11">
        <v>202420.0</v>
      </c>
      <c r="CR92" s="11">
        <v>134330.0</v>
      </c>
      <c r="CS92" s="11">
        <v>135880.0</v>
      </c>
      <c r="CT92" s="11">
        <v>126580.0</v>
      </c>
      <c r="CU92" s="11">
        <v>114760.0</v>
      </c>
      <c r="CV92" s="11">
        <v>336650.0</v>
      </c>
      <c r="CW92" s="11">
        <v>5800.0</v>
      </c>
      <c r="CX92" s="12"/>
      <c r="CY92" s="12"/>
      <c r="CZ92" s="12"/>
      <c r="DA92" s="12"/>
      <c r="DB92" s="11">
        <v>336650.0</v>
      </c>
      <c r="DC92" s="11">
        <v>222630.0</v>
      </c>
      <c r="DD92" s="11">
        <v>202140.0</v>
      </c>
      <c r="DE92" s="11">
        <v>190600.0</v>
      </c>
      <c r="DF92" s="11">
        <v>977520.0</v>
      </c>
      <c r="DG92" s="11">
        <v>813490.0</v>
      </c>
      <c r="DH92" s="11">
        <v>668950.0</v>
      </c>
      <c r="DI92" s="11">
        <v>496130.0</v>
      </c>
      <c r="DJ92" s="11">
        <v>435540.0</v>
      </c>
      <c r="DK92" s="11">
        <v>25610.0</v>
      </c>
      <c r="DL92" s="11">
        <v>20400.0</v>
      </c>
      <c r="DM92" s="11">
        <v>20330.0</v>
      </c>
      <c r="DN92" s="11">
        <v>19920.0</v>
      </c>
      <c r="DO92" s="11">
        <v>13520.0</v>
      </c>
      <c r="DP92" s="11">
        <v>295280.0</v>
      </c>
      <c r="DQ92" s="11">
        <v>219160.0</v>
      </c>
      <c r="DR92" s="11">
        <v>173240.0</v>
      </c>
      <c r="DS92" s="11">
        <v>140590.0</v>
      </c>
      <c r="DT92" s="11">
        <v>100490.0</v>
      </c>
      <c r="DU92" s="13"/>
      <c r="DV92" s="12"/>
      <c r="DW92" s="12"/>
      <c r="DX92" s="13"/>
      <c r="DY92" s="13"/>
      <c r="DZ92" s="11">
        <v>428860.0</v>
      </c>
      <c r="EA92" s="11">
        <v>376880.0</v>
      </c>
      <c r="EB92" s="11">
        <v>336620.0</v>
      </c>
      <c r="EC92" s="11">
        <v>294310.0</v>
      </c>
      <c r="ED92" s="11">
        <v>287410.0</v>
      </c>
      <c r="EE92" s="14">
        <v>0.027</v>
      </c>
      <c r="EF92" s="14">
        <v>0.074</v>
      </c>
      <c r="EG92" s="14">
        <v>1.143</v>
      </c>
      <c r="EH92" s="14">
        <v>0.304</v>
      </c>
    </row>
    <row r="93">
      <c r="A93" s="9">
        <f t="shared" si="2"/>
        <v>91</v>
      </c>
      <c r="B93" s="22" t="s">
        <v>227</v>
      </c>
      <c r="C93" s="11">
        <v>844190.0</v>
      </c>
      <c r="D93" s="11">
        <v>618540.0</v>
      </c>
      <c r="E93" s="11">
        <v>431530.0</v>
      </c>
      <c r="F93" s="11">
        <v>228830.0</v>
      </c>
      <c r="G93" s="11">
        <v>183050.0</v>
      </c>
      <c r="H93" s="11">
        <v>129190.0</v>
      </c>
      <c r="I93" s="11">
        <v>81600.0</v>
      </c>
      <c r="J93" s="11">
        <v>334250.0</v>
      </c>
      <c r="K93" s="11">
        <v>173710.0</v>
      </c>
      <c r="L93" s="11">
        <v>136900.0</v>
      </c>
      <c r="M93" s="11">
        <v>94280.0</v>
      </c>
      <c r="N93" s="11">
        <v>52970.0</v>
      </c>
      <c r="O93" s="11">
        <v>358630.0</v>
      </c>
      <c r="P93" s="11">
        <v>281750.0</v>
      </c>
      <c r="Q93" s="11">
        <v>182940.0</v>
      </c>
      <c r="R93" s="11">
        <v>159460.0</v>
      </c>
      <c r="S93" s="11">
        <v>151010.0</v>
      </c>
      <c r="T93" s="11">
        <v>33670.0</v>
      </c>
      <c r="U93" s="11">
        <v>55140.0</v>
      </c>
      <c r="V93" s="11">
        <v>46950.0</v>
      </c>
      <c r="W93" s="11">
        <v>48850.0</v>
      </c>
      <c r="X93" s="11">
        <v>50160.0</v>
      </c>
      <c r="Y93" s="12"/>
      <c r="Z93" s="12"/>
      <c r="AA93" s="12"/>
      <c r="AB93" s="11">
        <v>-57060.0</v>
      </c>
      <c r="AC93" s="11">
        <v>208.0</v>
      </c>
      <c r="AD93" s="11">
        <v>-22570.0</v>
      </c>
      <c r="AE93" s="11">
        <v>-116150.0</v>
      </c>
      <c r="AF93" s="11">
        <v>-55410.0</v>
      </c>
      <c r="AG93" s="11">
        <v>-75850.0</v>
      </c>
      <c r="AH93" s="11">
        <v>-118070.0</v>
      </c>
      <c r="AI93" s="11">
        <v>-23520.0</v>
      </c>
      <c r="AJ93" s="11">
        <v>-107370.0</v>
      </c>
      <c r="AK93" s="11">
        <v>-45330.0</v>
      </c>
      <c r="AL93" s="11">
        <v>-64400.0</v>
      </c>
      <c r="AM93" s="11">
        <v>-97230.0</v>
      </c>
      <c r="AN93" s="11">
        <v>-22740.0</v>
      </c>
      <c r="AO93" s="11">
        <v>-116250.0</v>
      </c>
      <c r="AP93" s="11">
        <v>-68590.0</v>
      </c>
      <c r="AQ93" s="11">
        <v>-85750.0</v>
      </c>
      <c r="AR93" s="11">
        <v>-148780.0</v>
      </c>
      <c r="AS93" s="11">
        <v>-9400.0</v>
      </c>
      <c r="AT93" s="11">
        <v>-94540.0</v>
      </c>
      <c r="AU93" s="11">
        <v>-33190.0</v>
      </c>
      <c r="AV93" s="11">
        <v>-71320.0</v>
      </c>
      <c r="AW93" s="11">
        <v>-83860.0</v>
      </c>
      <c r="AX93" s="11">
        <v>-2490.0</v>
      </c>
      <c r="AY93" s="11">
        <v>-58.0</v>
      </c>
      <c r="AZ93" s="11">
        <v>-12.0</v>
      </c>
      <c r="BA93" s="11">
        <v>-21.0</v>
      </c>
      <c r="BB93" s="11">
        <v>-28.0</v>
      </c>
      <c r="BC93" s="12"/>
      <c r="BD93" s="12"/>
      <c r="BE93" s="12"/>
      <c r="BF93" s="12"/>
      <c r="BG93" s="12"/>
      <c r="BH93" s="11">
        <v>648500.0</v>
      </c>
      <c r="BI93" s="11">
        <v>250730.0</v>
      </c>
      <c r="BJ93" s="11">
        <v>74240.0</v>
      </c>
      <c r="BK93" s="11">
        <v>99890.0</v>
      </c>
      <c r="BL93" s="11">
        <v>107560.0</v>
      </c>
      <c r="BM93" s="11">
        <v>116430.0</v>
      </c>
      <c r="BN93" s="11">
        <v>66520.0</v>
      </c>
      <c r="BO93" s="11">
        <v>45320.0</v>
      </c>
      <c r="BP93" s="11">
        <v>20200.0</v>
      </c>
      <c r="BQ93" s="11">
        <v>13830.0</v>
      </c>
      <c r="BR93" s="11">
        <v>76770.0</v>
      </c>
      <c r="BS93" s="11">
        <v>57800.0</v>
      </c>
      <c r="BT93" s="11">
        <v>30260.0</v>
      </c>
      <c r="BU93" s="11">
        <v>20720.0</v>
      </c>
      <c r="BV93" s="11">
        <v>18980.0</v>
      </c>
      <c r="BW93" s="11">
        <v>855010.0</v>
      </c>
      <c r="BX93" s="11">
        <v>378000.0</v>
      </c>
      <c r="BY93" s="11">
        <v>153270.0</v>
      </c>
      <c r="BZ93" s="11">
        <v>147870.0</v>
      </c>
      <c r="CA93" s="11">
        <v>143520.0</v>
      </c>
      <c r="CB93" s="11">
        <v>10870.0</v>
      </c>
      <c r="CC93" s="11">
        <v>63.0</v>
      </c>
      <c r="CD93" s="11">
        <v>28.0</v>
      </c>
      <c r="CE93" s="11">
        <v>79.0</v>
      </c>
      <c r="CF93" s="11">
        <v>243.0</v>
      </c>
      <c r="CG93" s="12"/>
      <c r="CH93" s="12"/>
      <c r="CI93" s="12"/>
      <c r="CJ93" s="12"/>
      <c r="CK93" s="12"/>
      <c r="CL93" s="11">
        <v>882210.0</v>
      </c>
      <c r="CM93" s="11">
        <v>385710.0</v>
      </c>
      <c r="CN93" s="11">
        <v>163340.0</v>
      </c>
      <c r="CO93" s="11">
        <v>169820.0</v>
      </c>
      <c r="CP93" s="11">
        <v>173230.0</v>
      </c>
      <c r="CQ93" s="11">
        <v>49950.0</v>
      </c>
      <c r="CR93" s="11">
        <v>37630.0</v>
      </c>
      <c r="CS93" s="11">
        <v>25160.0</v>
      </c>
      <c r="CT93" s="11">
        <v>6130.0</v>
      </c>
      <c r="CU93" s="11">
        <v>10830.0</v>
      </c>
      <c r="CV93" s="11">
        <v>242250.0</v>
      </c>
      <c r="CW93" s="12"/>
      <c r="CX93" s="12"/>
      <c r="CY93" s="12"/>
      <c r="CZ93" s="12"/>
      <c r="DA93" s="12"/>
      <c r="DB93" s="11">
        <v>242250.0</v>
      </c>
      <c r="DC93" s="11">
        <v>157260.0</v>
      </c>
      <c r="DD93" s="11">
        <v>108530.0</v>
      </c>
      <c r="DE93" s="11">
        <v>77050.0</v>
      </c>
      <c r="DF93" s="11">
        <v>273950.0</v>
      </c>
      <c r="DG93" s="11">
        <v>233380.0</v>
      </c>
      <c r="DH93" s="11">
        <v>228440.0</v>
      </c>
      <c r="DI93" s="11">
        <v>178980.0</v>
      </c>
      <c r="DJ93" s="11">
        <v>300780.0</v>
      </c>
      <c r="DK93" s="12"/>
      <c r="DL93" s="12"/>
      <c r="DM93" s="12"/>
      <c r="DN93" s="12"/>
      <c r="DO93" s="12"/>
      <c r="DP93" s="11">
        <v>9440.0</v>
      </c>
      <c r="DQ93" s="11">
        <v>46110.0</v>
      </c>
      <c r="DR93" s="11">
        <v>99830.0</v>
      </c>
      <c r="DS93" s="11">
        <v>86050.0</v>
      </c>
      <c r="DT93" s="11">
        <v>236420.0</v>
      </c>
      <c r="DU93" s="11">
        <v>21850.0</v>
      </c>
      <c r="DV93" s="11">
        <v>21850.0</v>
      </c>
      <c r="DW93" s="11">
        <v>24360.0</v>
      </c>
      <c r="DX93" s="11">
        <v>24620.0</v>
      </c>
      <c r="DY93" s="11">
        <v>24360.0</v>
      </c>
      <c r="DZ93" s="11">
        <v>608260.0</v>
      </c>
      <c r="EA93" s="11">
        <v>152330.0</v>
      </c>
      <c r="EB93" s="11">
        <v>-65100.0</v>
      </c>
      <c r="EC93" s="11">
        <v>-9150.0</v>
      </c>
      <c r="ED93" s="11">
        <v>-127550.0</v>
      </c>
      <c r="EE93" s="14">
        <v>0.094</v>
      </c>
      <c r="EF93" s="14">
        <v>0.945</v>
      </c>
      <c r="EG93" s="14">
        <v>1.143</v>
      </c>
      <c r="EH93" s="14">
        <v>1.009</v>
      </c>
    </row>
    <row r="94">
      <c r="A94" s="9">
        <f t="shared" si="2"/>
        <v>92</v>
      </c>
      <c r="B94" s="25" t="s">
        <v>228</v>
      </c>
      <c r="C94" s="15">
        <v>337040.0</v>
      </c>
      <c r="D94" s="15">
        <v>220600.0</v>
      </c>
      <c r="E94" s="15">
        <v>152560.0</v>
      </c>
      <c r="F94" s="15">
        <v>63600.0</v>
      </c>
      <c r="G94" s="15">
        <v>127670.0</v>
      </c>
      <c r="H94" s="15">
        <v>67190.0</v>
      </c>
      <c r="I94" s="15">
        <v>34150.0</v>
      </c>
      <c r="J94" s="15">
        <v>76370.0</v>
      </c>
      <c r="K94" s="15">
        <v>26910.0</v>
      </c>
      <c r="L94" s="15">
        <v>65360.0</v>
      </c>
      <c r="M94" s="15">
        <v>10510.0</v>
      </c>
      <c r="N94" s="15">
        <v>-3220.0</v>
      </c>
      <c r="O94" s="15">
        <v>198050.0</v>
      </c>
      <c r="P94" s="15">
        <v>159620.0</v>
      </c>
      <c r="Q94" s="15">
        <v>121420.0</v>
      </c>
      <c r="R94" s="15">
        <v>99130.0</v>
      </c>
      <c r="S94" s="15">
        <v>100900.0</v>
      </c>
      <c r="T94" s="15">
        <v>71460.0</v>
      </c>
      <c r="U94" s="15">
        <v>68720.0</v>
      </c>
      <c r="V94" s="15">
        <v>57560.0</v>
      </c>
      <c r="W94" s="15">
        <v>51410.0</v>
      </c>
      <c r="X94" s="15">
        <v>44640.0</v>
      </c>
      <c r="Y94" s="15">
        <v>-182690.0</v>
      </c>
      <c r="Z94" s="15">
        <v>-182810.0</v>
      </c>
      <c r="AA94" s="15">
        <v>-60750.0</v>
      </c>
      <c r="AB94" s="15">
        <v>-58720.0</v>
      </c>
      <c r="AC94" s="15">
        <v>-24550.0</v>
      </c>
      <c r="AD94" s="15">
        <v>-242140.0</v>
      </c>
      <c r="AE94" s="15">
        <v>-230240.0</v>
      </c>
      <c r="AF94" s="15">
        <v>-149110.0</v>
      </c>
      <c r="AG94" s="15">
        <v>-96780.0</v>
      </c>
      <c r="AH94" s="15">
        <v>-213400.0</v>
      </c>
      <c r="AI94" s="15">
        <v>-104500.0</v>
      </c>
      <c r="AJ94" s="15">
        <v>-127800.0</v>
      </c>
      <c r="AK94" s="15">
        <v>-44690.0</v>
      </c>
      <c r="AL94" s="15">
        <v>-77250.0</v>
      </c>
      <c r="AM94" s="15">
        <v>-95920.0</v>
      </c>
      <c r="AN94" s="15">
        <v>-235390.0</v>
      </c>
      <c r="AO94" s="15">
        <v>-230240.0</v>
      </c>
      <c r="AP94" s="15">
        <v>-155980.0</v>
      </c>
      <c r="AQ94" s="15">
        <v>-97330.0</v>
      </c>
      <c r="AR94" s="15">
        <v>-221780.0</v>
      </c>
      <c r="AS94" s="15">
        <v>-139810.0</v>
      </c>
      <c r="AT94" s="15">
        <v>-109370.0</v>
      </c>
      <c r="AU94" s="15">
        <v>-101180.0</v>
      </c>
      <c r="AV94" s="15">
        <v>-82370.0</v>
      </c>
      <c r="AW94" s="15">
        <v>-85130.0</v>
      </c>
      <c r="AX94" s="15">
        <v>-13080.0</v>
      </c>
      <c r="AY94" s="15">
        <v>-12470.0</v>
      </c>
      <c r="AZ94" s="15">
        <v>-4410.0</v>
      </c>
      <c r="BA94" s="15">
        <v>-922.0</v>
      </c>
      <c r="BB94" s="15">
        <v>-3370.0</v>
      </c>
      <c r="BC94" s="13"/>
      <c r="BD94" s="13"/>
      <c r="BE94" s="13"/>
      <c r="BF94" s="13"/>
      <c r="BG94" s="13"/>
      <c r="BH94" s="15">
        <v>739.0</v>
      </c>
      <c r="BI94" s="15">
        <v>46090.0</v>
      </c>
      <c r="BJ94" s="15">
        <v>60050.0</v>
      </c>
      <c r="BK94" s="15">
        <v>32850.0</v>
      </c>
      <c r="BL94" s="15">
        <v>13730.0</v>
      </c>
      <c r="BM94" s="15">
        <v>28750.0</v>
      </c>
      <c r="BN94" s="15">
        <v>25370.0</v>
      </c>
      <c r="BO94" s="15">
        <v>33620.0</v>
      </c>
      <c r="BP94" s="15">
        <v>13980.0</v>
      </c>
      <c r="BQ94" s="15">
        <v>5180.0</v>
      </c>
      <c r="BR94" s="15">
        <v>27770.0</v>
      </c>
      <c r="BS94" s="15">
        <v>9690.0</v>
      </c>
      <c r="BT94" s="15">
        <v>5410.0</v>
      </c>
      <c r="BU94" s="15">
        <v>6210.0</v>
      </c>
      <c r="BV94" s="15">
        <v>10890.0</v>
      </c>
      <c r="BW94" s="15">
        <v>69930.0</v>
      </c>
      <c r="BX94" s="15">
        <v>91730.0</v>
      </c>
      <c r="BY94" s="15">
        <v>104000.0</v>
      </c>
      <c r="BZ94" s="15">
        <v>59120.0</v>
      </c>
      <c r="CA94" s="15">
        <v>34380.0</v>
      </c>
      <c r="CB94" s="15">
        <v>55000.0</v>
      </c>
      <c r="CC94" s="15">
        <v>19760.0</v>
      </c>
      <c r="CD94" s="15">
        <v>13890.0</v>
      </c>
      <c r="CE94" s="15">
        <v>53740.0</v>
      </c>
      <c r="CF94" s="15">
        <v>59800.0</v>
      </c>
      <c r="CG94" s="15"/>
      <c r="CH94" s="15"/>
      <c r="CI94" s="15"/>
      <c r="CJ94" s="15">
        <v>560.0</v>
      </c>
      <c r="CK94" s="15">
        <v>560.0</v>
      </c>
      <c r="CL94" s="15">
        <v>160970.0</v>
      </c>
      <c r="CM94" s="15">
        <v>127930.0</v>
      </c>
      <c r="CN94" s="15">
        <v>140800.0</v>
      </c>
      <c r="CO94" s="15">
        <v>129870.0</v>
      </c>
      <c r="CP94" s="15">
        <v>106120.0</v>
      </c>
      <c r="CQ94" s="15">
        <v>51230.0</v>
      </c>
      <c r="CR94" s="15">
        <v>26840.0</v>
      </c>
      <c r="CS94" s="15">
        <v>15520.0</v>
      </c>
      <c r="CT94" s="15">
        <v>15320.0</v>
      </c>
      <c r="CU94" s="15">
        <v>7940.0</v>
      </c>
      <c r="CV94" s="15">
        <v>161140.0</v>
      </c>
      <c r="CW94" s="15">
        <v>4630.0</v>
      </c>
      <c r="CX94" s="15"/>
      <c r="CY94" s="15"/>
      <c r="CZ94" s="15"/>
      <c r="DA94" s="15"/>
      <c r="DB94" s="15">
        <v>161140.0</v>
      </c>
      <c r="DC94" s="15">
        <v>211740.0</v>
      </c>
      <c r="DD94" s="15">
        <v>105970.0</v>
      </c>
      <c r="DE94" s="15">
        <v>109870.0</v>
      </c>
      <c r="DF94" s="15">
        <v>411130.0</v>
      </c>
      <c r="DG94" s="15">
        <v>339740.0</v>
      </c>
      <c r="DH94" s="15">
        <v>352880.0</v>
      </c>
      <c r="DI94" s="15">
        <v>308380.0</v>
      </c>
      <c r="DJ94" s="15">
        <v>264570.0</v>
      </c>
      <c r="DK94" s="15">
        <v>5690.0</v>
      </c>
      <c r="DL94" s="15">
        <v>960.0</v>
      </c>
      <c r="DM94" s="15">
        <v>959.0</v>
      </c>
      <c r="DN94" s="15">
        <v>991.0</v>
      </c>
      <c r="DO94" s="15">
        <v>1030.0</v>
      </c>
      <c r="DP94" s="15">
        <v>442030.0</v>
      </c>
      <c r="DQ94" s="15">
        <v>1.344E7</v>
      </c>
      <c r="DR94" s="15">
        <v>1.26E7</v>
      </c>
      <c r="DS94" s="15">
        <v>1.059E7</v>
      </c>
      <c r="DT94" s="15">
        <v>1.293E7</v>
      </c>
      <c r="DU94" s="15">
        <v>5000.0</v>
      </c>
      <c r="DV94" s="15">
        <v>5000.0</v>
      </c>
      <c r="DW94" s="15">
        <v>5000.0</v>
      </c>
      <c r="DX94" s="15">
        <v>5000.0</v>
      </c>
      <c r="DY94" s="13"/>
      <c r="DZ94" s="15">
        <v>-250780.0</v>
      </c>
      <c r="EA94" s="15">
        <v>-212760.0</v>
      </c>
      <c r="EB94" s="15">
        <v>-213030.0</v>
      </c>
      <c r="EC94" s="15">
        <v>-179450.0</v>
      </c>
      <c r="ED94" s="15">
        <v>-158070.0</v>
      </c>
      <c r="EE94" s="23">
        <v>0.01</v>
      </c>
      <c r="EF94" s="23">
        <v>0.0</v>
      </c>
      <c r="EG94" s="23">
        <v>-1.947</v>
      </c>
      <c r="EH94" s="23">
        <v>-1.433</v>
      </c>
    </row>
    <row r="95">
      <c r="A95" s="9">
        <f t="shared" si="2"/>
        <v>93</v>
      </c>
      <c r="B95" s="22" t="s">
        <v>229</v>
      </c>
      <c r="C95" s="12"/>
      <c r="D95" s="12"/>
      <c r="E95" s="12"/>
      <c r="F95" s="12"/>
      <c r="G95" s="12"/>
      <c r="H95" s="12"/>
      <c r="I95" s="12"/>
      <c r="J95" s="11">
        <v>-706.0</v>
      </c>
      <c r="K95" s="11">
        <v>-629.0</v>
      </c>
      <c r="L95" s="12"/>
      <c r="M95" s="12"/>
      <c r="N95" s="12"/>
      <c r="O95" s="11">
        <v>27580.0</v>
      </c>
      <c r="P95" s="11">
        <v>29240.0</v>
      </c>
      <c r="Q95" s="12"/>
      <c r="R95" s="12"/>
      <c r="S95" s="12"/>
      <c r="T95" s="11">
        <v>23610.0</v>
      </c>
      <c r="U95" s="11">
        <v>27300.0</v>
      </c>
      <c r="V95" s="12"/>
      <c r="W95" s="12"/>
      <c r="X95" s="12"/>
      <c r="Y95" s="12"/>
      <c r="Z95" s="12"/>
      <c r="AA95" s="12"/>
      <c r="AB95" s="12"/>
      <c r="AC95" s="12"/>
      <c r="AD95" s="11">
        <v>-28040.0</v>
      </c>
      <c r="AE95" s="11">
        <v>-29870.0</v>
      </c>
      <c r="AF95" s="12"/>
      <c r="AG95" s="12"/>
      <c r="AH95" s="12"/>
      <c r="AI95" s="11">
        <v>-27580.0</v>
      </c>
      <c r="AJ95" s="11">
        <v>-29240.0</v>
      </c>
      <c r="AK95" s="12"/>
      <c r="AL95" s="12"/>
      <c r="AM95" s="12"/>
      <c r="AN95" s="11">
        <v>-28040.0</v>
      </c>
      <c r="AO95" s="11">
        <v>-29870.0</v>
      </c>
      <c r="AP95" s="12"/>
      <c r="AQ95" s="12"/>
      <c r="AR95" s="12"/>
      <c r="AS95" s="11">
        <v>-26970.0</v>
      </c>
      <c r="AT95" s="11">
        <v>-27450.0</v>
      </c>
      <c r="AU95" s="12"/>
      <c r="AV95" s="12"/>
      <c r="AW95" s="12"/>
      <c r="AX95" s="11">
        <v>-2150.0</v>
      </c>
      <c r="AY95" s="11">
        <v>-545.0</v>
      </c>
      <c r="AZ95" s="12"/>
      <c r="BA95" s="12"/>
      <c r="BB95" s="12"/>
      <c r="BC95" s="12"/>
      <c r="BD95" s="12"/>
      <c r="BE95" s="12"/>
      <c r="BF95" s="12"/>
      <c r="BG95" s="12"/>
      <c r="BH95" s="11">
        <v>32400.0</v>
      </c>
      <c r="BI95" s="11">
        <v>20290.0</v>
      </c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1">
        <v>33050.0</v>
      </c>
      <c r="BX95" s="11">
        <v>20720.0</v>
      </c>
      <c r="BY95" s="12"/>
      <c r="BZ95" s="12"/>
      <c r="CA95" s="12"/>
      <c r="CB95" s="11">
        <v>4090.0</v>
      </c>
      <c r="CC95" s="11">
        <v>2360.0</v>
      </c>
      <c r="CD95" s="12"/>
      <c r="CE95" s="12"/>
      <c r="CF95" s="12"/>
      <c r="CG95" s="12"/>
      <c r="CH95" s="12"/>
      <c r="CI95" s="12"/>
      <c r="CJ95" s="12"/>
      <c r="CK95" s="12"/>
      <c r="CL95" s="11">
        <v>38530.0</v>
      </c>
      <c r="CM95" s="11">
        <v>23240.0</v>
      </c>
      <c r="CN95" s="12"/>
      <c r="CO95" s="12"/>
      <c r="CP95" s="12"/>
      <c r="CQ95" s="11">
        <v>2670.0</v>
      </c>
      <c r="CR95" s="11">
        <v>2830.0</v>
      </c>
      <c r="CS95" s="12"/>
      <c r="CT95" s="12"/>
      <c r="CU95" s="12"/>
      <c r="CV95" s="11">
        <v>4040.0</v>
      </c>
      <c r="CW95" s="12"/>
      <c r="CX95" s="12"/>
      <c r="CY95" s="12"/>
      <c r="CZ95" s="12"/>
      <c r="DA95" s="12"/>
      <c r="DB95" s="11">
        <v>4040.0</v>
      </c>
      <c r="DC95" s="11">
        <v>3140.0</v>
      </c>
      <c r="DD95" s="12"/>
      <c r="DE95" s="12"/>
      <c r="DF95" s="11">
        <v>4620.0</v>
      </c>
      <c r="DG95" s="11">
        <v>3640.0</v>
      </c>
      <c r="DH95" s="12"/>
      <c r="DI95" s="12"/>
      <c r="DJ95" s="12"/>
      <c r="DK95" s="11">
        <v>357.0</v>
      </c>
      <c r="DL95" s="12"/>
      <c r="DM95" s="12"/>
      <c r="DN95" s="12"/>
      <c r="DO95" s="12"/>
      <c r="DP95" s="12"/>
      <c r="DQ95" s="12"/>
      <c r="DR95" s="12"/>
      <c r="DS95" s="12"/>
      <c r="DT95" s="12"/>
      <c r="DU95" s="11">
        <v>105620.0</v>
      </c>
      <c r="DV95" s="11">
        <v>63750.0</v>
      </c>
      <c r="DW95" s="12"/>
      <c r="DX95" s="13"/>
      <c r="DY95" s="12"/>
      <c r="DZ95" s="11">
        <v>33910.0</v>
      </c>
      <c r="EA95" s="11">
        <v>19610.0</v>
      </c>
      <c r="EB95" s="12"/>
      <c r="EC95" s="12"/>
      <c r="ED95" s="12"/>
      <c r="EE95" s="23"/>
      <c r="EF95" s="23"/>
      <c r="EG95" s="14">
        <v>-1.921</v>
      </c>
      <c r="EH95" s="23"/>
    </row>
    <row r="96">
      <c r="A96" s="9">
        <f t="shared" si="2"/>
        <v>94</v>
      </c>
      <c r="B96" s="25" t="s">
        <v>230</v>
      </c>
      <c r="C96" s="15">
        <v>230300.0</v>
      </c>
      <c r="D96" s="15">
        <v>210400.0</v>
      </c>
      <c r="E96" s="15">
        <v>202000.0</v>
      </c>
      <c r="F96" s="15">
        <v>171530.0</v>
      </c>
      <c r="G96" s="15">
        <v>150160.0</v>
      </c>
      <c r="H96" s="15">
        <v>143160.0</v>
      </c>
      <c r="I96" s="15">
        <v>146650.0</v>
      </c>
      <c r="J96" s="15">
        <v>12700.0</v>
      </c>
      <c r="K96" s="15">
        <v>5410.0</v>
      </c>
      <c r="L96" s="15">
        <v>3380.0</v>
      </c>
      <c r="M96" s="15">
        <v>11600.0</v>
      </c>
      <c r="N96" s="15">
        <v>4200.0</v>
      </c>
      <c r="O96" s="15">
        <v>17630.0</v>
      </c>
      <c r="P96" s="15">
        <v>16330.0</v>
      </c>
      <c r="Q96" s="15">
        <v>15560.0</v>
      </c>
      <c r="R96" s="15">
        <v>12380.0</v>
      </c>
      <c r="S96" s="15">
        <v>12810.0</v>
      </c>
      <c r="T96" s="15">
        <v>205.0</v>
      </c>
      <c r="U96" s="15">
        <v>246.0</v>
      </c>
      <c r="V96" s="15">
        <v>2370.0</v>
      </c>
      <c r="W96" s="15">
        <v>369.0</v>
      </c>
      <c r="X96" s="15">
        <v>447.0</v>
      </c>
      <c r="Y96" s="15">
        <v>-11130.0</v>
      </c>
      <c r="Z96" s="15">
        <v>-11790.0</v>
      </c>
      <c r="AA96" s="12"/>
      <c r="AB96" s="15">
        <v>1250.0</v>
      </c>
      <c r="AC96" s="15">
        <v>-10040.0</v>
      </c>
      <c r="AD96" s="15">
        <v>-38350.0</v>
      </c>
      <c r="AE96" s="15">
        <v>-36280.0</v>
      </c>
      <c r="AF96" s="15">
        <v>-31760.0</v>
      </c>
      <c r="AG96" s="15">
        <v>-15630.0</v>
      </c>
      <c r="AH96" s="15">
        <v>-27130.0</v>
      </c>
      <c r="AI96" s="15">
        <v>138.0</v>
      </c>
      <c r="AJ96" s="15">
        <v>-6210.0</v>
      </c>
      <c r="AK96" s="15">
        <v>-7170.0</v>
      </c>
      <c r="AL96" s="15">
        <v>4020.0</v>
      </c>
      <c r="AM96" s="15">
        <v>-3750.0</v>
      </c>
      <c r="AN96" s="15">
        <v>-35720.0</v>
      </c>
      <c r="AO96" s="15">
        <v>-33020.0</v>
      </c>
      <c r="AP96" s="15">
        <v>-30300.0</v>
      </c>
      <c r="AQ96" s="15">
        <v>-15640.0</v>
      </c>
      <c r="AR96" s="15">
        <v>-27140.0</v>
      </c>
      <c r="AS96" s="15">
        <v>-2030.0</v>
      </c>
      <c r="AT96" s="15">
        <v>-5510.0</v>
      </c>
      <c r="AU96" s="15">
        <v>-8690.0</v>
      </c>
      <c r="AV96" s="15">
        <v>371.0</v>
      </c>
      <c r="AW96" s="15">
        <v>-786.0</v>
      </c>
      <c r="AX96" s="15">
        <v>-8580.0</v>
      </c>
      <c r="AY96" s="15">
        <v>-4070.0</v>
      </c>
      <c r="AZ96" s="15">
        <v>-1120.0</v>
      </c>
      <c r="BA96" s="15">
        <v>-629.0</v>
      </c>
      <c r="BB96" s="15">
        <v>-71.0</v>
      </c>
      <c r="BC96" s="15"/>
      <c r="BD96" s="15"/>
      <c r="BE96" s="15"/>
      <c r="BF96" s="15"/>
      <c r="BG96" s="15"/>
      <c r="BH96" s="15">
        <v>656.0</v>
      </c>
      <c r="BI96" s="15">
        <v>1190.0</v>
      </c>
      <c r="BJ96" s="15">
        <v>428.0</v>
      </c>
      <c r="BK96" s="15">
        <v>1490.0</v>
      </c>
      <c r="BL96" s="15">
        <v>283.0</v>
      </c>
      <c r="BM96" s="15">
        <v>2040.0</v>
      </c>
      <c r="BN96" s="15">
        <v>1100.0</v>
      </c>
      <c r="BO96" s="15">
        <v>2220.0</v>
      </c>
      <c r="BP96" s="15">
        <v>1560.0</v>
      </c>
      <c r="BQ96" s="15">
        <v>1170.0</v>
      </c>
      <c r="BR96" s="15">
        <v>6520.0</v>
      </c>
      <c r="BS96" s="15">
        <v>6130.0</v>
      </c>
      <c r="BT96" s="15">
        <v>5740.0</v>
      </c>
      <c r="BU96" s="15">
        <v>3240.0</v>
      </c>
      <c r="BV96" s="15">
        <v>4800.0</v>
      </c>
      <c r="BW96" s="15">
        <v>12580.0</v>
      </c>
      <c r="BX96" s="15">
        <v>10310.0</v>
      </c>
      <c r="BY96" s="15">
        <v>11460.0</v>
      </c>
      <c r="BZ96" s="15">
        <v>7050.0</v>
      </c>
      <c r="CA96" s="15">
        <v>8000.0</v>
      </c>
      <c r="CB96" s="15">
        <v>84780.0</v>
      </c>
      <c r="CC96" s="15">
        <v>78490.0</v>
      </c>
      <c r="CD96" s="15">
        <v>78840.0</v>
      </c>
      <c r="CE96" s="15">
        <v>66370.0</v>
      </c>
      <c r="CF96" s="15">
        <v>70720.0</v>
      </c>
      <c r="CG96" s="15"/>
      <c r="CH96" s="15"/>
      <c r="CI96" s="15"/>
      <c r="CJ96" s="15"/>
      <c r="CK96" s="15"/>
      <c r="CL96" s="15">
        <v>99900.0</v>
      </c>
      <c r="CM96" s="15">
        <v>91820.0</v>
      </c>
      <c r="CN96" s="15">
        <v>94330.0</v>
      </c>
      <c r="CO96" s="15">
        <v>77810.0</v>
      </c>
      <c r="CP96" s="15">
        <v>83140.0</v>
      </c>
      <c r="CQ96" s="15">
        <v>15970.0</v>
      </c>
      <c r="CR96" s="15">
        <v>13500.0</v>
      </c>
      <c r="CS96" s="15">
        <v>10460.0</v>
      </c>
      <c r="CT96" s="15">
        <v>7840.0</v>
      </c>
      <c r="CU96" s="15">
        <v>10180.0</v>
      </c>
      <c r="CV96" s="15">
        <v>57820.0</v>
      </c>
      <c r="CW96" s="15">
        <v>20100.0</v>
      </c>
      <c r="CX96" s="15">
        <v>17950.0</v>
      </c>
      <c r="CY96" s="15">
        <v>16530.0</v>
      </c>
      <c r="CZ96" s="15">
        <v>12230.0</v>
      </c>
      <c r="DA96" s="15">
        <v>2740.0</v>
      </c>
      <c r="DB96" s="15">
        <v>57820.0</v>
      </c>
      <c r="DC96" s="15">
        <v>42580.0</v>
      </c>
      <c r="DD96" s="15">
        <v>36020.0</v>
      </c>
      <c r="DE96" s="15">
        <v>27220.0</v>
      </c>
      <c r="DF96" s="15">
        <v>254270.0</v>
      </c>
      <c r="DG96" s="15">
        <v>207400.0</v>
      </c>
      <c r="DH96" s="15">
        <v>174190.0</v>
      </c>
      <c r="DI96" s="15">
        <v>127620.0</v>
      </c>
      <c r="DJ96" s="15">
        <v>118440.0</v>
      </c>
      <c r="DK96" s="15"/>
      <c r="DL96" s="15"/>
      <c r="DM96" s="15"/>
      <c r="DN96" s="15"/>
      <c r="DO96" s="15"/>
      <c r="DP96" s="15">
        <v>193760.0</v>
      </c>
      <c r="DQ96" s="15">
        <v>164820.0</v>
      </c>
      <c r="DR96" s="15">
        <v>138160.0</v>
      </c>
      <c r="DS96" s="15">
        <v>100310.0</v>
      </c>
      <c r="DT96" s="15">
        <v>88950.0</v>
      </c>
      <c r="DU96" s="13">
        <v>1.0</v>
      </c>
      <c r="DV96" s="12">
        <v>1.0</v>
      </c>
      <c r="DW96" s="12">
        <v>1.0</v>
      </c>
      <c r="DX96" s="15">
        <v>1.0</v>
      </c>
      <c r="DY96" s="13">
        <v>1.0</v>
      </c>
      <c r="DZ96" s="15">
        <v>-154370.0</v>
      </c>
      <c r="EA96" s="15">
        <v>-110840.0</v>
      </c>
      <c r="EB96" s="15">
        <v>-78390.0</v>
      </c>
      <c r="EC96" s="15">
        <v>-49810.0</v>
      </c>
      <c r="ED96" s="15">
        <v>-35290.0</v>
      </c>
      <c r="EE96" s="23">
        <v>0.0</v>
      </c>
      <c r="EF96" s="23">
        <v>0.0</v>
      </c>
      <c r="EG96" s="23">
        <v>-0.706</v>
      </c>
      <c r="EH96" s="23">
        <v>-0.302</v>
      </c>
    </row>
    <row r="97">
      <c r="A97" s="9">
        <f t="shared" si="2"/>
        <v>95</v>
      </c>
      <c r="B97" s="10" t="s">
        <v>231</v>
      </c>
      <c r="C97" s="11">
        <v>1620000.0</v>
      </c>
      <c r="D97" s="11">
        <v>1500000.0</v>
      </c>
      <c r="E97" s="11">
        <v>1650000.0</v>
      </c>
      <c r="F97" s="11">
        <v>1650000.0</v>
      </c>
      <c r="G97" s="11">
        <v>1250000.0</v>
      </c>
      <c r="H97" s="11">
        <v>1030000.0</v>
      </c>
      <c r="I97" s="11">
        <v>947050.0</v>
      </c>
      <c r="J97" s="11">
        <v>280190.0</v>
      </c>
      <c r="K97" s="11">
        <v>291070.0</v>
      </c>
      <c r="L97" s="11">
        <v>250900.0</v>
      </c>
      <c r="M97" s="11">
        <v>221240.0</v>
      </c>
      <c r="N97" s="11">
        <v>196290.0</v>
      </c>
      <c r="O97" s="11">
        <v>147940.0</v>
      </c>
      <c r="P97" s="11">
        <v>147390.0</v>
      </c>
      <c r="Q97" s="11">
        <v>130300.0</v>
      </c>
      <c r="R97" s="11">
        <v>113000.0</v>
      </c>
      <c r="S97" s="11">
        <v>103130.0</v>
      </c>
      <c r="T97" s="11"/>
      <c r="U97" s="11"/>
      <c r="V97" s="11"/>
      <c r="W97" s="11"/>
      <c r="X97" s="11"/>
      <c r="Y97" s="11">
        <v>132260.0</v>
      </c>
      <c r="Z97" s="11">
        <v>141690.0</v>
      </c>
      <c r="AA97" s="11">
        <v>107710.0</v>
      </c>
      <c r="AB97" s="11"/>
      <c r="AC97" s="11">
        <v>-1900.0</v>
      </c>
      <c r="AD97" s="11">
        <v>100550.0</v>
      </c>
      <c r="AE97" s="11">
        <v>110890.0</v>
      </c>
      <c r="AF97" s="11">
        <v>94760.0</v>
      </c>
      <c r="AG97" s="11">
        <v>108930.0</v>
      </c>
      <c r="AH97" s="11">
        <v>91790.0</v>
      </c>
      <c r="AI97" s="11">
        <v>256160.0</v>
      </c>
      <c r="AJ97" s="11">
        <v>235280.0</v>
      </c>
      <c r="AK97" s="11">
        <v>163310.0</v>
      </c>
      <c r="AL97" s="11">
        <v>125840.0</v>
      </c>
      <c r="AM97" s="11">
        <v>108160.0</v>
      </c>
      <c r="AN97" s="11">
        <v>74860.0</v>
      </c>
      <c r="AO97" s="11">
        <v>83690.0</v>
      </c>
      <c r="AP97" s="11">
        <v>63140.0</v>
      </c>
      <c r="AQ97" s="11">
        <v>71200.0</v>
      </c>
      <c r="AR97" s="11">
        <v>58720.0</v>
      </c>
      <c r="AS97" s="11">
        <v>200140.0</v>
      </c>
      <c r="AT97" s="11">
        <v>190610.0</v>
      </c>
      <c r="AU97" s="11">
        <v>86780.0</v>
      </c>
      <c r="AV97" s="11">
        <v>77080.0</v>
      </c>
      <c r="AW97" s="11">
        <v>74600.0</v>
      </c>
      <c r="AX97" s="11">
        <v>-40740.0</v>
      </c>
      <c r="AY97" s="11">
        <v>-39390.0</v>
      </c>
      <c r="AZ97" s="11">
        <v>-107090.0</v>
      </c>
      <c r="BA97" s="11">
        <v>-25530.0</v>
      </c>
      <c r="BB97" s="11">
        <v>-33120.0</v>
      </c>
      <c r="BC97" s="13"/>
      <c r="BD97" s="13"/>
      <c r="BE97" s="13"/>
      <c r="BF97" s="13"/>
      <c r="BG97" s="13"/>
      <c r="BH97" s="11">
        <v>97060.0</v>
      </c>
      <c r="BI97" s="11">
        <v>59160.0</v>
      </c>
      <c r="BJ97" s="11">
        <v>86410.0</v>
      </c>
      <c r="BK97" s="11">
        <v>228730.0</v>
      </c>
      <c r="BL97" s="11">
        <v>200210.0</v>
      </c>
      <c r="BM97" s="11">
        <v>106340.0</v>
      </c>
      <c r="BN97" s="11">
        <v>126910.0</v>
      </c>
      <c r="BO97" s="11">
        <v>162350.0</v>
      </c>
      <c r="BP97" s="11">
        <v>63420.0</v>
      </c>
      <c r="BQ97" s="11">
        <v>55810.0</v>
      </c>
      <c r="BR97" s="11">
        <v>111840.0</v>
      </c>
      <c r="BS97" s="11">
        <v>108530.0</v>
      </c>
      <c r="BT97" s="11">
        <v>104800.0</v>
      </c>
      <c r="BU97" s="11">
        <v>42860.0</v>
      </c>
      <c r="BV97" s="11">
        <v>39320.0</v>
      </c>
      <c r="BW97" s="11">
        <v>325170.0</v>
      </c>
      <c r="BX97" s="11">
        <v>306040.0</v>
      </c>
      <c r="BY97" s="11">
        <v>364370.0</v>
      </c>
      <c r="BZ97" s="11">
        <v>339230.0</v>
      </c>
      <c r="CA97" s="11">
        <v>302210.0</v>
      </c>
      <c r="CB97" s="11">
        <v>345460.0</v>
      </c>
      <c r="CC97" s="11">
        <v>208260.0</v>
      </c>
      <c r="CD97" s="11">
        <v>218100.0</v>
      </c>
      <c r="CE97" s="11">
        <v>107930.0</v>
      </c>
      <c r="CF97" s="11">
        <v>99330.0</v>
      </c>
      <c r="CG97" s="11">
        <v>767610.0</v>
      </c>
      <c r="CH97" s="11">
        <v>767610.0</v>
      </c>
      <c r="CI97" s="11">
        <v>767450.0</v>
      </c>
      <c r="CJ97" s="11"/>
      <c r="CK97" s="11"/>
      <c r="CL97" s="11">
        <v>1620000.0</v>
      </c>
      <c r="CM97" s="11">
        <v>1530000.0</v>
      </c>
      <c r="CN97" s="11">
        <v>1650000.0</v>
      </c>
      <c r="CO97" s="11">
        <v>501270.0</v>
      </c>
      <c r="CP97" s="11">
        <v>466360.0</v>
      </c>
      <c r="CQ97" s="11">
        <v>56340.0</v>
      </c>
      <c r="CR97" s="11">
        <v>61280.0</v>
      </c>
      <c r="CS97" s="11">
        <v>71100.0</v>
      </c>
      <c r="CT97" s="11">
        <v>41310.0</v>
      </c>
      <c r="CU97" s="11">
        <v>35010.0</v>
      </c>
      <c r="CV97" s="11">
        <v>155610.0</v>
      </c>
      <c r="CW97" s="11">
        <v>18900.0</v>
      </c>
      <c r="CX97" s="13"/>
      <c r="CY97" s="13"/>
      <c r="CZ97" s="13"/>
      <c r="DA97" s="12"/>
      <c r="DB97" s="11">
        <v>155610.0</v>
      </c>
      <c r="DC97" s="11">
        <v>149590.0</v>
      </c>
      <c r="DD97" s="11">
        <v>170460.0</v>
      </c>
      <c r="DE97" s="11">
        <v>101500.0</v>
      </c>
      <c r="DF97" s="11">
        <v>922270.0</v>
      </c>
      <c r="DG97" s="11">
        <v>909580.0</v>
      </c>
      <c r="DH97" s="11">
        <v>1060000.0</v>
      </c>
      <c r="DI97" s="11">
        <v>148820.0</v>
      </c>
      <c r="DJ97" s="11">
        <v>185600.0</v>
      </c>
      <c r="DK97" s="11"/>
      <c r="DL97" s="11"/>
      <c r="DM97" s="11">
        <v>1500.0</v>
      </c>
      <c r="DN97" s="11">
        <v>20500.0</v>
      </c>
      <c r="DO97" s="11">
        <v>18250.0</v>
      </c>
      <c r="DP97" s="28">
        <v>707380.0</v>
      </c>
      <c r="DQ97" s="28">
        <v>689210.0</v>
      </c>
      <c r="DR97" s="28">
        <v>809900.0</v>
      </c>
      <c r="DS97" s="28">
        <v>15280.0</v>
      </c>
      <c r="DT97" s="28">
        <v>22150.0</v>
      </c>
      <c r="DU97" s="12"/>
      <c r="DV97" s="12"/>
      <c r="DW97" s="12"/>
      <c r="DX97" s="12"/>
      <c r="DY97" s="13"/>
      <c r="DZ97" s="11">
        <v>700540.0</v>
      </c>
      <c r="EA97" s="11">
        <v>620350.0</v>
      </c>
      <c r="EB97" s="11">
        <v>581670.0</v>
      </c>
      <c r="EC97" s="11">
        <v>352450.0</v>
      </c>
      <c r="ED97" s="11">
        <v>280760.0</v>
      </c>
      <c r="EE97" s="14">
        <v>0.153</v>
      </c>
      <c r="EF97" s="14">
        <v>0.062</v>
      </c>
      <c r="EG97" s="14">
        <v>-0.119</v>
      </c>
      <c r="EH97" s="14">
        <v>-0.017</v>
      </c>
    </row>
    <row r="98">
      <c r="A98" s="9">
        <f t="shared" si="2"/>
        <v>96</v>
      </c>
      <c r="B98" s="10" t="s">
        <v>232</v>
      </c>
      <c r="C98" s="11">
        <v>2.128E7</v>
      </c>
      <c r="D98" s="11">
        <v>1.976E7</v>
      </c>
      <c r="E98" s="11">
        <v>2.134E7</v>
      </c>
      <c r="F98" s="11">
        <v>2.141E7</v>
      </c>
      <c r="G98" s="11">
        <v>2.153E7</v>
      </c>
      <c r="H98" s="11">
        <v>2.161E7</v>
      </c>
      <c r="I98" s="11">
        <v>2.086E7</v>
      </c>
      <c r="J98" s="11">
        <v>3340000.0</v>
      </c>
      <c r="K98" s="11">
        <v>3230000.0</v>
      </c>
      <c r="L98" s="11">
        <v>3200000.0</v>
      </c>
      <c r="M98" s="11">
        <v>3170000.0</v>
      </c>
      <c r="N98" s="11">
        <v>3130000.0</v>
      </c>
      <c r="O98" s="11">
        <v>2560000.0</v>
      </c>
      <c r="P98" s="11">
        <v>2510000.0</v>
      </c>
      <c r="Q98" s="11">
        <v>2430000.0</v>
      </c>
      <c r="R98" s="11">
        <v>2340000.0</v>
      </c>
      <c r="S98" s="11">
        <v>2260000.0</v>
      </c>
      <c r="T98" s="11"/>
      <c r="U98" s="11"/>
      <c r="V98" s="11"/>
      <c r="W98" s="11"/>
      <c r="X98" s="11"/>
      <c r="Y98" s="11">
        <v>804100.0</v>
      </c>
      <c r="Z98" s="11">
        <v>724700.0</v>
      </c>
      <c r="AA98" s="11">
        <v>737800.0</v>
      </c>
      <c r="AB98" s="11">
        <v>804500.0</v>
      </c>
      <c r="AC98" s="11">
        <v>846000.0</v>
      </c>
      <c r="AD98" s="11">
        <v>612600.0</v>
      </c>
      <c r="AE98" s="11">
        <v>529400.0</v>
      </c>
      <c r="AF98" s="11">
        <v>636500.0</v>
      </c>
      <c r="AG98" s="11">
        <v>702300.0</v>
      </c>
      <c r="AH98" s="11">
        <v>722700.0</v>
      </c>
      <c r="AI98" s="11">
        <v>963200.0</v>
      </c>
      <c r="AJ98" s="11">
        <v>887500.0</v>
      </c>
      <c r="AK98" s="11">
        <v>925800.0</v>
      </c>
      <c r="AL98" s="11">
        <v>971300.0</v>
      </c>
      <c r="AM98" s="11">
        <v>998000.0</v>
      </c>
      <c r="AN98" s="11">
        <v>450800.0</v>
      </c>
      <c r="AO98" s="11">
        <v>395900.0</v>
      </c>
      <c r="AP98" s="11">
        <v>435000.0</v>
      </c>
      <c r="AQ98" s="11">
        <v>431700.0</v>
      </c>
      <c r="AR98" s="11">
        <v>443700.0</v>
      </c>
      <c r="AS98" s="11">
        <v>1010000.0</v>
      </c>
      <c r="AT98" s="11">
        <v>268600.0</v>
      </c>
      <c r="AU98" s="11">
        <v>604500.0</v>
      </c>
      <c r="AV98" s="11">
        <v>516000.0</v>
      </c>
      <c r="AW98" s="11">
        <v>507200.0</v>
      </c>
      <c r="AX98" s="11">
        <v>-269300.0</v>
      </c>
      <c r="AY98" s="11">
        <v>-400800.0</v>
      </c>
      <c r="AZ98" s="11">
        <v>-313400.0</v>
      </c>
      <c r="BA98" s="11">
        <v>-249500.0</v>
      </c>
      <c r="BB98" s="11">
        <v>-257800.0</v>
      </c>
      <c r="BC98" s="12"/>
      <c r="BD98" s="12"/>
      <c r="BE98" s="12"/>
      <c r="BF98" s="12"/>
      <c r="BG98" s="12"/>
      <c r="BH98" s="11">
        <v>42500.0</v>
      </c>
      <c r="BI98" s="11">
        <v>48600.0</v>
      </c>
      <c r="BJ98" s="11">
        <v>69200.0</v>
      </c>
      <c r="BK98" s="11">
        <v>64800.0</v>
      </c>
      <c r="BL98" s="11">
        <v>74100.0</v>
      </c>
      <c r="BM98" s="11">
        <v>943400.0</v>
      </c>
      <c r="BN98" s="11">
        <v>1000000.0</v>
      </c>
      <c r="BO98" s="11">
        <v>1110000.0</v>
      </c>
      <c r="BP98" s="11">
        <v>1030000.0</v>
      </c>
      <c r="BQ98" s="11">
        <v>908200.0</v>
      </c>
      <c r="BR98" s="11">
        <v>3310000.0</v>
      </c>
      <c r="BS98" s="11">
        <v>3650000.0</v>
      </c>
      <c r="BT98" s="11">
        <v>3370000.0</v>
      </c>
      <c r="BU98" s="11">
        <v>3520000.0</v>
      </c>
      <c r="BV98" s="11">
        <v>3610000.0</v>
      </c>
      <c r="BW98" s="11">
        <v>4410000.0</v>
      </c>
      <c r="BX98" s="11">
        <v>4880000.0</v>
      </c>
      <c r="BY98" s="11">
        <v>4800000.0</v>
      </c>
      <c r="BZ98" s="11">
        <v>4710000.0</v>
      </c>
      <c r="CA98" s="11">
        <v>4710000.0</v>
      </c>
      <c r="CB98" s="11">
        <v>3510000.0</v>
      </c>
      <c r="CC98" s="11">
        <v>3160000.0</v>
      </c>
      <c r="CD98" s="11">
        <v>2960000.0</v>
      </c>
      <c r="CE98" s="11">
        <v>2840000.0</v>
      </c>
      <c r="CF98" s="11">
        <v>2670000.0</v>
      </c>
      <c r="CG98" s="11">
        <v>1500000.0</v>
      </c>
      <c r="CH98" s="11">
        <v>1510000.0</v>
      </c>
      <c r="CI98" s="11">
        <v>1520000.0</v>
      </c>
      <c r="CJ98" s="11">
        <v>1510000.0</v>
      </c>
      <c r="CK98" s="11">
        <v>1390000.0</v>
      </c>
      <c r="CL98" s="11">
        <v>1.07E7</v>
      </c>
      <c r="CM98" s="11">
        <v>1.082E7</v>
      </c>
      <c r="CN98" s="11">
        <v>1.042E7</v>
      </c>
      <c r="CO98" s="11">
        <v>1.028E7</v>
      </c>
      <c r="CP98" s="11">
        <v>9560000.0</v>
      </c>
      <c r="CQ98" s="11">
        <v>290300.0</v>
      </c>
      <c r="CR98" s="11">
        <v>306200.0</v>
      </c>
      <c r="CS98" s="11">
        <v>309800.0</v>
      </c>
      <c r="CT98" s="11">
        <v>303700.0</v>
      </c>
      <c r="CU98" s="11">
        <v>299900.0</v>
      </c>
      <c r="CV98" s="11">
        <v>5100000.0</v>
      </c>
      <c r="CW98" s="11">
        <v>3790000.0</v>
      </c>
      <c r="CX98" s="11">
        <v>4630000.0</v>
      </c>
      <c r="CY98" s="11">
        <v>4140000.0</v>
      </c>
      <c r="CZ98" s="11">
        <v>4790000.0</v>
      </c>
      <c r="DA98" s="11">
        <v>4330000.0</v>
      </c>
      <c r="DB98" s="11">
        <v>5100000.0</v>
      </c>
      <c r="DC98" s="11">
        <v>5660000.0</v>
      </c>
      <c r="DD98" s="11">
        <v>5640000.0</v>
      </c>
      <c r="DE98" s="11">
        <v>5830000.0</v>
      </c>
      <c r="DF98" s="11">
        <v>7530000.0</v>
      </c>
      <c r="DG98" s="11">
        <v>8100000.0</v>
      </c>
      <c r="DH98" s="11">
        <v>8050000.0</v>
      </c>
      <c r="DI98" s="11">
        <v>7970000.0</v>
      </c>
      <c r="DJ98" s="11">
        <v>7210000.0</v>
      </c>
      <c r="DK98" s="11"/>
      <c r="DL98" s="11"/>
      <c r="DM98" s="12"/>
      <c r="DN98" s="11"/>
      <c r="DO98" s="11"/>
      <c r="DP98" s="28">
        <v>1880000.0</v>
      </c>
      <c r="DQ98" s="28">
        <v>1930000.0</v>
      </c>
      <c r="DR98" s="28">
        <v>1960000.0</v>
      </c>
      <c r="DS98" s="28">
        <v>1610000.0</v>
      </c>
      <c r="DT98" s="28">
        <v>1750000.0</v>
      </c>
      <c r="DU98" s="12"/>
      <c r="DV98" s="12"/>
      <c r="DW98" s="12"/>
      <c r="DX98" s="12"/>
      <c r="DY98" s="12"/>
      <c r="DZ98" s="11">
        <v>3160000.0</v>
      </c>
      <c r="EA98" s="11">
        <v>2720000.0</v>
      </c>
      <c r="EB98" s="11">
        <v>2370000.0</v>
      </c>
      <c r="EC98" s="11">
        <v>2310000.0</v>
      </c>
      <c r="ED98" s="11">
        <v>2350000.0</v>
      </c>
      <c r="EE98" s="14">
        <v>0.08</v>
      </c>
      <c r="EF98" s="14">
        <v>0.105</v>
      </c>
      <c r="EG98" s="14">
        <v>2.811</v>
      </c>
      <c r="EH98" s="14">
        <v>0.849</v>
      </c>
    </row>
    <row r="99">
      <c r="A99" s="9">
        <f t="shared" si="2"/>
        <v>97</v>
      </c>
      <c r="B99" s="22" t="s">
        <v>233</v>
      </c>
      <c r="C99" s="11">
        <v>11520.0</v>
      </c>
      <c r="D99" s="11">
        <v>32500.0</v>
      </c>
      <c r="E99" s="11">
        <v>8000.0</v>
      </c>
      <c r="F99" s="11">
        <v>5000.0</v>
      </c>
      <c r="G99" s="11">
        <v>10000.0</v>
      </c>
      <c r="H99" s="11">
        <v>16680.0</v>
      </c>
      <c r="I99" s="11">
        <v>17570.0</v>
      </c>
      <c r="J99" s="12"/>
      <c r="K99" s="12"/>
      <c r="L99" s="11">
        <v>9820.0</v>
      </c>
      <c r="M99" s="11">
        <v>16450.0</v>
      </c>
      <c r="N99" s="12"/>
      <c r="O99" s="11">
        <v>114920.0</v>
      </c>
      <c r="P99" s="11">
        <v>71410.0</v>
      </c>
      <c r="Q99" s="11">
        <v>38600.0</v>
      </c>
      <c r="R99" s="11">
        <v>19480.0</v>
      </c>
      <c r="S99" s="11">
        <v>20620.0</v>
      </c>
      <c r="T99" s="11">
        <v>98820.0</v>
      </c>
      <c r="U99" s="11">
        <v>56200.0</v>
      </c>
      <c r="V99" s="11">
        <v>29440.0</v>
      </c>
      <c r="W99" s="11">
        <v>15420.0</v>
      </c>
      <c r="X99" s="11">
        <v>17300.0</v>
      </c>
      <c r="Y99" s="12"/>
      <c r="Z99" s="12"/>
      <c r="AA99" s="11">
        <v>-30150.0</v>
      </c>
      <c r="AB99" s="11">
        <v>-3780.0</v>
      </c>
      <c r="AC99" s="11">
        <v>-4600.0</v>
      </c>
      <c r="AD99" s="11">
        <v>-97490.0</v>
      </c>
      <c r="AE99" s="11">
        <v>-61850.0</v>
      </c>
      <c r="AF99" s="11">
        <v>-30070.0</v>
      </c>
      <c r="AG99" s="11">
        <v>-4260.0</v>
      </c>
      <c r="AH99" s="11">
        <v>-5270.0</v>
      </c>
      <c r="AI99" s="11">
        <v>-106920.0</v>
      </c>
      <c r="AJ99" s="11">
        <v>-66410.0</v>
      </c>
      <c r="AK99" s="11">
        <v>-28600.0</v>
      </c>
      <c r="AL99" s="11">
        <v>-2790.0</v>
      </c>
      <c r="AM99" s="11">
        <v>-3050.0</v>
      </c>
      <c r="AN99" s="11">
        <v>-97340.0</v>
      </c>
      <c r="AO99" s="11">
        <v>-61660.0</v>
      </c>
      <c r="AP99" s="11">
        <v>-30070.0</v>
      </c>
      <c r="AQ99" s="11">
        <v>-4260.0</v>
      </c>
      <c r="AR99" s="11">
        <v>-5410.0</v>
      </c>
      <c r="AS99" s="11">
        <v>-69520.0</v>
      </c>
      <c r="AT99" s="11">
        <v>-48510.0</v>
      </c>
      <c r="AU99" s="11">
        <v>-19440.0</v>
      </c>
      <c r="AV99" s="11">
        <v>-10430.0</v>
      </c>
      <c r="AW99" s="11">
        <v>-11110.0</v>
      </c>
      <c r="AX99" s="11">
        <v>-805.0</v>
      </c>
      <c r="AY99" s="11">
        <v>-1060.0</v>
      </c>
      <c r="AZ99" s="11">
        <v>-290.0</v>
      </c>
      <c r="BA99" s="11">
        <v>-50.0</v>
      </c>
      <c r="BB99" s="11">
        <v>-238.0</v>
      </c>
      <c r="BC99" s="12"/>
      <c r="BD99" s="12"/>
      <c r="BE99" s="12"/>
      <c r="BF99" s="12"/>
      <c r="BG99" s="12"/>
      <c r="BH99" s="11">
        <v>374230.0</v>
      </c>
      <c r="BI99" s="11">
        <v>427080.0</v>
      </c>
      <c r="BJ99" s="11">
        <v>248410.0</v>
      </c>
      <c r="BK99" s="11">
        <v>51230.0</v>
      </c>
      <c r="BL99" s="11">
        <v>51680.0</v>
      </c>
      <c r="BM99" s="12"/>
      <c r="BN99" s="11">
        <v>174.0</v>
      </c>
      <c r="BO99" s="11">
        <v>1600.0</v>
      </c>
      <c r="BP99" s="11">
        <v>5340.0</v>
      </c>
      <c r="BQ99" s="11">
        <v>1230.0</v>
      </c>
      <c r="BR99" s="12"/>
      <c r="BS99" s="12"/>
      <c r="BT99" s="12"/>
      <c r="BU99" s="12"/>
      <c r="BV99" s="12"/>
      <c r="BW99" s="11">
        <v>377730.0</v>
      </c>
      <c r="BX99" s="11">
        <v>434220.0</v>
      </c>
      <c r="BY99" s="11">
        <v>252700.0</v>
      </c>
      <c r="BZ99" s="11">
        <v>58210.0</v>
      </c>
      <c r="CA99" s="11">
        <v>53460.0</v>
      </c>
      <c r="CB99" s="11">
        <v>3020.0</v>
      </c>
      <c r="CC99" s="11">
        <v>1450.0</v>
      </c>
      <c r="CD99" s="11">
        <v>665.0</v>
      </c>
      <c r="CE99" s="11">
        <v>471.0</v>
      </c>
      <c r="CF99" s="11">
        <v>551.0</v>
      </c>
      <c r="CG99" s="12"/>
      <c r="CH99" s="12"/>
      <c r="CI99" s="12"/>
      <c r="CJ99" s="12"/>
      <c r="CK99" s="12"/>
      <c r="CL99" s="11">
        <v>435200.0</v>
      </c>
      <c r="CM99" s="11">
        <v>509000.0</v>
      </c>
      <c r="CN99" s="11">
        <v>329360.0</v>
      </c>
      <c r="CO99" s="11">
        <v>62180.0</v>
      </c>
      <c r="CP99" s="11">
        <v>56280.0</v>
      </c>
      <c r="CQ99" s="11">
        <v>16240.0</v>
      </c>
      <c r="CR99" s="11">
        <v>5440.0</v>
      </c>
      <c r="CS99" s="11">
        <v>2320.0</v>
      </c>
      <c r="CT99" s="11">
        <v>2280.0</v>
      </c>
      <c r="CU99" s="11">
        <v>1520.0</v>
      </c>
      <c r="CV99" s="11">
        <v>29540.0</v>
      </c>
      <c r="CW99" s="11">
        <v>2250.0</v>
      </c>
      <c r="CX99" s="11">
        <v>7570.0</v>
      </c>
      <c r="CY99" s="11">
        <v>6880.0</v>
      </c>
      <c r="CZ99" s="12"/>
      <c r="DA99" s="12"/>
      <c r="DB99" s="11">
        <v>29540.0</v>
      </c>
      <c r="DC99" s="11">
        <v>21840.0</v>
      </c>
      <c r="DD99" s="11">
        <v>14090.0</v>
      </c>
      <c r="DE99" s="11">
        <v>5710.0</v>
      </c>
      <c r="DF99" s="11">
        <v>30190.0</v>
      </c>
      <c r="DG99" s="11">
        <v>22630.0</v>
      </c>
      <c r="DH99" s="11">
        <v>21780.0</v>
      </c>
      <c r="DI99" s="11">
        <v>22910.0</v>
      </c>
      <c r="DJ99" s="11">
        <v>13940.0</v>
      </c>
      <c r="DK99" s="11">
        <v>54370.0</v>
      </c>
      <c r="DL99" s="11">
        <v>73190.0</v>
      </c>
      <c r="DM99" s="11">
        <v>75960.0</v>
      </c>
      <c r="DN99" s="11">
        <v>60.0</v>
      </c>
      <c r="DO99" s="24">
        <v>60.0</v>
      </c>
      <c r="DP99" s="11">
        <v>654.0</v>
      </c>
      <c r="DQ99" s="11">
        <v>625.0</v>
      </c>
      <c r="DR99" s="11">
        <v>7550.0</v>
      </c>
      <c r="DS99" s="11">
        <v>13810.0</v>
      </c>
      <c r="DT99" s="11">
        <v>4900.0</v>
      </c>
      <c r="DU99" s="13"/>
      <c r="DV99" s="12"/>
      <c r="DW99" s="12"/>
      <c r="DX99" s="11">
        <v>77520.0</v>
      </c>
      <c r="DY99" s="11">
        <v>77520.0</v>
      </c>
      <c r="DZ99" s="11">
        <v>405010.0</v>
      </c>
      <c r="EA99" s="11">
        <v>486370.0</v>
      </c>
      <c r="EB99" s="11">
        <v>307580.0</v>
      </c>
      <c r="EC99" s="11">
        <v>39270.0</v>
      </c>
      <c r="ED99" s="11">
        <v>42340.0</v>
      </c>
      <c r="EE99" s="14">
        <v>0.615</v>
      </c>
      <c r="EF99" s="23"/>
      <c r="EG99" s="14">
        <v>-0.053</v>
      </c>
      <c r="EH99" s="14">
        <v>0.212</v>
      </c>
    </row>
    <row r="100">
      <c r="A100" s="9">
        <f t="shared" si="2"/>
        <v>98</v>
      </c>
      <c r="B100" s="10" t="s">
        <v>234</v>
      </c>
      <c r="C100" s="15">
        <v>7820000.0</v>
      </c>
      <c r="D100" s="15">
        <v>7770000.0</v>
      </c>
      <c r="E100" s="15">
        <v>8170000.0</v>
      </c>
      <c r="F100" s="15">
        <v>3050000.0</v>
      </c>
      <c r="G100" s="15">
        <v>3690000.0</v>
      </c>
      <c r="H100" s="15">
        <v>3920000.0</v>
      </c>
      <c r="I100" s="15">
        <v>4200000.0</v>
      </c>
      <c r="J100" s="15">
        <v>515950.0</v>
      </c>
      <c r="K100" s="15">
        <v>297770.0</v>
      </c>
      <c r="L100" s="15">
        <v>313380.0</v>
      </c>
      <c r="M100" s="15">
        <v>360520.0</v>
      </c>
      <c r="N100" s="15">
        <v>313300.0</v>
      </c>
      <c r="O100" s="15">
        <v>436840.0</v>
      </c>
      <c r="P100" s="15">
        <v>251370.0</v>
      </c>
      <c r="Q100" s="15">
        <v>287930.0</v>
      </c>
      <c r="R100" s="15">
        <v>318400.0</v>
      </c>
      <c r="S100" s="15">
        <v>338110.0</v>
      </c>
      <c r="T100" s="12"/>
      <c r="U100" s="12"/>
      <c r="V100" s="12"/>
      <c r="W100" s="12"/>
      <c r="X100" s="12"/>
      <c r="Y100" s="15">
        <v>71200.0</v>
      </c>
      <c r="Z100" s="15">
        <v>33350.0</v>
      </c>
      <c r="AA100" s="15">
        <v>-42720.0</v>
      </c>
      <c r="AB100" s="15">
        <v>33510.0</v>
      </c>
      <c r="AC100" s="15">
        <v>-133490.0</v>
      </c>
      <c r="AD100" s="15">
        <v>28110.0</v>
      </c>
      <c r="AE100" s="15">
        <v>53160.0</v>
      </c>
      <c r="AF100" s="15">
        <v>-20530.0</v>
      </c>
      <c r="AG100" s="15">
        <v>21380.0</v>
      </c>
      <c r="AH100" s="15">
        <v>-11560.0</v>
      </c>
      <c r="AI100" s="15">
        <v>225280.0</v>
      </c>
      <c r="AJ100" s="15">
        <v>136690.0</v>
      </c>
      <c r="AK100" s="15">
        <v>111860.0</v>
      </c>
      <c r="AL100" s="15">
        <v>126450.0</v>
      </c>
      <c r="AM100" s="15">
        <v>53640.0</v>
      </c>
      <c r="AN100" s="15">
        <v>18310.0</v>
      </c>
      <c r="AO100" s="15">
        <v>41480.0</v>
      </c>
      <c r="AP100" s="15">
        <v>42510.0</v>
      </c>
      <c r="AQ100" s="15">
        <v>11590.0</v>
      </c>
      <c r="AR100" s="15">
        <v>-13100.0</v>
      </c>
      <c r="AS100" s="15">
        <v>348560.0</v>
      </c>
      <c r="AT100" s="15">
        <v>-35520.0</v>
      </c>
      <c r="AU100" s="15">
        <v>55000.0</v>
      </c>
      <c r="AV100" s="15">
        <v>49580.0</v>
      </c>
      <c r="AW100" s="15">
        <v>140040.0</v>
      </c>
      <c r="AX100" s="15">
        <v>-270480.0</v>
      </c>
      <c r="AY100" s="15">
        <v>-309580.0</v>
      </c>
      <c r="AZ100" s="15">
        <v>-177620.0</v>
      </c>
      <c r="BA100" s="15">
        <v>-163010.0</v>
      </c>
      <c r="BB100" s="15">
        <v>-187500.0</v>
      </c>
      <c r="BC100" s="15">
        <v>-22120.0</v>
      </c>
      <c r="BD100" s="15">
        <v>-18640.0</v>
      </c>
      <c r="BE100" s="15">
        <v>-18150.0</v>
      </c>
      <c r="BF100" s="15">
        <v>-17360.0</v>
      </c>
      <c r="BG100" s="15">
        <v>-15920.0</v>
      </c>
      <c r="BH100" s="15">
        <v>54900.0</v>
      </c>
      <c r="BI100" s="15">
        <v>22590.0</v>
      </c>
      <c r="BJ100" s="15">
        <v>34920.0</v>
      </c>
      <c r="BK100" s="15">
        <v>63100.0</v>
      </c>
      <c r="BL100" s="15">
        <v>64200.0</v>
      </c>
      <c r="BM100" s="15">
        <v>536370.0</v>
      </c>
      <c r="BN100" s="15">
        <v>207290.0</v>
      </c>
      <c r="BO100" s="15">
        <v>183240.0</v>
      </c>
      <c r="BP100" s="15">
        <v>194700.0</v>
      </c>
      <c r="BQ100" s="15">
        <v>170910.0</v>
      </c>
      <c r="BR100" s="15">
        <v>1170000.0</v>
      </c>
      <c r="BS100" s="15">
        <v>690800.0</v>
      </c>
      <c r="BT100" s="15">
        <v>648700.0</v>
      </c>
      <c r="BU100" s="15">
        <v>682750.0</v>
      </c>
      <c r="BV100" s="15">
        <v>747400.0</v>
      </c>
      <c r="BW100" s="15">
        <v>1950000.0</v>
      </c>
      <c r="BX100" s="15">
        <v>1020000.0</v>
      </c>
      <c r="BY100" s="15">
        <v>999210.0</v>
      </c>
      <c r="BZ100" s="15">
        <v>1060000.0</v>
      </c>
      <c r="CA100" s="15">
        <v>1130000.0</v>
      </c>
      <c r="CB100" s="15">
        <v>1600000.0</v>
      </c>
      <c r="CC100" s="15">
        <v>998500.0</v>
      </c>
      <c r="CD100" s="15">
        <v>808120.0</v>
      </c>
      <c r="CE100" s="15">
        <v>777250.0</v>
      </c>
      <c r="CF100" s="15">
        <v>793370.0</v>
      </c>
      <c r="CG100" s="15">
        <v>135360.0</v>
      </c>
      <c r="CH100" s="15">
        <v>6020.0</v>
      </c>
      <c r="CI100" s="15">
        <v>6020.0</v>
      </c>
      <c r="CJ100" s="15">
        <v>63930.0</v>
      </c>
      <c r="CK100" s="15">
        <v>63930.0</v>
      </c>
      <c r="CL100" s="15">
        <v>3900000.0</v>
      </c>
      <c r="CM100" s="15">
        <v>2390000.0</v>
      </c>
      <c r="CN100" s="15">
        <v>2160000.0</v>
      </c>
      <c r="CO100" s="15">
        <v>2230000.0</v>
      </c>
      <c r="CP100" s="15">
        <v>2360000.0</v>
      </c>
      <c r="CQ100" s="15">
        <v>873080.0</v>
      </c>
      <c r="CR100" s="15">
        <v>462540.0</v>
      </c>
      <c r="CS100" s="15">
        <v>503570.0</v>
      </c>
      <c r="CT100" s="15">
        <v>581830.0</v>
      </c>
      <c r="CU100" s="15">
        <v>668790.0</v>
      </c>
      <c r="CV100" s="15">
        <v>1440000.0</v>
      </c>
      <c r="CW100" s="15">
        <v>172730.0</v>
      </c>
      <c r="CX100" s="15">
        <v>205000.0</v>
      </c>
      <c r="CY100" s="15">
        <v>22000.0</v>
      </c>
      <c r="CZ100" s="15">
        <v>29000.0</v>
      </c>
      <c r="DA100" s="15">
        <v>16990.0</v>
      </c>
      <c r="DB100" s="15">
        <v>1440000.0</v>
      </c>
      <c r="DC100" s="15">
        <v>833350.0</v>
      </c>
      <c r="DD100" s="15">
        <v>738720.0</v>
      </c>
      <c r="DE100" s="15">
        <v>799780.0</v>
      </c>
      <c r="DF100" s="15">
        <v>2710000.0</v>
      </c>
      <c r="DG100" s="15">
        <v>1520000.0</v>
      </c>
      <c r="DH100" s="15">
        <v>1340000.0</v>
      </c>
      <c r="DI100" s="15">
        <v>1440000.0</v>
      </c>
      <c r="DJ100" s="15">
        <v>1580000.0</v>
      </c>
      <c r="DK100" s="15">
        <v>33210.0</v>
      </c>
      <c r="DL100" s="15">
        <v>249960.0</v>
      </c>
      <c r="DM100" s="15">
        <v>223550.0</v>
      </c>
      <c r="DN100" s="15">
        <v>217030.0</v>
      </c>
      <c r="DO100" s="15">
        <v>242520.0</v>
      </c>
      <c r="DP100" s="15">
        <v>1070000.0</v>
      </c>
      <c r="DQ100" s="15">
        <v>496190.0</v>
      </c>
      <c r="DR100" s="15">
        <v>442640.0</v>
      </c>
      <c r="DS100" s="15">
        <v>411070.0</v>
      </c>
      <c r="DT100" s="15">
        <v>436210.0</v>
      </c>
      <c r="DU100" s="12"/>
      <c r="DV100" s="12"/>
      <c r="DW100" s="12"/>
      <c r="DX100" s="12"/>
      <c r="DY100" s="13"/>
      <c r="DZ100" s="15">
        <v>973610.0</v>
      </c>
      <c r="EA100" s="15">
        <v>830320.0</v>
      </c>
      <c r="EB100" s="15">
        <v>815200.0</v>
      </c>
      <c r="EC100" s="15">
        <v>774360.0</v>
      </c>
      <c r="ED100" s="15">
        <v>764250.0</v>
      </c>
      <c r="EE100" s="17">
        <v>0.026</v>
      </c>
      <c r="EF100" s="17">
        <v>0.045</v>
      </c>
      <c r="EG100" s="17">
        <v>-4.077</v>
      </c>
      <c r="EH100" s="17">
        <v>-0.648</v>
      </c>
    </row>
    <row r="101">
      <c r="A101" s="9">
        <f t="shared" si="2"/>
        <v>99</v>
      </c>
      <c r="B101" s="10" t="s">
        <v>235</v>
      </c>
      <c r="C101" s="11">
        <v>3440000.0</v>
      </c>
      <c r="D101" s="11">
        <v>3100000.0</v>
      </c>
      <c r="E101" s="11">
        <v>3620000.0</v>
      </c>
      <c r="F101" s="11">
        <v>3590000.0</v>
      </c>
      <c r="G101" s="11">
        <v>3490000.0</v>
      </c>
      <c r="H101" s="11">
        <v>3330000.0</v>
      </c>
      <c r="I101" s="11">
        <v>3520000.0</v>
      </c>
      <c r="J101" s="11">
        <v>1970000.0</v>
      </c>
      <c r="K101" s="11">
        <v>1980000.0</v>
      </c>
      <c r="L101" s="11">
        <v>1890000.0</v>
      </c>
      <c r="M101" s="11">
        <v>1830000.0</v>
      </c>
      <c r="N101" s="11">
        <v>1930000.0</v>
      </c>
      <c r="O101" s="11">
        <v>1840000.0</v>
      </c>
      <c r="P101" s="11">
        <v>1850000.0</v>
      </c>
      <c r="Q101" s="11">
        <v>1790000.0</v>
      </c>
      <c r="R101" s="11">
        <v>1840000.0</v>
      </c>
      <c r="S101" s="11">
        <v>1860000.0</v>
      </c>
      <c r="T101" s="12"/>
      <c r="U101" s="12"/>
      <c r="V101" s="12"/>
      <c r="W101" s="12"/>
      <c r="X101" s="12"/>
      <c r="Y101" s="11">
        <v>59210.0</v>
      </c>
      <c r="Z101" s="11">
        <v>125610.0</v>
      </c>
      <c r="AA101" s="11">
        <v>58810.0</v>
      </c>
      <c r="AB101" s="11">
        <v>-2420.0</v>
      </c>
      <c r="AC101" s="11">
        <v>51790.0</v>
      </c>
      <c r="AD101" s="11">
        <v>62330.0</v>
      </c>
      <c r="AE101" s="11">
        <v>116370.0</v>
      </c>
      <c r="AF101" s="11">
        <v>55160.0</v>
      </c>
      <c r="AG101" s="11">
        <v>-3480.0</v>
      </c>
      <c r="AH101" s="11">
        <v>54590.0</v>
      </c>
      <c r="AI101" s="11">
        <v>299530.0</v>
      </c>
      <c r="AJ101" s="11">
        <v>308930.0</v>
      </c>
      <c r="AK101" s="11">
        <v>299030.0</v>
      </c>
      <c r="AL101" s="11">
        <v>186130.0</v>
      </c>
      <c r="AM101" s="11">
        <v>281090.0</v>
      </c>
      <c r="AN101" s="11">
        <v>39360.0</v>
      </c>
      <c r="AO101" s="11">
        <v>74540.0</v>
      </c>
      <c r="AP101" s="11">
        <v>7090.0</v>
      </c>
      <c r="AQ101" s="11">
        <v>3960.0</v>
      </c>
      <c r="AR101" s="11">
        <v>35580.0</v>
      </c>
      <c r="AS101" s="11">
        <v>254240.0</v>
      </c>
      <c r="AT101" s="11">
        <v>352930.0</v>
      </c>
      <c r="AU101" s="11">
        <v>285700.0</v>
      </c>
      <c r="AV101" s="11">
        <v>184590.0</v>
      </c>
      <c r="AW101" s="11">
        <v>309940.0</v>
      </c>
      <c r="AX101" s="11">
        <v>-202780.0</v>
      </c>
      <c r="AY101" s="11">
        <v>-152390.0</v>
      </c>
      <c r="AZ101" s="11">
        <v>-107000.0</v>
      </c>
      <c r="BA101" s="11">
        <v>-140840.0</v>
      </c>
      <c r="BB101" s="11">
        <v>-143200.0</v>
      </c>
      <c r="BC101" s="11">
        <v>-51510.0</v>
      </c>
      <c r="BD101" s="11">
        <v>-53710.0</v>
      </c>
      <c r="BE101" s="11">
        <v>-54390.0</v>
      </c>
      <c r="BF101" s="11">
        <v>-54070.0</v>
      </c>
      <c r="BG101" s="11">
        <v>-55150.0</v>
      </c>
      <c r="BH101" s="11">
        <v>673570.0</v>
      </c>
      <c r="BI101" s="11">
        <v>723140.0</v>
      </c>
      <c r="BJ101" s="11">
        <v>675560.0</v>
      </c>
      <c r="BK101" s="11">
        <v>547190.0</v>
      </c>
      <c r="BL101" s="11">
        <v>588580.0</v>
      </c>
      <c r="BM101" s="11">
        <v>80250.0</v>
      </c>
      <c r="BN101" s="11">
        <v>73110.0</v>
      </c>
      <c r="BO101" s="11">
        <v>79720.0</v>
      </c>
      <c r="BP101" s="11">
        <v>93380.0</v>
      </c>
      <c r="BQ101" s="11">
        <v>56870.0</v>
      </c>
      <c r="BR101" s="11">
        <v>434330.0</v>
      </c>
      <c r="BS101" s="11">
        <v>437880.0</v>
      </c>
      <c r="BT101" s="11">
        <v>424390.0</v>
      </c>
      <c r="BU101" s="11">
        <v>399800.0</v>
      </c>
      <c r="BV101" s="11">
        <v>436700.0</v>
      </c>
      <c r="BW101" s="11">
        <v>1260000.0</v>
      </c>
      <c r="BX101" s="11">
        <v>1340000.0</v>
      </c>
      <c r="BY101" s="11">
        <v>1260000.0</v>
      </c>
      <c r="BZ101" s="11">
        <v>1140000.0</v>
      </c>
      <c r="CA101" s="11">
        <v>1180000.0</v>
      </c>
      <c r="CB101" s="11">
        <v>1900000.0</v>
      </c>
      <c r="CC101" s="11">
        <v>694860.0</v>
      </c>
      <c r="CD101" s="11">
        <v>738180.0</v>
      </c>
      <c r="CE101" s="11">
        <v>824740.0</v>
      </c>
      <c r="CF101" s="11">
        <v>894180.0</v>
      </c>
      <c r="CG101" s="11"/>
      <c r="CH101" s="11"/>
      <c r="CI101" s="11"/>
      <c r="CJ101" s="11"/>
      <c r="CK101" s="11"/>
      <c r="CL101" s="11">
        <v>3550000.0</v>
      </c>
      <c r="CM101" s="11">
        <v>2390000.0</v>
      </c>
      <c r="CN101" s="11">
        <v>2330000.0</v>
      </c>
      <c r="CO101" s="11">
        <v>2300000.0</v>
      </c>
      <c r="CP101" s="11">
        <v>2430000.0</v>
      </c>
      <c r="CQ101" s="11">
        <v>219920.0</v>
      </c>
      <c r="CR101" s="11">
        <v>226880.0</v>
      </c>
      <c r="CS101" s="11">
        <v>168870.0</v>
      </c>
      <c r="CT101" s="11">
        <v>187020.0</v>
      </c>
      <c r="CU101" s="11">
        <v>184180.0</v>
      </c>
      <c r="CV101" s="11">
        <v>815350.0</v>
      </c>
      <c r="CW101" s="11">
        <v>282830.0</v>
      </c>
      <c r="CX101" s="12"/>
      <c r="CY101" s="13"/>
      <c r="CZ101" s="13"/>
      <c r="DA101" s="12"/>
      <c r="DB101" s="11">
        <v>815350.0</v>
      </c>
      <c r="DC101" s="11">
        <v>558920.0</v>
      </c>
      <c r="DD101" s="11">
        <v>507550.0</v>
      </c>
      <c r="DE101" s="11">
        <v>486000.0</v>
      </c>
      <c r="DF101" s="11">
        <v>2480000.0</v>
      </c>
      <c r="DG101" s="11">
        <v>1170000.0</v>
      </c>
      <c r="DH101" s="11">
        <v>1070000.0</v>
      </c>
      <c r="DI101" s="11">
        <v>1040000.0</v>
      </c>
      <c r="DJ101" s="11">
        <v>1140000.0</v>
      </c>
      <c r="DK101" s="11">
        <v>18700.0</v>
      </c>
      <c r="DL101" s="11"/>
      <c r="DM101" s="11">
        <v>125190.0</v>
      </c>
      <c r="DN101" s="11">
        <v>120120.0</v>
      </c>
      <c r="DO101" s="11">
        <v>117170.0</v>
      </c>
      <c r="DP101" s="11">
        <v>1480000.0</v>
      </c>
      <c r="DQ101" s="11">
        <v>296780.0</v>
      </c>
      <c r="DR101" s="11">
        <v>300340.0</v>
      </c>
      <c r="DS101" s="11">
        <v>309390.0</v>
      </c>
      <c r="DT101" s="11">
        <v>333680.0</v>
      </c>
      <c r="DU101" s="13"/>
      <c r="DV101" s="12"/>
      <c r="DW101" s="12"/>
      <c r="DX101" s="12"/>
      <c r="DY101" s="12"/>
      <c r="DZ101" s="11">
        <v>1060000.0</v>
      </c>
      <c r="EA101" s="11">
        <v>1210000.0</v>
      </c>
      <c r="EB101" s="11">
        <v>1240000.0</v>
      </c>
      <c r="EC101" s="11">
        <v>1240000.0</v>
      </c>
      <c r="ED101" s="11">
        <v>1290000.0</v>
      </c>
      <c r="EE101" s="14">
        <v>0.077</v>
      </c>
      <c r="EF101" s="14">
        <v>0.116</v>
      </c>
      <c r="EG101" s="14">
        <v>-1.367</v>
      </c>
      <c r="EH101" s="14">
        <v>-0.313</v>
      </c>
    </row>
    <row r="102">
      <c r="A102" s="9">
        <f t="shared" si="2"/>
        <v>100</v>
      </c>
      <c r="B102" s="22" t="s">
        <v>236</v>
      </c>
      <c r="C102" s="11">
        <v>217700.0</v>
      </c>
      <c r="D102" s="11">
        <v>206500.0</v>
      </c>
      <c r="E102" s="11">
        <v>206550.0</v>
      </c>
      <c r="F102" s="11">
        <v>201580.0</v>
      </c>
      <c r="G102" s="11">
        <v>176840.0</v>
      </c>
      <c r="H102" s="11">
        <v>128620.0</v>
      </c>
      <c r="I102" s="11">
        <v>76320.0</v>
      </c>
      <c r="J102" s="11">
        <v>103380.0</v>
      </c>
      <c r="K102" s="11">
        <v>94810.0</v>
      </c>
      <c r="L102" s="11">
        <v>69880.0</v>
      </c>
      <c r="M102" s="11">
        <v>57500.0</v>
      </c>
      <c r="N102" s="11">
        <v>56730.0</v>
      </c>
      <c r="O102" s="11">
        <v>82360.0</v>
      </c>
      <c r="P102" s="11">
        <v>58120.0</v>
      </c>
      <c r="Q102" s="11">
        <v>40650.0</v>
      </c>
      <c r="R102" s="11">
        <v>30740.0</v>
      </c>
      <c r="S102" s="11">
        <v>24030.0</v>
      </c>
      <c r="T102" s="11">
        <v>26510.0</v>
      </c>
      <c r="U102" s="11">
        <v>14050.0</v>
      </c>
      <c r="V102" s="11">
        <v>9070.0</v>
      </c>
      <c r="W102" s="11">
        <v>2910.0</v>
      </c>
      <c r="X102" s="11">
        <v>2870.0</v>
      </c>
      <c r="Y102" s="11">
        <v>16350.0</v>
      </c>
      <c r="Z102" s="11">
        <v>35160.0</v>
      </c>
      <c r="AA102" s="11">
        <v>28330.0</v>
      </c>
      <c r="AB102" s="11">
        <v>20080.0</v>
      </c>
      <c r="AC102" s="12"/>
      <c r="AD102" s="11">
        <v>3160.0</v>
      </c>
      <c r="AE102" s="11">
        <v>20050.0</v>
      </c>
      <c r="AF102" s="11">
        <v>16350.0</v>
      </c>
      <c r="AG102" s="11">
        <v>8680.0</v>
      </c>
      <c r="AH102" s="11">
        <v>21730.0</v>
      </c>
      <c r="AI102" s="11">
        <v>61040.0</v>
      </c>
      <c r="AJ102" s="11">
        <v>70440.0</v>
      </c>
      <c r="AK102" s="11">
        <v>57160.0</v>
      </c>
      <c r="AL102" s="11">
        <v>49110.0</v>
      </c>
      <c r="AM102" s="11">
        <v>39600.0</v>
      </c>
      <c r="AN102" s="11">
        <v>6000.0</v>
      </c>
      <c r="AO102" s="11">
        <v>15340.0</v>
      </c>
      <c r="AP102" s="11">
        <v>-1080.0</v>
      </c>
      <c r="AQ102" s="11">
        <v>3910.0</v>
      </c>
      <c r="AR102" s="11">
        <v>15290.0</v>
      </c>
      <c r="AS102" s="11">
        <v>45630.0</v>
      </c>
      <c r="AT102" s="11">
        <v>65500.0</v>
      </c>
      <c r="AU102" s="11">
        <v>39420.0</v>
      </c>
      <c r="AV102" s="11">
        <v>27470.0</v>
      </c>
      <c r="AW102" s="11">
        <v>17260.0</v>
      </c>
      <c r="AX102" s="11">
        <v>-27550.0</v>
      </c>
      <c r="AY102" s="11">
        <v>-10910.0</v>
      </c>
      <c r="AZ102" s="11">
        <v>-107990.0</v>
      </c>
      <c r="BA102" s="11">
        <v>-149060.0</v>
      </c>
      <c r="BB102" s="11">
        <v>-32680.0</v>
      </c>
      <c r="BC102" s="12"/>
      <c r="BD102" s="12"/>
      <c r="BE102" s="12"/>
      <c r="BF102" s="12"/>
      <c r="BG102" s="12"/>
      <c r="BH102" s="11">
        <v>62330.0</v>
      </c>
      <c r="BI102" s="11">
        <v>43010.0</v>
      </c>
      <c r="BJ102" s="11">
        <v>31140.0</v>
      </c>
      <c r="BK102" s="11">
        <v>27370.0</v>
      </c>
      <c r="BL102" s="11">
        <v>154680.0</v>
      </c>
      <c r="BM102" s="11">
        <v>72130.0</v>
      </c>
      <c r="BN102" s="11">
        <v>64840.0</v>
      </c>
      <c r="BO102" s="11">
        <v>58790.0</v>
      </c>
      <c r="BP102" s="11">
        <v>45900.0</v>
      </c>
      <c r="BQ102" s="11">
        <v>21930.0</v>
      </c>
      <c r="BR102" s="11">
        <v>48160.0</v>
      </c>
      <c r="BS102" s="11">
        <v>40500.0</v>
      </c>
      <c r="BT102" s="11">
        <v>37730.0</v>
      </c>
      <c r="BU102" s="11">
        <v>26180.0</v>
      </c>
      <c r="BV102" s="11">
        <v>13390.0</v>
      </c>
      <c r="BW102" s="11">
        <v>187500.0</v>
      </c>
      <c r="BX102" s="11">
        <v>152480.0</v>
      </c>
      <c r="BY102" s="11">
        <v>131410.0</v>
      </c>
      <c r="BZ102" s="11">
        <v>102710.0</v>
      </c>
      <c r="CA102" s="11">
        <v>192580.0</v>
      </c>
      <c r="CB102" s="11">
        <v>40550.0</v>
      </c>
      <c r="CC102" s="11">
        <v>38090.0</v>
      </c>
      <c r="CD102" s="11">
        <v>20400.0</v>
      </c>
      <c r="CE102" s="11">
        <v>11000.0</v>
      </c>
      <c r="CF102" s="11">
        <v>7130.0</v>
      </c>
      <c r="CG102" s="11">
        <v>3580.0</v>
      </c>
      <c r="CH102" s="11">
        <v>3580.0</v>
      </c>
      <c r="CI102" s="11">
        <v>1840.0</v>
      </c>
      <c r="CJ102" s="11">
        <v>1840.0</v>
      </c>
      <c r="CK102" s="11">
        <v>1840.0</v>
      </c>
      <c r="CL102" s="11">
        <v>463840.0</v>
      </c>
      <c r="CM102" s="11">
        <v>430600.0</v>
      </c>
      <c r="CN102" s="11">
        <v>412140.0</v>
      </c>
      <c r="CO102" s="11">
        <v>322860.0</v>
      </c>
      <c r="CP102" s="11">
        <v>285270.0</v>
      </c>
      <c r="CQ102" s="11">
        <v>14610.0</v>
      </c>
      <c r="CR102" s="11">
        <v>8880.0</v>
      </c>
      <c r="CS102" s="11">
        <v>3630.0</v>
      </c>
      <c r="CT102" s="11">
        <v>3390.0</v>
      </c>
      <c r="CU102" s="11">
        <v>2070.0</v>
      </c>
      <c r="CV102" s="11">
        <v>61680.0</v>
      </c>
      <c r="CW102" s="11">
        <v>197.0</v>
      </c>
      <c r="CX102" s="12"/>
      <c r="CY102" s="12"/>
      <c r="CZ102" s="12"/>
      <c r="DA102" s="12"/>
      <c r="DB102" s="11">
        <v>61680.0</v>
      </c>
      <c r="DC102" s="11">
        <v>165550.0</v>
      </c>
      <c r="DD102" s="11">
        <v>39230.0</v>
      </c>
      <c r="DE102" s="11">
        <v>31950.0</v>
      </c>
      <c r="DF102" s="11">
        <v>251050.0</v>
      </c>
      <c r="DG102" s="11">
        <v>233340.0</v>
      </c>
      <c r="DH102" s="11">
        <v>237380.0</v>
      </c>
      <c r="DI102" s="11">
        <v>153220.0</v>
      </c>
      <c r="DJ102" s="11">
        <v>125180.0</v>
      </c>
      <c r="DK102" s="11">
        <v>5030.0</v>
      </c>
      <c r="DL102" s="11">
        <v>5020.0</v>
      </c>
      <c r="DM102" s="11">
        <v>5010.0</v>
      </c>
      <c r="DN102" s="11">
        <v>5000.0</v>
      </c>
      <c r="DO102" s="12"/>
      <c r="DP102" s="11">
        <v>176100.0</v>
      </c>
      <c r="DQ102" s="11">
        <v>67300.0</v>
      </c>
      <c r="DR102" s="11">
        <v>198150.0</v>
      </c>
      <c r="DS102" s="11">
        <v>120640.0</v>
      </c>
      <c r="DT102" s="11">
        <v>113430.0</v>
      </c>
      <c r="DU102" s="13"/>
      <c r="DV102" s="12"/>
      <c r="DW102" s="12"/>
      <c r="DX102" s="13"/>
      <c r="DY102" s="13"/>
      <c r="DZ102" s="11">
        <v>212790.0</v>
      </c>
      <c r="EA102" s="11">
        <v>197260.0</v>
      </c>
      <c r="EB102" s="11">
        <v>174760.0</v>
      </c>
      <c r="EC102" s="11">
        <v>169650.0</v>
      </c>
      <c r="ED102" s="11">
        <v>160080.0</v>
      </c>
      <c r="EE102" s="14">
        <v>0.05</v>
      </c>
      <c r="EF102" s="14">
        <v>0.095</v>
      </c>
      <c r="EG102" s="14">
        <v>-0.188</v>
      </c>
      <c r="EH102" s="14">
        <v>-0.061</v>
      </c>
    </row>
    <row r="103">
      <c r="A103" s="9">
        <f t="shared" si="2"/>
        <v>101</v>
      </c>
      <c r="B103" s="10" t="s">
        <v>237</v>
      </c>
      <c r="C103" s="15">
        <v>509370.0</v>
      </c>
      <c r="D103" s="15">
        <v>461400.0</v>
      </c>
      <c r="E103" s="15">
        <v>450920.0</v>
      </c>
      <c r="F103" s="15">
        <v>421550.0</v>
      </c>
      <c r="G103" s="15">
        <v>383340.0</v>
      </c>
      <c r="H103" s="15">
        <v>335660.0</v>
      </c>
      <c r="I103" s="15">
        <v>327940.0</v>
      </c>
      <c r="J103" s="15">
        <v>115380.0</v>
      </c>
      <c r="K103" s="15">
        <v>111930.0</v>
      </c>
      <c r="L103" s="15">
        <v>91820.0</v>
      </c>
      <c r="M103" s="15">
        <v>65820.0</v>
      </c>
      <c r="N103" s="15">
        <v>60480.0</v>
      </c>
      <c r="O103" s="15">
        <v>122380.0</v>
      </c>
      <c r="P103" s="15">
        <v>103510.0</v>
      </c>
      <c r="Q103" s="15">
        <v>78680.0</v>
      </c>
      <c r="R103" s="15">
        <v>63880.0</v>
      </c>
      <c r="S103" s="15">
        <v>64270.0</v>
      </c>
      <c r="T103" s="15">
        <v>46430.0</v>
      </c>
      <c r="U103" s="15">
        <v>37340.0</v>
      </c>
      <c r="V103" s="15">
        <v>29840.0</v>
      </c>
      <c r="W103" s="15">
        <v>26010.0</v>
      </c>
      <c r="X103" s="15">
        <v>27080.0</v>
      </c>
      <c r="Y103" s="15">
        <v>0.0</v>
      </c>
      <c r="Z103" s="15">
        <v>0.0</v>
      </c>
      <c r="AA103" s="15">
        <v>0.0</v>
      </c>
      <c r="AB103" s="15">
        <v>1510.0</v>
      </c>
      <c r="AC103" s="15">
        <v>0.0</v>
      </c>
      <c r="AD103" s="15">
        <v>-13380.0</v>
      </c>
      <c r="AE103" s="15">
        <v>5660.0</v>
      </c>
      <c r="AF103" s="15">
        <v>12910.0</v>
      </c>
      <c r="AG103" s="15">
        <v>0.0</v>
      </c>
      <c r="AH103" s="15">
        <v>-3870.0</v>
      </c>
      <c r="AI103" s="15">
        <v>25040.0</v>
      </c>
      <c r="AJ103" s="15">
        <v>37840.0</v>
      </c>
      <c r="AK103" s="15">
        <v>40330.0</v>
      </c>
      <c r="AL103" s="15">
        <v>29250.0</v>
      </c>
      <c r="AM103" s="15">
        <v>23760.0</v>
      </c>
      <c r="AN103" s="15">
        <v>1860.0</v>
      </c>
      <c r="AO103" s="15">
        <v>14260.0</v>
      </c>
      <c r="AP103" s="15">
        <v>13830.0</v>
      </c>
      <c r="AQ103" s="15">
        <v>-2930.0</v>
      </c>
      <c r="AR103" s="15">
        <v>-7940.0</v>
      </c>
      <c r="AS103" s="15">
        <v>31420.0</v>
      </c>
      <c r="AT103" s="15">
        <v>3480.0</v>
      </c>
      <c r="AU103" s="15">
        <v>42650.0</v>
      </c>
      <c r="AV103" s="15">
        <v>40180.0</v>
      </c>
      <c r="AW103" s="15">
        <v>27130.0</v>
      </c>
      <c r="AX103" s="15">
        <v>-112460.0</v>
      </c>
      <c r="AY103" s="15">
        <v>-194130.0</v>
      </c>
      <c r="AZ103" s="15">
        <v>-55590.0</v>
      </c>
      <c r="BA103" s="15">
        <v>-21900.0</v>
      </c>
      <c r="BB103" s="15">
        <v>-21490.0</v>
      </c>
      <c r="BC103" s="15">
        <v>0.0</v>
      </c>
      <c r="BD103" s="15">
        <v>0.0</v>
      </c>
      <c r="BE103" s="15">
        <v>0.0</v>
      </c>
      <c r="BF103" s="15">
        <v>0.0</v>
      </c>
      <c r="BG103" s="15">
        <v>0.0</v>
      </c>
      <c r="BH103" s="15">
        <v>122260.0</v>
      </c>
      <c r="BI103" s="15">
        <v>137470.0</v>
      </c>
      <c r="BJ103" s="15">
        <v>115930.0</v>
      </c>
      <c r="BK103" s="15">
        <v>87960.0</v>
      </c>
      <c r="BL103" s="15">
        <v>106450.0</v>
      </c>
      <c r="BM103" s="15">
        <v>55440.0</v>
      </c>
      <c r="BN103" s="15">
        <v>52030.0</v>
      </c>
      <c r="BO103" s="15">
        <v>28410.0</v>
      </c>
      <c r="BP103" s="15">
        <v>26590.0</v>
      </c>
      <c r="BQ103" s="15">
        <v>38780.0</v>
      </c>
      <c r="BR103" s="15">
        <v>112230.0</v>
      </c>
      <c r="BS103" s="15">
        <v>90410.0</v>
      </c>
      <c r="BT103" s="15">
        <v>76250.0</v>
      </c>
      <c r="BU103" s="15">
        <v>68850.0</v>
      </c>
      <c r="BV103" s="15">
        <v>64180.0</v>
      </c>
      <c r="BW103" s="15">
        <v>294470.0</v>
      </c>
      <c r="BX103" s="15">
        <v>285210.0</v>
      </c>
      <c r="BY103" s="15">
        <v>225480.0</v>
      </c>
      <c r="BZ103" s="15">
        <v>187930.0</v>
      </c>
      <c r="CA103" s="15">
        <v>215890.0</v>
      </c>
      <c r="CB103" s="15">
        <v>414580.0</v>
      </c>
      <c r="CC103" s="15">
        <v>349260.0</v>
      </c>
      <c r="CD103" s="15">
        <v>152350.0</v>
      </c>
      <c r="CE103" s="15">
        <v>116630.0</v>
      </c>
      <c r="CF103" s="15">
        <v>120270.0</v>
      </c>
      <c r="CG103" s="15">
        <v>0.0</v>
      </c>
      <c r="CH103" s="15">
        <v>0.0</v>
      </c>
      <c r="CI103" s="15">
        <v>0.0</v>
      </c>
      <c r="CJ103" s="15">
        <v>0.0</v>
      </c>
      <c r="CK103" s="15">
        <v>0.0</v>
      </c>
      <c r="CL103" s="15">
        <v>739390.0</v>
      </c>
      <c r="CM103" s="15">
        <v>667050.0</v>
      </c>
      <c r="CN103" s="15">
        <v>398410.0</v>
      </c>
      <c r="CO103" s="15">
        <v>318510.0</v>
      </c>
      <c r="CP103" s="15">
        <v>348620.0</v>
      </c>
      <c r="CQ103" s="15">
        <v>94380.0</v>
      </c>
      <c r="CR103" s="15">
        <v>92660.0</v>
      </c>
      <c r="CS103" s="15">
        <v>63130.0</v>
      </c>
      <c r="CT103" s="15">
        <v>42720.0</v>
      </c>
      <c r="CU103" s="15">
        <v>44080.0</v>
      </c>
      <c r="CV103" s="15">
        <v>177960.0</v>
      </c>
      <c r="CW103" s="15">
        <v>26610.0</v>
      </c>
      <c r="CX103" s="15">
        <v>3810.0</v>
      </c>
      <c r="CY103" s="16">
        <v>0.0</v>
      </c>
      <c r="CZ103" s="16">
        <v>0.0</v>
      </c>
      <c r="DA103" s="15">
        <v>0.0</v>
      </c>
      <c r="DB103" s="15">
        <v>177960.0</v>
      </c>
      <c r="DC103" s="15">
        <v>154680.0</v>
      </c>
      <c r="DD103" s="15">
        <v>94910.0</v>
      </c>
      <c r="DE103" s="15">
        <v>69480.0</v>
      </c>
      <c r="DF103" s="15">
        <v>296110.0</v>
      </c>
      <c r="DG103" s="15">
        <v>240890.0</v>
      </c>
      <c r="DH103" s="15">
        <v>99860.0</v>
      </c>
      <c r="DI103" s="15">
        <v>76470.0</v>
      </c>
      <c r="DJ103" s="15">
        <v>72500.0</v>
      </c>
      <c r="DK103" s="15">
        <v>2740.0</v>
      </c>
      <c r="DL103" s="15">
        <v>3140.0</v>
      </c>
      <c r="DM103" s="15">
        <v>2310.0</v>
      </c>
      <c r="DN103" s="15">
        <v>1530.0</v>
      </c>
      <c r="DO103" s="15">
        <v>1320.0</v>
      </c>
      <c r="DP103" s="15">
        <v>102760.0</v>
      </c>
      <c r="DQ103" s="15">
        <v>83580.0</v>
      </c>
      <c r="DR103" s="15">
        <v>0.0</v>
      </c>
      <c r="DS103" s="15">
        <v>1700.0</v>
      </c>
      <c r="DT103" s="15">
        <v>0.0</v>
      </c>
      <c r="DU103" s="16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291020.0</v>
      </c>
      <c r="EA103" s="15">
        <v>278590.0</v>
      </c>
      <c r="EB103" s="15">
        <v>270770.0</v>
      </c>
      <c r="EC103" s="15">
        <v>242140.0</v>
      </c>
      <c r="ED103" s="15">
        <v>276110.0</v>
      </c>
      <c r="EE103" s="17">
        <v>0.001</v>
      </c>
      <c r="EF103" s="17">
        <v>0.047</v>
      </c>
      <c r="EG103" s="17">
        <v>1.75</v>
      </c>
      <c r="EH103" s="17">
        <v>0.658</v>
      </c>
    </row>
    <row r="104">
      <c r="A104" s="9">
        <f t="shared" si="2"/>
        <v>102</v>
      </c>
      <c r="B104" s="25" t="s">
        <v>238</v>
      </c>
      <c r="C104" s="15">
        <v>9510000.0</v>
      </c>
      <c r="D104" s="15">
        <v>8820000.0</v>
      </c>
      <c r="E104" s="15">
        <v>8920000.0</v>
      </c>
      <c r="F104" s="15">
        <v>8930000.0</v>
      </c>
      <c r="G104" s="15">
        <v>8190000.0</v>
      </c>
      <c r="H104" s="15">
        <v>7500000.0</v>
      </c>
      <c r="I104" s="15">
        <v>9890000.0</v>
      </c>
      <c r="J104" s="15">
        <v>2940000.0</v>
      </c>
      <c r="K104" s="15">
        <v>2740000.0</v>
      </c>
      <c r="L104" s="15">
        <v>2440000.0</v>
      </c>
      <c r="M104" s="15">
        <v>2330000.0</v>
      </c>
      <c r="N104" s="15">
        <v>2950000.0</v>
      </c>
      <c r="O104" s="15">
        <v>822900.0</v>
      </c>
      <c r="P104" s="15">
        <v>825300.0</v>
      </c>
      <c r="Q104" s="15">
        <v>771100.0</v>
      </c>
      <c r="R104" s="15">
        <v>756600.0</v>
      </c>
      <c r="S104" s="15">
        <v>1080000.0</v>
      </c>
      <c r="T104" s="15">
        <v>72900.0</v>
      </c>
      <c r="U104" s="15">
        <v>64500.0</v>
      </c>
      <c r="V104" s="15">
        <v>57600.0</v>
      </c>
      <c r="W104" s="15">
        <v>71600.0</v>
      </c>
      <c r="X104" s="15">
        <v>138800.0</v>
      </c>
      <c r="Y104" s="15">
        <v>2080000.0</v>
      </c>
      <c r="Z104" s="15">
        <v>1850000.0</v>
      </c>
      <c r="AA104" s="15">
        <v>-369500.0</v>
      </c>
      <c r="AB104" s="15">
        <v>-109300.0</v>
      </c>
      <c r="AC104" s="15">
        <v>1620000.0</v>
      </c>
      <c r="AD104" s="15">
        <v>2290000.0</v>
      </c>
      <c r="AE104" s="15">
        <v>2020000.0</v>
      </c>
      <c r="AF104" s="15">
        <v>1420000.0</v>
      </c>
      <c r="AG104" s="15">
        <v>1550000.0</v>
      </c>
      <c r="AH104" s="15">
        <v>1730000.0</v>
      </c>
      <c r="AI104" s="15">
        <v>3200000.0</v>
      </c>
      <c r="AJ104" s="15">
        <v>2890000.0</v>
      </c>
      <c r="AK104" s="15">
        <v>2530000.0</v>
      </c>
      <c r="AL104" s="15">
        <v>2430000.0</v>
      </c>
      <c r="AM104" s="15">
        <v>2810000.0</v>
      </c>
      <c r="AN104" s="15">
        <v>1760000.0</v>
      </c>
      <c r="AO104" s="15">
        <v>1460000.0</v>
      </c>
      <c r="AP104" s="15">
        <v>1130000.0</v>
      </c>
      <c r="AQ104" s="15">
        <v>1100000.0</v>
      </c>
      <c r="AR104" s="15">
        <v>1280000.0</v>
      </c>
      <c r="AS104" s="15">
        <v>2970000.0</v>
      </c>
      <c r="AT104" s="15">
        <v>2550000.0</v>
      </c>
      <c r="AU104" s="15">
        <v>2530000.0</v>
      </c>
      <c r="AV104" s="15">
        <v>2260000.0</v>
      </c>
      <c r="AW104" s="15">
        <v>2440000.0</v>
      </c>
      <c r="AX104" s="15">
        <v>-1990000.0</v>
      </c>
      <c r="AY104" s="15">
        <v>-1570000.0</v>
      </c>
      <c r="AZ104" s="15">
        <v>-1040000.0</v>
      </c>
      <c r="BA104" s="15">
        <v>-907700.0</v>
      </c>
      <c r="BB104" s="15">
        <v>-1610000.0</v>
      </c>
      <c r="BC104" s="15">
        <v>-994000.0</v>
      </c>
      <c r="BD104" s="15">
        <v>-897800.0</v>
      </c>
      <c r="BE104" s="15">
        <v>-787900.0</v>
      </c>
      <c r="BF104" s="15">
        <v>-721200.0</v>
      </c>
      <c r="BG104" s="15">
        <v>-677500.0</v>
      </c>
      <c r="BH104" s="15">
        <v>2410000.0</v>
      </c>
      <c r="BI104" s="15">
        <v>2980000.0</v>
      </c>
      <c r="BJ104" s="15">
        <v>3680000.0</v>
      </c>
      <c r="BK104" s="15">
        <v>1290000.0</v>
      </c>
      <c r="BL104" s="15">
        <v>206400.0</v>
      </c>
      <c r="BM104" s="15">
        <v>1620000.0</v>
      </c>
      <c r="BN104" s="15">
        <v>1580000.0</v>
      </c>
      <c r="BO104" s="15">
        <v>1630000.0</v>
      </c>
      <c r="BP104" s="15">
        <v>1650000.0</v>
      </c>
      <c r="BQ104" s="15">
        <v>1840000.0</v>
      </c>
      <c r="BR104" s="15">
        <v>388300.0</v>
      </c>
      <c r="BS104" s="15">
        <v>396100.0</v>
      </c>
      <c r="BT104" s="15">
        <v>335400.0</v>
      </c>
      <c r="BU104" s="15">
        <v>347800.0</v>
      </c>
      <c r="BV104" s="15">
        <v>657800.0</v>
      </c>
      <c r="BW104" s="15">
        <v>4620000.0</v>
      </c>
      <c r="BX104" s="15">
        <v>5080000.0</v>
      </c>
      <c r="BY104" s="15">
        <v>5880000.0</v>
      </c>
      <c r="BZ104" s="15">
        <v>4320000.0</v>
      </c>
      <c r="CA104" s="15">
        <v>2910000.0</v>
      </c>
      <c r="CB104" s="15">
        <v>1.034E7</v>
      </c>
      <c r="CC104" s="15">
        <v>9920000.0</v>
      </c>
      <c r="CD104" s="15">
        <v>8440000.0</v>
      </c>
      <c r="CE104" s="15">
        <v>8260000.0</v>
      </c>
      <c r="CF104" s="15">
        <v>9640000.0</v>
      </c>
      <c r="CG104" s="15">
        <v>797100.0</v>
      </c>
      <c r="CH104" s="15">
        <v>788900.0</v>
      </c>
      <c r="CI104" s="15">
        <v>721500.0</v>
      </c>
      <c r="CJ104" s="15">
        <v>845100.0</v>
      </c>
      <c r="CK104" s="15">
        <v>1130000.0</v>
      </c>
      <c r="CL104" s="15">
        <v>1.894E7</v>
      </c>
      <c r="CM104" s="15">
        <v>1.918E7</v>
      </c>
      <c r="CN104" s="15">
        <v>1.847E7</v>
      </c>
      <c r="CO104" s="15">
        <v>1.803E7</v>
      </c>
      <c r="CP104" s="15">
        <v>1.744E7</v>
      </c>
      <c r="CQ104" s="15">
        <v>519300.0</v>
      </c>
      <c r="CR104" s="15">
        <v>594600.0</v>
      </c>
      <c r="CS104" s="15">
        <v>659500.0</v>
      </c>
      <c r="CT104" s="15">
        <v>578800.0</v>
      </c>
      <c r="CU104" s="15">
        <v>638900.0</v>
      </c>
      <c r="CV104" s="15">
        <v>1820000.0</v>
      </c>
      <c r="CW104" s="15">
        <v>58200.0</v>
      </c>
      <c r="CX104" s="15">
        <v>54300.0</v>
      </c>
      <c r="CY104" s="15">
        <v>144000.0</v>
      </c>
      <c r="CZ104" s="15">
        <v>935800.0</v>
      </c>
      <c r="DA104" s="15">
        <v>1490000.0</v>
      </c>
      <c r="DB104" s="15">
        <v>1820000.0</v>
      </c>
      <c r="DC104" s="15">
        <v>2340000.0</v>
      </c>
      <c r="DD104" s="15">
        <v>2490000.0</v>
      </c>
      <c r="DE104" s="15">
        <v>3280000.0</v>
      </c>
      <c r="DF104" s="15">
        <v>7550000.0</v>
      </c>
      <c r="DG104" s="15">
        <v>8000000.0</v>
      </c>
      <c r="DH104" s="15">
        <v>8280000.0</v>
      </c>
      <c r="DI104" s="15">
        <v>1.082E7</v>
      </c>
      <c r="DJ104" s="15">
        <v>1.006E7</v>
      </c>
      <c r="DK104" s="15">
        <v>1360000.0</v>
      </c>
      <c r="DL104" s="15">
        <v>1360000.0</v>
      </c>
      <c r="DM104" s="15">
        <v>1420000.0</v>
      </c>
      <c r="DN104" s="15">
        <v>1490000.0</v>
      </c>
      <c r="DO104" s="15">
        <v>1510000.0</v>
      </c>
      <c r="DP104" s="15">
        <v>3230000.0</v>
      </c>
      <c r="DQ104" s="15">
        <v>3350000.0</v>
      </c>
      <c r="DR104" s="15">
        <v>3400000.0</v>
      </c>
      <c r="DS104" s="15">
        <v>3910000.0</v>
      </c>
      <c r="DT104" s="15">
        <v>3950000.0</v>
      </c>
      <c r="DU104" s="13"/>
      <c r="DV104" s="12"/>
      <c r="DW104" s="12"/>
      <c r="DX104" s="13"/>
      <c r="DY104" s="13"/>
      <c r="DZ104" s="15">
        <v>1.105E7</v>
      </c>
      <c r="EA104" s="15">
        <v>1.086E7</v>
      </c>
      <c r="EB104" s="15">
        <v>1.009E7</v>
      </c>
      <c r="EC104" s="15">
        <v>7080000.0</v>
      </c>
      <c r="ED104" s="15">
        <v>7250000.0</v>
      </c>
      <c r="EE104" s="23">
        <v>0.084</v>
      </c>
      <c r="EF104" s="23">
        <v>0.212</v>
      </c>
      <c r="EG104" s="23">
        <v>-0.01</v>
      </c>
      <c r="EH104" s="23">
        <v>0.005</v>
      </c>
    </row>
    <row r="105">
      <c r="A105" s="9">
        <f t="shared" si="2"/>
        <v>103</v>
      </c>
      <c r="B105" s="22" t="s">
        <v>239</v>
      </c>
      <c r="C105" s="11">
        <v>27470.0</v>
      </c>
      <c r="D105" s="12"/>
      <c r="E105" s="12"/>
      <c r="F105" s="12"/>
      <c r="G105" s="12"/>
      <c r="H105" s="12"/>
      <c r="I105" s="12"/>
      <c r="J105" s="11">
        <v>-595.0</v>
      </c>
      <c r="K105" s="12"/>
      <c r="L105" s="11">
        <v>-12.0</v>
      </c>
      <c r="M105" s="12"/>
      <c r="N105" s="12"/>
      <c r="O105" s="11">
        <v>287420.0</v>
      </c>
      <c r="P105" s="11">
        <v>127920.0</v>
      </c>
      <c r="Q105" s="11">
        <v>50760.0</v>
      </c>
      <c r="R105" s="11">
        <v>27280.0</v>
      </c>
      <c r="S105" s="11">
        <v>20090.0</v>
      </c>
      <c r="T105" s="11">
        <v>220970.0</v>
      </c>
      <c r="U105" s="11">
        <v>105290.0</v>
      </c>
      <c r="V105" s="11">
        <v>40300.0</v>
      </c>
      <c r="W105" s="11">
        <v>22980.0</v>
      </c>
      <c r="X105" s="11">
        <v>13730.0</v>
      </c>
      <c r="Y105" s="11">
        <v>-304360.0</v>
      </c>
      <c r="Z105" s="11">
        <v>-127840.0</v>
      </c>
      <c r="AA105" s="11">
        <v>-50920.0</v>
      </c>
      <c r="AB105" s="12"/>
      <c r="AC105" s="11">
        <v>-46570.0</v>
      </c>
      <c r="AD105" s="11">
        <v>-304710.0</v>
      </c>
      <c r="AE105" s="11">
        <v>-127500.0</v>
      </c>
      <c r="AF105" s="11">
        <v>-51010.0</v>
      </c>
      <c r="AG105" s="11">
        <v>-27120.0</v>
      </c>
      <c r="AH105" s="11">
        <v>-46520.0</v>
      </c>
      <c r="AI105" s="11">
        <v>-287420.0</v>
      </c>
      <c r="AJ105" s="12"/>
      <c r="AK105" s="11">
        <v>-50760.0</v>
      </c>
      <c r="AL105" s="11">
        <v>-27280.0</v>
      </c>
      <c r="AM105" s="11">
        <v>-20090.0</v>
      </c>
      <c r="AN105" s="11">
        <v>-304710.0</v>
      </c>
      <c r="AO105" s="11">
        <v>-127500.0</v>
      </c>
      <c r="AP105" s="11">
        <v>-51010.0</v>
      </c>
      <c r="AQ105" s="11">
        <v>-27120.0</v>
      </c>
      <c r="AR105" s="11">
        <v>-46520.0</v>
      </c>
      <c r="AS105" s="11">
        <v>-211140.0</v>
      </c>
      <c r="AT105" s="11">
        <v>-131260.0</v>
      </c>
      <c r="AU105" s="11">
        <v>-46600.0</v>
      </c>
      <c r="AV105" s="11">
        <v>-26000.0</v>
      </c>
      <c r="AW105" s="11">
        <v>-18860.0</v>
      </c>
      <c r="AX105" s="11">
        <v>-1690.0</v>
      </c>
      <c r="AY105" s="12"/>
      <c r="AZ105" s="12"/>
      <c r="BA105" s="12"/>
      <c r="BB105" s="12"/>
      <c r="BC105" s="12"/>
      <c r="BD105" s="12"/>
      <c r="BE105" s="12"/>
      <c r="BF105" s="12"/>
      <c r="BG105" s="12"/>
      <c r="BH105" s="11">
        <v>351990.0</v>
      </c>
      <c r="BI105" s="11">
        <v>176270.0</v>
      </c>
      <c r="BJ105" s="11">
        <v>175640.0</v>
      </c>
      <c r="BK105" s="11">
        <v>24860.0</v>
      </c>
      <c r="BL105" s="11">
        <v>36000.0</v>
      </c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1">
        <v>373090.0</v>
      </c>
      <c r="BX105" s="11">
        <v>202440.0</v>
      </c>
      <c r="BY105" s="11">
        <v>182020.0</v>
      </c>
      <c r="BZ105" s="11">
        <v>27370.0</v>
      </c>
      <c r="CA105" s="11">
        <v>38040.0</v>
      </c>
      <c r="CB105" s="11">
        <v>15770.0</v>
      </c>
      <c r="CC105" s="12"/>
      <c r="CD105" s="12"/>
      <c r="CE105" s="12"/>
      <c r="CF105" s="12"/>
      <c r="CG105" s="12"/>
      <c r="CH105" s="12"/>
      <c r="CI105" s="12"/>
      <c r="CJ105" s="12"/>
      <c r="CK105" s="12"/>
      <c r="CL105" s="11">
        <v>389240.0</v>
      </c>
      <c r="CM105" s="11">
        <v>203530.0</v>
      </c>
      <c r="CN105" s="11">
        <v>182130.0</v>
      </c>
      <c r="CO105" s="11">
        <v>27430.0</v>
      </c>
      <c r="CP105" s="11">
        <v>38180.0</v>
      </c>
      <c r="CQ105" s="11">
        <v>8360.0</v>
      </c>
      <c r="CR105" s="12"/>
      <c r="CS105" s="12"/>
      <c r="CT105" s="11">
        <v>2550.0</v>
      </c>
      <c r="CU105" s="11">
        <v>2480.0</v>
      </c>
      <c r="CV105" s="11">
        <v>65750.0</v>
      </c>
      <c r="CW105" s="11">
        <v>2610.0</v>
      </c>
      <c r="CX105" s="12"/>
      <c r="CY105" s="12"/>
      <c r="CZ105" s="12"/>
      <c r="DA105" s="12"/>
      <c r="DB105" s="11">
        <v>65750.0</v>
      </c>
      <c r="DC105" s="11">
        <v>17020.0</v>
      </c>
      <c r="DD105" s="11">
        <v>6550.0</v>
      </c>
      <c r="DE105" s="11">
        <v>3640.0</v>
      </c>
      <c r="DF105" s="11">
        <v>355020.0</v>
      </c>
      <c r="DG105" s="11">
        <v>42560.0</v>
      </c>
      <c r="DH105" s="11">
        <v>33190.0</v>
      </c>
      <c r="DI105" s="11">
        <v>3640.0</v>
      </c>
      <c r="DJ105" s="11">
        <v>3200.0</v>
      </c>
      <c r="DK105" s="12"/>
      <c r="DL105" s="12"/>
      <c r="DM105" s="12"/>
      <c r="DN105" s="12"/>
      <c r="DO105" s="12"/>
      <c r="DP105" s="11">
        <v>154420.0</v>
      </c>
      <c r="DQ105" s="11">
        <v>25380.0</v>
      </c>
      <c r="DR105" s="11">
        <v>26390.0</v>
      </c>
      <c r="DS105" s="12"/>
      <c r="DT105" s="12"/>
      <c r="DU105" s="13"/>
      <c r="DV105" s="12"/>
      <c r="DW105" s="12"/>
      <c r="DX105" s="11">
        <v>92050.0</v>
      </c>
      <c r="DY105" s="11">
        <v>77190.0</v>
      </c>
      <c r="DZ105" s="11">
        <v>34230.0</v>
      </c>
      <c r="EA105" s="11">
        <v>160970.0</v>
      </c>
      <c r="EB105" s="11">
        <v>148940.0</v>
      </c>
      <c r="EC105" s="11">
        <v>23790.0</v>
      </c>
      <c r="ED105" s="11">
        <v>34980.0</v>
      </c>
      <c r="EE105" s="23"/>
      <c r="EF105" s="14">
        <v>3.712</v>
      </c>
      <c r="EG105" s="14">
        <v>-0.18</v>
      </c>
      <c r="EH105" s="14">
        <v>-0.37</v>
      </c>
    </row>
    <row r="106">
      <c r="A106" s="9">
        <f t="shared" si="2"/>
        <v>104</v>
      </c>
      <c r="B106" s="22" t="s">
        <v>240</v>
      </c>
      <c r="C106" s="11">
        <v>1190.0</v>
      </c>
      <c r="D106" s="12"/>
      <c r="E106" s="12"/>
      <c r="F106" s="12"/>
      <c r="G106" s="12"/>
      <c r="H106" s="12"/>
      <c r="I106" s="12"/>
      <c r="J106" s="11">
        <v>-23.0</v>
      </c>
      <c r="K106" s="12"/>
      <c r="L106" s="12"/>
      <c r="M106" s="12"/>
      <c r="N106" s="12"/>
      <c r="O106" s="11">
        <v>45560.0</v>
      </c>
      <c r="P106" s="11">
        <v>13520.0</v>
      </c>
      <c r="Q106" s="11">
        <v>4290.0</v>
      </c>
      <c r="R106" s="12"/>
      <c r="S106" s="12"/>
      <c r="T106" s="11">
        <v>32350.0</v>
      </c>
      <c r="U106" s="11">
        <v>11470.0</v>
      </c>
      <c r="V106" s="11">
        <v>3700.0</v>
      </c>
      <c r="W106" s="12"/>
      <c r="X106" s="12"/>
      <c r="Y106" s="12"/>
      <c r="Z106" s="11">
        <v>-14880.0</v>
      </c>
      <c r="AA106" s="12"/>
      <c r="AB106" s="12"/>
      <c r="AC106" s="12"/>
      <c r="AD106" s="11">
        <v>-45510.0</v>
      </c>
      <c r="AE106" s="11">
        <v>-16520.0</v>
      </c>
      <c r="AF106" s="11">
        <v>-4280.0</v>
      </c>
      <c r="AG106" s="12"/>
      <c r="AH106" s="12"/>
      <c r="AI106" s="11">
        <v>-45560.0</v>
      </c>
      <c r="AJ106" s="11">
        <v>-13520.0</v>
      </c>
      <c r="AK106" s="11">
        <v>-4290.0</v>
      </c>
      <c r="AL106" s="12"/>
      <c r="AM106" s="12"/>
      <c r="AN106" s="11">
        <v>-45510.0</v>
      </c>
      <c r="AO106" s="11">
        <v>-16520.0</v>
      </c>
      <c r="AP106" s="11">
        <v>-4280.0</v>
      </c>
      <c r="AQ106" s="12"/>
      <c r="AR106" s="12"/>
      <c r="AS106" s="11">
        <v>-36310.0</v>
      </c>
      <c r="AT106" s="11">
        <v>-11180.0</v>
      </c>
      <c r="AU106" s="11">
        <v>-3200.0</v>
      </c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1">
        <v>38850.0</v>
      </c>
      <c r="BI106" s="11">
        <v>18750.0</v>
      </c>
      <c r="BJ106" s="11">
        <v>3280.0</v>
      </c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1">
        <v>46160.0</v>
      </c>
      <c r="BX106" s="11">
        <v>19950.0</v>
      </c>
      <c r="BY106" s="11">
        <v>3290.0</v>
      </c>
      <c r="BZ106" s="12"/>
      <c r="CA106" s="12"/>
      <c r="CB106" s="11">
        <v>2040.0</v>
      </c>
      <c r="CC106" s="12"/>
      <c r="CD106" s="12"/>
      <c r="CE106" s="12"/>
      <c r="CF106" s="12"/>
      <c r="CG106" s="12"/>
      <c r="CH106" s="12"/>
      <c r="CI106" s="12"/>
      <c r="CJ106" s="12"/>
      <c r="CK106" s="12"/>
      <c r="CL106" s="11">
        <v>48390.0</v>
      </c>
      <c r="CM106" s="11">
        <v>20250.0</v>
      </c>
      <c r="CN106" s="11">
        <v>3290.0</v>
      </c>
      <c r="CO106" s="12"/>
      <c r="CP106" s="12"/>
      <c r="CQ106" s="11">
        <v>8790.0</v>
      </c>
      <c r="CR106" s="11">
        <v>3020.0</v>
      </c>
      <c r="CS106" s="11">
        <v>713.0</v>
      </c>
      <c r="CT106" s="12"/>
      <c r="CU106" s="12"/>
      <c r="CV106" s="11">
        <v>14100.0</v>
      </c>
      <c r="CW106" s="11">
        <v>356.0</v>
      </c>
      <c r="CX106" s="12"/>
      <c r="CY106" s="12"/>
      <c r="CZ106" s="12"/>
      <c r="DA106" s="12"/>
      <c r="DB106" s="11">
        <v>14100.0</v>
      </c>
      <c r="DC106" s="11">
        <v>4430.0</v>
      </c>
      <c r="DD106" s="11">
        <v>993.0</v>
      </c>
      <c r="DE106" s="12"/>
      <c r="DF106" s="11">
        <v>15780.0</v>
      </c>
      <c r="DG106" s="11">
        <v>4430.0</v>
      </c>
      <c r="DH106" s="11">
        <v>993.0</v>
      </c>
      <c r="DI106" s="12"/>
      <c r="DJ106" s="12"/>
      <c r="DK106" s="12"/>
      <c r="DL106" s="12"/>
      <c r="DM106" s="12"/>
      <c r="DN106" s="12"/>
      <c r="DO106" s="12"/>
      <c r="DP106" s="11">
        <v>1680.0</v>
      </c>
      <c r="DQ106" s="12"/>
      <c r="DR106" s="12"/>
      <c r="DS106" s="12"/>
      <c r="DT106" s="12"/>
      <c r="DU106" s="13"/>
      <c r="DV106" s="11">
        <v>35410.0</v>
      </c>
      <c r="DW106" s="11">
        <v>6250.0</v>
      </c>
      <c r="DX106" s="13"/>
      <c r="DY106" s="13"/>
      <c r="DZ106" s="11">
        <v>32610.0</v>
      </c>
      <c r="EA106" s="11">
        <v>15820.0</v>
      </c>
      <c r="EB106" s="11">
        <v>2290.0</v>
      </c>
      <c r="EC106" s="12"/>
      <c r="ED106" s="12"/>
      <c r="EE106" s="23"/>
      <c r="EF106" s="23"/>
      <c r="EG106" s="14">
        <v>-0.841</v>
      </c>
      <c r="EH106" s="14">
        <v>-0.575</v>
      </c>
    </row>
    <row r="107">
      <c r="A107" s="9">
        <f t="shared" si="2"/>
        <v>105</v>
      </c>
      <c r="B107" s="10" t="s">
        <v>241</v>
      </c>
      <c r="C107" s="11">
        <v>1330000.0</v>
      </c>
      <c r="D107" s="11">
        <v>1280000.0</v>
      </c>
      <c r="E107" s="11">
        <v>1390000.0</v>
      </c>
      <c r="F107" s="11">
        <v>1400000.0</v>
      </c>
      <c r="G107" s="11">
        <v>1330000.0</v>
      </c>
      <c r="H107" s="11">
        <v>1110000.0</v>
      </c>
      <c r="I107" s="11">
        <v>981190.0</v>
      </c>
      <c r="J107" s="11">
        <v>319260.0</v>
      </c>
      <c r="K107" s="11">
        <v>287370.0</v>
      </c>
      <c r="L107" s="11">
        <v>317220.0</v>
      </c>
      <c r="M107" s="11">
        <v>290220.0</v>
      </c>
      <c r="N107" s="11">
        <v>244370.0</v>
      </c>
      <c r="O107" s="11">
        <v>231410.0</v>
      </c>
      <c r="P107" s="11">
        <v>216940.0</v>
      </c>
      <c r="Q107" s="11">
        <v>202930.0</v>
      </c>
      <c r="R107" s="11">
        <v>168000.0</v>
      </c>
      <c r="S107" s="11">
        <v>146980.0</v>
      </c>
      <c r="T107" s="11">
        <v>16600.0</v>
      </c>
      <c r="U107" s="11">
        <v>19500.0</v>
      </c>
      <c r="V107" s="11">
        <v>14000.0</v>
      </c>
      <c r="W107" s="11">
        <v>8600.0</v>
      </c>
      <c r="X107" s="11">
        <v>8000.0</v>
      </c>
      <c r="Y107" s="11"/>
      <c r="Z107" s="11">
        <v>67280.0</v>
      </c>
      <c r="AA107" s="11"/>
      <c r="AB107" s="11"/>
      <c r="AC107" s="11"/>
      <c r="AD107" s="11">
        <v>79750.0</v>
      </c>
      <c r="AE107" s="11">
        <v>58660.0</v>
      </c>
      <c r="AF107" s="11">
        <v>109880.0</v>
      </c>
      <c r="AG107" s="11">
        <v>122810.0</v>
      </c>
      <c r="AH107" s="11">
        <v>97320.0</v>
      </c>
      <c r="AI107" s="11">
        <v>144070.0</v>
      </c>
      <c r="AJ107" s="11">
        <v>120230.0</v>
      </c>
      <c r="AK107" s="11">
        <v>169130.0</v>
      </c>
      <c r="AL107" s="11">
        <v>157830.0</v>
      </c>
      <c r="AM107" s="11">
        <v>128640.0</v>
      </c>
      <c r="AN107" s="11">
        <v>61910.0</v>
      </c>
      <c r="AO107" s="11">
        <v>45690.0</v>
      </c>
      <c r="AP107" s="11">
        <v>79490.0</v>
      </c>
      <c r="AQ107" s="11">
        <v>85790.0</v>
      </c>
      <c r="AR107" s="11">
        <v>65340.0</v>
      </c>
      <c r="AS107" s="11">
        <v>118090.0</v>
      </c>
      <c r="AT107" s="11">
        <v>96420.0</v>
      </c>
      <c r="AU107" s="11">
        <v>127460.0</v>
      </c>
      <c r="AV107" s="11">
        <v>124000.0</v>
      </c>
      <c r="AW107" s="11">
        <v>123950.0</v>
      </c>
      <c r="AX107" s="11">
        <v>-51430.0</v>
      </c>
      <c r="AY107" s="11">
        <v>-60720.0</v>
      </c>
      <c r="AZ107" s="11">
        <v>-53200.0</v>
      </c>
      <c r="BA107" s="11">
        <v>-68060.0</v>
      </c>
      <c r="BB107" s="11">
        <v>-42040.0</v>
      </c>
      <c r="BC107" s="11">
        <v>-18710.0</v>
      </c>
      <c r="BD107" s="11">
        <v>-17860.0</v>
      </c>
      <c r="BE107" s="11">
        <v>-16390.0</v>
      </c>
      <c r="BF107" s="11">
        <v>-14670.0</v>
      </c>
      <c r="BG107" s="11">
        <v>-13180.0</v>
      </c>
      <c r="BH107" s="11">
        <v>14950.0</v>
      </c>
      <c r="BI107" s="11">
        <v>29240.0</v>
      </c>
      <c r="BJ107" s="11">
        <v>19780.0</v>
      </c>
      <c r="BK107" s="11">
        <v>27850.0</v>
      </c>
      <c r="BL107" s="11">
        <v>90640.0</v>
      </c>
      <c r="BM107" s="11">
        <v>270390.0</v>
      </c>
      <c r="BN107" s="11">
        <v>247860.0</v>
      </c>
      <c r="BO107" s="11">
        <v>213890.0</v>
      </c>
      <c r="BP107" s="11">
        <v>187480.0</v>
      </c>
      <c r="BQ107" s="11">
        <v>172830.0</v>
      </c>
      <c r="BR107" s="11">
        <v>71090.0</v>
      </c>
      <c r="BS107" s="11">
        <v>78340.0</v>
      </c>
      <c r="BT107" s="11">
        <v>85030.0</v>
      </c>
      <c r="BU107" s="11">
        <v>73410.0</v>
      </c>
      <c r="BV107" s="11">
        <v>63390.0</v>
      </c>
      <c r="BW107" s="11">
        <v>381910.0</v>
      </c>
      <c r="BX107" s="11">
        <v>371900.0</v>
      </c>
      <c r="BY107" s="11">
        <v>336280.0</v>
      </c>
      <c r="BZ107" s="11">
        <v>297460.0</v>
      </c>
      <c r="CA107" s="11">
        <v>336790.0</v>
      </c>
      <c r="CB107" s="11">
        <v>377280.0</v>
      </c>
      <c r="CC107" s="11">
        <v>315820.0</v>
      </c>
      <c r="CD107" s="11">
        <v>304060.0</v>
      </c>
      <c r="CE107" s="11">
        <v>246750.0</v>
      </c>
      <c r="CF107" s="11">
        <v>202460.0</v>
      </c>
      <c r="CG107" s="11">
        <v>185520.0</v>
      </c>
      <c r="CH107" s="11">
        <v>185830.0</v>
      </c>
      <c r="CI107" s="11">
        <v>180960.0</v>
      </c>
      <c r="CJ107" s="11">
        <v>101330.0</v>
      </c>
      <c r="CK107" s="11">
        <v>74000.0</v>
      </c>
      <c r="CL107" s="11">
        <v>1130000.0</v>
      </c>
      <c r="CM107" s="11">
        <v>1070000.0</v>
      </c>
      <c r="CN107" s="11">
        <v>1020000.0</v>
      </c>
      <c r="CO107" s="11">
        <v>784660.0</v>
      </c>
      <c r="CP107" s="11">
        <v>657440.0</v>
      </c>
      <c r="CQ107" s="11">
        <v>69060.0</v>
      </c>
      <c r="CR107" s="11">
        <v>72220.0</v>
      </c>
      <c r="CS107" s="11">
        <v>68420.0</v>
      </c>
      <c r="CT107" s="11">
        <v>63180.0</v>
      </c>
      <c r="CU107" s="11">
        <v>64760.0</v>
      </c>
      <c r="CV107" s="11">
        <v>276860.0</v>
      </c>
      <c r="CW107" s="11">
        <v>11270.0</v>
      </c>
      <c r="CX107" s="13"/>
      <c r="CY107" s="13"/>
      <c r="CZ107" s="13"/>
      <c r="DA107" s="12"/>
      <c r="DB107" s="11">
        <v>276860.0</v>
      </c>
      <c r="DC107" s="11">
        <v>227510.0</v>
      </c>
      <c r="DD107" s="11">
        <v>208150.0</v>
      </c>
      <c r="DE107" s="11">
        <v>186060.0</v>
      </c>
      <c r="DF107" s="11">
        <v>612210.0</v>
      </c>
      <c r="DG107" s="11">
        <v>571850.0</v>
      </c>
      <c r="DH107" s="11">
        <v>510970.0</v>
      </c>
      <c r="DI107" s="11">
        <v>314080.0</v>
      </c>
      <c r="DJ107" s="11">
        <v>251250.0</v>
      </c>
      <c r="DK107" s="11"/>
      <c r="DL107" s="11"/>
      <c r="DM107" s="11">
        <v>8630.0</v>
      </c>
      <c r="DN107" s="11">
        <v>9040.0</v>
      </c>
      <c r="DO107" s="11">
        <v>12520.0</v>
      </c>
      <c r="DP107" s="11">
        <v>255660.0</v>
      </c>
      <c r="DQ107" s="11">
        <v>245720.0</v>
      </c>
      <c r="DR107" s="11">
        <v>215860.0</v>
      </c>
      <c r="DS107" s="11">
        <v>65400.0</v>
      </c>
      <c r="DT107" s="11">
        <v>20400.0</v>
      </c>
      <c r="DU107" s="13"/>
      <c r="DV107" s="12"/>
      <c r="DW107" s="12"/>
      <c r="DX107" s="12"/>
      <c r="DY107" s="13"/>
      <c r="DZ107" s="11">
        <v>516780.0</v>
      </c>
      <c r="EA107" s="11">
        <v>496320.0</v>
      </c>
      <c r="EB107" s="11">
        <v>511360.0</v>
      </c>
      <c r="EC107" s="11">
        <v>470580.0</v>
      </c>
      <c r="ED107" s="11">
        <v>406200.0</v>
      </c>
      <c r="EE107" s="14">
        <v>0.07</v>
      </c>
      <c r="EF107" s="14">
        <v>0.068</v>
      </c>
      <c r="EG107" s="14">
        <v>-0.25</v>
      </c>
      <c r="EH107" s="14">
        <v>0.021</v>
      </c>
    </row>
    <row r="108">
      <c r="A108" s="9">
        <f t="shared" si="2"/>
        <v>106</v>
      </c>
      <c r="B108" s="22" t="s">
        <v>242</v>
      </c>
      <c r="C108" s="11">
        <v>1000.0</v>
      </c>
      <c r="D108" s="12"/>
      <c r="E108" s="12"/>
      <c r="F108" s="12"/>
      <c r="G108" s="12"/>
      <c r="H108" s="12"/>
      <c r="I108" s="12"/>
      <c r="J108" s="11">
        <v>-227.0</v>
      </c>
      <c r="K108" s="11">
        <v>-126.0</v>
      </c>
      <c r="L108" s="11">
        <v>-104.0</v>
      </c>
      <c r="M108" s="11">
        <v>-89.0</v>
      </c>
      <c r="N108" s="11">
        <v>-18.0</v>
      </c>
      <c r="O108" s="11">
        <v>6040.0</v>
      </c>
      <c r="P108" s="11">
        <v>8010.0</v>
      </c>
      <c r="Q108" s="11">
        <v>6740.0</v>
      </c>
      <c r="R108" s="11">
        <v>4150.0</v>
      </c>
      <c r="S108" s="11">
        <v>2580.0</v>
      </c>
      <c r="T108" s="11">
        <v>3400.0</v>
      </c>
      <c r="U108" s="11">
        <v>3760.0</v>
      </c>
      <c r="V108" s="11">
        <v>3220.0</v>
      </c>
      <c r="W108" s="11">
        <v>2160.0</v>
      </c>
      <c r="X108" s="11">
        <v>1520.0</v>
      </c>
      <c r="Y108" s="11">
        <v>-4310.0</v>
      </c>
      <c r="Z108" s="11">
        <v>-5590.0</v>
      </c>
      <c r="AA108" s="12"/>
      <c r="AB108" s="12"/>
      <c r="AC108" s="12"/>
      <c r="AD108" s="11">
        <v>-4720.0</v>
      </c>
      <c r="AE108" s="11">
        <v>-5590.0</v>
      </c>
      <c r="AF108" s="11">
        <v>-7910.0</v>
      </c>
      <c r="AG108" s="11">
        <v>-4000.0</v>
      </c>
      <c r="AH108" s="11">
        <v>-2620.0</v>
      </c>
      <c r="AI108" s="11">
        <v>-6040.0</v>
      </c>
      <c r="AJ108" s="11">
        <v>-8010.0</v>
      </c>
      <c r="AK108" s="11">
        <v>-6740.0</v>
      </c>
      <c r="AL108" s="11">
        <v>-4150.0</v>
      </c>
      <c r="AM108" s="11">
        <v>-2580.0</v>
      </c>
      <c r="AN108" s="11">
        <v>-4720.0</v>
      </c>
      <c r="AO108" s="11">
        <v>-5590.0</v>
      </c>
      <c r="AP108" s="11">
        <v>-7910.0</v>
      </c>
      <c r="AQ108" s="11">
        <v>-4000.0</v>
      </c>
      <c r="AR108" s="11">
        <v>-2620.0</v>
      </c>
      <c r="AS108" s="11">
        <v>-5710.0</v>
      </c>
      <c r="AT108" s="11">
        <v>-6570.0</v>
      </c>
      <c r="AU108" s="11">
        <v>-4980.0</v>
      </c>
      <c r="AV108" s="11">
        <v>-3770.0</v>
      </c>
      <c r="AW108" s="11">
        <v>-1980.0</v>
      </c>
      <c r="AX108" s="11">
        <v>-35.0</v>
      </c>
      <c r="AY108" s="11">
        <v>-182.0</v>
      </c>
      <c r="AZ108" s="11">
        <v>-75.0</v>
      </c>
      <c r="BA108" s="11">
        <v>-331.0</v>
      </c>
      <c r="BB108" s="11">
        <v>-85.0</v>
      </c>
      <c r="BC108" s="12"/>
      <c r="BD108" s="12"/>
      <c r="BE108" s="12"/>
      <c r="BF108" s="12"/>
      <c r="BG108" s="12"/>
      <c r="BH108" s="11">
        <v>5240.0</v>
      </c>
      <c r="BI108" s="11">
        <v>4770.0</v>
      </c>
      <c r="BJ108" s="11">
        <v>7990.0</v>
      </c>
      <c r="BK108" s="11">
        <v>8040.0</v>
      </c>
      <c r="BL108" s="11">
        <v>3020.0</v>
      </c>
      <c r="BM108" s="11">
        <v>77.0</v>
      </c>
      <c r="BN108" s="11">
        <v>58.0</v>
      </c>
      <c r="BO108" s="11">
        <v>71.0</v>
      </c>
      <c r="BP108" s="11">
        <v>172.0</v>
      </c>
      <c r="BQ108" s="11">
        <v>48.0</v>
      </c>
      <c r="BR108" s="12"/>
      <c r="BS108" s="12"/>
      <c r="BT108" s="12"/>
      <c r="BU108" s="12"/>
      <c r="BV108" s="12"/>
      <c r="BW108" s="11">
        <v>5380.0</v>
      </c>
      <c r="BX108" s="11">
        <v>4980.0</v>
      </c>
      <c r="BY108" s="11">
        <v>8220.0</v>
      </c>
      <c r="BZ108" s="11">
        <v>8420.0</v>
      </c>
      <c r="CA108" s="11">
        <v>3120.0</v>
      </c>
      <c r="CB108" s="11">
        <v>673.0</v>
      </c>
      <c r="CC108" s="11">
        <v>413.0</v>
      </c>
      <c r="CD108" s="11">
        <v>387.0</v>
      </c>
      <c r="CE108" s="11">
        <v>357.0</v>
      </c>
      <c r="CF108" s="11">
        <v>305.0</v>
      </c>
      <c r="CG108" s="12"/>
      <c r="CH108" s="12"/>
      <c r="CI108" s="12"/>
      <c r="CJ108" s="12"/>
      <c r="CK108" s="12"/>
      <c r="CL108" s="11">
        <v>6170.0</v>
      </c>
      <c r="CM108" s="11">
        <v>5520.0</v>
      </c>
      <c r="CN108" s="11">
        <v>8750.0</v>
      </c>
      <c r="CO108" s="11">
        <v>8810.0</v>
      </c>
      <c r="CP108" s="11">
        <v>3430.0</v>
      </c>
      <c r="CQ108" s="11">
        <v>46.0</v>
      </c>
      <c r="CR108" s="11">
        <v>237.0</v>
      </c>
      <c r="CS108" s="11">
        <v>491.0</v>
      </c>
      <c r="CT108" s="11">
        <v>349.0</v>
      </c>
      <c r="CU108" s="11">
        <v>120.0</v>
      </c>
      <c r="CV108" s="11">
        <v>1050.0</v>
      </c>
      <c r="CW108" s="12"/>
      <c r="CX108" s="12"/>
      <c r="CY108" s="12"/>
      <c r="CZ108" s="24">
        <v>15.0</v>
      </c>
      <c r="DA108" s="12"/>
      <c r="DB108" s="11">
        <v>1050.0</v>
      </c>
      <c r="DC108" s="11">
        <v>1310.0</v>
      </c>
      <c r="DD108" s="11">
        <v>1180.0</v>
      </c>
      <c r="DE108" s="11">
        <v>906.0</v>
      </c>
      <c r="DF108" s="11">
        <v>1880.0</v>
      </c>
      <c r="DG108" s="11">
        <v>1800.0</v>
      </c>
      <c r="DH108" s="11">
        <v>3320.0</v>
      </c>
      <c r="DI108" s="11">
        <v>1410.0</v>
      </c>
      <c r="DJ108" s="11">
        <v>735.0</v>
      </c>
      <c r="DK108" s="11">
        <v>95.0</v>
      </c>
      <c r="DL108" s="11">
        <v>90.0</v>
      </c>
      <c r="DM108" s="11">
        <v>88.0</v>
      </c>
      <c r="DN108" s="11">
        <v>36.0</v>
      </c>
      <c r="DO108" s="24">
        <v>5.0</v>
      </c>
      <c r="DP108" s="11">
        <v>196.0</v>
      </c>
      <c r="DQ108" s="12"/>
      <c r="DR108" s="12"/>
      <c r="DS108" s="12"/>
      <c r="DT108" s="12"/>
      <c r="DU108" s="13"/>
      <c r="DV108" s="12"/>
      <c r="DW108" s="12"/>
      <c r="DX108" s="13"/>
      <c r="DY108" s="13"/>
      <c r="DZ108" s="11">
        <v>4300.0</v>
      </c>
      <c r="EA108" s="11">
        <v>3730.0</v>
      </c>
      <c r="EB108" s="11">
        <v>5430.0</v>
      </c>
      <c r="EC108" s="11">
        <v>7400.0</v>
      </c>
      <c r="ED108" s="11">
        <v>2700.0</v>
      </c>
      <c r="EE108" s="23"/>
      <c r="EF108" s="14">
        <v>0.0</v>
      </c>
      <c r="EG108" s="14">
        <v>-4.179</v>
      </c>
      <c r="EH108" s="14">
        <v>-2.168</v>
      </c>
    </row>
    <row r="109">
      <c r="A109" s="9">
        <f t="shared" si="2"/>
        <v>107</v>
      </c>
      <c r="B109" s="22" t="s">
        <v>243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3"/>
      <c r="DV109" s="12"/>
      <c r="DW109" s="12"/>
      <c r="DX109" s="13"/>
      <c r="DY109" s="13"/>
      <c r="DZ109" s="12"/>
      <c r="EA109" s="12"/>
      <c r="EB109" s="12"/>
      <c r="EC109" s="12"/>
      <c r="ED109" s="12"/>
      <c r="EE109" s="23"/>
      <c r="EF109" s="23"/>
      <c r="EG109" s="14">
        <v>-0.3</v>
      </c>
      <c r="EH109" s="14">
        <v>-0.258</v>
      </c>
    </row>
    <row r="110">
      <c r="A110" s="9">
        <f t="shared" si="2"/>
        <v>108</v>
      </c>
      <c r="B110" s="10" t="s">
        <v>244</v>
      </c>
      <c r="C110" s="15">
        <v>475980.0</v>
      </c>
      <c r="D110" s="15">
        <v>450990.0</v>
      </c>
      <c r="E110" s="15">
        <v>454870.0</v>
      </c>
      <c r="F110" s="15">
        <v>667600.0</v>
      </c>
      <c r="G110" s="15">
        <v>881190.0</v>
      </c>
      <c r="H110" s="15">
        <v>795420.0</v>
      </c>
      <c r="I110" s="15">
        <v>340800.0</v>
      </c>
      <c r="J110" s="15">
        <v>144530.0</v>
      </c>
      <c r="K110" s="15">
        <v>199590.0</v>
      </c>
      <c r="L110" s="15">
        <v>226390.0</v>
      </c>
      <c r="M110" s="15">
        <v>254520.0</v>
      </c>
      <c r="N110" s="15">
        <v>74620.0</v>
      </c>
      <c r="O110" s="15">
        <v>193060.0</v>
      </c>
      <c r="P110" s="15">
        <v>311800.0</v>
      </c>
      <c r="Q110" s="15">
        <v>402440.0</v>
      </c>
      <c r="R110" s="15">
        <v>309320.0</v>
      </c>
      <c r="S110" s="15">
        <v>121510.0</v>
      </c>
      <c r="T110" s="12"/>
      <c r="U110" s="12"/>
      <c r="V110" s="12"/>
      <c r="W110" s="12"/>
      <c r="X110" s="12"/>
      <c r="Y110" s="15">
        <v>-52100.0</v>
      </c>
      <c r="Z110" s="15">
        <v>-114380.0</v>
      </c>
      <c r="AA110" s="15">
        <v>-197740.0</v>
      </c>
      <c r="AB110" s="12"/>
      <c r="AC110" s="12"/>
      <c r="AD110" s="15">
        <v>-61040.0</v>
      </c>
      <c r="AE110" s="15">
        <v>-122060.0</v>
      </c>
      <c r="AF110" s="15">
        <v>-210130.0</v>
      </c>
      <c r="AG110" s="15">
        <v>-54780.0</v>
      </c>
      <c r="AH110" s="15">
        <v>-46900.0</v>
      </c>
      <c r="AI110" s="15">
        <v>-17330.0</v>
      </c>
      <c r="AJ110" s="15">
        <v>-77690.0</v>
      </c>
      <c r="AK110" s="15">
        <v>-158820.0</v>
      </c>
      <c r="AL110" s="15">
        <v>-46590.0</v>
      </c>
      <c r="AM110" s="15">
        <v>-43980.0</v>
      </c>
      <c r="AN110" s="15">
        <v>-61080.0</v>
      </c>
      <c r="AO110" s="15">
        <v>-122150.0</v>
      </c>
      <c r="AP110" s="15">
        <v>-210140.0</v>
      </c>
      <c r="AQ110" s="15">
        <v>-54890.0</v>
      </c>
      <c r="AR110" s="15">
        <v>-46970.0</v>
      </c>
      <c r="AS110" s="15">
        <v>-17280.0</v>
      </c>
      <c r="AT110" s="15">
        <v>-77810.0</v>
      </c>
      <c r="AU110" s="15">
        <v>-152440.0</v>
      </c>
      <c r="AV110" s="15">
        <v>-23550.0</v>
      </c>
      <c r="AW110" s="15">
        <v>-26400.0</v>
      </c>
      <c r="AX110" s="15">
        <v>-5220.0</v>
      </c>
      <c r="AY110" s="15">
        <v>-15020.0</v>
      </c>
      <c r="AZ110" s="15">
        <v>-124240.0</v>
      </c>
      <c r="BA110" s="15">
        <v>-62830.0</v>
      </c>
      <c r="BB110" s="15">
        <v>-11940.0</v>
      </c>
      <c r="BC110" s="13"/>
      <c r="BD110" s="13"/>
      <c r="BE110" s="13"/>
      <c r="BF110" s="13"/>
      <c r="BG110" s="13"/>
      <c r="BH110" s="15">
        <v>43530.0</v>
      </c>
      <c r="BI110" s="15">
        <v>95620.0</v>
      </c>
      <c r="BJ110" s="15">
        <v>228510.0</v>
      </c>
      <c r="BK110" s="15">
        <v>71570.0</v>
      </c>
      <c r="BL110" s="15">
        <v>126860.0</v>
      </c>
      <c r="BM110" s="15">
        <v>248.0</v>
      </c>
      <c r="BN110" s="15">
        <v>1640.0</v>
      </c>
      <c r="BO110" s="15">
        <v>4480.0</v>
      </c>
      <c r="BP110" s="15">
        <v>15380.0</v>
      </c>
      <c r="BQ110" s="15">
        <v>1300.0</v>
      </c>
      <c r="BR110" s="15">
        <v>25110.0</v>
      </c>
      <c r="BS110" s="15">
        <v>33630.0</v>
      </c>
      <c r="BT110" s="15">
        <v>41930.0</v>
      </c>
      <c r="BU110" s="15">
        <v>42890.0</v>
      </c>
      <c r="BV110" s="15">
        <v>17480.0</v>
      </c>
      <c r="BW110" s="15">
        <v>77750.0</v>
      </c>
      <c r="BX110" s="15">
        <v>141800.0</v>
      </c>
      <c r="BY110" s="15">
        <v>282750.0</v>
      </c>
      <c r="BZ110" s="15">
        <v>134160.0</v>
      </c>
      <c r="CA110" s="15">
        <v>149410.0</v>
      </c>
      <c r="CB110" s="15">
        <v>181810.0</v>
      </c>
      <c r="CC110" s="15">
        <v>209520.0</v>
      </c>
      <c r="CD110" s="15">
        <v>230830.0</v>
      </c>
      <c r="CE110" s="15">
        <v>130960.0</v>
      </c>
      <c r="CF110" s="15">
        <v>14630.0</v>
      </c>
      <c r="CG110" s="12"/>
      <c r="CH110" s="12"/>
      <c r="CI110" s="12"/>
      <c r="CJ110" s="12"/>
      <c r="CK110" s="12"/>
      <c r="CL110" s="15">
        <v>266070.0</v>
      </c>
      <c r="CM110" s="15">
        <v>354900.0</v>
      </c>
      <c r="CN110" s="15">
        <v>517710.0</v>
      </c>
      <c r="CO110" s="15">
        <v>273410.0</v>
      </c>
      <c r="CP110" s="15">
        <v>164970.0</v>
      </c>
      <c r="CQ110" s="15">
        <v>23970.0</v>
      </c>
      <c r="CR110" s="15">
        <v>22570.0</v>
      </c>
      <c r="CS110" s="15">
        <v>30450.0</v>
      </c>
      <c r="CT110" s="15">
        <v>49550.0</v>
      </c>
      <c r="CU110" s="15">
        <v>29920.0</v>
      </c>
      <c r="CV110" s="15">
        <v>60460.0</v>
      </c>
      <c r="CW110" s="12"/>
      <c r="CX110" s="13"/>
      <c r="CY110" s="13"/>
      <c r="CZ110" s="13"/>
      <c r="DA110" s="12"/>
      <c r="DB110" s="15">
        <v>60460.0</v>
      </c>
      <c r="DC110" s="15">
        <v>67540.0</v>
      </c>
      <c r="DD110" s="15">
        <v>90710.0</v>
      </c>
      <c r="DE110" s="15">
        <v>114740.0</v>
      </c>
      <c r="DF110" s="15">
        <v>198070.0</v>
      </c>
      <c r="DG110" s="15">
        <v>235600.0</v>
      </c>
      <c r="DH110" s="15">
        <v>293860.0</v>
      </c>
      <c r="DI110" s="15">
        <v>211940.0</v>
      </c>
      <c r="DJ110" s="15">
        <v>52040.0</v>
      </c>
      <c r="DK110" s="15">
        <v>2910.0</v>
      </c>
      <c r="DL110" s="15">
        <v>1690.0</v>
      </c>
      <c r="DM110" s="15">
        <v>2370.0</v>
      </c>
      <c r="DN110" s="15">
        <v>3970.0</v>
      </c>
      <c r="DO110" s="16">
        <v>337.0</v>
      </c>
      <c r="DP110" s="15">
        <v>125210.0</v>
      </c>
      <c r="DQ110" s="15">
        <v>154510.0</v>
      </c>
      <c r="DR110" s="15">
        <v>195350.0</v>
      </c>
      <c r="DS110" s="15">
        <v>94780.0</v>
      </c>
      <c r="DT110" s="12"/>
      <c r="DU110" s="13"/>
      <c r="DV110" s="12"/>
      <c r="DW110" s="12"/>
      <c r="DX110" s="15">
        <v>194870.0</v>
      </c>
      <c r="DY110" s="15">
        <v>194870.0</v>
      </c>
      <c r="DZ110" s="15">
        <v>68000.0</v>
      </c>
      <c r="EA110" s="15">
        <v>119300.0</v>
      </c>
      <c r="EB110" s="15">
        <v>223850.0</v>
      </c>
      <c r="EC110" s="15">
        <v>61470.0</v>
      </c>
      <c r="ED110" s="15">
        <v>112940.0</v>
      </c>
      <c r="EE110" s="17">
        <v>0.044</v>
      </c>
      <c r="EF110" s="17">
        <v>0.064</v>
      </c>
      <c r="EG110" s="17">
        <v>1.178</v>
      </c>
      <c r="EH110" s="17">
        <v>0.282</v>
      </c>
    </row>
    <row r="111">
      <c r="A111" s="9">
        <f t="shared" si="2"/>
        <v>109</v>
      </c>
      <c r="B111" s="22" t="s">
        <v>245</v>
      </c>
      <c r="C111" s="12"/>
      <c r="D111" s="12"/>
      <c r="E111" s="12"/>
      <c r="F111" s="12"/>
      <c r="G111" s="12"/>
      <c r="H111" s="12"/>
      <c r="I111" s="12"/>
      <c r="J111" s="11">
        <v>-813.0</v>
      </c>
      <c r="K111" s="11">
        <v>-114.0</v>
      </c>
      <c r="L111" s="11">
        <v>-112.0</v>
      </c>
      <c r="M111" s="11">
        <v>-154.0</v>
      </c>
      <c r="N111" s="11">
        <v>-96.0</v>
      </c>
      <c r="O111" s="11">
        <v>34820.0</v>
      </c>
      <c r="P111" s="11">
        <v>37610.0</v>
      </c>
      <c r="Q111" s="11">
        <v>15240.0</v>
      </c>
      <c r="R111" s="11">
        <v>18510.0</v>
      </c>
      <c r="S111" s="11">
        <v>16000.0</v>
      </c>
      <c r="T111" s="11">
        <v>22300.0</v>
      </c>
      <c r="U111" s="11">
        <v>24240.0</v>
      </c>
      <c r="V111" s="11">
        <v>8100.0</v>
      </c>
      <c r="W111" s="11">
        <v>10280.0</v>
      </c>
      <c r="X111" s="11">
        <v>6230.0</v>
      </c>
      <c r="Y111" s="12"/>
      <c r="Z111" s="12"/>
      <c r="AA111" s="12"/>
      <c r="AB111" s="12"/>
      <c r="AC111" s="12"/>
      <c r="AD111" s="11">
        <v>-34870.0</v>
      </c>
      <c r="AE111" s="11">
        <v>-37420.0</v>
      </c>
      <c r="AF111" s="11">
        <v>-15110.0</v>
      </c>
      <c r="AG111" s="11">
        <v>-18630.0</v>
      </c>
      <c r="AH111" s="11">
        <v>-14630.0</v>
      </c>
      <c r="AI111" s="11">
        <v>-34820.0</v>
      </c>
      <c r="AJ111" s="11">
        <v>-37610.0</v>
      </c>
      <c r="AK111" s="11">
        <v>-15240.0</v>
      </c>
      <c r="AL111" s="11">
        <v>-18510.0</v>
      </c>
      <c r="AM111" s="11">
        <v>-16000.0</v>
      </c>
      <c r="AN111" s="11">
        <v>-34870.0</v>
      </c>
      <c r="AO111" s="11">
        <v>-37420.0</v>
      </c>
      <c r="AP111" s="11">
        <v>-15110.0</v>
      </c>
      <c r="AQ111" s="11">
        <v>-18630.0</v>
      </c>
      <c r="AR111" s="11">
        <v>-14630.0</v>
      </c>
      <c r="AS111" s="11">
        <v>-27980.0</v>
      </c>
      <c r="AT111" s="11">
        <v>-30080.0</v>
      </c>
      <c r="AU111" s="11">
        <v>-13270.0</v>
      </c>
      <c r="AV111" s="11">
        <v>-16330.0</v>
      </c>
      <c r="AW111" s="11">
        <v>-12400.0</v>
      </c>
      <c r="AX111" s="11">
        <v>-135.0</v>
      </c>
      <c r="AY111" s="11">
        <v>-426.0</v>
      </c>
      <c r="AZ111" s="11">
        <v>-17.0</v>
      </c>
      <c r="BA111" s="11">
        <v>-5.0</v>
      </c>
      <c r="BB111" s="11">
        <v>-330.0</v>
      </c>
      <c r="BC111" s="12"/>
      <c r="BD111" s="12"/>
      <c r="BE111" s="12"/>
      <c r="BF111" s="12"/>
      <c r="BG111" s="12"/>
      <c r="BH111" s="11">
        <v>126560.0</v>
      </c>
      <c r="BI111" s="11">
        <v>21500.0</v>
      </c>
      <c r="BJ111" s="11">
        <v>14320.0</v>
      </c>
      <c r="BK111" s="11">
        <v>10660.0</v>
      </c>
      <c r="BL111" s="11">
        <v>19750.0</v>
      </c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1">
        <v>128070.0</v>
      </c>
      <c r="BX111" s="11">
        <v>22520.0</v>
      </c>
      <c r="BY111" s="11">
        <v>14820.0</v>
      </c>
      <c r="BZ111" s="11">
        <v>11330.0</v>
      </c>
      <c r="CA111" s="11">
        <v>20820.0</v>
      </c>
      <c r="CB111" s="11">
        <v>2220.0</v>
      </c>
      <c r="CC111" s="11">
        <v>524.0</v>
      </c>
      <c r="CD111" s="11">
        <v>178.0</v>
      </c>
      <c r="CE111" s="11">
        <v>252.0</v>
      </c>
      <c r="CF111" s="11">
        <v>368.0</v>
      </c>
      <c r="CG111" s="12"/>
      <c r="CH111" s="12"/>
      <c r="CI111" s="12"/>
      <c r="CJ111" s="12"/>
      <c r="CK111" s="12"/>
      <c r="CL111" s="11">
        <v>130290.0</v>
      </c>
      <c r="CM111" s="11">
        <v>23040.0</v>
      </c>
      <c r="CN111" s="11">
        <v>14990.0</v>
      </c>
      <c r="CO111" s="11">
        <v>11610.0</v>
      </c>
      <c r="CP111" s="11">
        <v>21250.0</v>
      </c>
      <c r="CQ111" s="12"/>
      <c r="CR111" s="12"/>
      <c r="CS111" s="12"/>
      <c r="CT111" s="12"/>
      <c r="CU111" s="12"/>
      <c r="CV111" s="11">
        <v>7180.0</v>
      </c>
      <c r="CW111" s="11">
        <v>676.0</v>
      </c>
      <c r="CX111" s="12"/>
      <c r="CY111" s="12"/>
      <c r="CZ111" s="12"/>
      <c r="DA111" s="12"/>
      <c r="DB111" s="11">
        <v>7180.0</v>
      </c>
      <c r="DC111" s="11">
        <v>3810.0</v>
      </c>
      <c r="DD111" s="11">
        <v>2210.0</v>
      </c>
      <c r="DE111" s="11">
        <v>1770.0</v>
      </c>
      <c r="DF111" s="11">
        <v>8490.0</v>
      </c>
      <c r="DG111" s="11">
        <v>3810.0</v>
      </c>
      <c r="DH111" s="11">
        <v>2210.0</v>
      </c>
      <c r="DI111" s="11">
        <v>1770.0</v>
      </c>
      <c r="DJ111" s="11">
        <v>2360.0</v>
      </c>
      <c r="DK111" s="12"/>
      <c r="DL111" s="12"/>
      <c r="DM111" s="12"/>
      <c r="DN111" s="12"/>
      <c r="DO111" s="12"/>
      <c r="DP111" s="11">
        <v>1310.0</v>
      </c>
      <c r="DQ111" s="12"/>
      <c r="DR111" s="12"/>
      <c r="DS111" s="12"/>
      <c r="DT111" s="12"/>
      <c r="DU111" s="13"/>
      <c r="DV111" s="12"/>
      <c r="DW111" s="12"/>
      <c r="DX111" s="13"/>
      <c r="DY111" s="13"/>
      <c r="DZ111" s="11">
        <v>121800.0</v>
      </c>
      <c r="EA111" s="11">
        <v>19230.0</v>
      </c>
      <c r="EB111" s="11">
        <v>12780.0</v>
      </c>
      <c r="EC111" s="11">
        <v>9840.0</v>
      </c>
      <c r="ED111" s="11">
        <v>18890.0</v>
      </c>
      <c r="EE111" s="23"/>
      <c r="EF111" s="23"/>
      <c r="EG111" s="14">
        <v>0.267</v>
      </c>
      <c r="EH111" s="14">
        <v>0.288</v>
      </c>
    </row>
    <row r="112">
      <c r="A112" s="9">
        <f t="shared" si="2"/>
        <v>110</v>
      </c>
      <c r="B112" s="22" t="s">
        <v>246</v>
      </c>
      <c r="C112" s="11">
        <v>1810.0</v>
      </c>
      <c r="D112" s="11">
        <v>2000.0</v>
      </c>
      <c r="E112" s="11">
        <v>3670.0</v>
      </c>
      <c r="F112" s="11">
        <v>6570.0</v>
      </c>
      <c r="G112" s="11">
        <v>4960.0</v>
      </c>
      <c r="H112" s="11">
        <v>9790.0</v>
      </c>
      <c r="I112" s="12"/>
      <c r="J112" s="12"/>
      <c r="K112" s="12"/>
      <c r="L112" s="12"/>
      <c r="M112" s="12"/>
      <c r="N112" s="12"/>
      <c r="O112" s="11">
        <v>62830.0</v>
      </c>
      <c r="P112" s="11">
        <v>61010.0</v>
      </c>
      <c r="Q112" s="11">
        <v>36790.0</v>
      </c>
      <c r="R112" s="11">
        <v>27320.0</v>
      </c>
      <c r="S112" s="12"/>
      <c r="T112" s="11">
        <v>43880.0</v>
      </c>
      <c r="U112" s="11">
        <v>48330.0</v>
      </c>
      <c r="V112" s="11">
        <v>31240.0</v>
      </c>
      <c r="W112" s="11">
        <v>22560.0</v>
      </c>
      <c r="X112" s="12"/>
      <c r="Y112" s="12"/>
      <c r="Z112" s="12"/>
      <c r="AA112" s="12"/>
      <c r="AB112" s="11">
        <v>-15620.0</v>
      </c>
      <c r="AC112" s="12"/>
      <c r="AD112" s="11">
        <v>-57410.0</v>
      </c>
      <c r="AE112" s="11">
        <v>-53280.0</v>
      </c>
      <c r="AF112" s="11">
        <v>-32070.0</v>
      </c>
      <c r="AG112" s="11">
        <v>-15480.0</v>
      </c>
      <c r="AH112" s="12"/>
      <c r="AI112" s="11">
        <v>-59160.0</v>
      </c>
      <c r="AJ112" s="11">
        <v>-54430.0</v>
      </c>
      <c r="AK112" s="11">
        <v>-31830.0</v>
      </c>
      <c r="AL112" s="11">
        <v>-17530.0</v>
      </c>
      <c r="AM112" s="12"/>
      <c r="AN112" s="11">
        <v>-57410.0</v>
      </c>
      <c r="AO112" s="11">
        <v>-53280.0</v>
      </c>
      <c r="AP112" s="11">
        <v>-32070.0</v>
      </c>
      <c r="AQ112" s="11">
        <v>-15480.0</v>
      </c>
      <c r="AR112" s="12"/>
      <c r="AS112" s="11">
        <v>-52090.0</v>
      </c>
      <c r="AT112" s="11">
        <v>-47450.0</v>
      </c>
      <c r="AU112" s="11">
        <v>-32740.0</v>
      </c>
      <c r="AV112" s="11">
        <v>-19720.0</v>
      </c>
      <c r="AW112" s="12"/>
      <c r="AX112" s="11">
        <v>-43.0</v>
      </c>
      <c r="AY112" s="11">
        <v>-407.0</v>
      </c>
      <c r="AZ112" s="11">
        <v>-1580.0</v>
      </c>
      <c r="BA112" s="11">
        <v>-371.0</v>
      </c>
      <c r="BB112" s="12"/>
      <c r="BC112" s="12"/>
      <c r="BD112" s="12"/>
      <c r="BE112" s="12"/>
      <c r="BF112" s="12"/>
      <c r="BG112" s="12"/>
      <c r="BH112" s="11">
        <v>99030.0</v>
      </c>
      <c r="BI112" s="11">
        <v>150890.0</v>
      </c>
      <c r="BJ112" s="11">
        <v>92140.0</v>
      </c>
      <c r="BK112" s="11">
        <v>16180.0</v>
      </c>
      <c r="BL112" s="12"/>
      <c r="BM112" s="11">
        <v>444.0</v>
      </c>
      <c r="BN112" s="11">
        <v>578.0</v>
      </c>
      <c r="BO112" s="11">
        <v>937.0</v>
      </c>
      <c r="BP112" s="11">
        <v>488.0</v>
      </c>
      <c r="BQ112" s="12"/>
      <c r="BR112" s="12"/>
      <c r="BS112" s="12"/>
      <c r="BT112" s="12"/>
      <c r="BU112" s="12"/>
      <c r="BV112" s="12"/>
      <c r="BW112" s="11">
        <v>105110.0</v>
      </c>
      <c r="BX112" s="11">
        <v>153250.0</v>
      </c>
      <c r="BY112" s="11">
        <v>95030.0</v>
      </c>
      <c r="BZ112" s="11">
        <v>17270.0</v>
      </c>
      <c r="CA112" s="12"/>
      <c r="CB112" s="11">
        <v>1200.0</v>
      </c>
      <c r="CC112" s="11">
        <v>1690.0</v>
      </c>
      <c r="CD112" s="11">
        <v>1820.0</v>
      </c>
      <c r="CE112" s="11">
        <v>600.0</v>
      </c>
      <c r="CF112" s="12"/>
      <c r="CG112" s="12"/>
      <c r="CH112" s="12"/>
      <c r="CI112" s="12"/>
      <c r="CJ112" s="12"/>
      <c r="CK112" s="12"/>
      <c r="CL112" s="11">
        <v>151880.0</v>
      </c>
      <c r="CM112" s="11">
        <v>155610.0</v>
      </c>
      <c r="CN112" s="11">
        <v>97320.0</v>
      </c>
      <c r="CO112" s="11">
        <v>18650.0</v>
      </c>
      <c r="CP112" s="12"/>
      <c r="CQ112" s="11">
        <v>1560.0</v>
      </c>
      <c r="CR112" s="11">
        <v>1890.0</v>
      </c>
      <c r="CS112" s="11">
        <v>1540.0</v>
      </c>
      <c r="CT112" s="11">
        <v>1600.0</v>
      </c>
      <c r="CU112" s="12"/>
      <c r="CV112" s="11">
        <v>4900.0</v>
      </c>
      <c r="CW112" s="12"/>
      <c r="CX112" s="12"/>
      <c r="CY112" s="12"/>
      <c r="CZ112" s="12"/>
      <c r="DA112" s="12"/>
      <c r="DB112" s="11">
        <v>4900.0</v>
      </c>
      <c r="DC112" s="11">
        <v>5890.0</v>
      </c>
      <c r="DD112" s="11">
        <v>4370.0</v>
      </c>
      <c r="DE112" s="11">
        <v>4550.0</v>
      </c>
      <c r="DF112" s="11">
        <v>50570.0</v>
      </c>
      <c r="DG112" s="11">
        <v>6300.0</v>
      </c>
      <c r="DH112" s="11">
        <v>4650.0</v>
      </c>
      <c r="DI112" s="11">
        <v>4550.0</v>
      </c>
      <c r="DJ112" s="12"/>
      <c r="DK112" s="11">
        <v>166.0</v>
      </c>
      <c r="DL112" s="12"/>
      <c r="DM112" s="12"/>
      <c r="DN112" s="11">
        <v>773.0</v>
      </c>
      <c r="DO112" s="12"/>
      <c r="DP112" s="12"/>
      <c r="DQ112" s="12"/>
      <c r="DR112" s="12"/>
      <c r="DS112" s="12"/>
      <c r="DT112" s="12"/>
      <c r="DU112" s="13"/>
      <c r="DV112" s="12"/>
      <c r="DW112" s="11">
        <v>132390.0</v>
      </c>
      <c r="DX112" s="11">
        <v>22650.0</v>
      </c>
      <c r="DY112" s="13"/>
      <c r="DZ112" s="11">
        <v>101310.0</v>
      </c>
      <c r="EA112" s="11">
        <v>149310.0</v>
      </c>
      <c r="EB112" s="11">
        <v>92670.0</v>
      </c>
      <c r="EC112" s="11">
        <v>14100.0</v>
      </c>
      <c r="ED112" s="12"/>
      <c r="EE112" s="14">
        <v>0.895</v>
      </c>
      <c r="EF112" s="23"/>
      <c r="EG112" s="14">
        <v>0.036</v>
      </c>
      <c r="EH112" s="14">
        <v>0.06</v>
      </c>
    </row>
    <row r="113">
      <c r="A113" s="9">
        <f t="shared" si="2"/>
        <v>111</v>
      </c>
      <c r="B113" s="22" t="s">
        <v>247</v>
      </c>
      <c r="C113" s="11">
        <v>74600.0</v>
      </c>
      <c r="D113" s="11">
        <v>47880.0</v>
      </c>
      <c r="E113" s="11">
        <v>52610.0</v>
      </c>
      <c r="F113" s="11">
        <v>67430.0</v>
      </c>
      <c r="G113" s="11">
        <v>66920.0</v>
      </c>
      <c r="H113" s="11">
        <v>51790.0</v>
      </c>
      <c r="I113" s="12"/>
      <c r="J113" s="11">
        <v>32250.0</v>
      </c>
      <c r="K113" s="11">
        <v>46440.0</v>
      </c>
      <c r="L113" s="11">
        <v>47100.0</v>
      </c>
      <c r="M113" s="11">
        <v>31520.0</v>
      </c>
      <c r="N113" s="12"/>
      <c r="O113" s="11">
        <v>84920.0</v>
      </c>
      <c r="P113" s="11">
        <v>95380.0</v>
      </c>
      <c r="Q113" s="11">
        <v>47210.0</v>
      </c>
      <c r="R113" s="11">
        <v>36250.0</v>
      </c>
      <c r="S113" s="12"/>
      <c r="T113" s="11">
        <v>20570.0</v>
      </c>
      <c r="U113" s="11">
        <v>23110.0</v>
      </c>
      <c r="V113" s="11">
        <v>22130.0</v>
      </c>
      <c r="W113" s="11">
        <v>15450.0</v>
      </c>
      <c r="X113" s="12"/>
      <c r="Y113" s="11">
        <v>-57560.0</v>
      </c>
      <c r="Z113" s="11">
        <v>-54210.0</v>
      </c>
      <c r="AA113" s="11">
        <v>-1240.0</v>
      </c>
      <c r="AB113" s="11">
        <v>-7250.0</v>
      </c>
      <c r="AC113" s="12"/>
      <c r="AD113" s="11">
        <v>-66250.0</v>
      </c>
      <c r="AE113" s="11">
        <v>-61380.0</v>
      </c>
      <c r="AF113" s="11">
        <v>-8940.0</v>
      </c>
      <c r="AG113" s="11">
        <v>-9600.0</v>
      </c>
      <c r="AH113" s="12"/>
      <c r="AI113" s="11">
        <v>-49620.0</v>
      </c>
      <c r="AJ113" s="11">
        <v>-45600.0</v>
      </c>
      <c r="AK113" s="11">
        <v>3690.0</v>
      </c>
      <c r="AL113" s="11">
        <v>-847.0</v>
      </c>
      <c r="AM113" s="12"/>
      <c r="AN113" s="11">
        <v>-66250.0</v>
      </c>
      <c r="AO113" s="11">
        <v>-61380.0</v>
      </c>
      <c r="AP113" s="11">
        <v>-8940.0</v>
      </c>
      <c r="AQ113" s="11">
        <v>-9600.0</v>
      </c>
      <c r="AR113" s="12"/>
      <c r="AS113" s="11">
        <v>-60210.0</v>
      </c>
      <c r="AT113" s="11">
        <v>-17760.0</v>
      </c>
      <c r="AU113" s="11">
        <v>5820.0</v>
      </c>
      <c r="AV113" s="11">
        <v>-8180.0</v>
      </c>
      <c r="AW113" s="12"/>
      <c r="AX113" s="11">
        <v>-663.0</v>
      </c>
      <c r="AY113" s="11">
        <v>-1820.0</v>
      </c>
      <c r="AZ113" s="11">
        <v>-2070.0</v>
      </c>
      <c r="BA113" s="11">
        <v>-976.0</v>
      </c>
      <c r="BB113" s="12"/>
      <c r="BC113" s="12"/>
      <c r="BD113" s="12"/>
      <c r="BE113" s="12"/>
      <c r="BF113" s="12"/>
      <c r="BG113" s="12"/>
      <c r="BH113" s="11">
        <v>49330.0</v>
      </c>
      <c r="BI113" s="11">
        <v>60600.0</v>
      </c>
      <c r="BJ113" s="11">
        <v>17380.0</v>
      </c>
      <c r="BK113" s="11">
        <v>9210.0</v>
      </c>
      <c r="BL113" s="12"/>
      <c r="BM113" s="11">
        <v>13130.0</v>
      </c>
      <c r="BN113" s="11">
        <v>6480.0</v>
      </c>
      <c r="BO113" s="11">
        <v>6180.0</v>
      </c>
      <c r="BP113" s="11">
        <v>10820.0</v>
      </c>
      <c r="BQ113" s="12"/>
      <c r="BR113" s="11">
        <v>2860.0</v>
      </c>
      <c r="BS113" s="11">
        <v>5440.0</v>
      </c>
      <c r="BT113" s="11">
        <v>4010.0</v>
      </c>
      <c r="BU113" s="11">
        <v>2890.0</v>
      </c>
      <c r="BV113" s="12"/>
      <c r="BW113" s="11">
        <v>68310.0</v>
      </c>
      <c r="BX113" s="11">
        <v>74200.0</v>
      </c>
      <c r="BY113" s="11">
        <v>28160.0</v>
      </c>
      <c r="BZ113" s="11">
        <v>23330.0</v>
      </c>
      <c r="CA113" s="12"/>
      <c r="CB113" s="11">
        <v>9730.0</v>
      </c>
      <c r="CC113" s="11">
        <v>12210.0</v>
      </c>
      <c r="CD113" s="11">
        <v>13460.0</v>
      </c>
      <c r="CE113" s="11">
        <v>15120.0</v>
      </c>
      <c r="CF113" s="12"/>
      <c r="CG113" s="12"/>
      <c r="CH113" s="12"/>
      <c r="CI113" s="12"/>
      <c r="CJ113" s="12"/>
      <c r="CK113" s="12"/>
      <c r="CL113" s="11">
        <v>78480.0</v>
      </c>
      <c r="CM113" s="11">
        <v>86850.0</v>
      </c>
      <c r="CN113" s="11">
        <v>43120.0</v>
      </c>
      <c r="CO113" s="11">
        <v>39390.0</v>
      </c>
      <c r="CP113" s="12"/>
      <c r="CQ113" s="11">
        <v>12270.0</v>
      </c>
      <c r="CR113" s="11">
        <v>20440.0</v>
      </c>
      <c r="CS113" s="11">
        <v>9600.0</v>
      </c>
      <c r="CT113" s="11">
        <v>6640.0</v>
      </c>
      <c r="CU113" s="12"/>
      <c r="CV113" s="11">
        <v>18560.0</v>
      </c>
      <c r="CW113" s="12"/>
      <c r="CX113" s="12"/>
      <c r="CY113" s="12"/>
      <c r="CZ113" s="12"/>
      <c r="DA113" s="12"/>
      <c r="DB113" s="11">
        <v>18560.0</v>
      </c>
      <c r="DC113" s="11">
        <v>32950.0</v>
      </c>
      <c r="DD113" s="11">
        <v>15350.0</v>
      </c>
      <c r="DE113" s="11">
        <v>10810.0</v>
      </c>
      <c r="DF113" s="11">
        <v>84600.0</v>
      </c>
      <c r="DG113" s="11">
        <v>76770.0</v>
      </c>
      <c r="DH113" s="11">
        <v>69610.0</v>
      </c>
      <c r="DI113" s="11">
        <v>56970.0</v>
      </c>
      <c r="DJ113" s="12"/>
      <c r="DK113" s="12"/>
      <c r="DL113" s="12"/>
      <c r="DM113" s="12"/>
      <c r="DN113" s="12"/>
      <c r="DO113" s="12"/>
      <c r="DP113" s="11">
        <v>60340.0</v>
      </c>
      <c r="DQ113" s="11">
        <v>42600.0</v>
      </c>
      <c r="DR113" s="11">
        <v>45510.0</v>
      </c>
      <c r="DS113" s="11">
        <v>38650.0</v>
      </c>
      <c r="DT113" s="12"/>
      <c r="DU113" s="13"/>
      <c r="DV113" s="12"/>
      <c r="DW113" s="11">
        <v>80870.0</v>
      </c>
      <c r="DX113" s="11">
        <v>78390.0</v>
      </c>
      <c r="DY113" s="13"/>
      <c r="DZ113" s="11">
        <v>-6120.0</v>
      </c>
      <c r="EA113" s="11">
        <v>10080.0</v>
      </c>
      <c r="EB113" s="11">
        <v>-26500.0</v>
      </c>
      <c r="EC113" s="11">
        <v>-17580.0</v>
      </c>
      <c r="ED113" s="12"/>
      <c r="EE113" s="14">
        <v>0.112</v>
      </c>
      <c r="EF113" s="14">
        <v>0.715</v>
      </c>
      <c r="EG113" s="14">
        <v>0.837</v>
      </c>
      <c r="EH113" s="14">
        <v>0.123</v>
      </c>
    </row>
    <row r="114">
      <c r="A114" s="9">
        <f t="shared" si="2"/>
        <v>112</v>
      </c>
      <c r="B114" s="22" t="s">
        <v>248</v>
      </c>
      <c r="C114" s="12"/>
      <c r="D114" s="12"/>
      <c r="E114" s="11">
        <v>4750.0</v>
      </c>
      <c r="F114" s="11">
        <v>1370.0</v>
      </c>
      <c r="G114" s="11">
        <v>40000.0</v>
      </c>
      <c r="H114" s="12"/>
      <c r="I114" s="12"/>
      <c r="J114" s="12"/>
      <c r="K114" s="12"/>
      <c r="L114" s="12"/>
      <c r="M114" s="11">
        <v>-215.0</v>
      </c>
      <c r="N114" s="11">
        <v>-194.0</v>
      </c>
      <c r="O114" s="11">
        <v>26030.0</v>
      </c>
      <c r="P114" s="11">
        <v>33210.0</v>
      </c>
      <c r="Q114" s="11">
        <v>124170.0</v>
      </c>
      <c r="R114" s="11">
        <v>96110.0</v>
      </c>
      <c r="S114" s="11">
        <v>82310.0</v>
      </c>
      <c r="T114" s="11">
        <v>12840.0</v>
      </c>
      <c r="U114" s="11">
        <v>8580.0</v>
      </c>
      <c r="V114" s="11">
        <v>94610.0</v>
      </c>
      <c r="W114" s="11">
        <v>71980.0</v>
      </c>
      <c r="X114" s="11">
        <v>60030.0</v>
      </c>
      <c r="Y114" s="12"/>
      <c r="Z114" s="11">
        <v>-75410.0</v>
      </c>
      <c r="AA114" s="12"/>
      <c r="AB114" s="11">
        <v>-96400.0</v>
      </c>
      <c r="AC114" s="12"/>
      <c r="AD114" s="11">
        <v>-18220.0</v>
      </c>
      <c r="AE114" s="11">
        <v>-76330.0</v>
      </c>
      <c r="AF114" s="11">
        <v>-85230.0</v>
      </c>
      <c r="AG114" s="11">
        <v>-95570.0</v>
      </c>
      <c r="AH114" s="11">
        <v>-82180.0</v>
      </c>
      <c r="AI114" s="11">
        <v>-21280.0</v>
      </c>
      <c r="AJ114" s="11">
        <v>-31840.0</v>
      </c>
      <c r="AK114" s="11">
        <v>-84170.0</v>
      </c>
      <c r="AL114" s="11">
        <v>-96110.0</v>
      </c>
      <c r="AM114" s="11">
        <v>-82310.0</v>
      </c>
      <c r="AN114" s="11">
        <v>-18220.0</v>
      </c>
      <c r="AO114" s="11">
        <v>-76330.0</v>
      </c>
      <c r="AP114" s="11">
        <v>-84980.0</v>
      </c>
      <c r="AQ114" s="11">
        <v>-95820.0</v>
      </c>
      <c r="AR114" s="11">
        <v>-82180.0</v>
      </c>
      <c r="AS114" s="11">
        <v>-17080.0</v>
      </c>
      <c r="AT114" s="11">
        <v>-29260.0</v>
      </c>
      <c r="AU114" s="11">
        <v>-116290.0</v>
      </c>
      <c r="AV114" s="11">
        <v>-40630.0</v>
      </c>
      <c r="AW114" s="11">
        <v>-69060.0</v>
      </c>
      <c r="AX114" s="12"/>
      <c r="AY114" s="11">
        <v>-33.0</v>
      </c>
      <c r="AZ114" s="11">
        <v>-4300.0</v>
      </c>
      <c r="BA114" s="11">
        <v>-90.0</v>
      </c>
      <c r="BB114" s="12"/>
      <c r="BC114" s="12"/>
      <c r="BD114" s="12"/>
      <c r="BE114" s="12"/>
      <c r="BF114" s="12"/>
      <c r="BG114" s="12"/>
      <c r="BH114" s="11">
        <v>65130.0</v>
      </c>
      <c r="BI114" s="11">
        <v>56990.0</v>
      </c>
      <c r="BJ114" s="11">
        <v>81150.0</v>
      </c>
      <c r="BK114" s="11">
        <v>201150.0</v>
      </c>
      <c r="BL114" s="11">
        <v>182070.0</v>
      </c>
      <c r="BM114" s="11">
        <v>2500.0</v>
      </c>
      <c r="BN114" s="11">
        <v>606.0</v>
      </c>
      <c r="BO114" s="12"/>
      <c r="BP114" s="12"/>
      <c r="BQ114" s="12"/>
      <c r="BR114" s="12"/>
      <c r="BS114" s="12"/>
      <c r="BT114" s="12"/>
      <c r="BU114" s="12"/>
      <c r="BV114" s="12"/>
      <c r="BW114" s="11">
        <v>68210.0</v>
      </c>
      <c r="BX114" s="11">
        <v>58030.0</v>
      </c>
      <c r="BY114" s="11">
        <v>81710.0</v>
      </c>
      <c r="BZ114" s="11">
        <v>205310.0</v>
      </c>
      <c r="CA114" s="11">
        <v>184610.0</v>
      </c>
      <c r="CB114" s="11">
        <v>10510.0</v>
      </c>
      <c r="CC114" s="11">
        <v>32.0</v>
      </c>
      <c r="CD114" s="11">
        <v>798.0</v>
      </c>
      <c r="CE114" s="11">
        <v>265.0</v>
      </c>
      <c r="CF114" s="11">
        <v>389.0</v>
      </c>
      <c r="CG114" s="12"/>
      <c r="CH114" s="12"/>
      <c r="CI114" s="12"/>
      <c r="CJ114" s="12"/>
      <c r="CK114" s="12"/>
      <c r="CL114" s="11">
        <v>82120.0</v>
      </c>
      <c r="CM114" s="11">
        <v>70200.0</v>
      </c>
      <c r="CN114" s="11">
        <v>94860.0</v>
      </c>
      <c r="CO114" s="11">
        <v>205570.0</v>
      </c>
      <c r="CP114" s="11">
        <v>185330.0</v>
      </c>
      <c r="CQ114" s="11">
        <v>1080.0</v>
      </c>
      <c r="CR114" s="11">
        <v>426.0</v>
      </c>
      <c r="CS114" s="11">
        <v>1500.0</v>
      </c>
      <c r="CT114" s="12"/>
      <c r="CU114" s="12"/>
      <c r="CV114" s="11">
        <v>4970.0</v>
      </c>
      <c r="CW114" s="11">
        <v>2390.0</v>
      </c>
      <c r="CX114" s="12"/>
      <c r="CY114" s="12"/>
      <c r="CZ114" s="12"/>
      <c r="DA114" s="12"/>
      <c r="DB114" s="11">
        <v>4970.0</v>
      </c>
      <c r="DC114" s="11">
        <v>1940.0</v>
      </c>
      <c r="DD114" s="11">
        <v>5590.0</v>
      </c>
      <c r="DE114" s="11">
        <v>54500.0</v>
      </c>
      <c r="DF114" s="11">
        <v>13070.0</v>
      </c>
      <c r="DG114" s="11">
        <v>10260.0</v>
      </c>
      <c r="DH114" s="11">
        <v>12100.0</v>
      </c>
      <c r="DI114" s="11">
        <v>54500.0</v>
      </c>
      <c r="DJ114" s="11">
        <v>8830.0</v>
      </c>
      <c r="DK114" s="11">
        <v>2420.0</v>
      </c>
      <c r="DL114" s="11">
        <v>2400.0</v>
      </c>
      <c r="DM114" s="11">
        <v>2380.0</v>
      </c>
      <c r="DN114" s="12"/>
      <c r="DO114" s="12"/>
      <c r="DP114" s="11">
        <v>7840.0</v>
      </c>
      <c r="DQ114" s="12"/>
      <c r="DR114" s="12"/>
      <c r="DS114" s="12"/>
      <c r="DT114" s="12"/>
      <c r="DU114" s="13"/>
      <c r="DV114" s="12"/>
      <c r="DW114" s="12"/>
      <c r="DX114" s="13"/>
      <c r="DY114" s="13"/>
      <c r="DZ114" s="11">
        <v>69050.0</v>
      </c>
      <c r="EA114" s="11">
        <v>59950.0</v>
      </c>
      <c r="EB114" s="11">
        <v>82760.0</v>
      </c>
      <c r="EC114" s="11">
        <v>151070.0</v>
      </c>
      <c r="ED114" s="11">
        <v>176500.0</v>
      </c>
      <c r="EE114" s="23"/>
      <c r="EF114" s="23"/>
      <c r="EG114" s="14">
        <v>0.304</v>
      </c>
      <c r="EH114" s="14">
        <v>-0.13</v>
      </c>
    </row>
    <row r="115">
      <c r="A115" s="9">
        <f t="shared" si="2"/>
        <v>113</v>
      </c>
      <c r="B115" s="10" t="s">
        <v>249</v>
      </c>
      <c r="C115" s="11">
        <v>420220.0</v>
      </c>
      <c r="D115" s="11">
        <v>385470.0</v>
      </c>
      <c r="E115" s="11">
        <v>382930.0</v>
      </c>
      <c r="F115" s="11">
        <v>418790.0</v>
      </c>
      <c r="G115" s="11">
        <v>404900.0</v>
      </c>
      <c r="H115" s="11">
        <v>383410.0</v>
      </c>
      <c r="I115" s="11">
        <v>398800.0</v>
      </c>
      <c r="J115" s="11">
        <v>149870.0</v>
      </c>
      <c r="K115" s="11">
        <v>162650.0</v>
      </c>
      <c r="L115" s="11">
        <v>161700.0</v>
      </c>
      <c r="M115" s="11">
        <v>141340.0</v>
      </c>
      <c r="N115" s="11">
        <v>158710.0</v>
      </c>
      <c r="O115" s="11">
        <v>138000.0</v>
      </c>
      <c r="P115" s="11">
        <v>160570.0</v>
      </c>
      <c r="Q115" s="11">
        <v>165490.0</v>
      </c>
      <c r="R115" s="11">
        <v>151160.0</v>
      </c>
      <c r="S115" s="11">
        <v>157190.0</v>
      </c>
      <c r="T115" s="11">
        <v>49780.0</v>
      </c>
      <c r="U115" s="11">
        <v>56490.0</v>
      </c>
      <c r="V115" s="11">
        <v>57250.0</v>
      </c>
      <c r="W115" s="11">
        <v>49920.0</v>
      </c>
      <c r="X115" s="11">
        <v>56650.0</v>
      </c>
      <c r="Y115" s="11"/>
      <c r="Z115" s="11">
        <v>600.0</v>
      </c>
      <c r="AA115" s="11">
        <v>-9710.0</v>
      </c>
      <c r="AB115" s="11">
        <v>-11150.0</v>
      </c>
      <c r="AC115" s="11">
        <v>-4870.0</v>
      </c>
      <c r="AD115" s="11">
        <v>5020.0</v>
      </c>
      <c r="AE115" s="11">
        <v>-14340.0</v>
      </c>
      <c r="AF115" s="11">
        <v>-23020.0</v>
      </c>
      <c r="AG115" s="11">
        <v>-28540.0</v>
      </c>
      <c r="AH115" s="11">
        <v>-23170.0</v>
      </c>
      <c r="AI115" s="11">
        <v>19390.0</v>
      </c>
      <c r="AJ115" s="11">
        <v>12570.0</v>
      </c>
      <c r="AK115" s="11">
        <v>5940.0</v>
      </c>
      <c r="AL115" s="11">
        <v>8180.0</v>
      </c>
      <c r="AM115" s="11">
        <v>19820.0</v>
      </c>
      <c r="AN115" s="11">
        <v>3160.0</v>
      </c>
      <c r="AO115" s="11">
        <v>-16430.0</v>
      </c>
      <c r="AP115" s="11">
        <v>-23900.0</v>
      </c>
      <c r="AQ115" s="11">
        <v>-29580.0</v>
      </c>
      <c r="AR115" s="11">
        <v>-25500.0</v>
      </c>
      <c r="AS115" s="11"/>
      <c r="AT115" s="11">
        <v>-29640.0</v>
      </c>
      <c r="AU115" s="11">
        <v>18330.0</v>
      </c>
      <c r="AV115" s="11">
        <v>-380.0</v>
      </c>
      <c r="AW115" s="11">
        <v>30880.0</v>
      </c>
      <c r="AX115" s="11"/>
      <c r="AY115" s="11">
        <v>-4310.0</v>
      </c>
      <c r="AZ115" s="11">
        <v>-6610.0</v>
      </c>
      <c r="BA115" s="11">
        <v>-5360.0</v>
      </c>
      <c r="BB115" s="11">
        <v>-8070.0</v>
      </c>
      <c r="BC115" s="13"/>
      <c r="BD115" s="12"/>
      <c r="BE115" s="12"/>
      <c r="BF115" s="12"/>
      <c r="BG115" s="12"/>
      <c r="BH115" s="11">
        <v>108570.0</v>
      </c>
      <c r="BI115" s="11">
        <v>87020.0</v>
      </c>
      <c r="BJ115" s="11">
        <v>92910.0</v>
      </c>
      <c r="BK115" s="11">
        <v>108820.0</v>
      </c>
      <c r="BL115" s="11">
        <v>167900.0</v>
      </c>
      <c r="BM115" s="11">
        <v>89600.0</v>
      </c>
      <c r="BN115" s="11">
        <v>111890.0</v>
      </c>
      <c r="BO115" s="11">
        <v>65990.0</v>
      </c>
      <c r="BP115" s="11">
        <v>72790.0</v>
      </c>
      <c r="BQ115" s="11">
        <v>56810.0</v>
      </c>
      <c r="BR115" s="11">
        <v>134530.0</v>
      </c>
      <c r="BS115" s="11">
        <v>120820.0</v>
      </c>
      <c r="BT115" s="11">
        <v>108540.0</v>
      </c>
      <c r="BU115" s="11">
        <v>105050.0</v>
      </c>
      <c r="BV115" s="11">
        <v>115990.0</v>
      </c>
      <c r="BW115" s="11">
        <v>353930.0</v>
      </c>
      <c r="BX115" s="11">
        <v>343930.0</v>
      </c>
      <c r="BY115" s="11">
        <v>283020.0</v>
      </c>
      <c r="BZ115" s="11">
        <v>305650.0</v>
      </c>
      <c r="CA115" s="11">
        <v>356800.0</v>
      </c>
      <c r="CB115" s="11">
        <v>44000.0</v>
      </c>
      <c r="CC115" s="11">
        <v>17120.0</v>
      </c>
      <c r="CD115" s="11">
        <v>23700.0</v>
      </c>
      <c r="CE115" s="11">
        <v>23060.0</v>
      </c>
      <c r="CF115" s="11">
        <v>27880.0</v>
      </c>
      <c r="CG115" s="11">
        <v>57720.0</v>
      </c>
      <c r="CH115" s="11">
        <v>57770.0</v>
      </c>
      <c r="CI115" s="11">
        <v>57860.0</v>
      </c>
      <c r="CJ115" s="11">
        <v>57810.0</v>
      </c>
      <c r="CK115" s="11">
        <v>57850.0</v>
      </c>
      <c r="CL115" s="11">
        <v>490080.0</v>
      </c>
      <c r="CM115" s="11">
        <v>438180.0</v>
      </c>
      <c r="CN115" s="11">
        <v>378730.0</v>
      </c>
      <c r="CO115" s="11">
        <v>406460.0</v>
      </c>
      <c r="CP115" s="11">
        <v>469030.0</v>
      </c>
      <c r="CQ115" s="11">
        <v>23130.0</v>
      </c>
      <c r="CR115" s="11">
        <v>29560.0</v>
      </c>
      <c r="CS115" s="11">
        <v>19690.0</v>
      </c>
      <c r="CT115" s="11">
        <v>17490.0</v>
      </c>
      <c r="CU115" s="11">
        <v>15230.0</v>
      </c>
      <c r="CV115" s="11">
        <v>182270.0</v>
      </c>
      <c r="CW115" s="11"/>
      <c r="CX115" s="12"/>
      <c r="CY115" s="12"/>
      <c r="CZ115" s="11">
        <v>113020.0</v>
      </c>
      <c r="DA115" s="11">
        <v>39900.0</v>
      </c>
      <c r="DB115" s="11">
        <v>182270.0</v>
      </c>
      <c r="DC115" s="11">
        <v>192180.0</v>
      </c>
      <c r="DD115" s="11">
        <v>169430.0</v>
      </c>
      <c r="DE115" s="11">
        <v>284490.0</v>
      </c>
      <c r="DF115" s="11">
        <v>427290.0</v>
      </c>
      <c r="DG115" s="11">
        <v>388310.0</v>
      </c>
      <c r="DH115" s="11">
        <v>330100.0</v>
      </c>
      <c r="DI115" s="11">
        <v>359930.0</v>
      </c>
      <c r="DJ115" s="11">
        <v>409370.0</v>
      </c>
      <c r="DK115" s="11">
        <v>13930.0</v>
      </c>
      <c r="DL115" s="11">
        <v>1160.0</v>
      </c>
      <c r="DM115" s="11">
        <v>620.0</v>
      </c>
      <c r="DN115" s="11">
        <v>322.0</v>
      </c>
      <c r="DO115" s="11"/>
      <c r="DP115" s="11">
        <v>213480.0</v>
      </c>
      <c r="DQ115" s="11">
        <v>159840.0</v>
      </c>
      <c r="DR115" s="11">
        <v>131080.0</v>
      </c>
      <c r="DS115" s="11">
        <v>51550.0</v>
      </c>
      <c r="DT115" s="11">
        <v>170510.0</v>
      </c>
      <c r="DU115" s="13"/>
      <c r="DV115" s="13"/>
      <c r="DW115" s="12"/>
      <c r="DX115" s="12"/>
      <c r="DY115" s="13"/>
      <c r="DZ115" s="11">
        <v>62790.0</v>
      </c>
      <c r="EA115" s="11">
        <v>49870.0</v>
      </c>
      <c r="EB115" s="11">
        <v>48630.0</v>
      </c>
      <c r="EC115" s="11">
        <v>46530.0</v>
      </c>
      <c r="ED115" s="11">
        <v>59660.0</v>
      </c>
      <c r="EE115" s="14">
        <v>0.128</v>
      </c>
      <c r="EF115" s="14">
        <v>0.094</v>
      </c>
      <c r="EG115" s="14">
        <v>0.5</v>
      </c>
      <c r="EH115" s="14">
        <v>1.186</v>
      </c>
    </row>
    <row r="116">
      <c r="A116" s="9">
        <f t="shared" si="2"/>
        <v>114</v>
      </c>
      <c r="B116" s="10" t="s">
        <v>250</v>
      </c>
      <c r="C116" s="11">
        <v>2960000.0</v>
      </c>
      <c r="D116" s="11">
        <v>2780000.0</v>
      </c>
      <c r="E116" s="11">
        <v>2990000.0</v>
      </c>
      <c r="F116" s="11">
        <v>3090000.0</v>
      </c>
      <c r="G116" s="11">
        <v>2830000.0</v>
      </c>
      <c r="H116" s="11">
        <v>2700000.0</v>
      </c>
      <c r="I116" s="11">
        <v>2670000.0</v>
      </c>
      <c r="J116" s="11">
        <v>216430.0</v>
      </c>
      <c r="K116" s="11">
        <v>272670.0</v>
      </c>
      <c r="L116" s="11">
        <v>188460.0</v>
      </c>
      <c r="M116" s="11">
        <v>157670.0</v>
      </c>
      <c r="N116" s="11">
        <v>197870.0</v>
      </c>
      <c r="O116" s="11">
        <v>133260.0</v>
      </c>
      <c r="P116" s="11">
        <v>127660.0</v>
      </c>
      <c r="Q116" s="11">
        <v>128230.0</v>
      </c>
      <c r="R116" s="11">
        <v>118390.0</v>
      </c>
      <c r="S116" s="11">
        <v>122370.0</v>
      </c>
      <c r="T116" s="11"/>
      <c r="U116" s="11"/>
      <c r="V116" s="11"/>
      <c r="W116" s="11"/>
      <c r="X116" s="11"/>
      <c r="Y116" s="11">
        <v>57880.0</v>
      </c>
      <c r="Z116" s="11">
        <v>106740.0</v>
      </c>
      <c r="AA116" s="11">
        <v>-2960.0</v>
      </c>
      <c r="AB116" s="11">
        <v>-10310.0</v>
      </c>
      <c r="AC116" s="11"/>
      <c r="AD116" s="11">
        <v>51470.0</v>
      </c>
      <c r="AE116" s="11">
        <v>84390.0</v>
      </c>
      <c r="AF116" s="11">
        <v>51580.0</v>
      </c>
      <c r="AG116" s="11">
        <v>28290.0</v>
      </c>
      <c r="AH116" s="11">
        <v>72730.0</v>
      </c>
      <c r="AI116" s="11">
        <v>196860.0</v>
      </c>
      <c r="AJ116" s="11">
        <v>255990.0</v>
      </c>
      <c r="AK116" s="11">
        <v>167380.0</v>
      </c>
      <c r="AL116" s="11">
        <v>142340.0</v>
      </c>
      <c r="AM116" s="11">
        <v>168540.0</v>
      </c>
      <c r="AN116" s="11">
        <v>39960.0</v>
      </c>
      <c r="AO116" s="11">
        <v>67110.0</v>
      </c>
      <c r="AP116" s="11">
        <v>59490.0</v>
      </c>
      <c r="AQ116" s="11">
        <v>18510.0</v>
      </c>
      <c r="AR116" s="11">
        <v>44400.0</v>
      </c>
      <c r="AS116" s="11">
        <v>170360.0</v>
      </c>
      <c r="AT116" s="11">
        <v>255150.0</v>
      </c>
      <c r="AU116" s="11">
        <v>150980.0</v>
      </c>
      <c r="AV116" s="11">
        <v>111940.0</v>
      </c>
      <c r="AW116" s="11">
        <v>146020.0</v>
      </c>
      <c r="AX116" s="11">
        <v>-102430.0</v>
      </c>
      <c r="AY116" s="11">
        <v>-54090.0</v>
      </c>
      <c r="AZ116" s="11">
        <v>-75620.0</v>
      </c>
      <c r="BA116" s="11">
        <v>-68270.0</v>
      </c>
      <c r="BB116" s="11">
        <v>-86940.0</v>
      </c>
      <c r="BC116" s="11">
        <v>-8190.0</v>
      </c>
      <c r="BD116" s="11">
        <v>-8240.0</v>
      </c>
      <c r="BE116" s="11">
        <v>-8260.0</v>
      </c>
      <c r="BF116" s="11">
        <v>-8320.0</v>
      </c>
      <c r="BG116" s="11">
        <v>-6840.0</v>
      </c>
      <c r="BH116" s="11">
        <v>318490.0</v>
      </c>
      <c r="BI116" s="11">
        <v>301490.0</v>
      </c>
      <c r="BJ116" s="11">
        <v>177170.0</v>
      </c>
      <c r="BK116" s="11">
        <v>172080.0</v>
      </c>
      <c r="BL116" s="11">
        <v>227950.0</v>
      </c>
      <c r="BM116" s="11">
        <v>301350.0</v>
      </c>
      <c r="BN116" s="11">
        <v>316200.0</v>
      </c>
      <c r="BO116" s="11">
        <v>298570.0</v>
      </c>
      <c r="BP116" s="11">
        <v>282680.0</v>
      </c>
      <c r="BQ116" s="11">
        <v>242820.0</v>
      </c>
      <c r="BR116" s="12"/>
      <c r="BS116" s="12"/>
      <c r="BT116" s="12"/>
      <c r="BU116" s="12"/>
      <c r="BV116" s="12"/>
      <c r="BW116" s="11">
        <v>664400.0</v>
      </c>
      <c r="BX116" s="11">
        <v>649230.0</v>
      </c>
      <c r="BY116" s="11">
        <v>522350.0</v>
      </c>
      <c r="BZ116" s="11">
        <v>491100.0</v>
      </c>
      <c r="CA116" s="11">
        <v>552080.0</v>
      </c>
      <c r="CB116" s="11">
        <v>752060.0</v>
      </c>
      <c r="CC116" s="11">
        <v>631190.0</v>
      </c>
      <c r="CD116" s="11">
        <v>591160.0</v>
      </c>
      <c r="CE116" s="11">
        <v>532530.0</v>
      </c>
      <c r="CF116" s="11">
        <v>483050.0</v>
      </c>
      <c r="CG116" s="11">
        <v>88320.0</v>
      </c>
      <c r="CH116" s="11">
        <v>108320.0</v>
      </c>
      <c r="CI116" s="11">
        <v>108320.0</v>
      </c>
      <c r="CJ116" s="11">
        <v>108880.0</v>
      </c>
      <c r="CK116" s="11">
        <v>96470.0</v>
      </c>
      <c r="CL116" s="11">
        <v>1650000.0</v>
      </c>
      <c r="CM116" s="11">
        <v>1540000.0</v>
      </c>
      <c r="CN116" s="11">
        <v>1370000.0</v>
      </c>
      <c r="CO116" s="11">
        <v>1280000.0</v>
      </c>
      <c r="CP116" s="11">
        <v>1260000.0</v>
      </c>
      <c r="CQ116" s="11">
        <v>134370.0</v>
      </c>
      <c r="CR116" s="11">
        <v>126290.0</v>
      </c>
      <c r="CS116" s="11">
        <v>129100.0</v>
      </c>
      <c r="CT116" s="11">
        <v>133300.0</v>
      </c>
      <c r="CU116" s="11">
        <v>130870.0</v>
      </c>
      <c r="CV116" s="11">
        <v>444280.0</v>
      </c>
      <c r="CW116" s="11">
        <v>20270.0</v>
      </c>
      <c r="CX116" s="11">
        <v>17500.0</v>
      </c>
      <c r="CY116" s="12"/>
      <c r="CZ116" s="12"/>
      <c r="DA116" s="12"/>
      <c r="DB116" s="11">
        <v>444280.0</v>
      </c>
      <c r="DC116" s="11">
        <v>451320.0</v>
      </c>
      <c r="DD116" s="11">
        <v>402590.0</v>
      </c>
      <c r="DE116" s="11">
        <v>396180.0</v>
      </c>
      <c r="DF116" s="11">
        <v>888160.0</v>
      </c>
      <c r="DG116" s="11">
        <v>821550.0</v>
      </c>
      <c r="DH116" s="11">
        <v>714180.0</v>
      </c>
      <c r="DI116" s="11">
        <v>683020.0</v>
      </c>
      <c r="DJ116" s="11">
        <v>674180.0</v>
      </c>
      <c r="DK116" s="11">
        <v>2430.0</v>
      </c>
      <c r="DL116" s="11">
        <v>3140.0</v>
      </c>
      <c r="DM116" s="12"/>
      <c r="DN116" s="12"/>
      <c r="DO116" s="12"/>
      <c r="DP116" s="11">
        <v>318490.0</v>
      </c>
      <c r="DQ116" s="11">
        <v>237600.0</v>
      </c>
      <c r="DR116" s="11">
        <v>206990.0</v>
      </c>
      <c r="DS116" s="11">
        <v>179530.0</v>
      </c>
      <c r="DT116" s="11">
        <v>167600.0</v>
      </c>
      <c r="DU116" s="13"/>
      <c r="DV116" s="12"/>
      <c r="DW116" s="12"/>
      <c r="DX116" s="12"/>
      <c r="DY116" s="12"/>
      <c r="DZ116" s="11">
        <v>763040.0</v>
      </c>
      <c r="EA116" s="11">
        <v>717680.0</v>
      </c>
      <c r="EB116" s="11">
        <v>651460.0</v>
      </c>
      <c r="EC116" s="11">
        <v>599060.0</v>
      </c>
      <c r="ED116" s="11">
        <v>588730.0</v>
      </c>
      <c r="EE116" s="14">
        <v>0.065</v>
      </c>
      <c r="EF116" s="14">
        <v>0.081</v>
      </c>
      <c r="EG116" s="29" t="s">
        <v>155</v>
      </c>
      <c r="EH116" s="14"/>
    </row>
    <row r="117">
      <c r="A117" s="9">
        <f t="shared" si="2"/>
        <v>115</v>
      </c>
      <c r="B117" s="10" t="s">
        <v>251</v>
      </c>
      <c r="C117" s="15">
        <v>1830000.0</v>
      </c>
      <c r="D117" s="15">
        <v>1530000.0</v>
      </c>
      <c r="E117" s="15">
        <v>2280000.0</v>
      </c>
      <c r="F117" s="15">
        <v>2460000.0</v>
      </c>
      <c r="G117" s="15">
        <v>2320000.0</v>
      </c>
      <c r="H117" s="15">
        <v>1970000.0</v>
      </c>
      <c r="I117" s="15">
        <v>2550000.0</v>
      </c>
      <c r="J117" s="15">
        <v>279690.0</v>
      </c>
      <c r="K117" s="15">
        <v>376150.0</v>
      </c>
      <c r="L117" s="15">
        <v>277970.0</v>
      </c>
      <c r="M117" s="15">
        <v>-17320.0</v>
      </c>
      <c r="N117" s="15">
        <v>-13280.0</v>
      </c>
      <c r="O117" s="15">
        <v>95780.0</v>
      </c>
      <c r="P117" s="15">
        <v>100300.0</v>
      </c>
      <c r="Q117" s="15">
        <v>87950.0</v>
      </c>
      <c r="R117" s="15">
        <v>82180.0</v>
      </c>
      <c r="S117" s="15">
        <v>98780.0</v>
      </c>
      <c r="T117" s="15">
        <v>0.0</v>
      </c>
      <c r="U117" s="15">
        <v>0.0</v>
      </c>
      <c r="V117" s="15">
        <v>0.0</v>
      </c>
      <c r="W117" s="15">
        <v>0.0</v>
      </c>
      <c r="X117" s="15">
        <v>0.0</v>
      </c>
      <c r="Y117" s="15">
        <v>239240.0</v>
      </c>
      <c r="Z117" s="15">
        <v>264080.0</v>
      </c>
      <c r="AA117" s="15">
        <v>-13220.0</v>
      </c>
      <c r="AB117" s="15">
        <v>1410000.0</v>
      </c>
      <c r="AC117" s="15">
        <v>-2670000.0</v>
      </c>
      <c r="AD117" s="15">
        <v>234050.0</v>
      </c>
      <c r="AE117" s="15">
        <v>260100.0</v>
      </c>
      <c r="AF117" s="15">
        <v>203200.0</v>
      </c>
      <c r="AG117" s="15">
        <v>1270000.0</v>
      </c>
      <c r="AH117" s="15">
        <v>-3290000.0</v>
      </c>
      <c r="AI117" s="15">
        <v>316070.0</v>
      </c>
      <c r="AJ117" s="15">
        <v>434490.0</v>
      </c>
      <c r="AK117" s="15">
        <v>396680.0</v>
      </c>
      <c r="AL117" s="15">
        <v>156710.0</v>
      </c>
      <c r="AM117" s="15">
        <v>292080.0</v>
      </c>
      <c r="AN117" s="15">
        <v>233800.0</v>
      </c>
      <c r="AO117" s="15">
        <v>312580.0</v>
      </c>
      <c r="AP117" s="15">
        <v>238450.0</v>
      </c>
      <c r="AQ117" s="15">
        <v>1280000.0</v>
      </c>
      <c r="AR117" s="15">
        <v>-2910000.0</v>
      </c>
      <c r="AS117" s="15">
        <v>419710.0</v>
      </c>
      <c r="AT117" s="15">
        <v>416710.0</v>
      </c>
      <c r="AU117" s="15">
        <v>396470.0</v>
      </c>
      <c r="AV117" s="15">
        <v>-144030.0</v>
      </c>
      <c r="AW117" s="15">
        <v>-44370.0</v>
      </c>
      <c r="AX117" s="15">
        <v>-266360.0</v>
      </c>
      <c r="AY117" s="15">
        <v>-95270.0</v>
      </c>
      <c r="AZ117" s="15">
        <v>-59210.0</v>
      </c>
      <c r="BA117" s="15">
        <v>-97650.0</v>
      </c>
      <c r="BB117" s="15">
        <v>-119020.0</v>
      </c>
      <c r="BC117" s="15">
        <v>-30220.0</v>
      </c>
      <c r="BD117" s="15">
        <v>-31270.0</v>
      </c>
      <c r="BE117" s="15">
        <v>-24370.0</v>
      </c>
      <c r="BF117" s="16">
        <v>0.0</v>
      </c>
      <c r="BG117" s="16">
        <v>0.0</v>
      </c>
      <c r="BH117" s="15">
        <v>288690.0</v>
      </c>
      <c r="BI117" s="15">
        <v>427730.0</v>
      </c>
      <c r="BJ117" s="15">
        <v>429230.0</v>
      </c>
      <c r="BK117" s="15">
        <v>464760.0</v>
      </c>
      <c r="BL117" s="15">
        <v>756550.0</v>
      </c>
      <c r="BM117" s="15">
        <v>189270.0</v>
      </c>
      <c r="BN117" s="15">
        <v>249830.0</v>
      </c>
      <c r="BO117" s="15">
        <v>202380.0</v>
      </c>
      <c r="BP117" s="15">
        <v>204360.0</v>
      </c>
      <c r="BQ117" s="15">
        <v>135770.0</v>
      </c>
      <c r="BR117" s="15">
        <v>130900.0</v>
      </c>
      <c r="BS117" s="15">
        <v>125470.0</v>
      </c>
      <c r="BT117" s="15">
        <v>128960.0</v>
      </c>
      <c r="BU117" s="15">
        <v>113460.0</v>
      </c>
      <c r="BV117" s="15">
        <v>196720.0</v>
      </c>
      <c r="BW117" s="15">
        <v>704750.0</v>
      </c>
      <c r="BX117" s="15">
        <v>876580.0</v>
      </c>
      <c r="BY117" s="15">
        <v>830990.0</v>
      </c>
      <c r="BZ117" s="15">
        <v>878620.0</v>
      </c>
      <c r="CA117" s="15">
        <v>1140000.0</v>
      </c>
      <c r="CB117" s="15">
        <v>1000000.0</v>
      </c>
      <c r="CC117" s="15">
        <v>834830.0</v>
      </c>
      <c r="CD117" s="15">
        <v>955950.0</v>
      </c>
      <c r="CE117" s="15">
        <v>1050000.0</v>
      </c>
      <c r="CF117" s="15">
        <v>3620000.0</v>
      </c>
      <c r="CG117" s="15">
        <v>0.0</v>
      </c>
      <c r="CH117" s="15">
        <v>0.0</v>
      </c>
      <c r="CI117" s="15">
        <v>0.0</v>
      </c>
      <c r="CJ117" s="15">
        <v>0.0</v>
      </c>
      <c r="CK117" s="15">
        <v>0.0</v>
      </c>
      <c r="CL117" s="15">
        <v>1870000.0</v>
      </c>
      <c r="CM117" s="15">
        <v>1890000.0</v>
      </c>
      <c r="CN117" s="15">
        <v>1980000.0</v>
      </c>
      <c r="CO117" s="15">
        <v>2140000.0</v>
      </c>
      <c r="CP117" s="15">
        <v>5040000.0</v>
      </c>
      <c r="CQ117" s="15">
        <v>133060.0</v>
      </c>
      <c r="CR117" s="15">
        <v>128020.0</v>
      </c>
      <c r="CS117" s="15">
        <v>134140.0</v>
      </c>
      <c r="CT117" s="15">
        <v>95950.0</v>
      </c>
      <c r="CU117" s="15">
        <v>128130.0</v>
      </c>
      <c r="CV117" s="15">
        <v>310980.0</v>
      </c>
      <c r="CW117" s="15">
        <v>2510.0</v>
      </c>
      <c r="CX117" s="15">
        <v>0.0</v>
      </c>
      <c r="CY117" s="15">
        <v>0.0</v>
      </c>
      <c r="CZ117" s="16">
        <v>0.0</v>
      </c>
      <c r="DA117" s="15">
        <v>0.0</v>
      </c>
      <c r="DB117" s="15">
        <v>310980.0</v>
      </c>
      <c r="DC117" s="15">
        <v>329340.0</v>
      </c>
      <c r="DD117" s="15">
        <v>334080.0</v>
      </c>
      <c r="DE117" s="15">
        <v>312230.0</v>
      </c>
      <c r="DF117" s="15">
        <v>1230000.0</v>
      </c>
      <c r="DG117" s="15">
        <v>1190000.0</v>
      </c>
      <c r="DH117" s="15">
        <v>1310000.0</v>
      </c>
      <c r="DI117" s="15">
        <v>1390000.0</v>
      </c>
      <c r="DJ117" s="15">
        <v>6290000.0</v>
      </c>
      <c r="DK117" s="15">
        <v>106190.0</v>
      </c>
      <c r="DL117" s="15">
        <v>105280.0</v>
      </c>
      <c r="DM117" s="15">
        <v>108710.0</v>
      </c>
      <c r="DN117" s="15">
        <v>131610.0</v>
      </c>
      <c r="DO117" s="15">
        <v>203600.0</v>
      </c>
      <c r="DP117" s="15">
        <v>307350.0</v>
      </c>
      <c r="DQ117" s="15">
        <v>300190.0</v>
      </c>
      <c r="DR117" s="15">
        <v>310130.0</v>
      </c>
      <c r="DS117" s="15">
        <v>351840.0</v>
      </c>
      <c r="DT117" s="15">
        <v>30950.0</v>
      </c>
      <c r="DU117" s="16">
        <v>0.0</v>
      </c>
      <c r="DV117" s="15">
        <v>0.0</v>
      </c>
      <c r="DW117" s="15">
        <v>0.0</v>
      </c>
      <c r="DX117" s="16">
        <v>0.0</v>
      </c>
      <c r="DY117" s="15">
        <v>0.0</v>
      </c>
      <c r="DZ117" s="15">
        <v>640540.0</v>
      </c>
      <c r="EA117" s="15">
        <v>704820.0</v>
      </c>
      <c r="EB117" s="15">
        <v>665870.0</v>
      </c>
      <c r="EC117" s="15">
        <v>746580.0</v>
      </c>
      <c r="ED117" s="15">
        <v>-1240000.0</v>
      </c>
      <c r="EE117" s="17">
        <v>0.085</v>
      </c>
      <c r="EF117" s="17">
        <v>0.137</v>
      </c>
      <c r="EG117" s="17">
        <v>-0.464</v>
      </c>
      <c r="EH117" s="17">
        <v>0.803</v>
      </c>
    </row>
    <row r="118">
      <c r="A118" s="9">
        <f t="shared" si="2"/>
        <v>116</v>
      </c>
      <c r="B118" s="10" t="s">
        <v>252</v>
      </c>
      <c r="C118" s="15">
        <v>2400000.0</v>
      </c>
      <c r="D118" s="15">
        <v>1900000.0</v>
      </c>
      <c r="E118" s="15">
        <v>2960000.0</v>
      </c>
      <c r="F118" s="15">
        <v>3080000.0</v>
      </c>
      <c r="G118" s="15">
        <v>3320000.0</v>
      </c>
      <c r="H118" s="15">
        <v>2930000.0</v>
      </c>
      <c r="I118" s="15">
        <v>3050000.0</v>
      </c>
      <c r="J118" s="15">
        <v>366830.0</v>
      </c>
      <c r="K118" s="15">
        <v>413930.0</v>
      </c>
      <c r="L118" s="15">
        <v>449020.0</v>
      </c>
      <c r="M118" s="15">
        <v>358270.0</v>
      </c>
      <c r="N118" s="15">
        <v>357530.0</v>
      </c>
      <c r="O118" s="15">
        <v>212520.0</v>
      </c>
      <c r="P118" s="15">
        <v>229320.0</v>
      </c>
      <c r="Q118" s="15">
        <v>244660.0</v>
      </c>
      <c r="R118" s="15">
        <v>215730.0</v>
      </c>
      <c r="S118" s="15">
        <v>252330.0</v>
      </c>
      <c r="T118" s="12"/>
      <c r="U118" s="12"/>
      <c r="V118" s="12"/>
      <c r="W118" s="12"/>
      <c r="X118" s="12"/>
      <c r="Y118" s="15">
        <v>153250.0</v>
      </c>
      <c r="Z118" s="15">
        <v>114710.0</v>
      </c>
      <c r="AA118" s="15">
        <v>179530.0</v>
      </c>
      <c r="AB118" s="15">
        <v>101720.0</v>
      </c>
      <c r="AC118" s="15">
        <v>-34260.0</v>
      </c>
      <c r="AD118" s="15">
        <v>118950.0</v>
      </c>
      <c r="AE118" s="15">
        <v>85170.0</v>
      </c>
      <c r="AF118" s="15">
        <v>182810.0</v>
      </c>
      <c r="AG118" s="15">
        <v>138630.0</v>
      </c>
      <c r="AH118" s="15">
        <v>-28550.0</v>
      </c>
      <c r="AI118" s="15">
        <v>285090.0</v>
      </c>
      <c r="AJ118" s="15">
        <v>221070.0</v>
      </c>
      <c r="AK118" s="15">
        <v>303740.0</v>
      </c>
      <c r="AL118" s="15">
        <v>215840.0</v>
      </c>
      <c r="AM118" s="15">
        <v>226570.0</v>
      </c>
      <c r="AN118" s="15">
        <v>79900.0</v>
      </c>
      <c r="AO118" s="15">
        <v>36850.0</v>
      </c>
      <c r="AP118" s="15">
        <v>129170.0</v>
      </c>
      <c r="AQ118" s="15">
        <v>78810.0</v>
      </c>
      <c r="AR118" s="15">
        <v>-51630.0</v>
      </c>
      <c r="AS118" s="15">
        <v>223480.0</v>
      </c>
      <c r="AT118" s="15">
        <v>179730.0</v>
      </c>
      <c r="AU118" s="15">
        <v>255170.0</v>
      </c>
      <c r="AV118" s="15">
        <v>164190.0</v>
      </c>
      <c r="AW118" s="15">
        <v>112690.0</v>
      </c>
      <c r="AX118" s="15">
        <v>-265240.0</v>
      </c>
      <c r="AY118" s="15">
        <v>-197040.0</v>
      </c>
      <c r="AZ118" s="15">
        <v>-174770.0</v>
      </c>
      <c r="BA118" s="15">
        <v>-92280.0</v>
      </c>
      <c r="BB118" s="15">
        <v>-90960.0</v>
      </c>
      <c r="BC118" s="15">
        <v>-22430.0</v>
      </c>
      <c r="BD118" s="15">
        <v>-20940.0</v>
      </c>
      <c r="BE118" s="13"/>
      <c r="BF118" s="13"/>
      <c r="BG118" s="15">
        <v>-12510.0</v>
      </c>
      <c r="BH118" s="15">
        <v>121910.0</v>
      </c>
      <c r="BI118" s="15">
        <v>197280.0</v>
      </c>
      <c r="BJ118" s="15">
        <v>328080.0</v>
      </c>
      <c r="BK118" s="15">
        <v>194800.0</v>
      </c>
      <c r="BL118" s="15">
        <v>112520.0</v>
      </c>
      <c r="BM118" s="15">
        <v>128040.0</v>
      </c>
      <c r="BN118" s="15">
        <v>109640.0</v>
      </c>
      <c r="BO118" s="15">
        <v>147610.0</v>
      </c>
      <c r="BP118" s="15">
        <v>112080.0</v>
      </c>
      <c r="BQ118" s="15">
        <v>98980.0</v>
      </c>
      <c r="BR118" s="15">
        <v>37820.0</v>
      </c>
      <c r="BS118" s="15">
        <v>46090.0</v>
      </c>
      <c r="BT118" s="15">
        <v>82740.0</v>
      </c>
      <c r="BU118" s="15">
        <v>48920.0</v>
      </c>
      <c r="BV118" s="15">
        <v>44640.0</v>
      </c>
      <c r="BW118" s="15">
        <v>405370.0</v>
      </c>
      <c r="BX118" s="15">
        <v>464560.0</v>
      </c>
      <c r="BY118" s="15">
        <v>653040.0</v>
      </c>
      <c r="BZ118" s="15">
        <v>445190.0</v>
      </c>
      <c r="CA118" s="15">
        <v>379000.0</v>
      </c>
      <c r="CB118" s="15">
        <v>1880000.0</v>
      </c>
      <c r="CC118" s="15">
        <v>856190.0</v>
      </c>
      <c r="CD118" s="15">
        <v>901050.0</v>
      </c>
      <c r="CE118" s="15">
        <v>861250.0</v>
      </c>
      <c r="CF118" s="15">
        <v>844700.0</v>
      </c>
      <c r="CG118" s="12"/>
      <c r="CH118" s="12"/>
      <c r="CI118" s="15">
        <v>7080.0</v>
      </c>
      <c r="CJ118" s="12"/>
      <c r="CK118" s="12"/>
      <c r="CL118" s="15">
        <v>2560000.0</v>
      </c>
      <c r="CM118" s="15">
        <v>1580000.0</v>
      </c>
      <c r="CN118" s="15">
        <v>1800000.0</v>
      </c>
      <c r="CO118" s="15">
        <v>1510000.0</v>
      </c>
      <c r="CP118" s="15">
        <v>1400000.0</v>
      </c>
      <c r="CQ118" s="15">
        <v>259580.0</v>
      </c>
      <c r="CR118" s="15">
        <v>242460.0</v>
      </c>
      <c r="CS118" s="15">
        <v>303450.0</v>
      </c>
      <c r="CT118" s="15">
        <v>217910.0</v>
      </c>
      <c r="CU118" s="15">
        <v>187690.0</v>
      </c>
      <c r="CV118" s="15">
        <v>595450.0</v>
      </c>
      <c r="CW118" s="15">
        <v>83440.0</v>
      </c>
      <c r="CX118" s="15">
        <v>356.0</v>
      </c>
      <c r="CY118" s="13"/>
      <c r="CZ118" s="13"/>
      <c r="DA118" s="15">
        <v>2500.0</v>
      </c>
      <c r="DB118" s="15">
        <v>595450.0</v>
      </c>
      <c r="DC118" s="15">
        <v>493310.0</v>
      </c>
      <c r="DD118" s="15">
        <v>605580.0</v>
      </c>
      <c r="DE118" s="15">
        <v>548310.0</v>
      </c>
      <c r="DF118" s="15">
        <v>2140000.0</v>
      </c>
      <c r="DG118" s="15">
        <v>1190000.0</v>
      </c>
      <c r="DH118" s="15">
        <v>1310000.0</v>
      </c>
      <c r="DI118" s="15">
        <v>1150000.0</v>
      </c>
      <c r="DJ118" s="15">
        <v>1120000.0</v>
      </c>
      <c r="DK118" s="15">
        <v>60330.0</v>
      </c>
      <c r="DL118" s="15">
        <v>57240.0</v>
      </c>
      <c r="DM118" s="15">
        <v>82420.0</v>
      </c>
      <c r="DN118" s="15">
        <v>40980.0</v>
      </c>
      <c r="DO118" s="15">
        <v>35090.0</v>
      </c>
      <c r="DP118" s="15">
        <v>1490000.0</v>
      </c>
      <c r="DQ118" s="15">
        <v>626420.0</v>
      </c>
      <c r="DR118" s="15">
        <v>629140.0</v>
      </c>
      <c r="DS118" s="15">
        <v>551580.0</v>
      </c>
      <c r="DT118" s="15">
        <v>491330.0</v>
      </c>
      <c r="DU118" s="12"/>
      <c r="DV118" s="12"/>
      <c r="DW118" s="12"/>
      <c r="DX118" s="12"/>
      <c r="DY118" s="12"/>
      <c r="DZ118" s="15">
        <v>421140.0</v>
      </c>
      <c r="EA118" s="15">
        <v>392380.0</v>
      </c>
      <c r="EB118" s="15">
        <v>495650.0</v>
      </c>
      <c r="EC118" s="15">
        <v>350990.0</v>
      </c>
      <c r="ED118" s="15">
        <v>286270.0</v>
      </c>
      <c r="EE118" s="17">
        <v>0.158</v>
      </c>
      <c r="EF118" s="17">
        <v>0.238</v>
      </c>
      <c r="EG118" s="17">
        <v>-24.0</v>
      </c>
      <c r="EH118" s="17">
        <v>-5.625</v>
      </c>
    </row>
    <row r="119">
      <c r="A119" s="9">
        <f t="shared" si="2"/>
        <v>117</v>
      </c>
      <c r="B119" s="22" t="s">
        <v>253</v>
      </c>
      <c r="C119" s="11">
        <v>40840.0</v>
      </c>
      <c r="D119" s="11">
        <v>5340.0</v>
      </c>
      <c r="E119" s="11">
        <v>5280.0</v>
      </c>
      <c r="F119" s="11">
        <v>2610.0</v>
      </c>
      <c r="G119" s="11">
        <v>42000.0</v>
      </c>
      <c r="H119" s="12"/>
      <c r="I119" s="11">
        <v>24030.0</v>
      </c>
      <c r="J119" s="11">
        <v>341.0</v>
      </c>
      <c r="K119" s="11">
        <v>-537.0</v>
      </c>
      <c r="L119" s="11">
        <v>33600.0</v>
      </c>
      <c r="M119" s="11">
        <v>-1300.0</v>
      </c>
      <c r="N119" s="11">
        <v>23200.0</v>
      </c>
      <c r="O119" s="11">
        <v>91600.0</v>
      </c>
      <c r="P119" s="11">
        <v>90410.0</v>
      </c>
      <c r="Q119" s="11">
        <v>98720.0</v>
      </c>
      <c r="R119" s="11">
        <v>111600.0</v>
      </c>
      <c r="S119" s="11">
        <v>52590.0</v>
      </c>
      <c r="T119" s="11">
        <v>69180.0</v>
      </c>
      <c r="U119" s="11">
        <v>69370.0</v>
      </c>
      <c r="V119" s="11">
        <v>75480.0</v>
      </c>
      <c r="W119" s="11">
        <v>94160.0</v>
      </c>
      <c r="X119" s="11">
        <v>39890.0</v>
      </c>
      <c r="Y119" s="12"/>
      <c r="Z119" s="12"/>
      <c r="AA119" s="12"/>
      <c r="AB119" s="12"/>
      <c r="AC119" s="12"/>
      <c r="AD119" s="11">
        <v>-94640.0</v>
      </c>
      <c r="AE119" s="11">
        <v>-91290.0</v>
      </c>
      <c r="AF119" s="11">
        <v>-63160.0</v>
      </c>
      <c r="AG119" s="11">
        <v>-112390.0</v>
      </c>
      <c r="AH119" s="11">
        <v>-29650.0</v>
      </c>
      <c r="AI119" s="11">
        <v>-86920.0</v>
      </c>
      <c r="AJ119" s="11">
        <v>-88270.0</v>
      </c>
      <c r="AK119" s="11">
        <v>-62480.0</v>
      </c>
      <c r="AL119" s="11">
        <v>-111600.0</v>
      </c>
      <c r="AM119" s="11">
        <v>-28560.0</v>
      </c>
      <c r="AN119" s="11">
        <v>-94940.0</v>
      </c>
      <c r="AO119" s="11">
        <v>-91300.0</v>
      </c>
      <c r="AP119" s="11">
        <v>-64340.0</v>
      </c>
      <c r="AQ119" s="11">
        <v>-112390.0</v>
      </c>
      <c r="AR119" s="11">
        <v>-29620.0</v>
      </c>
      <c r="AS119" s="11">
        <v>-74590.0</v>
      </c>
      <c r="AT119" s="11">
        <v>-70270.0</v>
      </c>
      <c r="AU119" s="11">
        <v>-65190.0</v>
      </c>
      <c r="AV119" s="11">
        <v>-92530.0</v>
      </c>
      <c r="AW119" s="11">
        <v>-71840.0</v>
      </c>
      <c r="AX119" s="11">
        <v>-325.0</v>
      </c>
      <c r="AY119" s="11">
        <v>-311.0</v>
      </c>
      <c r="AZ119" s="11">
        <v>-2360.0</v>
      </c>
      <c r="BA119" s="11">
        <v>-4870.0</v>
      </c>
      <c r="BB119" s="11">
        <v>-3450.0</v>
      </c>
      <c r="BC119" s="12"/>
      <c r="BD119" s="12"/>
      <c r="BE119" s="12"/>
      <c r="BF119" s="12"/>
      <c r="BG119" s="12"/>
      <c r="BH119" s="11">
        <v>247510.0</v>
      </c>
      <c r="BI119" s="11">
        <v>168090.0</v>
      </c>
      <c r="BJ119" s="11">
        <v>133980.0</v>
      </c>
      <c r="BK119" s="11">
        <v>200820.0</v>
      </c>
      <c r="BL119" s="11">
        <v>107000.0</v>
      </c>
      <c r="BM119" s="11">
        <v>750.0</v>
      </c>
      <c r="BN119" s="11">
        <v>5090.0</v>
      </c>
      <c r="BO119" s="11">
        <v>10800.0</v>
      </c>
      <c r="BP119" s="12"/>
      <c r="BQ119" s="12"/>
      <c r="BR119" s="12"/>
      <c r="BS119" s="12"/>
      <c r="BT119" s="12"/>
      <c r="BU119" s="12"/>
      <c r="BV119" s="12"/>
      <c r="BW119" s="11">
        <v>252060.0</v>
      </c>
      <c r="BX119" s="11">
        <v>176370.0</v>
      </c>
      <c r="BY119" s="11">
        <v>149710.0</v>
      </c>
      <c r="BZ119" s="11">
        <v>203990.0</v>
      </c>
      <c r="CA119" s="11">
        <v>112030.0</v>
      </c>
      <c r="CB119" s="11">
        <v>7410.0</v>
      </c>
      <c r="CC119" s="11">
        <v>5610.0</v>
      </c>
      <c r="CD119" s="11">
        <v>8030.0</v>
      </c>
      <c r="CE119" s="11">
        <v>8990.0</v>
      </c>
      <c r="CF119" s="11">
        <v>4710.0</v>
      </c>
      <c r="CG119" s="12"/>
      <c r="CH119" s="12"/>
      <c r="CI119" s="12"/>
      <c r="CJ119" s="12"/>
      <c r="CK119" s="12"/>
      <c r="CL119" s="11">
        <v>259780.0</v>
      </c>
      <c r="CM119" s="11">
        <v>183330.0</v>
      </c>
      <c r="CN119" s="11">
        <v>157900.0</v>
      </c>
      <c r="CO119" s="11">
        <v>213130.0</v>
      </c>
      <c r="CP119" s="11">
        <v>116950.0</v>
      </c>
      <c r="CQ119" s="11">
        <v>2190.0</v>
      </c>
      <c r="CR119" s="11">
        <v>1150.0</v>
      </c>
      <c r="CS119" s="11">
        <v>3930.0</v>
      </c>
      <c r="CT119" s="11">
        <v>5640.0</v>
      </c>
      <c r="CU119" s="11">
        <v>2780.0</v>
      </c>
      <c r="CV119" s="11">
        <v>22220.0</v>
      </c>
      <c r="CW119" s="11">
        <v>2610.0</v>
      </c>
      <c r="CX119" s="12"/>
      <c r="CY119" s="12"/>
      <c r="CZ119" s="12"/>
      <c r="DA119" s="12"/>
      <c r="DB119" s="11">
        <v>22220.0</v>
      </c>
      <c r="DC119" s="11">
        <v>17730.0</v>
      </c>
      <c r="DD119" s="11">
        <v>17870.0</v>
      </c>
      <c r="DE119" s="11">
        <v>19200.0</v>
      </c>
      <c r="DF119" s="11">
        <v>73130.0</v>
      </c>
      <c r="DG119" s="11">
        <v>67520.0</v>
      </c>
      <c r="DH119" s="11">
        <v>18590.0</v>
      </c>
      <c r="DI119" s="11">
        <v>19980.0</v>
      </c>
      <c r="DJ119" s="11">
        <v>8050.0</v>
      </c>
      <c r="DK119" s="12"/>
      <c r="DL119" s="12"/>
      <c r="DM119" s="12"/>
      <c r="DN119" s="12"/>
      <c r="DO119" s="24">
        <v>100.0</v>
      </c>
      <c r="DP119" s="11">
        <v>50910.0</v>
      </c>
      <c r="DQ119" s="11">
        <v>49210.0</v>
      </c>
      <c r="DR119" s="12"/>
      <c r="DS119" s="12"/>
      <c r="DT119" s="12"/>
      <c r="DU119" s="13"/>
      <c r="DV119" s="12"/>
      <c r="DW119" s="12"/>
      <c r="DX119" s="13"/>
      <c r="DY119" s="13"/>
      <c r="DZ119" s="11">
        <v>186660.0</v>
      </c>
      <c r="EA119" s="11">
        <v>115810.0</v>
      </c>
      <c r="EB119" s="11">
        <v>139310.0</v>
      </c>
      <c r="EC119" s="11">
        <v>193150.0</v>
      </c>
      <c r="ED119" s="11">
        <v>108900.0</v>
      </c>
      <c r="EE119" s="14">
        <v>0.687</v>
      </c>
      <c r="EF119" s="14">
        <v>1.342</v>
      </c>
      <c r="EG119" s="14">
        <v>-0.077</v>
      </c>
      <c r="EH119" s="14">
        <v>0.02</v>
      </c>
    </row>
    <row r="120">
      <c r="A120" s="9">
        <f t="shared" si="2"/>
        <v>118</v>
      </c>
      <c r="B120" s="22" t="s">
        <v>254</v>
      </c>
      <c r="C120" s="11">
        <v>141920.0</v>
      </c>
      <c r="D120" s="11">
        <v>88540.0</v>
      </c>
      <c r="E120" s="11">
        <v>69780.0</v>
      </c>
      <c r="F120" s="11">
        <v>21480.0</v>
      </c>
      <c r="G120" s="11">
        <v>36420.0</v>
      </c>
      <c r="H120" s="11">
        <v>14710.0</v>
      </c>
      <c r="I120" s="11">
        <v>6850.0</v>
      </c>
      <c r="J120" s="12"/>
      <c r="K120" s="12"/>
      <c r="L120" s="12"/>
      <c r="M120" s="12"/>
      <c r="N120" s="12"/>
      <c r="O120" s="11">
        <v>260070.0</v>
      </c>
      <c r="P120" s="11">
        <v>110590.0</v>
      </c>
      <c r="Q120" s="11">
        <v>63740.0</v>
      </c>
      <c r="R120" s="11">
        <v>38230.0</v>
      </c>
      <c r="S120" s="11">
        <v>25360.0</v>
      </c>
      <c r="T120" s="11">
        <v>196020.0</v>
      </c>
      <c r="U120" s="11">
        <v>83120.0</v>
      </c>
      <c r="V120" s="11">
        <v>51290.0</v>
      </c>
      <c r="W120" s="11">
        <v>31220.0</v>
      </c>
      <c r="X120" s="11">
        <v>20440.0</v>
      </c>
      <c r="Y120" s="11">
        <v>-185660.0</v>
      </c>
      <c r="Z120" s="12"/>
      <c r="AA120" s="11">
        <v>-26890.0</v>
      </c>
      <c r="AB120" s="12"/>
      <c r="AC120" s="12"/>
      <c r="AD120" s="11">
        <v>-163030.0</v>
      </c>
      <c r="AE120" s="11">
        <v>-68000.0</v>
      </c>
      <c r="AF120" s="11">
        <v>-28460.0</v>
      </c>
      <c r="AG120" s="11">
        <v>-22020.0</v>
      </c>
      <c r="AH120" s="11">
        <v>-15920.0</v>
      </c>
      <c r="AI120" s="11">
        <v>-184590.0</v>
      </c>
      <c r="AJ120" s="11">
        <v>-85350.0</v>
      </c>
      <c r="AK120" s="11">
        <v>-27330.0</v>
      </c>
      <c r="AL120" s="11">
        <v>-21720.0</v>
      </c>
      <c r="AM120" s="11">
        <v>-18510.0</v>
      </c>
      <c r="AN120" s="11">
        <v>-162970.0</v>
      </c>
      <c r="AO120" s="11">
        <v>-66640.0</v>
      </c>
      <c r="AP120" s="11">
        <v>-28080.0</v>
      </c>
      <c r="AQ120" s="11">
        <v>-21370.0</v>
      </c>
      <c r="AR120" s="11">
        <v>-15310.0</v>
      </c>
      <c r="AS120" s="11">
        <v>140050.0</v>
      </c>
      <c r="AT120" s="11">
        <v>-52470.0</v>
      </c>
      <c r="AU120" s="11">
        <v>-36170.0</v>
      </c>
      <c r="AV120" s="11">
        <v>10670.0</v>
      </c>
      <c r="AW120" s="11">
        <v>-13790.0</v>
      </c>
      <c r="AX120" s="11">
        <v>-41750.0</v>
      </c>
      <c r="AY120" s="11">
        <v>-684.0</v>
      </c>
      <c r="AZ120" s="11">
        <v>-351.0</v>
      </c>
      <c r="BA120" s="11">
        <v>-861.0</v>
      </c>
      <c r="BB120" s="11">
        <v>-279.0</v>
      </c>
      <c r="BC120" s="12"/>
      <c r="BD120" s="12"/>
      <c r="BE120" s="12"/>
      <c r="BF120" s="12"/>
      <c r="BG120" s="12"/>
      <c r="BH120" s="11">
        <v>1340000.0</v>
      </c>
      <c r="BI120" s="11">
        <v>566260.0</v>
      </c>
      <c r="BJ120" s="11">
        <v>361470.0</v>
      </c>
      <c r="BK120" s="11">
        <v>97510.0</v>
      </c>
      <c r="BL120" s="11">
        <v>42330.0</v>
      </c>
      <c r="BM120" s="11">
        <v>28380.0</v>
      </c>
      <c r="BN120" s="11">
        <v>3190.0</v>
      </c>
      <c r="BO120" s="11">
        <v>3000.0</v>
      </c>
      <c r="BP120" s="11">
        <v>2130.0</v>
      </c>
      <c r="BQ120" s="11">
        <v>1360.0</v>
      </c>
      <c r="BR120" s="12"/>
      <c r="BS120" s="12"/>
      <c r="BT120" s="12"/>
      <c r="BU120" s="12"/>
      <c r="BV120" s="12"/>
      <c r="BW120" s="11">
        <v>1370000.0</v>
      </c>
      <c r="BX120" s="11">
        <v>572440.0</v>
      </c>
      <c r="BY120" s="11">
        <v>366800.0</v>
      </c>
      <c r="BZ120" s="11">
        <v>101790.0</v>
      </c>
      <c r="CA120" s="11">
        <v>44140.0</v>
      </c>
      <c r="CB120" s="11">
        <v>8170.0</v>
      </c>
      <c r="CC120" s="11">
        <v>824.0</v>
      </c>
      <c r="CD120" s="11">
        <v>676.0</v>
      </c>
      <c r="CE120" s="11">
        <v>766.0</v>
      </c>
      <c r="CF120" s="11">
        <v>249.0</v>
      </c>
      <c r="CG120" s="12"/>
      <c r="CH120" s="12"/>
      <c r="CI120" s="12"/>
      <c r="CJ120" s="12"/>
      <c r="CK120" s="12"/>
      <c r="CL120" s="11">
        <v>1430000.0</v>
      </c>
      <c r="CM120" s="11">
        <v>578460.0</v>
      </c>
      <c r="CN120" s="11">
        <v>370910.0</v>
      </c>
      <c r="CO120" s="11">
        <v>105770.0</v>
      </c>
      <c r="CP120" s="11">
        <v>45960.0</v>
      </c>
      <c r="CQ120" s="11">
        <v>9360.0</v>
      </c>
      <c r="CR120" s="11">
        <v>6010.0</v>
      </c>
      <c r="CS120" s="11">
        <v>4400.0</v>
      </c>
      <c r="CT120" s="11">
        <v>4390.0</v>
      </c>
      <c r="CU120" s="11">
        <v>2710.0</v>
      </c>
      <c r="CV120" s="11">
        <v>159960.0</v>
      </c>
      <c r="CW120" s="12"/>
      <c r="CX120" s="12"/>
      <c r="CY120" s="12"/>
      <c r="CZ120" s="12"/>
      <c r="DA120" s="12"/>
      <c r="DB120" s="11">
        <v>159960.0</v>
      </c>
      <c r="DC120" s="11">
        <v>40060.0</v>
      </c>
      <c r="DD120" s="11">
        <v>25950.0</v>
      </c>
      <c r="DE120" s="11">
        <v>42400.0</v>
      </c>
      <c r="DF120" s="11">
        <v>382590.0</v>
      </c>
      <c r="DG120" s="11">
        <v>40060.0</v>
      </c>
      <c r="DH120" s="11">
        <v>25980.0</v>
      </c>
      <c r="DI120" s="11">
        <v>42400.0</v>
      </c>
      <c r="DJ120" s="11">
        <v>8680.0</v>
      </c>
      <c r="DK120" s="11">
        <v>3230.0</v>
      </c>
      <c r="DL120" s="11">
        <v>252.0</v>
      </c>
      <c r="DM120" s="11">
        <v>257.0</v>
      </c>
      <c r="DN120" s="11">
        <v>1150.0</v>
      </c>
      <c r="DO120" s="24">
        <v>1.0</v>
      </c>
      <c r="DP120" s="11">
        <v>4540.0</v>
      </c>
      <c r="DQ120" s="12"/>
      <c r="DR120" s="12"/>
      <c r="DS120" s="12"/>
      <c r="DT120" s="12"/>
      <c r="DU120" s="13"/>
      <c r="DV120" s="12"/>
      <c r="DW120" s="12"/>
      <c r="DX120" s="13"/>
      <c r="DY120" s="13"/>
      <c r="DZ120" s="11">
        <v>1050000.0</v>
      </c>
      <c r="EA120" s="11">
        <v>538400.0</v>
      </c>
      <c r="EB120" s="11">
        <v>344930.0</v>
      </c>
      <c r="EC120" s="11">
        <v>63370.0</v>
      </c>
      <c r="ED120" s="11">
        <v>37280.0</v>
      </c>
      <c r="EE120" s="14">
        <v>1.191</v>
      </c>
      <c r="EF120" s="14">
        <v>1.757</v>
      </c>
      <c r="EG120" s="14">
        <v>-0.226</v>
      </c>
      <c r="EH120" s="14">
        <v>-0.147</v>
      </c>
    </row>
    <row r="121">
      <c r="A121" s="9">
        <f t="shared" si="2"/>
        <v>119</v>
      </c>
      <c r="B121" s="10" t="s">
        <v>255</v>
      </c>
      <c r="C121" s="15">
        <v>1490000.0</v>
      </c>
      <c r="D121" s="15">
        <v>1290000.0</v>
      </c>
      <c r="E121" s="15">
        <v>1960000.0</v>
      </c>
      <c r="F121" s="15">
        <v>2000000.0</v>
      </c>
      <c r="G121" s="15">
        <v>1800000.0</v>
      </c>
      <c r="H121" s="15">
        <v>1930000.0</v>
      </c>
      <c r="I121" s="15">
        <v>2270000.0</v>
      </c>
      <c r="J121" s="15">
        <v>347690.0</v>
      </c>
      <c r="K121" s="15">
        <v>401070.0</v>
      </c>
      <c r="L121" s="15">
        <v>393680.0</v>
      </c>
      <c r="M121" s="15">
        <v>438470.0</v>
      </c>
      <c r="N121" s="15">
        <v>529040.0</v>
      </c>
      <c r="O121" s="15">
        <v>73000.0</v>
      </c>
      <c r="P121" s="15">
        <v>68300.0</v>
      </c>
      <c r="Q121" s="15">
        <v>61760.0</v>
      </c>
      <c r="R121" s="15">
        <v>72530.0</v>
      </c>
      <c r="S121" s="15">
        <v>67480.0</v>
      </c>
      <c r="T121" s="15">
        <v>0.0</v>
      </c>
      <c r="U121" s="15">
        <v>0.0</v>
      </c>
      <c r="V121" s="15">
        <v>0.0</v>
      </c>
      <c r="W121" s="15">
        <v>0.0</v>
      </c>
      <c r="X121" s="15">
        <v>0.0</v>
      </c>
      <c r="Y121" s="15">
        <v>436540.0</v>
      </c>
      <c r="Z121" s="15">
        <v>372290.0</v>
      </c>
      <c r="AA121" s="15">
        <v>-8150.0</v>
      </c>
      <c r="AB121" s="15">
        <v>0.0</v>
      </c>
      <c r="AC121" s="15">
        <v>-77580.0</v>
      </c>
      <c r="AD121" s="15">
        <v>406720.0</v>
      </c>
      <c r="AE121" s="15">
        <v>367490.0</v>
      </c>
      <c r="AF121" s="15">
        <v>304410.0</v>
      </c>
      <c r="AG121" s="15">
        <v>339550.0</v>
      </c>
      <c r="AH121" s="15">
        <v>306190.0</v>
      </c>
      <c r="AI121" s="15">
        <v>587850.0</v>
      </c>
      <c r="AJ121" s="15">
        <v>613000.0</v>
      </c>
      <c r="AK121" s="15">
        <v>600910.0</v>
      </c>
      <c r="AL121" s="15">
        <v>688450.0</v>
      </c>
      <c r="AM121" s="15">
        <v>795270.0</v>
      </c>
      <c r="AN121" s="15">
        <v>392920.0</v>
      </c>
      <c r="AO121" s="15">
        <v>358290.0</v>
      </c>
      <c r="AP121" s="15">
        <v>276370.0</v>
      </c>
      <c r="AQ121" s="15">
        <v>251820.0</v>
      </c>
      <c r="AR121" s="15">
        <v>156370.0</v>
      </c>
      <c r="AS121" s="15">
        <v>517400.0</v>
      </c>
      <c r="AT121" s="15">
        <v>696820.0</v>
      </c>
      <c r="AU121" s="15">
        <v>567580.0</v>
      </c>
      <c r="AV121" s="15">
        <v>703540.0</v>
      </c>
      <c r="AW121" s="15">
        <v>716340.0</v>
      </c>
      <c r="AX121" s="15">
        <v>-305940.0</v>
      </c>
      <c r="AY121" s="15">
        <v>-233480.0</v>
      </c>
      <c r="AZ121" s="15">
        <v>-145090.0</v>
      </c>
      <c r="BA121" s="15">
        <v>-118460.0</v>
      </c>
      <c r="BB121" s="15">
        <v>-215820.0</v>
      </c>
      <c r="BC121" s="15">
        <v>-278430.0</v>
      </c>
      <c r="BD121" s="15">
        <v>-275900.0</v>
      </c>
      <c r="BE121" s="15">
        <v>-240810.0</v>
      </c>
      <c r="BF121" s="15">
        <v>-247920.0</v>
      </c>
      <c r="BG121" s="15">
        <v>-346800.0</v>
      </c>
      <c r="BH121" s="15">
        <v>36480.0</v>
      </c>
      <c r="BI121" s="15">
        <v>244150.0</v>
      </c>
      <c r="BJ121" s="15">
        <v>6760.0</v>
      </c>
      <c r="BK121" s="15">
        <v>39780.0</v>
      </c>
      <c r="BL121" s="15">
        <v>33430.0</v>
      </c>
      <c r="BM121" s="15">
        <v>161940.0</v>
      </c>
      <c r="BN121" s="15">
        <v>175330.0</v>
      </c>
      <c r="BO121" s="15">
        <v>181980.0</v>
      </c>
      <c r="BP121" s="15">
        <v>152580.0</v>
      </c>
      <c r="BQ121" s="15">
        <v>123760.0</v>
      </c>
      <c r="BR121" s="15">
        <v>101310.0</v>
      </c>
      <c r="BS121" s="15">
        <v>59210.0</v>
      </c>
      <c r="BT121" s="15">
        <v>60280.0</v>
      </c>
      <c r="BU121" s="15">
        <v>61050.0</v>
      </c>
      <c r="BV121" s="15">
        <v>121080.0</v>
      </c>
      <c r="BW121" s="15">
        <v>319590.0</v>
      </c>
      <c r="BX121" s="15">
        <v>500690.0</v>
      </c>
      <c r="BY121" s="15">
        <v>281640.0</v>
      </c>
      <c r="BZ121" s="15">
        <v>276670.0</v>
      </c>
      <c r="CA121" s="15">
        <v>314910.0</v>
      </c>
      <c r="CB121" s="15">
        <v>1410000.0</v>
      </c>
      <c r="CC121" s="15">
        <v>1410000.0</v>
      </c>
      <c r="CD121" s="15">
        <v>1480000.0</v>
      </c>
      <c r="CE121" s="15">
        <v>1590000.0</v>
      </c>
      <c r="CF121" s="15">
        <v>1800000.0</v>
      </c>
      <c r="CG121" s="15">
        <v>136400.0</v>
      </c>
      <c r="CH121" s="15">
        <v>136400.0</v>
      </c>
      <c r="CI121" s="15">
        <v>136400.0</v>
      </c>
      <c r="CJ121" s="15">
        <v>136400.0</v>
      </c>
      <c r="CK121" s="15">
        <v>136400.0</v>
      </c>
      <c r="CL121" s="15">
        <v>2590000.0</v>
      </c>
      <c r="CM121" s="15">
        <v>2390000.0</v>
      </c>
      <c r="CN121" s="15">
        <v>2220000.0</v>
      </c>
      <c r="CO121" s="15">
        <v>2190000.0</v>
      </c>
      <c r="CP121" s="15">
        <v>2360000.0</v>
      </c>
      <c r="CQ121" s="15">
        <v>80570.0</v>
      </c>
      <c r="CR121" s="15">
        <v>96400.0</v>
      </c>
      <c r="CS121" s="15">
        <v>96960.0</v>
      </c>
      <c r="CT121" s="15">
        <v>64060.0</v>
      </c>
      <c r="CU121" s="15">
        <v>83600.0</v>
      </c>
      <c r="CV121" s="15">
        <v>195590.0</v>
      </c>
      <c r="CW121" s="15">
        <v>3250.0</v>
      </c>
      <c r="CX121" s="16">
        <v>0.0</v>
      </c>
      <c r="CY121" s="16">
        <v>0.0</v>
      </c>
      <c r="CZ121" s="16">
        <v>0.0</v>
      </c>
      <c r="DA121" s="15">
        <v>0.0</v>
      </c>
      <c r="DB121" s="15">
        <v>195590.0</v>
      </c>
      <c r="DC121" s="15">
        <v>330870.0</v>
      </c>
      <c r="DD121" s="15">
        <v>289630.0</v>
      </c>
      <c r="DE121" s="15">
        <v>326870.0</v>
      </c>
      <c r="DF121" s="15">
        <v>1320000.0</v>
      </c>
      <c r="DG121" s="15">
        <v>1210000.0</v>
      </c>
      <c r="DH121" s="15">
        <v>1070000.0</v>
      </c>
      <c r="DI121" s="15">
        <v>1100000.0</v>
      </c>
      <c r="DJ121" s="15">
        <v>1370000.0</v>
      </c>
      <c r="DK121" s="15">
        <v>646810.0</v>
      </c>
      <c r="DL121" s="15">
        <v>283400.0</v>
      </c>
      <c r="DM121" s="15">
        <v>254360.0</v>
      </c>
      <c r="DN121" s="15">
        <v>138820.0</v>
      </c>
      <c r="DO121" s="15">
        <v>64510.0</v>
      </c>
      <c r="DP121" s="15">
        <v>784730.0</v>
      </c>
      <c r="DQ121" s="15">
        <v>574600.0</v>
      </c>
      <c r="DR121" s="15">
        <v>473030.0</v>
      </c>
      <c r="DS121" s="15">
        <v>484990.0</v>
      </c>
      <c r="DT121" s="15">
        <v>658640.0</v>
      </c>
      <c r="DU121" s="16">
        <v>0.0</v>
      </c>
      <c r="DV121" s="15">
        <v>0.0</v>
      </c>
      <c r="DW121" s="15">
        <v>0.0</v>
      </c>
      <c r="DX121" s="16">
        <v>0.0</v>
      </c>
      <c r="DY121" s="16">
        <v>0.0</v>
      </c>
      <c r="DZ121" s="15">
        <v>1250000.0</v>
      </c>
      <c r="EA121" s="15">
        <v>1180000.0</v>
      </c>
      <c r="EB121" s="15">
        <v>1150000.0</v>
      </c>
      <c r="EC121" s="15">
        <v>1090000.0</v>
      </c>
      <c r="ED121" s="15">
        <v>986780.0</v>
      </c>
      <c r="EE121" s="17">
        <v>0.023</v>
      </c>
      <c r="EF121" s="17">
        <v>0.094</v>
      </c>
      <c r="EG121" s="17">
        <v>-9.769</v>
      </c>
      <c r="EH121" s="17">
        <v>-2.552</v>
      </c>
    </row>
    <row r="122">
      <c r="A122" s="9">
        <f t="shared" si="2"/>
        <v>120</v>
      </c>
      <c r="B122" s="10" t="s">
        <v>256</v>
      </c>
      <c r="C122" s="15">
        <v>1.494E7</v>
      </c>
      <c r="D122" s="15">
        <v>1.323E7</v>
      </c>
      <c r="E122" s="15">
        <v>1.623E7</v>
      </c>
      <c r="F122" s="15">
        <v>1.579E7</v>
      </c>
      <c r="G122" s="15">
        <v>1.46E7</v>
      </c>
      <c r="H122" s="15">
        <v>1.442E7</v>
      </c>
      <c r="I122" s="15">
        <v>1.433E7</v>
      </c>
      <c r="J122" s="15">
        <v>1140000.0</v>
      </c>
      <c r="K122" s="15">
        <v>1220000.0</v>
      </c>
      <c r="L122" s="15">
        <v>1110000.0</v>
      </c>
      <c r="M122" s="15">
        <v>1040000.0</v>
      </c>
      <c r="N122" s="15">
        <v>986790.0</v>
      </c>
      <c r="O122" s="15">
        <v>357280.0</v>
      </c>
      <c r="P122" s="15">
        <v>338340.0</v>
      </c>
      <c r="Q122" s="15">
        <v>280770.0</v>
      </c>
      <c r="R122" s="15">
        <v>266540.0</v>
      </c>
      <c r="S122" s="15">
        <v>292340.0</v>
      </c>
      <c r="T122" s="15"/>
      <c r="U122" s="15"/>
      <c r="V122" s="15"/>
      <c r="W122" s="15"/>
      <c r="X122" s="15"/>
      <c r="Y122" s="15">
        <v>736920.0</v>
      </c>
      <c r="Z122" s="15">
        <v>-72700.0</v>
      </c>
      <c r="AA122" s="15">
        <v>806780.0</v>
      </c>
      <c r="AB122" s="15">
        <v>742730.0</v>
      </c>
      <c r="AC122" s="15">
        <v>637650.0</v>
      </c>
      <c r="AD122" s="15">
        <v>556170.0</v>
      </c>
      <c r="AE122" s="15">
        <v>471880.0</v>
      </c>
      <c r="AF122" s="15">
        <v>520640.0</v>
      </c>
      <c r="AG122" s="15">
        <v>430930.0</v>
      </c>
      <c r="AH122" s="15">
        <v>342000.0</v>
      </c>
      <c r="AI122" s="15">
        <v>1380000.0</v>
      </c>
      <c r="AJ122" s="15">
        <v>1480000.0</v>
      </c>
      <c r="AK122" s="15">
        <v>1330000.0</v>
      </c>
      <c r="AL122" s="15">
        <v>1270000.0</v>
      </c>
      <c r="AM122" s="15">
        <v>1200000.0</v>
      </c>
      <c r="AN122" s="15">
        <v>448550.0</v>
      </c>
      <c r="AO122" s="15">
        <v>567890.0</v>
      </c>
      <c r="AP122" s="15">
        <v>373920.0</v>
      </c>
      <c r="AQ122" s="15">
        <v>287810.0</v>
      </c>
      <c r="AR122" s="15">
        <v>235950.0</v>
      </c>
      <c r="AS122" s="15">
        <v>984230.0</v>
      </c>
      <c r="AT122" s="15">
        <v>1050000.0</v>
      </c>
      <c r="AU122" s="15">
        <v>1050000.0</v>
      </c>
      <c r="AV122" s="15">
        <v>806640.0</v>
      </c>
      <c r="AW122" s="15">
        <v>683040.0</v>
      </c>
      <c r="AX122" s="15">
        <v>-503090.0</v>
      </c>
      <c r="AY122" s="15">
        <v>-628600.0</v>
      </c>
      <c r="AZ122" s="15">
        <v>-552730.0</v>
      </c>
      <c r="BA122" s="15">
        <v>-512530.0</v>
      </c>
      <c r="BB122" s="15">
        <v>-524380.0</v>
      </c>
      <c r="BC122" s="15">
        <v>-108440.0</v>
      </c>
      <c r="BD122" s="15">
        <v>-103120.0</v>
      </c>
      <c r="BE122" s="15">
        <v>-100810.0</v>
      </c>
      <c r="BF122" s="15">
        <v>-92070.0</v>
      </c>
      <c r="BG122" s="15">
        <v>-81900.0</v>
      </c>
      <c r="BH122" s="15">
        <v>246640.0</v>
      </c>
      <c r="BI122" s="15">
        <v>215030.0</v>
      </c>
      <c r="BJ122" s="15">
        <v>242500.0</v>
      </c>
      <c r="BK122" s="15">
        <v>156460.0</v>
      </c>
      <c r="BL122" s="15">
        <v>122420.0</v>
      </c>
      <c r="BM122" s="15">
        <v>1840000.0</v>
      </c>
      <c r="BN122" s="15">
        <v>1800000.0</v>
      </c>
      <c r="BO122" s="15">
        <v>1630000.0</v>
      </c>
      <c r="BP122" s="15">
        <v>1520000.0</v>
      </c>
      <c r="BQ122" s="15">
        <v>1520000.0</v>
      </c>
      <c r="BR122" s="15">
        <v>411320.0</v>
      </c>
      <c r="BS122" s="15">
        <v>724800.0</v>
      </c>
      <c r="BT122" s="15">
        <v>610730.0</v>
      </c>
      <c r="BU122" s="15">
        <v>587160.0</v>
      </c>
      <c r="BV122" s="15">
        <v>575260.0</v>
      </c>
      <c r="BW122" s="15">
        <v>2660000.0</v>
      </c>
      <c r="BX122" s="15">
        <v>2900000.0</v>
      </c>
      <c r="BY122" s="15">
        <v>2650000.0</v>
      </c>
      <c r="BZ122" s="15">
        <v>2490000.0</v>
      </c>
      <c r="CA122" s="15">
        <v>2380000.0</v>
      </c>
      <c r="CB122" s="15">
        <v>2180000.0</v>
      </c>
      <c r="CC122" s="15">
        <v>1380000.0</v>
      </c>
      <c r="CD122" s="15">
        <v>1040000.0</v>
      </c>
      <c r="CE122" s="15">
        <v>1020000.0</v>
      </c>
      <c r="CF122" s="15">
        <v>959350.0</v>
      </c>
      <c r="CG122" s="15">
        <v>5520000.0</v>
      </c>
      <c r="CH122" s="15">
        <v>5610000.0</v>
      </c>
      <c r="CI122" s="15">
        <v>4720000.0</v>
      </c>
      <c r="CJ122" s="15">
        <v>4630000.0</v>
      </c>
      <c r="CK122" s="15">
        <v>4560000.0</v>
      </c>
      <c r="CL122" s="15">
        <v>1.374E7</v>
      </c>
      <c r="CM122" s="15">
        <v>1.372E7</v>
      </c>
      <c r="CN122" s="15">
        <v>1.101E7</v>
      </c>
      <c r="CO122" s="15">
        <v>1.058E7</v>
      </c>
      <c r="CP122" s="15">
        <v>1.022E7</v>
      </c>
      <c r="CQ122" s="15">
        <v>999060.0</v>
      </c>
      <c r="CR122" s="15">
        <v>1020000.0</v>
      </c>
      <c r="CS122" s="15">
        <v>955930.0</v>
      </c>
      <c r="CT122" s="15">
        <v>847140.0</v>
      </c>
      <c r="CU122" s="15">
        <v>844700.0</v>
      </c>
      <c r="CV122" s="15">
        <v>2710000.0</v>
      </c>
      <c r="CW122" s="15"/>
      <c r="CX122" s="13"/>
      <c r="CY122" s="13"/>
      <c r="CZ122" s="13"/>
      <c r="DA122" s="12"/>
      <c r="DB122" s="15">
        <v>2710000.0</v>
      </c>
      <c r="DC122" s="15">
        <v>2490000.0</v>
      </c>
      <c r="DD122" s="15">
        <v>2370000.0</v>
      </c>
      <c r="DE122" s="15">
        <v>2180000.0</v>
      </c>
      <c r="DF122" s="15">
        <v>1.041E7</v>
      </c>
      <c r="DG122" s="15">
        <v>1.068E7</v>
      </c>
      <c r="DH122" s="15">
        <v>8540000.0</v>
      </c>
      <c r="DI122" s="15">
        <v>8410000.0</v>
      </c>
      <c r="DJ122" s="15">
        <v>8330000.0</v>
      </c>
      <c r="DK122" s="15">
        <v>264450.0</v>
      </c>
      <c r="DL122" s="15">
        <v>294260.0</v>
      </c>
      <c r="DM122" s="15">
        <v>247600.0</v>
      </c>
      <c r="DN122" s="15">
        <v>253800.0</v>
      </c>
      <c r="DO122" s="15">
        <v>152500.0</v>
      </c>
      <c r="DP122" s="15">
        <v>6610000.0</v>
      </c>
      <c r="DQ122" s="15">
        <v>7210000.0</v>
      </c>
      <c r="DR122" s="15">
        <v>5190000.0</v>
      </c>
      <c r="DS122" s="15">
        <v>5220000.0</v>
      </c>
      <c r="DT122" s="15">
        <v>5210000.0</v>
      </c>
      <c r="DU122" s="13"/>
      <c r="DV122" s="12"/>
      <c r="DW122" s="12"/>
      <c r="DX122" s="13"/>
      <c r="DY122" s="13"/>
      <c r="DZ122" s="15">
        <v>3320000.0</v>
      </c>
      <c r="EA122" s="15">
        <v>3030000.0</v>
      </c>
      <c r="EB122" s="15">
        <v>2460000.0</v>
      </c>
      <c r="EC122" s="15">
        <v>2160000.0</v>
      </c>
      <c r="ED122" s="15">
        <v>1880000.0</v>
      </c>
      <c r="EE122" s="17">
        <v>0.122</v>
      </c>
      <c r="EF122" s="17">
        <v>0.139</v>
      </c>
      <c r="EG122" s="17">
        <v>-0.038</v>
      </c>
      <c r="EH122" s="17">
        <v>0.006</v>
      </c>
    </row>
    <row r="123">
      <c r="A123" s="9">
        <f t="shared" si="2"/>
        <v>121</v>
      </c>
      <c r="B123" s="22" t="s">
        <v>257</v>
      </c>
      <c r="C123" s="11">
        <v>33920.0</v>
      </c>
      <c r="D123" s="11">
        <v>3260.0</v>
      </c>
      <c r="E123" s="11">
        <v>806430.0</v>
      </c>
      <c r="F123" s="11">
        <v>17970.0</v>
      </c>
      <c r="G123" s="11">
        <v>21340.0</v>
      </c>
      <c r="H123" s="11">
        <v>92160.0</v>
      </c>
      <c r="I123" s="11">
        <v>38330.0</v>
      </c>
      <c r="J123" s="12"/>
      <c r="K123" s="12"/>
      <c r="L123" s="12"/>
      <c r="M123" s="12"/>
      <c r="N123" s="11">
        <v>25150.0</v>
      </c>
      <c r="O123" s="11">
        <v>305880.0</v>
      </c>
      <c r="P123" s="11">
        <v>158990.0</v>
      </c>
      <c r="Q123" s="11">
        <v>97050.0</v>
      </c>
      <c r="R123" s="11">
        <v>86320.0</v>
      </c>
      <c r="S123" s="11">
        <v>124380.0</v>
      </c>
      <c r="T123" s="11">
        <v>231500.0</v>
      </c>
      <c r="U123" s="11">
        <v>115030.0</v>
      </c>
      <c r="V123" s="11">
        <v>70990.0</v>
      </c>
      <c r="W123" s="11">
        <v>63780.0</v>
      </c>
      <c r="X123" s="11">
        <v>88410.0</v>
      </c>
      <c r="Y123" s="11">
        <v>482750.0</v>
      </c>
      <c r="Z123" s="12"/>
      <c r="AA123" s="11">
        <v>-91970.0</v>
      </c>
      <c r="AB123" s="11">
        <v>-6120.0</v>
      </c>
      <c r="AC123" s="11">
        <v>-102720.0</v>
      </c>
      <c r="AD123" s="11">
        <v>507890.0</v>
      </c>
      <c r="AE123" s="11">
        <v>-138830.0</v>
      </c>
      <c r="AF123" s="11">
        <v>-95850.0</v>
      </c>
      <c r="AG123" s="11">
        <v>-12300.0</v>
      </c>
      <c r="AH123" s="11">
        <v>-107980.0</v>
      </c>
      <c r="AI123" s="11">
        <v>500550.0</v>
      </c>
      <c r="AJ123" s="11">
        <v>-141020.0</v>
      </c>
      <c r="AK123" s="11">
        <v>-75710.0</v>
      </c>
      <c r="AL123" s="11">
        <v>5850.0</v>
      </c>
      <c r="AM123" s="11">
        <v>-89180.0</v>
      </c>
      <c r="AN123" s="11">
        <v>397560.0</v>
      </c>
      <c r="AO123" s="11">
        <v>-28570.0</v>
      </c>
      <c r="AP123" s="11">
        <v>-94530.0</v>
      </c>
      <c r="AQ123" s="11">
        <v>-11920.0</v>
      </c>
      <c r="AR123" s="11">
        <v>-107980.0</v>
      </c>
      <c r="AS123" s="11">
        <v>568690.0</v>
      </c>
      <c r="AT123" s="11">
        <v>-132210.0</v>
      </c>
      <c r="AU123" s="11">
        <v>-66640.0</v>
      </c>
      <c r="AV123" s="11">
        <v>-62140.0</v>
      </c>
      <c r="AW123" s="11">
        <v>-98110.0</v>
      </c>
      <c r="AX123" s="11">
        <v>-4820.0</v>
      </c>
      <c r="AY123" s="11">
        <v>-692.0</v>
      </c>
      <c r="AZ123" s="11">
        <v>-118.0</v>
      </c>
      <c r="BA123" s="11">
        <v>-1470.0</v>
      </c>
      <c r="BB123" s="11">
        <v>-10990.0</v>
      </c>
      <c r="BC123" s="12"/>
      <c r="BD123" s="12"/>
      <c r="BE123" s="12"/>
      <c r="BF123" s="12"/>
      <c r="BG123" s="12"/>
      <c r="BH123" s="11">
        <v>739570.0</v>
      </c>
      <c r="BI123" s="11">
        <v>445630.0</v>
      </c>
      <c r="BJ123" s="11">
        <v>247080.0</v>
      </c>
      <c r="BK123" s="11">
        <v>90710.0</v>
      </c>
      <c r="BL123" s="11">
        <v>156180.0</v>
      </c>
      <c r="BM123" s="11">
        <v>1650.0</v>
      </c>
      <c r="BN123" s="11">
        <v>5090.0</v>
      </c>
      <c r="BO123" s="11">
        <v>14380.0</v>
      </c>
      <c r="BP123" s="11">
        <v>573.0</v>
      </c>
      <c r="BQ123" s="11">
        <v>4930.0</v>
      </c>
      <c r="BR123" s="12"/>
      <c r="BS123" s="12"/>
      <c r="BT123" s="12"/>
      <c r="BU123" s="12"/>
      <c r="BV123" s="11">
        <v>9500.0</v>
      </c>
      <c r="BW123" s="11">
        <v>759930.0</v>
      </c>
      <c r="BX123" s="11">
        <v>460730.0</v>
      </c>
      <c r="BY123" s="11">
        <v>281280.0</v>
      </c>
      <c r="BZ123" s="11">
        <v>119890.0</v>
      </c>
      <c r="CA123" s="11">
        <v>174840.0</v>
      </c>
      <c r="CB123" s="11">
        <v>25130.0</v>
      </c>
      <c r="CC123" s="11">
        <v>23110.0</v>
      </c>
      <c r="CD123" s="11">
        <v>30130.0</v>
      </c>
      <c r="CE123" s="11">
        <v>35110.0</v>
      </c>
      <c r="CF123" s="11">
        <v>71830.0</v>
      </c>
      <c r="CG123" s="12"/>
      <c r="CH123" s="12"/>
      <c r="CI123" s="12"/>
      <c r="CJ123" s="12"/>
      <c r="CK123" s="12"/>
      <c r="CL123" s="11">
        <v>1170000.0</v>
      </c>
      <c r="CM123" s="11">
        <v>686900.0</v>
      </c>
      <c r="CN123" s="11">
        <v>339280.0</v>
      </c>
      <c r="CO123" s="11">
        <v>169010.0</v>
      </c>
      <c r="CP123" s="11">
        <v>256790.0</v>
      </c>
      <c r="CQ123" s="11">
        <v>6040.0</v>
      </c>
      <c r="CR123" s="11">
        <v>6190.0</v>
      </c>
      <c r="CS123" s="11">
        <v>1600.0</v>
      </c>
      <c r="CT123" s="11">
        <v>1300.0</v>
      </c>
      <c r="CU123" s="11">
        <v>14160.0</v>
      </c>
      <c r="CV123" s="11">
        <v>44970.0</v>
      </c>
      <c r="CW123" s="12"/>
      <c r="CX123" s="12"/>
      <c r="CY123" s="12"/>
      <c r="CZ123" s="12"/>
      <c r="DA123" s="12"/>
      <c r="DB123" s="11">
        <v>44970.0</v>
      </c>
      <c r="DC123" s="11">
        <v>29920.0</v>
      </c>
      <c r="DD123" s="11">
        <v>72330.0</v>
      </c>
      <c r="DE123" s="11">
        <v>63880.0</v>
      </c>
      <c r="DF123" s="11">
        <v>102660.0</v>
      </c>
      <c r="DG123" s="11">
        <v>80650.0</v>
      </c>
      <c r="DH123" s="11">
        <v>132130.0</v>
      </c>
      <c r="DI123" s="11">
        <v>128620.0</v>
      </c>
      <c r="DJ123" s="11">
        <v>203250.0</v>
      </c>
      <c r="DK123" s="11">
        <v>371160.0</v>
      </c>
      <c r="DL123" s="11">
        <v>82410.0</v>
      </c>
      <c r="DM123" s="11">
        <v>24240.0</v>
      </c>
      <c r="DN123" s="12"/>
      <c r="DO123" s="12"/>
      <c r="DP123" s="11">
        <v>45610.0</v>
      </c>
      <c r="DQ123" s="11">
        <v>49430.0</v>
      </c>
      <c r="DR123" s="11">
        <v>57750.0</v>
      </c>
      <c r="DS123" s="11">
        <v>61750.0</v>
      </c>
      <c r="DT123" s="11">
        <v>65270.0</v>
      </c>
      <c r="DU123" s="13"/>
      <c r="DV123" s="12"/>
      <c r="DW123" s="12"/>
      <c r="DX123" s="13"/>
      <c r="DY123" s="13"/>
      <c r="DZ123" s="11">
        <v>1070000.0</v>
      </c>
      <c r="EA123" s="11">
        <v>606260.0</v>
      </c>
      <c r="EB123" s="11">
        <v>207140.0</v>
      </c>
      <c r="EC123" s="11">
        <v>39900.0</v>
      </c>
      <c r="ED123" s="11">
        <v>53540.0</v>
      </c>
      <c r="EE123" s="23"/>
      <c r="EF123" s="23"/>
      <c r="EG123" s="14">
        <v>0.207</v>
      </c>
      <c r="EH123" s="14">
        <v>0.022</v>
      </c>
    </row>
    <row r="124">
      <c r="A124" s="9">
        <f t="shared" si="2"/>
        <v>122</v>
      </c>
      <c r="B124" s="10" t="s">
        <v>258</v>
      </c>
      <c r="C124" s="15">
        <v>6440000.0</v>
      </c>
      <c r="D124" s="15">
        <v>5960000.0</v>
      </c>
      <c r="E124" s="15">
        <v>7280000.0</v>
      </c>
      <c r="F124" s="15">
        <v>7440000.0</v>
      </c>
      <c r="G124" s="15">
        <v>6820000.0</v>
      </c>
      <c r="H124" s="15">
        <v>6660000.0</v>
      </c>
      <c r="I124" s="15">
        <v>0.0</v>
      </c>
      <c r="J124" s="15">
        <v>755000.0</v>
      </c>
      <c r="K124" s="15">
        <v>621000.0</v>
      </c>
      <c r="L124" s="15">
        <v>692000.0</v>
      </c>
      <c r="M124" s="15">
        <v>802000.0</v>
      </c>
      <c r="N124" s="15">
        <v>0.0</v>
      </c>
      <c r="O124" s="15">
        <v>391000.0</v>
      </c>
      <c r="P124" s="15">
        <v>351000.0</v>
      </c>
      <c r="Q124" s="15">
        <v>427000.0</v>
      </c>
      <c r="R124" s="15">
        <v>479000.0</v>
      </c>
      <c r="S124" s="15">
        <v>0.0</v>
      </c>
      <c r="T124" s="15">
        <v>45000.0</v>
      </c>
      <c r="U124" s="15">
        <v>63000.0</v>
      </c>
      <c r="V124" s="15">
        <v>66000.0</v>
      </c>
      <c r="W124" s="15">
        <v>83000.0</v>
      </c>
      <c r="X124" s="15">
        <v>0.0</v>
      </c>
      <c r="Y124" s="15">
        <v>277000.0</v>
      </c>
      <c r="Z124" s="15">
        <v>374000.0</v>
      </c>
      <c r="AA124" s="15">
        <v>132000.0</v>
      </c>
      <c r="AB124" s="15">
        <v>256000.0</v>
      </c>
      <c r="AC124" s="15">
        <v>0.0</v>
      </c>
      <c r="AD124" s="15">
        <v>177000.0</v>
      </c>
      <c r="AE124" s="15">
        <v>241000.0</v>
      </c>
      <c r="AF124" s="15">
        <v>251000.0</v>
      </c>
      <c r="AG124" s="15">
        <v>168000.0</v>
      </c>
      <c r="AH124" s="15">
        <v>0.0</v>
      </c>
      <c r="AI124" s="15">
        <v>616000.0</v>
      </c>
      <c r="AJ124" s="15">
        <v>542000.0</v>
      </c>
      <c r="AK124" s="15">
        <v>531000.0</v>
      </c>
      <c r="AL124" s="15">
        <v>580000.0</v>
      </c>
      <c r="AM124" s="15">
        <v>0.0</v>
      </c>
      <c r="AN124" s="15">
        <v>225000.0</v>
      </c>
      <c r="AO124" s="15">
        <v>170000.0</v>
      </c>
      <c r="AP124" s="15">
        <v>209000.0</v>
      </c>
      <c r="AQ124" s="15">
        <v>155000.0</v>
      </c>
      <c r="AR124" s="15">
        <v>0.0</v>
      </c>
      <c r="AS124" s="15">
        <v>457000.0</v>
      </c>
      <c r="AT124" s="15">
        <v>503000.0</v>
      </c>
      <c r="AU124" s="15">
        <v>182000.0</v>
      </c>
      <c r="AV124" s="15">
        <v>618000.0</v>
      </c>
      <c r="AW124" s="15">
        <v>0.0</v>
      </c>
      <c r="AX124" s="15">
        <v>-201000.0</v>
      </c>
      <c r="AY124" s="15">
        <v>-317000.0</v>
      </c>
      <c r="AZ124" s="15">
        <v>-250000.0</v>
      </c>
      <c r="BA124" s="15">
        <v>-350000.0</v>
      </c>
      <c r="BB124" s="15">
        <v>0.0</v>
      </c>
      <c r="BC124" s="15">
        <v>0.0</v>
      </c>
      <c r="BD124" s="15">
        <v>0.0</v>
      </c>
      <c r="BE124" s="15">
        <v>0.0</v>
      </c>
      <c r="BF124" s="15">
        <v>0.0</v>
      </c>
      <c r="BG124" s="15">
        <v>0.0</v>
      </c>
      <c r="BH124" s="15">
        <v>72000.0</v>
      </c>
      <c r="BI124" s="15">
        <v>81000.0</v>
      </c>
      <c r="BJ124" s="15">
        <v>126000.0</v>
      </c>
      <c r="BK124" s="15">
        <v>0.0</v>
      </c>
      <c r="BL124" s="15">
        <v>0.0</v>
      </c>
      <c r="BM124" s="15">
        <v>520000.0</v>
      </c>
      <c r="BN124" s="15">
        <v>535000.0</v>
      </c>
      <c r="BO124" s="15">
        <v>546000.0</v>
      </c>
      <c r="BP124" s="15">
        <v>0.0</v>
      </c>
      <c r="BQ124" s="15">
        <v>0.0</v>
      </c>
      <c r="BR124" s="15">
        <v>820000.0</v>
      </c>
      <c r="BS124" s="15">
        <v>818000.0</v>
      </c>
      <c r="BT124" s="15">
        <v>804000.0</v>
      </c>
      <c r="BU124" s="15">
        <v>0.0</v>
      </c>
      <c r="BV124" s="15">
        <v>0.0</v>
      </c>
      <c r="BW124" s="15">
        <v>1440000.0</v>
      </c>
      <c r="BX124" s="15">
        <v>1480000.0</v>
      </c>
      <c r="BY124" s="15">
        <v>1540000.0</v>
      </c>
      <c r="BZ124" s="15">
        <v>0.0</v>
      </c>
      <c r="CA124" s="15">
        <v>0.0</v>
      </c>
      <c r="CB124" s="15">
        <v>2870000.0</v>
      </c>
      <c r="CC124" s="15">
        <v>2860000.0</v>
      </c>
      <c r="CD124" s="15">
        <v>2860000.0</v>
      </c>
      <c r="CE124" s="15">
        <v>0.0</v>
      </c>
      <c r="CF124" s="15">
        <v>0.0</v>
      </c>
      <c r="CG124" s="15">
        <v>386000.0</v>
      </c>
      <c r="CH124" s="15">
        <v>385000.0</v>
      </c>
      <c r="CI124" s="15">
        <v>394000.0</v>
      </c>
      <c r="CJ124" s="15">
        <v>0.0</v>
      </c>
      <c r="CK124" s="15">
        <v>0.0</v>
      </c>
      <c r="CL124" s="15">
        <v>4740000.0</v>
      </c>
      <c r="CM124" s="15">
        <v>4800000.0</v>
      </c>
      <c r="CN124" s="15">
        <v>4900000.0</v>
      </c>
      <c r="CO124" s="15">
        <v>0.0</v>
      </c>
      <c r="CP124" s="15">
        <v>0.0</v>
      </c>
      <c r="CQ124" s="15">
        <v>1060000.0</v>
      </c>
      <c r="CR124" s="15">
        <v>1170000.0</v>
      </c>
      <c r="CS124" s="15">
        <v>958000.0</v>
      </c>
      <c r="CT124" s="15">
        <v>0.0</v>
      </c>
      <c r="CU124" s="15">
        <v>0.0</v>
      </c>
      <c r="CV124" s="15">
        <v>1340000.0</v>
      </c>
      <c r="CW124" s="15">
        <v>33000.0</v>
      </c>
      <c r="CX124" s="15">
        <v>0.0</v>
      </c>
      <c r="CY124" s="15">
        <v>0.0</v>
      </c>
      <c r="CZ124" s="15">
        <v>0.0</v>
      </c>
      <c r="DA124" s="15">
        <v>0.0</v>
      </c>
      <c r="DB124" s="15">
        <v>1340000.0</v>
      </c>
      <c r="DC124" s="15">
        <v>1390000.0</v>
      </c>
      <c r="DD124" s="15">
        <v>1190000.0</v>
      </c>
      <c r="DE124" s="15">
        <v>0.0</v>
      </c>
      <c r="DF124" s="15">
        <v>2010000.0</v>
      </c>
      <c r="DG124" s="15">
        <v>2120000.0</v>
      </c>
      <c r="DH124" s="15">
        <v>1900000.0</v>
      </c>
      <c r="DI124" s="15">
        <v>0.0</v>
      </c>
      <c r="DJ124" s="15">
        <v>0.0</v>
      </c>
      <c r="DK124" s="15">
        <v>0.0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346000.0</v>
      </c>
      <c r="DQ124" s="15">
        <v>369000.0</v>
      </c>
      <c r="DR124" s="15">
        <v>250000.0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2710000.0</v>
      </c>
      <c r="EA124" s="15">
        <v>2670000.0</v>
      </c>
      <c r="EB124" s="15">
        <v>2990000.0</v>
      </c>
      <c r="EC124" s="15">
        <v>0.0</v>
      </c>
      <c r="ED124" s="15">
        <v>0.0</v>
      </c>
      <c r="EE124" s="17">
        <v>0.0</v>
      </c>
      <c r="EF124" s="17">
        <v>0.0</v>
      </c>
      <c r="EG124" s="30" t="s">
        <v>155</v>
      </c>
      <c r="EH124" s="23"/>
    </row>
    <row r="125">
      <c r="A125" s="9">
        <f t="shared" si="2"/>
        <v>123</v>
      </c>
      <c r="B125" s="22" t="s">
        <v>259</v>
      </c>
      <c r="C125" s="11">
        <v>4170.0</v>
      </c>
      <c r="D125" s="12"/>
      <c r="E125" s="12"/>
      <c r="F125" s="12"/>
      <c r="G125" s="12"/>
      <c r="H125" s="12"/>
      <c r="I125" s="12"/>
      <c r="J125" s="11">
        <v>-195.0</v>
      </c>
      <c r="K125" s="12"/>
      <c r="L125" s="12"/>
      <c r="M125" s="12"/>
      <c r="N125" s="12"/>
      <c r="O125" s="11">
        <v>42940.0</v>
      </c>
      <c r="P125" s="11">
        <v>19740.0</v>
      </c>
      <c r="Q125" s="11">
        <v>4110.0</v>
      </c>
      <c r="R125" s="12"/>
      <c r="S125" s="12"/>
      <c r="T125" s="11">
        <v>36520.0</v>
      </c>
      <c r="U125" s="11">
        <v>17940.0</v>
      </c>
      <c r="V125" s="11">
        <v>3410.0</v>
      </c>
      <c r="W125" s="12"/>
      <c r="X125" s="12"/>
      <c r="Y125" s="12"/>
      <c r="Z125" s="11">
        <v>-19660.0</v>
      </c>
      <c r="AA125" s="11">
        <v>-5000.0</v>
      </c>
      <c r="AB125" s="12"/>
      <c r="AC125" s="12"/>
      <c r="AD125" s="11">
        <v>-42000.0</v>
      </c>
      <c r="AE125" s="11">
        <v>-19260.0</v>
      </c>
      <c r="AF125" s="11">
        <v>-4980.0</v>
      </c>
      <c r="AG125" s="12"/>
      <c r="AH125" s="12"/>
      <c r="AI125" s="11">
        <v>-42940.0</v>
      </c>
      <c r="AJ125" s="11">
        <v>-19740.0</v>
      </c>
      <c r="AK125" s="11">
        <v>-4110.0</v>
      </c>
      <c r="AL125" s="12"/>
      <c r="AM125" s="12"/>
      <c r="AN125" s="11">
        <v>-42000.0</v>
      </c>
      <c r="AO125" s="11">
        <v>-19260.0</v>
      </c>
      <c r="AP125" s="11">
        <v>-4980.0</v>
      </c>
      <c r="AQ125" s="12"/>
      <c r="AR125" s="12"/>
      <c r="AS125" s="11">
        <v>-44150.0</v>
      </c>
      <c r="AT125" s="11">
        <v>-14090.0</v>
      </c>
      <c r="AU125" s="11">
        <v>-3780.0</v>
      </c>
      <c r="AV125" s="12"/>
      <c r="AW125" s="12"/>
      <c r="AX125" s="11">
        <v>-295.0</v>
      </c>
      <c r="AY125" s="12"/>
      <c r="AZ125" s="12"/>
      <c r="BA125" s="12"/>
      <c r="BB125" s="12"/>
      <c r="BC125" s="12"/>
      <c r="BD125" s="12"/>
      <c r="BE125" s="12"/>
      <c r="BF125" s="12"/>
      <c r="BG125" s="12"/>
      <c r="BH125" s="11">
        <v>101270.0</v>
      </c>
      <c r="BI125" s="11">
        <v>50940.0</v>
      </c>
      <c r="BJ125" s="11">
        <v>3420.0</v>
      </c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1">
        <v>104730.0</v>
      </c>
      <c r="BX125" s="11">
        <v>51100.0</v>
      </c>
      <c r="BY125" s="11">
        <v>3820.0</v>
      </c>
      <c r="BZ125" s="12"/>
      <c r="CA125" s="12"/>
      <c r="CB125" s="11">
        <v>491.0</v>
      </c>
      <c r="CC125" s="12"/>
      <c r="CD125" s="12"/>
      <c r="CE125" s="12"/>
      <c r="CF125" s="12"/>
      <c r="CG125" s="12"/>
      <c r="CH125" s="12"/>
      <c r="CI125" s="12"/>
      <c r="CJ125" s="12"/>
      <c r="CK125" s="12"/>
      <c r="CL125" s="11">
        <v>107010.0</v>
      </c>
      <c r="CM125" s="11">
        <v>51100.0</v>
      </c>
      <c r="CN125" s="11">
        <v>3820.0</v>
      </c>
      <c r="CO125" s="12"/>
      <c r="CP125" s="12"/>
      <c r="CQ125" s="11">
        <v>1410.0</v>
      </c>
      <c r="CR125" s="11">
        <v>1800.0</v>
      </c>
      <c r="CS125" s="11">
        <v>537.0</v>
      </c>
      <c r="CT125" s="12"/>
      <c r="CU125" s="12"/>
      <c r="CV125" s="11">
        <v>5240.0</v>
      </c>
      <c r="CW125" s="11">
        <v>178.0</v>
      </c>
      <c r="CX125" s="12"/>
      <c r="CY125" s="12"/>
      <c r="CZ125" s="12"/>
      <c r="DA125" s="12"/>
      <c r="DB125" s="11">
        <v>5240.0</v>
      </c>
      <c r="DC125" s="11">
        <v>2670.0</v>
      </c>
      <c r="DD125" s="11">
        <v>692.0</v>
      </c>
      <c r="DE125" s="12"/>
      <c r="DF125" s="11">
        <v>5550.0</v>
      </c>
      <c r="DG125" s="11">
        <v>2830.0</v>
      </c>
      <c r="DH125" s="11">
        <v>1660.0</v>
      </c>
      <c r="DI125" s="12"/>
      <c r="DJ125" s="12"/>
      <c r="DK125" s="12"/>
      <c r="DL125" s="12"/>
      <c r="DM125" s="12"/>
      <c r="DN125" s="12"/>
      <c r="DO125" s="12"/>
      <c r="DP125" s="11">
        <v>129.0</v>
      </c>
      <c r="DQ125" s="12"/>
      <c r="DR125" s="12"/>
      <c r="DS125" s="12"/>
      <c r="DT125" s="12"/>
      <c r="DU125" s="11">
        <v>166490.0</v>
      </c>
      <c r="DV125" s="11">
        <v>72250.0</v>
      </c>
      <c r="DW125" s="11">
        <v>7150.0</v>
      </c>
      <c r="DX125" s="13"/>
      <c r="DY125" s="13"/>
      <c r="DZ125" s="11">
        <v>101460.0</v>
      </c>
      <c r="EA125" s="11">
        <v>48270.0</v>
      </c>
      <c r="EB125" s="11">
        <v>2160.0</v>
      </c>
      <c r="EC125" s="12"/>
      <c r="ED125" s="12"/>
      <c r="EE125" s="23"/>
      <c r="EF125" s="23"/>
      <c r="EG125" s="14">
        <v>-0.119</v>
      </c>
      <c r="EH125" s="23"/>
    </row>
    <row r="126">
      <c r="A126" s="9">
        <f t="shared" si="2"/>
        <v>124</v>
      </c>
      <c r="B126" s="10" t="s">
        <v>260</v>
      </c>
      <c r="C126" s="15">
        <v>112740.0</v>
      </c>
      <c r="D126" s="15">
        <v>98800.0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3"/>
      <c r="BD126" s="13"/>
      <c r="BE126" s="12"/>
      <c r="BF126" s="13"/>
      <c r="BG126" s="13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3"/>
      <c r="DV126" s="12"/>
      <c r="DW126" s="12"/>
      <c r="DX126" s="13"/>
      <c r="DY126" s="12"/>
      <c r="DZ126" s="12"/>
      <c r="EA126" s="12"/>
      <c r="EB126" s="12"/>
      <c r="EC126" s="12"/>
      <c r="ED126" s="12"/>
      <c r="EE126" s="17">
        <v>0.0</v>
      </c>
      <c r="EF126" s="17">
        <v>0.0</v>
      </c>
      <c r="EG126" s="17">
        <v>0.0</v>
      </c>
      <c r="EH126" s="17">
        <v>0.083</v>
      </c>
    </row>
    <row r="127">
      <c r="A127" s="9">
        <f t="shared" si="2"/>
        <v>125</v>
      </c>
      <c r="B127" s="22" t="s">
        <v>261</v>
      </c>
      <c r="C127" s="11">
        <v>22660.0</v>
      </c>
      <c r="D127" s="11">
        <v>22650.0</v>
      </c>
      <c r="E127" s="11">
        <v>42980.0</v>
      </c>
      <c r="F127" s="11">
        <v>14320.0</v>
      </c>
      <c r="G127" s="11">
        <v>7580.0</v>
      </c>
      <c r="H127" s="11">
        <v>6670.0</v>
      </c>
      <c r="I127" s="12"/>
      <c r="J127" s="12"/>
      <c r="K127" s="12"/>
      <c r="L127" s="12"/>
      <c r="M127" s="12"/>
      <c r="N127" s="12"/>
      <c r="O127" s="11">
        <v>92250.0</v>
      </c>
      <c r="P127" s="11">
        <v>57420.0</v>
      </c>
      <c r="Q127" s="11">
        <v>31990.0</v>
      </c>
      <c r="R127" s="11">
        <v>22700.0</v>
      </c>
      <c r="S127" s="12"/>
      <c r="T127" s="11">
        <v>67190.0</v>
      </c>
      <c r="U127" s="11">
        <v>45190.0</v>
      </c>
      <c r="V127" s="11">
        <v>28790.0</v>
      </c>
      <c r="W127" s="11">
        <v>19940.0</v>
      </c>
      <c r="X127" s="12"/>
      <c r="Y127" s="12"/>
      <c r="Z127" s="11">
        <v>-44000.0</v>
      </c>
      <c r="AA127" s="11">
        <v>-24750.0</v>
      </c>
      <c r="AB127" s="11">
        <v>-16450.0</v>
      </c>
      <c r="AC127" s="12"/>
      <c r="AD127" s="11">
        <v>-70290.0</v>
      </c>
      <c r="AE127" s="11">
        <v>-41480.0</v>
      </c>
      <c r="AF127" s="11">
        <v>-24050.0</v>
      </c>
      <c r="AG127" s="11">
        <v>-14440.0</v>
      </c>
      <c r="AH127" s="12"/>
      <c r="AI127" s="11">
        <v>-49270.0</v>
      </c>
      <c r="AJ127" s="11">
        <v>-43100.0</v>
      </c>
      <c r="AK127" s="11">
        <v>-24410.0</v>
      </c>
      <c r="AL127" s="11">
        <v>-16030.0</v>
      </c>
      <c r="AM127" s="12"/>
      <c r="AN127" s="11">
        <v>-70290.0</v>
      </c>
      <c r="AO127" s="11">
        <v>-41480.0</v>
      </c>
      <c r="AP127" s="11">
        <v>-24050.0</v>
      </c>
      <c r="AQ127" s="11">
        <v>-14350.0</v>
      </c>
      <c r="AR127" s="12"/>
      <c r="AS127" s="11">
        <v>-40040.0</v>
      </c>
      <c r="AT127" s="11">
        <v>-16120.0</v>
      </c>
      <c r="AU127" s="11">
        <v>5110.0</v>
      </c>
      <c r="AV127" s="11">
        <v>-19400.0</v>
      </c>
      <c r="AW127" s="12"/>
      <c r="AX127" s="11">
        <v>-6240.0</v>
      </c>
      <c r="AY127" s="11">
        <v>-2830.0</v>
      </c>
      <c r="AZ127" s="11">
        <v>-1010.0</v>
      </c>
      <c r="BA127" s="11">
        <v>-307.0</v>
      </c>
      <c r="BB127" s="12"/>
      <c r="BC127" s="12"/>
      <c r="BD127" s="12"/>
      <c r="BE127" s="12"/>
      <c r="BF127" s="12"/>
      <c r="BG127" s="12"/>
      <c r="BH127" s="11">
        <v>280870.0</v>
      </c>
      <c r="BI127" s="11">
        <v>187830.0</v>
      </c>
      <c r="BJ127" s="11">
        <v>39170.0</v>
      </c>
      <c r="BK127" s="11">
        <v>35560.0</v>
      </c>
      <c r="BL127" s="12"/>
      <c r="BM127" s="11">
        <v>6280.0</v>
      </c>
      <c r="BN127" s="11">
        <v>5030.0</v>
      </c>
      <c r="BO127" s="11">
        <v>26040.0</v>
      </c>
      <c r="BP127" s="11">
        <v>1410.0</v>
      </c>
      <c r="BQ127" s="12"/>
      <c r="BR127" s="12"/>
      <c r="BS127" s="12"/>
      <c r="BT127" s="12"/>
      <c r="BU127" s="12"/>
      <c r="BV127" s="12"/>
      <c r="BW127" s="11">
        <v>290880.0</v>
      </c>
      <c r="BX127" s="11">
        <v>195680.0</v>
      </c>
      <c r="BY127" s="11">
        <v>65530.0</v>
      </c>
      <c r="BZ127" s="11">
        <v>37280.0</v>
      </c>
      <c r="CA127" s="12"/>
      <c r="CB127" s="11">
        <v>10730.0</v>
      </c>
      <c r="CC127" s="11">
        <v>3580.0</v>
      </c>
      <c r="CD127" s="11">
        <v>1300.0</v>
      </c>
      <c r="CE127" s="11">
        <v>634.0</v>
      </c>
      <c r="CF127" s="12"/>
      <c r="CG127" s="12"/>
      <c r="CH127" s="12"/>
      <c r="CI127" s="12"/>
      <c r="CJ127" s="12"/>
      <c r="CK127" s="12"/>
      <c r="CL127" s="11">
        <v>302970.0</v>
      </c>
      <c r="CM127" s="11">
        <v>199280.0</v>
      </c>
      <c r="CN127" s="11">
        <v>66850.0</v>
      </c>
      <c r="CO127" s="11">
        <v>37940.0</v>
      </c>
      <c r="CP127" s="12"/>
      <c r="CQ127" s="11">
        <v>4560.0</v>
      </c>
      <c r="CR127" s="11">
        <v>2760.0</v>
      </c>
      <c r="CS127" s="11">
        <v>597.0</v>
      </c>
      <c r="CT127" s="11">
        <v>1570.0</v>
      </c>
      <c r="CU127" s="12"/>
      <c r="CV127" s="11">
        <v>32810.0</v>
      </c>
      <c r="CW127" s="11">
        <v>674.0</v>
      </c>
      <c r="CX127" s="12"/>
      <c r="CY127" s="12"/>
      <c r="CZ127" s="12"/>
      <c r="DA127" s="12"/>
      <c r="DB127" s="11">
        <v>32810.0</v>
      </c>
      <c r="DC127" s="11">
        <v>22980.0</v>
      </c>
      <c r="DD127" s="11">
        <v>17850.0</v>
      </c>
      <c r="DE127" s="11">
        <v>10030.0</v>
      </c>
      <c r="DF127" s="11">
        <v>76280.0</v>
      </c>
      <c r="DG127" s="11">
        <v>62610.0</v>
      </c>
      <c r="DH127" s="11">
        <v>66600.0</v>
      </c>
      <c r="DI127" s="11">
        <v>13910.0</v>
      </c>
      <c r="DJ127" s="12"/>
      <c r="DK127" s="12"/>
      <c r="DL127" s="12"/>
      <c r="DM127" s="12"/>
      <c r="DN127" s="12"/>
      <c r="DO127" s="12"/>
      <c r="DP127" s="11">
        <v>3710.0</v>
      </c>
      <c r="DQ127" s="11">
        <v>2000.0</v>
      </c>
      <c r="DR127" s="11">
        <v>151.0</v>
      </c>
      <c r="DS127" s="11">
        <v>313.0</v>
      </c>
      <c r="DT127" s="12"/>
      <c r="DU127" s="13"/>
      <c r="DV127" s="12"/>
      <c r="DW127" s="11">
        <v>61480.0</v>
      </c>
      <c r="DX127" s="11">
        <v>56910.0</v>
      </c>
      <c r="DY127" s="13"/>
      <c r="DZ127" s="11">
        <v>226690.0</v>
      </c>
      <c r="EA127" s="11">
        <v>136670.0</v>
      </c>
      <c r="EB127" s="11">
        <v>246.0</v>
      </c>
      <c r="EC127" s="11">
        <v>24030.0</v>
      </c>
      <c r="ED127" s="12"/>
      <c r="EE127" s="14">
        <v>0.591</v>
      </c>
      <c r="EF127" s="14">
        <v>0.728</v>
      </c>
      <c r="EG127" s="14">
        <v>-0.102</v>
      </c>
      <c r="EH127" s="14">
        <v>-0.057</v>
      </c>
    </row>
    <row r="128">
      <c r="A128" s="9">
        <f t="shared" si="2"/>
        <v>126</v>
      </c>
      <c r="B128" s="22" t="s">
        <v>262</v>
      </c>
      <c r="C128" s="11">
        <v>95800.0</v>
      </c>
      <c r="D128" s="11">
        <v>102430.0</v>
      </c>
      <c r="E128" s="11">
        <v>168800.0</v>
      </c>
      <c r="F128" s="11">
        <v>16140.0</v>
      </c>
      <c r="G128" s="11">
        <v>31410.0</v>
      </c>
      <c r="H128" s="11">
        <v>158.0</v>
      </c>
      <c r="I128" s="11">
        <v>382.0</v>
      </c>
      <c r="J128" s="12"/>
      <c r="K128" s="12"/>
      <c r="L128" s="12"/>
      <c r="M128" s="12"/>
      <c r="N128" s="12"/>
      <c r="O128" s="11">
        <v>103170.0</v>
      </c>
      <c r="P128" s="11">
        <v>67380.0</v>
      </c>
      <c r="Q128" s="11">
        <v>63710.0</v>
      </c>
      <c r="R128" s="11">
        <v>82450.0</v>
      </c>
      <c r="S128" s="11">
        <v>81990.0</v>
      </c>
      <c r="T128" s="11">
        <v>76630.0</v>
      </c>
      <c r="U128" s="11">
        <v>48300.0</v>
      </c>
      <c r="V128" s="11">
        <v>46250.0</v>
      </c>
      <c r="W128" s="11">
        <v>41450.0</v>
      </c>
      <c r="X128" s="11">
        <v>47270.0</v>
      </c>
      <c r="Y128" s="12"/>
      <c r="Z128" s="11">
        <v>-55500.0</v>
      </c>
      <c r="AA128" s="11">
        <v>2200.0</v>
      </c>
      <c r="AB128" s="11">
        <v>-82040.0</v>
      </c>
      <c r="AC128" s="11">
        <v>-93100.0</v>
      </c>
      <c r="AD128" s="11">
        <v>68150.0</v>
      </c>
      <c r="AE128" s="11">
        <v>-54450.0</v>
      </c>
      <c r="AF128" s="11">
        <v>-34380.0</v>
      </c>
      <c r="AG128" s="11">
        <v>-81720.0</v>
      </c>
      <c r="AH128" s="11">
        <v>-91940.0</v>
      </c>
      <c r="AI128" s="11">
        <v>65630.0</v>
      </c>
      <c r="AJ128" s="11">
        <v>-51240.0</v>
      </c>
      <c r="AK128" s="11">
        <v>-32310.0</v>
      </c>
      <c r="AL128" s="11">
        <v>-82290.0</v>
      </c>
      <c r="AM128" s="11">
        <v>-81600.0</v>
      </c>
      <c r="AN128" s="11">
        <v>67970.0</v>
      </c>
      <c r="AO128" s="11">
        <v>-54450.0</v>
      </c>
      <c r="AP128" s="11">
        <v>-34380.0</v>
      </c>
      <c r="AQ128" s="11">
        <v>-81720.0</v>
      </c>
      <c r="AR128" s="11">
        <v>-91940.0</v>
      </c>
      <c r="AS128" s="11">
        <v>173030.0</v>
      </c>
      <c r="AT128" s="11">
        <v>-47220.0</v>
      </c>
      <c r="AU128" s="11">
        <v>-23940.0</v>
      </c>
      <c r="AV128" s="11">
        <v>-64430.0</v>
      </c>
      <c r="AW128" s="11">
        <v>-65710.0</v>
      </c>
      <c r="AX128" s="11">
        <v>-12000.0</v>
      </c>
      <c r="AY128" s="11">
        <v>-1420.0</v>
      </c>
      <c r="AZ128" s="11">
        <v>-7920.0</v>
      </c>
      <c r="BA128" s="11">
        <v>-3860.0</v>
      </c>
      <c r="BB128" s="11">
        <v>-1970.0</v>
      </c>
      <c r="BC128" s="12"/>
      <c r="BD128" s="12"/>
      <c r="BE128" s="12"/>
      <c r="BF128" s="12"/>
      <c r="BG128" s="12"/>
      <c r="BH128" s="11">
        <v>258700.0</v>
      </c>
      <c r="BI128" s="11">
        <v>76530.0</v>
      </c>
      <c r="BJ128" s="11">
        <v>65610.0</v>
      </c>
      <c r="BK128" s="11">
        <v>85370.0</v>
      </c>
      <c r="BL128" s="11">
        <v>98750.0</v>
      </c>
      <c r="BM128" s="11">
        <v>661.0</v>
      </c>
      <c r="BN128" s="11">
        <v>327.0</v>
      </c>
      <c r="BO128" s="11">
        <v>68.0</v>
      </c>
      <c r="BP128" s="11">
        <v>75.0</v>
      </c>
      <c r="BQ128" s="12"/>
      <c r="BR128" s="12"/>
      <c r="BS128" s="12"/>
      <c r="BT128" s="12"/>
      <c r="BU128" s="12"/>
      <c r="BV128" s="12"/>
      <c r="BW128" s="11">
        <v>265250.0</v>
      </c>
      <c r="BX128" s="11">
        <v>78770.0</v>
      </c>
      <c r="BY128" s="11">
        <v>67900.0</v>
      </c>
      <c r="BZ128" s="11">
        <v>90500.0</v>
      </c>
      <c r="CA128" s="11">
        <v>102870.0</v>
      </c>
      <c r="CB128" s="11">
        <v>23210.0</v>
      </c>
      <c r="CC128" s="11">
        <v>13940.0</v>
      </c>
      <c r="CD128" s="11">
        <v>15510.0</v>
      </c>
      <c r="CE128" s="11">
        <v>15390.0</v>
      </c>
      <c r="CF128" s="11">
        <v>4530.0</v>
      </c>
      <c r="CG128" s="12"/>
      <c r="CH128" s="12"/>
      <c r="CI128" s="12"/>
      <c r="CJ128" s="12"/>
      <c r="CK128" s="12"/>
      <c r="CL128" s="11">
        <v>349850.0</v>
      </c>
      <c r="CM128" s="11">
        <v>111610.0</v>
      </c>
      <c r="CN128" s="11">
        <v>104020.0</v>
      </c>
      <c r="CO128" s="11">
        <v>128180.0</v>
      </c>
      <c r="CP128" s="11">
        <v>132270.0</v>
      </c>
      <c r="CQ128" s="11">
        <v>7650.0</v>
      </c>
      <c r="CR128" s="11">
        <v>2810.0</v>
      </c>
      <c r="CS128" s="11">
        <v>4080.0</v>
      </c>
      <c r="CT128" s="11">
        <v>12230.0</v>
      </c>
      <c r="CU128" s="11">
        <v>5030.0</v>
      </c>
      <c r="CV128" s="11">
        <v>97070.0</v>
      </c>
      <c r="CW128" s="12"/>
      <c r="CX128" s="12"/>
      <c r="CY128" s="12"/>
      <c r="CZ128" s="12"/>
      <c r="DA128" s="12"/>
      <c r="DB128" s="11">
        <v>97070.0</v>
      </c>
      <c r="DC128" s="11">
        <v>12360.0</v>
      </c>
      <c r="DD128" s="11">
        <v>18700.0</v>
      </c>
      <c r="DE128" s="11">
        <v>25640.0</v>
      </c>
      <c r="DF128" s="11">
        <v>105810.0</v>
      </c>
      <c r="DG128" s="11">
        <v>16370.0</v>
      </c>
      <c r="DH128" s="11">
        <v>23160.0</v>
      </c>
      <c r="DI128" s="11">
        <v>33150.0</v>
      </c>
      <c r="DJ128" s="11">
        <v>22650.0</v>
      </c>
      <c r="DK128" s="11">
        <v>44180.0</v>
      </c>
      <c r="DL128" s="12"/>
      <c r="DM128" s="12"/>
      <c r="DN128" s="12"/>
      <c r="DO128" s="12"/>
      <c r="DP128" s="12"/>
      <c r="DQ128" s="11">
        <v>2100.0</v>
      </c>
      <c r="DR128" s="11">
        <v>2330.0</v>
      </c>
      <c r="DS128" s="11">
        <v>2530.0</v>
      </c>
      <c r="DT128" s="11">
        <v>541.0</v>
      </c>
      <c r="DU128" s="13"/>
      <c r="DV128" s="12"/>
      <c r="DW128" s="12"/>
      <c r="DX128" s="24">
        <v>0.0</v>
      </c>
      <c r="DY128" s="24">
        <v>0.0</v>
      </c>
      <c r="DZ128" s="11">
        <v>244590.0</v>
      </c>
      <c r="EA128" s="11">
        <v>95800.0</v>
      </c>
      <c r="EB128" s="11">
        <v>81420.0</v>
      </c>
      <c r="EC128" s="11">
        <v>95580.0</v>
      </c>
      <c r="ED128" s="11">
        <v>110180.0</v>
      </c>
      <c r="EE128" s="14">
        <v>0.371</v>
      </c>
      <c r="EF128" s="14">
        <v>1.67</v>
      </c>
      <c r="EG128" s="14">
        <v>-0.083</v>
      </c>
      <c r="EH128" s="14">
        <v>-0.803</v>
      </c>
    </row>
    <row r="129">
      <c r="A129" s="9">
        <f t="shared" si="2"/>
        <v>127</v>
      </c>
      <c r="B129" s="10" t="s">
        <v>263</v>
      </c>
      <c r="C129" s="11">
        <v>167000.0</v>
      </c>
      <c r="D129" s="11">
        <v>150240.0</v>
      </c>
      <c r="E129" s="11">
        <v>230040.0</v>
      </c>
      <c r="F129" s="11">
        <v>210180.0</v>
      </c>
      <c r="G129" s="11">
        <v>195940.0</v>
      </c>
      <c r="H129" s="11">
        <v>164400.0</v>
      </c>
      <c r="I129" s="11">
        <v>157880.0</v>
      </c>
      <c r="J129" s="11">
        <v>34310.0</v>
      </c>
      <c r="K129" s="11">
        <v>6240.0</v>
      </c>
      <c r="L129" s="11">
        <v>23110.0</v>
      </c>
      <c r="M129" s="11">
        <v>38080.0</v>
      </c>
      <c r="N129" s="11">
        <v>55050.0</v>
      </c>
      <c r="O129" s="11">
        <v>18150.0</v>
      </c>
      <c r="P129" s="11">
        <v>15860.0</v>
      </c>
      <c r="Q129" s="11">
        <v>14600.0</v>
      </c>
      <c r="R129" s="11">
        <v>14080.0</v>
      </c>
      <c r="S129" s="11">
        <v>10750.0</v>
      </c>
      <c r="T129" s="11"/>
      <c r="U129" s="11"/>
      <c r="V129" s="11"/>
      <c r="W129" s="11"/>
      <c r="X129" s="11"/>
      <c r="Y129" s="11">
        <v>15630.0</v>
      </c>
      <c r="Z129" s="11">
        <v>-11880.0</v>
      </c>
      <c r="AA129" s="11"/>
      <c r="AB129" s="11"/>
      <c r="AC129" s="11"/>
      <c r="AD129" s="11">
        <v>-22800.0</v>
      </c>
      <c r="AE129" s="11">
        <v>-42780.0</v>
      </c>
      <c r="AF129" s="11">
        <v>-12430.0</v>
      </c>
      <c r="AG129" s="11">
        <v>3810.0</v>
      </c>
      <c r="AH129" s="11">
        <v>32030.0</v>
      </c>
      <c r="AI129" s="11">
        <v>53290.0</v>
      </c>
      <c r="AJ129" s="11">
        <v>29160.0</v>
      </c>
      <c r="AK129" s="11">
        <v>45710.0</v>
      </c>
      <c r="AL129" s="11">
        <v>56810.0</v>
      </c>
      <c r="AM129" s="11">
        <v>70580.0</v>
      </c>
      <c r="AN129" s="11">
        <v>-22860.0</v>
      </c>
      <c r="AO129" s="11">
        <v>-42940.0</v>
      </c>
      <c r="AP129" s="11">
        <v>-12490.0</v>
      </c>
      <c r="AQ129" s="11">
        <v>3750.0</v>
      </c>
      <c r="AR129" s="11">
        <v>31950.0</v>
      </c>
      <c r="AS129" s="11">
        <v>18170.0</v>
      </c>
      <c r="AT129" s="11">
        <v>5690.0</v>
      </c>
      <c r="AU129" s="11">
        <v>17590.0</v>
      </c>
      <c r="AV129" s="11">
        <v>36600.0</v>
      </c>
      <c r="AW129" s="11">
        <v>36030.0</v>
      </c>
      <c r="AX129" s="11">
        <v>-2780.0</v>
      </c>
      <c r="AY129" s="11">
        <v>-17560.0</v>
      </c>
      <c r="AZ129" s="11">
        <v>-2280.0</v>
      </c>
      <c r="BA129" s="11">
        <v>-174970.0</v>
      </c>
      <c r="BB129" s="11">
        <v>-232850.0</v>
      </c>
      <c r="BC129" s="12"/>
      <c r="BD129" s="12"/>
      <c r="BE129" s="12"/>
      <c r="BF129" s="11">
        <v>-9330.0</v>
      </c>
      <c r="BG129" s="11">
        <v>-12980.0</v>
      </c>
      <c r="BH129" s="11">
        <v>51720.0</v>
      </c>
      <c r="BI129" s="11">
        <v>56900.0</v>
      </c>
      <c r="BJ129" s="11">
        <v>39460.0</v>
      </c>
      <c r="BK129" s="11">
        <v>55950.0</v>
      </c>
      <c r="BL129" s="11">
        <v>40110.0</v>
      </c>
      <c r="BM129" s="11">
        <v>30080.0</v>
      </c>
      <c r="BN129" s="11">
        <v>28250.0</v>
      </c>
      <c r="BO129" s="11">
        <v>27260.0</v>
      </c>
      <c r="BP129" s="11">
        <v>23230.0</v>
      </c>
      <c r="BQ129" s="11">
        <v>26210.0</v>
      </c>
      <c r="BR129" s="11">
        <v>10160.0</v>
      </c>
      <c r="BS129" s="11">
        <v>12810.0</v>
      </c>
      <c r="BT129" s="11">
        <v>9630.0</v>
      </c>
      <c r="BU129" s="11">
        <v>7340.0</v>
      </c>
      <c r="BV129" s="11">
        <v>3970.0</v>
      </c>
      <c r="BW129" s="11">
        <v>98020.0</v>
      </c>
      <c r="BX129" s="11">
        <v>109470.0</v>
      </c>
      <c r="BY129" s="11">
        <v>83880.0</v>
      </c>
      <c r="BZ129" s="11">
        <v>93760.0</v>
      </c>
      <c r="CA129" s="11">
        <v>115410.0</v>
      </c>
      <c r="CB129" s="11">
        <v>663870.0</v>
      </c>
      <c r="CC129" s="11">
        <v>728160.0</v>
      </c>
      <c r="CD129" s="11">
        <v>757540.0</v>
      </c>
      <c r="CE129" s="11">
        <v>786650.0</v>
      </c>
      <c r="CF129" s="11">
        <v>659060.0</v>
      </c>
      <c r="CG129" s="11"/>
      <c r="CH129" s="11"/>
      <c r="CI129" s="11"/>
      <c r="CJ129" s="11"/>
      <c r="CK129" s="11"/>
      <c r="CL129" s="11">
        <v>772440.0</v>
      </c>
      <c r="CM129" s="11">
        <v>844760.0</v>
      </c>
      <c r="CN129" s="11">
        <v>845540.0</v>
      </c>
      <c r="CO129" s="11">
        <v>883640.0</v>
      </c>
      <c r="CP129" s="11">
        <v>778200.0</v>
      </c>
      <c r="CQ129" s="11">
        <v>4790.0</v>
      </c>
      <c r="CR129" s="11">
        <v>24610.0</v>
      </c>
      <c r="CS129" s="11">
        <v>16100.0</v>
      </c>
      <c r="CT129" s="11">
        <v>14450.0</v>
      </c>
      <c r="CU129" s="11">
        <v>12480.0</v>
      </c>
      <c r="CV129" s="11">
        <v>60430.0</v>
      </c>
      <c r="CW129" s="11">
        <v>289.0</v>
      </c>
      <c r="CX129" s="11">
        <v>477.0</v>
      </c>
      <c r="CY129" s="12"/>
      <c r="CZ129" s="12"/>
      <c r="DA129" s="12"/>
      <c r="DB129" s="11">
        <v>60430.0</v>
      </c>
      <c r="DC129" s="11">
        <v>75540.0</v>
      </c>
      <c r="DD129" s="11">
        <v>58260.0</v>
      </c>
      <c r="DE129" s="11">
        <v>59020.0</v>
      </c>
      <c r="DF129" s="11">
        <v>446380.0</v>
      </c>
      <c r="DG129" s="11">
        <v>498180.0</v>
      </c>
      <c r="DH129" s="11">
        <v>464570.0</v>
      </c>
      <c r="DI129" s="11">
        <v>479370.0</v>
      </c>
      <c r="DJ129" s="11">
        <v>430590.0</v>
      </c>
      <c r="DK129" s="11"/>
      <c r="DL129" s="11"/>
      <c r="DM129" s="12"/>
      <c r="DN129" s="11"/>
      <c r="DO129" s="11"/>
      <c r="DP129" s="28">
        <v>385950.0</v>
      </c>
      <c r="DQ129" s="28">
        <v>422640.0</v>
      </c>
      <c r="DR129" s="28">
        <v>406310.0</v>
      </c>
      <c r="DS129" s="28">
        <v>420360.0</v>
      </c>
      <c r="DT129" s="28">
        <v>361230.0</v>
      </c>
      <c r="DU129" s="12"/>
      <c r="DV129" s="12"/>
      <c r="DW129" s="12"/>
      <c r="DX129" s="12"/>
      <c r="DY129" s="12"/>
      <c r="DZ129" s="11">
        <v>326060.0</v>
      </c>
      <c r="EA129" s="11">
        <v>346580.0</v>
      </c>
      <c r="EB129" s="11">
        <v>380970.0</v>
      </c>
      <c r="EC129" s="11">
        <v>404270.0</v>
      </c>
      <c r="ED129" s="11">
        <v>347610.0</v>
      </c>
      <c r="EE129" s="14">
        <v>0.073</v>
      </c>
      <c r="EF129" s="14">
        <v>0.953</v>
      </c>
      <c r="EG129" s="14">
        <v>-0.047</v>
      </c>
      <c r="EH129" s="14">
        <v>0.041</v>
      </c>
    </row>
    <row r="130">
      <c r="A130" s="9">
        <f t="shared" si="2"/>
        <v>128</v>
      </c>
      <c r="B130" s="25" t="s">
        <v>264</v>
      </c>
      <c r="C130" s="15">
        <v>2390000.0</v>
      </c>
      <c r="D130" s="15">
        <v>2280000.0</v>
      </c>
      <c r="E130" s="15">
        <v>2490000.0</v>
      </c>
      <c r="F130" s="15">
        <v>2590000.0</v>
      </c>
      <c r="G130" s="15">
        <v>3260000.0</v>
      </c>
      <c r="H130" s="15">
        <v>3020000.0</v>
      </c>
      <c r="I130" s="15">
        <v>5390000.0</v>
      </c>
      <c r="J130" s="15">
        <v>767000.0</v>
      </c>
      <c r="K130" s="15">
        <v>770000.0</v>
      </c>
      <c r="L130" s="15">
        <v>815000.0</v>
      </c>
      <c r="M130" s="15">
        <v>790000.0</v>
      </c>
      <c r="N130" s="15">
        <v>1520000.0</v>
      </c>
      <c r="O130" s="15">
        <v>459000.0</v>
      </c>
      <c r="P130" s="15">
        <v>634000.0</v>
      </c>
      <c r="Q130" s="15">
        <v>679000.0</v>
      </c>
      <c r="R130" s="15">
        <v>822000.0</v>
      </c>
      <c r="S130" s="15">
        <v>1030000.0</v>
      </c>
      <c r="T130" s="15">
        <v>66000.0</v>
      </c>
      <c r="U130" s="15">
        <v>73000.0</v>
      </c>
      <c r="V130" s="15">
        <v>83000.0</v>
      </c>
      <c r="W130" s="15">
        <v>87000.0</v>
      </c>
      <c r="X130" s="15">
        <v>99000.0</v>
      </c>
      <c r="Y130" s="15">
        <v>171000.0</v>
      </c>
      <c r="Z130" s="15">
        <v>-38000.0</v>
      </c>
      <c r="AA130" s="15">
        <v>3000.0</v>
      </c>
      <c r="AB130" s="15">
        <v>-103000.0</v>
      </c>
      <c r="AC130" s="15">
        <v>-71000.0</v>
      </c>
      <c r="AD130" s="15">
        <v>70000.0</v>
      </c>
      <c r="AE130" s="15">
        <v>11000.0</v>
      </c>
      <c r="AF130" s="15">
        <v>-98000.0</v>
      </c>
      <c r="AG130" s="15">
        <v>-308000.0</v>
      </c>
      <c r="AH130" s="15">
        <v>169000.0</v>
      </c>
      <c r="AI130" s="15">
        <v>559000.0</v>
      </c>
      <c r="AJ130" s="15">
        <v>414000.0</v>
      </c>
      <c r="AK130" s="15">
        <v>438000.0</v>
      </c>
      <c r="AL130" s="15">
        <v>272000.0</v>
      </c>
      <c r="AM130" s="15">
        <v>831000.0</v>
      </c>
      <c r="AN130" s="15">
        <v>24000.0</v>
      </c>
      <c r="AO130" s="15">
        <v>19000.0</v>
      </c>
      <c r="AP130" s="15">
        <v>-132000.0</v>
      </c>
      <c r="AQ130" s="15">
        <v>-284000.0</v>
      </c>
      <c r="AR130" s="15">
        <v>191000.0</v>
      </c>
      <c r="AS130" s="15">
        <v>228000.0</v>
      </c>
      <c r="AT130" s="15">
        <v>239000.0</v>
      </c>
      <c r="AU130" s="15">
        <v>273000.0</v>
      </c>
      <c r="AV130" s="15">
        <v>372000.0</v>
      </c>
      <c r="AW130" s="15">
        <v>89000.0</v>
      </c>
      <c r="AX130" s="15">
        <v>-154000.0</v>
      </c>
      <c r="AY130" s="15">
        <v>-157000.0</v>
      </c>
      <c r="AZ130" s="15">
        <v>-199000.0</v>
      </c>
      <c r="BA130" s="15">
        <v>-231000.0</v>
      </c>
      <c r="BB130" s="15">
        <v>-265000.0</v>
      </c>
      <c r="BC130" s="15">
        <v>-64000.0</v>
      </c>
      <c r="BD130" s="15">
        <v>-60000.0</v>
      </c>
      <c r="BE130" s="15">
        <v>-77000.0</v>
      </c>
      <c r="BF130" s="15">
        <v>-97000.0</v>
      </c>
      <c r="BG130" s="15">
        <v>-98000.0</v>
      </c>
      <c r="BH130" s="15">
        <v>256000.0</v>
      </c>
      <c r="BI130" s="15">
        <v>324000.0</v>
      </c>
      <c r="BJ130" s="15">
        <v>596000.0</v>
      </c>
      <c r="BK130" s="15">
        <v>1050000.0</v>
      </c>
      <c r="BL130" s="15">
        <v>1290000.0</v>
      </c>
      <c r="BM130" s="15">
        <v>481000.0</v>
      </c>
      <c r="BN130" s="15">
        <v>522000.0</v>
      </c>
      <c r="BO130" s="15">
        <v>612000.0</v>
      </c>
      <c r="BP130" s="15">
        <v>529000.0</v>
      </c>
      <c r="BQ130" s="15">
        <v>961000.0</v>
      </c>
      <c r="BR130" s="15">
        <v>597000.0</v>
      </c>
      <c r="BS130" s="15">
        <v>596000.0</v>
      </c>
      <c r="BT130" s="15">
        <v>634000.0</v>
      </c>
      <c r="BU130" s="15">
        <v>539000.0</v>
      </c>
      <c r="BV130" s="15">
        <v>706000.0</v>
      </c>
      <c r="BW130" s="15">
        <v>1430000.0</v>
      </c>
      <c r="BX130" s="15">
        <v>1710000.0</v>
      </c>
      <c r="BY130" s="15">
        <v>1900000.0</v>
      </c>
      <c r="BZ130" s="15">
        <v>2890000.0</v>
      </c>
      <c r="CA130" s="15">
        <v>3090000.0</v>
      </c>
      <c r="CB130" s="15">
        <v>1580000.0</v>
      </c>
      <c r="CC130" s="15">
        <v>1650000.0</v>
      </c>
      <c r="CD130" s="15">
        <v>1970000.0</v>
      </c>
      <c r="CE130" s="15">
        <v>1900000.0</v>
      </c>
      <c r="CF130" s="15">
        <v>2180000.0</v>
      </c>
      <c r="CG130" s="15">
        <v>2250000.0</v>
      </c>
      <c r="CH130" s="15">
        <v>2300000.0</v>
      </c>
      <c r="CI130" s="15">
        <v>2470000.0</v>
      </c>
      <c r="CJ130" s="15">
        <v>2140000.0</v>
      </c>
      <c r="CK130" s="15">
        <v>2490000.0</v>
      </c>
      <c r="CL130" s="15">
        <v>7250000.0</v>
      </c>
      <c r="CM130" s="15">
        <v>8260000.0</v>
      </c>
      <c r="CN130" s="15">
        <v>8620000.0</v>
      </c>
      <c r="CO130" s="15">
        <v>1.0E7</v>
      </c>
      <c r="CP130" s="15">
        <v>1.005E7</v>
      </c>
      <c r="CQ130" s="15">
        <v>313000.0</v>
      </c>
      <c r="CR130" s="15">
        <v>331000.0</v>
      </c>
      <c r="CS130" s="15">
        <v>409000.0</v>
      </c>
      <c r="CT130" s="15">
        <v>376000.0</v>
      </c>
      <c r="CU130" s="15">
        <v>573000.0</v>
      </c>
      <c r="CV130" s="15">
        <v>757000.0</v>
      </c>
      <c r="CW130" s="15">
        <v>166000.0</v>
      </c>
      <c r="CX130" s="15">
        <v>254000.0</v>
      </c>
      <c r="CY130" s="15">
        <v>235000.0</v>
      </c>
      <c r="CZ130" s="15">
        <v>170000.0</v>
      </c>
      <c r="DA130" s="15">
        <v>326000.0</v>
      </c>
      <c r="DB130" s="15">
        <v>757000.0</v>
      </c>
      <c r="DC130" s="15">
        <v>1080000.0</v>
      </c>
      <c r="DD130" s="15">
        <v>968000.0</v>
      </c>
      <c r="DE130" s="15">
        <v>1240000.0</v>
      </c>
      <c r="DF130" s="15">
        <v>3680000.0</v>
      </c>
      <c r="DG130" s="15">
        <v>4850000.0</v>
      </c>
      <c r="DH130" s="15">
        <v>5210000.0</v>
      </c>
      <c r="DI130" s="15">
        <v>6840000.0</v>
      </c>
      <c r="DJ130" s="15">
        <v>7020000.0</v>
      </c>
      <c r="DK130" s="15">
        <v>316000.0</v>
      </c>
      <c r="DL130" s="15">
        <v>320000.0</v>
      </c>
      <c r="DM130" s="15">
        <v>507000.0</v>
      </c>
      <c r="DN130" s="15">
        <v>489000.0</v>
      </c>
      <c r="DO130" s="15">
        <v>548000.0</v>
      </c>
      <c r="DP130" s="15">
        <v>1500000.0</v>
      </c>
      <c r="DQ130" s="15">
        <v>2280000.0</v>
      </c>
      <c r="DR130" s="15">
        <v>2580000.0</v>
      </c>
      <c r="DS130" s="15">
        <v>2330000.0</v>
      </c>
      <c r="DT130" s="15">
        <v>3350000.0</v>
      </c>
      <c r="DU130" s="15"/>
      <c r="DV130" s="15"/>
      <c r="DW130" s="15"/>
      <c r="DX130" s="15"/>
      <c r="DY130" s="15"/>
      <c r="DZ130" s="15">
        <v>3570000.0</v>
      </c>
      <c r="EA130" s="15">
        <v>3410000.0</v>
      </c>
      <c r="EB130" s="15">
        <v>3410000.0</v>
      </c>
      <c r="EC130" s="15">
        <v>3350000.0</v>
      </c>
      <c r="ED130" s="15">
        <v>3040000.0</v>
      </c>
      <c r="EE130" s="30"/>
      <c r="EF130" s="30"/>
      <c r="EG130" s="30">
        <v>0.037</v>
      </c>
      <c r="EH130" s="30">
        <v>0.176</v>
      </c>
    </row>
    <row r="131">
      <c r="A131" s="9">
        <f t="shared" si="2"/>
        <v>129</v>
      </c>
      <c r="B131" s="22" t="s">
        <v>265</v>
      </c>
      <c r="C131" s="11">
        <v>14000.0</v>
      </c>
      <c r="D131" s="11">
        <v>52450.0</v>
      </c>
      <c r="E131" s="11">
        <v>15960.0</v>
      </c>
      <c r="F131" s="11">
        <v>14800.0</v>
      </c>
      <c r="G131" s="11">
        <v>9020.0</v>
      </c>
      <c r="H131" s="12"/>
      <c r="I131" s="12"/>
      <c r="J131" s="12"/>
      <c r="K131" s="12"/>
      <c r="L131" s="12"/>
      <c r="M131" s="11">
        <v>-80.0</v>
      </c>
      <c r="N131" s="11">
        <v>-65.0</v>
      </c>
      <c r="O131" s="11">
        <v>116080.0</v>
      </c>
      <c r="P131" s="11">
        <v>106900.0</v>
      </c>
      <c r="Q131" s="11">
        <v>61030.0</v>
      </c>
      <c r="R131" s="11">
        <v>45200.0</v>
      </c>
      <c r="S131" s="11">
        <v>29590.0</v>
      </c>
      <c r="T131" s="11">
        <v>85360.0</v>
      </c>
      <c r="U131" s="11">
        <v>72740.0</v>
      </c>
      <c r="V131" s="11">
        <v>44230.0</v>
      </c>
      <c r="W131" s="11">
        <v>33090.0</v>
      </c>
      <c r="X131" s="11">
        <v>18360.0</v>
      </c>
      <c r="Y131" s="11">
        <v>-102710.0</v>
      </c>
      <c r="Z131" s="12"/>
      <c r="AA131" s="12"/>
      <c r="AB131" s="12"/>
      <c r="AC131" s="12"/>
      <c r="AD131" s="11">
        <v>-98410.0</v>
      </c>
      <c r="AE131" s="11">
        <v>-89650.0</v>
      </c>
      <c r="AF131" s="11">
        <v>-51860.0</v>
      </c>
      <c r="AG131" s="11">
        <v>-44880.0</v>
      </c>
      <c r="AH131" s="11">
        <v>-28450.0</v>
      </c>
      <c r="AI131" s="11">
        <v>-100120.0</v>
      </c>
      <c r="AJ131" s="11">
        <v>-92090.0</v>
      </c>
      <c r="AK131" s="11">
        <v>-52010.0</v>
      </c>
      <c r="AL131" s="11">
        <v>-45200.0</v>
      </c>
      <c r="AM131" s="11">
        <v>-29590.0</v>
      </c>
      <c r="AN131" s="11">
        <v>-97630.0</v>
      </c>
      <c r="AO131" s="11">
        <v>-90750.0</v>
      </c>
      <c r="AP131" s="11">
        <v>-42810.0</v>
      </c>
      <c r="AQ131" s="11">
        <v>-44260.0</v>
      </c>
      <c r="AR131" s="11">
        <v>-28450.0</v>
      </c>
      <c r="AS131" s="11">
        <v>-79800.0</v>
      </c>
      <c r="AT131" s="11">
        <v>-64960.0</v>
      </c>
      <c r="AU131" s="11">
        <v>1860.0</v>
      </c>
      <c r="AV131" s="11">
        <v>-34880.0</v>
      </c>
      <c r="AW131" s="11">
        <v>-18620.0</v>
      </c>
      <c r="AX131" s="11">
        <v>-1550.0</v>
      </c>
      <c r="AY131" s="11">
        <v>-340.0</v>
      </c>
      <c r="AZ131" s="11">
        <v>-865.0</v>
      </c>
      <c r="BA131" s="11">
        <v>-146.0</v>
      </c>
      <c r="BB131" s="11">
        <v>-58.0</v>
      </c>
      <c r="BC131" s="12"/>
      <c r="BD131" s="12"/>
      <c r="BE131" s="12"/>
      <c r="BF131" s="12"/>
      <c r="BG131" s="12"/>
      <c r="BH131" s="11">
        <v>274040.0</v>
      </c>
      <c r="BI131" s="11">
        <v>218080.0</v>
      </c>
      <c r="BJ131" s="11">
        <v>119950.0</v>
      </c>
      <c r="BK131" s="11">
        <v>52960.0</v>
      </c>
      <c r="BL131" s="11">
        <v>67660.0</v>
      </c>
      <c r="BM131" s="11">
        <v>3370.0</v>
      </c>
      <c r="BN131" s="11">
        <v>2430.0</v>
      </c>
      <c r="BO131" s="11">
        <v>2270.0</v>
      </c>
      <c r="BP131" s="12"/>
      <c r="BQ131" s="12"/>
      <c r="BR131" s="12"/>
      <c r="BS131" s="12"/>
      <c r="BT131" s="12"/>
      <c r="BU131" s="12"/>
      <c r="BV131" s="12"/>
      <c r="BW131" s="11">
        <v>282780.0</v>
      </c>
      <c r="BX131" s="11">
        <v>222500.0</v>
      </c>
      <c r="BY131" s="11">
        <v>123120.0</v>
      </c>
      <c r="BZ131" s="11">
        <v>53570.0</v>
      </c>
      <c r="CA131" s="11">
        <v>68370.0</v>
      </c>
      <c r="CB131" s="11">
        <v>13810.0</v>
      </c>
      <c r="CC131" s="11">
        <v>557.0</v>
      </c>
      <c r="CD131" s="11">
        <v>860.0</v>
      </c>
      <c r="CE131" s="11">
        <v>215.0</v>
      </c>
      <c r="CF131" s="11">
        <v>149.0</v>
      </c>
      <c r="CG131" s="11">
        <v>12640.0</v>
      </c>
      <c r="CH131" s="11">
        <v>12640.0</v>
      </c>
      <c r="CI131" s="11">
        <v>12640.0</v>
      </c>
      <c r="CJ131" s="11">
        <v>12640.0</v>
      </c>
      <c r="CK131" s="11">
        <v>12640.0</v>
      </c>
      <c r="CL131" s="11">
        <v>347890.0</v>
      </c>
      <c r="CM131" s="11">
        <v>268050.0</v>
      </c>
      <c r="CN131" s="11">
        <v>169300.0</v>
      </c>
      <c r="CO131" s="11">
        <v>98120.0</v>
      </c>
      <c r="CP131" s="11">
        <v>133740.0</v>
      </c>
      <c r="CQ131" s="11">
        <v>1730.0</v>
      </c>
      <c r="CR131" s="11">
        <v>3690.0</v>
      </c>
      <c r="CS131" s="11">
        <v>2120.0</v>
      </c>
      <c r="CT131" s="12"/>
      <c r="CU131" s="12"/>
      <c r="CV131" s="11">
        <v>24440.0</v>
      </c>
      <c r="CW131" s="11">
        <v>3190.0</v>
      </c>
      <c r="CX131" s="12"/>
      <c r="CY131" s="12"/>
      <c r="CZ131" s="12"/>
      <c r="DA131" s="12"/>
      <c r="DB131" s="11">
        <v>24440.0</v>
      </c>
      <c r="DC131" s="11">
        <v>18470.0</v>
      </c>
      <c r="DD131" s="11">
        <v>13490.0</v>
      </c>
      <c r="DE131" s="11">
        <v>7120.0</v>
      </c>
      <c r="DF131" s="11">
        <v>74670.0</v>
      </c>
      <c r="DG131" s="11">
        <v>57390.0</v>
      </c>
      <c r="DH131" s="11">
        <v>56180.0</v>
      </c>
      <c r="DI131" s="11">
        <v>18240.0</v>
      </c>
      <c r="DJ131" s="11">
        <v>15000.0</v>
      </c>
      <c r="DK131" s="12"/>
      <c r="DL131" s="12"/>
      <c r="DM131" s="11">
        <v>3350.0</v>
      </c>
      <c r="DN131" s="11">
        <v>2440.0</v>
      </c>
      <c r="DO131" s="11">
        <v>23590.0</v>
      </c>
      <c r="DP131" s="11">
        <v>9080.0</v>
      </c>
      <c r="DQ131" s="12"/>
      <c r="DR131" s="12"/>
      <c r="DS131" s="12"/>
      <c r="DT131" s="12"/>
      <c r="DU131" s="12"/>
      <c r="DV131" s="12"/>
      <c r="DW131" s="12"/>
      <c r="DX131" s="12"/>
      <c r="DY131" s="13"/>
      <c r="DZ131" s="11">
        <v>273220.0</v>
      </c>
      <c r="EA131" s="11">
        <v>210650.0</v>
      </c>
      <c r="EB131" s="11">
        <v>113120.0</v>
      </c>
      <c r="EC131" s="11">
        <v>79880.0</v>
      </c>
      <c r="ED131" s="11">
        <v>118740.0</v>
      </c>
      <c r="EE131" s="14">
        <v>0.142</v>
      </c>
      <c r="EF131" s="14">
        <v>1.571</v>
      </c>
      <c r="EG131" s="14">
        <v>7.333</v>
      </c>
      <c r="EH131" s="14">
        <v>1.886</v>
      </c>
    </row>
    <row r="132">
      <c r="A132" s="9">
        <f t="shared" si="2"/>
        <v>130</v>
      </c>
      <c r="B132" s="10" t="s">
        <v>266</v>
      </c>
      <c r="C132" s="15">
        <v>1.703E7</v>
      </c>
      <c r="D132" s="15">
        <v>1.433E7</v>
      </c>
      <c r="E132" s="15">
        <v>1.182E7</v>
      </c>
      <c r="F132" s="15">
        <v>1.094E7</v>
      </c>
      <c r="G132" s="15">
        <v>8960000.0</v>
      </c>
      <c r="H132" s="15">
        <v>6790000.0</v>
      </c>
      <c r="I132" s="15">
        <v>6290000.0</v>
      </c>
      <c r="J132" s="15">
        <v>5130000.0</v>
      </c>
      <c r="K132" s="15">
        <v>4900000.0</v>
      </c>
      <c r="L132" s="15">
        <v>3900000.0</v>
      </c>
      <c r="M132" s="15">
        <v>2940000.0</v>
      </c>
      <c r="N132" s="15">
        <v>2840000.0</v>
      </c>
      <c r="O132" s="15">
        <v>2340000.0</v>
      </c>
      <c r="P132" s="15">
        <v>1930000.0</v>
      </c>
      <c r="Q132" s="15">
        <v>1560000.0</v>
      </c>
      <c r="R132" s="15">
        <v>1370000.0</v>
      </c>
      <c r="S132" s="15">
        <v>1360000.0</v>
      </c>
      <c r="T132" s="15">
        <v>1840000.0</v>
      </c>
      <c r="U132" s="15">
        <v>1470000.0</v>
      </c>
      <c r="V132" s="15">
        <v>1150000.0</v>
      </c>
      <c r="W132" s="15">
        <v>1030000.0</v>
      </c>
      <c r="X132" s="15">
        <v>1050000.0</v>
      </c>
      <c r="Y132" s="15">
        <v>0.0</v>
      </c>
      <c r="Z132" s="15">
        <v>0.0</v>
      </c>
      <c r="AA132" s="15">
        <v>0.0</v>
      </c>
      <c r="AB132" s="15">
        <v>0.0</v>
      </c>
      <c r="AC132" s="15">
        <v>0.0</v>
      </c>
      <c r="AD132" s="15">
        <v>2770000.0</v>
      </c>
      <c r="AE132" s="15">
        <v>2940000.0</v>
      </c>
      <c r="AF132" s="15">
        <v>2390000.0</v>
      </c>
      <c r="AG132" s="15">
        <v>1690000.0</v>
      </c>
      <c r="AH132" s="15">
        <v>1550000.0</v>
      </c>
      <c r="AI132" s="15">
        <v>3230000.0</v>
      </c>
      <c r="AJ132" s="15">
        <v>3380000.0</v>
      </c>
      <c r="AK132" s="15">
        <v>2760000.0</v>
      </c>
      <c r="AL132" s="15">
        <v>1920000.0</v>
      </c>
      <c r="AM132" s="15">
        <v>1780000.0</v>
      </c>
      <c r="AN132" s="15">
        <v>2590000.0</v>
      </c>
      <c r="AO132" s="15">
        <v>2590000.0</v>
      </c>
      <c r="AP132" s="15">
        <v>2070000.0</v>
      </c>
      <c r="AQ132" s="15">
        <v>1470000.0</v>
      </c>
      <c r="AR132" s="15">
        <v>1390000.0</v>
      </c>
      <c r="AS132" s="15">
        <v>3280000.0</v>
      </c>
      <c r="AT132" s="15">
        <v>3070000.0</v>
      </c>
      <c r="AU132" s="15">
        <v>1820000.0</v>
      </c>
      <c r="AV132" s="15">
        <v>1670000.0</v>
      </c>
      <c r="AW132" s="15">
        <v>2030000.0</v>
      </c>
      <c r="AX132" s="15">
        <v>-885900.0</v>
      </c>
      <c r="AY132" s="15">
        <v>-609500.0</v>
      </c>
      <c r="AZ132" s="15">
        <v>-358000.0</v>
      </c>
      <c r="BA132" s="15">
        <v>-324720.0</v>
      </c>
      <c r="BB132" s="15">
        <v>-372880.0</v>
      </c>
      <c r="BC132" s="15">
        <v>-1330000.0</v>
      </c>
      <c r="BD132" s="15">
        <v>-597100.0</v>
      </c>
      <c r="BE132" s="15">
        <v>-516700.0</v>
      </c>
      <c r="BF132" s="15">
        <v>-445870.0</v>
      </c>
      <c r="BG132" s="15">
        <v>-302310.0</v>
      </c>
      <c r="BH132" s="15">
        <v>4720000.0</v>
      </c>
      <c r="BI132" s="15">
        <v>4030000.0</v>
      </c>
      <c r="BJ132" s="15">
        <v>3290000.0</v>
      </c>
      <c r="BK132" s="15">
        <v>4060000.0</v>
      </c>
      <c r="BL132" s="15">
        <v>3410000.0</v>
      </c>
      <c r="BM132" s="15">
        <v>2850000.0</v>
      </c>
      <c r="BN132" s="15">
        <v>2400000.0</v>
      </c>
      <c r="BO132" s="15">
        <v>2200000.0</v>
      </c>
      <c r="BP132" s="15">
        <v>1220000.0</v>
      </c>
      <c r="BQ132" s="15">
        <v>1160000.0</v>
      </c>
      <c r="BR132" s="15">
        <v>4020000.0</v>
      </c>
      <c r="BS132" s="15">
        <v>3670000.0</v>
      </c>
      <c r="BT132" s="15">
        <v>3070000.0</v>
      </c>
      <c r="BU132" s="15">
        <v>2850000.0</v>
      </c>
      <c r="BV132" s="15">
        <v>2650000.0</v>
      </c>
      <c r="BW132" s="15">
        <v>1.213E7</v>
      </c>
      <c r="BX132" s="15">
        <v>1.053E7</v>
      </c>
      <c r="BY132" s="15">
        <v>8890000.0</v>
      </c>
      <c r="BZ132" s="15">
        <v>8560000.0</v>
      </c>
      <c r="CA132" s="15">
        <v>7710000.0</v>
      </c>
      <c r="CB132" s="15">
        <v>2320000.0</v>
      </c>
      <c r="CC132" s="15">
        <v>1730000.0</v>
      </c>
      <c r="CD132" s="15">
        <v>1710000.0</v>
      </c>
      <c r="CE132" s="15">
        <v>1690000.0</v>
      </c>
      <c r="CF132" s="15">
        <v>1620000.0</v>
      </c>
      <c r="CG132" s="15">
        <v>4540000.0</v>
      </c>
      <c r="CH132" s="15">
        <v>4540000.0</v>
      </c>
      <c r="CI132" s="15">
        <v>4540000.0</v>
      </c>
      <c r="CJ132" s="15">
        <v>4870000.0</v>
      </c>
      <c r="CK132" s="15">
        <v>2620000.0</v>
      </c>
      <c r="CL132" s="15">
        <v>2.263E7</v>
      </c>
      <c r="CM132" s="15">
        <v>2.014E7</v>
      </c>
      <c r="CN132" s="15">
        <v>1.819E7</v>
      </c>
      <c r="CO132" s="15">
        <v>1.721E7</v>
      </c>
      <c r="CP132" s="15">
        <v>1.33E7</v>
      </c>
      <c r="CQ132" s="15">
        <v>1060000.0</v>
      </c>
      <c r="CR132" s="15">
        <v>964000.0</v>
      </c>
      <c r="CS132" s="15">
        <v>837300.0</v>
      </c>
      <c r="CT132" s="15">
        <v>593200.0</v>
      </c>
      <c r="CU132" s="15">
        <v>418890.0</v>
      </c>
      <c r="CV132" s="15">
        <v>4690000.0</v>
      </c>
      <c r="CW132" s="15">
        <v>55600.0</v>
      </c>
      <c r="CX132" s="15">
        <v>0.0</v>
      </c>
      <c r="CY132" s="16">
        <v>0.0</v>
      </c>
      <c r="CZ132" s="16">
        <v>0.0</v>
      </c>
      <c r="DA132" s="15">
        <v>0.0</v>
      </c>
      <c r="DB132" s="15">
        <v>4690000.0</v>
      </c>
      <c r="DC132" s="15">
        <v>3790000.0</v>
      </c>
      <c r="DD132" s="15">
        <v>3170000.0</v>
      </c>
      <c r="DE132" s="15">
        <v>3280000.0</v>
      </c>
      <c r="DF132" s="15">
        <v>1.004E7</v>
      </c>
      <c r="DG132" s="15">
        <v>8500000.0</v>
      </c>
      <c r="DH132" s="15">
        <v>7410000.0</v>
      </c>
      <c r="DI132" s="15">
        <v>7390000.0</v>
      </c>
      <c r="DJ132" s="15">
        <v>4910000.0</v>
      </c>
      <c r="DK132" s="15">
        <v>936000.0</v>
      </c>
      <c r="DL132" s="15">
        <v>975500.0</v>
      </c>
      <c r="DM132" s="15">
        <v>1050000.0</v>
      </c>
      <c r="DN132" s="15">
        <v>89520.0</v>
      </c>
      <c r="DO132" s="15">
        <v>81780.0</v>
      </c>
      <c r="DP132" s="15">
        <v>3260000.0</v>
      </c>
      <c r="DQ132" s="15">
        <v>3120000.0</v>
      </c>
      <c r="DR132" s="15">
        <v>3080000.0</v>
      </c>
      <c r="DS132" s="15">
        <v>3070000.0</v>
      </c>
      <c r="DT132" s="15">
        <v>1130000.0</v>
      </c>
      <c r="DU132" s="16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1.259E7</v>
      </c>
      <c r="EA132" s="15">
        <v>1.164E7</v>
      </c>
      <c r="EB132" s="15">
        <v>1.078E7</v>
      </c>
      <c r="EC132" s="15">
        <v>9820000.0</v>
      </c>
      <c r="ED132" s="15">
        <v>8390000.0</v>
      </c>
      <c r="EE132" s="17">
        <v>0.077</v>
      </c>
      <c r="EF132" s="17">
        <v>0.123</v>
      </c>
      <c r="EG132" s="17">
        <v>-0.237</v>
      </c>
      <c r="EH132" s="17">
        <v>0.007</v>
      </c>
    </row>
    <row r="133">
      <c r="A133" s="9">
        <f t="shared" si="2"/>
        <v>131</v>
      </c>
      <c r="B133" s="22" t="s">
        <v>267</v>
      </c>
      <c r="C133" s="11">
        <v>94450.0</v>
      </c>
      <c r="D133" s="11">
        <v>11410.0</v>
      </c>
      <c r="E133" s="11">
        <v>14970.0</v>
      </c>
      <c r="F133" s="11">
        <v>12480.0</v>
      </c>
      <c r="G133" s="11">
        <v>1730.0</v>
      </c>
      <c r="H133" s="11">
        <v>5100.0</v>
      </c>
      <c r="I133" s="11">
        <v>9000.0</v>
      </c>
      <c r="J133" s="12"/>
      <c r="K133" s="12"/>
      <c r="L133" s="12"/>
      <c r="M133" s="12"/>
      <c r="N133" s="12"/>
      <c r="O133" s="11">
        <v>261240.0</v>
      </c>
      <c r="P133" s="11">
        <v>194020.0</v>
      </c>
      <c r="Q133" s="11">
        <v>126710.0</v>
      </c>
      <c r="R133" s="11">
        <v>85010.0</v>
      </c>
      <c r="S133" s="11">
        <v>54760.0</v>
      </c>
      <c r="T133" s="11">
        <v>208560.0</v>
      </c>
      <c r="U133" s="11">
        <v>164520.0</v>
      </c>
      <c r="V133" s="11">
        <v>111540.0</v>
      </c>
      <c r="W133" s="11">
        <v>72320.0</v>
      </c>
      <c r="X133" s="11">
        <v>44330.0</v>
      </c>
      <c r="Y133" s="12"/>
      <c r="Z133" s="12"/>
      <c r="AA133" s="12"/>
      <c r="AB133" s="12"/>
      <c r="AC133" s="12"/>
      <c r="AD133" s="11">
        <v>-235200.0</v>
      </c>
      <c r="AE133" s="11">
        <v>-153570.0</v>
      </c>
      <c r="AF133" s="11">
        <v>-140290.0</v>
      </c>
      <c r="AG133" s="11">
        <v>-76030.0</v>
      </c>
      <c r="AH133" s="11">
        <v>-37230.0</v>
      </c>
      <c r="AI133" s="11">
        <v>-246270.0</v>
      </c>
      <c r="AJ133" s="11">
        <v>-181540.0</v>
      </c>
      <c r="AK133" s="11">
        <v>-124980.0</v>
      </c>
      <c r="AL133" s="11">
        <v>-79910.0</v>
      </c>
      <c r="AM133" s="11">
        <v>-45760.0</v>
      </c>
      <c r="AN133" s="11">
        <v>-244010.0</v>
      </c>
      <c r="AO133" s="11">
        <v>-153480.0</v>
      </c>
      <c r="AP133" s="11">
        <v>-139750.0</v>
      </c>
      <c r="AQ133" s="11">
        <v>-75780.0</v>
      </c>
      <c r="AR133" s="11">
        <v>-36510.0</v>
      </c>
      <c r="AS133" s="11">
        <v>-196920.0</v>
      </c>
      <c r="AT133" s="11">
        <v>-163750.0</v>
      </c>
      <c r="AU133" s="11">
        <v>-107270.0</v>
      </c>
      <c r="AV133" s="11">
        <v>-66570.0</v>
      </c>
      <c r="AW133" s="11">
        <v>-48200.0</v>
      </c>
      <c r="AX133" s="11">
        <v>-5770.0</v>
      </c>
      <c r="AY133" s="11">
        <v>-3120.0</v>
      </c>
      <c r="AZ133" s="11">
        <v>-1060.0</v>
      </c>
      <c r="BA133" s="11">
        <v>-743.0</v>
      </c>
      <c r="BB133" s="11">
        <v>-1150.0</v>
      </c>
      <c r="BC133" s="12"/>
      <c r="BD133" s="12"/>
      <c r="BE133" s="12"/>
      <c r="BF133" s="12"/>
      <c r="BG133" s="12"/>
      <c r="BH133" s="11">
        <v>671370.0</v>
      </c>
      <c r="BI133" s="11">
        <v>317640.0</v>
      </c>
      <c r="BJ133" s="11">
        <v>234580.0</v>
      </c>
      <c r="BK133" s="11">
        <v>190200.0</v>
      </c>
      <c r="BL133" s="11">
        <v>129970.0</v>
      </c>
      <c r="BM133" s="11">
        <v>6080.0</v>
      </c>
      <c r="BN133" s="11">
        <v>3010.0</v>
      </c>
      <c r="BO133" s="11">
        <v>2850.0</v>
      </c>
      <c r="BP133" s="11">
        <v>1760.0</v>
      </c>
      <c r="BQ133" s="11">
        <v>2370.0</v>
      </c>
      <c r="BR133" s="12"/>
      <c r="BS133" s="12"/>
      <c r="BT133" s="12"/>
      <c r="BU133" s="12"/>
      <c r="BV133" s="12"/>
      <c r="BW133" s="11">
        <v>686040.0</v>
      </c>
      <c r="BX133" s="11">
        <v>334840.0</v>
      </c>
      <c r="BY133" s="11">
        <v>245720.0</v>
      </c>
      <c r="BZ133" s="11">
        <v>194030.0</v>
      </c>
      <c r="CA133" s="11">
        <v>136500.0</v>
      </c>
      <c r="CB133" s="11">
        <v>50590.0</v>
      </c>
      <c r="CC133" s="11">
        <v>4940.0</v>
      </c>
      <c r="CD133" s="11">
        <v>3070.0</v>
      </c>
      <c r="CE133" s="11">
        <v>2480.0</v>
      </c>
      <c r="CF133" s="11">
        <v>2560.0</v>
      </c>
      <c r="CG133" s="11">
        <v>3920.0</v>
      </c>
      <c r="CH133" s="12"/>
      <c r="CI133" s="11">
        <v>4200.0</v>
      </c>
      <c r="CJ133" s="11">
        <v>3690.0</v>
      </c>
      <c r="CK133" s="11">
        <v>3800.0</v>
      </c>
      <c r="CL133" s="11">
        <v>759630.0</v>
      </c>
      <c r="CM133" s="11">
        <v>364630.0</v>
      </c>
      <c r="CN133" s="11">
        <v>253340.0</v>
      </c>
      <c r="CO133" s="11">
        <v>200480.0</v>
      </c>
      <c r="CP133" s="11">
        <v>143150.0</v>
      </c>
      <c r="CQ133" s="11">
        <v>31170.0</v>
      </c>
      <c r="CR133" s="11">
        <v>22570.0</v>
      </c>
      <c r="CS133" s="11">
        <v>28540.0</v>
      </c>
      <c r="CT133" s="11">
        <v>13790.0</v>
      </c>
      <c r="CU133" s="11">
        <v>9100.0</v>
      </c>
      <c r="CV133" s="11">
        <v>53870.0</v>
      </c>
      <c r="CW133" s="12"/>
      <c r="CX133" s="12"/>
      <c r="CY133" s="12"/>
      <c r="CZ133" s="12"/>
      <c r="DA133" s="12"/>
      <c r="DB133" s="11">
        <v>53870.0</v>
      </c>
      <c r="DC133" s="11">
        <v>44490.0</v>
      </c>
      <c r="DD133" s="11">
        <v>28540.0</v>
      </c>
      <c r="DE133" s="11">
        <v>14190.0</v>
      </c>
      <c r="DF133" s="11">
        <v>89370.0</v>
      </c>
      <c r="DG133" s="11">
        <v>44490.0</v>
      </c>
      <c r="DH133" s="11">
        <v>28540.0</v>
      </c>
      <c r="DI133" s="11">
        <v>14190.0</v>
      </c>
      <c r="DJ133" s="11">
        <v>12430.0</v>
      </c>
      <c r="DK133" s="11">
        <v>17440.0</v>
      </c>
      <c r="DL133" s="11">
        <v>19530.0</v>
      </c>
      <c r="DM133" s="12"/>
      <c r="DN133" s="12"/>
      <c r="DO133" s="12"/>
      <c r="DP133" s="11">
        <v>34480.0</v>
      </c>
      <c r="DQ133" s="12"/>
      <c r="DR133" s="12"/>
      <c r="DS133" s="12"/>
      <c r="DT133" s="12"/>
      <c r="DU133" s="13"/>
      <c r="DV133" s="12"/>
      <c r="DW133" s="12"/>
      <c r="DX133" s="13"/>
      <c r="DY133" s="13"/>
      <c r="DZ133" s="11">
        <v>670260.0</v>
      </c>
      <c r="EA133" s="11">
        <v>320140.0</v>
      </c>
      <c r="EB133" s="11">
        <v>224800.0</v>
      </c>
      <c r="EC133" s="11">
        <v>186280.0</v>
      </c>
      <c r="ED133" s="11">
        <v>130710.0</v>
      </c>
      <c r="EE133" s="14">
        <v>1.436</v>
      </c>
      <c r="EF133" s="14">
        <v>2.05</v>
      </c>
      <c r="EG133" s="14">
        <v>0.026</v>
      </c>
      <c r="EH133" s="14">
        <v>0.095</v>
      </c>
    </row>
    <row r="134">
      <c r="A134" s="9">
        <f t="shared" si="2"/>
        <v>132</v>
      </c>
      <c r="B134" s="10" t="s">
        <v>268</v>
      </c>
      <c r="C134" s="11">
        <v>142570.0</v>
      </c>
      <c r="D134" s="11">
        <v>116700.0</v>
      </c>
      <c r="E134" s="11">
        <v>139380.0</v>
      </c>
      <c r="F134" s="11">
        <v>104360.0</v>
      </c>
      <c r="G134" s="11">
        <v>111630.0</v>
      </c>
      <c r="H134" s="11">
        <v>117740.0</v>
      </c>
      <c r="I134" s="11">
        <v>122520.0</v>
      </c>
      <c r="J134" s="11">
        <v>26280.0</v>
      </c>
      <c r="K134" s="11">
        <v>12670.0</v>
      </c>
      <c r="L134" s="11">
        <v>19570.0</v>
      </c>
      <c r="M134" s="11">
        <v>23310.0</v>
      </c>
      <c r="N134" s="11">
        <v>24650.0</v>
      </c>
      <c r="O134" s="11">
        <v>40440.0</v>
      </c>
      <c r="P134" s="11">
        <v>39230.0</v>
      </c>
      <c r="Q134" s="11">
        <v>37810.0</v>
      </c>
      <c r="R134" s="11">
        <v>34030.0</v>
      </c>
      <c r="S134" s="11">
        <v>30880.0</v>
      </c>
      <c r="T134" s="11">
        <v>8410.0</v>
      </c>
      <c r="U134" s="11">
        <v>6320.0</v>
      </c>
      <c r="V134" s="11">
        <v>6180.0</v>
      </c>
      <c r="W134" s="11">
        <v>5310.0</v>
      </c>
      <c r="X134" s="11">
        <v>5250.0</v>
      </c>
      <c r="Y134" s="11"/>
      <c r="Z134" s="11">
        <v>-33920.0</v>
      </c>
      <c r="AA134" s="12"/>
      <c r="AB134" s="12"/>
      <c r="AC134" s="11"/>
      <c r="AD134" s="11">
        <v>-14570.0</v>
      </c>
      <c r="AE134" s="11">
        <v>-34440.0</v>
      </c>
      <c r="AF134" s="11">
        <v>-19320.0</v>
      </c>
      <c r="AG134" s="11">
        <v>-12020.0</v>
      </c>
      <c r="AH134" s="11">
        <v>-6420.0</v>
      </c>
      <c r="AI134" s="11">
        <v>-3000.0</v>
      </c>
      <c r="AJ134" s="11">
        <v>-15770.0</v>
      </c>
      <c r="AK134" s="11">
        <v>-8380.0</v>
      </c>
      <c r="AL134" s="11">
        <v>-1370.0</v>
      </c>
      <c r="AM134" s="11">
        <v>3670.0</v>
      </c>
      <c r="AN134" s="11">
        <v>-14570.0</v>
      </c>
      <c r="AO134" s="11">
        <v>-34440.0</v>
      </c>
      <c r="AP134" s="11">
        <v>-19320.0</v>
      </c>
      <c r="AQ134" s="11">
        <v>-12020.0</v>
      </c>
      <c r="AR134" s="11">
        <v>-6420.0</v>
      </c>
      <c r="AS134" s="11">
        <v>-36.0</v>
      </c>
      <c r="AT134" s="11">
        <v>-8650.0</v>
      </c>
      <c r="AU134" s="11">
        <v>-4610.0</v>
      </c>
      <c r="AV134" s="11">
        <v>-578.0</v>
      </c>
      <c r="AW134" s="11">
        <v>5360.0</v>
      </c>
      <c r="AX134" s="11">
        <v>-2110.0</v>
      </c>
      <c r="AY134" s="11">
        <v>-3590.0</v>
      </c>
      <c r="AZ134" s="11">
        <v>-6120.0</v>
      </c>
      <c r="BA134" s="11">
        <v>-13220.0</v>
      </c>
      <c r="BB134" s="11">
        <v>-21960.0</v>
      </c>
      <c r="BC134" s="13"/>
      <c r="BD134" s="13"/>
      <c r="BE134" s="13"/>
      <c r="BF134" s="13"/>
      <c r="BG134" s="13"/>
      <c r="BH134" s="11">
        <v>3630.0</v>
      </c>
      <c r="BI134" s="11">
        <v>3330.0</v>
      </c>
      <c r="BJ134" s="11">
        <v>10690.0</v>
      </c>
      <c r="BK134" s="11">
        <v>18090.0</v>
      </c>
      <c r="BL134" s="11">
        <v>32800.0</v>
      </c>
      <c r="BM134" s="11">
        <v>32250.0</v>
      </c>
      <c r="BN134" s="11">
        <v>25570.0</v>
      </c>
      <c r="BO134" s="11">
        <v>26760.0</v>
      </c>
      <c r="BP134" s="11">
        <v>17540.0</v>
      </c>
      <c r="BQ134" s="11">
        <v>20620.0</v>
      </c>
      <c r="BR134" s="11">
        <v>8770.0</v>
      </c>
      <c r="BS134" s="11">
        <v>7320.0</v>
      </c>
      <c r="BT134" s="11">
        <v>8920.0</v>
      </c>
      <c r="BU134" s="11">
        <v>12870.0</v>
      </c>
      <c r="BV134" s="11">
        <v>6530.0</v>
      </c>
      <c r="BW134" s="11">
        <v>45770.0</v>
      </c>
      <c r="BX134" s="11">
        <v>37250.0</v>
      </c>
      <c r="BY134" s="11">
        <v>47660.0</v>
      </c>
      <c r="BZ134" s="11">
        <v>50190.0</v>
      </c>
      <c r="CA134" s="11">
        <v>61650.0</v>
      </c>
      <c r="CB134" s="11">
        <v>57650.0</v>
      </c>
      <c r="CC134" s="11">
        <v>61700.0</v>
      </c>
      <c r="CD134" s="11">
        <v>76070.0</v>
      </c>
      <c r="CE134" s="11">
        <v>84390.0</v>
      </c>
      <c r="CF134" s="11">
        <v>78320.0</v>
      </c>
      <c r="CG134" s="11"/>
      <c r="CH134" s="11"/>
      <c r="CI134" s="11"/>
      <c r="CJ134" s="11"/>
      <c r="CK134" s="11"/>
      <c r="CL134" s="11">
        <v>103500.0</v>
      </c>
      <c r="CM134" s="11">
        <v>99020.0</v>
      </c>
      <c r="CN134" s="11">
        <v>123820.0</v>
      </c>
      <c r="CO134" s="11">
        <v>134670.0</v>
      </c>
      <c r="CP134" s="11">
        <v>140070.0</v>
      </c>
      <c r="CQ134" s="11">
        <v>12600.0</v>
      </c>
      <c r="CR134" s="11">
        <v>12390.0</v>
      </c>
      <c r="CS134" s="11">
        <v>10650.0</v>
      </c>
      <c r="CT134" s="11">
        <v>13070.0</v>
      </c>
      <c r="CU134" s="11">
        <v>10680.0</v>
      </c>
      <c r="CV134" s="11">
        <v>30430.0</v>
      </c>
      <c r="CW134" s="11">
        <v>4160.0</v>
      </c>
      <c r="CX134" s="11">
        <v>4180.0</v>
      </c>
      <c r="CY134" s="11">
        <v>3750.0</v>
      </c>
      <c r="CZ134" s="13"/>
      <c r="DA134" s="12"/>
      <c r="DB134" s="11">
        <v>30430.0</v>
      </c>
      <c r="DC134" s="11">
        <v>23070.0</v>
      </c>
      <c r="DD134" s="11">
        <v>21570.0</v>
      </c>
      <c r="DE134" s="11">
        <v>18130.0</v>
      </c>
      <c r="DF134" s="11">
        <v>44510.0</v>
      </c>
      <c r="DG134" s="11">
        <v>28770.0</v>
      </c>
      <c r="DH134" s="11">
        <v>22870.0</v>
      </c>
      <c r="DI134" s="11">
        <v>19110.0</v>
      </c>
      <c r="DJ134" s="11">
        <v>17600.0</v>
      </c>
      <c r="DK134" s="12"/>
      <c r="DL134" s="12"/>
      <c r="DM134" s="12"/>
      <c r="DN134" s="12"/>
      <c r="DO134" s="12"/>
      <c r="DP134" s="28">
        <v>4290.0</v>
      </c>
      <c r="DQ134" s="28"/>
      <c r="DR134" s="28"/>
      <c r="DS134" s="28">
        <v>4.0</v>
      </c>
      <c r="DT134" s="28">
        <v>40.0</v>
      </c>
      <c r="DU134" s="12"/>
      <c r="DV134" s="12"/>
      <c r="DW134" s="12"/>
      <c r="DX134" s="12"/>
      <c r="DY134" s="12"/>
      <c r="DZ134" s="11">
        <v>58990.0</v>
      </c>
      <c r="EA134" s="11">
        <v>70250.0</v>
      </c>
      <c r="EB134" s="11">
        <v>100940.0</v>
      </c>
      <c r="EC134" s="11">
        <v>115560.0</v>
      </c>
      <c r="ED134" s="11">
        <v>122470.0</v>
      </c>
      <c r="EE134" s="14">
        <v>0.162</v>
      </c>
      <c r="EF134" s="14">
        <v>0.114</v>
      </c>
      <c r="EG134" s="14">
        <v>0.409</v>
      </c>
      <c r="EH134" s="14">
        <v>0.054</v>
      </c>
    </row>
    <row r="135">
      <c r="A135" s="9">
        <f t="shared" si="2"/>
        <v>133</v>
      </c>
      <c r="B135" s="10" t="s">
        <v>269</v>
      </c>
      <c r="C135" s="11">
        <v>591040.0</v>
      </c>
      <c r="D135" s="11">
        <v>546310.0</v>
      </c>
      <c r="E135" s="11">
        <v>1.682E7</v>
      </c>
      <c r="F135" s="11">
        <v>1.541E7</v>
      </c>
      <c r="G135" s="11">
        <v>1.259E7</v>
      </c>
      <c r="H135" s="11">
        <v>9750000.0</v>
      </c>
      <c r="I135" s="11">
        <v>8990000.0</v>
      </c>
      <c r="J135" s="11">
        <v>8530000.0</v>
      </c>
      <c r="K135" s="11">
        <v>7850000.0</v>
      </c>
      <c r="L135" s="11">
        <v>6430000.0</v>
      </c>
      <c r="M135" s="11">
        <v>5120000.0</v>
      </c>
      <c r="N135" s="11">
        <v>4800000.0</v>
      </c>
      <c r="O135" s="11">
        <v>250180.0</v>
      </c>
      <c r="P135" s="11">
        <v>206830.0</v>
      </c>
      <c r="Q135" s="11">
        <v>191690.0</v>
      </c>
      <c r="R135" s="11">
        <v>188470.0</v>
      </c>
      <c r="S135" s="11">
        <v>727670.0</v>
      </c>
      <c r="T135" s="12"/>
      <c r="U135" s="12"/>
      <c r="V135" s="12"/>
      <c r="W135" s="12"/>
      <c r="X135" s="12"/>
      <c r="Y135" s="11">
        <v>8480000.0</v>
      </c>
      <c r="Z135" s="11">
        <v>7780000.0</v>
      </c>
      <c r="AA135" s="11">
        <v>1480000.0</v>
      </c>
      <c r="AB135" s="11"/>
      <c r="AC135" s="11"/>
      <c r="AD135" s="11">
        <v>7660000.0</v>
      </c>
      <c r="AE135" s="11">
        <v>6920000.0</v>
      </c>
      <c r="AF135" s="11">
        <v>8270000.0</v>
      </c>
      <c r="AG135" s="11">
        <v>4890000.0</v>
      </c>
      <c r="AH135" s="11">
        <v>3960000.0</v>
      </c>
      <c r="AI135" s="11">
        <v>1.011E7</v>
      </c>
      <c r="AJ135" s="11">
        <v>9410000.0</v>
      </c>
      <c r="AK135" s="11">
        <v>7410000.0</v>
      </c>
      <c r="AL135" s="11">
        <v>5470000.0</v>
      </c>
      <c r="AM135" s="11">
        <v>4540000.0</v>
      </c>
      <c r="AN135" s="11">
        <v>5470000.0</v>
      </c>
      <c r="AO135" s="11">
        <v>4990000.0</v>
      </c>
      <c r="AP135" s="11">
        <v>5830000.0</v>
      </c>
      <c r="AQ135" s="11">
        <v>3630000.0</v>
      </c>
      <c r="AR135" s="11">
        <v>2910000.0</v>
      </c>
      <c r="AS135" s="11">
        <v>7780000.0</v>
      </c>
      <c r="AT135" s="11">
        <v>6820000.0</v>
      </c>
      <c r="AU135" s="11">
        <v>5660000.0</v>
      </c>
      <c r="AV135" s="11">
        <v>4520000.0</v>
      </c>
      <c r="AW135" s="11">
        <v>3650000.0</v>
      </c>
      <c r="AX135" s="11">
        <v>-2610000.0</v>
      </c>
      <c r="AY135" s="11">
        <v>-1640000.0</v>
      </c>
      <c r="AZ135" s="11">
        <v>-1470000.0</v>
      </c>
      <c r="BA135" s="11">
        <v>-1810000.0</v>
      </c>
      <c r="BB135" s="11">
        <v>-2910000.0</v>
      </c>
      <c r="BC135" s="11">
        <v>-3000000.0</v>
      </c>
      <c r="BD135" s="11">
        <v>-2030000.0</v>
      </c>
      <c r="BE135" s="11">
        <v>-1850000.0</v>
      </c>
      <c r="BF135" s="11">
        <v>-1680000.0</v>
      </c>
      <c r="BG135" s="11">
        <v>-1530000.0</v>
      </c>
      <c r="BH135" s="11">
        <v>6360000.0</v>
      </c>
      <c r="BI135" s="11">
        <v>4630000.0</v>
      </c>
      <c r="BJ135" s="11">
        <v>4780000.0</v>
      </c>
      <c r="BK135" s="11">
        <v>3500000.0</v>
      </c>
      <c r="BL135" s="11">
        <v>2080000.0</v>
      </c>
      <c r="BM135" s="11">
        <v>1230000.0</v>
      </c>
      <c r="BN135" s="11">
        <v>1140000.0</v>
      </c>
      <c r="BO135" s="11">
        <v>768390.0</v>
      </c>
      <c r="BP135" s="11">
        <v>576610.0</v>
      </c>
      <c r="BQ135" s="11">
        <v>664100.0</v>
      </c>
      <c r="BR135" s="11">
        <v>49670.0</v>
      </c>
      <c r="BS135" s="11">
        <v>48700.0</v>
      </c>
      <c r="BT135" s="11">
        <v>50240.0</v>
      </c>
      <c r="BU135" s="11">
        <v>24390.0</v>
      </c>
      <c r="BV135" s="11">
        <v>22560.0</v>
      </c>
      <c r="BW135" s="11">
        <v>7850000.0</v>
      </c>
      <c r="BX135" s="11">
        <v>6050000.0</v>
      </c>
      <c r="BY135" s="11">
        <v>5790000.0</v>
      </c>
      <c r="BZ135" s="11">
        <v>4260000.0</v>
      </c>
      <c r="CA135" s="11">
        <v>3010000.0</v>
      </c>
      <c r="CB135" s="11">
        <v>520620.0</v>
      </c>
      <c r="CC135" s="11">
        <v>558480.0</v>
      </c>
      <c r="CD135" s="11">
        <v>473240.0</v>
      </c>
      <c r="CE135" s="11">
        <v>323100.0</v>
      </c>
      <c r="CF135" s="11">
        <v>321910.0</v>
      </c>
      <c r="CG135" s="11"/>
      <c r="CH135" s="11">
        <v>2570000.0</v>
      </c>
      <c r="CI135" s="11">
        <v>2580000.0</v>
      </c>
      <c r="CJ135" s="11"/>
      <c r="CK135" s="11"/>
      <c r="CL135" s="11">
        <v>5.777E7</v>
      </c>
      <c r="CM135" s="11">
        <v>5.649E7</v>
      </c>
      <c r="CN135" s="11">
        <v>5.694E7</v>
      </c>
      <c r="CO135" s="11">
        <v>2.943E7</v>
      </c>
      <c r="CP135" s="11">
        <v>2.637E7</v>
      </c>
      <c r="CQ135" s="11">
        <v>282910.0</v>
      </c>
      <c r="CR135" s="11">
        <v>357910.0</v>
      </c>
      <c r="CS135" s="11">
        <v>1280000.0</v>
      </c>
      <c r="CT135" s="11">
        <v>106410.0</v>
      </c>
      <c r="CU135" s="11">
        <v>150530.0</v>
      </c>
      <c r="CV135" s="11">
        <v>2560000.0</v>
      </c>
      <c r="CW135" s="11"/>
      <c r="CX135" s="12"/>
      <c r="CY135" s="13"/>
      <c r="CZ135" s="13"/>
      <c r="DA135" s="12"/>
      <c r="DB135" s="11">
        <v>2560000.0</v>
      </c>
      <c r="DC135" s="11">
        <v>2410000.0</v>
      </c>
      <c r="DD135" s="11">
        <v>2410000.0</v>
      </c>
      <c r="DE135" s="11">
        <v>593180.0</v>
      </c>
      <c r="DF135" s="11">
        <v>1.9E7</v>
      </c>
      <c r="DG135" s="11">
        <v>1.98E7</v>
      </c>
      <c r="DH135" s="11">
        <v>2.325E7</v>
      </c>
      <c r="DI135" s="11">
        <v>6680000.0</v>
      </c>
      <c r="DJ135" s="11">
        <v>5960000.0</v>
      </c>
      <c r="DK135" s="11"/>
      <c r="DL135" s="11"/>
      <c r="DM135" s="11"/>
      <c r="DN135" s="11">
        <v>2490000.0</v>
      </c>
      <c r="DO135" s="11">
        <v>3800000.0</v>
      </c>
      <c r="DP135" s="11">
        <v>1.316E7</v>
      </c>
      <c r="DQ135" s="11">
        <v>1.4E7</v>
      </c>
      <c r="DR135" s="11">
        <v>1.747E7</v>
      </c>
      <c r="DS135" s="11">
        <v>4400000.0</v>
      </c>
      <c r="DT135" s="11">
        <v>3680000.0</v>
      </c>
      <c r="DU135" s="13"/>
      <c r="DV135" s="12"/>
      <c r="DW135" s="12"/>
      <c r="DX135" s="12"/>
      <c r="DY135" s="12"/>
      <c r="DZ135" s="11">
        <v>3.116E7</v>
      </c>
      <c r="EA135" s="11">
        <v>2.911E7</v>
      </c>
      <c r="EB135" s="11">
        <v>2.604E7</v>
      </c>
      <c r="EC135" s="11">
        <v>2.275E7</v>
      </c>
      <c r="ED135" s="11">
        <v>2.041E7</v>
      </c>
      <c r="EE135" s="14">
        <v>0.929</v>
      </c>
      <c r="EF135" s="14">
        <v>0.371</v>
      </c>
      <c r="EG135" s="14">
        <v>-0.087</v>
      </c>
      <c r="EH135" s="14">
        <v>-0.063</v>
      </c>
    </row>
    <row r="136">
      <c r="A136" s="9">
        <f t="shared" si="2"/>
        <v>134</v>
      </c>
      <c r="B136" s="10" t="s">
        <v>270</v>
      </c>
      <c r="C136" s="11">
        <v>1050000.0</v>
      </c>
      <c r="D136" s="11">
        <v>992150.0</v>
      </c>
      <c r="E136" s="11">
        <v>1170000.0</v>
      </c>
      <c r="F136" s="11">
        <v>1170000.0</v>
      </c>
      <c r="G136" s="11">
        <v>1180000.0</v>
      </c>
      <c r="H136" s="11">
        <v>1150000.0</v>
      </c>
      <c r="I136" s="11">
        <v>983160.0</v>
      </c>
      <c r="J136" s="11">
        <v>240100.0</v>
      </c>
      <c r="K136" s="11">
        <v>134080.0</v>
      </c>
      <c r="L136" s="11">
        <v>243790.0</v>
      </c>
      <c r="M136" s="11">
        <v>265610.0</v>
      </c>
      <c r="N136" s="11">
        <v>220450.0</v>
      </c>
      <c r="O136" s="11">
        <v>211150.0</v>
      </c>
      <c r="P136" s="11">
        <v>209130.0</v>
      </c>
      <c r="Q136" s="11">
        <v>187590.0</v>
      </c>
      <c r="R136" s="11">
        <v>178110.0</v>
      </c>
      <c r="S136" s="11">
        <v>168360.0</v>
      </c>
      <c r="T136" s="11">
        <v>27210.0</v>
      </c>
      <c r="U136" s="11">
        <v>28330.0</v>
      </c>
      <c r="V136" s="11">
        <v>26820.0</v>
      </c>
      <c r="W136" s="11">
        <v>24970.0</v>
      </c>
      <c r="X136" s="11">
        <v>23680.0</v>
      </c>
      <c r="Y136" s="11">
        <v>25670.0</v>
      </c>
      <c r="Z136" s="11">
        <v>-86960.0</v>
      </c>
      <c r="AA136" s="11">
        <v>55220.0</v>
      </c>
      <c r="AB136" s="11">
        <v>87050.0</v>
      </c>
      <c r="AC136" s="11">
        <v>49560.0</v>
      </c>
      <c r="AD136" s="11">
        <v>25190.0</v>
      </c>
      <c r="AE136" s="11">
        <v>-85980.0</v>
      </c>
      <c r="AF136" s="11">
        <v>57220.0</v>
      </c>
      <c r="AG136" s="11">
        <v>87100.0</v>
      </c>
      <c r="AH136" s="11">
        <v>51970.0</v>
      </c>
      <c r="AI136" s="11">
        <v>54800.0</v>
      </c>
      <c r="AJ136" s="11">
        <v>-47510.0</v>
      </c>
      <c r="AK136" s="11">
        <v>81580.0</v>
      </c>
      <c r="AL136" s="11">
        <v>111870.0</v>
      </c>
      <c r="AM136" s="11">
        <v>75790.0</v>
      </c>
      <c r="AN136" s="11">
        <v>22310.0</v>
      </c>
      <c r="AO136" s="11">
        <v>-60450.0</v>
      </c>
      <c r="AP136" s="11">
        <v>37800.0</v>
      </c>
      <c r="AQ136" s="11">
        <v>55160.0</v>
      </c>
      <c r="AR136" s="11">
        <v>32800.0</v>
      </c>
      <c r="AS136" s="11">
        <v>113300.0</v>
      </c>
      <c r="AT136" s="11">
        <v>-29790.0</v>
      </c>
      <c r="AU136" s="11">
        <v>41880.0</v>
      </c>
      <c r="AV136" s="11">
        <v>134810.0</v>
      </c>
      <c r="AW136" s="11">
        <v>30870.0</v>
      </c>
      <c r="AX136" s="11">
        <v>-23360.0</v>
      </c>
      <c r="AY136" s="11">
        <v>-27440.0</v>
      </c>
      <c r="AZ136" s="11">
        <v>-20050.0</v>
      </c>
      <c r="BA136" s="11">
        <v>-27370.0</v>
      </c>
      <c r="BB136" s="11">
        <v>-21200.0</v>
      </c>
      <c r="BC136" s="11">
        <v>-9920.0</v>
      </c>
      <c r="BD136" s="11">
        <v>-9630.0</v>
      </c>
      <c r="BE136" s="11">
        <v>-9230.0</v>
      </c>
      <c r="BF136" s="11">
        <v>-9220.0</v>
      </c>
      <c r="BG136" s="11">
        <v>-9190.0</v>
      </c>
      <c r="BH136" s="11">
        <v>50400.0</v>
      </c>
      <c r="BI136" s="11">
        <v>27770.0</v>
      </c>
      <c r="BJ136" s="11">
        <v>63900.0</v>
      </c>
      <c r="BK136" s="11">
        <v>83400.0</v>
      </c>
      <c r="BL136" s="11">
        <v>26600.0</v>
      </c>
      <c r="BM136" s="11">
        <v>124850.0</v>
      </c>
      <c r="BN136" s="11">
        <v>133980.0</v>
      </c>
      <c r="BO136" s="11">
        <v>119950.0</v>
      </c>
      <c r="BP136" s="11">
        <v>110670.0</v>
      </c>
      <c r="BQ136" s="11">
        <v>102000.0</v>
      </c>
      <c r="BR136" s="11">
        <v>294540.0</v>
      </c>
      <c r="BS136" s="11">
        <v>355940.0</v>
      </c>
      <c r="BT136" s="11">
        <v>391380.0</v>
      </c>
      <c r="BU136" s="11">
        <v>360400.0</v>
      </c>
      <c r="BV136" s="11">
        <v>384780.0</v>
      </c>
      <c r="BW136" s="11">
        <v>506300.0</v>
      </c>
      <c r="BX136" s="11">
        <v>560990.0</v>
      </c>
      <c r="BY136" s="11">
        <v>602970.0</v>
      </c>
      <c r="BZ136" s="11">
        <v>576830.0</v>
      </c>
      <c r="CA136" s="11">
        <v>541800.0</v>
      </c>
      <c r="CB136" s="11">
        <v>194220.0</v>
      </c>
      <c r="CC136" s="11">
        <v>192450.0</v>
      </c>
      <c r="CD136" s="11">
        <v>190400.0</v>
      </c>
      <c r="CE136" s="11">
        <v>180540.0</v>
      </c>
      <c r="CF136" s="11">
        <v>170210.0</v>
      </c>
      <c r="CG136" s="11">
        <v>33180.0</v>
      </c>
      <c r="CH136" s="11">
        <v>32750.0</v>
      </c>
      <c r="CI136" s="11">
        <v>45730.0</v>
      </c>
      <c r="CJ136" s="11">
        <v>40800.0</v>
      </c>
      <c r="CK136" s="11">
        <v>30840.0</v>
      </c>
      <c r="CL136" s="11">
        <v>800500.0</v>
      </c>
      <c r="CM136" s="11">
        <v>855460.0</v>
      </c>
      <c r="CN136" s="11">
        <v>889580.0</v>
      </c>
      <c r="CO136" s="11">
        <v>843600.0</v>
      </c>
      <c r="CP136" s="11">
        <v>777350.0</v>
      </c>
      <c r="CQ136" s="11">
        <v>57160.0</v>
      </c>
      <c r="CR136" s="11">
        <v>70610.0</v>
      </c>
      <c r="CS136" s="11">
        <v>60420.0</v>
      </c>
      <c r="CT136" s="11">
        <v>57300.0</v>
      </c>
      <c r="CU136" s="11">
        <v>48390.0</v>
      </c>
      <c r="CV136" s="11">
        <v>172770.0</v>
      </c>
      <c r="CW136" s="11">
        <v>2980.0</v>
      </c>
      <c r="CX136" s="13"/>
      <c r="CY136" s="13"/>
      <c r="CZ136" s="11">
        <v>4630.0</v>
      </c>
      <c r="DA136" s="12"/>
      <c r="DB136" s="11">
        <v>172770.0</v>
      </c>
      <c r="DC136" s="11">
        <v>189230.0</v>
      </c>
      <c r="DD136" s="11">
        <v>179150.0</v>
      </c>
      <c r="DE136" s="11">
        <v>168860.0</v>
      </c>
      <c r="DF136" s="11">
        <v>198010.0</v>
      </c>
      <c r="DG136" s="11">
        <v>270170.0</v>
      </c>
      <c r="DH136" s="11">
        <v>202810.0</v>
      </c>
      <c r="DI136" s="11">
        <v>194760.0</v>
      </c>
      <c r="DJ136" s="11">
        <v>167500.0</v>
      </c>
      <c r="DK136" s="11">
        <v>16100.0</v>
      </c>
      <c r="DL136" s="11">
        <v>14890.0</v>
      </c>
      <c r="DM136" s="11">
        <v>14550.0</v>
      </c>
      <c r="DN136" s="11">
        <v>13970.0</v>
      </c>
      <c r="DO136" s="11">
        <v>11540.0</v>
      </c>
      <c r="DP136" s="28">
        <v>2710.0</v>
      </c>
      <c r="DQ136" s="28">
        <v>59710.0</v>
      </c>
      <c r="DR136" s="28">
        <v>1580.0</v>
      </c>
      <c r="DS136" s="28">
        <v>4120.0</v>
      </c>
      <c r="DT136" s="28">
        <v>5150.0</v>
      </c>
      <c r="DU136" s="13"/>
      <c r="DV136" s="12"/>
      <c r="DW136" s="12"/>
      <c r="DX136" s="13"/>
      <c r="DY136" s="13"/>
      <c r="DZ136" s="11">
        <v>601950.0</v>
      </c>
      <c r="EA136" s="11">
        <v>584580.0</v>
      </c>
      <c r="EB136" s="11">
        <v>685670.0</v>
      </c>
      <c r="EC136" s="11">
        <v>647830.0</v>
      </c>
      <c r="ED136" s="11">
        <v>608070.0</v>
      </c>
      <c r="EE136" s="14">
        <v>0.089</v>
      </c>
      <c r="EF136" s="14">
        <v>0.155</v>
      </c>
      <c r="EG136" s="14">
        <v>0.526</v>
      </c>
      <c r="EH136" s="14">
        <v>0.048</v>
      </c>
    </row>
    <row r="137">
      <c r="A137" s="9">
        <f t="shared" si="2"/>
        <v>135</v>
      </c>
      <c r="B137" s="10" t="s">
        <v>271</v>
      </c>
      <c r="C137" s="15">
        <v>1.561E7</v>
      </c>
      <c r="D137" s="15">
        <v>1.42E7</v>
      </c>
      <c r="E137" s="15">
        <v>4.1318E8</v>
      </c>
      <c r="F137" s="15">
        <v>3.7109E8</v>
      </c>
      <c r="G137" s="15">
        <v>2.9044E8</v>
      </c>
      <c r="H137" s="15">
        <v>2.833E8</v>
      </c>
      <c r="I137" s="15">
        <v>2.5659E8</v>
      </c>
      <c r="J137" s="15">
        <v>6.028E7</v>
      </c>
      <c r="K137" s="15">
        <v>5.816E7</v>
      </c>
      <c r="L137" s="15">
        <v>5.052E7</v>
      </c>
      <c r="M137" s="15">
        <v>4.776E7</v>
      </c>
      <c r="N137" s="15">
        <v>5.147E7</v>
      </c>
      <c r="O137" s="15">
        <v>3.616E7</v>
      </c>
      <c r="P137" s="15">
        <v>3.112E7</v>
      </c>
      <c r="Q137" s="15">
        <v>2.518E7</v>
      </c>
      <c r="R137" s="15">
        <v>2.288E7</v>
      </c>
      <c r="S137" s="15">
        <v>0.0</v>
      </c>
      <c r="T137" s="15">
        <v>1.84E7</v>
      </c>
      <c r="U137" s="15">
        <v>1.496E7</v>
      </c>
      <c r="V137" s="15">
        <v>1.175E7</v>
      </c>
      <c r="W137" s="15">
        <v>1.094E7</v>
      </c>
      <c r="X137" s="15">
        <v>1.029E7</v>
      </c>
      <c r="Y137" s="15">
        <v>2.384E7</v>
      </c>
      <c r="Z137" s="15">
        <v>3.396E7</v>
      </c>
      <c r="AA137" s="15">
        <v>2.458E7</v>
      </c>
      <c r="AB137" s="15">
        <v>-258130.0</v>
      </c>
      <c r="AC137" s="15">
        <v>0.0</v>
      </c>
      <c r="AD137" s="15">
        <v>2.31E7</v>
      </c>
      <c r="AE137" s="15">
        <v>3.257E7</v>
      </c>
      <c r="AF137" s="15">
        <v>3.049E7</v>
      </c>
      <c r="AG137" s="15">
        <v>2.489E7</v>
      </c>
      <c r="AH137" s="15">
        <v>2.866E7</v>
      </c>
      <c r="AI137" s="15">
        <v>7.399E7</v>
      </c>
      <c r="AJ137" s="15">
        <v>6.934E7</v>
      </c>
      <c r="AK137" s="15">
        <v>5.442E7</v>
      </c>
      <c r="AL137" s="15">
        <v>5.44E7</v>
      </c>
      <c r="AM137" s="15">
        <v>0.0</v>
      </c>
      <c r="AN137" s="15">
        <v>1.685E7</v>
      </c>
      <c r="AO137" s="15">
        <v>2.526E7</v>
      </c>
      <c r="AP137" s="15">
        <v>2.299E7</v>
      </c>
      <c r="AQ137" s="15">
        <v>1.948E7</v>
      </c>
      <c r="AR137" s="15">
        <v>0.0</v>
      </c>
      <c r="AS137" s="15">
        <v>6.62E7</v>
      </c>
      <c r="AT137" s="15">
        <v>5.073E7</v>
      </c>
      <c r="AU137" s="15">
        <v>4.766E7</v>
      </c>
      <c r="AV137" s="15">
        <v>5.339E7</v>
      </c>
      <c r="AW137" s="15">
        <v>0.0</v>
      </c>
      <c r="AX137" s="15">
        <v>-5.873E7</v>
      </c>
      <c r="AY137" s="15">
        <v>-4.393E7</v>
      </c>
      <c r="AZ137" s="15">
        <v>-2.521E7</v>
      </c>
      <c r="BA137" s="15">
        <v>-3.077E7</v>
      </c>
      <c r="BB137" s="15">
        <v>0.0</v>
      </c>
      <c r="BC137" s="15">
        <v>-1.062E7</v>
      </c>
      <c r="BD137" s="15">
        <v>-1.061E7</v>
      </c>
      <c r="BE137" s="15">
        <v>-1.121E7</v>
      </c>
      <c r="BF137" s="15">
        <v>-1.53E7</v>
      </c>
      <c r="BG137" s="15">
        <v>-9970000.0</v>
      </c>
      <c r="BH137" s="15">
        <v>6.426E7</v>
      </c>
      <c r="BI137" s="15">
        <v>5.878E7</v>
      </c>
      <c r="BJ137" s="15">
        <v>5.139E7</v>
      </c>
      <c r="BK137" s="15">
        <v>5.912E7</v>
      </c>
      <c r="BL137" s="15">
        <v>5.822E7</v>
      </c>
      <c r="BM137" s="15">
        <v>8.669E7</v>
      </c>
      <c r="BN137" s="15">
        <v>8.53E7</v>
      </c>
      <c r="BO137" s="15">
        <v>5.651E7</v>
      </c>
      <c r="BP137" s="15">
        <v>4.537E7</v>
      </c>
      <c r="BQ137" s="15">
        <v>5.348E7</v>
      </c>
      <c r="BR137" s="15">
        <v>4.53E7</v>
      </c>
      <c r="BS137" s="15">
        <v>4.669E7</v>
      </c>
      <c r="BT137" s="15">
        <v>3.408E7</v>
      </c>
      <c r="BU137" s="15">
        <v>4.897E7</v>
      </c>
      <c r="BV137" s="15">
        <v>4.415E7</v>
      </c>
      <c r="BW137" s="15">
        <v>2.02E8</v>
      </c>
      <c r="BX137" s="15">
        <v>2.0156E8</v>
      </c>
      <c r="BY137" s="15">
        <v>1.4494E8</v>
      </c>
      <c r="BZ137" s="15">
        <v>1.5673E8</v>
      </c>
      <c r="CA137" s="15">
        <v>1.5996E8</v>
      </c>
      <c r="CB137" s="15">
        <v>2.4189E8</v>
      </c>
      <c r="CC137" s="15">
        <v>2.1459E8</v>
      </c>
      <c r="CD137" s="15">
        <v>1.3517E8</v>
      </c>
      <c r="CE137" s="15">
        <v>1.5E8</v>
      </c>
      <c r="CF137" s="15">
        <v>1.5159E8</v>
      </c>
      <c r="CG137" s="15">
        <v>4.954E7</v>
      </c>
      <c r="CH137" s="15">
        <v>4.932E7</v>
      </c>
      <c r="CI137" s="15">
        <v>9930000.0</v>
      </c>
      <c r="CJ137" s="15">
        <v>1.051E7</v>
      </c>
      <c r="CK137" s="15">
        <v>1.045E7</v>
      </c>
      <c r="CL137" s="15">
        <v>5.5665E8</v>
      </c>
      <c r="CM137" s="15">
        <v>5.3337E8</v>
      </c>
      <c r="CN137" s="15">
        <v>3.6386E8</v>
      </c>
      <c r="CO137" s="15">
        <v>3.6529E8</v>
      </c>
      <c r="CP137" s="15">
        <v>3.3398E8</v>
      </c>
      <c r="CQ137" s="15">
        <v>5.607E7</v>
      </c>
      <c r="CR137" s="15">
        <v>5.688E7</v>
      </c>
      <c r="CS137" s="15">
        <v>4.167E7</v>
      </c>
      <c r="CT137" s="15">
        <v>3.414E7</v>
      </c>
      <c r="CU137" s="15">
        <v>3.541E7</v>
      </c>
      <c r="CV137" s="15">
        <v>1.5226E8</v>
      </c>
      <c r="CW137" s="15">
        <v>3.734E7</v>
      </c>
      <c r="CX137" s="15">
        <v>4.326E7</v>
      </c>
      <c r="CY137" s="15">
        <v>1.796E7</v>
      </c>
      <c r="CZ137" s="15">
        <v>3.698E7</v>
      </c>
      <c r="DA137" s="15">
        <v>4.118E7</v>
      </c>
      <c r="DB137" s="15">
        <v>1.5226E8</v>
      </c>
      <c r="DC137" s="15">
        <v>1.563E8</v>
      </c>
      <c r="DD137" s="15">
        <v>1.0562E8</v>
      </c>
      <c r="DE137" s="15">
        <v>1.205E8</v>
      </c>
      <c r="DF137" s="15">
        <v>3.4231E8</v>
      </c>
      <c r="DG137" s="15">
        <v>3.127E8</v>
      </c>
      <c r="DH137" s="15">
        <v>1.6007E8</v>
      </c>
      <c r="DI137" s="15">
        <v>1.9708E8</v>
      </c>
      <c r="DJ137" s="15">
        <v>0.0</v>
      </c>
      <c r="DK137" s="15">
        <v>2.852E7</v>
      </c>
      <c r="DL137" s="15">
        <v>2.029E7</v>
      </c>
      <c r="DM137" s="15">
        <v>5.91E7</v>
      </c>
      <c r="DN137" s="15">
        <v>3.869E7</v>
      </c>
      <c r="DO137" s="15">
        <v>0.0</v>
      </c>
      <c r="DP137" s="15">
        <v>1.7741E8</v>
      </c>
      <c r="DQ137" s="15">
        <v>1.4411E8</v>
      </c>
      <c r="DR137" s="15">
        <v>4.434E7</v>
      </c>
      <c r="DS137" s="15">
        <v>6.645E7</v>
      </c>
      <c r="DT137" s="15">
        <v>5.537E7</v>
      </c>
      <c r="DU137" s="16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2.0097E8</v>
      </c>
      <c r="EA137" s="15">
        <v>2.0302E8</v>
      </c>
      <c r="EB137" s="15">
        <v>1.9059E8</v>
      </c>
      <c r="EC137" s="15">
        <v>1.567E8</v>
      </c>
      <c r="ED137" s="15">
        <v>1.5022E8</v>
      </c>
      <c r="EE137" s="17">
        <v>0.096</v>
      </c>
      <c r="EF137" s="17">
        <v>0.109</v>
      </c>
      <c r="EG137" s="17">
        <v>0.2</v>
      </c>
      <c r="EH137" s="17">
        <v>0.161</v>
      </c>
    </row>
    <row r="138">
      <c r="A138" s="9">
        <f t="shared" si="2"/>
        <v>136</v>
      </c>
      <c r="B138" s="10" t="s">
        <v>272</v>
      </c>
      <c r="C138" s="15">
        <v>101110.0</v>
      </c>
      <c r="D138" s="15">
        <v>69810.0</v>
      </c>
      <c r="E138" s="15">
        <v>85040.0</v>
      </c>
      <c r="F138" s="15">
        <v>100050.0</v>
      </c>
      <c r="G138" s="15">
        <v>164520.0</v>
      </c>
      <c r="H138" s="15">
        <v>120310.0</v>
      </c>
      <c r="I138" s="15">
        <v>104880.0</v>
      </c>
      <c r="J138" s="15">
        <v>33360.0</v>
      </c>
      <c r="K138" s="15">
        <v>36920.0</v>
      </c>
      <c r="L138" s="15">
        <v>51930.0</v>
      </c>
      <c r="M138" s="15">
        <v>34060.0</v>
      </c>
      <c r="N138" s="15">
        <v>27010.0</v>
      </c>
      <c r="O138" s="15">
        <v>27380.0</v>
      </c>
      <c r="P138" s="15">
        <v>28610.0</v>
      </c>
      <c r="Q138" s="15">
        <v>42140.0</v>
      </c>
      <c r="R138" s="15">
        <v>43500.0</v>
      </c>
      <c r="S138" s="15">
        <v>42240.0</v>
      </c>
      <c r="T138" s="15">
        <v>3110.0</v>
      </c>
      <c r="U138" s="15">
        <v>2870.0</v>
      </c>
      <c r="V138" s="15">
        <v>7000.0</v>
      </c>
      <c r="W138" s="15">
        <v>9540.0</v>
      </c>
      <c r="X138" s="15">
        <v>13210.0</v>
      </c>
      <c r="Y138" s="15">
        <v>4870.0</v>
      </c>
      <c r="Z138" s="15">
        <v>-2250.0</v>
      </c>
      <c r="AA138" s="15">
        <v>0.0</v>
      </c>
      <c r="AB138" s="15">
        <v>0.0</v>
      </c>
      <c r="AC138" s="15">
        <v>-19820.0</v>
      </c>
      <c r="AD138" s="15">
        <v>5770.0</v>
      </c>
      <c r="AE138" s="15">
        <v>9930.0</v>
      </c>
      <c r="AF138" s="15">
        <v>9830.0</v>
      </c>
      <c r="AG138" s="15">
        <v>-5450.0</v>
      </c>
      <c r="AH138" s="15">
        <v>-4810.0</v>
      </c>
      <c r="AI138" s="15">
        <v>7110.0</v>
      </c>
      <c r="AJ138" s="15">
        <v>9360.0</v>
      </c>
      <c r="AK138" s="15">
        <v>12290.0</v>
      </c>
      <c r="AL138" s="15">
        <v>-6470.0</v>
      </c>
      <c r="AM138" s="15">
        <v>-11880.0</v>
      </c>
      <c r="AN138" s="15">
        <v>3140.0</v>
      </c>
      <c r="AO138" s="15">
        <v>6630.0</v>
      </c>
      <c r="AP138" s="15">
        <v>9130.0</v>
      </c>
      <c r="AQ138" s="15">
        <v>-7010.0</v>
      </c>
      <c r="AR138" s="15">
        <v>-7770.0</v>
      </c>
      <c r="AS138" s="15">
        <v>0.0</v>
      </c>
      <c r="AT138" s="15">
        <v>-13770.0</v>
      </c>
      <c r="AU138" s="15">
        <v>34050.0</v>
      </c>
      <c r="AV138" s="15">
        <v>-9440.0</v>
      </c>
      <c r="AW138" s="15">
        <v>-8340.0</v>
      </c>
      <c r="AX138" s="15">
        <v>0.0</v>
      </c>
      <c r="AY138" s="15">
        <v>-1500.0</v>
      </c>
      <c r="AZ138" s="15">
        <v>-1260.0</v>
      </c>
      <c r="BA138" s="15">
        <v>0.0</v>
      </c>
      <c r="BB138" s="15">
        <v>0.0</v>
      </c>
      <c r="BC138" s="15">
        <v>0.0</v>
      </c>
      <c r="BD138" s="15">
        <v>0.0</v>
      </c>
      <c r="BE138" s="15">
        <v>0.0</v>
      </c>
      <c r="BF138" s="15">
        <v>0.0</v>
      </c>
      <c r="BG138" s="15">
        <v>0.0</v>
      </c>
      <c r="BH138" s="15">
        <v>53080.0</v>
      </c>
      <c r="BI138" s="15">
        <v>45920.0</v>
      </c>
      <c r="BJ138" s="15">
        <v>75760.0</v>
      </c>
      <c r="BK138" s="15">
        <v>28550.0</v>
      </c>
      <c r="BL138" s="15">
        <v>26490.0</v>
      </c>
      <c r="BM138" s="15">
        <v>12910.0</v>
      </c>
      <c r="BN138" s="15">
        <v>18280.0</v>
      </c>
      <c r="BO138" s="15">
        <v>36790.0</v>
      </c>
      <c r="BP138" s="15">
        <v>26540.0</v>
      </c>
      <c r="BQ138" s="15">
        <v>30060.0</v>
      </c>
      <c r="BR138" s="15">
        <v>17530.0</v>
      </c>
      <c r="BS138" s="15">
        <v>17840.0</v>
      </c>
      <c r="BT138" s="15">
        <v>42020.0</v>
      </c>
      <c r="BU138" s="15">
        <v>23220.0</v>
      </c>
      <c r="BV138" s="15">
        <v>23330.0</v>
      </c>
      <c r="BW138" s="15">
        <v>108270.0</v>
      </c>
      <c r="BX138" s="15">
        <v>130230.0</v>
      </c>
      <c r="BY138" s="15">
        <v>157110.0</v>
      </c>
      <c r="BZ138" s="15">
        <v>82920.0</v>
      </c>
      <c r="CA138" s="15">
        <v>85700.0</v>
      </c>
      <c r="CB138" s="15">
        <v>10220.0</v>
      </c>
      <c r="CC138" s="15">
        <v>10510.0</v>
      </c>
      <c r="CD138" s="15">
        <v>15790.0</v>
      </c>
      <c r="CE138" s="15">
        <v>15960.0</v>
      </c>
      <c r="CF138" s="15">
        <v>17760.0</v>
      </c>
      <c r="CG138" s="15">
        <v>6630.0</v>
      </c>
      <c r="CH138" s="15">
        <v>6630.0</v>
      </c>
      <c r="CI138" s="15">
        <v>11410.0</v>
      </c>
      <c r="CJ138" s="15">
        <v>11120.0</v>
      </c>
      <c r="CK138" s="15">
        <v>10540.0</v>
      </c>
      <c r="CL138" s="15">
        <v>126480.0</v>
      </c>
      <c r="CM138" s="15">
        <v>149410.0</v>
      </c>
      <c r="CN138" s="15">
        <v>191620.0</v>
      </c>
      <c r="CO138" s="15">
        <v>118430.0</v>
      </c>
      <c r="CP138" s="15">
        <v>125460.0</v>
      </c>
      <c r="CQ138" s="15">
        <v>4370.0</v>
      </c>
      <c r="CR138" s="15">
        <v>6870.0</v>
      </c>
      <c r="CS138" s="15">
        <v>21560.0</v>
      </c>
      <c r="CT138" s="15">
        <v>15400.0</v>
      </c>
      <c r="CU138" s="15">
        <v>15650.0</v>
      </c>
      <c r="CV138" s="15">
        <v>30650.0</v>
      </c>
      <c r="CW138" s="15">
        <v>0.0</v>
      </c>
      <c r="CX138" s="15">
        <v>0.0</v>
      </c>
      <c r="CY138" s="15">
        <v>0.0</v>
      </c>
      <c r="CZ138" s="15">
        <v>0.0</v>
      </c>
      <c r="DA138" s="15">
        <v>0.0</v>
      </c>
      <c r="DB138" s="15">
        <v>30650.0</v>
      </c>
      <c r="DC138" s="15">
        <v>47560.0</v>
      </c>
      <c r="DD138" s="15">
        <v>85970.0</v>
      </c>
      <c r="DE138" s="15">
        <v>38060.0</v>
      </c>
      <c r="DF138" s="15">
        <v>39030.0</v>
      </c>
      <c r="DG138" s="15">
        <v>56320.0</v>
      </c>
      <c r="DH138" s="15">
        <v>101140.0</v>
      </c>
      <c r="DI138" s="15">
        <v>53090.0</v>
      </c>
      <c r="DJ138" s="15">
        <v>52810.0</v>
      </c>
      <c r="DK138" s="15">
        <v>0.0</v>
      </c>
      <c r="DL138" s="15">
        <v>0.0</v>
      </c>
      <c r="DM138" s="15">
        <v>2620.0</v>
      </c>
      <c r="DN138" s="15">
        <v>3030.0</v>
      </c>
      <c r="DO138" s="15">
        <v>2730.0</v>
      </c>
      <c r="DP138" s="15">
        <v>5180.0</v>
      </c>
      <c r="DQ138" s="15">
        <v>5540.0</v>
      </c>
      <c r="DR138" s="15">
        <v>8130.0</v>
      </c>
      <c r="DS138" s="15">
        <v>9100.0</v>
      </c>
      <c r="DT138" s="15">
        <v>8450.0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87450.0</v>
      </c>
      <c r="EA138" s="15">
        <v>93090.0</v>
      </c>
      <c r="EB138" s="15">
        <v>90480.0</v>
      </c>
      <c r="EC138" s="15">
        <v>67060.0</v>
      </c>
      <c r="ED138" s="15">
        <v>72830.0</v>
      </c>
      <c r="EE138" s="31">
        <v>0.116</v>
      </c>
      <c r="EF138" s="31">
        <v>0.253</v>
      </c>
      <c r="EG138" s="31">
        <v>-2.773</v>
      </c>
      <c r="EH138" s="31">
        <v>0.849</v>
      </c>
    </row>
    <row r="139">
      <c r="A139" s="9">
        <f t="shared" si="2"/>
        <v>137</v>
      </c>
      <c r="B139" s="22" t="s">
        <v>273</v>
      </c>
      <c r="C139" s="12"/>
      <c r="D139" s="12"/>
      <c r="E139" s="11">
        <v>5630.0</v>
      </c>
      <c r="F139" s="11">
        <v>24290.0</v>
      </c>
      <c r="G139" s="11">
        <v>3710.0</v>
      </c>
      <c r="H139" s="11">
        <v>17350.0</v>
      </c>
      <c r="I139" s="11">
        <v>11950.0</v>
      </c>
      <c r="J139" s="12"/>
      <c r="K139" s="12"/>
      <c r="L139" s="12"/>
      <c r="M139" s="12"/>
      <c r="N139" s="12"/>
      <c r="O139" s="11">
        <v>50420.0</v>
      </c>
      <c r="P139" s="11">
        <v>45400.0</v>
      </c>
      <c r="Q139" s="11">
        <v>31610.0</v>
      </c>
      <c r="R139" s="11">
        <v>32670.0</v>
      </c>
      <c r="S139" s="11">
        <v>28850.0</v>
      </c>
      <c r="T139" s="11">
        <v>39050.0</v>
      </c>
      <c r="U139" s="11">
        <v>34960.0</v>
      </c>
      <c r="V139" s="11">
        <v>23140.0</v>
      </c>
      <c r="W139" s="11">
        <v>24840.0</v>
      </c>
      <c r="X139" s="11">
        <v>21320.0</v>
      </c>
      <c r="Y139" s="12"/>
      <c r="Z139" s="11">
        <v>-25050.0</v>
      </c>
      <c r="AA139" s="11">
        <v>-32560.0</v>
      </c>
      <c r="AB139" s="11">
        <v>-15580.0</v>
      </c>
      <c r="AC139" s="11">
        <v>-16400.0</v>
      </c>
      <c r="AD139" s="11">
        <v>-44580.0</v>
      </c>
      <c r="AE139" s="11">
        <v>-24280.0</v>
      </c>
      <c r="AF139" s="11">
        <v>-32240.0</v>
      </c>
      <c r="AG139" s="11">
        <v>-15370.0</v>
      </c>
      <c r="AH139" s="11">
        <v>-16460.0</v>
      </c>
      <c r="AI139" s="11">
        <v>-44790.0</v>
      </c>
      <c r="AJ139" s="11">
        <v>-21110.0</v>
      </c>
      <c r="AK139" s="11">
        <v>-27900.0</v>
      </c>
      <c r="AL139" s="11">
        <v>-15330.0</v>
      </c>
      <c r="AM139" s="11">
        <v>-16900.0</v>
      </c>
      <c r="AN139" s="11">
        <v>-44580.0</v>
      </c>
      <c r="AO139" s="11">
        <v>-24280.0</v>
      </c>
      <c r="AP139" s="11">
        <v>-32240.0</v>
      </c>
      <c r="AQ139" s="11">
        <v>-15340.0</v>
      </c>
      <c r="AR139" s="11">
        <v>-16420.0</v>
      </c>
      <c r="AS139" s="11">
        <v>-35330.0</v>
      </c>
      <c r="AT139" s="11">
        <v>-13350.0</v>
      </c>
      <c r="AU139" s="11">
        <v>-24020.0</v>
      </c>
      <c r="AV139" s="11">
        <v>-10930.0</v>
      </c>
      <c r="AW139" s="11">
        <v>-13760.0</v>
      </c>
      <c r="AX139" s="11">
        <v>-579.0</v>
      </c>
      <c r="AY139" s="11">
        <v>-1530.0</v>
      </c>
      <c r="AZ139" s="11">
        <v>-285.0</v>
      </c>
      <c r="BA139" s="11">
        <v>-1710.0</v>
      </c>
      <c r="BB139" s="11">
        <v>-132.0</v>
      </c>
      <c r="BC139" s="12"/>
      <c r="BD139" s="12"/>
      <c r="BE139" s="12"/>
      <c r="BF139" s="12"/>
      <c r="BG139" s="12"/>
      <c r="BH139" s="11">
        <v>35040.0</v>
      </c>
      <c r="BI139" s="11">
        <v>51060.0</v>
      </c>
      <c r="BJ139" s="11">
        <v>29320.0</v>
      </c>
      <c r="BK139" s="11">
        <v>14750.0</v>
      </c>
      <c r="BL139" s="11">
        <v>23030.0</v>
      </c>
      <c r="BM139" s="11">
        <v>962.0</v>
      </c>
      <c r="BN139" s="11">
        <v>4990.0</v>
      </c>
      <c r="BO139" s="11">
        <v>739.0</v>
      </c>
      <c r="BP139" s="11">
        <v>598.0</v>
      </c>
      <c r="BQ139" s="11">
        <v>361.0</v>
      </c>
      <c r="BR139" s="12"/>
      <c r="BS139" s="12"/>
      <c r="BT139" s="12"/>
      <c r="BU139" s="12"/>
      <c r="BV139" s="12"/>
      <c r="BW139" s="11">
        <v>37170.0</v>
      </c>
      <c r="BX139" s="11">
        <v>57840.0</v>
      </c>
      <c r="BY139" s="11">
        <v>31190.0</v>
      </c>
      <c r="BZ139" s="11">
        <v>16280.0</v>
      </c>
      <c r="CA139" s="11">
        <v>23820.0</v>
      </c>
      <c r="CB139" s="11">
        <v>3580.0</v>
      </c>
      <c r="CC139" s="11">
        <v>3000.0</v>
      </c>
      <c r="CD139" s="11">
        <v>2210.0</v>
      </c>
      <c r="CE139" s="11">
        <v>2610.0</v>
      </c>
      <c r="CF139" s="11">
        <v>1140.0</v>
      </c>
      <c r="CG139" s="12"/>
      <c r="CH139" s="12"/>
      <c r="CI139" s="12"/>
      <c r="CJ139" s="12"/>
      <c r="CK139" s="12"/>
      <c r="CL139" s="11">
        <v>41670.0</v>
      </c>
      <c r="CM139" s="11">
        <v>61730.0</v>
      </c>
      <c r="CN139" s="11">
        <v>33590.0</v>
      </c>
      <c r="CO139" s="11">
        <v>19060.0</v>
      </c>
      <c r="CP139" s="11">
        <v>25130.0</v>
      </c>
      <c r="CQ139" s="11">
        <v>10120.0</v>
      </c>
      <c r="CR139" s="11">
        <v>9160.0</v>
      </c>
      <c r="CS139" s="11">
        <v>4470.0</v>
      </c>
      <c r="CT139" s="11">
        <v>4760.0</v>
      </c>
      <c r="CU139" s="11">
        <v>2700.0</v>
      </c>
      <c r="CV139" s="11">
        <v>12840.0</v>
      </c>
      <c r="CW139" s="12"/>
      <c r="CX139" s="12"/>
      <c r="CY139" s="12"/>
      <c r="CZ139" s="12"/>
      <c r="DA139" s="12"/>
      <c r="DB139" s="11">
        <v>12840.0</v>
      </c>
      <c r="DC139" s="11">
        <v>15480.0</v>
      </c>
      <c r="DD139" s="11">
        <v>10080.0</v>
      </c>
      <c r="DE139" s="11">
        <v>6880.0</v>
      </c>
      <c r="DF139" s="11">
        <v>18400.0</v>
      </c>
      <c r="DG139" s="11">
        <v>18610.0</v>
      </c>
      <c r="DH139" s="11">
        <v>10220.0</v>
      </c>
      <c r="DI139" s="11">
        <v>7880.0</v>
      </c>
      <c r="DJ139" s="11">
        <v>5410.0</v>
      </c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3"/>
      <c r="DV139" s="12"/>
      <c r="DW139" s="12"/>
      <c r="DX139" s="13"/>
      <c r="DY139" s="13"/>
      <c r="DZ139" s="11">
        <v>23270.0</v>
      </c>
      <c r="EA139" s="11">
        <v>43120.0</v>
      </c>
      <c r="EB139" s="11">
        <v>23380.0</v>
      </c>
      <c r="EC139" s="11">
        <v>11180.0</v>
      </c>
      <c r="ED139" s="11">
        <v>19720.0</v>
      </c>
      <c r="EE139" s="23"/>
      <c r="EF139" s="23"/>
      <c r="EG139" s="14">
        <v>-0.25</v>
      </c>
      <c r="EH139" s="14">
        <v>-0.035</v>
      </c>
    </row>
    <row r="140">
      <c r="A140" s="9">
        <f t="shared" si="2"/>
        <v>138</v>
      </c>
      <c r="B140" s="10" t="s">
        <v>274</v>
      </c>
      <c r="C140" s="15">
        <v>3510000.0</v>
      </c>
      <c r="D140" s="15">
        <v>3200000.0</v>
      </c>
      <c r="E140" s="15">
        <v>4120000.0</v>
      </c>
      <c r="F140" s="15">
        <v>4050000.0</v>
      </c>
      <c r="G140" s="15">
        <v>3530000.0</v>
      </c>
      <c r="H140" s="15">
        <v>3130000.0</v>
      </c>
      <c r="I140" s="15">
        <v>3720000.0</v>
      </c>
      <c r="J140" s="15">
        <v>634200.0</v>
      </c>
      <c r="K140" s="15">
        <v>618000.0</v>
      </c>
      <c r="L140" s="15">
        <v>490000.0</v>
      </c>
      <c r="M140" s="15">
        <v>154300.0</v>
      </c>
      <c r="N140" s="15">
        <v>38300.0</v>
      </c>
      <c r="O140" s="15">
        <v>267200.0</v>
      </c>
      <c r="P140" s="15">
        <v>268200.0</v>
      </c>
      <c r="Q140" s="15">
        <v>248000.0</v>
      </c>
      <c r="R140" s="15">
        <v>247700.0</v>
      </c>
      <c r="S140" s="15">
        <v>219000.0</v>
      </c>
      <c r="T140" s="15">
        <v>17800.0</v>
      </c>
      <c r="U140" s="15">
        <v>22700.0</v>
      </c>
      <c r="V140" s="15">
        <v>14700.0</v>
      </c>
      <c r="W140" s="15">
        <v>16900.0</v>
      </c>
      <c r="X140" s="15">
        <v>15700.0</v>
      </c>
      <c r="Y140" s="15">
        <v>329600.0</v>
      </c>
      <c r="Z140" s="15">
        <v>350100.0</v>
      </c>
      <c r="AA140" s="15">
        <v>-152200.0</v>
      </c>
      <c r="AB140" s="15">
        <v>-620800.0</v>
      </c>
      <c r="AC140" s="15">
        <v>-387500.0</v>
      </c>
      <c r="AD140" s="15">
        <v>241600.0</v>
      </c>
      <c r="AE140" s="15">
        <v>247700.0</v>
      </c>
      <c r="AF140" s="15">
        <v>-86500.0</v>
      </c>
      <c r="AG140" s="15">
        <v>-734000.0</v>
      </c>
      <c r="AH140" s="15">
        <v>-478000.0</v>
      </c>
      <c r="AI140" s="15">
        <v>527600.0</v>
      </c>
      <c r="AJ140" s="15">
        <v>516200.0</v>
      </c>
      <c r="AK140" s="15">
        <v>412800.0</v>
      </c>
      <c r="AL140" s="15">
        <v>86900.0</v>
      </c>
      <c r="AM140" s="15">
        <v>19200.0</v>
      </c>
      <c r="AN140" s="15">
        <v>257600.0</v>
      </c>
      <c r="AO140" s="15">
        <v>222400.0</v>
      </c>
      <c r="AP140" s="15">
        <v>-91900.0</v>
      </c>
      <c r="AQ140" s="15">
        <v>-640900.0</v>
      </c>
      <c r="AR140" s="15">
        <v>-378200.0</v>
      </c>
      <c r="AS140" s="15">
        <v>230100.0</v>
      </c>
      <c r="AT140" s="15">
        <v>392800.0</v>
      </c>
      <c r="AU140" s="15">
        <v>22400.0</v>
      </c>
      <c r="AV140" s="15">
        <v>-43700.0</v>
      </c>
      <c r="AW140" s="15">
        <v>131400.0</v>
      </c>
      <c r="AX140" s="15">
        <v>-168200.0</v>
      </c>
      <c r="AY140" s="15">
        <v>-139200.0</v>
      </c>
      <c r="AZ140" s="15">
        <v>-122700.0</v>
      </c>
      <c r="BA140" s="15">
        <v>-202200.0</v>
      </c>
      <c r="BB140" s="15">
        <v>-144600.0</v>
      </c>
      <c r="BC140" s="15">
        <v>0.0</v>
      </c>
      <c r="BD140" s="15">
        <v>0.0</v>
      </c>
      <c r="BE140" s="15">
        <v>0.0</v>
      </c>
      <c r="BF140" s="15">
        <v>-25800.0</v>
      </c>
      <c r="BG140" s="15">
        <v>-66500.0</v>
      </c>
      <c r="BH140" s="15">
        <v>490800.0</v>
      </c>
      <c r="BI140" s="15">
        <v>382000.0</v>
      </c>
      <c r="BJ140" s="15">
        <v>141600.0</v>
      </c>
      <c r="BK140" s="15">
        <v>229600.0</v>
      </c>
      <c r="BL140" s="15">
        <v>149800.0</v>
      </c>
      <c r="BM140" s="15">
        <v>592600.0</v>
      </c>
      <c r="BN140" s="15">
        <v>579000.0</v>
      </c>
      <c r="BO140" s="15">
        <v>545300.0</v>
      </c>
      <c r="BP140" s="15">
        <v>452100.0</v>
      </c>
      <c r="BQ140" s="15">
        <v>400300.0</v>
      </c>
      <c r="BR140" s="15">
        <v>1160000.0</v>
      </c>
      <c r="BS140" s="15">
        <v>1210000.0</v>
      </c>
      <c r="BT140" s="15">
        <v>1180000.0</v>
      </c>
      <c r="BU140" s="15">
        <v>1040000.0</v>
      </c>
      <c r="BV140" s="15">
        <v>1270000.0</v>
      </c>
      <c r="BW140" s="15">
        <v>2300000.0</v>
      </c>
      <c r="BX140" s="15">
        <v>2250000.0</v>
      </c>
      <c r="BY140" s="15">
        <v>1920000.0</v>
      </c>
      <c r="BZ140" s="15">
        <v>1770000.0</v>
      </c>
      <c r="CA140" s="15">
        <v>1870000.0</v>
      </c>
      <c r="CB140" s="15">
        <v>2450000.0</v>
      </c>
      <c r="CC140" s="15">
        <v>2480000.0</v>
      </c>
      <c r="CD140" s="15">
        <v>2500000.0</v>
      </c>
      <c r="CE140" s="15">
        <v>2500000.0</v>
      </c>
      <c r="CF140" s="15">
        <v>2930000.0</v>
      </c>
      <c r="CG140" s="15">
        <v>525800.0</v>
      </c>
      <c r="CH140" s="15">
        <v>534700.0</v>
      </c>
      <c r="CI140" s="15">
        <v>531400.0</v>
      </c>
      <c r="CJ140" s="15">
        <v>641900.0</v>
      </c>
      <c r="CK140" s="15">
        <v>651400.0</v>
      </c>
      <c r="CL140" s="15">
        <v>5630000.0</v>
      </c>
      <c r="CM140" s="15">
        <v>5500000.0</v>
      </c>
      <c r="CN140" s="15">
        <v>5190000.0</v>
      </c>
      <c r="CO140" s="15">
        <v>5170000.0</v>
      </c>
      <c r="CP140" s="15">
        <v>6470000.0</v>
      </c>
      <c r="CQ140" s="15">
        <v>521200.0</v>
      </c>
      <c r="CR140" s="15">
        <v>498800.0</v>
      </c>
      <c r="CS140" s="15">
        <v>420100.0</v>
      </c>
      <c r="CT140" s="15">
        <v>294300.0</v>
      </c>
      <c r="CU140" s="15">
        <v>380800.0</v>
      </c>
      <c r="CV140" s="15">
        <v>849200.0</v>
      </c>
      <c r="CW140" s="15">
        <v>31500.0</v>
      </c>
      <c r="CX140" s="15">
        <v>6600.0</v>
      </c>
      <c r="CY140" s="15">
        <v>10100.0</v>
      </c>
      <c r="CZ140" s="15">
        <v>105100.0</v>
      </c>
      <c r="DA140" s="15">
        <v>3900.0</v>
      </c>
      <c r="DB140" s="15">
        <v>849200.0</v>
      </c>
      <c r="DC140" s="15">
        <v>836900.0</v>
      </c>
      <c r="DD140" s="15">
        <v>712600.0</v>
      </c>
      <c r="DE140" s="15">
        <v>708700.0</v>
      </c>
      <c r="DF140" s="15">
        <v>3440000.0</v>
      </c>
      <c r="DG140" s="15">
        <v>3510000.0</v>
      </c>
      <c r="DH140" s="15">
        <v>3340000.0</v>
      </c>
      <c r="DI140" s="15">
        <v>3730000.0</v>
      </c>
      <c r="DJ140" s="15">
        <v>4280000.0</v>
      </c>
      <c r="DK140" s="15">
        <v>1200.0</v>
      </c>
      <c r="DL140" s="15">
        <v>1000.0</v>
      </c>
      <c r="DM140" s="15">
        <v>5800.0</v>
      </c>
      <c r="DN140" s="15">
        <v>0.0</v>
      </c>
      <c r="DO140" s="15">
        <v>0.0</v>
      </c>
      <c r="DP140" s="15">
        <v>1470000.0</v>
      </c>
      <c r="DQ140" s="15">
        <v>1540000.0</v>
      </c>
      <c r="DR140" s="15">
        <v>1530000.0</v>
      </c>
      <c r="DS140" s="15">
        <v>1770000.0</v>
      </c>
      <c r="DT140" s="15">
        <v>1490000.0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2090000.0</v>
      </c>
      <c r="EA140" s="15">
        <v>1890000.0</v>
      </c>
      <c r="EB140" s="15">
        <v>1740000.0</v>
      </c>
      <c r="EC140" s="15">
        <v>1360000.0</v>
      </c>
      <c r="ED140" s="15">
        <v>2080000.0</v>
      </c>
      <c r="EE140" s="17">
        <v>0.181</v>
      </c>
      <c r="EF140" s="17">
        <v>0.293</v>
      </c>
      <c r="EG140" s="17">
        <v>1.0</v>
      </c>
      <c r="EH140" s="17">
        <v>0.333</v>
      </c>
    </row>
    <row r="141">
      <c r="A141" s="9">
        <f t="shared" si="2"/>
        <v>139</v>
      </c>
      <c r="B141" s="22" t="s">
        <v>275</v>
      </c>
      <c r="C141" s="11">
        <v>178320.0</v>
      </c>
      <c r="D141" s="11">
        <v>131780.0</v>
      </c>
      <c r="E141" s="11">
        <v>101230.0</v>
      </c>
      <c r="F141" s="11">
        <v>89100.0</v>
      </c>
      <c r="G141" s="11">
        <v>38040.0</v>
      </c>
      <c r="H141" s="11">
        <v>20550.0</v>
      </c>
      <c r="I141" s="11">
        <v>13940.0</v>
      </c>
      <c r="J141" s="11">
        <v>31610.0</v>
      </c>
      <c r="K141" s="11">
        <v>42100.0</v>
      </c>
      <c r="L141" s="11">
        <v>12920.0</v>
      </c>
      <c r="M141" s="11">
        <v>1010.0</v>
      </c>
      <c r="N141" s="11">
        <v>1630.0</v>
      </c>
      <c r="O141" s="11">
        <v>150940.0</v>
      </c>
      <c r="P141" s="11">
        <v>144110.0</v>
      </c>
      <c r="Q141" s="11">
        <v>122810.0</v>
      </c>
      <c r="R141" s="11">
        <v>85490.0</v>
      </c>
      <c r="S141" s="11">
        <v>50210.0</v>
      </c>
      <c r="T141" s="11">
        <v>84190.0</v>
      </c>
      <c r="U141" s="11">
        <v>95110.0</v>
      </c>
      <c r="V141" s="11">
        <v>76700.0</v>
      </c>
      <c r="W141" s="11">
        <v>60380.0</v>
      </c>
      <c r="X141" s="11">
        <v>24460.0</v>
      </c>
      <c r="Y141" s="11">
        <v>-119530.0</v>
      </c>
      <c r="Z141" s="11">
        <v>-126820.0</v>
      </c>
      <c r="AA141" s="11">
        <v>-125400.0</v>
      </c>
      <c r="AB141" s="11">
        <v>-85640.0</v>
      </c>
      <c r="AC141" s="11">
        <v>-50710.0</v>
      </c>
      <c r="AD141" s="11">
        <v>-124610.0</v>
      </c>
      <c r="AE141" s="11">
        <v>-128610.0</v>
      </c>
      <c r="AF141" s="11">
        <v>-131310.0</v>
      </c>
      <c r="AG141" s="11">
        <v>-88170.0</v>
      </c>
      <c r="AH141" s="11">
        <v>-50710.0</v>
      </c>
      <c r="AI141" s="11">
        <v>-115520.0</v>
      </c>
      <c r="AJ141" s="11">
        <v>-98750.0</v>
      </c>
      <c r="AK141" s="11">
        <v>-106220.0</v>
      </c>
      <c r="AL141" s="11">
        <v>-82630.0</v>
      </c>
      <c r="AM141" s="11">
        <v>-48530.0</v>
      </c>
      <c r="AN141" s="11">
        <v>-123750.0</v>
      </c>
      <c r="AO141" s="11">
        <v>-117440.0</v>
      </c>
      <c r="AP141" s="11">
        <v>-131170.0</v>
      </c>
      <c r="AQ141" s="11">
        <v>-87720.0</v>
      </c>
      <c r="AR141" s="11">
        <v>-50600.0</v>
      </c>
      <c r="AS141" s="11">
        <v>-97460.0</v>
      </c>
      <c r="AT141" s="11">
        <v>-109390.0</v>
      </c>
      <c r="AU141" s="11">
        <v>-81510.0</v>
      </c>
      <c r="AV141" s="11">
        <v>-47870.0</v>
      </c>
      <c r="AW141" s="11">
        <v>-33760.0</v>
      </c>
      <c r="AX141" s="11">
        <v>-17750.0</v>
      </c>
      <c r="AY141" s="11">
        <v>-3430.0</v>
      </c>
      <c r="AZ141" s="11">
        <v>-6990.0</v>
      </c>
      <c r="BA141" s="11">
        <v>-4190.0</v>
      </c>
      <c r="BB141" s="11">
        <v>-3360.0</v>
      </c>
      <c r="BC141" s="12"/>
      <c r="BD141" s="12"/>
      <c r="BE141" s="12"/>
      <c r="BF141" s="12"/>
      <c r="BG141" s="12"/>
      <c r="BH141" s="11">
        <v>160810.0</v>
      </c>
      <c r="BI141" s="11">
        <v>107420.0</v>
      </c>
      <c r="BJ141" s="11">
        <v>51040.0</v>
      </c>
      <c r="BK141" s="11">
        <v>41750.0</v>
      </c>
      <c r="BL141" s="11">
        <v>55770.0</v>
      </c>
      <c r="BM141" s="11">
        <v>31490.0</v>
      </c>
      <c r="BN141" s="11">
        <v>12950.0</v>
      </c>
      <c r="BO141" s="11">
        <v>8470.0</v>
      </c>
      <c r="BP141" s="11">
        <v>2780.0</v>
      </c>
      <c r="BQ141" s="11">
        <v>3830.0</v>
      </c>
      <c r="BR141" s="11">
        <v>32630.0</v>
      </c>
      <c r="BS141" s="11">
        <v>28790.0</v>
      </c>
      <c r="BT141" s="11">
        <v>16560.0</v>
      </c>
      <c r="BU141" s="11">
        <v>4240.0</v>
      </c>
      <c r="BV141" s="11">
        <v>3260.0</v>
      </c>
      <c r="BW141" s="11">
        <v>230930.0</v>
      </c>
      <c r="BX141" s="11">
        <v>170820.0</v>
      </c>
      <c r="BY141" s="11">
        <v>83760.0</v>
      </c>
      <c r="BZ141" s="11">
        <v>51920.0</v>
      </c>
      <c r="CA141" s="11">
        <v>65190.0</v>
      </c>
      <c r="CB141" s="11">
        <v>31970.0</v>
      </c>
      <c r="CC141" s="11">
        <v>11450.0</v>
      </c>
      <c r="CD141" s="11">
        <v>9650.0</v>
      </c>
      <c r="CE141" s="11">
        <v>5810.0</v>
      </c>
      <c r="CF141" s="11">
        <v>6290.0</v>
      </c>
      <c r="CG141" s="11">
        <v>38510.0</v>
      </c>
      <c r="CH141" s="11">
        <v>37500.0</v>
      </c>
      <c r="CI141" s="11">
        <v>37800.0</v>
      </c>
      <c r="CJ141" s="11">
        <v>37550.0</v>
      </c>
      <c r="CK141" s="11">
        <v>38000.0</v>
      </c>
      <c r="CL141" s="11">
        <v>310790.0</v>
      </c>
      <c r="CM141" s="11">
        <v>232020.0</v>
      </c>
      <c r="CN141" s="11">
        <v>141420.0</v>
      </c>
      <c r="CO141" s="11">
        <v>105890.0</v>
      </c>
      <c r="CP141" s="11">
        <v>120430.0</v>
      </c>
      <c r="CQ141" s="11">
        <v>23330.0</v>
      </c>
      <c r="CR141" s="11">
        <v>13000.0</v>
      </c>
      <c r="CS141" s="11">
        <v>16660.0</v>
      </c>
      <c r="CT141" s="11">
        <v>7170.0</v>
      </c>
      <c r="CU141" s="11">
        <v>6270.0</v>
      </c>
      <c r="CV141" s="11">
        <v>71530.0</v>
      </c>
      <c r="CW141" s="11">
        <v>3010.0</v>
      </c>
      <c r="CX141" s="12"/>
      <c r="CY141" s="12"/>
      <c r="CZ141" s="12"/>
      <c r="DA141" s="12"/>
      <c r="DB141" s="11">
        <v>71530.0</v>
      </c>
      <c r="DC141" s="11">
        <v>51680.0</v>
      </c>
      <c r="DD141" s="11">
        <v>45140.0</v>
      </c>
      <c r="DE141" s="11">
        <v>28020.0</v>
      </c>
      <c r="DF141" s="11">
        <v>134940.0</v>
      </c>
      <c r="DG141" s="11">
        <v>103250.0</v>
      </c>
      <c r="DH141" s="11">
        <v>50700.0</v>
      </c>
      <c r="DI141" s="11">
        <v>71220.0</v>
      </c>
      <c r="DJ141" s="11">
        <v>22390.0</v>
      </c>
      <c r="DK141" s="12"/>
      <c r="DL141" s="12"/>
      <c r="DM141" s="11">
        <v>328.0</v>
      </c>
      <c r="DN141" s="11">
        <v>340.0</v>
      </c>
      <c r="DO141" s="11">
        <v>2360.0</v>
      </c>
      <c r="DP141" s="11">
        <v>59990.0</v>
      </c>
      <c r="DQ141" s="11">
        <v>45800.0</v>
      </c>
      <c r="DR141" s="11">
        <v>475.0</v>
      </c>
      <c r="DS141" s="11">
        <v>39920.0</v>
      </c>
      <c r="DT141" s="11">
        <v>2360.0</v>
      </c>
      <c r="DU141" s="12"/>
      <c r="DV141" s="12"/>
      <c r="DW141" s="12"/>
      <c r="DX141" s="12"/>
      <c r="DY141" s="13"/>
      <c r="DZ141" s="11">
        <v>188230.0</v>
      </c>
      <c r="EA141" s="11">
        <v>139360.0</v>
      </c>
      <c r="EB141" s="11">
        <v>90040.0</v>
      </c>
      <c r="EC141" s="11">
        <v>33810.0</v>
      </c>
      <c r="ED141" s="11">
        <v>97560.0</v>
      </c>
      <c r="EE141" s="14">
        <v>0.452</v>
      </c>
      <c r="EF141" s="14">
        <v>1.107</v>
      </c>
      <c r="EG141" s="14">
        <v>-0.389</v>
      </c>
      <c r="EH141" s="14">
        <v>-0.176</v>
      </c>
    </row>
    <row r="142">
      <c r="A142" s="9">
        <f t="shared" si="2"/>
        <v>140</v>
      </c>
      <c r="B142" s="10" t="s">
        <v>276</v>
      </c>
      <c r="C142" s="15">
        <v>5450.0</v>
      </c>
      <c r="D142" s="15">
        <v>0.0</v>
      </c>
      <c r="E142" s="15">
        <v>0.0</v>
      </c>
      <c r="F142" s="15">
        <v>0.0</v>
      </c>
      <c r="G142" s="15">
        <v>0.0</v>
      </c>
      <c r="H142" s="15">
        <v>0.0</v>
      </c>
      <c r="I142" s="15">
        <v>0.0</v>
      </c>
      <c r="J142" s="15">
        <v>0.0</v>
      </c>
      <c r="K142" s="15">
        <v>0.0</v>
      </c>
      <c r="L142" s="15">
        <v>0.0</v>
      </c>
      <c r="M142" s="15">
        <v>0.0</v>
      </c>
      <c r="N142" s="15">
        <v>0.0</v>
      </c>
      <c r="O142" s="15">
        <v>13910.0</v>
      </c>
      <c r="P142" s="15">
        <v>13230.0</v>
      </c>
      <c r="Q142" s="15">
        <v>13280.0</v>
      </c>
      <c r="R142" s="15">
        <v>9980.0</v>
      </c>
      <c r="S142" s="15">
        <v>5490.0</v>
      </c>
      <c r="T142" s="15">
        <v>7750.0</v>
      </c>
      <c r="U142" s="15">
        <v>7320.0</v>
      </c>
      <c r="V142" s="15">
        <v>5830.0</v>
      </c>
      <c r="W142" s="15">
        <v>3990.0</v>
      </c>
      <c r="X142" s="15">
        <v>2020.0</v>
      </c>
      <c r="Y142" s="15">
        <v>0.0</v>
      </c>
      <c r="Z142" s="15">
        <v>0.0</v>
      </c>
      <c r="AA142" s="15">
        <v>0.0</v>
      </c>
      <c r="AB142" s="15">
        <v>0.0</v>
      </c>
      <c r="AC142" s="15">
        <v>0.0</v>
      </c>
      <c r="AD142" s="15">
        <v>-13300.0</v>
      </c>
      <c r="AE142" s="15">
        <v>-12900.0</v>
      </c>
      <c r="AF142" s="15">
        <v>-13070.0</v>
      </c>
      <c r="AG142" s="15">
        <v>-12610.0</v>
      </c>
      <c r="AH142" s="15">
        <v>-9510.0</v>
      </c>
      <c r="AI142" s="15">
        <v>-13450.0</v>
      </c>
      <c r="AJ142" s="15">
        <v>-13100.0</v>
      </c>
      <c r="AK142" s="15">
        <v>-13190.0</v>
      </c>
      <c r="AL142" s="15">
        <v>-9980.0</v>
      </c>
      <c r="AM142" s="15">
        <v>-5490.0</v>
      </c>
      <c r="AN142" s="15">
        <v>-13300.0</v>
      </c>
      <c r="AO142" s="15">
        <v>-12900.0</v>
      </c>
      <c r="AP142" s="15">
        <v>-13070.0</v>
      </c>
      <c r="AQ142" s="15">
        <v>-12610.0</v>
      </c>
      <c r="AR142" s="15">
        <v>-9510.0</v>
      </c>
      <c r="AS142" s="15">
        <v>-10410.0</v>
      </c>
      <c r="AT142" s="15">
        <v>-9770.0</v>
      </c>
      <c r="AU142" s="15">
        <v>-9290.0</v>
      </c>
      <c r="AV142" s="15">
        <v>-6800.0</v>
      </c>
      <c r="AW142" s="15">
        <v>-4390.0</v>
      </c>
      <c r="AX142" s="15">
        <v>0.0</v>
      </c>
      <c r="AY142" s="15">
        <v>0.0</v>
      </c>
      <c r="AZ142" s="15">
        <v>0.0</v>
      </c>
      <c r="BA142" s="15">
        <v>0.0</v>
      </c>
      <c r="BB142" s="15">
        <v>0.0</v>
      </c>
      <c r="BC142" s="15">
        <v>0.0</v>
      </c>
      <c r="BD142" s="15">
        <v>0.0</v>
      </c>
      <c r="BE142" s="15">
        <v>0.0</v>
      </c>
      <c r="BF142" s="15">
        <v>0.0</v>
      </c>
      <c r="BG142" s="15">
        <v>0.0</v>
      </c>
      <c r="BH142" s="15">
        <v>14870.0</v>
      </c>
      <c r="BI142" s="15">
        <v>18930.0</v>
      </c>
      <c r="BJ142" s="15">
        <v>17370.0</v>
      </c>
      <c r="BK142" s="15">
        <v>26720.0</v>
      </c>
      <c r="BL142" s="15">
        <v>3210.0</v>
      </c>
      <c r="BM142" s="15">
        <v>0.0</v>
      </c>
      <c r="BN142" s="15">
        <v>0.0</v>
      </c>
      <c r="BO142" s="15">
        <v>0.0</v>
      </c>
      <c r="BP142" s="15">
        <v>0.0</v>
      </c>
      <c r="BQ142" s="15">
        <v>0.0</v>
      </c>
      <c r="BR142" s="15">
        <v>0.0</v>
      </c>
      <c r="BS142" s="15">
        <v>0.0</v>
      </c>
      <c r="BT142" s="15">
        <v>0.0</v>
      </c>
      <c r="BU142" s="15">
        <v>0.0</v>
      </c>
      <c r="BV142" s="15">
        <v>0.0</v>
      </c>
      <c r="BW142" s="15">
        <v>15000.0</v>
      </c>
      <c r="BX142" s="15">
        <v>19290.0</v>
      </c>
      <c r="BY142" s="15">
        <v>17730.0</v>
      </c>
      <c r="BZ142" s="15">
        <v>26810.0</v>
      </c>
      <c r="CA142" s="15">
        <v>3260.0</v>
      </c>
      <c r="CB142" s="15">
        <v>0.0</v>
      </c>
      <c r="CC142" s="15">
        <v>0.0</v>
      </c>
      <c r="CD142" s="15">
        <v>0.0</v>
      </c>
      <c r="CE142" s="15">
        <v>0.0</v>
      </c>
      <c r="CF142" s="15">
        <v>0.0</v>
      </c>
      <c r="CG142" s="15">
        <v>0.0</v>
      </c>
      <c r="CH142" s="15">
        <v>0.0</v>
      </c>
      <c r="CI142" s="15">
        <v>0.0</v>
      </c>
      <c r="CJ142" s="15">
        <v>0.0</v>
      </c>
      <c r="CK142" s="15">
        <v>0.0</v>
      </c>
      <c r="CL142" s="15">
        <v>15240.0</v>
      </c>
      <c r="CM142" s="15">
        <v>19360.0</v>
      </c>
      <c r="CN142" s="15">
        <v>17810.0</v>
      </c>
      <c r="CO142" s="15">
        <v>26880.0</v>
      </c>
      <c r="CP142" s="15">
        <v>3420.0</v>
      </c>
      <c r="CQ142" s="15">
        <v>0.0</v>
      </c>
      <c r="CR142" s="15">
        <v>0.0</v>
      </c>
      <c r="CS142" s="15">
        <v>0.0</v>
      </c>
      <c r="CT142" s="15">
        <v>0.0</v>
      </c>
      <c r="CU142" s="15">
        <v>0.0</v>
      </c>
      <c r="CV142" s="15">
        <v>1470.0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14430.0</v>
      </c>
      <c r="DB142" s="15">
        <v>1470.0</v>
      </c>
      <c r="DC142" s="15">
        <v>1610.0</v>
      </c>
      <c r="DD142" s="15">
        <v>0.0</v>
      </c>
      <c r="DE142" s="15">
        <v>1030.0</v>
      </c>
      <c r="DF142" s="15">
        <v>1470.0</v>
      </c>
      <c r="DG142" s="15">
        <v>1610.0</v>
      </c>
      <c r="DH142" s="15">
        <v>0.0</v>
      </c>
      <c r="DI142" s="15">
        <v>1030.0</v>
      </c>
      <c r="DJ142" s="15">
        <v>16540.0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0.0</v>
      </c>
      <c r="DR142" s="15">
        <v>0.0</v>
      </c>
      <c r="DS142" s="15">
        <v>0.0</v>
      </c>
      <c r="DT142" s="15">
        <v>0.0</v>
      </c>
      <c r="DU142" s="15">
        <v>0.0</v>
      </c>
      <c r="DV142" s="15">
        <v>0.0</v>
      </c>
      <c r="DW142" s="15">
        <v>0.0</v>
      </c>
      <c r="DX142" s="15">
        <v>0.0</v>
      </c>
      <c r="DY142" s="15">
        <v>0.0</v>
      </c>
      <c r="DZ142" s="15">
        <v>13770.0</v>
      </c>
      <c r="EA142" s="15">
        <v>17750.0</v>
      </c>
      <c r="EB142" s="15">
        <v>16860.0</v>
      </c>
      <c r="EC142" s="15">
        <v>25850.0</v>
      </c>
      <c r="ED142" s="15">
        <v>-13120.0</v>
      </c>
      <c r="EE142" s="31"/>
      <c r="EF142" s="31">
        <v>0.0</v>
      </c>
      <c r="EG142" s="31">
        <v>-0.222</v>
      </c>
      <c r="EH142" s="31">
        <v>-0.041</v>
      </c>
    </row>
    <row r="143">
      <c r="A143" s="9">
        <f t="shared" si="2"/>
        <v>141</v>
      </c>
      <c r="B143" s="22" t="s">
        <v>277</v>
      </c>
      <c r="C143" s="11">
        <v>7860.0</v>
      </c>
      <c r="D143" s="12"/>
      <c r="E143" s="12"/>
      <c r="F143" s="12"/>
      <c r="G143" s="12"/>
      <c r="H143" s="12"/>
      <c r="I143" s="12"/>
      <c r="J143" s="11">
        <v>-8110.0</v>
      </c>
      <c r="K143" s="11">
        <v>-3780.0</v>
      </c>
      <c r="L143" s="11">
        <v>-956.0</v>
      </c>
      <c r="M143" s="11">
        <v>-383.0</v>
      </c>
      <c r="N143" s="11">
        <v>-48.0</v>
      </c>
      <c r="O143" s="11">
        <v>287580.0</v>
      </c>
      <c r="P143" s="11">
        <v>233330.0</v>
      </c>
      <c r="Q143" s="11">
        <v>120580.0</v>
      </c>
      <c r="R143" s="11">
        <v>80860.0</v>
      </c>
      <c r="S143" s="11">
        <v>58400.0</v>
      </c>
      <c r="T143" s="11">
        <v>216100.0</v>
      </c>
      <c r="U143" s="11">
        <v>167460.0</v>
      </c>
      <c r="V143" s="11">
        <v>81210.0</v>
      </c>
      <c r="W143" s="11">
        <v>56510.0</v>
      </c>
      <c r="X143" s="11">
        <v>41620.0</v>
      </c>
      <c r="Y143" s="12"/>
      <c r="Z143" s="12"/>
      <c r="AA143" s="12"/>
      <c r="AB143" s="12"/>
      <c r="AC143" s="12"/>
      <c r="AD143" s="11">
        <v>-290960.0</v>
      </c>
      <c r="AE143" s="11">
        <v>-230740.0</v>
      </c>
      <c r="AF143" s="11">
        <v>-119510.0</v>
      </c>
      <c r="AG143" s="11">
        <v>-79040.0</v>
      </c>
      <c r="AH143" s="11">
        <v>-57230.0</v>
      </c>
      <c r="AI143" s="11">
        <v>-287580.0</v>
      </c>
      <c r="AJ143" s="11">
        <v>-233330.0</v>
      </c>
      <c r="AK143" s="11">
        <v>-120580.0</v>
      </c>
      <c r="AL143" s="11">
        <v>-80860.0</v>
      </c>
      <c r="AM143" s="11">
        <v>-58400.0</v>
      </c>
      <c r="AN143" s="11">
        <v>-290980.0</v>
      </c>
      <c r="AO143" s="11">
        <v>-230700.0</v>
      </c>
      <c r="AP143" s="11">
        <v>-119490.0</v>
      </c>
      <c r="AQ143" s="11">
        <v>-79050.0</v>
      </c>
      <c r="AR143" s="11">
        <v>-57220.0</v>
      </c>
      <c r="AS143" s="11">
        <v>-235630.0</v>
      </c>
      <c r="AT143" s="11">
        <v>-179770.0</v>
      </c>
      <c r="AU143" s="11">
        <v>-87500.0</v>
      </c>
      <c r="AV143" s="11">
        <v>-60030.0</v>
      </c>
      <c r="AW143" s="11">
        <v>-37160.0</v>
      </c>
      <c r="AX143" s="11">
        <v>-5730.0</v>
      </c>
      <c r="AY143" s="11">
        <v>-35930.0</v>
      </c>
      <c r="AZ143" s="11">
        <v>-20230.0</v>
      </c>
      <c r="BA143" s="11">
        <v>-3020.0</v>
      </c>
      <c r="BB143" s="11">
        <v>-290.0</v>
      </c>
      <c r="BC143" s="12"/>
      <c r="BD143" s="13"/>
      <c r="BE143" s="13"/>
      <c r="BF143" s="12"/>
      <c r="BG143" s="12"/>
      <c r="BH143" s="11">
        <v>259300.0</v>
      </c>
      <c r="BI143" s="11">
        <v>309830.0</v>
      </c>
      <c r="BJ143" s="11">
        <v>166290.0</v>
      </c>
      <c r="BK143" s="11">
        <v>255880.0</v>
      </c>
      <c r="BL143" s="11">
        <v>320680.0</v>
      </c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1">
        <v>272990.0</v>
      </c>
      <c r="BX143" s="11">
        <v>321490.0</v>
      </c>
      <c r="BY143" s="11">
        <v>172190.0</v>
      </c>
      <c r="BZ143" s="11">
        <v>260550.0</v>
      </c>
      <c r="CA143" s="11">
        <v>324600.0</v>
      </c>
      <c r="CB143" s="11">
        <v>68180.0</v>
      </c>
      <c r="CC143" s="11">
        <v>68580.0</v>
      </c>
      <c r="CD143" s="11">
        <v>44130.0</v>
      </c>
      <c r="CE143" s="11">
        <v>3260.0</v>
      </c>
      <c r="CF143" s="11">
        <v>270.0</v>
      </c>
      <c r="CG143" s="12"/>
      <c r="CH143" s="12"/>
      <c r="CI143" s="12"/>
      <c r="CJ143" s="12"/>
      <c r="CK143" s="12"/>
      <c r="CL143" s="11">
        <v>342940.0</v>
      </c>
      <c r="CM143" s="11">
        <v>391840.0</v>
      </c>
      <c r="CN143" s="11">
        <v>217780.0</v>
      </c>
      <c r="CO143" s="11">
        <v>263910.0</v>
      </c>
      <c r="CP143" s="11">
        <v>324980.0</v>
      </c>
      <c r="CQ143" s="11">
        <v>7960.0</v>
      </c>
      <c r="CR143" s="11">
        <v>3720.0</v>
      </c>
      <c r="CS143" s="11">
        <v>14710.0</v>
      </c>
      <c r="CT143" s="12"/>
      <c r="CU143" s="12"/>
      <c r="CV143" s="11">
        <v>36740.0</v>
      </c>
      <c r="CW143" s="11">
        <v>1310.0</v>
      </c>
      <c r="CX143" s="12"/>
      <c r="CY143" s="12"/>
      <c r="CZ143" s="12"/>
      <c r="DA143" s="12"/>
      <c r="DB143" s="11">
        <v>36740.0</v>
      </c>
      <c r="DC143" s="11">
        <v>39980.0</v>
      </c>
      <c r="DD143" s="11">
        <v>27650.0</v>
      </c>
      <c r="DE143" s="11">
        <v>9680.0</v>
      </c>
      <c r="DF143" s="11">
        <v>52160.0</v>
      </c>
      <c r="DG143" s="11">
        <v>52980.0</v>
      </c>
      <c r="DH143" s="11">
        <v>39920.0</v>
      </c>
      <c r="DI143" s="11">
        <v>10180.0</v>
      </c>
      <c r="DJ143" s="11">
        <v>9880.0</v>
      </c>
      <c r="DK143" s="11">
        <v>1200.0</v>
      </c>
      <c r="DL143" s="11">
        <v>1200.0</v>
      </c>
      <c r="DM143" s="11">
        <v>1200.0</v>
      </c>
      <c r="DN143" s="12"/>
      <c r="DO143" s="12"/>
      <c r="DP143" s="11">
        <v>14380.0</v>
      </c>
      <c r="DQ143" s="11">
        <v>248.0</v>
      </c>
      <c r="DR143" s="12"/>
      <c r="DS143" s="12"/>
      <c r="DT143" s="12"/>
      <c r="DU143" s="13"/>
      <c r="DV143" s="13"/>
      <c r="DW143" s="13"/>
      <c r="DX143" s="13"/>
      <c r="DY143" s="13"/>
      <c r="DZ143" s="11">
        <v>290780.0</v>
      </c>
      <c r="EA143" s="11">
        <v>338860.0</v>
      </c>
      <c r="EB143" s="11">
        <v>177860.0</v>
      </c>
      <c r="EC143" s="11">
        <v>253740.0</v>
      </c>
      <c r="ED143" s="11">
        <v>315100.0</v>
      </c>
      <c r="EE143" s="23"/>
      <c r="EF143" s="23"/>
      <c r="EG143" s="14">
        <v>0.034</v>
      </c>
      <c r="EH143" s="14">
        <v>0.065</v>
      </c>
    </row>
    <row r="144">
      <c r="A144" s="9">
        <f t="shared" si="2"/>
        <v>142</v>
      </c>
      <c r="B144" s="10" t="s">
        <v>278</v>
      </c>
      <c r="C144" s="11">
        <v>543310.0</v>
      </c>
      <c r="D144" s="11">
        <v>503420.0</v>
      </c>
      <c r="E144" s="11">
        <v>772700.0</v>
      </c>
      <c r="F144" s="11">
        <v>803260.0</v>
      </c>
      <c r="G144" s="11">
        <v>624460.0</v>
      </c>
      <c r="H144" s="11">
        <v>633120.0</v>
      </c>
      <c r="I144" s="11">
        <v>692280.0</v>
      </c>
      <c r="J144" s="11">
        <v>280400.0</v>
      </c>
      <c r="K144" s="11">
        <v>287600.0</v>
      </c>
      <c r="L144" s="11">
        <v>230310.0</v>
      </c>
      <c r="M144" s="11">
        <v>249670.0</v>
      </c>
      <c r="N144" s="11">
        <v>275840.0</v>
      </c>
      <c r="O144" s="11">
        <v>215440.0</v>
      </c>
      <c r="P144" s="11">
        <v>221250.0</v>
      </c>
      <c r="Q144" s="11">
        <v>180530.0</v>
      </c>
      <c r="R144" s="11">
        <v>174510.0</v>
      </c>
      <c r="S144" s="11">
        <v>178390.0</v>
      </c>
      <c r="T144" s="11">
        <v>108900.0</v>
      </c>
      <c r="U144" s="11">
        <v>114300.0</v>
      </c>
      <c r="V144" s="11">
        <v>95000.0</v>
      </c>
      <c r="W144" s="11">
        <v>90200.0</v>
      </c>
      <c r="X144" s="11">
        <v>90100.0</v>
      </c>
      <c r="Y144" s="11">
        <v>-3300.0</v>
      </c>
      <c r="Z144" s="12"/>
      <c r="AA144" s="11">
        <v>30360.0</v>
      </c>
      <c r="AB144" s="12"/>
      <c r="AC144" s="11">
        <v>98800.0</v>
      </c>
      <c r="AD144" s="11">
        <v>68300.0</v>
      </c>
      <c r="AE144" s="11">
        <v>52280.0</v>
      </c>
      <c r="AF144" s="11">
        <v>24990.0</v>
      </c>
      <c r="AG144" s="11">
        <v>68790.0</v>
      </c>
      <c r="AH144" s="11">
        <v>94050.0</v>
      </c>
      <c r="AI144" s="11">
        <v>83210.0</v>
      </c>
      <c r="AJ144" s="11">
        <v>98700.0</v>
      </c>
      <c r="AK144" s="11">
        <v>73300.0</v>
      </c>
      <c r="AL144" s="11">
        <v>98930.0</v>
      </c>
      <c r="AM144" s="11">
        <v>122760.0</v>
      </c>
      <c r="AN144" s="11">
        <v>52020.0</v>
      </c>
      <c r="AO144" s="11">
        <v>46800.0</v>
      </c>
      <c r="AP144" s="11">
        <v>19680.0</v>
      </c>
      <c r="AQ144" s="11">
        <v>48420.0</v>
      </c>
      <c r="AR144" s="11">
        <v>66970.0</v>
      </c>
      <c r="AS144" s="11">
        <v>46530.0</v>
      </c>
      <c r="AT144" s="11">
        <v>54880.0</v>
      </c>
      <c r="AU144" s="11">
        <v>37780.0</v>
      </c>
      <c r="AV144" s="11">
        <v>48850.0</v>
      </c>
      <c r="AW144" s="11">
        <v>78500.0</v>
      </c>
      <c r="AX144" s="11">
        <v>-12080.0</v>
      </c>
      <c r="AY144" s="11">
        <v>-16320.0</v>
      </c>
      <c r="AZ144" s="11">
        <v>-13480.0</v>
      </c>
      <c r="BA144" s="11">
        <v>-13040.0</v>
      </c>
      <c r="BB144" s="11">
        <v>-18640.0</v>
      </c>
      <c r="BC144" s="12"/>
      <c r="BD144" s="13"/>
      <c r="BE144" s="13"/>
      <c r="BF144" s="13"/>
      <c r="BG144" s="13"/>
      <c r="BH144" s="11">
        <v>31910.0</v>
      </c>
      <c r="BI144" s="11">
        <v>16620.0</v>
      </c>
      <c r="BJ144" s="11">
        <v>17910.0</v>
      </c>
      <c r="BK144" s="11">
        <v>17900.0</v>
      </c>
      <c r="BL144" s="11">
        <v>18560.0</v>
      </c>
      <c r="BM144" s="11">
        <v>148000.0</v>
      </c>
      <c r="BN144" s="11">
        <v>182310.0</v>
      </c>
      <c r="BO144" s="11">
        <v>132630.0</v>
      </c>
      <c r="BP144" s="11">
        <v>109420.0</v>
      </c>
      <c r="BQ144" s="11">
        <v>95280.0</v>
      </c>
      <c r="BR144" s="11">
        <v>145790.0</v>
      </c>
      <c r="BS144" s="11">
        <v>138690.0</v>
      </c>
      <c r="BT144" s="11">
        <v>150200.0</v>
      </c>
      <c r="BU144" s="11">
        <v>116600.0</v>
      </c>
      <c r="BV144" s="11">
        <v>115470.0</v>
      </c>
      <c r="BW144" s="11">
        <v>343080.0</v>
      </c>
      <c r="BX144" s="11">
        <v>374170.0</v>
      </c>
      <c r="BY144" s="11">
        <v>315330.0</v>
      </c>
      <c r="BZ144" s="11">
        <v>255070.0</v>
      </c>
      <c r="CA144" s="11">
        <v>249970.0</v>
      </c>
      <c r="CB144" s="11">
        <v>138600.0</v>
      </c>
      <c r="CC144" s="11">
        <v>120860.0</v>
      </c>
      <c r="CD144" s="11">
        <v>125830.0</v>
      </c>
      <c r="CE144" s="11">
        <v>122810.0</v>
      </c>
      <c r="CF144" s="11">
        <v>124740.0</v>
      </c>
      <c r="CG144" s="11">
        <v>144970.0</v>
      </c>
      <c r="CH144" s="11">
        <v>124950.0</v>
      </c>
      <c r="CI144" s="11">
        <v>125650.0</v>
      </c>
      <c r="CJ144" s="11">
        <v>115210.0</v>
      </c>
      <c r="CK144" s="11">
        <v>115370.0</v>
      </c>
      <c r="CL144" s="11">
        <v>782720.0</v>
      </c>
      <c r="CM144" s="11">
        <v>774640.0</v>
      </c>
      <c r="CN144" s="11">
        <v>735960.0</v>
      </c>
      <c r="CO144" s="11">
        <v>604340.0</v>
      </c>
      <c r="CP144" s="11">
        <v>609240.0</v>
      </c>
      <c r="CQ144" s="11">
        <v>35840.0</v>
      </c>
      <c r="CR144" s="11">
        <v>50660.0</v>
      </c>
      <c r="CS144" s="11">
        <v>41850.0</v>
      </c>
      <c r="CT144" s="11">
        <v>25070.0</v>
      </c>
      <c r="CU144" s="11">
        <v>27140.0</v>
      </c>
      <c r="CV144" s="11">
        <v>120640.0</v>
      </c>
      <c r="CW144" s="11">
        <v>4520.0</v>
      </c>
      <c r="CX144" s="12"/>
      <c r="CY144" s="12"/>
      <c r="CZ144" s="12"/>
      <c r="DA144" s="12"/>
      <c r="DB144" s="11">
        <v>120640.0</v>
      </c>
      <c r="DC144" s="11">
        <v>128090.0</v>
      </c>
      <c r="DD144" s="11">
        <v>102890.0</v>
      </c>
      <c r="DE144" s="11">
        <v>86560.0</v>
      </c>
      <c r="DF144" s="11">
        <v>393860.0</v>
      </c>
      <c r="DG144" s="11">
        <v>388020.0</v>
      </c>
      <c r="DH144" s="11">
        <v>406030.0</v>
      </c>
      <c r="DI144" s="11">
        <v>266900.0</v>
      </c>
      <c r="DJ144" s="11">
        <v>309020.0</v>
      </c>
      <c r="DK144" s="12"/>
      <c r="DL144" s="12"/>
      <c r="DM144" s="12"/>
      <c r="DN144" s="12"/>
      <c r="DO144" s="12"/>
      <c r="DP144" s="11">
        <v>211840.0</v>
      </c>
      <c r="DQ144" s="11">
        <v>232110.0</v>
      </c>
      <c r="DR144" s="11">
        <v>269080.0</v>
      </c>
      <c r="DS144" s="11">
        <v>145480.0</v>
      </c>
      <c r="DT144" s="11">
        <v>167210.0</v>
      </c>
      <c r="DU144" s="13"/>
      <c r="DV144" s="13"/>
      <c r="DW144" s="12"/>
      <c r="DX144" s="12"/>
      <c r="DY144" s="12"/>
      <c r="DZ144" s="11">
        <v>388860.0</v>
      </c>
      <c r="EA144" s="11">
        <v>386630.0</v>
      </c>
      <c r="EB144" s="11">
        <v>329930.0</v>
      </c>
      <c r="EC144" s="11">
        <v>337450.0</v>
      </c>
      <c r="ED144" s="11">
        <v>300230.0</v>
      </c>
      <c r="EE144" s="14">
        <v>0.067</v>
      </c>
      <c r="EF144" s="14">
        <v>0.079</v>
      </c>
      <c r="EG144" s="14">
        <v>-42.4</v>
      </c>
      <c r="EH144" s="14">
        <v>-10.254</v>
      </c>
    </row>
    <row r="145">
      <c r="A145" s="9">
        <f t="shared" si="2"/>
        <v>143</v>
      </c>
      <c r="B145" s="10" t="s">
        <v>279</v>
      </c>
      <c r="C145" s="11">
        <v>180170.0</v>
      </c>
      <c r="D145" s="11">
        <v>133280.0</v>
      </c>
      <c r="E145" s="11">
        <v>123860.0</v>
      </c>
      <c r="F145" s="11">
        <v>63550.0</v>
      </c>
      <c r="G145" s="11">
        <v>54520.0</v>
      </c>
      <c r="H145" s="11">
        <v>52220.0</v>
      </c>
      <c r="I145" s="11">
        <v>45660.0</v>
      </c>
      <c r="J145" s="11">
        <v>73040.0</v>
      </c>
      <c r="K145" s="11">
        <v>31890.0</v>
      </c>
      <c r="L145" s="11">
        <v>26480.0</v>
      </c>
      <c r="M145" s="11">
        <v>22870.0</v>
      </c>
      <c r="N145" s="11">
        <v>25660.0</v>
      </c>
      <c r="O145" s="11">
        <v>72050.0</v>
      </c>
      <c r="P145" s="11">
        <v>48490.0</v>
      </c>
      <c r="Q145" s="11">
        <v>42930.0</v>
      </c>
      <c r="R145" s="11">
        <v>46990.0</v>
      </c>
      <c r="S145" s="11">
        <v>46130.0</v>
      </c>
      <c r="T145" s="11">
        <v>10620.0</v>
      </c>
      <c r="U145" s="11">
        <v>12330.0</v>
      </c>
      <c r="V145" s="11">
        <v>13150.0</v>
      </c>
      <c r="W145" s="11">
        <v>21130.0</v>
      </c>
      <c r="X145" s="11">
        <v>19730.0</v>
      </c>
      <c r="Y145" s="12"/>
      <c r="Z145" s="12"/>
      <c r="AA145" s="11">
        <v>-16500.0</v>
      </c>
      <c r="AB145" s="12"/>
      <c r="AC145" s="11">
        <v>-20490.0</v>
      </c>
      <c r="AD145" s="11">
        <v>-2030.0</v>
      </c>
      <c r="AE145" s="11">
        <v>-6520.0</v>
      </c>
      <c r="AF145" s="11">
        <v>-16740.0</v>
      </c>
      <c r="AG145" s="11">
        <v>-24240.0</v>
      </c>
      <c r="AH145" s="11">
        <v>-20480.0</v>
      </c>
      <c r="AI145" s="11">
        <v>3550.0</v>
      </c>
      <c r="AJ145" s="11">
        <v>-13880.0</v>
      </c>
      <c r="AK145" s="11">
        <v>-14350.0</v>
      </c>
      <c r="AL145" s="11">
        <v>-22260.0</v>
      </c>
      <c r="AM145" s="11">
        <v>-18890.0</v>
      </c>
      <c r="AN145" s="11">
        <v>-2030.0</v>
      </c>
      <c r="AO145" s="11">
        <v>-6520.0</v>
      </c>
      <c r="AP145" s="11">
        <v>-16740.0</v>
      </c>
      <c r="AQ145" s="11">
        <v>-24340.0</v>
      </c>
      <c r="AR145" s="11">
        <v>-20660.0</v>
      </c>
      <c r="AS145" s="11">
        <v>-10620.0</v>
      </c>
      <c r="AT145" s="11">
        <v>-17320.0</v>
      </c>
      <c r="AU145" s="11">
        <v>-23090.0</v>
      </c>
      <c r="AV145" s="11">
        <v>-15190.0</v>
      </c>
      <c r="AW145" s="11">
        <v>-28290.0</v>
      </c>
      <c r="AX145" s="11">
        <v>-2350.0</v>
      </c>
      <c r="AY145" s="11">
        <v>-894.0</v>
      </c>
      <c r="AZ145" s="11">
        <v>-1270.0</v>
      </c>
      <c r="BA145" s="11">
        <v>-5010.0</v>
      </c>
      <c r="BB145" s="11">
        <v>-6690.0</v>
      </c>
      <c r="BC145" s="13"/>
      <c r="BD145" s="13"/>
      <c r="BE145" s="13"/>
      <c r="BF145" s="13"/>
      <c r="BG145" s="13"/>
      <c r="BH145" s="11">
        <v>45720.0</v>
      </c>
      <c r="BI145" s="11">
        <v>27890.0</v>
      </c>
      <c r="BJ145" s="11">
        <v>31560.0</v>
      </c>
      <c r="BK145" s="11">
        <v>27710.0</v>
      </c>
      <c r="BL145" s="11">
        <v>47910.0</v>
      </c>
      <c r="BM145" s="11">
        <v>43310.0</v>
      </c>
      <c r="BN145" s="11">
        <v>29420.0</v>
      </c>
      <c r="BO145" s="11">
        <v>11880.0</v>
      </c>
      <c r="BP145" s="11">
        <v>9070.0</v>
      </c>
      <c r="BQ145" s="11">
        <v>7950.0</v>
      </c>
      <c r="BR145" s="11">
        <v>16000.0</v>
      </c>
      <c r="BS145" s="11">
        <v>11350.0</v>
      </c>
      <c r="BT145" s="11">
        <v>9280.0</v>
      </c>
      <c r="BU145" s="11">
        <v>5330.0</v>
      </c>
      <c r="BV145" s="11">
        <v>5720.0</v>
      </c>
      <c r="BW145" s="11">
        <v>108450.0</v>
      </c>
      <c r="BX145" s="11">
        <v>71310.0</v>
      </c>
      <c r="BY145" s="11">
        <v>55030.0</v>
      </c>
      <c r="BZ145" s="11">
        <v>43490.0</v>
      </c>
      <c r="CA145" s="11">
        <v>64860.0</v>
      </c>
      <c r="CB145" s="11">
        <v>21420.0</v>
      </c>
      <c r="CC145" s="11">
        <v>14900.0</v>
      </c>
      <c r="CD145" s="11">
        <v>16160.0</v>
      </c>
      <c r="CE145" s="11">
        <v>17870.0</v>
      </c>
      <c r="CF145" s="11">
        <v>14790.0</v>
      </c>
      <c r="CG145" s="11">
        <v>1100.0</v>
      </c>
      <c r="CH145" s="11">
        <v>1100.0</v>
      </c>
      <c r="CI145" s="11">
        <v>1100.0</v>
      </c>
      <c r="CJ145" s="11">
        <v>1100.0</v>
      </c>
      <c r="CK145" s="11">
        <v>1100.0</v>
      </c>
      <c r="CL145" s="11">
        <v>132750.0</v>
      </c>
      <c r="CM145" s="11">
        <v>88280.0</v>
      </c>
      <c r="CN145" s="11">
        <v>74340.0</v>
      </c>
      <c r="CO145" s="11">
        <v>66330.0</v>
      </c>
      <c r="CP145" s="11">
        <v>84560.0</v>
      </c>
      <c r="CQ145" s="11">
        <v>12910.0</v>
      </c>
      <c r="CR145" s="11">
        <v>11140.0</v>
      </c>
      <c r="CS145" s="11">
        <v>5960.0</v>
      </c>
      <c r="CT145" s="11">
        <v>7880.0</v>
      </c>
      <c r="CU145" s="11">
        <v>5190.0</v>
      </c>
      <c r="CV145" s="11">
        <v>32420.0</v>
      </c>
      <c r="CW145" s="11">
        <v>1250.0</v>
      </c>
      <c r="CX145" s="13"/>
      <c r="CY145" s="13"/>
      <c r="CZ145" s="13"/>
      <c r="DA145" s="12"/>
      <c r="DB145" s="11">
        <v>32420.0</v>
      </c>
      <c r="DC145" s="11">
        <v>27190.0</v>
      </c>
      <c r="DD145" s="11">
        <v>15730.0</v>
      </c>
      <c r="DE145" s="11">
        <v>19910.0</v>
      </c>
      <c r="DF145" s="11">
        <v>78250.0</v>
      </c>
      <c r="DG145" s="11">
        <v>49280.0</v>
      </c>
      <c r="DH145" s="11">
        <v>40790.0</v>
      </c>
      <c r="DI145" s="11">
        <v>21110.0</v>
      </c>
      <c r="DJ145" s="11">
        <v>17520.0</v>
      </c>
      <c r="DK145" s="12"/>
      <c r="DL145" s="12"/>
      <c r="DM145" s="12"/>
      <c r="DN145" s="12"/>
      <c r="DO145" s="12"/>
      <c r="DP145" s="28">
        <v>45840.0</v>
      </c>
      <c r="DQ145" s="28">
        <v>22080.0</v>
      </c>
      <c r="DR145" s="28">
        <v>24860.0</v>
      </c>
      <c r="DS145" s="12"/>
      <c r="DT145" s="12"/>
      <c r="DU145" s="13"/>
      <c r="DV145" s="12"/>
      <c r="DW145" s="12"/>
      <c r="DX145" s="13"/>
      <c r="DY145" s="13"/>
      <c r="DZ145" s="11">
        <v>54500.0</v>
      </c>
      <c r="EA145" s="11">
        <v>39000.0</v>
      </c>
      <c r="EB145" s="11">
        <v>33550.0</v>
      </c>
      <c r="EC145" s="11">
        <v>45220.0</v>
      </c>
      <c r="ED145" s="11">
        <v>67040.0</v>
      </c>
      <c r="EE145" s="14">
        <v>0.113</v>
      </c>
      <c r="EF145" s="14">
        <v>0.256</v>
      </c>
      <c r="EG145" s="29" t="s">
        <v>155</v>
      </c>
      <c r="EH145" s="23"/>
    </row>
    <row r="146">
      <c r="A146" s="9">
        <f t="shared" si="2"/>
        <v>144</v>
      </c>
      <c r="B146" s="10" t="s">
        <v>280</v>
      </c>
      <c r="C146" s="11">
        <v>1690000.0</v>
      </c>
      <c r="D146" s="11">
        <v>1560000.0</v>
      </c>
      <c r="E146" s="11">
        <v>1450000.0</v>
      </c>
      <c r="F146" s="11">
        <v>892350.0</v>
      </c>
      <c r="G146" s="11">
        <v>1070000.0</v>
      </c>
      <c r="H146" s="11">
        <v>768870.0</v>
      </c>
      <c r="I146" s="11">
        <v>619260.0</v>
      </c>
      <c r="J146" s="11">
        <v>177370.0</v>
      </c>
      <c r="K146" s="11">
        <v>116280.0</v>
      </c>
      <c r="L146" s="11">
        <v>99400.0</v>
      </c>
      <c r="M146" s="11">
        <v>64950.0</v>
      </c>
      <c r="N146" s="11">
        <v>72790.0</v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>
        <v>164700.0</v>
      </c>
      <c r="Z146" s="11">
        <v>118310.0</v>
      </c>
      <c r="AA146" s="11">
        <v>-79790.0</v>
      </c>
      <c r="AB146" s="11">
        <v>45640.0</v>
      </c>
      <c r="AC146" s="11">
        <v>920.0</v>
      </c>
      <c r="AD146" s="11">
        <v>71570.0</v>
      </c>
      <c r="AE146" s="11">
        <v>87480.0</v>
      </c>
      <c r="AF146" s="11">
        <v>-6540.0</v>
      </c>
      <c r="AG146" s="11">
        <v>34450.0</v>
      </c>
      <c r="AH146" s="11">
        <v>62560.0</v>
      </c>
      <c r="AI146" s="11">
        <v>434900.0</v>
      </c>
      <c r="AJ146" s="11">
        <v>295180.0</v>
      </c>
      <c r="AK146" s="11">
        <v>253960.0</v>
      </c>
      <c r="AL146" s="11">
        <v>200440.0</v>
      </c>
      <c r="AM146" s="11">
        <v>198230.0</v>
      </c>
      <c r="AN146" s="11">
        <v>59980.0</v>
      </c>
      <c r="AO146" s="11">
        <v>67880.0</v>
      </c>
      <c r="AP146" s="11">
        <v>21740.0</v>
      </c>
      <c r="AQ146" s="11">
        <v>21060.0</v>
      </c>
      <c r="AR146" s="11">
        <v>39160.0</v>
      </c>
      <c r="AS146" s="11">
        <v>396940.0</v>
      </c>
      <c r="AT146" s="11">
        <v>298030.0</v>
      </c>
      <c r="AU146" s="11">
        <v>234990.0</v>
      </c>
      <c r="AV146" s="11">
        <v>193090.0</v>
      </c>
      <c r="AW146" s="11">
        <v>175010.0</v>
      </c>
      <c r="AX146" s="11">
        <v>-453500.0</v>
      </c>
      <c r="AY146" s="11">
        <v>-292920.0</v>
      </c>
      <c r="AZ146" s="11">
        <v>-296940.0</v>
      </c>
      <c r="BA146" s="11">
        <v>-264480.0</v>
      </c>
      <c r="BB146" s="11">
        <v>-158710.0</v>
      </c>
      <c r="BC146" s="12"/>
      <c r="BD146" s="12"/>
      <c r="BE146" s="12"/>
      <c r="BF146" s="12"/>
      <c r="BG146" s="12"/>
      <c r="BH146" s="11">
        <v>46200.0</v>
      </c>
      <c r="BI146" s="11">
        <v>59320.0</v>
      </c>
      <c r="BJ146" s="11">
        <v>32700.0</v>
      </c>
      <c r="BK146" s="11">
        <v>16360.0</v>
      </c>
      <c r="BL146" s="11">
        <v>17700.0</v>
      </c>
      <c r="BM146" s="11">
        <v>162870.0</v>
      </c>
      <c r="BN146" s="11">
        <v>147760.0</v>
      </c>
      <c r="BO146" s="11">
        <v>109110.0</v>
      </c>
      <c r="BP146" s="11">
        <v>77250.0</v>
      </c>
      <c r="BQ146" s="11">
        <v>57990.0</v>
      </c>
      <c r="BR146" s="11">
        <v>37400.0</v>
      </c>
      <c r="BS146" s="11">
        <v>33540.0</v>
      </c>
      <c r="BT146" s="11">
        <v>22170.0</v>
      </c>
      <c r="BU146" s="11">
        <v>19930.0</v>
      </c>
      <c r="BV146" s="11">
        <v>12960.0</v>
      </c>
      <c r="BW146" s="11">
        <v>266790.0</v>
      </c>
      <c r="BX146" s="11">
        <v>259220.0</v>
      </c>
      <c r="BY146" s="11">
        <v>184500.0</v>
      </c>
      <c r="BZ146" s="11">
        <v>132650.0</v>
      </c>
      <c r="CA146" s="11">
        <v>101310.0</v>
      </c>
      <c r="CB146" s="11">
        <v>1810000.0</v>
      </c>
      <c r="CC146" s="11">
        <v>1560000.0</v>
      </c>
      <c r="CD146" s="11">
        <v>1160000.0</v>
      </c>
      <c r="CE146" s="11">
        <v>1000000.0</v>
      </c>
      <c r="CF146" s="11">
        <v>875400.0</v>
      </c>
      <c r="CG146" s="11">
        <v>395970.0</v>
      </c>
      <c r="CH146" s="11">
        <v>390750.0</v>
      </c>
      <c r="CI146" s="11">
        <v>37280.0</v>
      </c>
      <c r="CJ146" s="11">
        <v>37130.0</v>
      </c>
      <c r="CK146" s="11">
        <v>34400.0</v>
      </c>
      <c r="CL146" s="11">
        <v>2920000.0</v>
      </c>
      <c r="CM146" s="11">
        <v>2570000.0</v>
      </c>
      <c r="CN146" s="11">
        <v>1600000.0</v>
      </c>
      <c r="CO146" s="11">
        <v>1340000.0</v>
      </c>
      <c r="CP146" s="11">
        <v>1040000.0</v>
      </c>
      <c r="CQ146" s="11">
        <v>141090.0</v>
      </c>
      <c r="CR146" s="11">
        <v>109840.0</v>
      </c>
      <c r="CS146" s="11">
        <v>99730.0</v>
      </c>
      <c r="CT146" s="11">
        <v>60700.0</v>
      </c>
      <c r="CU146" s="11">
        <v>44420.0</v>
      </c>
      <c r="CV146" s="11">
        <v>263240.0</v>
      </c>
      <c r="CW146" s="11">
        <v>12860.0</v>
      </c>
      <c r="CX146" s="12"/>
      <c r="CY146" s="13"/>
      <c r="CZ146" s="13"/>
      <c r="DA146" s="12"/>
      <c r="DB146" s="11">
        <v>263240.0</v>
      </c>
      <c r="DC146" s="11">
        <v>229130.0</v>
      </c>
      <c r="DD146" s="11">
        <v>184670.0</v>
      </c>
      <c r="DE146" s="11">
        <v>155790.0</v>
      </c>
      <c r="DF146" s="11">
        <v>2460000.0</v>
      </c>
      <c r="DG146" s="11">
        <v>2130000.0</v>
      </c>
      <c r="DH146" s="11">
        <v>1200000.0</v>
      </c>
      <c r="DI146" s="11">
        <v>1010000.0</v>
      </c>
      <c r="DJ146" s="11">
        <v>677560.0</v>
      </c>
      <c r="DK146" s="11">
        <v>10900.0</v>
      </c>
      <c r="DL146" s="11">
        <v>12500.0</v>
      </c>
      <c r="DM146" s="11">
        <v>66380.0</v>
      </c>
      <c r="DN146" s="11">
        <v>9900.0</v>
      </c>
      <c r="DO146" s="11">
        <v>13100.0</v>
      </c>
      <c r="DP146" s="28">
        <v>1500000.0</v>
      </c>
      <c r="DQ146" s="28">
        <v>1370000.0</v>
      </c>
      <c r="DR146" s="28">
        <v>551610.0</v>
      </c>
      <c r="DS146" s="28">
        <v>429420.0</v>
      </c>
      <c r="DT146" s="28">
        <v>283920.0</v>
      </c>
      <c r="DU146" s="12"/>
      <c r="DV146" s="12"/>
      <c r="DW146" s="12"/>
      <c r="DX146" s="12"/>
      <c r="DY146" s="12"/>
      <c r="DZ146" s="11">
        <v>460340.0</v>
      </c>
      <c r="EA146" s="11">
        <v>436440.0</v>
      </c>
      <c r="EB146" s="11">
        <v>395280.0</v>
      </c>
      <c r="EC146" s="11">
        <v>331900.0</v>
      </c>
      <c r="ED146" s="11">
        <v>364160.0</v>
      </c>
      <c r="EE146" s="14">
        <v>0.0</v>
      </c>
      <c r="EF146" s="14">
        <v>0.136</v>
      </c>
      <c r="EG146" s="14">
        <v>0.621</v>
      </c>
      <c r="EH146" s="14">
        <v>0.373</v>
      </c>
    </row>
    <row r="147">
      <c r="A147" s="9">
        <f t="shared" si="2"/>
        <v>145</v>
      </c>
      <c r="B147" s="10" t="s">
        <v>281</v>
      </c>
      <c r="C147" s="11">
        <v>307400.0</v>
      </c>
      <c r="D147" s="11"/>
      <c r="E147" s="11">
        <v>37550.0</v>
      </c>
      <c r="F147" s="11">
        <v>25060.0</v>
      </c>
      <c r="G147" s="11">
        <v>20360.0</v>
      </c>
      <c r="H147" s="11">
        <v>16450.0</v>
      </c>
      <c r="I147" s="11">
        <v>47520.0</v>
      </c>
      <c r="J147" s="11">
        <v>26890.0</v>
      </c>
      <c r="K147" s="11">
        <v>17570.0</v>
      </c>
      <c r="L147" s="11">
        <v>12910.0</v>
      </c>
      <c r="M147" s="11">
        <v>9470.0</v>
      </c>
      <c r="N147" s="11">
        <v>8710.0</v>
      </c>
      <c r="O147" s="11">
        <v>27380.0</v>
      </c>
      <c r="P147" s="11">
        <v>17050.0</v>
      </c>
      <c r="Q147" s="11">
        <v>18590.0</v>
      </c>
      <c r="R147" s="11">
        <v>19420.0</v>
      </c>
      <c r="S147" s="11">
        <v>51250.0</v>
      </c>
      <c r="T147" s="11"/>
      <c r="U147" s="11"/>
      <c r="V147" s="11">
        <v>60.0</v>
      </c>
      <c r="W147" s="11">
        <v>299.0</v>
      </c>
      <c r="X147" s="11">
        <v>1500.0</v>
      </c>
      <c r="Y147" s="11"/>
      <c r="Z147" s="12"/>
      <c r="AA147" s="12"/>
      <c r="AB147" s="12"/>
      <c r="AC147" s="11"/>
      <c r="AD147" s="11">
        <v>9040.0</v>
      </c>
      <c r="AE147" s="11">
        <v>35590.0</v>
      </c>
      <c r="AF147" s="11">
        <v>8020.0</v>
      </c>
      <c r="AG147" s="11">
        <v>15750.0</v>
      </c>
      <c r="AH147" s="11">
        <v>-39820.0</v>
      </c>
      <c r="AI147" s="11">
        <v>-321.0</v>
      </c>
      <c r="AJ147" s="11">
        <v>1390.0</v>
      </c>
      <c r="AK147" s="11">
        <v>-4320.0</v>
      </c>
      <c r="AL147" s="11">
        <v>-8190.0</v>
      </c>
      <c r="AM147" s="11">
        <v>-38600.0</v>
      </c>
      <c r="AN147" s="11">
        <v>10920.0</v>
      </c>
      <c r="AO147" s="11">
        <v>32090.0</v>
      </c>
      <c r="AP147" s="11">
        <v>15910.0</v>
      </c>
      <c r="AQ147" s="11">
        <v>10330.0</v>
      </c>
      <c r="AR147" s="11">
        <v>-40130.0</v>
      </c>
      <c r="AS147" s="11">
        <v>467.0</v>
      </c>
      <c r="AT147" s="11">
        <v>-3580.0</v>
      </c>
      <c r="AU147" s="11">
        <v>-50310.0</v>
      </c>
      <c r="AV147" s="11">
        <v>-7860.0</v>
      </c>
      <c r="AW147" s="11">
        <v>-22320.0</v>
      </c>
      <c r="AX147" s="11">
        <v>-562.0</v>
      </c>
      <c r="AY147" s="11">
        <v>-279.0</v>
      </c>
      <c r="AZ147" s="11">
        <v>-348.0</v>
      </c>
      <c r="BA147" s="11">
        <v>-841.0</v>
      </c>
      <c r="BB147" s="11">
        <v>-21.0</v>
      </c>
      <c r="BC147" s="11">
        <v>-4570.0</v>
      </c>
      <c r="BD147" s="11">
        <v>-39790.0</v>
      </c>
      <c r="BE147" s="12"/>
      <c r="BF147" s="12"/>
      <c r="BG147" s="12"/>
      <c r="BH147" s="11">
        <v>13540.0</v>
      </c>
      <c r="BI147" s="11">
        <v>20220.0</v>
      </c>
      <c r="BJ147" s="11">
        <v>21100.0</v>
      </c>
      <c r="BK147" s="11">
        <v>25580.0</v>
      </c>
      <c r="BL147" s="11">
        <v>12270.0</v>
      </c>
      <c r="BM147" s="11">
        <v>26270.0</v>
      </c>
      <c r="BN147" s="11">
        <v>12020.0</v>
      </c>
      <c r="BO147" s="11">
        <v>5980.0</v>
      </c>
      <c r="BP147" s="11">
        <v>2010.0</v>
      </c>
      <c r="BQ147" s="11">
        <v>3410.0</v>
      </c>
      <c r="BR147" s="11">
        <v>4250.0</v>
      </c>
      <c r="BS147" s="11">
        <v>2490.0</v>
      </c>
      <c r="BT147" s="11">
        <v>1570.0</v>
      </c>
      <c r="BU147" s="11">
        <v>4620.0</v>
      </c>
      <c r="BV147" s="11">
        <v>6020.0</v>
      </c>
      <c r="BW147" s="11">
        <v>46450.0</v>
      </c>
      <c r="BX147" s="11">
        <v>40320.0</v>
      </c>
      <c r="BY147" s="11">
        <v>31670.0</v>
      </c>
      <c r="BZ147" s="11">
        <v>33280.0</v>
      </c>
      <c r="CA147" s="11">
        <v>30270.0</v>
      </c>
      <c r="CB147" s="11">
        <v>2350.0</v>
      </c>
      <c r="CC147" s="11">
        <v>660.0</v>
      </c>
      <c r="CD147" s="11">
        <v>4040.0</v>
      </c>
      <c r="CE147" s="11">
        <v>13890.0</v>
      </c>
      <c r="CF147" s="11">
        <v>16620.0</v>
      </c>
      <c r="CG147" s="11"/>
      <c r="CH147" s="11"/>
      <c r="CI147" s="11"/>
      <c r="CJ147" s="11"/>
      <c r="CK147" s="11"/>
      <c r="CL147" s="11">
        <v>80160.0</v>
      </c>
      <c r="CM147" s="11">
        <v>98640.0</v>
      </c>
      <c r="CN147" s="11">
        <v>109470.0</v>
      </c>
      <c r="CO147" s="11">
        <v>133320.0</v>
      </c>
      <c r="CP147" s="11">
        <v>240720.0</v>
      </c>
      <c r="CQ147" s="11">
        <v>3170.0</v>
      </c>
      <c r="CR147" s="11">
        <v>2060.0</v>
      </c>
      <c r="CS147" s="11">
        <v>2100.0</v>
      </c>
      <c r="CT147" s="11">
        <v>2610.0</v>
      </c>
      <c r="CU147" s="11">
        <v>3060.0</v>
      </c>
      <c r="CV147" s="11">
        <v>12690.0</v>
      </c>
      <c r="CW147" s="11">
        <v>881.0</v>
      </c>
      <c r="CX147" s="12"/>
      <c r="CY147" s="13"/>
      <c r="CZ147" s="13"/>
      <c r="DA147" s="12"/>
      <c r="DB147" s="11">
        <v>12690.0</v>
      </c>
      <c r="DC147" s="11">
        <v>17500.0</v>
      </c>
      <c r="DD147" s="11">
        <v>11610.0</v>
      </c>
      <c r="DE147" s="11">
        <v>15790.0</v>
      </c>
      <c r="DF147" s="11">
        <v>13720.0</v>
      </c>
      <c r="DG147" s="11">
        <v>26640.0</v>
      </c>
      <c r="DH147" s="11">
        <v>22120.0</v>
      </c>
      <c r="DI147" s="11">
        <v>33810.0</v>
      </c>
      <c r="DJ147" s="11">
        <v>62010.0</v>
      </c>
      <c r="DK147" s="11">
        <v>25680.0</v>
      </c>
      <c r="DL147" s="11">
        <v>38860.0</v>
      </c>
      <c r="DM147" s="11">
        <v>44480.0</v>
      </c>
      <c r="DN147" s="11">
        <v>74670.0</v>
      </c>
      <c r="DO147" s="11">
        <v>181890.0</v>
      </c>
      <c r="DP147" s="28">
        <v>1030.0</v>
      </c>
      <c r="DQ147" s="28"/>
      <c r="DR147" s="28"/>
      <c r="DS147" s="28"/>
      <c r="DT147" s="28"/>
      <c r="DU147" s="12"/>
      <c r="DV147" s="12"/>
      <c r="DW147" s="12"/>
      <c r="DX147" s="12"/>
      <c r="DY147" s="12"/>
      <c r="DZ147" s="11">
        <v>66120.0</v>
      </c>
      <c r="EA147" s="11">
        <v>71670.0</v>
      </c>
      <c r="EB147" s="11">
        <v>86990.0</v>
      </c>
      <c r="EC147" s="11">
        <v>99170.0</v>
      </c>
      <c r="ED147" s="11">
        <v>178320.0</v>
      </c>
      <c r="EE147" s="14"/>
      <c r="EF147" s="14">
        <v>0.0</v>
      </c>
      <c r="EG147" s="14">
        <v>6.3</v>
      </c>
      <c r="EH147" s="14">
        <v>3.825</v>
      </c>
    </row>
    <row r="148">
      <c r="A148" s="9">
        <f t="shared" si="2"/>
        <v>146</v>
      </c>
      <c r="B148" s="10" t="s">
        <v>282</v>
      </c>
      <c r="C148" s="15">
        <v>7650000.0</v>
      </c>
      <c r="D148" s="15">
        <v>7170000.0</v>
      </c>
      <c r="E148" s="15">
        <v>6450000.0</v>
      </c>
      <c r="F148" s="15">
        <v>7490000.0</v>
      </c>
      <c r="G148" s="15">
        <v>7020000.0</v>
      </c>
      <c r="H148" s="15">
        <v>6610000.0</v>
      </c>
      <c r="I148" s="15">
        <v>4660000.0</v>
      </c>
      <c r="J148" s="15">
        <v>4360000.0</v>
      </c>
      <c r="K148" s="15">
        <v>4980000.0</v>
      </c>
      <c r="L148" s="15">
        <v>4520000.0</v>
      </c>
      <c r="M148" s="15">
        <v>4210000.0</v>
      </c>
      <c r="N148" s="15">
        <v>3080000.0</v>
      </c>
      <c r="O148" s="15">
        <v>2660000.0</v>
      </c>
      <c r="P148" s="15">
        <v>2990000.0</v>
      </c>
      <c r="Q148" s="15">
        <v>3210000.0</v>
      </c>
      <c r="R148" s="15">
        <v>2770000.0</v>
      </c>
      <c r="S148" s="15">
        <v>1770000.0</v>
      </c>
      <c r="T148" s="15">
        <v>998000.0</v>
      </c>
      <c r="U148" s="15">
        <v>1100000.0</v>
      </c>
      <c r="V148" s="15">
        <v>1070000.0</v>
      </c>
      <c r="W148" s="15">
        <v>958000.0</v>
      </c>
      <c r="X148" s="15">
        <v>646000.0</v>
      </c>
      <c r="Y148" s="15">
        <v>1610000.0</v>
      </c>
      <c r="Z148" s="15">
        <v>-50000.0</v>
      </c>
      <c r="AA148" s="15">
        <v>1300000.0</v>
      </c>
      <c r="AB148" s="15">
        <v>1320000.0</v>
      </c>
      <c r="AC148" s="15">
        <v>0.0</v>
      </c>
      <c r="AD148" s="15">
        <v>1630000.0</v>
      </c>
      <c r="AE148" s="15">
        <v>1880000.0</v>
      </c>
      <c r="AF148" s="15">
        <v>1150000.0</v>
      </c>
      <c r="AG148" s="15">
        <v>1110000.0</v>
      </c>
      <c r="AH148" s="15">
        <v>1120000.0</v>
      </c>
      <c r="AI148" s="15">
        <v>2320000.0</v>
      </c>
      <c r="AJ148" s="15">
        <v>2990000.0</v>
      </c>
      <c r="AK148" s="15">
        <v>2510000.0</v>
      </c>
      <c r="AL148" s="15">
        <v>2600000.0</v>
      </c>
      <c r="AM148" s="15">
        <v>1800000.0</v>
      </c>
      <c r="AN148" s="15">
        <v>1500000.0</v>
      </c>
      <c r="AO148" s="15">
        <v>1850000.0</v>
      </c>
      <c r="AP148" s="15">
        <v>273000.0</v>
      </c>
      <c r="AQ148" s="15">
        <v>962000.0</v>
      </c>
      <c r="AR148" s="15">
        <v>881000.0</v>
      </c>
      <c r="AS148" s="15">
        <v>1830000.0</v>
      </c>
      <c r="AT148" s="15">
        <v>1790000.0</v>
      </c>
      <c r="AU148" s="15">
        <v>2210000.0</v>
      </c>
      <c r="AV148" s="15">
        <v>2160000.0</v>
      </c>
      <c r="AW148" s="15">
        <v>1260000.0</v>
      </c>
      <c r="AX148" s="15">
        <v>-116000.0</v>
      </c>
      <c r="AY148" s="15">
        <v>-131000.0</v>
      </c>
      <c r="AZ148" s="15">
        <v>-155000.0</v>
      </c>
      <c r="BA148" s="15">
        <v>-136000.0</v>
      </c>
      <c r="BB148" s="15">
        <v>-111000.0</v>
      </c>
      <c r="BC148" s="15">
        <v>-283000.0</v>
      </c>
      <c r="BD148" s="15">
        <v>-259000.0</v>
      </c>
      <c r="BE148" s="15">
        <v>-226000.0</v>
      </c>
      <c r="BF148" s="15">
        <v>-195000.0</v>
      </c>
      <c r="BG148" s="15">
        <v>-170000.0</v>
      </c>
      <c r="BH148" s="15">
        <v>5860000.0</v>
      </c>
      <c r="BI148" s="15">
        <v>4230000.0</v>
      </c>
      <c r="BJ148" s="15">
        <v>4710000.0</v>
      </c>
      <c r="BK148" s="15">
        <v>3250000.0</v>
      </c>
      <c r="BL148" s="15">
        <v>1820000.0</v>
      </c>
      <c r="BM148" s="15">
        <v>848000.0</v>
      </c>
      <c r="BN148" s="15">
        <v>1040000.0</v>
      </c>
      <c r="BO148" s="15">
        <v>918000.0</v>
      </c>
      <c r="BP148" s="15">
        <v>732000.0</v>
      </c>
      <c r="BQ148" s="15">
        <v>679000.0</v>
      </c>
      <c r="BR148" s="15">
        <v>32000.0</v>
      </c>
      <c r="BS148" s="15">
        <v>43000.0</v>
      </c>
      <c r="BT148" s="15">
        <v>46000.0</v>
      </c>
      <c r="BU148" s="15">
        <v>49000.0</v>
      </c>
      <c r="BV148" s="15">
        <v>128000.0</v>
      </c>
      <c r="BW148" s="15">
        <v>7290000.0</v>
      </c>
      <c r="BX148" s="15">
        <v>6110000.0</v>
      </c>
      <c r="BY148" s="15">
        <v>6520000.0</v>
      </c>
      <c r="BZ148" s="15">
        <v>4640000.0</v>
      </c>
      <c r="CA148" s="15">
        <v>3170000.0</v>
      </c>
      <c r="CB148" s="15">
        <v>485000.0</v>
      </c>
      <c r="CC148" s="15">
        <v>282000.0</v>
      </c>
      <c r="CD148" s="15">
        <v>294000.0</v>
      </c>
      <c r="CE148" s="15">
        <v>258000.0</v>
      </c>
      <c r="CF148" s="15">
        <v>189000.0</v>
      </c>
      <c r="CG148" s="15">
        <v>9760000.0</v>
      </c>
      <c r="CH148" s="15">
        <v>9760000.0</v>
      </c>
      <c r="CI148" s="15">
        <v>9760000.0</v>
      </c>
      <c r="CJ148" s="15">
        <v>9770000.0</v>
      </c>
      <c r="CK148" s="15">
        <v>7100000.0</v>
      </c>
      <c r="CL148" s="15">
        <v>1.985E7</v>
      </c>
      <c r="CM148" s="15">
        <v>1.789E7</v>
      </c>
      <c r="CN148" s="15">
        <v>1.867E7</v>
      </c>
      <c r="CO148" s="15">
        <v>1.745E7</v>
      </c>
      <c r="CP148" s="15">
        <v>1.525E7</v>
      </c>
      <c r="CQ148" s="15">
        <v>292000.0</v>
      </c>
      <c r="CR148" s="15">
        <v>253000.0</v>
      </c>
      <c r="CS148" s="15">
        <v>323000.0</v>
      </c>
      <c r="CT148" s="15">
        <v>222000.0</v>
      </c>
      <c r="CU148" s="15">
        <v>284000.0</v>
      </c>
      <c r="CV148" s="15">
        <v>2920000.0</v>
      </c>
      <c r="CW148" s="15">
        <v>63000.0</v>
      </c>
      <c r="CX148" s="16">
        <v>0.0</v>
      </c>
      <c r="CY148" s="16">
        <v>0.0</v>
      </c>
      <c r="CZ148" s="16">
        <v>0.0</v>
      </c>
      <c r="DA148" s="15">
        <v>0.0</v>
      </c>
      <c r="DB148" s="15">
        <v>2920000.0</v>
      </c>
      <c r="DC148" s="15">
        <v>2640000.0</v>
      </c>
      <c r="DD148" s="15">
        <v>3660000.0</v>
      </c>
      <c r="DE148" s="15">
        <v>2660000.0</v>
      </c>
      <c r="DF148" s="15">
        <v>7040000.0</v>
      </c>
      <c r="DG148" s="15">
        <v>6500000.0</v>
      </c>
      <c r="DH148" s="15">
        <v>9210000.0</v>
      </c>
      <c r="DI148" s="15">
        <v>8330000.0</v>
      </c>
      <c r="DJ148" s="15">
        <v>7180000.0</v>
      </c>
      <c r="DK148" s="15">
        <v>0.0</v>
      </c>
      <c r="DL148" s="15">
        <v>0.0</v>
      </c>
      <c r="DM148" s="15">
        <v>0.0</v>
      </c>
      <c r="DN148" s="15">
        <v>0.0</v>
      </c>
      <c r="DO148" s="15">
        <v>3570000.0</v>
      </c>
      <c r="DP148" s="15">
        <v>2890000.0</v>
      </c>
      <c r="DQ148" s="15">
        <v>2670000.0</v>
      </c>
      <c r="DR148" s="15">
        <v>4390000.0</v>
      </c>
      <c r="DS148" s="15">
        <v>4890000.0</v>
      </c>
      <c r="DT148" s="15">
        <v>4070000.0</v>
      </c>
      <c r="DU148" s="15">
        <v>0.0</v>
      </c>
      <c r="DV148" s="15">
        <v>0.0</v>
      </c>
      <c r="DW148" s="15">
        <v>0.0</v>
      </c>
      <c r="DX148" s="15">
        <v>0.0</v>
      </c>
      <c r="DY148" s="16">
        <v>0.0</v>
      </c>
      <c r="DZ148" s="15">
        <v>1.281E7</v>
      </c>
      <c r="EA148" s="15">
        <v>1.139E7</v>
      </c>
      <c r="EB148" s="15">
        <v>9460000.0</v>
      </c>
      <c r="EC148" s="15">
        <v>9120000.0</v>
      </c>
      <c r="ED148" s="15">
        <v>8070000.0</v>
      </c>
      <c r="EE148" s="17">
        <v>0.126</v>
      </c>
      <c r="EF148" s="17">
        <v>0.295</v>
      </c>
      <c r="EG148" s="17">
        <v>0.526</v>
      </c>
      <c r="EH148" s="17">
        <v>0.353</v>
      </c>
    </row>
    <row r="149">
      <c r="A149" s="9">
        <f t="shared" si="2"/>
        <v>147</v>
      </c>
      <c r="B149" s="22" t="s">
        <v>283</v>
      </c>
      <c r="C149" s="11">
        <v>19430.0</v>
      </c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1">
        <v>26270.0</v>
      </c>
      <c r="P149" s="11">
        <v>21820.0</v>
      </c>
      <c r="Q149" s="11">
        <v>11420.0</v>
      </c>
      <c r="R149" s="11">
        <v>2380.0</v>
      </c>
      <c r="S149" s="11">
        <v>4840.0</v>
      </c>
      <c r="T149" s="11">
        <v>23190.0</v>
      </c>
      <c r="U149" s="11">
        <v>17700.0</v>
      </c>
      <c r="V149" s="11">
        <v>7800.0</v>
      </c>
      <c r="W149" s="11">
        <v>1380.0</v>
      </c>
      <c r="X149" s="11">
        <v>4000.0</v>
      </c>
      <c r="Y149" s="12"/>
      <c r="Z149" s="12"/>
      <c r="AA149" s="11">
        <v>-11970.0</v>
      </c>
      <c r="AB149" s="11">
        <v>-2570.0</v>
      </c>
      <c r="AC149" s="12"/>
      <c r="AD149" s="11">
        <v>-25910.0</v>
      </c>
      <c r="AE149" s="11">
        <v>-21550.0</v>
      </c>
      <c r="AF149" s="11">
        <v>-12260.0</v>
      </c>
      <c r="AG149" s="11">
        <v>-3180.0</v>
      </c>
      <c r="AH149" s="11">
        <v>-5230.0</v>
      </c>
      <c r="AI149" s="11">
        <v>-26270.0</v>
      </c>
      <c r="AJ149" s="12"/>
      <c r="AK149" s="11">
        <v>-11420.0</v>
      </c>
      <c r="AL149" s="11">
        <v>-2380.0</v>
      </c>
      <c r="AM149" s="11">
        <v>-4840.0</v>
      </c>
      <c r="AN149" s="11">
        <v>-25910.0</v>
      </c>
      <c r="AO149" s="11">
        <v>-21550.0</v>
      </c>
      <c r="AP149" s="11">
        <v>-12260.0</v>
      </c>
      <c r="AQ149" s="11">
        <v>-3180.0</v>
      </c>
      <c r="AR149" s="11">
        <v>-5230.0</v>
      </c>
      <c r="AS149" s="11">
        <v>-26260.0</v>
      </c>
      <c r="AT149" s="11">
        <v>-18220.0</v>
      </c>
      <c r="AU149" s="11">
        <v>-6800.0</v>
      </c>
      <c r="AV149" s="11">
        <v>-1630.0</v>
      </c>
      <c r="AW149" s="11">
        <v>-895.0</v>
      </c>
      <c r="AX149" s="12"/>
      <c r="AY149" s="12"/>
      <c r="AZ149" s="12"/>
      <c r="BA149" s="12"/>
      <c r="BB149" s="11">
        <v>-3000.0</v>
      </c>
      <c r="BC149" s="12"/>
      <c r="BD149" s="12"/>
      <c r="BE149" s="12"/>
      <c r="BF149" s="12"/>
      <c r="BG149" s="12"/>
      <c r="BH149" s="11">
        <v>8750.0</v>
      </c>
      <c r="BI149" s="11">
        <v>2670.0</v>
      </c>
      <c r="BJ149" s="11">
        <v>21780.0</v>
      </c>
      <c r="BK149" s="11">
        <v>197.0</v>
      </c>
      <c r="BL149" s="11">
        <v>14.0</v>
      </c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1">
        <v>8920.0</v>
      </c>
      <c r="BX149" s="11">
        <v>2820.0</v>
      </c>
      <c r="BY149" s="11">
        <v>22170.0</v>
      </c>
      <c r="BZ149" s="11">
        <v>197.0</v>
      </c>
      <c r="CA149" s="11">
        <v>14.0</v>
      </c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1">
        <v>8920.0</v>
      </c>
      <c r="CM149" s="11">
        <v>4530.0</v>
      </c>
      <c r="CN149" s="11">
        <v>22170.0</v>
      </c>
      <c r="CO149" s="11">
        <v>197.0</v>
      </c>
      <c r="CP149" s="11">
        <v>14.0</v>
      </c>
      <c r="CQ149" s="11">
        <v>1370.0</v>
      </c>
      <c r="CR149" s="11">
        <v>3580.0</v>
      </c>
      <c r="CS149" s="11">
        <v>1600.0</v>
      </c>
      <c r="CT149" s="12"/>
      <c r="CU149" s="12"/>
      <c r="CV149" s="11">
        <v>2120.0</v>
      </c>
      <c r="CW149" s="12"/>
      <c r="CX149" s="12"/>
      <c r="CY149" s="12"/>
      <c r="CZ149" s="12"/>
      <c r="DA149" s="12"/>
      <c r="DB149" s="11">
        <v>2120.0</v>
      </c>
      <c r="DC149" s="11">
        <v>5160.0</v>
      </c>
      <c r="DD149" s="11">
        <v>2790.0</v>
      </c>
      <c r="DE149" s="11">
        <v>6420.0</v>
      </c>
      <c r="DF149" s="11">
        <v>2120.0</v>
      </c>
      <c r="DG149" s="11">
        <v>5160.0</v>
      </c>
      <c r="DH149" s="11">
        <v>2790.0</v>
      </c>
      <c r="DI149" s="11">
        <v>8450.0</v>
      </c>
      <c r="DJ149" s="11">
        <v>5150.0</v>
      </c>
      <c r="DK149" s="12"/>
      <c r="DL149" s="12"/>
      <c r="DM149" s="12"/>
      <c r="DN149" s="12"/>
      <c r="DO149" s="12"/>
      <c r="DP149" s="12"/>
      <c r="DQ149" s="12"/>
      <c r="DR149" s="12"/>
      <c r="DS149" s="11">
        <v>2030.0</v>
      </c>
      <c r="DT149" s="11">
        <v>2700.0</v>
      </c>
      <c r="DU149" s="13"/>
      <c r="DV149" s="12"/>
      <c r="DW149" s="12"/>
      <c r="DX149" s="13"/>
      <c r="DY149" s="13"/>
      <c r="DZ149" s="11">
        <v>6800.0</v>
      </c>
      <c r="EA149" s="11">
        <v>-631.0</v>
      </c>
      <c r="EB149" s="11">
        <v>19380.0</v>
      </c>
      <c r="EC149" s="11">
        <v>-8250.0</v>
      </c>
      <c r="ED149" s="11">
        <v>-5140.0</v>
      </c>
      <c r="EE149" s="23"/>
      <c r="EF149" s="14">
        <v>0.924</v>
      </c>
      <c r="EG149" s="14">
        <v>-0.1</v>
      </c>
      <c r="EH149" s="14">
        <v>0.188</v>
      </c>
    </row>
    <row r="150">
      <c r="A150" s="9">
        <f t="shared" si="2"/>
        <v>148</v>
      </c>
      <c r="B150" s="10" t="s">
        <v>284</v>
      </c>
      <c r="C150" s="15">
        <v>4190000.0</v>
      </c>
      <c r="D150" s="15">
        <v>3520000.0</v>
      </c>
      <c r="E150" s="15">
        <v>5.093E7</v>
      </c>
      <c r="F150" s="15">
        <v>4.421E7</v>
      </c>
      <c r="G150" s="15">
        <v>6.001E7</v>
      </c>
      <c r="H150" s="15">
        <v>6.002E7</v>
      </c>
      <c r="I150" s="15">
        <v>5.131E7</v>
      </c>
      <c r="J150" s="15">
        <v>1.115E7</v>
      </c>
      <c r="K150" s="15">
        <v>8400000.0</v>
      </c>
      <c r="L150" s="15">
        <v>8570000.0</v>
      </c>
      <c r="M150" s="15">
        <v>1.004E7</v>
      </c>
      <c r="N150" s="15">
        <v>7400000.0</v>
      </c>
      <c r="O150" s="15">
        <v>2440000.0</v>
      </c>
      <c r="P150" s="15">
        <v>1920000.0</v>
      </c>
      <c r="Q150" s="15">
        <v>1680000.0</v>
      </c>
      <c r="R150" s="15">
        <v>1920000.0</v>
      </c>
      <c r="S150" s="15">
        <v>1850000.0</v>
      </c>
      <c r="T150" s="15">
        <v>0.0</v>
      </c>
      <c r="U150" s="15">
        <v>0.0</v>
      </c>
      <c r="V150" s="15">
        <v>0.0</v>
      </c>
      <c r="W150" s="15">
        <v>0.0</v>
      </c>
      <c r="X150" s="15">
        <v>0.0</v>
      </c>
      <c r="Y150" s="15">
        <v>8740000.0</v>
      </c>
      <c r="Z150" s="15">
        <v>-159030.0</v>
      </c>
      <c r="AA150" s="15">
        <v>-6050000.0</v>
      </c>
      <c r="AB150" s="15">
        <v>-455480.0</v>
      </c>
      <c r="AC150" s="15">
        <v>4820000.0</v>
      </c>
      <c r="AD150" s="15">
        <v>6520000.0</v>
      </c>
      <c r="AE150" s="15">
        <v>4280000.0</v>
      </c>
      <c r="AF150" s="15">
        <v>-1130000.0</v>
      </c>
      <c r="AG150" s="15">
        <v>3790000.0</v>
      </c>
      <c r="AH150" s="15">
        <v>2160000.0</v>
      </c>
      <c r="AI150" s="15">
        <v>1.724E7</v>
      </c>
      <c r="AJ150" s="15">
        <v>1.401E7</v>
      </c>
      <c r="AK150" s="15">
        <v>1.772E7</v>
      </c>
      <c r="AL150" s="15">
        <v>1.956E7</v>
      </c>
      <c r="AM150" s="15">
        <v>1.557E7</v>
      </c>
      <c r="AN150" s="15">
        <v>5260000.0</v>
      </c>
      <c r="AO150" s="15">
        <v>2860000.0</v>
      </c>
      <c r="AP150" s="15">
        <v>-2540000.0</v>
      </c>
      <c r="AQ150" s="15">
        <v>925650.0</v>
      </c>
      <c r="AR150" s="15">
        <v>396180.0</v>
      </c>
      <c r="AS150" s="15">
        <v>1.326E7</v>
      </c>
      <c r="AT150" s="15">
        <v>9730000.0</v>
      </c>
      <c r="AU150" s="15">
        <v>1.163E7</v>
      </c>
      <c r="AV150" s="15">
        <v>1.51E7</v>
      </c>
      <c r="AW150" s="15">
        <v>1.167E7</v>
      </c>
      <c r="AX150" s="15">
        <v>-1.016E7</v>
      </c>
      <c r="AY150" s="15">
        <v>-7620000.0</v>
      </c>
      <c r="AZ150" s="15">
        <v>-1.104E7</v>
      </c>
      <c r="BA150" s="15">
        <v>-1.045E7</v>
      </c>
      <c r="BB150" s="15">
        <v>-8520000.0</v>
      </c>
      <c r="BC150" s="15">
        <v>-390130.0</v>
      </c>
      <c r="BD150" s="15">
        <v>-516840.0</v>
      </c>
      <c r="BE150" s="15">
        <v>-771770.0</v>
      </c>
      <c r="BF150" s="16">
        <v>0.0</v>
      </c>
      <c r="BG150" s="15">
        <v>-63900.0</v>
      </c>
      <c r="BH150" s="15">
        <v>6980000.0</v>
      </c>
      <c r="BI150" s="15">
        <v>5260000.0</v>
      </c>
      <c r="BJ150" s="15">
        <v>2970000.0</v>
      </c>
      <c r="BK150" s="15">
        <v>3270000.0</v>
      </c>
      <c r="BL150" s="15">
        <v>7870000.0</v>
      </c>
      <c r="BM150" s="15">
        <v>2640000.0</v>
      </c>
      <c r="BN150" s="15">
        <v>2400000.0</v>
      </c>
      <c r="BO150" s="15">
        <v>1980000.0</v>
      </c>
      <c r="BP150" s="15">
        <v>2320000.0</v>
      </c>
      <c r="BQ150" s="15">
        <v>2460000.0</v>
      </c>
      <c r="BR150" s="15">
        <v>8840000.0</v>
      </c>
      <c r="BS150" s="15">
        <v>9380000.0</v>
      </c>
      <c r="BT150" s="15">
        <v>8460000.0</v>
      </c>
      <c r="BU150" s="15">
        <v>9190000.0</v>
      </c>
      <c r="BV150" s="15">
        <v>1.001E7</v>
      </c>
      <c r="BW150" s="15">
        <v>1.931E7</v>
      </c>
      <c r="BX150" s="15">
        <v>1.765E7</v>
      </c>
      <c r="BY150" s="15">
        <v>1.848E7</v>
      </c>
      <c r="BZ150" s="15">
        <v>1.595E7</v>
      </c>
      <c r="CA150" s="15">
        <v>2.106E7</v>
      </c>
      <c r="CB150" s="15">
        <v>3.845E7</v>
      </c>
      <c r="CC150" s="15">
        <v>4.864E7</v>
      </c>
      <c r="CD150" s="15">
        <v>4.63E7</v>
      </c>
      <c r="CE150" s="15">
        <v>5.619E7</v>
      </c>
      <c r="CF150" s="15">
        <v>6.283E7</v>
      </c>
      <c r="CG150" s="15">
        <v>1620000.0</v>
      </c>
      <c r="CH150" s="15">
        <v>1670000.0</v>
      </c>
      <c r="CI150" s="15">
        <v>1570000.0</v>
      </c>
      <c r="CJ150" s="15">
        <v>1720000.0</v>
      </c>
      <c r="CK150" s="15">
        <v>1950000.0</v>
      </c>
      <c r="CL150" s="15">
        <v>9.597E7</v>
      </c>
      <c r="CM150" s="15">
        <v>9.556E7</v>
      </c>
      <c r="CN150" s="15">
        <v>8.937E7</v>
      </c>
      <c r="CO150" s="15">
        <v>9.782E7</v>
      </c>
      <c r="CP150" s="15">
        <v>1.1287E8</v>
      </c>
      <c r="CQ150" s="15">
        <v>5080000.0</v>
      </c>
      <c r="CR150" s="15">
        <v>5030000.0</v>
      </c>
      <c r="CS150" s="15">
        <v>4430000.0</v>
      </c>
      <c r="CT150" s="15">
        <v>5210000.0</v>
      </c>
      <c r="CU150" s="15">
        <v>4740000.0</v>
      </c>
      <c r="CV150" s="15">
        <v>2.009E7</v>
      </c>
      <c r="CW150" s="15">
        <v>0.0</v>
      </c>
      <c r="CX150" s="16">
        <v>0.0</v>
      </c>
      <c r="CY150" s="16">
        <v>0.0</v>
      </c>
      <c r="CZ150" s="16">
        <v>0.0</v>
      </c>
      <c r="DA150" s="15">
        <v>0.0</v>
      </c>
      <c r="DB150" s="15">
        <v>2.009E7</v>
      </c>
      <c r="DC150" s="15">
        <v>1.141E7</v>
      </c>
      <c r="DD150" s="15">
        <v>1.058E7</v>
      </c>
      <c r="DE150" s="15">
        <v>1.039E7</v>
      </c>
      <c r="DF150" s="15">
        <v>5.855E7</v>
      </c>
      <c r="DG150" s="15">
        <v>5.681E7</v>
      </c>
      <c r="DH150" s="15">
        <v>5.59E7</v>
      </c>
      <c r="DI150" s="15">
        <v>6.016E7</v>
      </c>
      <c r="DJ150" s="15">
        <v>7.464E7</v>
      </c>
      <c r="DK150" s="15">
        <v>2.36E7</v>
      </c>
      <c r="DL150" s="15">
        <v>2.451E7</v>
      </c>
      <c r="DM150" s="15">
        <v>2.074E7</v>
      </c>
      <c r="DN150" s="15">
        <v>2.2E7</v>
      </c>
      <c r="DO150" s="15">
        <v>2.468E7</v>
      </c>
      <c r="DP150" s="15">
        <v>1.993E7</v>
      </c>
      <c r="DQ150" s="15">
        <v>2.749E7</v>
      </c>
      <c r="DR150" s="15">
        <v>2.761E7</v>
      </c>
      <c r="DS150" s="15">
        <v>2.932E7</v>
      </c>
      <c r="DT150" s="15">
        <v>4.086E7</v>
      </c>
      <c r="DU150" s="16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3.692E7</v>
      </c>
      <c r="EA150" s="15">
        <v>3.815E7</v>
      </c>
      <c r="EB150" s="15">
        <v>3.297E7</v>
      </c>
      <c r="EC150" s="15">
        <v>3.713E7</v>
      </c>
      <c r="ED150" s="15">
        <v>3.765E7</v>
      </c>
      <c r="EE150" s="17">
        <v>0.062</v>
      </c>
      <c r="EF150" s="17">
        <v>0.258</v>
      </c>
      <c r="EG150" s="17">
        <v>-0.121</v>
      </c>
      <c r="EH150" s="17">
        <v>-0.936</v>
      </c>
    </row>
    <row r="151">
      <c r="A151" s="9">
        <f t="shared" si="2"/>
        <v>149</v>
      </c>
      <c r="B151" s="22" t="s">
        <v>285</v>
      </c>
      <c r="C151" s="11">
        <v>11010.0</v>
      </c>
      <c r="D151" s="12"/>
      <c r="E151" s="11">
        <v>422.0</v>
      </c>
      <c r="F151" s="11">
        <v>600.0</v>
      </c>
      <c r="G151" s="11">
        <v>545.0</v>
      </c>
      <c r="H151" s="11">
        <v>229.0</v>
      </c>
      <c r="I151" s="11">
        <v>301.0</v>
      </c>
      <c r="J151" s="12"/>
      <c r="K151" s="12"/>
      <c r="L151" s="11">
        <v>-1350.0</v>
      </c>
      <c r="M151" s="11">
        <v>-1740.0</v>
      </c>
      <c r="N151" s="11">
        <v>-1710.0</v>
      </c>
      <c r="O151" s="11">
        <v>99540.0</v>
      </c>
      <c r="P151" s="11">
        <v>71360.0</v>
      </c>
      <c r="Q151" s="11">
        <v>59740.0</v>
      </c>
      <c r="R151" s="11">
        <v>28490.0</v>
      </c>
      <c r="S151" s="11">
        <v>28460.0</v>
      </c>
      <c r="T151" s="11">
        <v>70150.0</v>
      </c>
      <c r="U151" s="11">
        <v>53640.0</v>
      </c>
      <c r="V151" s="11">
        <v>44040.0</v>
      </c>
      <c r="W151" s="11">
        <v>19260.0</v>
      </c>
      <c r="X151" s="11">
        <v>20450.0</v>
      </c>
      <c r="Y151" s="11">
        <v>-157320.0</v>
      </c>
      <c r="Z151" s="11">
        <v>-86000.0</v>
      </c>
      <c r="AA151" s="11">
        <v>-92790.0</v>
      </c>
      <c r="AB151" s="11">
        <v>-30960.0</v>
      </c>
      <c r="AC151" s="11">
        <v>-24070.0</v>
      </c>
      <c r="AD151" s="11">
        <v>-164140.0</v>
      </c>
      <c r="AE151" s="11">
        <v>-83010.0</v>
      </c>
      <c r="AF151" s="11">
        <v>-91890.0</v>
      </c>
      <c r="AG151" s="11">
        <v>-30860.0</v>
      </c>
      <c r="AH151" s="11">
        <v>-23810.0</v>
      </c>
      <c r="AI151" s="11">
        <v>-99120.0</v>
      </c>
      <c r="AJ151" s="11">
        <v>-70760.0</v>
      </c>
      <c r="AK151" s="11">
        <v>-59200.0</v>
      </c>
      <c r="AL151" s="11">
        <v>-28270.0</v>
      </c>
      <c r="AM151" s="11">
        <v>-28170.0</v>
      </c>
      <c r="AN151" s="11">
        <v>-164330.0</v>
      </c>
      <c r="AO151" s="11">
        <v>-83110.0</v>
      </c>
      <c r="AP151" s="11">
        <v>-91890.0</v>
      </c>
      <c r="AQ151" s="11">
        <v>-30860.0</v>
      </c>
      <c r="AR151" s="11">
        <v>-23810.0</v>
      </c>
      <c r="AS151" s="11">
        <v>-84200.0</v>
      </c>
      <c r="AT151" s="11">
        <v>-66890.0</v>
      </c>
      <c r="AU151" s="11">
        <v>-53440.0</v>
      </c>
      <c r="AV151" s="11">
        <v>-24790.0</v>
      </c>
      <c r="AW151" s="11">
        <v>-22730.0</v>
      </c>
      <c r="AX151" s="11">
        <v>-138.0</v>
      </c>
      <c r="AY151" s="11">
        <v>-97.0</v>
      </c>
      <c r="AZ151" s="11">
        <v>-32.0</v>
      </c>
      <c r="BA151" s="11">
        <v>-33.0</v>
      </c>
      <c r="BB151" s="11">
        <v>-64.0</v>
      </c>
      <c r="BC151" s="12"/>
      <c r="BD151" s="12"/>
      <c r="BE151" s="12"/>
      <c r="BF151" s="12"/>
      <c r="BG151" s="12"/>
      <c r="BH151" s="11">
        <v>396830.0</v>
      </c>
      <c r="BI151" s="11">
        <v>171890.0</v>
      </c>
      <c r="BJ151" s="11">
        <v>217340.0</v>
      </c>
      <c r="BK151" s="11">
        <v>53170.0</v>
      </c>
      <c r="BL151" s="11">
        <v>21880.0</v>
      </c>
      <c r="BM151" s="11">
        <v>477.0</v>
      </c>
      <c r="BN151" s="11">
        <v>296.0</v>
      </c>
      <c r="BO151" s="11">
        <v>137.0</v>
      </c>
      <c r="BP151" s="11">
        <v>115.0</v>
      </c>
      <c r="BQ151" s="11">
        <v>65.0</v>
      </c>
      <c r="BR151" s="12"/>
      <c r="BS151" s="12"/>
      <c r="BT151" s="12"/>
      <c r="BU151" s="12"/>
      <c r="BV151" s="12"/>
      <c r="BW151" s="11">
        <v>408650.0</v>
      </c>
      <c r="BX151" s="11">
        <v>181440.0</v>
      </c>
      <c r="BY151" s="11">
        <v>219580.0</v>
      </c>
      <c r="BZ151" s="11">
        <v>55540.0</v>
      </c>
      <c r="CA151" s="11">
        <v>22970.0</v>
      </c>
      <c r="CB151" s="11">
        <v>121.0</v>
      </c>
      <c r="CC151" s="11">
        <v>56.0</v>
      </c>
      <c r="CD151" s="11">
        <v>39.0</v>
      </c>
      <c r="CE151" s="11">
        <v>39.0</v>
      </c>
      <c r="CF151" s="11">
        <v>50.0</v>
      </c>
      <c r="CG151" s="12"/>
      <c r="CH151" s="12"/>
      <c r="CI151" s="12"/>
      <c r="CJ151" s="12"/>
      <c r="CK151" s="12"/>
      <c r="CL151" s="11">
        <v>423630.0</v>
      </c>
      <c r="CM151" s="11">
        <v>199220.0</v>
      </c>
      <c r="CN151" s="11">
        <v>237870.0</v>
      </c>
      <c r="CO151" s="11">
        <v>76440.0</v>
      </c>
      <c r="CP151" s="11">
        <v>46630.0</v>
      </c>
      <c r="CQ151" s="11">
        <v>5390.0</v>
      </c>
      <c r="CR151" s="11">
        <v>4030.0</v>
      </c>
      <c r="CS151" s="11">
        <v>4730.0</v>
      </c>
      <c r="CT151" s="11">
        <v>3840.0</v>
      </c>
      <c r="CU151" s="11">
        <v>2890.0</v>
      </c>
      <c r="CV151" s="11">
        <v>14650.0</v>
      </c>
      <c r="CW151" s="12"/>
      <c r="CX151" s="12"/>
      <c r="CY151" s="12"/>
      <c r="CZ151" s="12"/>
      <c r="DA151" s="12"/>
      <c r="DB151" s="11">
        <v>14650.0</v>
      </c>
      <c r="DC151" s="11">
        <v>9920.0</v>
      </c>
      <c r="DD151" s="11">
        <v>10210.0</v>
      </c>
      <c r="DE151" s="11">
        <v>10630.0</v>
      </c>
      <c r="DF151" s="11">
        <v>68940.0</v>
      </c>
      <c r="DG151" s="11">
        <v>45460.0</v>
      </c>
      <c r="DH151" s="11">
        <v>30200.0</v>
      </c>
      <c r="DI151" s="11">
        <v>28230.0</v>
      </c>
      <c r="DJ151" s="11">
        <v>18900.0</v>
      </c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3"/>
      <c r="DV151" s="12"/>
      <c r="DW151" s="12"/>
      <c r="DX151" s="13"/>
      <c r="DY151" s="13"/>
      <c r="DZ151" s="11">
        <v>354680.0</v>
      </c>
      <c r="EA151" s="11">
        <v>153750.0</v>
      </c>
      <c r="EB151" s="11">
        <v>207670.0</v>
      </c>
      <c r="EC151" s="11">
        <v>48210.0</v>
      </c>
      <c r="ED151" s="11">
        <v>27730.0</v>
      </c>
      <c r="EE151" s="23"/>
      <c r="EF151" s="23"/>
      <c r="EG151" s="14">
        <v>-0.067</v>
      </c>
      <c r="EH151" s="14">
        <v>-1.704</v>
      </c>
    </row>
    <row r="152">
      <c r="A152" s="9">
        <f t="shared" si="2"/>
        <v>150</v>
      </c>
      <c r="B152" s="22" t="s">
        <v>286</v>
      </c>
      <c r="C152" s="11">
        <v>1290.0</v>
      </c>
      <c r="D152" s="11">
        <v>1260.0</v>
      </c>
      <c r="E152" s="12"/>
      <c r="F152" s="12"/>
      <c r="G152" s="12"/>
      <c r="H152" s="12"/>
      <c r="I152" s="12"/>
      <c r="J152" s="11">
        <v>-4630.0</v>
      </c>
      <c r="K152" s="11">
        <v>-1710.0</v>
      </c>
      <c r="L152" s="11">
        <v>-1020.0</v>
      </c>
      <c r="M152" s="11">
        <v>-476.0</v>
      </c>
      <c r="N152" s="12"/>
      <c r="O152" s="11">
        <v>140840.0</v>
      </c>
      <c r="P152" s="11">
        <v>57410.0</v>
      </c>
      <c r="Q152" s="11">
        <v>24250.0</v>
      </c>
      <c r="R152" s="11">
        <v>15050.0</v>
      </c>
      <c r="S152" s="12"/>
      <c r="T152" s="11">
        <v>105850.0</v>
      </c>
      <c r="U152" s="11">
        <v>36270.0</v>
      </c>
      <c r="V152" s="11">
        <v>16110.0</v>
      </c>
      <c r="W152" s="11">
        <v>10400.0</v>
      </c>
      <c r="X152" s="12"/>
      <c r="Y152" s="11">
        <v>-149590.0</v>
      </c>
      <c r="Z152" s="12"/>
      <c r="AA152" s="12"/>
      <c r="AB152" s="12"/>
      <c r="AC152" s="12"/>
      <c r="AD152" s="11">
        <v>-139580.0</v>
      </c>
      <c r="AE152" s="11">
        <v>-52200.0</v>
      </c>
      <c r="AF152" s="11">
        <v>-23520.0</v>
      </c>
      <c r="AG152" s="11">
        <v>-14270.0</v>
      </c>
      <c r="AH152" s="12"/>
      <c r="AI152" s="11">
        <v>-140840.0</v>
      </c>
      <c r="AJ152" s="11">
        <v>-57410.0</v>
      </c>
      <c r="AK152" s="11">
        <v>-24250.0</v>
      </c>
      <c r="AL152" s="11">
        <v>-15050.0</v>
      </c>
      <c r="AM152" s="12"/>
      <c r="AN152" s="11">
        <v>-124360.0</v>
      </c>
      <c r="AO152" s="11">
        <v>-44890.0</v>
      </c>
      <c r="AP152" s="11">
        <v>-19840.0</v>
      </c>
      <c r="AQ152" s="11">
        <v>-12500.0</v>
      </c>
      <c r="AR152" s="12"/>
      <c r="AS152" s="11">
        <v>-101900.0</v>
      </c>
      <c r="AT152" s="11">
        <v>-31640.0</v>
      </c>
      <c r="AU152" s="11">
        <v>-16460.0</v>
      </c>
      <c r="AV152" s="11">
        <v>-9810.0</v>
      </c>
      <c r="AW152" s="12"/>
      <c r="AX152" s="11">
        <v>-18750.0</v>
      </c>
      <c r="AY152" s="11">
        <v>-9560.0</v>
      </c>
      <c r="AZ152" s="11">
        <v>-2890.0</v>
      </c>
      <c r="BA152" s="11">
        <v>-1850.0</v>
      </c>
      <c r="BB152" s="12"/>
      <c r="BC152" s="12"/>
      <c r="BD152" s="12"/>
      <c r="BE152" s="12"/>
      <c r="BF152" s="12"/>
      <c r="BG152" s="12"/>
      <c r="BH152" s="11">
        <v>211430.0</v>
      </c>
      <c r="BI152" s="11">
        <v>247090.0</v>
      </c>
      <c r="BJ152" s="11">
        <v>137070.0</v>
      </c>
      <c r="BK152" s="11">
        <v>28060.0</v>
      </c>
      <c r="BL152" s="12"/>
      <c r="BM152" s="11">
        <v>30520.0</v>
      </c>
      <c r="BN152" s="11">
        <v>9260.0</v>
      </c>
      <c r="BO152" s="11">
        <v>4730.0</v>
      </c>
      <c r="BP152" s="11">
        <v>2180.0</v>
      </c>
      <c r="BQ152" s="12"/>
      <c r="BR152" s="12"/>
      <c r="BS152" s="12"/>
      <c r="BT152" s="12"/>
      <c r="BU152" s="12"/>
      <c r="BV152" s="12"/>
      <c r="BW152" s="11">
        <v>249260.0</v>
      </c>
      <c r="BX152" s="11">
        <v>259280.0</v>
      </c>
      <c r="BY152" s="11">
        <v>142480.0</v>
      </c>
      <c r="BZ152" s="11">
        <v>30930.0</v>
      </c>
      <c r="CA152" s="12"/>
      <c r="CB152" s="11">
        <v>51570.0</v>
      </c>
      <c r="CC152" s="11">
        <v>13530.0</v>
      </c>
      <c r="CD152" s="11">
        <v>6180.0</v>
      </c>
      <c r="CE152" s="11">
        <v>3250.0</v>
      </c>
      <c r="CF152" s="12"/>
      <c r="CG152" s="12"/>
      <c r="CH152" s="12"/>
      <c r="CI152" s="12"/>
      <c r="CJ152" s="12"/>
      <c r="CK152" s="12"/>
      <c r="CL152" s="11">
        <v>303530.0</v>
      </c>
      <c r="CM152" s="11">
        <v>273210.0</v>
      </c>
      <c r="CN152" s="11">
        <v>148660.0</v>
      </c>
      <c r="CO152" s="11">
        <v>34180.0</v>
      </c>
      <c r="CP152" s="12"/>
      <c r="CQ152" s="12"/>
      <c r="CR152" s="12"/>
      <c r="CS152" s="12"/>
      <c r="CT152" s="12"/>
      <c r="CU152" s="12"/>
      <c r="CV152" s="11">
        <v>24980.0</v>
      </c>
      <c r="CW152" s="11">
        <v>2510.0</v>
      </c>
      <c r="CX152" s="12"/>
      <c r="CY152" s="12"/>
      <c r="CZ152" s="12"/>
      <c r="DA152" s="12"/>
      <c r="DB152" s="11">
        <v>24980.0</v>
      </c>
      <c r="DC152" s="11">
        <v>17140.0</v>
      </c>
      <c r="DD152" s="11">
        <v>5030.0</v>
      </c>
      <c r="DE152" s="11">
        <v>2740.0</v>
      </c>
      <c r="DF152" s="11">
        <v>48690.0</v>
      </c>
      <c r="DG152" s="11">
        <v>17740.0</v>
      </c>
      <c r="DH152" s="11">
        <v>6060.0</v>
      </c>
      <c r="DI152" s="11">
        <v>3490.0</v>
      </c>
      <c r="DJ152" s="12"/>
      <c r="DK152" s="12"/>
      <c r="DL152" s="12"/>
      <c r="DM152" s="12"/>
      <c r="DN152" s="12"/>
      <c r="DO152" s="12"/>
      <c r="DP152" s="11">
        <v>23710.0</v>
      </c>
      <c r="DQ152" s="12"/>
      <c r="DR152" s="12"/>
      <c r="DS152" s="12"/>
      <c r="DT152" s="12"/>
      <c r="DU152" s="13"/>
      <c r="DV152" s="12"/>
      <c r="DW152" s="11">
        <v>1.0</v>
      </c>
      <c r="DX152" s="12"/>
      <c r="DY152" s="13"/>
      <c r="DZ152" s="11">
        <v>254840.0</v>
      </c>
      <c r="EA152" s="11">
        <v>255470.0</v>
      </c>
      <c r="EB152" s="11">
        <v>142600.0</v>
      </c>
      <c r="EC152" s="11">
        <v>30690.0</v>
      </c>
      <c r="ED152" s="12"/>
      <c r="EE152" s="14">
        <v>0.5</v>
      </c>
      <c r="EF152" s="23"/>
      <c r="EG152" s="14">
        <v>0.127</v>
      </c>
      <c r="EH152" s="14">
        <v>0.114</v>
      </c>
    </row>
    <row r="153">
      <c r="A153" s="9">
        <f t="shared" si="2"/>
        <v>151</v>
      </c>
      <c r="B153" s="10" t="s">
        <v>287</v>
      </c>
      <c r="C153" s="15">
        <v>2060000.0</v>
      </c>
      <c r="D153" s="15">
        <v>1790000.0</v>
      </c>
      <c r="E153" s="15">
        <v>2140000.0</v>
      </c>
      <c r="F153" s="15">
        <v>2330000.0</v>
      </c>
      <c r="G153" s="15">
        <v>2340000.0</v>
      </c>
      <c r="H153" s="15">
        <v>2370000.0</v>
      </c>
      <c r="I153" s="15">
        <v>2200000.0</v>
      </c>
      <c r="J153" s="15">
        <v>446240.0</v>
      </c>
      <c r="K153" s="15">
        <v>415420.0</v>
      </c>
      <c r="L153" s="15">
        <v>380320.0</v>
      </c>
      <c r="M153" s="15">
        <v>348850.0</v>
      </c>
      <c r="N153" s="15">
        <v>250890.0</v>
      </c>
      <c r="O153" s="15">
        <v>105360.0</v>
      </c>
      <c r="P153" s="15">
        <v>118990.0</v>
      </c>
      <c r="Q153" s="15">
        <v>147450.0</v>
      </c>
      <c r="R153" s="15">
        <v>136860.0</v>
      </c>
      <c r="S153" s="15">
        <v>134080.0</v>
      </c>
      <c r="T153" s="15">
        <v>0.0</v>
      </c>
      <c r="U153" s="15">
        <v>0.0</v>
      </c>
      <c r="V153" s="15">
        <v>0.0</v>
      </c>
      <c r="W153" s="15">
        <v>0.0</v>
      </c>
      <c r="X153" s="15">
        <v>0.0</v>
      </c>
      <c r="Y153" s="15">
        <v>300540.0</v>
      </c>
      <c r="Z153" s="15">
        <v>-167850.0</v>
      </c>
      <c r="AA153" s="15">
        <v>-503240.0</v>
      </c>
      <c r="AB153" s="15">
        <v>-644840.0</v>
      </c>
      <c r="AC153" s="15">
        <v>-2640000.0</v>
      </c>
      <c r="AD153" s="15">
        <v>433360.0</v>
      </c>
      <c r="AE153" s="15">
        <v>-236160.0</v>
      </c>
      <c r="AF153" s="15">
        <v>-404980.0</v>
      </c>
      <c r="AG153" s="15">
        <v>-815750.0</v>
      </c>
      <c r="AH153" s="15">
        <v>-2740000.0</v>
      </c>
      <c r="AI153" s="15">
        <v>938510.0</v>
      </c>
      <c r="AJ153" s="15">
        <v>869460.0</v>
      </c>
      <c r="AK153" s="15">
        <v>847860.0</v>
      </c>
      <c r="AL153" s="15">
        <v>830330.0</v>
      </c>
      <c r="AM153" s="15">
        <v>745880.0</v>
      </c>
      <c r="AN153" s="15">
        <v>299350.0</v>
      </c>
      <c r="AO153" s="15">
        <v>-368880.0</v>
      </c>
      <c r="AP153" s="15">
        <v>-244670.0</v>
      </c>
      <c r="AQ153" s="15">
        <v>-384760.0</v>
      </c>
      <c r="AR153" s="15">
        <v>-2160000.0</v>
      </c>
      <c r="AS153" s="15">
        <v>533940.0</v>
      </c>
      <c r="AT153" s="15">
        <v>420080.0</v>
      </c>
      <c r="AU153" s="15">
        <v>493500.0</v>
      </c>
      <c r="AV153" s="15">
        <v>753620.0</v>
      </c>
      <c r="AW153" s="15">
        <v>534270.0</v>
      </c>
      <c r="AX153" s="15">
        <v>-440130.0</v>
      </c>
      <c r="AY153" s="15">
        <v>-579250.0</v>
      </c>
      <c r="AZ153" s="15">
        <v>-788540.0</v>
      </c>
      <c r="BA153" s="15">
        <v>-656370.0</v>
      </c>
      <c r="BB153" s="15">
        <v>-452640.0</v>
      </c>
      <c r="BC153" s="15">
        <v>-31450.0</v>
      </c>
      <c r="BD153" s="15">
        <v>-24630.0</v>
      </c>
      <c r="BE153" s="15">
        <v>-24530.0</v>
      </c>
      <c r="BF153" s="15">
        <v>-37100.0</v>
      </c>
      <c r="BG153" s="15">
        <v>-70620.0</v>
      </c>
      <c r="BH153" s="15">
        <v>205920.0</v>
      </c>
      <c r="BI153" s="15">
        <v>134530.0</v>
      </c>
      <c r="BJ153" s="15">
        <v>186560.0</v>
      </c>
      <c r="BK153" s="15">
        <v>137190.0</v>
      </c>
      <c r="BL153" s="15">
        <v>171830.0</v>
      </c>
      <c r="BM153" s="15">
        <v>4410.0</v>
      </c>
      <c r="BN153" s="15">
        <v>33190.0</v>
      </c>
      <c r="BO153" s="15">
        <v>48360.0</v>
      </c>
      <c r="BP153" s="15">
        <v>49080.0</v>
      </c>
      <c r="BQ153" s="15">
        <v>63760.0</v>
      </c>
      <c r="BR153" s="15">
        <v>172990.0</v>
      </c>
      <c r="BS153" s="15">
        <v>247210.0</v>
      </c>
      <c r="BT153" s="15">
        <v>204860.0</v>
      </c>
      <c r="BU153" s="15">
        <v>340760.0</v>
      </c>
      <c r="BV153" s="15">
        <v>375060.0</v>
      </c>
      <c r="BW153" s="15">
        <v>520770.0</v>
      </c>
      <c r="BX153" s="15">
        <v>586200.0</v>
      </c>
      <c r="BY153" s="15">
        <v>1050000.0</v>
      </c>
      <c r="BZ153" s="15">
        <v>740800.0</v>
      </c>
      <c r="CA153" s="15">
        <v>901530.0</v>
      </c>
      <c r="CB153" s="15">
        <v>7720000.0</v>
      </c>
      <c r="CC153" s="15">
        <v>5610000.0</v>
      </c>
      <c r="CD153" s="15">
        <v>5680000.0</v>
      </c>
      <c r="CE153" s="15">
        <v>1.015E7</v>
      </c>
      <c r="CF153" s="15">
        <v>1.14E7</v>
      </c>
      <c r="CG153" s="15">
        <v>465140.0</v>
      </c>
      <c r="CH153" s="15">
        <v>489910.0</v>
      </c>
      <c r="CI153" s="15">
        <v>505820.0</v>
      </c>
      <c r="CJ153" s="15">
        <v>573570.0</v>
      </c>
      <c r="CK153" s="15">
        <v>594120.0</v>
      </c>
      <c r="CL153" s="15">
        <v>9230000.0</v>
      </c>
      <c r="CM153" s="15">
        <v>1.094E7</v>
      </c>
      <c r="CN153" s="15">
        <v>1.098E7</v>
      </c>
      <c r="CO153" s="15">
        <v>1.18E7</v>
      </c>
      <c r="CP153" s="15">
        <v>1.322E7</v>
      </c>
      <c r="CQ153" s="15">
        <v>199570.0</v>
      </c>
      <c r="CR153" s="15">
        <v>302250.0</v>
      </c>
      <c r="CS153" s="15">
        <v>321260.0</v>
      </c>
      <c r="CT153" s="15">
        <v>306700.0</v>
      </c>
      <c r="CU153" s="15">
        <v>282130.0</v>
      </c>
      <c r="CV153" s="15">
        <v>529590.0</v>
      </c>
      <c r="CW153" s="15">
        <v>0.0</v>
      </c>
      <c r="CX153" s="16">
        <v>0.0</v>
      </c>
      <c r="CY153" s="15">
        <v>0.0</v>
      </c>
      <c r="CZ153" s="16">
        <v>0.0</v>
      </c>
      <c r="DA153" s="15">
        <v>0.0</v>
      </c>
      <c r="DB153" s="15">
        <v>529590.0</v>
      </c>
      <c r="DC153" s="15">
        <v>677980.0</v>
      </c>
      <c r="DD153" s="15">
        <v>978180.0</v>
      </c>
      <c r="DE153" s="15">
        <v>637130.0</v>
      </c>
      <c r="DF153" s="15">
        <v>3760000.0</v>
      </c>
      <c r="DG153" s="15">
        <v>5450000.0</v>
      </c>
      <c r="DH153" s="15">
        <v>5410000.0</v>
      </c>
      <c r="DI153" s="15">
        <v>5660000.0</v>
      </c>
      <c r="DJ153" s="15">
        <v>6460000.0</v>
      </c>
      <c r="DK153" s="15">
        <v>156000.0</v>
      </c>
      <c r="DL153" s="15">
        <v>199410.0</v>
      </c>
      <c r="DM153" s="15">
        <v>0.0</v>
      </c>
      <c r="DN153" s="15">
        <v>0.0</v>
      </c>
      <c r="DO153" s="15">
        <v>0.0</v>
      </c>
      <c r="DP153" s="15">
        <v>1320000.0</v>
      </c>
      <c r="DQ153" s="15">
        <v>2400000.0</v>
      </c>
      <c r="DR153" s="15">
        <v>2190000.0</v>
      </c>
      <c r="DS153" s="15">
        <v>2110000.0</v>
      </c>
      <c r="DT153" s="15">
        <v>2330000.0</v>
      </c>
      <c r="DU153" s="16">
        <v>0.0</v>
      </c>
      <c r="DV153" s="15">
        <v>0.0</v>
      </c>
      <c r="DW153" s="15">
        <v>0.0</v>
      </c>
      <c r="DX153" s="15">
        <v>0.0</v>
      </c>
      <c r="DY153" s="16">
        <v>0.0</v>
      </c>
      <c r="DZ153" s="15">
        <v>5430000.0</v>
      </c>
      <c r="EA153" s="15">
        <v>5450000.0</v>
      </c>
      <c r="EB153" s="15">
        <v>5400000.0</v>
      </c>
      <c r="EC153" s="15">
        <v>6050000.0</v>
      </c>
      <c r="ED153" s="15">
        <v>6730000.0</v>
      </c>
      <c r="EE153" s="17">
        <v>0.112</v>
      </c>
      <c r="EF153" s="17">
        <v>0.214</v>
      </c>
      <c r="EG153" s="17">
        <v>0.0</v>
      </c>
      <c r="EH153" s="17">
        <v>-0.667</v>
      </c>
    </row>
    <row r="154">
      <c r="A154" s="9">
        <f t="shared" si="2"/>
        <v>152</v>
      </c>
      <c r="B154" s="10" t="s">
        <v>288</v>
      </c>
      <c r="C154" s="11">
        <v>446670.0</v>
      </c>
      <c r="D154" s="11">
        <v>402570.0</v>
      </c>
      <c r="E154" s="11">
        <v>367300.0</v>
      </c>
      <c r="F154" s="11">
        <v>314270.0</v>
      </c>
      <c r="G154" s="11">
        <v>268420.0</v>
      </c>
      <c r="H154" s="11">
        <v>228940.0</v>
      </c>
      <c r="I154" s="11">
        <v>264100.0</v>
      </c>
      <c r="J154" s="11">
        <v>154250.0</v>
      </c>
      <c r="K154" s="11">
        <v>128400.0</v>
      </c>
      <c r="L154" s="11">
        <v>107690.0</v>
      </c>
      <c r="M154" s="11">
        <v>95740.0</v>
      </c>
      <c r="N154" s="11">
        <v>108860.0</v>
      </c>
      <c r="O154" s="11">
        <v>106320.0</v>
      </c>
      <c r="P154" s="11">
        <v>90180.0</v>
      </c>
      <c r="Q154" s="11">
        <v>77260.0</v>
      </c>
      <c r="R154" s="11">
        <v>75330.0</v>
      </c>
      <c r="S154" s="11">
        <v>97280.0</v>
      </c>
      <c r="T154" s="11">
        <v>46120.0</v>
      </c>
      <c r="U154" s="11">
        <v>34230.0</v>
      </c>
      <c r="V154" s="11">
        <v>26430.0</v>
      </c>
      <c r="W154" s="11">
        <v>28470.0</v>
      </c>
      <c r="X154" s="11">
        <v>42290.0</v>
      </c>
      <c r="Y154" s="11">
        <v>47140.0</v>
      </c>
      <c r="Z154" s="11">
        <v>33830.0</v>
      </c>
      <c r="AA154" s="12"/>
      <c r="AB154" s="11">
        <v>-1340.0</v>
      </c>
      <c r="AC154" s="11">
        <v>-933.0</v>
      </c>
      <c r="AD154" s="11">
        <v>52670.0</v>
      </c>
      <c r="AE154" s="11">
        <v>50480.0</v>
      </c>
      <c r="AF154" s="11">
        <v>32620.0</v>
      </c>
      <c r="AG154" s="11">
        <v>20870.0</v>
      </c>
      <c r="AH154" s="11">
        <v>8070.0</v>
      </c>
      <c r="AI154" s="11">
        <v>57820.0</v>
      </c>
      <c r="AJ154" s="11">
        <v>45890.0</v>
      </c>
      <c r="AK154" s="11">
        <v>36400.0</v>
      </c>
      <c r="AL154" s="11">
        <v>25490.0</v>
      </c>
      <c r="AM154" s="11">
        <v>16740.0</v>
      </c>
      <c r="AN154" s="11">
        <v>41340.0</v>
      </c>
      <c r="AO154" s="11">
        <v>41910.0</v>
      </c>
      <c r="AP154" s="11">
        <v>21750.0</v>
      </c>
      <c r="AQ154" s="11">
        <v>16630.0</v>
      </c>
      <c r="AR154" s="11">
        <v>8970.0</v>
      </c>
      <c r="AS154" s="11">
        <v>25100.0</v>
      </c>
      <c r="AT154" s="11">
        <v>19260.0</v>
      </c>
      <c r="AU154" s="11">
        <v>69210.0</v>
      </c>
      <c r="AV154" s="11">
        <v>-7990.0</v>
      </c>
      <c r="AW154" s="11">
        <v>551.0</v>
      </c>
      <c r="AX154" s="11">
        <v>-11220.0</v>
      </c>
      <c r="AY154" s="11">
        <v>-8900.0</v>
      </c>
      <c r="AZ154" s="11">
        <v>-9560.0</v>
      </c>
      <c r="BA154" s="11">
        <v>-9020.0</v>
      </c>
      <c r="BB154" s="11">
        <v>-6830.0</v>
      </c>
      <c r="BC154" s="12"/>
      <c r="BD154" s="12"/>
      <c r="BE154" s="12"/>
      <c r="BF154" s="12"/>
      <c r="BG154" s="12"/>
      <c r="BH154" s="11">
        <v>302650.0</v>
      </c>
      <c r="BI154" s="11">
        <v>323200.0</v>
      </c>
      <c r="BJ154" s="11">
        <v>257170.0</v>
      </c>
      <c r="BK154" s="11">
        <v>199880.0</v>
      </c>
      <c r="BL154" s="11">
        <v>227690.0</v>
      </c>
      <c r="BM154" s="11">
        <v>149500.0</v>
      </c>
      <c r="BN154" s="11">
        <v>84920.0</v>
      </c>
      <c r="BO154" s="11">
        <v>73690.0</v>
      </c>
      <c r="BP154" s="11">
        <v>82840.0</v>
      </c>
      <c r="BQ154" s="11">
        <v>74940.0</v>
      </c>
      <c r="BR154" s="11">
        <v>45540.0</v>
      </c>
      <c r="BS154" s="11">
        <v>54060.0</v>
      </c>
      <c r="BT154" s="11">
        <v>37430.0</v>
      </c>
      <c r="BU154" s="11">
        <v>40910.0</v>
      </c>
      <c r="BV154" s="11">
        <v>37490.0</v>
      </c>
      <c r="BW154" s="11">
        <v>503930.0</v>
      </c>
      <c r="BX154" s="11">
        <v>469590.0</v>
      </c>
      <c r="BY154" s="11">
        <v>399050.0</v>
      </c>
      <c r="BZ154" s="11">
        <v>354090.0</v>
      </c>
      <c r="CA154" s="11">
        <v>344270.0</v>
      </c>
      <c r="CB154" s="11">
        <v>30490.0</v>
      </c>
      <c r="CC154" s="11">
        <v>16910.0</v>
      </c>
      <c r="CD154" s="11">
        <v>19220.0</v>
      </c>
      <c r="CE154" s="11">
        <v>15960.0</v>
      </c>
      <c r="CF154" s="11">
        <v>16760.0</v>
      </c>
      <c r="CG154" s="11">
        <v>6340.0</v>
      </c>
      <c r="CH154" s="12"/>
      <c r="CI154" s="12"/>
      <c r="CJ154" s="12"/>
      <c r="CK154" s="12"/>
      <c r="CL154" s="11">
        <v>605400.0</v>
      </c>
      <c r="CM154" s="11">
        <v>508840.0</v>
      </c>
      <c r="CN154" s="11">
        <v>473420.0</v>
      </c>
      <c r="CO154" s="11">
        <v>432500.0</v>
      </c>
      <c r="CP154" s="11">
        <v>410660.0</v>
      </c>
      <c r="CQ154" s="11">
        <v>19860.0</v>
      </c>
      <c r="CR154" s="11">
        <v>15970.0</v>
      </c>
      <c r="CS154" s="11">
        <v>21340.0</v>
      </c>
      <c r="CT154" s="11">
        <v>15900.0</v>
      </c>
      <c r="CU154" s="11">
        <v>17710.0</v>
      </c>
      <c r="CV154" s="11">
        <v>66950.0</v>
      </c>
      <c r="CW154" s="11">
        <v>3380.0</v>
      </c>
      <c r="CX154" s="12"/>
      <c r="CY154" s="12"/>
      <c r="CZ154" s="12"/>
      <c r="DA154" s="12"/>
      <c r="DB154" s="11">
        <v>66950.0</v>
      </c>
      <c r="DC154" s="11">
        <v>44870.0</v>
      </c>
      <c r="DD154" s="11">
        <v>62090.0</v>
      </c>
      <c r="DE154" s="11">
        <v>48060.0</v>
      </c>
      <c r="DF154" s="11">
        <v>95500.0</v>
      </c>
      <c r="DG154" s="11">
        <v>46270.0</v>
      </c>
      <c r="DH154" s="11">
        <v>64360.0</v>
      </c>
      <c r="DI154" s="11">
        <v>50310.0</v>
      </c>
      <c r="DJ154" s="11">
        <v>49130.0</v>
      </c>
      <c r="DK154" s="11">
        <v>25490.0</v>
      </c>
      <c r="DL154" s="11">
        <v>9390.0</v>
      </c>
      <c r="DM154" s="11">
        <v>40660.0</v>
      </c>
      <c r="DN154" s="11">
        <v>42100.0</v>
      </c>
      <c r="DO154" s="11">
        <v>34250.0</v>
      </c>
      <c r="DP154" s="11">
        <v>6830.0</v>
      </c>
      <c r="DQ154" s="12"/>
      <c r="DR154" s="12"/>
      <c r="DS154" s="11">
        <v>161.0</v>
      </c>
      <c r="DT154" s="11">
        <v>449.0</v>
      </c>
      <c r="DU154" s="13"/>
      <c r="DV154" s="13"/>
      <c r="DW154" s="13"/>
      <c r="DX154" s="13"/>
      <c r="DY154" s="13"/>
      <c r="DZ154" s="11">
        <v>509900.0</v>
      </c>
      <c r="EA154" s="11">
        <v>462570.0</v>
      </c>
      <c r="EB154" s="11">
        <v>409030.0</v>
      </c>
      <c r="EC154" s="11">
        <v>381950.0</v>
      </c>
      <c r="ED154" s="11">
        <v>361530.0</v>
      </c>
      <c r="EE154" s="14">
        <v>0.027</v>
      </c>
      <c r="EF154" s="14">
        <v>0.177</v>
      </c>
      <c r="EG154" s="14">
        <v>0.071</v>
      </c>
      <c r="EH154" s="14">
        <v>0.07</v>
      </c>
    </row>
    <row r="155">
      <c r="A155" s="9">
        <f t="shared" si="2"/>
        <v>153</v>
      </c>
      <c r="B155" s="25" t="s">
        <v>289</v>
      </c>
      <c r="C155" s="15">
        <v>507400.0</v>
      </c>
      <c r="D155" s="15">
        <v>485750.0</v>
      </c>
      <c r="E155" s="15">
        <v>468190.0</v>
      </c>
      <c r="F155" s="15">
        <v>454270.0</v>
      </c>
      <c r="G155" s="15">
        <v>355050.0</v>
      </c>
      <c r="H155" s="15">
        <v>312110.0</v>
      </c>
      <c r="I155" s="15">
        <v>289380.0</v>
      </c>
      <c r="J155" s="15">
        <v>177350.0</v>
      </c>
      <c r="K155" s="15">
        <v>182630.0</v>
      </c>
      <c r="L155" s="15">
        <v>147390.0</v>
      </c>
      <c r="M155" s="15">
        <v>128290.0</v>
      </c>
      <c r="N155" s="15">
        <v>111900.0</v>
      </c>
      <c r="O155" s="15">
        <v>150100.0</v>
      </c>
      <c r="P155" s="15">
        <v>143610.0</v>
      </c>
      <c r="Q155" s="15">
        <v>119660.0</v>
      </c>
      <c r="R155" s="15">
        <v>107750.0</v>
      </c>
      <c r="S155" s="15">
        <v>99350.0</v>
      </c>
      <c r="T155" s="15">
        <v>24070.0</v>
      </c>
      <c r="U155" s="15">
        <v>26430.0</v>
      </c>
      <c r="V155" s="15">
        <v>26080.0</v>
      </c>
      <c r="W155" s="15">
        <v>21300.0</v>
      </c>
      <c r="X155" s="15">
        <v>19120.0</v>
      </c>
      <c r="Y155" s="15">
        <v>26220.0</v>
      </c>
      <c r="Z155" s="15">
        <v>37620.0</v>
      </c>
      <c r="AA155" s="15">
        <v>26790.0</v>
      </c>
      <c r="AB155" s="15"/>
      <c r="AC155" s="15"/>
      <c r="AD155" s="15">
        <v>19010.0</v>
      </c>
      <c r="AE155" s="15">
        <v>33600.0</v>
      </c>
      <c r="AF155" s="15">
        <v>24850.0</v>
      </c>
      <c r="AG155" s="15">
        <v>18920.0</v>
      </c>
      <c r="AH155" s="15">
        <v>8960.0</v>
      </c>
      <c r="AI155" s="15">
        <v>45910.0</v>
      </c>
      <c r="AJ155" s="15">
        <v>57910.0</v>
      </c>
      <c r="AK155" s="15">
        <v>44690.0</v>
      </c>
      <c r="AL155" s="15">
        <v>36870.0</v>
      </c>
      <c r="AM155" s="15">
        <v>28000.0</v>
      </c>
      <c r="AN155" s="15">
        <v>13600.0</v>
      </c>
      <c r="AO155" s="15">
        <v>24200.0</v>
      </c>
      <c r="AP155" s="15">
        <v>20270.0</v>
      </c>
      <c r="AQ155" s="15">
        <v>12790.0</v>
      </c>
      <c r="AR155" s="15">
        <v>6590.0</v>
      </c>
      <c r="AS155" s="15">
        <v>9250.0</v>
      </c>
      <c r="AT155" s="15">
        <v>11350.0</v>
      </c>
      <c r="AU155" s="15">
        <v>59000.0</v>
      </c>
      <c r="AV155" s="15">
        <v>46410.0</v>
      </c>
      <c r="AW155" s="15">
        <v>78570.0</v>
      </c>
      <c r="AX155" s="15">
        <v>-12990.0</v>
      </c>
      <c r="AY155" s="15">
        <v>-8050.0</v>
      </c>
      <c r="AZ155" s="15">
        <v>-6670.0</v>
      </c>
      <c r="BA155" s="15">
        <v>-10850.0</v>
      </c>
      <c r="BB155" s="15">
        <v>-43570.0</v>
      </c>
      <c r="BC155" s="15">
        <v>-2320.0</v>
      </c>
      <c r="BD155" s="15">
        <v>-2200.0</v>
      </c>
      <c r="BE155" s="15">
        <v>-1600.0</v>
      </c>
      <c r="BF155" s="15">
        <v>-578.0</v>
      </c>
      <c r="BG155" s="15">
        <v>-1140.0</v>
      </c>
      <c r="BH155" s="15">
        <v>6580.0</v>
      </c>
      <c r="BI155" s="15">
        <v>6170.0</v>
      </c>
      <c r="BJ155" s="15">
        <v>11340.0</v>
      </c>
      <c r="BK155" s="15">
        <v>7870.0</v>
      </c>
      <c r="BL155" s="15">
        <v>5520.0</v>
      </c>
      <c r="BM155" s="15">
        <v>155850.0</v>
      </c>
      <c r="BN155" s="15">
        <v>134030.0</v>
      </c>
      <c r="BO155" s="15">
        <v>109610.0</v>
      </c>
      <c r="BP155" s="15">
        <v>87210.0</v>
      </c>
      <c r="BQ155" s="15">
        <v>75390.0</v>
      </c>
      <c r="BR155" s="15">
        <v>163310.0</v>
      </c>
      <c r="BS155" s="15">
        <v>159900.0</v>
      </c>
      <c r="BT155" s="15">
        <v>123120.0</v>
      </c>
      <c r="BU155" s="15">
        <v>120580.0</v>
      </c>
      <c r="BV155" s="15">
        <v>136480.0</v>
      </c>
      <c r="BW155" s="15">
        <v>336200.0</v>
      </c>
      <c r="BX155" s="15">
        <v>310190.0</v>
      </c>
      <c r="BY155" s="15">
        <v>254880.0</v>
      </c>
      <c r="BZ155" s="15">
        <v>227080.0</v>
      </c>
      <c r="CA155" s="15">
        <v>228560.0</v>
      </c>
      <c r="CB155" s="15">
        <v>67780.0</v>
      </c>
      <c r="CC155" s="15">
        <v>49250.0</v>
      </c>
      <c r="CD155" s="15">
        <v>49320.0</v>
      </c>
      <c r="CE155" s="15">
        <v>50300.0</v>
      </c>
      <c r="CF155" s="15">
        <v>47970.0</v>
      </c>
      <c r="CG155" s="15">
        <v>46560.0</v>
      </c>
      <c r="CH155" s="15">
        <v>25790.0</v>
      </c>
      <c r="CI155" s="15">
        <v>22180.0</v>
      </c>
      <c r="CJ155" s="15"/>
      <c r="CK155" s="15"/>
      <c r="CL155" s="15">
        <v>691090.0</v>
      </c>
      <c r="CM155" s="15">
        <v>609600.0</v>
      </c>
      <c r="CN155" s="15">
        <v>550240.0</v>
      </c>
      <c r="CO155" s="15">
        <v>455430.0</v>
      </c>
      <c r="CP155" s="15">
        <v>459610.0</v>
      </c>
      <c r="CQ155" s="15">
        <v>64880.0</v>
      </c>
      <c r="CR155" s="15">
        <v>66540.0</v>
      </c>
      <c r="CS155" s="15">
        <v>53750.0</v>
      </c>
      <c r="CT155" s="15">
        <v>24360.0</v>
      </c>
      <c r="CU155" s="15">
        <v>15340.0</v>
      </c>
      <c r="CV155" s="15">
        <v>138640.0</v>
      </c>
      <c r="CW155" s="15">
        <v>4900.0</v>
      </c>
      <c r="CX155" s="15"/>
      <c r="CY155" s="15"/>
      <c r="CZ155" s="15"/>
      <c r="DA155" s="15"/>
      <c r="DB155" s="15">
        <v>138640.0</v>
      </c>
      <c r="DC155" s="15">
        <v>145530.0</v>
      </c>
      <c r="DD155" s="15">
        <v>126200.0</v>
      </c>
      <c r="DE155" s="15">
        <v>97070.0</v>
      </c>
      <c r="DF155" s="15">
        <v>346930.0</v>
      </c>
      <c r="DG155" s="15">
        <v>280370.0</v>
      </c>
      <c r="DH155" s="15">
        <v>244920.0</v>
      </c>
      <c r="DI155" s="15">
        <v>173070.0</v>
      </c>
      <c r="DJ155" s="15">
        <v>191280.0</v>
      </c>
      <c r="DK155" s="15"/>
      <c r="DL155" s="15"/>
      <c r="DM155" s="15"/>
      <c r="DN155" s="15"/>
      <c r="DO155" s="15"/>
      <c r="DP155" s="15">
        <v>155270.0</v>
      </c>
      <c r="DQ155" s="15">
        <v>96670.0</v>
      </c>
      <c r="DR155" s="15">
        <v>77490.0</v>
      </c>
      <c r="DS155" s="15">
        <v>40950.0</v>
      </c>
      <c r="DT155" s="15">
        <v>68320.0</v>
      </c>
      <c r="DU155" s="15"/>
      <c r="DV155" s="15"/>
      <c r="DW155" s="15"/>
      <c r="DX155" s="15"/>
      <c r="DY155" s="15"/>
      <c r="DZ155" s="15">
        <v>344160.0</v>
      </c>
      <c r="EA155" s="15">
        <v>329230.0</v>
      </c>
      <c r="EB155" s="15">
        <v>305060.0</v>
      </c>
      <c r="EC155" s="15">
        <v>282190.0</v>
      </c>
      <c r="ED155" s="15">
        <v>268400.0</v>
      </c>
      <c r="EE155" s="23">
        <v>0.007</v>
      </c>
      <c r="EF155" s="23">
        <v>0.0</v>
      </c>
      <c r="EG155" s="23">
        <v>1.0</v>
      </c>
      <c r="EH155" s="23">
        <v>0.277</v>
      </c>
    </row>
    <row r="156">
      <c r="A156" s="9">
        <f t="shared" si="2"/>
        <v>154</v>
      </c>
      <c r="B156" s="22" t="s">
        <v>290</v>
      </c>
      <c r="C156" s="11">
        <v>26460.0</v>
      </c>
      <c r="D156" s="11">
        <v>27680.0</v>
      </c>
      <c r="E156" s="11">
        <v>59200.0</v>
      </c>
      <c r="F156" s="11">
        <v>103160.0</v>
      </c>
      <c r="G156" s="11">
        <v>174680.0</v>
      </c>
      <c r="H156" s="11">
        <v>149810.0</v>
      </c>
      <c r="I156" s="11">
        <v>172080.0</v>
      </c>
      <c r="J156" s="11">
        <v>46270.0</v>
      </c>
      <c r="K156" s="11">
        <v>79050.0</v>
      </c>
      <c r="L156" s="11">
        <v>154550.0</v>
      </c>
      <c r="M156" s="11">
        <v>122750.0</v>
      </c>
      <c r="N156" s="11">
        <v>148230.0</v>
      </c>
      <c r="O156" s="11">
        <v>63090.0</v>
      </c>
      <c r="P156" s="11">
        <v>139540.0</v>
      </c>
      <c r="Q156" s="11">
        <v>93040.0</v>
      </c>
      <c r="R156" s="11">
        <v>78560.0</v>
      </c>
      <c r="S156" s="11">
        <v>47070.0</v>
      </c>
      <c r="T156" s="11">
        <v>32910.0</v>
      </c>
      <c r="U156" s="11">
        <v>39290.0</v>
      </c>
      <c r="V156" s="11">
        <v>33690.0</v>
      </c>
      <c r="W156" s="11">
        <v>34510.0</v>
      </c>
      <c r="X156" s="11">
        <v>25470.0</v>
      </c>
      <c r="Y156" s="11">
        <v>-24110.0</v>
      </c>
      <c r="Z156" s="11">
        <v>-104810.0</v>
      </c>
      <c r="AA156" s="11">
        <v>90250.0</v>
      </c>
      <c r="AB156" s="11">
        <v>-4950.0</v>
      </c>
      <c r="AC156" s="11">
        <v>-30790.0</v>
      </c>
      <c r="AD156" s="11">
        <v>-38570.0</v>
      </c>
      <c r="AE156" s="11">
        <v>-113080.0</v>
      </c>
      <c r="AF156" s="11">
        <v>93430.0</v>
      </c>
      <c r="AG156" s="11">
        <v>-9690.0</v>
      </c>
      <c r="AH156" s="11">
        <v>77290.0</v>
      </c>
      <c r="AI156" s="11">
        <v>-14340.0</v>
      </c>
      <c r="AJ156" s="11">
        <v>-53070.0</v>
      </c>
      <c r="AK156" s="11">
        <v>66440.0</v>
      </c>
      <c r="AL156" s="11">
        <v>58640.0</v>
      </c>
      <c r="AM156" s="11">
        <v>114230.0</v>
      </c>
      <c r="AN156" s="11">
        <v>-33220.0</v>
      </c>
      <c r="AO156" s="11">
        <v>-95200.0</v>
      </c>
      <c r="AP156" s="11">
        <v>68840.0</v>
      </c>
      <c r="AQ156" s="11">
        <v>-41160.0</v>
      </c>
      <c r="AR156" s="11">
        <v>41570.0</v>
      </c>
      <c r="AS156" s="11">
        <v>-38320.0</v>
      </c>
      <c r="AT156" s="11">
        <v>-82630.0</v>
      </c>
      <c r="AU156" s="11">
        <v>16800.0</v>
      </c>
      <c r="AV156" s="11">
        <v>18850.0</v>
      </c>
      <c r="AW156" s="11">
        <v>83840.0</v>
      </c>
      <c r="AX156" s="11">
        <v>-29.0</v>
      </c>
      <c r="AY156" s="11">
        <v>-20160.0</v>
      </c>
      <c r="AZ156" s="11">
        <v>-54150.0</v>
      </c>
      <c r="BA156" s="11">
        <v>-1200.0</v>
      </c>
      <c r="BB156" s="11">
        <v>-1620.0</v>
      </c>
      <c r="BC156" s="12"/>
      <c r="BD156" s="12"/>
      <c r="BE156" s="12"/>
      <c r="BF156" s="12"/>
      <c r="BG156" s="12"/>
      <c r="BH156" s="11">
        <v>64160.0</v>
      </c>
      <c r="BI156" s="11">
        <v>99920.0</v>
      </c>
      <c r="BJ156" s="11">
        <v>94080.0</v>
      </c>
      <c r="BK156" s="11">
        <v>155050.0</v>
      </c>
      <c r="BL156" s="11">
        <v>144800.0</v>
      </c>
      <c r="BM156" s="11">
        <v>11980.0</v>
      </c>
      <c r="BN156" s="11">
        <v>13910.0</v>
      </c>
      <c r="BO156" s="11">
        <v>16510.0</v>
      </c>
      <c r="BP156" s="11">
        <v>19130.0</v>
      </c>
      <c r="BQ156" s="11">
        <v>14490.0</v>
      </c>
      <c r="BR156" s="11">
        <v>3570.0</v>
      </c>
      <c r="BS156" s="11">
        <v>4770.0</v>
      </c>
      <c r="BT156" s="11">
        <v>6160.0</v>
      </c>
      <c r="BU156" s="11">
        <v>3280.0</v>
      </c>
      <c r="BV156" s="11">
        <v>3670.0</v>
      </c>
      <c r="BW156" s="11">
        <v>82380.0</v>
      </c>
      <c r="BX156" s="11">
        <v>124850.0</v>
      </c>
      <c r="BY156" s="11">
        <v>123980.0</v>
      </c>
      <c r="BZ156" s="11">
        <v>182190.0</v>
      </c>
      <c r="CA156" s="11">
        <v>166400.0</v>
      </c>
      <c r="CB156" s="11">
        <v>4160.0</v>
      </c>
      <c r="CC156" s="11">
        <v>1910.0</v>
      </c>
      <c r="CD156" s="11">
        <v>3000.0</v>
      </c>
      <c r="CE156" s="11">
        <v>3340.0</v>
      </c>
      <c r="CF156" s="11">
        <v>2620.0</v>
      </c>
      <c r="CG156" s="11">
        <v>18490.0</v>
      </c>
      <c r="CH156" s="11">
        <v>18490.0</v>
      </c>
      <c r="CI156" s="11">
        <v>18490.0</v>
      </c>
      <c r="CJ156" s="11">
        <v>18590.0</v>
      </c>
      <c r="CK156" s="11">
        <v>18490.0</v>
      </c>
      <c r="CL156" s="11">
        <v>151440.0</v>
      </c>
      <c r="CM156" s="11">
        <v>190300.0</v>
      </c>
      <c r="CN156" s="11">
        <v>253280.0</v>
      </c>
      <c r="CO156" s="11">
        <v>246840.0</v>
      </c>
      <c r="CP156" s="11">
        <v>215080.0</v>
      </c>
      <c r="CQ156" s="11">
        <v>6100.0</v>
      </c>
      <c r="CR156" s="11">
        <v>3500.0</v>
      </c>
      <c r="CS156" s="11">
        <v>7480.0</v>
      </c>
      <c r="CT156" s="11">
        <v>7140.0</v>
      </c>
      <c r="CU156" s="11">
        <v>5050.0</v>
      </c>
      <c r="CV156" s="11">
        <v>35980.0</v>
      </c>
      <c r="CW156" s="11">
        <v>645.0</v>
      </c>
      <c r="CX156" s="12"/>
      <c r="CY156" s="12"/>
      <c r="CZ156" s="12"/>
      <c r="DA156" s="12"/>
      <c r="DB156" s="11">
        <v>35980.0</v>
      </c>
      <c r="DC156" s="11">
        <v>38380.0</v>
      </c>
      <c r="DD156" s="11">
        <v>86540.0</v>
      </c>
      <c r="DE156" s="11">
        <v>62770.0</v>
      </c>
      <c r="DF156" s="11">
        <v>180640.0</v>
      </c>
      <c r="DG156" s="11">
        <v>187520.0</v>
      </c>
      <c r="DH156" s="11">
        <v>167700.0</v>
      </c>
      <c r="DI156" s="11">
        <v>204540.0</v>
      </c>
      <c r="DJ156" s="11">
        <v>145950.0</v>
      </c>
      <c r="DK156" s="12"/>
      <c r="DL156" s="12"/>
      <c r="DM156" s="12"/>
      <c r="DN156" s="12"/>
      <c r="DO156" s="12"/>
      <c r="DP156" s="11">
        <v>124010.0</v>
      </c>
      <c r="DQ156" s="11">
        <v>115730.0</v>
      </c>
      <c r="DR156" s="11">
        <v>156.0</v>
      </c>
      <c r="DS156" s="11">
        <v>550.0</v>
      </c>
      <c r="DT156" s="11">
        <v>684.0</v>
      </c>
      <c r="DU156" s="13"/>
      <c r="DV156" s="12"/>
      <c r="DW156" s="12"/>
      <c r="DX156" s="13"/>
      <c r="DY156" s="13"/>
      <c r="DZ156" s="11">
        <v>-29200.0</v>
      </c>
      <c r="EA156" s="11">
        <v>2780.0</v>
      </c>
      <c r="EB156" s="11">
        <v>85580.0</v>
      </c>
      <c r="EC156" s="11">
        <v>42300.0</v>
      </c>
      <c r="ED156" s="11">
        <v>69130.0</v>
      </c>
      <c r="EE156" s="14">
        <v>1.367</v>
      </c>
      <c r="EF156" s="23"/>
      <c r="EG156" s="14">
        <v>5.9</v>
      </c>
      <c r="EH156" s="14">
        <v>1.909</v>
      </c>
    </row>
    <row r="157">
      <c r="A157" s="9">
        <f t="shared" si="2"/>
        <v>155</v>
      </c>
      <c r="B157" s="22" t="s">
        <v>291</v>
      </c>
      <c r="C157" s="11">
        <v>19780.0</v>
      </c>
      <c r="D157" s="11">
        <v>7470.0</v>
      </c>
      <c r="E157" s="11">
        <v>28800.0</v>
      </c>
      <c r="F157" s="11">
        <v>5410.0</v>
      </c>
      <c r="G157" s="11">
        <v>7580.0</v>
      </c>
      <c r="H157" s="11">
        <v>2520.0</v>
      </c>
      <c r="I157" s="11">
        <v>19020.0</v>
      </c>
      <c r="J157" s="12"/>
      <c r="K157" s="12"/>
      <c r="L157" s="12"/>
      <c r="M157" s="12"/>
      <c r="N157" s="12"/>
      <c r="O157" s="11">
        <v>29170.0</v>
      </c>
      <c r="P157" s="11">
        <v>31430.0</v>
      </c>
      <c r="Q157" s="11">
        <v>34320.0</v>
      </c>
      <c r="R157" s="11">
        <v>31880.0</v>
      </c>
      <c r="S157" s="11">
        <v>17530.0</v>
      </c>
      <c r="T157" s="11">
        <v>17960.0</v>
      </c>
      <c r="U157" s="11">
        <v>20650.0</v>
      </c>
      <c r="V157" s="11">
        <v>25180.0</v>
      </c>
      <c r="W157" s="11">
        <v>23700.0</v>
      </c>
      <c r="X157" s="11">
        <v>12880.0</v>
      </c>
      <c r="Y157" s="11">
        <v>11200.0</v>
      </c>
      <c r="Z157" s="11">
        <v>-3140.0</v>
      </c>
      <c r="AA157" s="11">
        <v>-62550.0</v>
      </c>
      <c r="AB157" s="11">
        <v>-24640.0</v>
      </c>
      <c r="AC157" s="11">
        <v>-6030.0</v>
      </c>
      <c r="AD157" s="11">
        <v>9390.0</v>
      </c>
      <c r="AE157" s="11">
        <v>-5330.0</v>
      </c>
      <c r="AF157" s="11">
        <v>-64920.0</v>
      </c>
      <c r="AG157" s="11">
        <v>-26790.0</v>
      </c>
      <c r="AH157" s="11">
        <v>-15000.0</v>
      </c>
      <c r="AI157" s="11">
        <v>-374.0</v>
      </c>
      <c r="AJ157" s="11">
        <v>-26020.0</v>
      </c>
      <c r="AK157" s="11">
        <v>-26740.0</v>
      </c>
      <c r="AL157" s="11">
        <v>-29360.0</v>
      </c>
      <c r="AM157" s="11">
        <v>1500.0</v>
      </c>
      <c r="AN157" s="11">
        <v>9390.0</v>
      </c>
      <c r="AO157" s="11">
        <v>-5330.0</v>
      </c>
      <c r="AP157" s="11">
        <v>-65030.0</v>
      </c>
      <c r="AQ157" s="11">
        <v>-26890.0</v>
      </c>
      <c r="AR157" s="11">
        <v>-15000.0</v>
      </c>
      <c r="AS157" s="11">
        <v>-2920.0</v>
      </c>
      <c r="AT157" s="11">
        <v>-25030.0</v>
      </c>
      <c r="AU157" s="11">
        <v>-19160.0</v>
      </c>
      <c r="AV157" s="11">
        <v>-31070.0</v>
      </c>
      <c r="AW157" s="11">
        <v>-21230.0</v>
      </c>
      <c r="AX157" s="12"/>
      <c r="AY157" s="12"/>
      <c r="AZ157" s="12"/>
      <c r="BA157" s="11">
        <v>-7.0</v>
      </c>
      <c r="BB157" s="11">
        <v>-22.0</v>
      </c>
      <c r="BC157" s="12"/>
      <c r="BD157" s="12"/>
      <c r="BE157" s="12"/>
      <c r="BF157" s="12"/>
      <c r="BG157" s="12"/>
      <c r="BH157" s="11">
        <v>47750.0</v>
      </c>
      <c r="BI157" s="11">
        <v>24430.0</v>
      </c>
      <c r="BJ157" s="11">
        <v>33530.0</v>
      </c>
      <c r="BK157" s="11">
        <v>23350.0</v>
      </c>
      <c r="BL157" s="11">
        <v>34140.0</v>
      </c>
      <c r="BM157" s="11">
        <v>1630.0</v>
      </c>
      <c r="BN157" s="11">
        <v>3030.0</v>
      </c>
      <c r="BO157" s="11">
        <v>402.0</v>
      </c>
      <c r="BP157" s="11">
        <v>1030.0</v>
      </c>
      <c r="BQ157" s="11">
        <v>4640.0</v>
      </c>
      <c r="BR157" s="12"/>
      <c r="BS157" s="12"/>
      <c r="BT157" s="12"/>
      <c r="BU157" s="12"/>
      <c r="BV157" s="12"/>
      <c r="BW157" s="11">
        <v>50600.0</v>
      </c>
      <c r="BX157" s="11">
        <v>27940.0</v>
      </c>
      <c r="BY157" s="11">
        <v>50180.0</v>
      </c>
      <c r="BZ157" s="11">
        <v>26320.0</v>
      </c>
      <c r="CA157" s="11">
        <v>40380.0</v>
      </c>
      <c r="CB157" s="12"/>
      <c r="CC157" s="12"/>
      <c r="CD157" s="12"/>
      <c r="CE157" s="12"/>
      <c r="CF157" s="11">
        <v>23.0</v>
      </c>
      <c r="CG157" s="12"/>
      <c r="CH157" s="12"/>
      <c r="CI157" s="12"/>
      <c r="CJ157" s="12"/>
      <c r="CK157" s="12"/>
      <c r="CL157" s="11">
        <v>50600.0</v>
      </c>
      <c r="CM157" s="11">
        <v>27940.0</v>
      </c>
      <c r="CN157" s="11">
        <v>50200.0</v>
      </c>
      <c r="CO157" s="11">
        <v>27290.0</v>
      </c>
      <c r="CP157" s="11">
        <v>40540.0</v>
      </c>
      <c r="CQ157" s="11">
        <v>1470.0</v>
      </c>
      <c r="CR157" s="11">
        <v>3500.0</v>
      </c>
      <c r="CS157" s="11">
        <v>2440.0</v>
      </c>
      <c r="CT157" s="11">
        <v>2190.0</v>
      </c>
      <c r="CU157" s="11">
        <v>1430.0</v>
      </c>
      <c r="CV157" s="11">
        <v>21120.0</v>
      </c>
      <c r="CW157" s="12"/>
      <c r="CX157" s="12"/>
      <c r="CY157" s="12"/>
      <c r="CZ157" s="12"/>
      <c r="DA157" s="12"/>
      <c r="DB157" s="11">
        <v>21120.0</v>
      </c>
      <c r="DC157" s="11">
        <v>18120.0</v>
      </c>
      <c r="DD157" s="11">
        <v>32120.0</v>
      </c>
      <c r="DE157" s="11">
        <v>10350.0</v>
      </c>
      <c r="DF157" s="11">
        <v>35750.0</v>
      </c>
      <c r="DG157" s="11">
        <v>55160.0</v>
      </c>
      <c r="DH157" s="11">
        <v>90960.0</v>
      </c>
      <c r="DI157" s="11">
        <v>29210.0</v>
      </c>
      <c r="DJ157" s="11">
        <v>23320.0</v>
      </c>
      <c r="DK157" s="12"/>
      <c r="DL157" s="12"/>
      <c r="DM157" s="12"/>
      <c r="DN157" s="12"/>
      <c r="DO157" s="12"/>
      <c r="DP157" s="11">
        <v>6200.0</v>
      </c>
      <c r="DQ157" s="11">
        <v>15780.0</v>
      </c>
      <c r="DR157" s="11">
        <v>18480.0</v>
      </c>
      <c r="DS157" s="11">
        <v>11880.0</v>
      </c>
      <c r="DT157" s="11">
        <v>7420.0</v>
      </c>
      <c r="DU157" s="13"/>
      <c r="DV157" s="12"/>
      <c r="DW157" s="12"/>
      <c r="DX157" s="13"/>
      <c r="DY157" s="13"/>
      <c r="DZ157" s="11">
        <v>14850.0</v>
      </c>
      <c r="EA157" s="11">
        <v>-27230.0</v>
      </c>
      <c r="EB157" s="11">
        <v>-40760.0</v>
      </c>
      <c r="EC157" s="11">
        <v>-1920.0</v>
      </c>
      <c r="ED157" s="11">
        <v>17230.0</v>
      </c>
      <c r="EE157" s="14">
        <v>1.38</v>
      </c>
      <c r="EF157" s="14">
        <v>1.671</v>
      </c>
      <c r="EG157" s="14">
        <v>0.176</v>
      </c>
      <c r="EH157" s="14">
        <v>3.487</v>
      </c>
    </row>
    <row r="158">
      <c r="A158" s="9">
        <f t="shared" si="2"/>
        <v>156</v>
      </c>
      <c r="B158" s="10" t="s">
        <v>292</v>
      </c>
      <c r="C158" s="15">
        <v>2.505E7</v>
      </c>
      <c r="D158" s="15">
        <v>2.353E7</v>
      </c>
      <c r="E158" s="15">
        <v>2.26E7</v>
      </c>
      <c r="F158" s="15">
        <v>2.085E7</v>
      </c>
      <c r="G158" s="15">
        <v>1.764E7</v>
      </c>
      <c r="H158" s="15">
        <v>1.324E7</v>
      </c>
      <c r="I158" s="15">
        <v>6820000.0</v>
      </c>
      <c r="J158" s="15">
        <v>1.066E7</v>
      </c>
      <c r="K158" s="15">
        <v>1.021E7</v>
      </c>
      <c r="L158" s="15">
        <v>6770000.0</v>
      </c>
      <c r="M158" s="15">
        <v>4130000.0</v>
      </c>
      <c r="N158" s="15">
        <v>3310000.0</v>
      </c>
      <c r="O158" s="15">
        <v>6330000.0</v>
      </c>
      <c r="P158" s="15">
        <v>4820000.0</v>
      </c>
      <c r="Q158" s="15">
        <v>4080000.0</v>
      </c>
      <c r="R158" s="15">
        <v>3340000.0</v>
      </c>
      <c r="S158" s="15">
        <v>1460000.0</v>
      </c>
      <c r="T158" s="15">
        <v>4700000.0</v>
      </c>
      <c r="U158" s="15">
        <v>3770000.0</v>
      </c>
      <c r="V158" s="15">
        <v>3290000.0</v>
      </c>
      <c r="W158" s="15">
        <v>2670000.0</v>
      </c>
      <c r="X158" s="15">
        <v>1050000.0</v>
      </c>
      <c r="Y158" s="15">
        <v>4330000.0</v>
      </c>
      <c r="Z158" s="15">
        <v>5250000.0</v>
      </c>
      <c r="AA158" s="15">
        <v>2380000.0</v>
      </c>
      <c r="AB158" s="15">
        <v>464000.0</v>
      </c>
      <c r="AC158" s="15">
        <v>1760000.0</v>
      </c>
      <c r="AD158" s="15">
        <v>2230000.0</v>
      </c>
      <c r="AE158" s="15">
        <v>4550000.0</v>
      </c>
      <c r="AF158" s="15">
        <v>1830000.0</v>
      </c>
      <c r="AG158" s="15">
        <v>-1110000.0</v>
      </c>
      <c r="AH158" s="15">
        <v>1470000.0</v>
      </c>
      <c r="AI158" s="15">
        <v>1.011E7</v>
      </c>
      <c r="AJ158" s="15">
        <v>9450000.0</v>
      </c>
      <c r="AK158" s="15">
        <v>7410000.0</v>
      </c>
      <c r="AL158" s="15">
        <v>3820000.0</v>
      </c>
      <c r="AM158" s="15">
        <v>2810000.0</v>
      </c>
      <c r="AN158" s="15">
        <v>2740000.0</v>
      </c>
      <c r="AO158" s="15">
        <v>1.228E7</v>
      </c>
      <c r="AP158" s="15">
        <v>1700000.0</v>
      </c>
      <c r="AQ158" s="15">
        <v>-1630000.0</v>
      </c>
      <c r="AR158" s="15">
        <v>1390000.0</v>
      </c>
      <c r="AS158" s="15">
        <v>9700000.0</v>
      </c>
      <c r="AT158" s="15">
        <v>8880000.0</v>
      </c>
      <c r="AU158" s="15">
        <v>6550000.0</v>
      </c>
      <c r="AV158" s="15">
        <v>3410000.0</v>
      </c>
      <c r="AW158" s="15">
        <v>2320000.0</v>
      </c>
      <c r="AX158" s="15">
        <v>-432000.0</v>
      </c>
      <c r="AY158" s="15">
        <v>-635000.0</v>
      </c>
      <c r="AZ158" s="15">
        <v>-1070000.0</v>
      </c>
      <c r="BA158" s="15">
        <v>-723000.0</v>
      </c>
      <c r="BB158" s="15">
        <v>-593000.0</v>
      </c>
      <c r="BC158" s="15">
        <v>-4240000.0</v>
      </c>
      <c r="BD158" s="15">
        <v>-3000000.0</v>
      </c>
      <c r="BE158" s="15">
        <v>-1650000.0</v>
      </c>
      <c r="BF158" s="15">
        <v>-716000.0</v>
      </c>
      <c r="BG158" s="15">
        <v>-408000.0</v>
      </c>
      <c r="BH158" s="15">
        <v>5060000.0</v>
      </c>
      <c r="BI158" s="15">
        <v>4290000.0</v>
      </c>
      <c r="BJ158" s="15">
        <v>1.12E7</v>
      </c>
      <c r="BK158" s="15">
        <v>3100000.0</v>
      </c>
      <c r="BL158" s="15">
        <v>1840000.0</v>
      </c>
      <c r="BM158" s="15">
        <v>3260000.0</v>
      </c>
      <c r="BN158" s="15">
        <v>3390000.0</v>
      </c>
      <c r="BO158" s="15">
        <v>2450000.0</v>
      </c>
      <c r="BP158" s="15">
        <v>2180000.0</v>
      </c>
      <c r="BQ158" s="15">
        <v>1020000.0</v>
      </c>
      <c r="BR158" s="15">
        <v>874000.0</v>
      </c>
      <c r="BS158" s="15">
        <v>1120000.0</v>
      </c>
      <c r="BT158" s="15">
        <v>1450000.0</v>
      </c>
      <c r="BU158" s="15">
        <v>1400000.0</v>
      </c>
      <c r="BV158" s="15">
        <v>524000.0</v>
      </c>
      <c r="BW158" s="15">
        <v>9920000.0</v>
      </c>
      <c r="BX158" s="15">
        <v>9110000.0</v>
      </c>
      <c r="BY158" s="15">
        <v>1.582E7</v>
      </c>
      <c r="BZ158" s="15">
        <v>7130000.0</v>
      </c>
      <c r="CA158" s="15">
        <v>3780000.0</v>
      </c>
      <c r="CB158" s="15">
        <v>2570000.0</v>
      </c>
      <c r="CC158" s="15">
        <v>2640000.0</v>
      </c>
      <c r="CD158" s="15">
        <v>2600000.0</v>
      </c>
      <c r="CE158" s="15">
        <v>2510000.0</v>
      </c>
      <c r="CF158" s="15">
        <v>1460000.0</v>
      </c>
      <c r="CG158" s="15">
        <v>3.671E7</v>
      </c>
      <c r="CH158" s="15">
        <v>2.691E7</v>
      </c>
      <c r="CI158" s="15">
        <v>2.471E7</v>
      </c>
      <c r="CJ158" s="15">
        <v>2.473E7</v>
      </c>
      <c r="CK158" s="15">
        <v>1670000.0</v>
      </c>
      <c r="CL158" s="15">
        <v>6.749E7</v>
      </c>
      <c r="CM158" s="15">
        <v>5.012E7</v>
      </c>
      <c r="CN158" s="15">
        <v>5.442E7</v>
      </c>
      <c r="CO158" s="15">
        <v>4.997E7</v>
      </c>
      <c r="CP158" s="15">
        <v>1.059E7</v>
      </c>
      <c r="CQ158" s="15">
        <v>855000.0</v>
      </c>
      <c r="CR158" s="15">
        <v>811000.0</v>
      </c>
      <c r="CS158" s="15">
        <v>1110000.0</v>
      </c>
      <c r="CT158" s="15">
        <v>1260000.0</v>
      </c>
      <c r="CU158" s="15">
        <v>617000.0</v>
      </c>
      <c r="CV158" s="15">
        <v>6900000.0</v>
      </c>
      <c r="CW158" s="15">
        <v>0.0</v>
      </c>
      <c r="CX158" s="15">
        <v>0.0</v>
      </c>
      <c r="CY158" s="16">
        <v>0.0</v>
      </c>
      <c r="CZ158" s="16">
        <v>0.0</v>
      </c>
      <c r="DA158" s="15">
        <v>0.0</v>
      </c>
      <c r="DB158" s="15">
        <v>6900000.0</v>
      </c>
      <c r="DC158" s="15">
        <v>2340000.0</v>
      </c>
      <c r="DD158" s="15">
        <v>2530000.0</v>
      </c>
      <c r="DE158" s="15">
        <v>3080000.0</v>
      </c>
      <c r="DF158" s="15">
        <v>4.252E7</v>
      </c>
      <c r="DG158" s="15">
        <v>2.347E7</v>
      </c>
      <c r="DH158" s="15">
        <v>3.123E7</v>
      </c>
      <c r="DI158" s="15">
        <v>2.809E7</v>
      </c>
      <c r="DJ158" s="15">
        <v>5880000.0</v>
      </c>
      <c r="DK158" s="15">
        <v>0.0</v>
      </c>
      <c r="DL158" s="15">
        <v>0.0</v>
      </c>
      <c r="DM158" s="15">
        <v>0.0</v>
      </c>
      <c r="DN158" s="15">
        <v>0.0</v>
      </c>
      <c r="DO158" s="15">
        <v>27000.0</v>
      </c>
      <c r="DP158" s="15">
        <v>3.001E7</v>
      </c>
      <c r="DQ158" s="15">
        <v>1.749E7</v>
      </c>
      <c r="DR158" s="15">
        <v>1.743E7</v>
      </c>
      <c r="DS158" s="15">
        <v>1.319E7</v>
      </c>
      <c r="DT158" s="15">
        <v>3900000.0</v>
      </c>
      <c r="DU158" s="15">
        <v>29000.0</v>
      </c>
      <c r="DV158" s="15">
        <v>0.0</v>
      </c>
      <c r="DW158" s="15">
        <v>0.0</v>
      </c>
      <c r="DX158" s="15">
        <v>0.0</v>
      </c>
      <c r="DY158" s="15">
        <v>0.0</v>
      </c>
      <c r="DZ158" s="15">
        <v>2.497E7</v>
      </c>
      <c r="EA158" s="15">
        <v>2.666E7</v>
      </c>
      <c r="EB158" s="15">
        <v>2.029E7</v>
      </c>
      <c r="EC158" s="15">
        <v>1.889E7</v>
      </c>
      <c r="ED158" s="15">
        <v>4710000.0</v>
      </c>
      <c r="EE158" s="17">
        <v>0.033</v>
      </c>
      <c r="EF158" s="17">
        <v>0.081</v>
      </c>
      <c r="EG158" s="17">
        <v>0.0</v>
      </c>
      <c r="EH158" s="17">
        <v>-0.001</v>
      </c>
    </row>
    <row r="159">
      <c r="A159" s="9">
        <f t="shared" si="2"/>
        <v>157</v>
      </c>
      <c r="B159" s="10" t="s">
        <v>293</v>
      </c>
      <c r="C159" s="11">
        <v>3100000.0</v>
      </c>
      <c r="D159" s="11">
        <v>2100000.0</v>
      </c>
      <c r="E159" s="11">
        <v>1440.0</v>
      </c>
      <c r="F159" s="11">
        <v>1210.0</v>
      </c>
      <c r="G159" s="11">
        <v>486.0</v>
      </c>
      <c r="H159" s="11"/>
      <c r="I159" s="11"/>
      <c r="J159" s="11">
        <v>-2020.0</v>
      </c>
      <c r="K159" s="11">
        <v>-1060.0</v>
      </c>
      <c r="L159" s="11">
        <v>376.0</v>
      </c>
      <c r="M159" s="11">
        <v>-29.0</v>
      </c>
      <c r="N159" s="11"/>
      <c r="O159" s="11">
        <v>25500.0</v>
      </c>
      <c r="P159" s="11">
        <v>20820.0</v>
      </c>
      <c r="Q159" s="11">
        <v>11060.0</v>
      </c>
      <c r="R159" s="11">
        <v>3840.0</v>
      </c>
      <c r="S159" s="11"/>
      <c r="T159" s="11">
        <v>16800.0</v>
      </c>
      <c r="U159" s="11">
        <v>12220.0</v>
      </c>
      <c r="V159" s="11">
        <v>5010.0</v>
      </c>
      <c r="W159" s="11">
        <v>1220.0</v>
      </c>
      <c r="X159" s="11"/>
      <c r="Y159" s="11">
        <v>-26580.0</v>
      </c>
      <c r="Z159" s="11">
        <v>-21680.0</v>
      </c>
      <c r="AA159" s="11">
        <v>-877.0</v>
      </c>
      <c r="AB159" s="11">
        <v>-3980.0</v>
      </c>
      <c r="AC159" s="11"/>
      <c r="AD159" s="11">
        <v>-29250.0</v>
      </c>
      <c r="AE159" s="11">
        <v>-21740.0</v>
      </c>
      <c r="AF159" s="11">
        <v>-9830.0</v>
      </c>
      <c r="AG159" s="11">
        <v>-3710.0</v>
      </c>
      <c r="AH159" s="11"/>
      <c r="AI159" s="11">
        <v>-25020.0</v>
      </c>
      <c r="AJ159" s="11">
        <v>-20620.0</v>
      </c>
      <c r="AK159" s="11">
        <v>-10570.0</v>
      </c>
      <c r="AL159" s="11">
        <v>-3840.0</v>
      </c>
      <c r="AM159" s="11"/>
      <c r="AN159" s="11">
        <v>-29250.0</v>
      </c>
      <c r="AO159" s="11">
        <v>-21740.0</v>
      </c>
      <c r="AP159" s="11">
        <v>-9830.0</v>
      </c>
      <c r="AQ159" s="11">
        <v>-3710.0</v>
      </c>
      <c r="AR159" s="11"/>
      <c r="AS159" s="11">
        <v>-17670.0</v>
      </c>
      <c r="AT159" s="11">
        <v>-14200.0</v>
      </c>
      <c r="AU159" s="11">
        <v>-5550.0</v>
      </c>
      <c r="AV159" s="11">
        <v>-2790.0</v>
      </c>
      <c r="AW159" s="11"/>
      <c r="AX159" s="11">
        <v>-4920.0</v>
      </c>
      <c r="AY159" s="11">
        <v>-7010.0</v>
      </c>
      <c r="AZ159" s="11">
        <v>-1690.0</v>
      </c>
      <c r="BA159" s="11">
        <v>-180.0</v>
      </c>
      <c r="BB159" s="11"/>
      <c r="BC159" s="12"/>
      <c r="BD159" s="12"/>
      <c r="BE159" s="12"/>
      <c r="BF159" s="12"/>
      <c r="BG159" s="12"/>
      <c r="BH159" s="11">
        <v>30150.0</v>
      </c>
      <c r="BI159" s="11">
        <v>14820.0</v>
      </c>
      <c r="BJ159" s="11">
        <v>9630.0</v>
      </c>
      <c r="BK159" s="11">
        <v>2730.0</v>
      </c>
      <c r="BL159" s="11"/>
      <c r="BM159" s="11">
        <v>425.0</v>
      </c>
      <c r="BN159" s="11">
        <v>215.0</v>
      </c>
      <c r="BO159" s="11"/>
      <c r="BP159" s="11"/>
      <c r="BQ159" s="11"/>
      <c r="BR159" s="11">
        <v>94.0</v>
      </c>
      <c r="BS159" s="11">
        <v>58.0</v>
      </c>
      <c r="BT159" s="11">
        <v>188.0</v>
      </c>
      <c r="BU159" s="11">
        <v>44.0</v>
      </c>
      <c r="BV159" s="11"/>
      <c r="BW159" s="11">
        <v>31820.0</v>
      </c>
      <c r="BX159" s="11">
        <v>15880.0</v>
      </c>
      <c r="BY159" s="11">
        <v>10020.0</v>
      </c>
      <c r="BZ159" s="11">
        <v>2830.0</v>
      </c>
      <c r="CA159" s="11"/>
      <c r="CB159" s="11">
        <v>15180.0</v>
      </c>
      <c r="CC159" s="11">
        <v>12820.0</v>
      </c>
      <c r="CD159" s="11">
        <v>7850.0</v>
      </c>
      <c r="CE159" s="11">
        <v>183.0</v>
      </c>
      <c r="CF159" s="11"/>
      <c r="CG159" s="11"/>
      <c r="CH159" s="11"/>
      <c r="CI159" s="11"/>
      <c r="CJ159" s="11"/>
      <c r="CK159" s="11"/>
      <c r="CL159" s="11">
        <v>47950.0</v>
      </c>
      <c r="CM159" s="11">
        <v>29310.0</v>
      </c>
      <c r="CN159" s="11">
        <v>18090.0</v>
      </c>
      <c r="CO159" s="11">
        <v>3090.0</v>
      </c>
      <c r="CP159" s="11"/>
      <c r="CQ159" s="11">
        <v>245.0</v>
      </c>
      <c r="CR159" s="11">
        <v>139.0</v>
      </c>
      <c r="CS159" s="11">
        <v>495.0</v>
      </c>
      <c r="CT159" s="11">
        <v>49.0</v>
      </c>
      <c r="CU159" s="11"/>
      <c r="CV159" s="11">
        <v>3220.0</v>
      </c>
      <c r="CW159" s="11"/>
      <c r="CX159" s="12"/>
      <c r="CY159" s="12"/>
      <c r="CZ159" s="12"/>
      <c r="DA159" s="12"/>
      <c r="DB159" s="11">
        <v>3220.0</v>
      </c>
      <c r="DC159" s="11">
        <v>2650.0</v>
      </c>
      <c r="DD159" s="11">
        <v>1350.0</v>
      </c>
      <c r="DE159" s="11">
        <v>367.0</v>
      </c>
      <c r="DF159" s="11">
        <v>21990.0</v>
      </c>
      <c r="DG159" s="11">
        <v>15460.0</v>
      </c>
      <c r="DH159" s="11">
        <v>3080.0</v>
      </c>
      <c r="DI159" s="11">
        <v>681.0</v>
      </c>
      <c r="DJ159" s="11"/>
      <c r="DK159" s="12"/>
      <c r="DL159" s="12"/>
      <c r="DM159" s="12"/>
      <c r="DN159" s="12"/>
      <c r="DO159" s="12"/>
      <c r="DP159" s="28">
        <v>18220.0</v>
      </c>
      <c r="DQ159" s="28">
        <v>11460.0</v>
      </c>
      <c r="DR159" s="28"/>
      <c r="DS159" s="12"/>
      <c r="DT159" s="12"/>
      <c r="DU159" s="13"/>
      <c r="DV159" s="12"/>
      <c r="DW159" s="12"/>
      <c r="DX159" s="12"/>
      <c r="DY159" s="12"/>
      <c r="DZ159" s="11">
        <v>25960.0</v>
      </c>
      <c r="EA159" s="11">
        <v>13850.0</v>
      </c>
      <c r="EB159" s="11">
        <v>15010.0</v>
      </c>
      <c r="EC159" s="11">
        <v>2410.0</v>
      </c>
      <c r="ED159" s="11"/>
      <c r="EE159" s="14">
        <v>0.081</v>
      </c>
      <c r="EF159" s="14">
        <v>0.077</v>
      </c>
      <c r="EG159" s="14">
        <v>-10.189</v>
      </c>
      <c r="EH159" s="14">
        <v>-5.63</v>
      </c>
    </row>
    <row r="160">
      <c r="A160" s="9">
        <f t="shared" si="2"/>
        <v>158</v>
      </c>
      <c r="B160" s="22" t="s">
        <v>294</v>
      </c>
      <c r="C160" s="12"/>
      <c r="D160" s="12"/>
      <c r="E160" s="12"/>
      <c r="F160" s="12"/>
      <c r="G160" s="12"/>
      <c r="H160" s="12"/>
      <c r="I160" s="12"/>
      <c r="J160" s="11">
        <v>-850.0</v>
      </c>
      <c r="K160" s="11">
        <v>-380.0</v>
      </c>
      <c r="L160" s="11">
        <v>-45.0</v>
      </c>
      <c r="M160" s="12"/>
      <c r="N160" s="12"/>
      <c r="O160" s="11">
        <v>74960.0</v>
      </c>
      <c r="P160" s="11">
        <v>45860.0</v>
      </c>
      <c r="Q160" s="11">
        <v>18340.0</v>
      </c>
      <c r="R160" s="11">
        <v>4630.0</v>
      </c>
      <c r="S160" s="12"/>
      <c r="T160" s="11">
        <v>54970.0</v>
      </c>
      <c r="U160" s="11">
        <v>35100.0</v>
      </c>
      <c r="V160" s="11">
        <v>15190.0</v>
      </c>
      <c r="W160" s="11">
        <v>2660.0</v>
      </c>
      <c r="X160" s="12"/>
      <c r="Y160" s="12"/>
      <c r="Z160" s="11">
        <v>-48030.0</v>
      </c>
      <c r="AA160" s="11">
        <v>-18690.0</v>
      </c>
      <c r="AB160" s="11">
        <v>-4660.0</v>
      </c>
      <c r="AC160" s="12"/>
      <c r="AD160" s="11">
        <v>-72970.0</v>
      </c>
      <c r="AE160" s="11">
        <v>-46360.0</v>
      </c>
      <c r="AF160" s="11">
        <v>-18650.0</v>
      </c>
      <c r="AG160" s="11">
        <v>-4660.0</v>
      </c>
      <c r="AH160" s="12"/>
      <c r="AI160" s="11">
        <v>-74960.0</v>
      </c>
      <c r="AJ160" s="11">
        <v>-45860.0</v>
      </c>
      <c r="AK160" s="11">
        <v>-18340.0</v>
      </c>
      <c r="AL160" s="11">
        <v>-4630.0</v>
      </c>
      <c r="AM160" s="12"/>
      <c r="AN160" s="11">
        <v>-72970.0</v>
      </c>
      <c r="AO160" s="11">
        <v>-46360.0</v>
      </c>
      <c r="AP160" s="11">
        <v>-18650.0</v>
      </c>
      <c r="AQ160" s="11">
        <v>-4660.0</v>
      </c>
      <c r="AR160" s="12"/>
      <c r="AS160" s="11">
        <v>-67670.0</v>
      </c>
      <c r="AT160" s="11">
        <v>-37650.0</v>
      </c>
      <c r="AU160" s="11">
        <v>-16380.0</v>
      </c>
      <c r="AV160" s="11">
        <v>-3310.0</v>
      </c>
      <c r="AW160" s="12"/>
      <c r="AX160" s="11">
        <v>-1590.0</v>
      </c>
      <c r="AY160" s="11">
        <v>-1830.0</v>
      </c>
      <c r="AZ160" s="11">
        <v>-383.0</v>
      </c>
      <c r="BA160" s="12"/>
      <c r="BB160" s="12"/>
      <c r="BC160" s="12"/>
      <c r="BD160" s="12"/>
      <c r="BE160" s="12"/>
      <c r="BF160" s="12"/>
      <c r="BG160" s="12"/>
      <c r="BH160" s="11">
        <v>187040.0</v>
      </c>
      <c r="BI160" s="11">
        <v>126300.0</v>
      </c>
      <c r="BJ160" s="11">
        <v>5960.0</v>
      </c>
      <c r="BK160" s="11">
        <v>5360.0</v>
      </c>
      <c r="BL160" s="12"/>
      <c r="BM160" s="11">
        <v>2140.0</v>
      </c>
      <c r="BN160" s="11">
        <v>1550.0</v>
      </c>
      <c r="BO160" s="12"/>
      <c r="BP160" s="12"/>
      <c r="BQ160" s="12"/>
      <c r="BR160" s="12"/>
      <c r="BS160" s="12"/>
      <c r="BT160" s="12"/>
      <c r="BU160" s="12"/>
      <c r="BV160" s="12"/>
      <c r="BW160" s="11">
        <v>195700.0</v>
      </c>
      <c r="BX160" s="11">
        <v>130020.0</v>
      </c>
      <c r="BY160" s="11">
        <v>6310.0</v>
      </c>
      <c r="BZ160" s="11">
        <v>5380.0</v>
      </c>
      <c r="CA160" s="12"/>
      <c r="CB160" s="11">
        <v>3700.0</v>
      </c>
      <c r="CC160" s="11">
        <v>2630.0</v>
      </c>
      <c r="CD160" s="11">
        <v>349.0</v>
      </c>
      <c r="CE160" s="12"/>
      <c r="CF160" s="12"/>
      <c r="CG160" s="12"/>
      <c r="CH160" s="12"/>
      <c r="CI160" s="12"/>
      <c r="CJ160" s="12"/>
      <c r="CK160" s="12"/>
      <c r="CL160" s="11">
        <v>200510.0</v>
      </c>
      <c r="CM160" s="11">
        <v>133480.0</v>
      </c>
      <c r="CN160" s="11">
        <v>7020.0</v>
      </c>
      <c r="CO160" s="11">
        <v>5400.0</v>
      </c>
      <c r="CP160" s="12"/>
      <c r="CQ160" s="11">
        <v>3950.0</v>
      </c>
      <c r="CR160" s="11">
        <v>2780.0</v>
      </c>
      <c r="CS160" s="11">
        <v>527.0</v>
      </c>
      <c r="CT160" s="11">
        <v>340.0</v>
      </c>
      <c r="CU160" s="12"/>
      <c r="CV160" s="11">
        <v>14020.0</v>
      </c>
      <c r="CW160" s="12"/>
      <c r="CX160" s="12"/>
      <c r="CY160" s="12"/>
      <c r="CZ160" s="12"/>
      <c r="DA160" s="12"/>
      <c r="DB160" s="11">
        <v>14020.0</v>
      </c>
      <c r="DC160" s="11">
        <v>10610.0</v>
      </c>
      <c r="DD160" s="11">
        <v>2630.0</v>
      </c>
      <c r="DE160" s="11">
        <v>891.0</v>
      </c>
      <c r="DF160" s="11">
        <v>14500.0</v>
      </c>
      <c r="DG160" s="11">
        <v>11300.0</v>
      </c>
      <c r="DH160" s="11">
        <v>3660.0</v>
      </c>
      <c r="DI160" s="11">
        <v>979.0</v>
      </c>
      <c r="DJ160" s="12"/>
      <c r="DK160" s="11">
        <v>492.0</v>
      </c>
      <c r="DL160" s="11">
        <v>492.0</v>
      </c>
      <c r="DM160" s="11">
        <v>24.0</v>
      </c>
      <c r="DN160" s="24">
        <v>24.0</v>
      </c>
      <c r="DO160" s="12"/>
      <c r="DP160" s="12"/>
      <c r="DQ160" s="12"/>
      <c r="DR160" s="12"/>
      <c r="DS160" s="12"/>
      <c r="DT160" s="12"/>
      <c r="DU160" s="13"/>
      <c r="DV160" s="12"/>
      <c r="DW160" s="11">
        <v>26500.0</v>
      </c>
      <c r="DX160" s="11">
        <v>9000.0</v>
      </c>
      <c r="DY160" s="13"/>
      <c r="DZ160" s="11">
        <v>186010.0</v>
      </c>
      <c r="EA160" s="11">
        <v>122180.0</v>
      </c>
      <c r="EB160" s="11">
        <v>3370.0</v>
      </c>
      <c r="EC160" s="11">
        <v>4420.0</v>
      </c>
      <c r="ED160" s="12"/>
      <c r="EE160" s="23"/>
      <c r="EF160" s="23"/>
      <c r="EG160" s="14">
        <v>-0.053</v>
      </c>
      <c r="EH160" s="14">
        <v>-0.097</v>
      </c>
    </row>
    <row r="161">
      <c r="A161" s="9">
        <f t="shared" si="2"/>
        <v>159</v>
      </c>
      <c r="B161" s="22" t="s">
        <v>295</v>
      </c>
      <c r="C161" s="11">
        <v>6490000.0</v>
      </c>
      <c r="D161" s="11">
        <v>6120000.0</v>
      </c>
      <c r="E161" s="11">
        <v>6040000.0</v>
      </c>
      <c r="F161" s="11">
        <v>5860000.0</v>
      </c>
      <c r="G161" s="11">
        <v>1250000.0</v>
      </c>
      <c r="H161" s="11">
        <v>691300.0</v>
      </c>
      <c r="I161" s="11">
        <v>636900.0</v>
      </c>
      <c r="J161" s="11">
        <v>1610000.0</v>
      </c>
      <c r="K161" s="11">
        <v>1820000.0</v>
      </c>
      <c r="L161" s="11">
        <v>432800.0</v>
      </c>
      <c r="M161" s="11">
        <v>319700.0</v>
      </c>
      <c r="N161" s="11">
        <v>262200.0</v>
      </c>
      <c r="O161" s="11">
        <v>1030000.0</v>
      </c>
      <c r="P161" s="11">
        <v>1310000.0</v>
      </c>
      <c r="Q161" s="11">
        <v>450700.0</v>
      </c>
      <c r="R161" s="11">
        <v>282500.0</v>
      </c>
      <c r="S161" s="11">
        <v>201600.0</v>
      </c>
      <c r="T161" s="12"/>
      <c r="U161" s="12"/>
      <c r="V161" s="12"/>
      <c r="W161" s="12"/>
      <c r="X161" s="12"/>
      <c r="Y161" s="11">
        <v>478100.0</v>
      </c>
      <c r="Z161" s="11">
        <v>413500.0</v>
      </c>
      <c r="AA161" s="11">
        <v>-194500.0</v>
      </c>
      <c r="AB161" s="12"/>
      <c r="AC161" s="12"/>
      <c r="AD161" s="11">
        <v>40600.0</v>
      </c>
      <c r="AE161" s="11">
        <v>-113800.0</v>
      </c>
      <c r="AF161" s="11">
        <v>-460200.0</v>
      </c>
      <c r="AG161" s="11">
        <v>-70600.0</v>
      </c>
      <c r="AH161" s="11">
        <v>29800.0</v>
      </c>
      <c r="AI161" s="11">
        <v>975000.0</v>
      </c>
      <c r="AJ161" s="11">
        <v>913900.0</v>
      </c>
      <c r="AK161" s="11">
        <v>84700.0</v>
      </c>
      <c r="AL161" s="11">
        <v>97700.0</v>
      </c>
      <c r="AM161" s="11">
        <v>121000.0</v>
      </c>
      <c r="AN161" s="11">
        <v>37800.0</v>
      </c>
      <c r="AO161" s="11">
        <v>-86900.0</v>
      </c>
      <c r="AP161" s="11">
        <v>-112700.0</v>
      </c>
      <c r="AQ161" s="11">
        <v>-42400.0</v>
      </c>
      <c r="AR161" s="11">
        <v>21600.0</v>
      </c>
      <c r="AS161" s="11">
        <v>354000.0</v>
      </c>
      <c r="AT161" s="11">
        <v>200500.0</v>
      </c>
      <c r="AU161" s="11">
        <v>-167500.0</v>
      </c>
      <c r="AV161" s="11">
        <v>72900.0</v>
      </c>
      <c r="AW161" s="11">
        <v>124600.0</v>
      </c>
      <c r="AX161" s="11">
        <v>-51600.0</v>
      </c>
      <c r="AY161" s="11">
        <v>-37700.0</v>
      </c>
      <c r="AZ161" s="11">
        <v>-25200.0</v>
      </c>
      <c r="BA161" s="11">
        <v>-29900.0</v>
      </c>
      <c r="BB161" s="11">
        <v>-20900.0</v>
      </c>
      <c r="BC161" s="11">
        <v>-31300.0</v>
      </c>
      <c r="BD161" s="12"/>
      <c r="BE161" s="11">
        <v>-1700000.0</v>
      </c>
      <c r="BF161" s="11">
        <v>-158700.0</v>
      </c>
      <c r="BG161" s="11">
        <v>-2300.0</v>
      </c>
      <c r="BH161" s="11">
        <v>186700.0</v>
      </c>
      <c r="BI161" s="11">
        <v>184700.0</v>
      </c>
      <c r="BJ161" s="11">
        <v>185400.0</v>
      </c>
      <c r="BK161" s="11">
        <v>62900.0</v>
      </c>
      <c r="BL161" s="12"/>
      <c r="BM161" s="11">
        <v>988800.0</v>
      </c>
      <c r="BN161" s="11">
        <v>931200.0</v>
      </c>
      <c r="BO161" s="11">
        <v>875000.0</v>
      </c>
      <c r="BP161" s="11">
        <v>87900.0</v>
      </c>
      <c r="BQ161" s="12"/>
      <c r="BR161" s="11">
        <v>711200.0</v>
      </c>
      <c r="BS161" s="11">
        <v>671100.0</v>
      </c>
      <c r="BT161" s="11">
        <v>695100.0</v>
      </c>
      <c r="BU161" s="11">
        <v>122200.0</v>
      </c>
      <c r="BV161" s="12"/>
      <c r="BW161" s="11">
        <v>2020000.0</v>
      </c>
      <c r="BX161" s="11">
        <v>1900000.0</v>
      </c>
      <c r="BY161" s="11">
        <v>1830000.0</v>
      </c>
      <c r="BZ161" s="11">
        <v>292000.0</v>
      </c>
      <c r="CA161" s="12"/>
      <c r="CB161" s="11">
        <v>689300.0</v>
      </c>
      <c r="CC161" s="11">
        <v>598600.0</v>
      </c>
      <c r="CD161" s="11">
        <v>663500.0</v>
      </c>
      <c r="CE161" s="11">
        <v>204000.0</v>
      </c>
      <c r="CF161" s="12"/>
      <c r="CG161" s="11">
        <v>2770000.0</v>
      </c>
      <c r="CH161" s="11">
        <v>2780000.0</v>
      </c>
      <c r="CI161" s="11">
        <v>2850000.0</v>
      </c>
      <c r="CJ161" s="11">
        <v>186100.0</v>
      </c>
      <c r="CK161" s="12"/>
      <c r="CL161" s="11">
        <v>9770000.0</v>
      </c>
      <c r="CM161" s="11">
        <v>9910000.0</v>
      </c>
      <c r="CN161" s="11">
        <v>1.045E7</v>
      </c>
      <c r="CO161" s="11">
        <v>1140000.0</v>
      </c>
      <c r="CP161" s="12"/>
      <c r="CQ161" s="11">
        <v>560200.0</v>
      </c>
      <c r="CR161" s="11">
        <v>557400.0</v>
      </c>
      <c r="CS161" s="11">
        <v>542000.0</v>
      </c>
      <c r="CT161" s="11">
        <v>48000.0</v>
      </c>
      <c r="CU161" s="12"/>
      <c r="CV161" s="11">
        <v>1070000.0</v>
      </c>
      <c r="CW161" s="11">
        <v>33100.0</v>
      </c>
      <c r="CX161" s="12"/>
      <c r="CY161" s="12"/>
      <c r="CZ161" s="12"/>
      <c r="DA161" s="12"/>
      <c r="DB161" s="11">
        <v>1070000.0</v>
      </c>
      <c r="DC161" s="11">
        <v>1100000.0</v>
      </c>
      <c r="DD161" s="11">
        <v>1100000.0</v>
      </c>
      <c r="DE161" s="11">
        <v>135900.0</v>
      </c>
      <c r="DF161" s="11">
        <v>7310000.0</v>
      </c>
      <c r="DG161" s="11">
        <v>9100000.0</v>
      </c>
      <c r="DH161" s="11">
        <v>9480000.0</v>
      </c>
      <c r="DI161" s="11">
        <v>1650000.0</v>
      </c>
      <c r="DJ161" s="12"/>
      <c r="DK161" s="11">
        <v>2600.0</v>
      </c>
      <c r="DL161" s="11">
        <v>3000.0</v>
      </c>
      <c r="DM161" s="11">
        <v>3100.0</v>
      </c>
      <c r="DN161" s="11">
        <v>3100.0</v>
      </c>
      <c r="DO161" s="12"/>
      <c r="DP161" s="11">
        <v>5130000.0</v>
      </c>
      <c r="DQ161" s="11">
        <v>6780000.0</v>
      </c>
      <c r="DR161" s="11">
        <v>7010000.0</v>
      </c>
      <c r="DS161" s="11">
        <v>1280000.0</v>
      </c>
      <c r="DT161" s="12"/>
      <c r="DU161" s="11">
        <v>1000000.0</v>
      </c>
      <c r="DV161" s="11">
        <v>3860000.0</v>
      </c>
      <c r="DW161" s="11">
        <v>3590000.0</v>
      </c>
      <c r="DX161" s="13"/>
      <c r="DY161" s="13"/>
      <c r="DZ161" s="11">
        <v>2460000.0</v>
      </c>
      <c r="EA161" s="11">
        <v>807600.0</v>
      </c>
      <c r="EB161" s="11">
        <v>969600.0</v>
      </c>
      <c r="EC161" s="11">
        <v>-374900.0</v>
      </c>
      <c r="ED161" s="12"/>
      <c r="EE161" s="14">
        <v>0.02</v>
      </c>
      <c r="EF161" s="14">
        <v>0.043</v>
      </c>
      <c r="EG161" s="14">
        <v>0.357</v>
      </c>
      <c r="EH161" s="14">
        <v>0.17</v>
      </c>
    </row>
    <row r="162">
      <c r="A162" s="9">
        <f t="shared" si="2"/>
        <v>160</v>
      </c>
      <c r="B162" s="22" t="s">
        <v>296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1">
        <v>-1.0</v>
      </c>
      <c r="N162" s="11">
        <v>-1.0</v>
      </c>
      <c r="O162" s="11">
        <v>29110.0</v>
      </c>
      <c r="P162" s="11">
        <v>19330.0</v>
      </c>
      <c r="Q162" s="11">
        <v>15680.0</v>
      </c>
      <c r="R162" s="11">
        <v>15590.0</v>
      </c>
      <c r="S162" s="11">
        <v>7110.0</v>
      </c>
      <c r="T162" s="11">
        <v>22260.0</v>
      </c>
      <c r="U162" s="11">
        <v>13340.0</v>
      </c>
      <c r="V162" s="11">
        <v>10670.0</v>
      </c>
      <c r="W162" s="11">
        <v>7250.0</v>
      </c>
      <c r="X162" s="11">
        <v>2270.0</v>
      </c>
      <c r="Y162" s="11">
        <v>-28990.0</v>
      </c>
      <c r="Z162" s="12"/>
      <c r="AA162" s="11">
        <v>-15610.0</v>
      </c>
      <c r="AB162" s="11">
        <v>-15380.0</v>
      </c>
      <c r="AC162" s="11">
        <v>-7020.0</v>
      </c>
      <c r="AD162" s="11">
        <v>-28680.0</v>
      </c>
      <c r="AE162" s="11">
        <v>-19010.0</v>
      </c>
      <c r="AF162" s="11">
        <v>-15420.0</v>
      </c>
      <c r="AG162" s="11">
        <v>-14710.0</v>
      </c>
      <c r="AH162" s="11">
        <v>-12110.0</v>
      </c>
      <c r="AI162" s="11">
        <v>-29110.0</v>
      </c>
      <c r="AJ162" s="11">
        <v>-19330.0</v>
      </c>
      <c r="AK162" s="11">
        <v>-15680.0</v>
      </c>
      <c r="AL162" s="11">
        <v>-15590.0</v>
      </c>
      <c r="AM162" s="11">
        <v>-7110.0</v>
      </c>
      <c r="AN162" s="11">
        <v>-26290.0</v>
      </c>
      <c r="AO162" s="11">
        <v>-17250.0</v>
      </c>
      <c r="AP162" s="11">
        <v>-13460.0</v>
      </c>
      <c r="AQ162" s="11">
        <v>-14740.0</v>
      </c>
      <c r="AR162" s="11">
        <v>-12110.0</v>
      </c>
      <c r="AS162" s="11">
        <v>-18580.0</v>
      </c>
      <c r="AT162" s="11">
        <v>-12680.0</v>
      </c>
      <c r="AU162" s="11">
        <v>-9020.0</v>
      </c>
      <c r="AV162" s="11">
        <v>-9240.0</v>
      </c>
      <c r="AW162" s="11">
        <v>-4230.0</v>
      </c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1">
        <v>22190.0</v>
      </c>
      <c r="BI162" s="11">
        <v>22930.0</v>
      </c>
      <c r="BJ162" s="11">
        <v>27440.0</v>
      </c>
      <c r="BK162" s="11">
        <v>9190.0</v>
      </c>
      <c r="BL162" s="11">
        <v>15290.0</v>
      </c>
      <c r="BM162" s="11">
        <v>2640.0</v>
      </c>
      <c r="BN162" s="11">
        <v>1870.0</v>
      </c>
      <c r="BO162" s="11">
        <v>10.0</v>
      </c>
      <c r="BP162" s="11">
        <v>79.0</v>
      </c>
      <c r="BQ162" s="11">
        <v>77.0</v>
      </c>
      <c r="BR162" s="12"/>
      <c r="BS162" s="12"/>
      <c r="BT162" s="12"/>
      <c r="BU162" s="12"/>
      <c r="BV162" s="12"/>
      <c r="BW162" s="11">
        <v>25330.0</v>
      </c>
      <c r="BX162" s="11">
        <v>26050.0</v>
      </c>
      <c r="BY162" s="11">
        <v>27790.0</v>
      </c>
      <c r="BZ162" s="11">
        <v>9450.0</v>
      </c>
      <c r="CA162" s="11">
        <v>15470.0</v>
      </c>
      <c r="CB162" s="12"/>
      <c r="CC162" s="12"/>
      <c r="CD162" s="12"/>
      <c r="CE162" s="12"/>
      <c r="CF162" s="11">
        <v>1.0</v>
      </c>
      <c r="CG162" s="12"/>
      <c r="CH162" s="12"/>
      <c r="CI162" s="12"/>
      <c r="CJ162" s="12"/>
      <c r="CK162" s="12"/>
      <c r="CL162" s="11">
        <v>25330.0</v>
      </c>
      <c r="CM162" s="11">
        <v>26210.0</v>
      </c>
      <c r="CN162" s="11">
        <v>27840.0</v>
      </c>
      <c r="CO162" s="11">
        <v>9500.0</v>
      </c>
      <c r="CP162" s="11">
        <v>15470.0</v>
      </c>
      <c r="CQ162" s="11">
        <v>3520.0</v>
      </c>
      <c r="CR162" s="11">
        <v>2960.0</v>
      </c>
      <c r="CS162" s="11">
        <v>3580.0</v>
      </c>
      <c r="CT162" s="12"/>
      <c r="CU162" s="12"/>
      <c r="CV162" s="11">
        <v>5040.0</v>
      </c>
      <c r="CW162" s="12"/>
      <c r="CX162" s="12"/>
      <c r="CY162" s="12"/>
      <c r="CZ162" s="12"/>
      <c r="DA162" s="11">
        <v>85.0</v>
      </c>
      <c r="DB162" s="11">
        <v>5040.0</v>
      </c>
      <c r="DC162" s="11">
        <v>3880.0</v>
      </c>
      <c r="DD162" s="11">
        <v>3580.0</v>
      </c>
      <c r="DE162" s="11">
        <v>3190.0</v>
      </c>
      <c r="DF162" s="11">
        <v>5040.0</v>
      </c>
      <c r="DG162" s="11">
        <v>3880.0</v>
      </c>
      <c r="DH162" s="11">
        <v>3580.0</v>
      </c>
      <c r="DI162" s="11">
        <v>3190.0</v>
      </c>
      <c r="DJ162" s="11">
        <v>2660.0</v>
      </c>
      <c r="DK162" s="12"/>
      <c r="DL162" s="12"/>
      <c r="DM162" s="12"/>
      <c r="DN162" s="12"/>
      <c r="DO162" s="12"/>
      <c r="DP162" s="12"/>
      <c r="DQ162" s="12"/>
      <c r="DR162" s="12"/>
      <c r="DS162" s="12"/>
      <c r="DT162" s="11">
        <v>0.0</v>
      </c>
      <c r="DU162" s="13"/>
      <c r="DV162" s="12"/>
      <c r="DW162" s="12"/>
      <c r="DX162" s="13"/>
      <c r="DY162" s="13"/>
      <c r="DZ162" s="11">
        <v>20290.0</v>
      </c>
      <c r="EA162" s="11">
        <v>22320.0</v>
      </c>
      <c r="EB162" s="11">
        <v>24250.0</v>
      </c>
      <c r="EC162" s="11">
        <v>6310.0</v>
      </c>
      <c r="ED162" s="11">
        <v>12810.0</v>
      </c>
      <c r="EE162" s="23"/>
      <c r="EF162" s="23"/>
      <c r="EG162" s="14">
        <v>0.214</v>
      </c>
      <c r="EH162" s="14">
        <v>0.273</v>
      </c>
    </row>
    <row r="163">
      <c r="A163" s="9">
        <f t="shared" si="2"/>
        <v>161</v>
      </c>
      <c r="B163" s="10" t="s">
        <v>297</v>
      </c>
      <c r="C163" s="11">
        <v>989440.0</v>
      </c>
      <c r="D163" s="11">
        <v>943210.0</v>
      </c>
      <c r="E163" s="11">
        <v>1040000.0</v>
      </c>
      <c r="F163" s="11">
        <v>975300.0</v>
      </c>
      <c r="G163" s="11">
        <v>893500.0</v>
      </c>
      <c r="H163" s="11">
        <v>835900.0</v>
      </c>
      <c r="I163" s="11">
        <v>1230000.0</v>
      </c>
      <c r="J163" s="11">
        <v>395700.0</v>
      </c>
      <c r="K163" s="11">
        <v>333400.0</v>
      </c>
      <c r="L163" s="11">
        <v>319000.0</v>
      </c>
      <c r="M163" s="11">
        <v>305600.0</v>
      </c>
      <c r="N163" s="11">
        <v>377200.0</v>
      </c>
      <c r="O163" s="11">
        <v>154600.0</v>
      </c>
      <c r="P163" s="11">
        <v>159000.0</v>
      </c>
      <c r="Q163" s="11">
        <v>138600.0</v>
      </c>
      <c r="R163" s="11">
        <v>155500.0</v>
      </c>
      <c r="S163" s="11">
        <v>266800.0</v>
      </c>
      <c r="T163" s="11">
        <v>14800.0</v>
      </c>
      <c r="U163" s="11">
        <v>16300.0</v>
      </c>
      <c r="V163" s="11">
        <v>17400.0</v>
      </c>
      <c r="W163" s="11">
        <v>17800.0</v>
      </c>
      <c r="X163" s="11">
        <v>19700.0</v>
      </c>
      <c r="Y163" s="11">
        <v>220800.0</v>
      </c>
      <c r="Z163" s="12"/>
      <c r="AA163" s="11">
        <v>-4000.0</v>
      </c>
      <c r="AB163" s="11">
        <v>-34500.0</v>
      </c>
      <c r="AC163" s="11">
        <v>-37200.0</v>
      </c>
      <c r="AD163" s="11">
        <v>299400.0</v>
      </c>
      <c r="AE163" s="11">
        <v>242700.0</v>
      </c>
      <c r="AF163" s="11">
        <v>222100.0</v>
      </c>
      <c r="AG163" s="11">
        <v>150600.0</v>
      </c>
      <c r="AH163" s="11">
        <v>80100.0</v>
      </c>
      <c r="AI163" s="11">
        <v>312600.0</v>
      </c>
      <c r="AJ163" s="11">
        <v>253800.0</v>
      </c>
      <c r="AK163" s="11">
        <v>247400.0</v>
      </c>
      <c r="AL163" s="11">
        <v>204900.0</v>
      </c>
      <c r="AM163" s="11">
        <v>189600.0</v>
      </c>
      <c r="AN163" s="11">
        <v>241800.0</v>
      </c>
      <c r="AO163" s="11">
        <v>189000.0</v>
      </c>
      <c r="AP163" s="11">
        <v>219900.0</v>
      </c>
      <c r="AQ163" s="11">
        <v>99000.0</v>
      </c>
      <c r="AR163" s="11">
        <v>26500.0</v>
      </c>
      <c r="AS163" s="11">
        <v>182700.0</v>
      </c>
      <c r="AT163" s="11">
        <v>203200.0</v>
      </c>
      <c r="AU163" s="11">
        <v>170400.0</v>
      </c>
      <c r="AV163" s="11">
        <v>49300.0</v>
      </c>
      <c r="AW163" s="11">
        <v>203700.0</v>
      </c>
      <c r="AX163" s="11">
        <v>-71300.0</v>
      </c>
      <c r="AY163" s="11">
        <v>-71900.0</v>
      </c>
      <c r="AZ163" s="11">
        <v>-89700.0</v>
      </c>
      <c r="BA163" s="11">
        <v>-104200.0</v>
      </c>
      <c r="BB163" s="11">
        <v>-170700.0</v>
      </c>
      <c r="BC163" s="11">
        <v>-35600.0</v>
      </c>
      <c r="BD163" s="11">
        <v>-8600.0</v>
      </c>
      <c r="BE163" s="13"/>
      <c r="BF163" s="13"/>
      <c r="BG163" s="11">
        <v>-1200.0</v>
      </c>
      <c r="BH163" s="11">
        <v>45300.0</v>
      </c>
      <c r="BI163" s="11">
        <v>325700.0</v>
      </c>
      <c r="BJ163" s="11">
        <v>159600.0</v>
      </c>
      <c r="BK163" s="11">
        <v>141900.0</v>
      </c>
      <c r="BL163" s="11">
        <v>220300.0</v>
      </c>
      <c r="BM163" s="11">
        <v>115100.0</v>
      </c>
      <c r="BN163" s="11">
        <v>81600.0</v>
      </c>
      <c r="BO163" s="11">
        <v>121500.0</v>
      </c>
      <c r="BP163" s="11">
        <v>81000.0</v>
      </c>
      <c r="BQ163" s="11">
        <v>125400.0</v>
      </c>
      <c r="BR163" s="11">
        <v>68500.0</v>
      </c>
      <c r="BS163" s="11">
        <v>61200.0</v>
      </c>
      <c r="BT163" s="11">
        <v>53800.0</v>
      </c>
      <c r="BU163" s="11">
        <v>46900.0</v>
      </c>
      <c r="BV163" s="11">
        <v>101400.0</v>
      </c>
      <c r="BW163" s="11">
        <v>244400.0</v>
      </c>
      <c r="BX163" s="11">
        <v>717600.0</v>
      </c>
      <c r="BY163" s="11">
        <v>648900.0</v>
      </c>
      <c r="BZ163" s="11">
        <v>406200.0</v>
      </c>
      <c r="CA163" s="11">
        <v>880800.0</v>
      </c>
      <c r="CB163" s="11">
        <v>559900.0</v>
      </c>
      <c r="CC163" s="11">
        <v>501000.0</v>
      </c>
      <c r="CD163" s="11">
        <v>499900.0</v>
      </c>
      <c r="CE163" s="11">
        <v>465200.0</v>
      </c>
      <c r="CF163" s="11">
        <v>648100.0</v>
      </c>
      <c r="CG163" s="11">
        <v>53000.0</v>
      </c>
      <c r="CH163" s="11">
        <v>19200.0</v>
      </c>
      <c r="CI163" s="11">
        <v>11300.0</v>
      </c>
      <c r="CJ163" s="11">
        <v>500.0</v>
      </c>
      <c r="CK163" s="12"/>
      <c r="CL163" s="11">
        <v>1490000.0</v>
      </c>
      <c r="CM163" s="11">
        <v>1840000.0</v>
      </c>
      <c r="CN163" s="11">
        <v>1870000.0</v>
      </c>
      <c r="CO163" s="11">
        <v>1760000.0</v>
      </c>
      <c r="CP163" s="11">
        <v>2690000.0</v>
      </c>
      <c r="CQ163" s="11">
        <v>79400.0</v>
      </c>
      <c r="CR163" s="11">
        <v>82200.0</v>
      </c>
      <c r="CS163" s="11">
        <v>67600.0</v>
      </c>
      <c r="CT163" s="11">
        <v>68700.0</v>
      </c>
      <c r="CU163" s="11">
        <v>127500.0</v>
      </c>
      <c r="CV163" s="11">
        <v>155200.0</v>
      </c>
      <c r="CW163" s="11">
        <v>5200.0</v>
      </c>
      <c r="CX163" s="13"/>
      <c r="CY163" s="13"/>
      <c r="CZ163" s="13"/>
      <c r="DA163" s="12"/>
      <c r="DB163" s="11">
        <v>155200.0</v>
      </c>
      <c r="DC163" s="11">
        <v>549500.0</v>
      </c>
      <c r="DD163" s="11">
        <v>269900.0</v>
      </c>
      <c r="DE163" s="11">
        <v>224100.0</v>
      </c>
      <c r="DF163" s="11">
        <v>1130000.0</v>
      </c>
      <c r="DG163" s="11">
        <v>1610000.0</v>
      </c>
      <c r="DH163" s="11">
        <v>1450000.0</v>
      </c>
      <c r="DI163" s="11">
        <v>1490000.0</v>
      </c>
      <c r="DJ163" s="11">
        <v>1920000.0</v>
      </c>
      <c r="DK163" s="11">
        <v>59800.0</v>
      </c>
      <c r="DL163" s="11">
        <v>50400.0</v>
      </c>
      <c r="DM163" s="11">
        <v>116000.0</v>
      </c>
      <c r="DN163" s="11">
        <v>113700.0</v>
      </c>
      <c r="DO163" s="11">
        <v>130800.0</v>
      </c>
      <c r="DP163" s="11">
        <v>634600.0</v>
      </c>
      <c r="DQ163" s="11">
        <v>764800.0</v>
      </c>
      <c r="DR163" s="11">
        <v>817700.0</v>
      </c>
      <c r="DS163" s="11">
        <v>848600.0</v>
      </c>
      <c r="DT163" s="11">
        <v>936200.0</v>
      </c>
      <c r="DU163" s="13"/>
      <c r="DV163" s="12"/>
      <c r="DW163" s="12"/>
      <c r="DX163" s="13"/>
      <c r="DY163" s="13"/>
      <c r="DZ163" s="11">
        <v>364900.0</v>
      </c>
      <c r="EA163" s="11">
        <v>226000.0</v>
      </c>
      <c r="EB163" s="11">
        <v>419300.0</v>
      </c>
      <c r="EC163" s="11">
        <v>266400.0</v>
      </c>
      <c r="ED163" s="11">
        <v>768800.0</v>
      </c>
      <c r="EE163" s="14">
        <v>0.098</v>
      </c>
      <c r="EF163" s="14">
        <v>0.12</v>
      </c>
      <c r="EG163" s="14">
        <v>-0.185</v>
      </c>
      <c r="EH163" s="14">
        <v>0.04</v>
      </c>
    </row>
    <row r="164">
      <c r="A164" s="9">
        <f t="shared" si="2"/>
        <v>162</v>
      </c>
      <c r="B164" s="22" t="s">
        <v>298</v>
      </c>
      <c r="C164" s="11">
        <v>25930.0</v>
      </c>
      <c r="D164" s="11">
        <v>12240.0</v>
      </c>
      <c r="E164" s="11">
        <v>9300.0</v>
      </c>
      <c r="F164" s="11">
        <v>5670.0</v>
      </c>
      <c r="G164" s="11">
        <v>4180.0</v>
      </c>
      <c r="H164" s="11">
        <v>246.0</v>
      </c>
      <c r="I164" s="11">
        <v>147.0</v>
      </c>
      <c r="J164" s="11">
        <v>4400.0</v>
      </c>
      <c r="K164" s="11">
        <v>483.0</v>
      </c>
      <c r="L164" s="11">
        <v>1770.0</v>
      </c>
      <c r="M164" s="12"/>
      <c r="N164" s="12"/>
      <c r="O164" s="11">
        <v>77230.0</v>
      </c>
      <c r="P164" s="11">
        <v>80850.0</v>
      </c>
      <c r="Q164" s="11">
        <v>65630.0</v>
      </c>
      <c r="R164" s="11">
        <v>65600.0</v>
      </c>
      <c r="S164" s="11">
        <v>43900.0</v>
      </c>
      <c r="T164" s="11">
        <v>25350.0</v>
      </c>
      <c r="U164" s="11">
        <v>26840.0</v>
      </c>
      <c r="V164" s="11">
        <v>21200.0</v>
      </c>
      <c r="W164" s="11">
        <v>29400.0</v>
      </c>
      <c r="X164" s="11">
        <v>26020.0</v>
      </c>
      <c r="Y164" s="12"/>
      <c r="Z164" s="12"/>
      <c r="AA164" s="12"/>
      <c r="AB164" s="12"/>
      <c r="AC164" s="12"/>
      <c r="AD164" s="11">
        <v>-84420.0</v>
      </c>
      <c r="AE164" s="11">
        <v>-88120.0</v>
      </c>
      <c r="AF164" s="11">
        <v>-63540.0</v>
      </c>
      <c r="AG164" s="11">
        <v>-67310.0</v>
      </c>
      <c r="AH164" s="11">
        <v>-45500.0</v>
      </c>
      <c r="AI164" s="11">
        <v>-70230.0</v>
      </c>
      <c r="AJ164" s="11">
        <v>-77810.0</v>
      </c>
      <c r="AK164" s="11">
        <v>-61990.0</v>
      </c>
      <c r="AL164" s="11">
        <v>-65350.0</v>
      </c>
      <c r="AM164" s="11">
        <v>-43760.0</v>
      </c>
      <c r="AN164" s="11">
        <v>-84310.0</v>
      </c>
      <c r="AO164" s="11">
        <v>-88330.0</v>
      </c>
      <c r="AP164" s="11">
        <v>-64030.0</v>
      </c>
      <c r="AQ164" s="11">
        <v>-66370.0</v>
      </c>
      <c r="AR164" s="11">
        <v>-45500.0</v>
      </c>
      <c r="AS164" s="11">
        <v>-64790.0</v>
      </c>
      <c r="AT164" s="11">
        <v>-67760.0</v>
      </c>
      <c r="AU164" s="11">
        <v>-55750.0</v>
      </c>
      <c r="AV164" s="11">
        <v>-53410.0</v>
      </c>
      <c r="AW164" s="11">
        <v>-35130.0</v>
      </c>
      <c r="AX164" s="11">
        <v>-330.0</v>
      </c>
      <c r="AY164" s="11">
        <v>-998.0</v>
      </c>
      <c r="AZ164" s="11">
        <v>-2970.0</v>
      </c>
      <c r="BA164" s="11">
        <v>-2410.0</v>
      </c>
      <c r="BB164" s="11">
        <v>-3660.0</v>
      </c>
      <c r="BC164" s="12"/>
      <c r="BD164" s="12"/>
      <c r="BE164" s="12"/>
      <c r="BF164" s="12"/>
      <c r="BG164" s="12"/>
      <c r="BH164" s="11">
        <v>108450.0</v>
      </c>
      <c r="BI164" s="11">
        <v>166480.0</v>
      </c>
      <c r="BJ164" s="11">
        <v>109160.0</v>
      </c>
      <c r="BK164" s="11">
        <v>77760.0</v>
      </c>
      <c r="BL164" s="11">
        <v>132420.0</v>
      </c>
      <c r="BM164" s="11">
        <v>3220.0</v>
      </c>
      <c r="BN164" s="11">
        <v>1860.0</v>
      </c>
      <c r="BO164" s="11">
        <v>1950.0</v>
      </c>
      <c r="BP164" s="11">
        <v>34.0</v>
      </c>
      <c r="BQ164" s="11">
        <v>77.0</v>
      </c>
      <c r="BR164" s="11">
        <v>8060.0</v>
      </c>
      <c r="BS164" s="11">
        <v>7750.0</v>
      </c>
      <c r="BT164" s="11">
        <v>8060.0</v>
      </c>
      <c r="BU164" s="12"/>
      <c r="BV164" s="12"/>
      <c r="BW164" s="11">
        <v>121850.0</v>
      </c>
      <c r="BX164" s="11">
        <v>177640.0</v>
      </c>
      <c r="BY164" s="11">
        <v>120490.0</v>
      </c>
      <c r="BZ164" s="11">
        <v>78450.0</v>
      </c>
      <c r="CA164" s="11">
        <v>134150.0</v>
      </c>
      <c r="CB164" s="11">
        <v>11820.0</v>
      </c>
      <c r="CC164" s="11">
        <v>7300.0</v>
      </c>
      <c r="CD164" s="11">
        <v>4890.0</v>
      </c>
      <c r="CE164" s="11">
        <v>4260.0</v>
      </c>
      <c r="CF164" s="11">
        <v>5020.0</v>
      </c>
      <c r="CG164" s="12"/>
      <c r="CH164" s="12"/>
      <c r="CI164" s="12"/>
      <c r="CJ164" s="12"/>
      <c r="CK164" s="12"/>
      <c r="CL164" s="11">
        <v>134420.0</v>
      </c>
      <c r="CM164" s="11">
        <v>185270.0</v>
      </c>
      <c r="CN164" s="11">
        <v>125510.0</v>
      </c>
      <c r="CO164" s="11">
        <v>82850.0</v>
      </c>
      <c r="CP164" s="11">
        <v>139320.0</v>
      </c>
      <c r="CQ164" s="11">
        <v>2350.0</v>
      </c>
      <c r="CR164" s="11">
        <v>1320.0</v>
      </c>
      <c r="CS164" s="11">
        <v>2080.0</v>
      </c>
      <c r="CT164" s="11">
        <v>992.0</v>
      </c>
      <c r="CU164" s="11">
        <v>2620.0</v>
      </c>
      <c r="CV164" s="11">
        <v>8160.0</v>
      </c>
      <c r="CW164" s="11">
        <v>450.0</v>
      </c>
      <c r="CX164" s="12"/>
      <c r="CY164" s="12"/>
      <c r="CZ164" s="12"/>
      <c r="DA164" s="12"/>
      <c r="DB164" s="11">
        <v>8160.0</v>
      </c>
      <c r="DC164" s="11">
        <v>7760.0</v>
      </c>
      <c r="DD164" s="11">
        <v>6790.0</v>
      </c>
      <c r="DE164" s="11">
        <v>4040.0</v>
      </c>
      <c r="DF164" s="11">
        <v>141800.0</v>
      </c>
      <c r="DG164" s="11">
        <v>127890.0</v>
      </c>
      <c r="DH164" s="11">
        <v>6810.0</v>
      </c>
      <c r="DI164" s="11">
        <v>5040.0</v>
      </c>
      <c r="DJ164" s="11">
        <v>6310.0</v>
      </c>
      <c r="DK164" s="12"/>
      <c r="DL164" s="12"/>
      <c r="DM164" s="12"/>
      <c r="DN164" s="12"/>
      <c r="DO164" s="12"/>
      <c r="DP164" s="11">
        <v>133620.0</v>
      </c>
      <c r="DQ164" s="11">
        <v>120070.0</v>
      </c>
      <c r="DR164" s="12"/>
      <c r="DS164" s="12"/>
      <c r="DT164" s="12"/>
      <c r="DU164" s="13"/>
      <c r="DV164" s="13"/>
      <c r="DW164" s="13"/>
      <c r="DX164" s="13"/>
      <c r="DY164" s="13"/>
      <c r="DZ164" s="11">
        <v>-7380.0</v>
      </c>
      <c r="EA164" s="11">
        <v>57380.0</v>
      </c>
      <c r="EB164" s="11">
        <v>118700.0</v>
      </c>
      <c r="EC164" s="11">
        <v>77820.0</v>
      </c>
      <c r="ED164" s="11">
        <v>133020.0</v>
      </c>
      <c r="EE164" s="14">
        <v>0.335</v>
      </c>
      <c r="EF164" s="14">
        <v>0.496</v>
      </c>
      <c r="EG164" s="14">
        <v>-0.029</v>
      </c>
      <c r="EH164" s="14">
        <v>-0.001</v>
      </c>
    </row>
    <row r="165">
      <c r="A165" s="9">
        <f t="shared" si="2"/>
        <v>163</v>
      </c>
      <c r="B165" s="22" t="s">
        <v>299</v>
      </c>
      <c r="C165" s="11">
        <v>114610.0</v>
      </c>
      <c r="D165" s="11">
        <v>93590.0</v>
      </c>
      <c r="E165" s="11">
        <v>106710.0</v>
      </c>
      <c r="F165" s="11">
        <v>83940.0</v>
      </c>
      <c r="G165" s="11">
        <v>60430.0</v>
      </c>
      <c r="H165" s="11">
        <v>41110.0</v>
      </c>
      <c r="I165" s="11">
        <v>27330.0</v>
      </c>
      <c r="J165" s="11">
        <v>89360.0</v>
      </c>
      <c r="K165" s="11">
        <v>71010.0</v>
      </c>
      <c r="L165" s="11">
        <v>51110.0</v>
      </c>
      <c r="M165" s="11">
        <v>34640.0</v>
      </c>
      <c r="N165" s="11">
        <v>22480.0</v>
      </c>
      <c r="O165" s="11">
        <v>118300.0</v>
      </c>
      <c r="P165" s="11">
        <v>91510.0</v>
      </c>
      <c r="Q165" s="11">
        <v>59070.0</v>
      </c>
      <c r="R165" s="11">
        <v>42770.0</v>
      </c>
      <c r="S165" s="11">
        <v>31750.0</v>
      </c>
      <c r="T165" s="11">
        <v>17510.0</v>
      </c>
      <c r="U165" s="11">
        <v>11770.0</v>
      </c>
      <c r="V165" s="11">
        <v>6700.0</v>
      </c>
      <c r="W165" s="11">
        <v>4210.0</v>
      </c>
      <c r="X165" s="11">
        <v>3240.0</v>
      </c>
      <c r="Y165" s="11">
        <v>-31410.0</v>
      </c>
      <c r="Z165" s="11">
        <v>-22690.0</v>
      </c>
      <c r="AA165" s="12"/>
      <c r="AB165" s="11">
        <v>-8880.0</v>
      </c>
      <c r="AC165" s="12"/>
      <c r="AD165" s="11">
        <v>-29140.0</v>
      </c>
      <c r="AE165" s="11">
        <v>-22400.0</v>
      </c>
      <c r="AF165" s="11">
        <v>-10450.0</v>
      </c>
      <c r="AG165" s="11">
        <v>-14410.0</v>
      </c>
      <c r="AH165" s="11">
        <v>-13360.0</v>
      </c>
      <c r="AI165" s="11">
        <v>-26060.0</v>
      </c>
      <c r="AJ165" s="11">
        <v>-19650.0</v>
      </c>
      <c r="AK165" s="11">
        <v>-7380.0</v>
      </c>
      <c r="AL165" s="11">
        <v>-7690.0</v>
      </c>
      <c r="AM165" s="11">
        <v>-9020.0</v>
      </c>
      <c r="AN165" s="11">
        <v>-29140.0</v>
      </c>
      <c r="AO165" s="11">
        <v>-22400.0</v>
      </c>
      <c r="AP165" s="11">
        <v>-10450.0</v>
      </c>
      <c r="AQ165" s="11">
        <v>-14410.0</v>
      </c>
      <c r="AR165" s="11">
        <v>-13360.0</v>
      </c>
      <c r="AS165" s="11">
        <v>-18100.0</v>
      </c>
      <c r="AT165" s="11">
        <v>-17860.0</v>
      </c>
      <c r="AU165" s="11">
        <v>-9240.0</v>
      </c>
      <c r="AV165" s="11">
        <v>-11200.0</v>
      </c>
      <c r="AW165" s="11">
        <v>-13050.0</v>
      </c>
      <c r="AX165" s="11">
        <v>-5230.0</v>
      </c>
      <c r="AY165" s="11">
        <v>-6600.0</v>
      </c>
      <c r="AZ165" s="11">
        <v>-1290.0</v>
      </c>
      <c r="BA165" s="11">
        <v>-1190.0</v>
      </c>
      <c r="BB165" s="11">
        <v>-556.0</v>
      </c>
      <c r="BC165" s="12"/>
      <c r="BD165" s="12"/>
      <c r="BE165" s="12"/>
      <c r="BF165" s="12"/>
      <c r="BG165" s="12"/>
      <c r="BH165" s="11">
        <v>102510.0</v>
      </c>
      <c r="BI165" s="11">
        <v>122610.0</v>
      </c>
      <c r="BJ165" s="11">
        <v>36510.0</v>
      </c>
      <c r="BK165" s="11">
        <v>30010.0</v>
      </c>
      <c r="BL165" s="11">
        <v>25910.0</v>
      </c>
      <c r="BM165" s="11">
        <v>16940.0</v>
      </c>
      <c r="BN165" s="11">
        <v>15320.0</v>
      </c>
      <c r="BO165" s="11">
        <v>11060.0</v>
      </c>
      <c r="BP165" s="11">
        <v>8050.0</v>
      </c>
      <c r="BQ165" s="11">
        <v>4780.0</v>
      </c>
      <c r="BR165" s="11">
        <v>13860.0</v>
      </c>
      <c r="BS165" s="11">
        <v>11980.0</v>
      </c>
      <c r="BT165" s="11">
        <v>7320.0</v>
      </c>
      <c r="BU165" s="11">
        <v>5460.0</v>
      </c>
      <c r="BV165" s="11">
        <v>3930.0</v>
      </c>
      <c r="BW165" s="11">
        <v>135020.0</v>
      </c>
      <c r="BX165" s="11">
        <v>150950.0</v>
      </c>
      <c r="BY165" s="11">
        <v>55740.0</v>
      </c>
      <c r="BZ165" s="11">
        <v>44040.0</v>
      </c>
      <c r="CA165" s="11">
        <v>35050.0</v>
      </c>
      <c r="CB165" s="11">
        <v>18110.0</v>
      </c>
      <c r="CC165" s="11">
        <v>8040.0</v>
      </c>
      <c r="CD165" s="11">
        <v>2200.0</v>
      </c>
      <c r="CE165" s="11">
        <v>1490.0</v>
      </c>
      <c r="CF165" s="11">
        <v>971.0</v>
      </c>
      <c r="CG165" s="12"/>
      <c r="CH165" s="12"/>
      <c r="CI165" s="12"/>
      <c r="CJ165" s="12"/>
      <c r="CK165" s="12"/>
      <c r="CL165" s="11">
        <v>154640.0</v>
      </c>
      <c r="CM165" s="11">
        <v>160170.0</v>
      </c>
      <c r="CN165" s="11">
        <v>58870.0</v>
      </c>
      <c r="CO165" s="11">
        <v>46360.0</v>
      </c>
      <c r="CP165" s="11">
        <v>36700.0</v>
      </c>
      <c r="CQ165" s="11">
        <v>8260.0</v>
      </c>
      <c r="CR165" s="11">
        <v>4520.0</v>
      </c>
      <c r="CS165" s="11">
        <v>3240.0</v>
      </c>
      <c r="CT165" s="11">
        <v>4420.0</v>
      </c>
      <c r="CU165" s="11">
        <v>2110.0</v>
      </c>
      <c r="CV165" s="11">
        <v>20880.0</v>
      </c>
      <c r="CW165" s="11">
        <v>1720.0</v>
      </c>
      <c r="CX165" s="12"/>
      <c r="CY165" s="12"/>
      <c r="CZ165" s="12"/>
      <c r="DA165" s="12"/>
      <c r="DB165" s="11">
        <v>20880.0</v>
      </c>
      <c r="DC165" s="11">
        <v>13040.0</v>
      </c>
      <c r="DD165" s="11">
        <v>13720.0</v>
      </c>
      <c r="DE165" s="11">
        <v>11080.0</v>
      </c>
      <c r="DF165" s="11">
        <v>22490.0</v>
      </c>
      <c r="DG165" s="11">
        <v>13190.0</v>
      </c>
      <c r="DH165" s="11">
        <v>33690.0</v>
      </c>
      <c r="DI165" s="11">
        <v>31440.0</v>
      </c>
      <c r="DJ165" s="11">
        <v>28500.0</v>
      </c>
      <c r="DK165" s="12"/>
      <c r="DL165" s="12"/>
      <c r="DM165" s="12"/>
      <c r="DN165" s="12"/>
      <c r="DO165" s="12"/>
      <c r="DP165" s="11">
        <v>1600.0</v>
      </c>
      <c r="DQ165" s="11">
        <v>35.0</v>
      </c>
      <c r="DR165" s="11">
        <v>19910.0</v>
      </c>
      <c r="DS165" s="11">
        <v>20270.0</v>
      </c>
      <c r="DT165" s="11">
        <v>24700.0</v>
      </c>
      <c r="DU165" s="13"/>
      <c r="DV165" s="12"/>
      <c r="DW165" s="12"/>
      <c r="DX165" s="13"/>
      <c r="DY165" s="13"/>
      <c r="DZ165" s="11">
        <v>132150.0</v>
      </c>
      <c r="EA165" s="11">
        <v>146980.0</v>
      </c>
      <c r="EB165" s="11">
        <v>25180.0</v>
      </c>
      <c r="EC165" s="11">
        <v>14920.0</v>
      </c>
      <c r="ED165" s="11">
        <v>8200.0</v>
      </c>
      <c r="EE165" s="14">
        <v>0.06</v>
      </c>
      <c r="EF165" s="14">
        <v>0.128</v>
      </c>
      <c r="EG165" s="14">
        <v>0.605</v>
      </c>
      <c r="EH165" s="14">
        <v>0.148</v>
      </c>
    </row>
    <row r="166">
      <c r="A166" s="9">
        <f t="shared" si="2"/>
        <v>164</v>
      </c>
      <c r="B166" s="22" t="s">
        <v>300</v>
      </c>
      <c r="C166" s="12"/>
      <c r="D166" s="11">
        <v>20000.0</v>
      </c>
      <c r="E166" s="12"/>
      <c r="F166" s="12"/>
      <c r="G166" s="12"/>
      <c r="H166" s="12"/>
      <c r="I166" s="12"/>
      <c r="J166" s="11">
        <v>-662.0</v>
      </c>
      <c r="K166" s="11">
        <v>-1070.0</v>
      </c>
      <c r="L166" s="11">
        <v>-1390.0</v>
      </c>
      <c r="M166" s="12"/>
      <c r="N166" s="12"/>
      <c r="O166" s="11">
        <v>56780.0</v>
      </c>
      <c r="P166" s="11">
        <v>32830.0</v>
      </c>
      <c r="Q166" s="11">
        <v>27530.0</v>
      </c>
      <c r="R166" s="12"/>
      <c r="S166" s="12"/>
      <c r="T166" s="11">
        <v>41000.0</v>
      </c>
      <c r="U166" s="11">
        <v>25490.0</v>
      </c>
      <c r="V166" s="11">
        <v>22920.0</v>
      </c>
      <c r="W166" s="12"/>
      <c r="X166" s="12"/>
      <c r="Y166" s="11">
        <v>-57490.0</v>
      </c>
      <c r="Z166" s="11">
        <v>-33910.0</v>
      </c>
      <c r="AA166" s="11">
        <v>-28840.0</v>
      </c>
      <c r="AB166" s="12"/>
      <c r="AC166" s="12"/>
      <c r="AD166" s="11">
        <v>-59040.0</v>
      </c>
      <c r="AE166" s="11">
        <v>-36070.0</v>
      </c>
      <c r="AF166" s="11">
        <v>-30940.0</v>
      </c>
      <c r="AG166" s="12"/>
      <c r="AH166" s="12"/>
      <c r="AI166" s="11">
        <v>-56780.0</v>
      </c>
      <c r="AJ166" s="11">
        <v>-32830.0</v>
      </c>
      <c r="AK166" s="11">
        <v>-27530.0</v>
      </c>
      <c r="AL166" s="12"/>
      <c r="AM166" s="12"/>
      <c r="AN166" s="11">
        <v>-59040.0</v>
      </c>
      <c r="AO166" s="11">
        <v>-36070.0</v>
      </c>
      <c r="AP166" s="11">
        <v>-30940.0</v>
      </c>
      <c r="AQ166" s="12"/>
      <c r="AR166" s="12"/>
      <c r="AS166" s="11">
        <v>-50960.0</v>
      </c>
      <c r="AT166" s="11">
        <v>-30710.0</v>
      </c>
      <c r="AU166" s="11">
        <v>-26860.0</v>
      </c>
      <c r="AV166" s="12"/>
      <c r="AW166" s="12"/>
      <c r="AX166" s="11">
        <v>-136.0</v>
      </c>
      <c r="AY166" s="11">
        <v>-659.0</v>
      </c>
      <c r="AZ166" s="11">
        <v>-1090.0</v>
      </c>
      <c r="BA166" s="12"/>
      <c r="BB166" s="12"/>
      <c r="BC166" s="12"/>
      <c r="BD166" s="12"/>
      <c r="BE166" s="12"/>
      <c r="BF166" s="12"/>
      <c r="BG166" s="12"/>
      <c r="BH166" s="11">
        <v>92050.0</v>
      </c>
      <c r="BI166" s="11">
        <v>79470.0</v>
      </c>
      <c r="BJ166" s="11">
        <v>46820.0</v>
      </c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1">
        <v>93540.0</v>
      </c>
      <c r="BX166" s="11">
        <v>80300.0</v>
      </c>
      <c r="BY166" s="11">
        <v>47070.0</v>
      </c>
      <c r="BZ166" s="12"/>
      <c r="CA166" s="12"/>
      <c r="CB166" s="11">
        <v>608.0</v>
      </c>
      <c r="CC166" s="11">
        <v>1080.0</v>
      </c>
      <c r="CD166" s="11">
        <v>1530.0</v>
      </c>
      <c r="CE166" s="12"/>
      <c r="CF166" s="12"/>
      <c r="CG166" s="12"/>
      <c r="CH166" s="12"/>
      <c r="CI166" s="12"/>
      <c r="CJ166" s="12"/>
      <c r="CK166" s="12"/>
      <c r="CL166" s="11">
        <v>94360.0</v>
      </c>
      <c r="CM166" s="11">
        <v>81840.0</v>
      </c>
      <c r="CN166" s="11">
        <v>48810.0</v>
      </c>
      <c r="CO166" s="12"/>
      <c r="CP166" s="12"/>
      <c r="CQ166" s="11">
        <v>2000.0</v>
      </c>
      <c r="CR166" s="11">
        <v>1610.0</v>
      </c>
      <c r="CS166" s="11">
        <v>1020.0</v>
      </c>
      <c r="CT166" s="12"/>
      <c r="CU166" s="12"/>
      <c r="CV166" s="11">
        <v>8360.0</v>
      </c>
      <c r="CW166" s="12"/>
      <c r="CX166" s="12"/>
      <c r="CY166" s="12"/>
      <c r="CZ166" s="12"/>
      <c r="DA166" s="12"/>
      <c r="DB166" s="11">
        <v>8360.0</v>
      </c>
      <c r="DC166" s="11">
        <v>6910.0</v>
      </c>
      <c r="DD166" s="11">
        <v>5100.0</v>
      </c>
      <c r="DE166" s="12"/>
      <c r="DF166" s="11">
        <v>34140.0</v>
      </c>
      <c r="DG166" s="11">
        <v>33760.0</v>
      </c>
      <c r="DH166" s="11">
        <v>26340.0</v>
      </c>
      <c r="DI166" s="12"/>
      <c r="DJ166" s="12"/>
      <c r="DK166" s="12"/>
      <c r="DL166" s="12"/>
      <c r="DM166" s="12"/>
      <c r="DN166" s="12"/>
      <c r="DO166" s="12"/>
      <c r="DP166" s="11">
        <v>24900.0</v>
      </c>
      <c r="DQ166" s="11">
        <v>24520.0</v>
      </c>
      <c r="DR166" s="11">
        <v>19560.0</v>
      </c>
      <c r="DS166" s="12"/>
      <c r="DT166" s="12"/>
      <c r="DU166" s="13"/>
      <c r="DV166" s="11">
        <v>197840.0</v>
      </c>
      <c r="DW166" s="11">
        <v>138830.0</v>
      </c>
      <c r="DX166" s="13"/>
      <c r="DY166" s="13"/>
      <c r="DZ166" s="11">
        <v>60220.0</v>
      </c>
      <c r="EA166" s="11">
        <v>48090.0</v>
      </c>
      <c r="EB166" s="11">
        <v>22470.0</v>
      </c>
      <c r="EC166" s="12"/>
      <c r="ED166" s="12"/>
      <c r="EE166" s="23"/>
      <c r="EF166" s="23"/>
      <c r="EG166" s="14">
        <v>0.143</v>
      </c>
      <c r="EH166" s="14">
        <v>0.103</v>
      </c>
    </row>
    <row r="167">
      <c r="A167" s="9">
        <f t="shared" si="2"/>
        <v>165</v>
      </c>
      <c r="B167" s="22" t="s">
        <v>301</v>
      </c>
      <c r="C167" s="11">
        <v>24400.0</v>
      </c>
      <c r="D167" s="12"/>
      <c r="E167" s="12"/>
      <c r="F167" s="12"/>
      <c r="G167" s="12"/>
      <c r="H167" s="12"/>
      <c r="I167" s="12"/>
      <c r="J167" s="11">
        <v>-37.0</v>
      </c>
      <c r="K167" s="11">
        <v>-49.0</v>
      </c>
      <c r="L167" s="11">
        <v>-43.0</v>
      </c>
      <c r="M167" s="11">
        <v>-20.0</v>
      </c>
      <c r="N167" s="11">
        <v>-4.0</v>
      </c>
      <c r="O167" s="11">
        <v>67210.0</v>
      </c>
      <c r="P167" s="11">
        <v>32800.0</v>
      </c>
      <c r="Q167" s="11">
        <v>27120.0</v>
      </c>
      <c r="R167" s="11">
        <v>27520.0</v>
      </c>
      <c r="S167" s="11">
        <v>9190.0</v>
      </c>
      <c r="T167" s="11">
        <v>53610.0</v>
      </c>
      <c r="U167" s="11">
        <v>23500.0</v>
      </c>
      <c r="V167" s="11">
        <v>19960.0</v>
      </c>
      <c r="W167" s="11">
        <v>21200.0</v>
      </c>
      <c r="X167" s="11">
        <v>6780.0</v>
      </c>
      <c r="Y167" s="12"/>
      <c r="Z167" s="11">
        <v>-30060.0</v>
      </c>
      <c r="AA167" s="11">
        <v>-27810.0</v>
      </c>
      <c r="AB167" s="12"/>
      <c r="AC167" s="11">
        <v>-2280.0</v>
      </c>
      <c r="AD167" s="11">
        <v>-68480.0</v>
      </c>
      <c r="AE167" s="11">
        <v>-31180.0</v>
      </c>
      <c r="AF167" s="11">
        <v>-29150.0</v>
      </c>
      <c r="AG167" s="11">
        <v>-27680.0</v>
      </c>
      <c r="AH167" s="11">
        <v>-12210.0</v>
      </c>
      <c r="AI167" s="11">
        <v>-67210.0</v>
      </c>
      <c r="AJ167" s="11">
        <v>-32800.0</v>
      </c>
      <c r="AK167" s="11">
        <v>-27120.0</v>
      </c>
      <c r="AL167" s="11">
        <v>-27520.0</v>
      </c>
      <c r="AM167" s="11">
        <v>-9190.0</v>
      </c>
      <c r="AN167" s="11">
        <v>-68350.0</v>
      </c>
      <c r="AO167" s="11">
        <v>-30970.0</v>
      </c>
      <c r="AP167" s="11">
        <v>-28940.0</v>
      </c>
      <c r="AQ167" s="11">
        <v>-27200.0</v>
      </c>
      <c r="AR167" s="11">
        <v>-12210.0</v>
      </c>
      <c r="AS167" s="11">
        <v>-46380.0</v>
      </c>
      <c r="AT167" s="11">
        <v>-30050.0</v>
      </c>
      <c r="AU167" s="11">
        <v>-26470.0</v>
      </c>
      <c r="AV167" s="11">
        <v>-21280.0</v>
      </c>
      <c r="AW167" s="11">
        <v>-7440.0</v>
      </c>
      <c r="AX167" s="11">
        <v>-16.0</v>
      </c>
      <c r="AY167" s="11">
        <v>-33.0</v>
      </c>
      <c r="AZ167" s="11">
        <v>-10.0</v>
      </c>
      <c r="BA167" s="11">
        <v>-105.0</v>
      </c>
      <c r="BB167" s="11">
        <v>-20.0</v>
      </c>
      <c r="BC167" s="12"/>
      <c r="BD167" s="12"/>
      <c r="BE167" s="12"/>
      <c r="BF167" s="12"/>
      <c r="BG167" s="12"/>
      <c r="BH167" s="11">
        <v>219970.0</v>
      </c>
      <c r="BI167" s="11">
        <v>13970.0</v>
      </c>
      <c r="BJ167" s="11">
        <v>34020.0</v>
      </c>
      <c r="BK167" s="11">
        <v>36620.0</v>
      </c>
      <c r="BL167" s="11">
        <v>48040.0</v>
      </c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1">
        <v>220380.0</v>
      </c>
      <c r="BX167" s="11">
        <v>15220.0</v>
      </c>
      <c r="BY167" s="11">
        <v>35300.0</v>
      </c>
      <c r="BZ167" s="11">
        <v>38000.0</v>
      </c>
      <c r="CA167" s="11">
        <v>49030.0</v>
      </c>
      <c r="CB167" s="11">
        <v>31.0</v>
      </c>
      <c r="CC167" s="11">
        <v>52.0</v>
      </c>
      <c r="CD167" s="11">
        <v>68.0</v>
      </c>
      <c r="CE167" s="11">
        <v>101.0</v>
      </c>
      <c r="CF167" s="11">
        <v>17.0</v>
      </c>
      <c r="CG167" s="12"/>
      <c r="CH167" s="12"/>
      <c r="CI167" s="12"/>
      <c r="CJ167" s="12"/>
      <c r="CK167" s="12"/>
      <c r="CL167" s="11">
        <v>220550.0</v>
      </c>
      <c r="CM167" s="11">
        <v>15380.0</v>
      </c>
      <c r="CN167" s="11">
        <v>35560.0</v>
      </c>
      <c r="CO167" s="11">
        <v>38210.0</v>
      </c>
      <c r="CP167" s="11">
        <v>49080.0</v>
      </c>
      <c r="CQ167" s="11">
        <v>10940.0</v>
      </c>
      <c r="CR167" s="11">
        <v>3690.0</v>
      </c>
      <c r="CS167" s="11">
        <v>3440.0</v>
      </c>
      <c r="CT167" s="12"/>
      <c r="CU167" s="12"/>
      <c r="CV167" s="11">
        <v>24490.0</v>
      </c>
      <c r="CW167" s="12"/>
      <c r="CX167" s="12"/>
      <c r="CY167" s="12"/>
      <c r="CZ167" s="24">
        <v>269.0</v>
      </c>
      <c r="DA167" s="12"/>
      <c r="DB167" s="11">
        <v>24490.0</v>
      </c>
      <c r="DC167" s="11">
        <v>10820.0</v>
      </c>
      <c r="DD167" s="11">
        <v>12180.0</v>
      </c>
      <c r="DE167" s="11">
        <v>7170.0</v>
      </c>
      <c r="DF167" s="11">
        <v>41830.0</v>
      </c>
      <c r="DG167" s="11">
        <v>14440.0</v>
      </c>
      <c r="DH167" s="11">
        <v>18840.0</v>
      </c>
      <c r="DI167" s="11">
        <v>16640.0</v>
      </c>
      <c r="DJ167" s="11">
        <v>2630.0</v>
      </c>
      <c r="DK167" s="12"/>
      <c r="DL167" s="12"/>
      <c r="DM167" s="12"/>
      <c r="DN167" s="12"/>
      <c r="DO167" s="12"/>
      <c r="DP167" s="11">
        <v>17330.0</v>
      </c>
      <c r="DQ167" s="11">
        <v>3620.0</v>
      </c>
      <c r="DR167" s="11">
        <v>6660.0</v>
      </c>
      <c r="DS167" s="11">
        <v>9470.0</v>
      </c>
      <c r="DT167" s="12"/>
      <c r="DU167" s="13"/>
      <c r="DV167" s="12"/>
      <c r="DW167" s="12"/>
      <c r="DX167" s="13"/>
      <c r="DY167" s="13"/>
      <c r="DZ167" s="11">
        <v>178720.0</v>
      </c>
      <c r="EA167" s="11">
        <v>938.0</v>
      </c>
      <c r="EB167" s="11">
        <v>16720.0</v>
      </c>
      <c r="EC167" s="11">
        <v>21570.0</v>
      </c>
      <c r="ED167" s="11">
        <v>46440.0</v>
      </c>
      <c r="EE167" s="23"/>
      <c r="EF167" s="23"/>
      <c r="EG167" s="14">
        <v>0.21</v>
      </c>
      <c r="EH167" s="14">
        <v>-0.272</v>
      </c>
    </row>
    <row r="168">
      <c r="A168" s="9">
        <f t="shared" si="2"/>
        <v>166</v>
      </c>
      <c r="B168" s="25" t="s">
        <v>302</v>
      </c>
      <c r="C168" s="15">
        <v>4020000.0</v>
      </c>
      <c r="D168" s="15">
        <v>3480000.0</v>
      </c>
      <c r="E168" s="15">
        <v>4480000.0</v>
      </c>
      <c r="F168" s="15">
        <v>4700000.0</v>
      </c>
      <c r="G168" s="15">
        <v>4380000.0</v>
      </c>
      <c r="H168" s="15">
        <v>4090000.0</v>
      </c>
      <c r="I168" s="15">
        <v>4110000.0</v>
      </c>
      <c r="J168" s="15">
        <v>1480000.0</v>
      </c>
      <c r="K168" s="15">
        <v>1470000.0</v>
      </c>
      <c r="L168" s="15">
        <v>1500000.0</v>
      </c>
      <c r="M168" s="15">
        <v>1480000.0</v>
      </c>
      <c r="N168" s="15">
        <v>1440000.0</v>
      </c>
      <c r="O168" s="15">
        <v>871300.0</v>
      </c>
      <c r="P168" s="15">
        <v>952400.0</v>
      </c>
      <c r="Q168" s="15">
        <v>1020000.0</v>
      </c>
      <c r="R168" s="15">
        <v>960900.0</v>
      </c>
      <c r="S168" s="15">
        <v>870100.0</v>
      </c>
      <c r="T168" s="15">
        <v>70200.0</v>
      </c>
      <c r="U168" s="15">
        <v>73100.0</v>
      </c>
      <c r="V168" s="15">
        <v>65300.0</v>
      </c>
      <c r="W168" s="15">
        <v>57700.0</v>
      </c>
      <c r="X168" s="15">
        <v>51600.0</v>
      </c>
      <c r="Y168" s="15">
        <v>499300.0</v>
      </c>
      <c r="Z168" s="15">
        <v>450500.0</v>
      </c>
      <c r="AA168" s="15">
        <v>-139900.0</v>
      </c>
      <c r="AB168" s="15">
        <v>-230800.0</v>
      </c>
      <c r="AC168" s="15">
        <v>-123300.0</v>
      </c>
      <c r="AD168" s="15">
        <v>330000.0</v>
      </c>
      <c r="AE168" s="15">
        <v>267500.0</v>
      </c>
      <c r="AF168" s="15">
        <v>189600.0</v>
      </c>
      <c r="AG168" s="15">
        <v>82700.0</v>
      </c>
      <c r="AH168" s="15">
        <v>161200.0</v>
      </c>
      <c r="AI168" s="15">
        <v>957200.0</v>
      </c>
      <c r="AJ168" s="15">
        <v>891000.0</v>
      </c>
      <c r="AK168" s="15">
        <v>749500.0</v>
      </c>
      <c r="AL168" s="15">
        <v>781000.0</v>
      </c>
      <c r="AM168" s="15">
        <v>815000.0</v>
      </c>
      <c r="AN168" s="15">
        <v>249000.0</v>
      </c>
      <c r="AO168" s="15">
        <v>207100.0</v>
      </c>
      <c r="AP168" s="15">
        <v>36700.0</v>
      </c>
      <c r="AQ168" s="15">
        <v>38800.0</v>
      </c>
      <c r="AR168" s="15">
        <v>93700.0</v>
      </c>
      <c r="AS168" s="15">
        <v>571600.0</v>
      </c>
      <c r="AT168" s="15">
        <v>496100.0</v>
      </c>
      <c r="AU168" s="15">
        <v>540000.0</v>
      </c>
      <c r="AV168" s="15">
        <v>559300.0</v>
      </c>
      <c r="AW168" s="15">
        <v>409800.0</v>
      </c>
      <c r="AX168" s="15">
        <v>-112500.0</v>
      </c>
      <c r="AY168" s="15">
        <v>-143400.0</v>
      </c>
      <c r="AZ168" s="15">
        <v>-125000.0</v>
      </c>
      <c r="BA168" s="15">
        <v>-136200.0</v>
      </c>
      <c r="BB168" s="15">
        <v>-138100.0</v>
      </c>
      <c r="BC168" s="13"/>
      <c r="BD168" s="13"/>
      <c r="BE168" s="13"/>
      <c r="BF168" s="13"/>
      <c r="BG168" s="13"/>
      <c r="BH168" s="15">
        <v>1020000.0</v>
      </c>
      <c r="BI168" s="15">
        <v>696400.0</v>
      </c>
      <c r="BJ168" s="15">
        <v>772900.0</v>
      </c>
      <c r="BK168" s="15">
        <v>538100.0</v>
      </c>
      <c r="BL168" s="15">
        <v>487700.0</v>
      </c>
      <c r="BM168" s="15">
        <v>867600.0</v>
      </c>
      <c r="BN168" s="15">
        <v>860800.0</v>
      </c>
      <c r="BO168" s="15">
        <v>870200.0</v>
      </c>
      <c r="BP168" s="15">
        <v>801900.0</v>
      </c>
      <c r="BQ168" s="15">
        <v>765800.0</v>
      </c>
      <c r="BR168" s="15">
        <v>591600.0</v>
      </c>
      <c r="BS168" s="15">
        <v>613000.0</v>
      </c>
      <c r="BT168" s="15">
        <v>608600.0</v>
      </c>
      <c r="BU168" s="15">
        <v>529700.0</v>
      </c>
      <c r="BV168" s="15">
        <v>530700.0</v>
      </c>
      <c r="BW168" s="15">
        <v>2570000.0</v>
      </c>
      <c r="BX168" s="15">
        <v>2310000.0</v>
      </c>
      <c r="BY168" s="15">
        <v>2320000.0</v>
      </c>
      <c r="BZ168" s="15">
        <v>1920000.0</v>
      </c>
      <c r="CA168" s="15">
        <v>1850000.0</v>
      </c>
      <c r="CB168" s="15">
        <v>1320000.0</v>
      </c>
      <c r="CC168" s="15">
        <v>1300000.0</v>
      </c>
      <c r="CD168" s="15">
        <v>1390000.0</v>
      </c>
      <c r="CE168" s="15">
        <v>1320000.0</v>
      </c>
      <c r="CF168" s="15">
        <v>1380000.0</v>
      </c>
      <c r="CG168" s="15">
        <v>1210000.0</v>
      </c>
      <c r="CH168" s="15">
        <v>1230000.0</v>
      </c>
      <c r="CI168" s="15">
        <v>1270000.0</v>
      </c>
      <c r="CJ168" s="15">
        <v>964100.0</v>
      </c>
      <c r="CK168" s="15">
        <v>928200.0</v>
      </c>
      <c r="CL168" s="15">
        <v>6820000.0</v>
      </c>
      <c r="CM168" s="15">
        <v>6680000.0</v>
      </c>
      <c r="CN168" s="15">
        <v>6830000.0</v>
      </c>
      <c r="CO168" s="15">
        <v>5870000.0</v>
      </c>
      <c r="CP168" s="15">
        <v>5830000.0</v>
      </c>
      <c r="CQ168" s="15">
        <v>442000.0</v>
      </c>
      <c r="CR168" s="15">
        <v>477800.0</v>
      </c>
      <c r="CS168" s="15">
        <v>510700.0</v>
      </c>
      <c r="CT168" s="15">
        <v>429500.0</v>
      </c>
      <c r="CU168" s="15">
        <v>418600.0</v>
      </c>
      <c r="CV168" s="15">
        <v>1070000.0</v>
      </c>
      <c r="CW168" s="15">
        <v>48900.0</v>
      </c>
      <c r="CX168" s="15">
        <v>17900.0</v>
      </c>
      <c r="CY168" s="15">
        <v>12900.0</v>
      </c>
      <c r="CZ168" s="15">
        <v>8300.0</v>
      </c>
      <c r="DA168" s="15">
        <v>22700.0</v>
      </c>
      <c r="DB168" s="15">
        <v>1070000.0</v>
      </c>
      <c r="DC168" s="15">
        <v>1040000.0</v>
      </c>
      <c r="DD168" s="15">
        <v>1080000.0</v>
      </c>
      <c r="DE168" s="15">
        <v>942100.0</v>
      </c>
      <c r="DF168" s="15">
        <v>5410000.0</v>
      </c>
      <c r="DG168" s="15">
        <v>5370000.0</v>
      </c>
      <c r="DH168" s="15">
        <v>5420000.0</v>
      </c>
      <c r="DI168" s="15">
        <v>4620000.0</v>
      </c>
      <c r="DJ168" s="15">
        <v>4690000.0</v>
      </c>
      <c r="DK168" s="15">
        <v>9600.0</v>
      </c>
      <c r="DL168" s="15">
        <v>1700.0</v>
      </c>
      <c r="DM168" s="15">
        <v>5200.0</v>
      </c>
      <c r="DN168" s="15">
        <v>4400.0</v>
      </c>
      <c r="DO168" s="15">
        <v>4200.0</v>
      </c>
      <c r="DP168" s="15">
        <v>3860000.0</v>
      </c>
      <c r="DQ168" s="15">
        <v>3820000.0</v>
      </c>
      <c r="DR168" s="15">
        <v>3880000.0</v>
      </c>
      <c r="DS168" s="15">
        <v>3240000.0</v>
      </c>
      <c r="DT168" s="15">
        <v>3390000.0</v>
      </c>
      <c r="DU168" s="13"/>
      <c r="DV168" s="12"/>
      <c r="DW168" s="12"/>
      <c r="DX168" s="13"/>
      <c r="DY168" s="13"/>
      <c r="DZ168" s="15">
        <v>1350000.0</v>
      </c>
      <c r="EA168" s="15">
        <v>1210000.0</v>
      </c>
      <c r="EB168" s="15">
        <v>1280000.0</v>
      </c>
      <c r="EC168" s="15">
        <v>1130000.0</v>
      </c>
      <c r="ED168" s="15">
        <v>1070000.0</v>
      </c>
      <c r="EE168" s="23"/>
      <c r="EF168" s="23"/>
      <c r="EG168" s="23">
        <v>0.069</v>
      </c>
      <c r="EH168" s="23">
        <v>0.109</v>
      </c>
    </row>
    <row r="169">
      <c r="A169" s="9">
        <f t="shared" si="2"/>
        <v>167</v>
      </c>
      <c r="B169" s="25" t="s">
        <v>303</v>
      </c>
      <c r="C169" s="15">
        <v>102290.0</v>
      </c>
      <c r="D169" s="15">
        <v>91410.0</v>
      </c>
      <c r="E169" s="15">
        <v>83260.0</v>
      </c>
      <c r="F169" s="15">
        <v>102400.0</v>
      </c>
      <c r="G169" s="15">
        <v>98670.0</v>
      </c>
      <c r="H169" s="15">
        <v>81350.0</v>
      </c>
      <c r="I169" s="15">
        <v>77500.0</v>
      </c>
      <c r="J169" s="15">
        <v>24830.0</v>
      </c>
      <c r="K169" s="15">
        <v>37050.0</v>
      </c>
      <c r="L169" s="15">
        <v>34600.0</v>
      </c>
      <c r="M169" s="15">
        <v>26380.0</v>
      </c>
      <c r="N169" s="15">
        <v>16830.0</v>
      </c>
      <c r="O169" s="15">
        <v>25140.0</v>
      </c>
      <c r="P169" s="15">
        <v>24900.0</v>
      </c>
      <c r="Q169" s="15">
        <v>21840.0</v>
      </c>
      <c r="R169" s="15">
        <v>19730.0</v>
      </c>
      <c r="S169" s="15">
        <v>21730.0</v>
      </c>
      <c r="T169" s="15">
        <v>5830.0</v>
      </c>
      <c r="U169" s="15">
        <v>5900.0</v>
      </c>
      <c r="V169" s="15">
        <v>4830.0</v>
      </c>
      <c r="W169" s="15">
        <v>5850.0</v>
      </c>
      <c r="X169" s="15">
        <v>5660.0</v>
      </c>
      <c r="Y169" s="15">
        <v>0.0</v>
      </c>
      <c r="Z169" s="15">
        <v>0.0</v>
      </c>
      <c r="AA169" s="15">
        <v>12330.0</v>
      </c>
      <c r="AB169" s="15">
        <v>0.0</v>
      </c>
      <c r="AC169" s="15">
        <v>0.0</v>
      </c>
      <c r="AD169" s="15">
        <v>-1030.0</v>
      </c>
      <c r="AE169" s="15">
        <v>11950.0</v>
      </c>
      <c r="AF169" s="15">
        <v>10850.0</v>
      </c>
      <c r="AG169" s="15">
        <v>5700.0</v>
      </c>
      <c r="AH169" s="15">
        <v>-2000.0</v>
      </c>
      <c r="AI169" s="15">
        <v>5220.0</v>
      </c>
      <c r="AJ169" s="15">
        <v>17020.0</v>
      </c>
      <c r="AK169" s="15">
        <v>17060.0</v>
      </c>
      <c r="AL169" s="15">
        <v>11520.0</v>
      </c>
      <c r="AM169" s="15">
        <v>0.0</v>
      </c>
      <c r="AN169" s="15">
        <v>-2600.0</v>
      </c>
      <c r="AO169" s="15">
        <v>9650.0</v>
      </c>
      <c r="AP169" s="15">
        <v>10150.0</v>
      </c>
      <c r="AQ169" s="15">
        <v>5640.0</v>
      </c>
      <c r="AR169" s="15">
        <v>-2230.0</v>
      </c>
      <c r="AS169" s="15">
        <v>12660.0</v>
      </c>
      <c r="AT169" s="15">
        <v>3220.0</v>
      </c>
      <c r="AU169" s="15">
        <v>8620.0</v>
      </c>
      <c r="AV169" s="15">
        <v>12500.0</v>
      </c>
      <c r="AW169" s="15">
        <v>2180.0</v>
      </c>
      <c r="AX169" s="15">
        <v>-21790.0</v>
      </c>
      <c r="AY169" s="15">
        <v>-40540.0</v>
      </c>
      <c r="AZ169" s="15">
        <v>-21360.0</v>
      </c>
      <c r="BA169" s="15">
        <v>-2730.0</v>
      </c>
      <c r="BB169" s="15">
        <v>-4150.0</v>
      </c>
      <c r="BC169" s="15">
        <v>0.0</v>
      </c>
      <c r="BD169" s="15">
        <v>0.0</v>
      </c>
      <c r="BE169" s="15">
        <v>0.0</v>
      </c>
      <c r="BF169" s="15">
        <v>0.0</v>
      </c>
      <c r="BG169" s="15">
        <v>0.0</v>
      </c>
      <c r="BH169" s="15">
        <v>36320.0</v>
      </c>
      <c r="BI169" s="15">
        <v>38660.0</v>
      </c>
      <c r="BJ169" s="15">
        <v>64380.0</v>
      </c>
      <c r="BK169" s="15">
        <v>47570.0</v>
      </c>
      <c r="BL169" s="15">
        <v>36310.0</v>
      </c>
      <c r="BM169" s="15">
        <v>19030.0</v>
      </c>
      <c r="BN169" s="15">
        <v>19590.0</v>
      </c>
      <c r="BO169" s="15">
        <v>22780.0</v>
      </c>
      <c r="BP169" s="15">
        <v>14450.0</v>
      </c>
      <c r="BQ169" s="15">
        <v>18470.0</v>
      </c>
      <c r="BR169" s="15">
        <v>49150.0</v>
      </c>
      <c r="BS169" s="15">
        <v>58570.0</v>
      </c>
      <c r="BT169" s="15">
        <v>45840.0</v>
      </c>
      <c r="BU169" s="15">
        <v>40150.0</v>
      </c>
      <c r="BV169" s="15">
        <v>38010.0</v>
      </c>
      <c r="BW169" s="15">
        <v>113210.0</v>
      </c>
      <c r="BX169" s="15">
        <v>128540.0</v>
      </c>
      <c r="BY169" s="15">
        <v>140520.0</v>
      </c>
      <c r="BZ169" s="15">
        <v>107290.0</v>
      </c>
      <c r="CA169" s="15">
        <v>96890.0</v>
      </c>
      <c r="CB169" s="15">
        <v>100340.0</v>
      </c>
      <c r="CC169" s="15">
        <v>82280.0</v>
      </c>
      <c r="CD169" s="15">
        <v>46530.0</v>
      </c>
      <c r="CE169" s="15">
        <v>27810.0</v>
      </c>
      <c r="CF169" s="15">
        <v>31420.0</v>
      </c>
      <c r="CG169" s="15">
        <v>0.0</v>
      </c>
      <c r="CH169" s="15">
        <v>0.0</v>
      </c>
      <c r="CI169" s="15">
        <v>0.0</v>
      </c>
      <c r="CJ169" s="15">
        <v>0.0</v>
      </c>
      <c r="CK169" s="15">
        <v>0.0</v>
      </c>
      <c r="CL169" s="15">
        <v>223350.0</v>
      </c>
      <c r="CM169" s="15">
        <v>223520.0</v>
      </c>
      <c r="CN169" s="15">
        <v>211200.0</v>
      </c>
      <c r="CO169" s="15">
        <v>154250.0</v>
      </c>
      <c r="CP169" s="15">
        <v>151900.0</v>
      </c>
      <c r="CQ169" s="15">
        <v>10100.0</v>
      </c>
      <c r="CR169" s="15">
        <v>13340.0</v>
      </c>
      <c r="CS169" s="15">
        <v>11450.0</v>
      </c>
      <c r="CT169" s="15">
        <v>6690.0</v>
      </c>
      <c r="CU169" s="15">
        <v>6460.0</v>
      </c>
      <c r="CV169" s="15">
        <v>27530.0</v>
      </c>
      <c r="CW169" s="15">
        <v>6070.0</v>
      </c>
      <c r="CX169" s="15">
        <v>0.0</v>
      </c>
      <c r="CY169" s="16">
        <v>0.0</v>
      </c>
      <c r="CZ169" s="16">
        <v>0.0</v>
      </c>
      <c r="DA169" s="15">
        <v>0.0</v>
      </c>
      <c r="DB169" s="15">
        <v>27530.0</v>
      </c>
      <c r="DC169" s="15">
        <v>28710.0</v>
      </c>
      <c r="DD169" s="15">
        <v>22590.0</v>
      </c>
      <c r="DE169" s="15">
        <v>15950.0</v>
      </c>
      <c r="DF169" s="15">
        <v>30590.0</v>
      </c>
      <c r="DG169" s="15">
        <v>28990.0</v>
      </c>
      <c r="DH169" s="15">
        <v>22880.0</v>
      </c>
      <c r="DI169" s="15">
        <v>16860.0</v>
      </c>
      <c r="DJ169" s="15">
        <v>14340.0</v>
      </c>
      <c r="DK169" s="15">
        <v>5960.0</v>
      </c>
      <c r="DL169" s="15">
        <v>9140.0</v>
      </c>
      <c r="DM169" s="15">
        <v>22380.0</v>
      </c>
      <c r="DN169" s="15">
        <v>17460.0</v>
      </c>
      <c r="DO169" s="15">
        <v>19740.0</v>
      </c>
      <c r="DP169" s="15">
        <v>2700.0</v>
      </c>
      <c r="DQ169" s="15">
        <v>0.0</v>
      </c>
      <c r="DR169" s="15">
        <v>0.0</v>
      </c>
      <c r="DS169" s="15">
        <v>0.0</v>
      </c>
      <c r="DT169" s="15">
        <v>0.0</v>
      </c>
      <c r="DU169" s="15">
        <v>3530.0</v>
      </c>
      <c r="DV169" s="15">
        <v>3530.0</v>
      </c>
      <c r="DW169" s="15">
        <v>3530.0</v>
      </c>
      <c r="DX169" s="15">
        <v>3530.0</v>
      </c>
      <c r="DY169" s="15">
        <v>3530.0</v>
      </c>
      <c r="DZ169" s="15">
        <v>187890.0</v>
      </c>
      <c r="EA169" s="15">
        <v>190840.0</v>
      </c>
      <c r="EB169" s="15">
        <v>183820.0</v>
      </c>
      <c r="EC169" s="15">
        <v>133010.0</v>
      </c>
      <c r="ED169" s="15">
        <v>131970.0</v>
      </c>
      <c r="EE169" s="17">
        <v>0.109</v>
      </c>
      <c r="EF169" s="17">
        <v>0.155</v>
      </c>
      <c r="EG169" s="17">
        <v>0.8</v>
      </c>
      <c r="EH169" s="17">
        <v>0.438</v>
      </c>
    </row>
    <row r="170">
      <c r="A170" s="9">
        <f t="shared" si="2"/>
        <v>168</v>
      </c>
      <c r="B170" s="10" t="s">
        <v>304</v>
      </c>
      <c r="C170" s="11">
        <v>3350000.0</v>
      </c>
      <c r="D170" s="11">
        <v>3270000.0</v>
      </c>
      <c r="E170" s="11">
        <v>3670000.0</v>
      </c>
      <c r="F170" s="11">
        <v>3680000.0</v>
      </c>
      <c r="G170" s="11">
        <v>3510000.0</v>
      </c>
      <c r="H170" s="11">
        <v>3290000.0</v>
      </c>
      <c r="I170" s="11">
        <v>2710000.0</v>
      </c>
      <c r="J170" s="11">
        <v>1450000.0</v>
      </c>
      <c r="K170" s="11">
        <v>1460000.0</v>
      </c>
      <c r="L170" s="11">
        <v>1480000.0</v>
      </c>
      <c r="M170" s="11">
        <v>1440000.0</v>
      </c>
      <c r="N170" s="11">
        <v>1150000.0</v>
      </c>
      <c r="O170" s="11">
        <v>984200.0</v>
      </c>
      <c r="P170" s="11">
        <v>990500.0</v>
      </c>
      <c r="Q170" s="11">
        <v>951100.0</v>
      </c>
      <c r="R170" s="11">
        <v>940900.0</v>
      </c>
      <c r="S170" s="11">
        <v>756900.0</v>
      </c>
      <c r="T170" s="11">
        <v>74700.0</v>
      </c>
      <c r="U170" s="11">
        <v>63900.0</v>
      </c>
      <c r="V170" s="11">
        <v>52000.0</v>
      </c>
      <c r="W170" s="11">
        <v>47100.0</v>
      </c>
      <c r="X170" s="11">
        <v>41100.0</v>
      </c>
      <c r="Y170" s="11">
        <v>462900.0</v>
      </c>
      <c r="Z170" s="11">
        <v>-5600.0</v>
      </c>
      <c r="AA170" s="11">
        <v>518800.0</v>
      </c>
      <c r="AB170" s="11">
        <v>475200.0</v>
      </c>
      <c r="AC170" s="11">
        <v>376300.0</v>
      </c>
      <c r="AD170" s="11">
        <v>424900.0</v>
      </c>
      <c r="AE170" s="11">
        <v>425900.0</v>
      </c>
      <c r="AF170" s="11">
        <v>492600.0</v>
      </c>
      <c r="AG170" s="11">
        <v>444600.0</v>
      </c>
      <c r="AH170" s="11">
        <v>343600.0</v>
      </c>
      <c r="AI170" s="11">
        <v>553000.0</v>
      </c>
      <c r="AJ170" s="11">
        <v>546700.0</v>
      </c>
      <c r="AK170" s="11">
        <v>604700.0</v>
      </c>
      <c r="AL170" s="11">
        <v>557900.0</v>
      </c>
      <c r="AM170" s="11">
        <v>434500.0</v>
      </c>
      <c r="AN170" s="11">
        <v>330400.0</v>
      </c>
      <c r="AO170" s="11">
        <v>349600.0</v>
      </c>
      <c r="AP170" s="11">
        <v>321700.0</v>
      </c>
      <c r="AQ170" s="11">
        <v>290400.0</v>
      </c>
      <c r="AR170" s="11">
        <v>221100.0</v>
      </c>
      <c r="AS170" s="11">
        <v>494700.0</v>
      </c>
      <c r="AT170" s="11">
        <v>351500.0</v>
      </c>
      <c r="AU170" s="11">
        <v>316200.0</v>
      </c>
      <c r="AV170" s="11">
        <v>345700.0</v>
      </c>
      <c r="AW170" s="11">
        <v>288900.0</v>
      </c>
      <c r="AX170" s="11">
        <v>-53000.0</v>
      </c>
      <c r="AY170" s="11">
        <v>-43600.0</v>
      </c>
      <c r="AZ170" s="11">
        <v>-67300.0</v>
      </c>
      <c r="BA170" s="11">
        <v>-83700.0</v>
      </c>
      <c r="BB170" s="11">
        <v>-56500.0</v>
      </c>
      <c r="BC170" s="11">
        <v>-20800.0</v>
      </c>
      <c r="BD170" s="11">
        <v>-21400.0</v>
      </c>
      <c r="BE170" s="11">
        <v>-22700.0</v>
      </c>
      <c r="BF170" s="11">
        <v>-22900.0</v>
      </c>
      <c r="BG170" s="11">
        <v>-22700.0</v>
      </c>
      <c r="BH170" s="11">
        <v>461000.0</v>
      </c>
      <c r="BI170" s="11">
        <v>129100.0</v>
      </c>
      <c r="BJ170" s="11">
        <v>311100.0</v>
      </c>
      <c r="BK170" s="11">
        <v>413200.0</v>
      </c>
      <c r="BL170" s="11">
        <v>756800.0</v>
      </c>
      <c r="BM170" s="11">
        <v>561000.0</v>
      </c>
      <c r="BN170" s="11">
        <v>637900.0</v>
      </c>
      <c r="BO170" s="11">
        <v>573300.0</v>
      </c>
      <c r="BP170" s="11">
        <v>572800.0</v>
      </c>
      <c r="BQ170" s="11">
        <v>411700.0</v>
      </c>
      <c r="BR170" s="11">
        <v>340800.0</v>
      </c>
      <c r="BS170" s="11">
        <v>411800.0</v>
      </c>
      <c r="BT170" s="11">
        <v>328600.0</v>
      </c>
      <c r="BU170" s="11">
        <v>295200.0</v>
      </c>
      <c r="BV170" s="11">
        <v>224800.0</v>
      </c>
      <c r="BW170" s="11">
        <v>1440000.0</v>
      </c>
      <c r="BX170" s="11">
        <v>1210000.0</v>
      </c>
      <c r="BY170" s="11">
        <v>1250000.0</v>
      </c>
      <c r="BZ170" s="11">
        <v>1320000.0</v>
      </c>
      <c r="CA170" s="11">
        <v>1440000.0</v>
      </c>
      <c r="CB170" s="11">
        <v>277300.0</v>
      </c>
      <c r="CC170" s="11">
        <v>286700.0</v>
      </c>
      <c r="CD170" s="11">
        <v>287700.0</v>
      </c>
      <c r="CE170" s="11">
        <v>267800.0</v>
      </c>
      <c r="CF170" s="11">
        <v>174600.0</v>
      </c>
      <c r="CG170" s="11">
        <v>967300.0</v>
      </c>
      <c r="CH170" s="11">
        <v>970600.0</v>
      </c>
      <c r="CI170" s="11">
        <v>900900.0</v>
      </c>
      <c r="CJ170" s="11">
        <v>947800.0</v>
      </c>
      <c r="CK170" s="11">
        <v>565000.0</v>
      </c>
      <c r="CL170" s="11">
        <v>3170000.0</v>
      </c>
      <c r="CM170" s="11">
        <v>2990000.0</v>
      </c>
      <c r="CN170" s="11">
        <v>2900000.0</v>
      </c>
      <c r="CO170" s="11">
        <v>2950000.0</v>
      </c>
      <c r="CP170" s="11">
        <v>2430000.0</v>
      </c>
      <c r="CQ170" s="11">
        <v>338800.0</v>
      </c>
      <c r="CR170" s="11">
        <v>451100.0</v>
      </c>
      <c r="CS170" s="11">
        <v>395100.0</v>
      </c>
      <c r="CT170" s="11">
        <v>401000.0</v>
      </c>
      <c r="CU170" s="11">
        <v>311100.0</v>
      </c>
      <c r="CV170" s="11">
        <v>596100.0</v>
      </c>
      <c r="CW170" s="11"/>
      <c r="CX170" s="13"/>
      <c r="CY170" s="13"/>
      <c r="CZ170" s="13"/>
      <c r="DA170" s="12"/>
      <c r="DB170" s="11">
        <v>596100.0</v>
      </c>
      <c r="DC170" s="11">
        <v>682700.0</v>
      </c>
      <c r="DD170" s="11">
        <v>600900.0</v>
      </c>
      <c r="DE170" s="11">
        <v>672500.0</v>
      </c>
      <c r="DF170" s="11">
        <v>1250000.0</v>
      </c>
      <c r="DG170" s="11">
        <v>1270000.0</v>
      </c>
      <c r="DH170" s="11">
        <v>1230000.0</v>
      </c>
      <c r="DI170" s="11">
        <v>1290000.0</v>
      </c>
      <c r="DJ170" s="11">
        <v>1070000.0</v>
      </c>
      <c r="DK170" s="12"/>
      <c r="DL170" s="12"/>
      <c r="DM170" s="12"/>
      <c r="DN170" s="11">
        <v>8000.0</v>
      </c>
      <c r="DO170" s="11">
        <v>8000.0</v>
      </c>
      <c r="DP170" s="11">
        <v>347500.0</v>
      </c>
      <c r="DQ170" s="11">
        <v>356400.0</v>
      </c>
      <c r="DR170" s="11">
        <v>356500.0</v>
      </c>
      <c r="DS170" s="11">
        <v>355000.0</v>
      </c>
      <c r="DT170" s="11">
        <v>352400.0</v>
      </c>
      <c r="DU170" s="13"/>
      <c r="DV170" s="12"/>
      <c r="DW170" s="12"/>
      <c r="DX170" s="13"/>
      <c r="DY170" s="13"/>
      <c r="DZ170" s="11">
        <v>1920000.0</v>
      </c>
      <c r="EA170" s="11">
        <v>1720000.0</v>
      </c>
      <c r="EB170" s="11">
        <v>1670000.0</v>
      </c>
      <c r="EC170" s="11">
        <v>1660000.0</v>
      </c>
      <c r="ED170" s="11">
        <v>1360000.0</v>
      </c>
      <c r="EE170" s="14">
        <v>0.037</v>
      </c>
      <c r="EF170" s="14">
        <v>0.152</v>
      </c>
      <c r="EG170" s="14">
        <v>0.59</v>
      </c>
      <c r="EH170" s="14">
        <v>0.125</v>
      </c>
    </row>
    <row r="171">
      <c r="A171" s="9">
        <f t="shared" si="2"/>
        <v>169</v>
      </c>
      <c r="B171" s="22" t="s">
        <v>305</v>
      </c>
      <c r="C171" s="11">
        <v>1670.0</v>
      </c>
      <c r="D171" s="11">
        <v>2180.0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3"/>
      <c r="DV171" s="12"/>
      <c r="DW171" s="12"/>
      <c r="DX171" s="13"/>
      <c r="DY171" s="13"/>
      <c r="DZ171" s="12"/>
      <c r="EA171" s="12"/>
      <c r="EB171" s="12"/>
      <c r="EC171" s="12"/>
      <c r="ED171" s="12"/>
      <c r="EE171" s="23"/>
      <c r="EF171" s="23"/>
      <c r="EG171" s="14">
        <v>-0.396</v>
      </c>
      <c r="EH171" s="23"/>
    </row>
    <row r="172">
      <c r="A172" s="9">
        <f t="shared" si="2"/>
        <v>170</v>
      </c>
      <c r="B172" s="22" t="s">
        <v>306</v>
      </c>
      <c r="C172" s="11">
        <v>54530.0</v>
      </c>
      <c r="D172" s="11">
        <v>24020.0</v>
      </c>
      <c r="E172" s="11">
        <v>7320.0</v>
      </c>
      <c r="F172" s="11">
        <v>3660.0</v>
      </c>
      <c r="G172" s="11">
        <v>3220.0</v>
      </c>
      <c r="H172" s="11">
        <v>2560.0</v>
      </c>
      <c r="I172" s="11">
        <v>314.0</v>
      </c>
      <c r="J172" s="11">
        <v>2980.0</v>
      </c>
      <c r="K172" s="11">
        <v>56.0</v>
      </c>
      <c r="L172" s="11">
        <v>95.0</v>
      </c>
      <c r="M172" s="11">
        <v>941.0</v>
      </c>
      <c r="N172" s="11">
        <v>208.0</v>
      </c>
      <c r="O172" s="11">
        <v>19260.0</v>
      </c>
      <c r="P172" s="11">
        <v>17120.0</v>
      </c>
      <c r="Q172" s="11">
        <v>18960.0</v>
      </c>
      <c r="R172" s="11">
        <v>15150.0</v>
      </c>
      <c r="S172" s="11">
        <v>9370.0</v>
      </c>
      <c r="T172" s="11">
        <v>589.0</v>
      </c>
      <c r="U172" s="11">
        <v>168.0</v>
      </c>
      <c r="V172" s="11">
        <v>1350.0</v>
      </c>
      <c r="W172" s="11">
        <v>6320.0</v>
      </c>
      <c r="X172" s="11">
        <v>4110.0</v>
      </c>
      <c r="Y172" s="11">
        <v>-26600.0</v>
      </c>
      <c r="Z172" s="11">
        <v>-15720.0</v>
      </c>
      <c r="AA172" s="11">
        <v>-19970.0</v>
      </c>
      <c r="AB172" s="11">
        <v>-22690.0</v>
      </c>
      <c r="AC172" s="12"/>
      <c r="AD172" s="11">
        <v>-27130.0</v>
      </c>
      <c r="AE172" s="11">
        <v>-10190.0</v>
      </c>
      <c r="AF172" s="11">
        <v>-22510.0</v>
      </c>
      <c r="AG172" s="11">
        <v>-28180.0</v>
      </c>
      <c r="AH172" s="11">
        <v>-9300.0</v>
      </c>
      <c r="AI172" s="11">
        <v>-14040.0</v>
      </c>
      <c r="AJ172" s="11">
        <v>-15220.0</v>
      </c>
      <c r="AK172" s="11">
        <v>-17020.0</v>
      </c>
      <c r="AL172" s="11">
        <v>-13330.0</v>
      </c>
      <c r="AM172" s="11">
        <v>-8920.0</v>
      </c>
      <c r="AN172" s="11">
        <v>-27130.0</v>
      </c>
      <c r="AO172" s="11">
        <v>-10190.0</v>
      </c>
      <c r="AP172" s="11">
        <v>-22510.0</v>
      </c>
      <c r="AQ172" s="11">
        <v>-28180.0</v>
      </c>
      <c r="AR172" s="11">
        <v>-9270.0</v>
      </c>
      <c r="AS172" s="11">
        <v>-13830.0</v>
      </c>
      <c r="AT172" s="11">
        <v>-15940.0</v>
      </c>
      <c r="AU172" s="11">
        <v>-13830.0</v>
      </c>
      <c r="AV172" s="11">
        <v>-10660.0</v>
      </c>
      <c r="AW172" s="11">
        <v>-6630.0</v>
      </c>
      <c r="AX172" s="11">
        <v>-560.0</v>
      </c>
      <c r="AY172" s="11">
        <v>-475.0</v>
      </c>
      <c r="AZ172" s="11">
        <v>-6860.0</v>
      </c>
      <c r="BA172" s="11">
        <v>-3290.0</v>
      </c>
      <c r="BB172" s="12"/>
      <c r="BC172" s="12"/>
      <c r="BD172" s="12"/>
      <c r="BE172" s="12"/>
      <c r="BF172" s="12"/>
      <c r="BG172" s="12"/>
      <c r="BH172" s="11">
        <v>11290.0</v>
      </c>
      <c r="BI172" s="11">
        <v>7110.0</v>
      </c>
      <c r="BJ172" s="11">
        <v>878.0</v>
      </c>
      <c r="BK172" s="11">
        <v>9100.0</v>
      </c>
      <c r="BL172" s="11">
        <v>7350.0</v>
      </c>
      <c r="BM172" s="11">
        <v>1740.0</v>
      </c>
      <c r="BN172" s="11">
        <v>579.0</v>
      </c>
      <c r="BO172" s="11">
        <v>528.0</v>
      </c>
      <c r="BP172" s="11">
        <v>162.0</v>
      </c>
      <c r="BQ172" s="11">
        <v>157.0</v>
      </c>
      <c r="BR172" s="11">
        <v>1440.0</v>
      </c>
      <c r="BS172" s="11">
        <v>1340.0</v>
      </c>
      <c r="BT172" s="11">
        <v>1310.0</v>
      </c>
      <c r="BU172" s="11">
        <v>525.0</v>
      </c>
      <c r="BV172" s="11">
        <v>39.0</v>
      </c>
      <c r="BW172" s="11">
        <v>15430.0</v>
      </c>
      <c r="BX172" s="11">
        <v>9470.0</v>
      </c>
      <c r="BY172" s="11">
        <v>3030.0</v>
      </c>
      <c r="BZ172" s="11">
        <v>10120.0</v>
      </c>
      <c r="CA172" s="11">
        <v>8080.0</v>
      </c>
      <c r="CB172" s="11">
        <v>204.0</v>
      </c>
      <c r="CC172" s="11">
        <v>219.0</v>
      </c>
      <c r="CD172" s="11">
        <v>647.0</v>
      </c>
      <c r="CE172" s="11">
        <v>231.0</v>
      </c>
      <c r="CF172" s="11">
        <v>30.0</v>
      </c>
      <c r="CG172" s="12"/>
      <c r="CH172" s="12"/>
      <c r="CI172" s="11">
        <v>238.0</v>
      </c>
      <c r="CJ172" s="11">
        <v>221.0</v>
      </c>
      <c r="CK172" s="11">
        <v>74.0</v>
      </c>
      <c r="CL172" s="11">
        <v>34720.0</v>
      </c>
      <c r="CM172" s="11">
        <v>21060.0</v>
      </c>
      <c r="CN172" s="11">
        <v>15000.0</v>
      </c>
      <c r="CO172" s="11">
        <v>24340.0</v>
      </c>
      <c r="CP172" s="11">
        <v>18230.0</v>
      </c>
      <c r="CQ172" s="11">
        <v>2300.0</v>
      </c>
      <c r="CR172" s="11">
        <v>2120.0</v>
      </c>
      <c r="CS172" s="11">
        <v>2220.0</v>
      </c>
      <c r="CT172" s="11">
        <v>3520.0</v>
      </c>
      <c r="CU172" s="11">
        <v>1200.0</v>
      </c>
      <c r="CV172" s="11">
        <v>5370.0</v>
      </c>
      <c r="CW172" s="12"/>
      <c r="CX172" s="12"/>
      <c r="CY172" s="12"/>
      <c r="CZ172" s="12"/>
      <c r="DA172" s="12"/>
      <c r="DB172" s="11">
        <v>5370.0</v>
      </c>
      <c r="DC172" s="11">
        <v>3390.0</v>
      </c>
      <c r="DD172" s="11">
        <v>3610.0</v>
      </c>
      <c r="DE172" s="11">
        <v>10100.0</v>
      </c>
      <c r="DF172" s="11">
        <v>27630.0</v>
      </c>
      <c r="DG172" s="11">
        <v>7640.0</v>
      </c>
      <c r="DH172" s="11">
        <v>11000.0</v>
      </c>
      <c r="DI172" s="11">
        <v>14260.0</v>
      </c>
      <c r="DJ172" s="11">
        <v>2610.0</v>
      </c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24">
        <v>0.0</v>
      </c>
      <c r="DV172" s="12"/>
      <c r="DW172" s="12"/>
      <c r="DX172" s="13"/>
      <c r="DY172" s="13"/>
      <c r="DZ172" s="11">
        <v>7090.0</v>
      </c>
      <c r="EA172" s="11">
        <v>13420.0</v>
      </c>
      <c r="EB172" s="11">
        <v>4000.0</v>
      </c>
      <c r="EC172" s="11">
        <v>10090.0</v>
      </c>
      <c r="ED172" s="11">
        <v>15620.0</v>
      </c>
      <c r="EE172" s="14">
        <v>0.027</v>
      </c>
      <c r="EF172" s="14">
        <v>0.155</v>
      </c>
      <c r="EG172" s="14">
        <v>0.318</v>
      </c>
      <c r="EH172" s="14">
        <v>0.28</v>
      </c>
    </row>
    <row r="173">
      <c r="A173" s="9">
        <f t="shared" si="2"/>
        <v>171</v>
      </c>
      <c r="B173" s="10" t="s">
        <v>307</v>
      </c>
      <c r="C173" s="11">
        <v>1.256E7</v>
      </c>
      <c r="D173" s="11">
        <v>1.206E7</v>
      </c>
      <c r="E173" s="11">
        <v>1.186E7</v>
      </c>
      <c r="F173" s="11">
        <v>1.122E7</v>
      </c>
      <c r="G173" s="11">
        <v>1.089E7</v>
      </c>
      <c r="H173" s="11">
        <v>1.064E7</v>
      </c>
      <c r="I173" s="11">
        <v>1.019E7</v>
      </c>
      <c r="J173" s="11">
        <v>6370000.0</v>
      </c>
      <c r="K173" s="11">
        <v>5970000.0</v>
      </c>
      <c r="L173" s="11">
        <v>5740000.0</v>
      </c>
      <c r="M173" s="11">
        <v>5610000.0</v>
      </c>
      <c r="N173" s="11">
        <v>5330000.0</v>
      </c>
      <c r="O173" s="11">
        <v>4160000.0</v>
      </c>
      <c r="P173" s="11">
        <v>3840000.0</v>
      </c>
      <c r="Q173" s="11">
        <v>3660000.0</v>
      </c>
      <c r="R173" s="11">
        <v>3550000.0</v>
      </c>
      <c r="S173" s="11">
        <v>3370000.0</v>
      </c>
      <c r="T173" s="11"/>
      <c r="U173" s="11"/>
      <c r="V173" s="11"/>
      <c r="W173" s="11"/>
      <c r="X173" s="11"/>
      <c r="Y173" s="11">
        <v>2220000.0</v>
      </c>
      <c r="Z173" s="11">
        <v>1810000.0</v>
      </c>
      <c r="AA173" s="11"/>
      <c r="AB173" s="12"/>
      <c r="AC173" s="11"/>
      <c r="AD173" s="11">
        <v>2030000.0</v>
      </c>
      <c r="AE173" s="11">
        <v>1640000.0</v>
      </c>
      <c r="AF173" s="11">
        <v>1930000.0</v>
      </c>
      <c r="AG173" s="11">
        <v>1910000.0</v>
      </c>
      <c r="AH173" s="11">
        <v>1800000.0</v>
      </c>
      <c r="AI173" s="11">
        <v>2580000.0</v>
      </c>
      <c r="AJ173" s="11">
        <v>2480000.0</v>
      </c>
      <c r="AK173" s="11">
        <v>2400000.0</v>
      </c>
      <c r="AL173" s="11">
        <v>2360000.0</v>
      </c>
      <c r="AM173" s="11">
        <v>2220000.0</v>
      </c>
      <c r="AN173" s="11">
        <v>1620000.0</v>
      </c>
      <c r="AO173" s="11">
        <v>1340000.0</v>
      </c>
      <c r="AP173" s="11">
        <v>1280000.0</v>
      </c>
      <c r="AQ173" s="11">
        <v>1240000.0</v>
      </c>
      <c r="AR173" s="11">
        <v>1160000.0</v>
      </c>
      <c r="AS173" s="11">
        <v>2130000.0</v>
      </c>
      <c r="AT173" s="11">
        <v>2080000.0</v>
      </c>
      <c r="AU173" s="11">
        <v>1570000.0</v>
      </c>
      <c r="AV173" s="11">
        <v>1580000.0</v>
      </c>
      <c r="AW173" s="11">
        <v>1530000.0</v>
      </c>
      <c r="AX173" s="11">
        <v>-496050.0</v>
      </c>
      <c r="AY173" s="11">
        <v>-522250.0</v>
      </c>
      <c r="AZ173" s="11">
        <v>-553830.0</v>
      </c>
      <c r="BA173" s="11">
        <v>-498790.0</v>
      </c>
      <c r="BB173" s="11">
        <v>-490580.0</v>
      </c>
      <c r="BC173" s="12"/>
      <c r="BD173" s="12"/>
      <c r="BE173" s="12"/>
      <c r="BF173" s="12"/>
      <c r="BG173" s="12"/>
      <c r="BH173" s="11">
        <v>244260.0</v>
      </c>
      <c r="BI173" s="11">
        <v>277270.0</v>
      </c>
      <c r="BJ173" s="11">
        <v>311840.0</v>
      </c>
      <c r="BK173" s="11">
        <v>197060.0</v>
      </c>
      <c r="BL173" s="11">
        <v>184100.0</v>
      </c>
      <c r="BM173" s="11">
        <v>309000.0</v>
      </c>
      <c r="BN173" s="11">
        <v>258140.0</v>
      </c>
      <c r="BO173" s="11">
        <v>280730.0</v>
      </c>
      <c r="BP173" s="11">
        <v>287680.0</v>
      </c>
      <c r="BQ173" s="11">
        <v>247870.0</v>
      </c>
      <c r="BR173" s="11">
        <v>4320000.0</v>
      </c>
      <c r="BS173" s="11">
        <v>3940000.0</v>
      </c>
      <c r="BT173" s="11">
        <v>3880000.0</v>
      </c>
      <c r="BU173" s="11">
        <v>3630000.0</v>
      </c>
      <c r="BV173" s="11">
        <v>3420000.0</v>
      </c>
      <c r="BW173" s="11">
        <v>5030000.0</v>
      </c>
      <c r="BX173" s="11">
        <v>4640000.0</v>
      </c>
      <c r="BY173" s="11">
        <v>4610000.0</v>
      </c>
      <c r="BZ173" s="11">
        <v>4240000.0</v>
      </c>
      <c r="CA173" s="11">
        <v>3970000.0</v>
      </c>
      <c r="CB173" s="11">
        <v>4400000.0</v>
      </c>
      <c r="CC173" s="11">
        <v>4220000.0</v>
      </c>
      <c r="CD173" s="11">
        <v>4030000.0</v>
      </c>
      <c r="CE173" s="11">
        <v>3730000.0</v>
      </c>
      <c r="CF173" s="11">
        <v>3510000.0</v>
      </c>
      <c r="CG173" s="11">
        <v>302650.0</v>
      </c>
      <c r="CH173" s="11">
        <v>302650.0</v>
      </c>
      <c r="CI173" s="11">
        <v>391890.0</v>
      </c>
      <c r="CJ173" s="11">
        <v>391890.0</v>
      </c>
      <c r="CK173" s="11">
        <v>391890.0</v>
      </c>
      <c r="CL173" s="11">
        <v>9900000.0</v>
      </c>
      <c r="CM173" s="11">
        <v>9350000.0</v>
      </c>
      <c r="CN173" s="11">
        <v>9260000.0</v>
      </c>
      <c r="CO173" s="11">
        <v>8600000.0</v>
      </c>
      <c r="CP173" s="11">
        <v>8100000.0</v>
      </c>
      <c r="CQ173" s="11">
        <v>4860000.0</v>
      </c>
      <c r="CR173" s="11">
        <v>4410000.0</v>
      </c>
      <c r="CS173" s="11">
        <v>4170000.0</v>
      </c>
      <c r="CT173" s="11">
        <v>4100000.0</v>
      </c>
      <c r="CU173" s="11">
        <v>3860000.0</v>
      </c>
      <c r="CV173" s="11">
        <v>6540000.0</v>
      </c>
      <c r="CW173" s="11"/>
      <c r="CX173" s="12"/>
      <c r="CY173" s="13"/>
      <c r="CZ173" s="13"/>
      <c r="DA173" s="12"/>
      <c r="DB173" s="11">
        <v>6540000.0</v>
      </c>
      <c r="DC173" s="11">
        <v>6600000.0</v>
      </c>
      <c r="DD173" s="11">
        <v>4770000.0</v>
      </c>
      <c r="DE173" s="11">
        <v>4690000.0</v>
      </c>
      <c r="DF173" s="11">
        <v>1.161E7</v>
      </c>
      <c r="DG173" s="11">
        <v>1.087E7</v>
      </c>
      <c r="DH173" s="11">
        <v>1.069E7</v>
      </c>
      <c r="DI173" s="11">
        <v>1.039E7</v>
      </c>
      <c r="DJ173" s="11">
        <v>9800000.0</v>
      </c>
      <c r="DK173" s="11">
        <v>70970.0</v>
      </c>
      <c r="DL173" s="11">
        <v>75230.0</v>
      </c>
      <c r="DM173" s="11">
        <v>82300.0</v>
      </c>
      <c r="DN173" s="11">
        <v>91030.0</v>
      </c>
      <c r="DO173" s="11">
        <v>79640.0</v>
      </c>
      <c r="DP173" s="28">
        <v>4180000.0</v>
      </c>
      <c r="DQ173" s="28">
        <v>3430000.0</v>
      </c>
      <c r="DR173" s="28">
        <v>5080000.0</v>
      </c>
      <c r="DS173" s="28">
        <v>4920000.0</v>
      </c>
      <c r="DT173" s="28">
        <v>4620000.0</v>
      </c>
      <c r="DU173" s="13"/>
      <c r="DV173" s="12"/>
      <c r="DW173" s="12"/>
      <c r="DX173" s="12"/>
      <c r="DY173" s="12"/>
      <c r="DZ173" s="11">
        <v>-1710000.0</v>
      </c>
      <c r="EA173" s="11">
        <v>-1520000.0</v>
      </c>
      <c r="EB173" s="11">
        <v>-1430000.0</v>
      </c>
      <c r="EC173" s="11">
        <v>-1790000.0</v>
      </c>
      <c r="ED173" s="11">
        <v>-1700000.0</v>
      </c>
      <c r="EE173" s="14">
        <v>0.08</v>
      </c>
      <c r="EF173" s="14">
        <v>0.065</v>
      </c>
      <c r="EG173" s="14">
        <v>0.043</v>
      </c>
      <c r="EH173" s="14">
        <v>0.044</v>
      </c>
    </row>
    <row r="174">
      <c r="A174" s="9">
        <f t="shared" si="2"/>
        <v>172</v>
      </c>
      <c r="B174" s="10" t="s">
        <v>308</v>
      </c>
      <c r="C174" s="11">
        <v>1950000.0</v>
      </c>
      <c r="D174" s="11">
        <v>1350000.0</v>
      </c>
      <c r="E174" s="11">
        <v>1.144E7</v>
      </c>
      <c r="F174" s="11">
        <v>9060000.0</v>
      </c>
      <c r="G174" s="11">
        <v>7790000.0</v>
      </c>
      <c r="H174" s="11">
        <v>6670000.0</v>
      </c>
      <c r="I174" s="11">
        <v>6260000.0</v>
      </c>
      <c r="J174" s="11">
        <v>2060000.0</v>
      </c>
      <c r="K174" s="11">
        <v>2270000.0</v>
      </c>
      <c r="L174" s="11">
        <v>1760000.0</v>
      </c>
      <c r="M174" s="11">
        <v>1790000.0</v>
      </c>
      <c r="N174" s="11">
        <v>1220000.0</v>
      </c>
      <c r="O174" s="11">
        <v>1210000.0</v>
      </c>
      <c r="P174" s="11">
        <v>1070000.0</v>
      </c>
      <c r="Q174" s="11">
        <v>896260.0</v>
      </c>
      <c r="R174" s="11">
        <v>1400000.0</v>
      </c>
      <c r="S174" s="11">
        <v>1330000.0</v>
      </c>
      <c r="T174" s="11"/>
      <c r="U174" s="11"/>
      <c r="V174" s="11"/>
      <c r="W174" s="11"/>
      <c r="X174" s="11"/>
      <c r="Y174" s="11">
        <v>-869950.0</v>
      </c>
      <c r="Z174" s="11">
        <v>298090.0</v>
      </c>
      <c r="AA174" s="11">
        <v>977770.0</v>
      </c>
      <c r="AB174" s="11">
        <v>683570.0</v>
      </c>
      <c r="AC174" s="11">
        <v>-191740.0</v>
      </c>
      <c r="AD174" s="11">
        <v>-2540000.0</v>
      </c>
      <c r="AE174" s="11">
        <v>-452930.0</v>
      </c>
      <c r="AF174" s="11">
        <v>597840.0</v>
      </c>
      <c r="AG174" s="11">
        <v>17670.0</v>
      </c>
      <c r="AH174" s="11">
        <v>-1080000.0</v>
      </c>
      <c r="AI174" s="11">
        <v>2480000.0</v>
      </c>
      <c r="AJ174" s="11">
        <v>2480000.0</v>
      </c>
      <c r="AK174" s="11">
        <v>1160000.0</v>
      </c>
      <c r="AL174" s="11">
        <v>684930.0</v>
      </c>
      <c r="AM174" s="11">
        <v>109040.0</v>
      </c>
      <c r="AN174" s="11">
        <v>-2400000.0</v>
      </c>
      <c r="AO174" s="11">
        <v>-635730.0</v>
      </c>
      <c r="AP174" s="11">
        <v>529040.0</v>
      </c>
      <c r="AQ174" s="11">
        <v>-126310.0</v>
      </c>
      <c r="AR174" s="11">
        <v>-1070000.0</v>
      </c>
      <c r="AS174" s="11">
        <v>2590000.0</v>
      </c>
      <c r="AT174" s="11">
        <v>1760000.0</v>
      </c>
      <c r="AU174" s="11">
        <v>295500.0</v>
      </c>
      <c r="AV174" s="11">
        <v>-5320.0</v>
      </c>
      <c r="AW174" s="11">
        <v>-371040.0</v>
      </c>
      <c r="AX174" s="11">
        <v>-1560000.0</v>
      </c>
      <c r="AY174" s="11">
        <v>-1190000.0</v>
      </c>
      <c r="AZ174" s="11">
        <v>-645650.0</v>
      </c>
      <c r="BA174" s="11">
        <v>-442110.0</v>
      </c>
      <c r="BB174" s="11">
        <v>-1250000.0</v>
      </c>
      <c r="BC174" s="12"/>
      <c r="BD174" s="12"/>
      <c r="BE174" s="12"/>
      <c r="BF174" s="12"/>
      <c r="BG174" s="12"/>
      <c r="BH174" s="11">
        <v>1710000.0</v>
      </c>
      <c r="BI174" s="11">
        <v>1690000.0</v>
      </c>
      <c r="BJ174" s="11">
        <v>1820000.0</v>
      </c>
      <c r="BK174" s="11">
        <v>951420.0</v>
      </c>
      <c r="BL174" s="11">
        <v>788110.0</v>
      </c>
      <c r="BM174" s="11">
        <v>1380000.0</v>
      </c>
      <c r="BN174" s="11">
        <v>1430000.0</v>
      </c>
      <c r="BO174" s="11">
        <v>1030000.0</v>
      </c>
      <c r="BP174" s="11">
        <v>717760.0</v>
      </c>
      <c r="BQ174" s="11">
        <v>693000.0</v>
      </c>
      <c r="BR174" s="11">
        <v>260870.0</v>
      </c>
      <c r="BS174" s="11">
        <v>200150.0</v>
      </c>
      <c r="BT174" s="11">
        <v>150390.0</v>
      </c>
      <c r="BU174" s="11">
        <v>107100.0</v>
      </c>
      <c r="BV174" s="11">
        <v>92450.0</v>
      </c>
      <c r="BW174" s="11">
        <v>4140000.0</v>
      </c>
      <c r="BX174" s="11">
        <v>3690000.0</v>
      </c>
      <c r="BY174" s="11">
        <v>3300000.0</v>
      </c>
      <c r="BZ174" s="11">
        <v>1910000.0</v>
      </c>
      <c r="CA174" s="11">
        <v>1860000.0</v>
      </c>
      <c r="CB174" s="11">
        <v>9550000.0</v>
      </c>
      <c r="CC174" s="11">
        <v>7400000.0</v>
      </c>
      <c r="CD174" s="11">
        <v>3330000.0</v>
      </c>
      <c r="CE174" s="11">
        <v>3440000.0</v>
      </c>
      <c r="CF174" s="11">
        <v>3550000.0</v>
      </c>
      <c r="CG174" s="11">
        <v>753500.0</v>
      </c>
      <c r="CH174" s="11">
        <v>753500.0</v>
      </c>
      <c r="CI174" s="11">
        <v>753500.0</v>
      </c>
      <c r="CJ174" s="11">
        <v>753500.0</v>
      </c>
      <c r="CK174" s="11">
        <v>753500.0</v>
      </c>
      <c r="CL174" s="11">
        <v>1.921E7</v>
      </c>
      <c r="CM174" s="11">
        <v>1.611E7</v>
      </c>
      <c r="CN174" s="11">
        <v>1.044E7</v>
      </c>
      <c r="CO174" s="11">
        <v>8470000.0</v>
      </c>
      <c r="CP174" s="11">
        <v>7850000.0</v>
      </c>
      <c r="CQ174" s="11">
        <v>1380000.0</v>
      </c>
      <c r="CR174" s="11">
        <v>1290000.0</v>
      </c>
      <c r="CS174" s="11">
        <v>953530.0</v>
      </c>
      <c r="CT174" s="11">
        <v>1030000.0</v>
      </c>
      <c r="CU174" s="11">
        <v>1050000.0</v>
      </c>
      <c r="CV174" s="11">
        <v>6860000.0</v>
      </c>
      <c r="CW174" s="11">
        <v>481230.0</v>
      </c>
      <c r="CX174" s="11">
        <v>158810.0</v>
      </c>
      <c r="CY174" s="11">
        <v>356380.0</v>
      </c>
      <c r="CZ174" s="11">
        <v>815700.0</v>
      </c>
      <c r="DA174" s="11">
        <v>1400000.0</v>
      </c>
      <c r="DB174" s="11">
        <v>6860000.0</v>
      </c>
      <c r="DC174" s="11">
        <v>5280000.0</v>
      </c>
      <c r="DD174" s="11">
        <v>3330000.0</v>
      </c>
      <c r="DE174" s="11">
        <v>3620000.0</v>
      </c>
      <c r="DF174" s="11">
        <v>2.273E7</v>
      </c>
      <c r="DG174" s="11">
        <v>1.726E7</v>
      </c>
      <c r="DH174" s="11">
        <v>7610000.0</v>
      </c>
      <c r="DI174" s="11">
        <v>7470000.0</v>
      </c>
      <c r="DJ174" s="11">
        <v>8240000.0</v>
      </c>
      <c r="DK174" s="11">
        <v>2060000.0</v>
      </c>
      <c r="DL174" s="11">
        <v>1880000.0</v>
      </c>
      <c r="DM174" s="11">
        <v>2510000.0</v>
      </c>
      <c r="DN174" s="11">
        <v>1940000.0</v>
      </c>
      <c r="DO174" s="11">
        <v>1230000.0</v>
      </c>
      <c r="DP174" s="11">
        <v>1.356E7</v>
      </c>
      <c r="DQ174" s="11">
        <v>1.028E7</v>
      </c>
      <c r="DR174" s="11">
        <v>2920000.0</v>
      </c>
      <c r="DS174" s="11">
        <v>3050000.0</v>
      </c>
      <c r="DT174" s="11">
        <v>3560000.0</v>
      </c>
      <c r="DU174" s="13"/>
      <c r="DV174" s="12"/>
      <c r="DW174" s="12"/>
      <c r="DX174" s="12"/>
      <c r="DY174" s="12"/>
      <c r="DZ174" s="11">
        <v>-3520000.0</v>
      </c>
      <c r="EA174" s="11">
        <v>-1150000.0</v>
      </c>
      <c r="EB174" s="11">
        <v>2830000.0</v>
      </c>
      <c r="EC174" s="11">
        <v>1000000.0</v>
      </c>
      <c r="ED174" s="11">
        <v>-392170.0</v>
      </c>
      <c r="EE174" s="14">
        <v>1.089</v>
      </c>
      <c r="EF174" s="14">
        <v>0.79</v>
      </c>
      <c r="EG174" s="14">
        <v>0.633</v>
      </c>
      <c r="EH174" s="14">
        <v>-0.803</v>
      </c>
    </row>
    <row r="175">
      <c r="A175" s="9">
        <f t="shared" si="2"/>
        <v>173</v>
      </c>
      <c r="B175" s="10" t="s">
        <v>309</v>
      </c>
      <c r="C175" s="11">
        <v>1190000.0</v>
      </c>
      <c r="D175" s="11">
        <v>1130000.0</v>
      </c>
      <c r="E175" s="11">
        <v>1490000.0</v>
      </c>
      <c r="F175" s="11">
        <v>1500000.0</v>
      </c>
      <c r="G175" s="11">
        <v>1440000.0</v>
      </c>
      <c r="H175" s="11">
        <v>1230000.0</v>
      </c>
      <c r="I175" s="11">
        <v>1190000.0</v>
      </c>
      <c r="J175" s="11">
        <v>547920.0</v>
      </c>
      <c r="K175" s="11">
        <v>533480.0</v>
      </c>
      <c r="L175" s="11">
        <v>500190.0</v>
      </c>
      <c r="M175" s="11">
        <v>440520.0</v>
      </c>
      <c r="N175" s="11">
        <v>416240.0</v>
      </c>
      <c r="O175" s="11">
        <v>304920.0</v>
      </c>
      <c r="P175" s="11">
        <v>295180.0</v>
      </c>
      <c r="Q175" s="11">
        <v>293280.0</v>
      </c>
      <c r="R175" s="11">
        <v>243080.0</v>
      </c>
      <c r="S175" s="11">
        <v>235490.0</v>
      </c>
      <c r="T175" s="11">
        <v>15670.0</v>
      </c>
      <c r="U175" s="11">
        <v>16190.0</v>
      </c>
      <c r="V175" s="11">
        <v>14770.0</v>
      </c>
      <c r="W175" s="11">
        <v>12910.0</v>
      </c>
      <c r="X175" s="11">
        <v>12690.0</v>
      </c>
      <c r="Y175" s="11">
        <v>229150.0</v>
      </c>
      <c r="Z175" s="11">
        <v>220720.0</v>
      </c>
      <c r="AA175" s="11">
        <v>-17040.0</v>
      </c>
      <c r="AB175" s="11">
        <v>194540.0</v>
      </c>
      <c r="AC175" s="11">
        <v>177100.0</v>
      </c>
      <c r="AD175" s="11">
        <v>206840.0</v>
      </c>
      <c r="AE175" s="11">
        <v>207500.0</v>
      </c>
      <c r="AF175" s="11">
        <v>195700.0</v>
      </c>
      <c r="AG175" s="11">
        <v>182620.0</v>
      </c>
      <c r="AH175" s="11">
        <v>157950.0</v>
      </c>
      <c r="AI175" s="11">
        <v>342060.0</v>
      </c>
      <c r="AJ175" s="11">
        <v>332430.0</v>
      </c>
      <c r="AK175" s="11">
        <v>296830.0</v>
      </c>
      <c r="AL175" s="11">
        <v>277590.0</v>
      </c>
      <c r="AM175" s="11">
        <v>258990.0</v>
      </c>
      <c r="AN175" s="11">
        <v>158350.0</v>
      </c>
      <c r="AO175" s="11">
        <v>166190.0</v>
      </c>
      <c r="AP175" s="11">
        <v>59420.0</v>
      </c>
      <c r="AQ175" s="11">
        <v>135600.0</v>
      </c>
      <c r="AR175" s="11">
        <v>121380.0</v>
      </c>
      <c r="AS175" s="11">
        <v>248300.0</v>
      </c>
      <c r="AT175" s="11">
        <v>237200.0</v>
      </c>
      <c r="AU175" s="11">
        <v>203920.0</v>
      </c>
      <c r="AV175" s="11">
        <v>217650.0</v>
      </c>
      <c r="AW175" s="11">
        <v>209900.0</v>
      </c>
      <c r="AX175" s="11">
        <v>-53290.0</v>
      </c>
      <c r="AY175" s="11">
        <v>-57270.0</v>
      </c>
      <c r="AZ175" s="11">
        <v>-58710.0</v>
      </c>
      <c r="BA175" s="11">
        <v>-51680.0</v>
      </c>
      <c r="BB175" s="11">
        <v>-66980.0</v>
      </c>
      <c r="BC175" s="11">
        <v>-32540.0</v>
      </c>
      <c r="BD175" s="11">
        <v>-32210.0</v>
      </c>
      <c r="BE175" s="11">
        <v>-29550.0</v>
      </c>
      <c r="BF175" s="11">
        <v>-27440.0</v>
      </c>
      <c r="BG175" s="11">
        <v>-26180.0</v>
      </c>
      <c r="BH175" s="11">
        <v>93810.0</v>
      </c>
      <c r="BI175" s="11">
        <v>100720.0</v>
      </c>
      <c r="BJ175" s="11">
        <v>145290.0</v>
      </c>
      <c r="BK175" s="11">
        <v>66450.0</v>
      </c>
      <c r="BL175" s="11">
        <v>83930.0</v>
      </c>
      <c r="BM175" s="11">
        <v>385880.0</v>
      </c>
      <c r="BN175" s="11">
        <v>399950.0</v>
      </c>
      <c r="BO175" s="11">
        <v>365040.0</v>
      </c>
      <c r="BP175" s="11">
        <v>296810.0</v>
      </c>
      <c r="BQ175" s="11">
        <v>272580.0</v>
      </c>
      <c r="BR175" s="11">
        <v>232710.0</v>
      </c>
      <c r="BS175" s="11">
        <v>265990.0</v>
      </c>
      <c r="BT175" s="11">
        <v>241960.0</v>
      </c>
      <c r="BU175" s="11">
        <v>227760.0</v>
      </c>
      <c r="BV175" s="11">
        <v>208610.0</v>
      </c>
      <c r="BW175" s="11">
        <v>764390.0</v>
      </c>
      <c r="BX175" s="11">
        <v>806150.0</v>
      </c>
      <c r="BY175" s="11">
        <v>768720.0</v>
      </c>
      <c r="BZ175" s="11">
        <v>608490.0</v>
      </c>
      <c r="CA175" s="11">
        <v>611590.0</v>
      </c>
      <c r="CB175" s="11">
        <v>388010.0</v>
      </c>
      <c r="CC175" s="11">
        <v>370530.0</v>
      </c>
      <c r="CD175" s="11">
        <v>359300.0</v>
      </c>
      <c r="CE175" s="11">
        <v>334490.0</v>
      </c>
      <c r="CF175" s="11">
        <v>308860.0</v>
      </c>
      <c r="CG175" s="11">
        <v>933020.0</v>
      </c>
      <c r="CH175" s="11">
        <v>955520.0</v>
      </c>
      <c r="CI175" s="11">
        <v>690220.0</v>
      </c>
      <c r="CJ175" s="11">
        <v>633440.0</v>
      </c>
      <c r="CK175" s="11">
        <v>587990.0</v>
      </c>
      <c r="CL175" s="11">
        <v>2740000.0</v>
      </c>
      <c r="CM175" s="11">
        <v>2810000.0</v>
      </c>
      <c r="CN175" s="11">
        <v>2370000.0</v>
      </c>
      <c r="CO175" s="11">
        <v>2140000.0</v>
      </c>
      <c r="CP175" s="11">
        <v>2060000.0</v>
      </c>
      <c r="CQ175" s="11">
        <v>118510.0</v>
      </c>
      <c r="CR175" s="11">
        <v>143420.0</v>
      </c>
      <c r="CS175" s="11">
        <v>127520.0</v>
      </c>
      <c r="CT175" s="11">
        <v>112020.0</v>
      </c>
      <c r="CU175" s="11">
        <v>97040.0</v>
      </c>
      <c r="CV175" s="11">
        <v>342880.0</v>
      </c>
      <c r="CW175" s="11">
        <v>18480.0</v>
      </c>
      <c r="CX175" s="11">
        <v>2140.0</v>
      </c>
      <c r="CY175" s="11">
        <v>5670.0</v>
      </c>
      <c r="CZ175" s="11">
        <v>30830.0</v>
      </c>
      <c r="DA175" s="11">
        <v>22680.0</v>
      </c>
      <c r="DB175" s="11">
        <v>342880.0</v>
      </c>
      <c r="DC175" s="11">
        <v>357860.0</v>
      </c>
      <c r="DD175" s="11">
        <v>315760.0</v>
      </c>
      <c r="DE175" s="11">
        <v>301880.0</v>
      </c>
      <c r="DF175" s="11">
        <v>1470000.0</v>
      </c>
      <c r="DG175" s="11">
        <v>1610000.0</v>
      </c>
      <c r="DH175" s="11">
        <v>1110000.0</v>
      </c>
      <c r="DI175" s="11">
        <v>969180.0</v>
      </c>
      <c r="DJ175" s="11">
        <v>934110.0</v>
      </c>
      <c r="DK175" s="12"/>
      <c r="DL175" s="11">
        <v>1410.0</v>
      </c>
      <c r="DM175" s="24">
        <v>654.0</v>
      </c>
      <c r="DN175" s="12"/>
      <c r="DO175" s="12"/>
      <c r="DP175" s="28">
        <v>846390.0</v>
      </c>
      <c r="DQ175" s="28">
        <v>936360.0</v>
      </c>
      <c r="DR175" s="28">
        <v>525600.0</v>
      </c>
      <c r="DS175" s="28">
        <v>468060.0</v>
      </c>
      <c r="DT175" s="28">
        <v>485710.0</v>
      </c>
      <c r="DU175" s="12"/>
      <c r="DV175" s="13"/>
      <c r="DW175" s="12"/>
      <c r="DX175" s="12"/>
      <c r="DY175" s="13"/>
      <c r="DZ175" s="11">
        <v>1270000.0</v>
      </c>
      <c r="EA175" s="11">
        <v>1200000.0</v>
      </c>
      <c r="EB175" s="11">
        <v>1260000.0</v>
      </c>
      <c r="EC175" s="11">
        <v>1170000.0</v>
      </c>
      <c r="ED175" s="11">
        <v>1130000.0</v>
      </c>
      <c r="EE175" s="14">
        <v>0.106</v>
      </c>
      <c r="EF175" s="14">
        <v>0.134</v>
      </c>
      <c r="EG175" s="14">
        <v>0.449</v>
      </c>
      <c r="EH175" s="14">
        <v>0.141</v>
      </c>
    </row>
    <row r="176">
      <c r="A176" s="9">
        <f t="shared" si="2"/>
        <v>174</v>
      </c>
      <c r="B176" s="10" t="s">
        <v>310</v>
      </c>
      <c r="C176" s="11">
        <v>8.65E7</v>
      </c>
      <c r="D176" s="11">
        <v>6.575E7</v>
      </c>
      <c r="E176" s="11">
        <v>7.656E7</v>
      </c>
      <c r="F176" s="11">
        <v>1.0113E8</v>
      </c>
      <c r="G176" s="11">
        <v>9.401E7</v>
      </c>
      <c r="H176" s="11">
        <v>9.457E7</v>
      </c>
      <c r="I176" s="11">
        <v>9.611E7</v>
      </c>
      <c r="J176" s="11">
        <v>4490000.0</v>
      </c>
      <c r="K176" s="11">
        <v>1.964E7</v>
      </c>
      <c r="L176" s="11">
        <v>1.739E7</v>
      </c>
      <c r="M176" s="11">
        <v>1.378E7</v>
      </c>
      <c r="N176" s="11">
        <v>1.403E7</v>
      </c>
      <c r="O176" s="11">
        <v>6430000.0</v>
      </c>
      <c r="P176" s="11">
        <v>7840000.0</v>
      </c>
      <c r="Q176" s="11">
        <v>7270000.0</v>
      </c>
      <c r="R176" s="11">
        <v>8240000.0</v>
      </c>
      <c r="S176" s="11">
        <v>6860000.0</v>
      </c>
      <c r="T176" s="11">
        <v>3220000.0</v>
      </c>
      <c r="U176" s="11">
        <v>3270000.0</v>
      </c>
      <c r="V176" s="11">
        <v>3180000.0</v>
      </c>
      <c r="W176" s="11">
        <v>4630000.0</v>
      </c>
      <c r="X176" s="11">
        <v>3330000.0</v>
      </c>
      <c r="Y176" s="12"/>
      <c r="Z176" s="12"/>
      <c r="AA176" s="11">
        <v>3000.0</v>
      </c>
      <c r="AB176" s="11">
        <v>5480000.0</v>
      </c>
      <c r="AC176" s="11">
        <v>7020000.0</v>
      </c>
      <c r="AD176" s="12"/>
      <c r="AE176" s="11">
        <v>1.16E7</v>
      </c>
      <c r="AF176" s="11">
        <v>1.011E7</v>
      </c>
      <c r="AG176" s="11">
        <v>5570000.0</v>
      </c>
      <c r="AH176" s="11">
        <v>7160000.0</v>
      </c>
      <c r="AI176" s="11">
        <v>335000.0</v>
      </c>
      <c r="AJ176" s="11">
        <v>1.392E7</v>
      </c>
      <c r="AK176" s="11">
        <v>1.217E7</v>
      </c>
      <c r="AL176" s="11">
        <v>7450000.0</v>
      </c>
      <c r="AM176" s="11">
        <v>9000000.0</v>
      </c>
      <c r="AN176" s="12"/>
      <c r="AO176" s="11">
        <v>1.045E7</v>
      </c>
      <c r="AP176" s="11">
        <v>8450000.0</v>
      </c>
      <c r="AQ176" s="11">
        <v>4890000.0</v>
      </c>
      <c r="AR176" s="11">
        <v>5170000.0</v>
      </c>
      <c r="AS176" s="12"/>
      <c r="AT176" s="11">
        <v>1.532E7</v>
      </c>
      <c r="AU176" s="11">
        <v>1.335E7</v>
      </c>
      <c r="AV176" s="11">
        <v>1.05E7</v>
      </c>
      <c r="AW176" s="11">
        <v>9360000.0</v>
      </c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1">
        <v>1.003E7</v>
      </c>
      <c r="BI176" s="11">
        <v>8560000.0</v>
      </c>
      <c r="BJ176" s="11">
        <v>9990000.0</v>
      </c>
      <c r="BK176" s="11">
        <v>1.003E7</v>
      </c>
      <c r="BL176" s="11">
        <v>1.205E7</v>
      </c>
      <c r="BM176" s="11">
        <v>1.247E7</v>
      </c>
      <c r="BN176" s="11">
        <v>1.436E7</v>
      </c>
      <c r="BO176" s="11">
        <v>1.14E7</v>
      </c>
      <c r="BP176" s="11">
        <v>9260000.0</v>
      </c>
      <c r="BQ176" s="11">
        <v>8930000.0</v>
      </c>
      <c r="BR176" s="11">
        <v>7.662E7</v>
      </c>
      <c r="BS176" s="11">
        <v>6.257E7</v>
      </c>
      <c r="BT176" s="11">
        <v>6.139E7</v>
      </c>
      <c r="BU176" s="11">
        <v>4.32E7</v>
      </c>
      <c r="BV176" s="11">
        <v>4.726E7</v>
      </c>
      <c r="BW176" s="11">
        <v>1.0223E8</v>
      </c>
      <c r="BX176" s="11">
        <v>8.783E7</v>
      </c>
      <c r="BY176" s="11">
        <v>8.519E7</v>
      </c>
      <c r="BZ176" s="11">
        <v>6.249E7</v>
      </c>
      <c r="CA176" s="11">
        <v>6.823E7</v>
      </c>
      <c r="CB176" s="11">
        <v>1.368E7</v>
      </c>
      <c r="CC176" s="11">
        <v>1.265E7</v>
      </c>
      <c r="CD176" s="11">
        <v>1.267E7</v>
      </c>
      <c r="CE176" s="11">
        <v>1.281E7</v>
      </c>
      <c r="CF176" s="11">
        <v>1.208E7</v>
      </c>
      <c r="CG176" s="11">
        <v>8060000.0</v>
      </c>
      <c r="CH176" s="11">
        <v>7840000.0</v>
      </c>
      <c r="CI176" s="11">
        <v>5560000.0</v>
      </c>
      <c r="CJ176" s="11">
        <v>5320000.0</v>
      </c>
      <c r="CK176" s="11">
        <v>5130000.0</v>
      </c>
      <c r="CL176" s="11">
        <v>1.3363E8</v>
      </c>
      <c r="CM176" s="11">
        <v>1.1736E8</v>
      </c>
      <c r="CN176" s="11">
        <v>1.1236E8</v>
      </c>
      <c r="CO176" s="11">
        <v>9.0E7</v>
      </c>
      <c r="CP176" s="11">
        <v>9.441E7</v>
      </c>
      <c r="CQ176" s="11">
        <v>1.555E7</v>
      </c>
      <c r="CR176" s="11">
        <v>1.292E7</v>
      </c>
      <c r="CS176" s="11">
        <v>1.22E7</v>
      </c>
      <c r="CT176" s="11">
        <v>1.119E7</v>
      </c>
      <c r="CU176" s="11">
        <v>1.08E7</v>
      </c>
      <c r="CV176" s="11">
        <v>9.731E7</v>
      </c>
      <c r="CW176" s="11">
        <v>6360000.0</v>
      </c>
      <c r="CX176" s="11">
        <v>1900000.0</v>
      </c>
      <c r="CY176" s="11">
        <v>600000.0</v>
      </c>
      <c r="CZ176" s="12"/>
      <c r="DA176" s="12"/>
      <c r="DB176" s="11">
        <v>9.731E7</v>
      </c>
      <c r="DC176" s="11">
        <v>8.159E7</v>
      </c>
      <c r="DD176" s="11">
        <v>7.465E7</v>
      </c>
      <c r="DE176" s="11">
        <v>5.013E7</v>
      </c>
      <c r="DF176" s="11">
        <v>1.4193E8</v>
      </c>
      <c r="DG176" s="11">
        <v>1.1695E8</v>
      </c>
      <c r="DH176" s="11">
        <v>1.1065E8</v>
      </c>
      <c r="DI176" s="11">
        <v>8.912E7</v>
      </c>
      <c r="DJ176" s="11">
        <v>8.801E7</v>
      </c>
      <c r="DK176" s="11">
        <v>1090000.0</v>
      </c>
      <c r="DL176" s="11">
        <v>1090000.0</v>
      </c>
      <c r="DM176" s="11">
        <v>1260000.0</v>
      </c>
      <c r="DN176" s="11">
        <v>1320000.0</v>
      </c>
      <c r="DO176" s="11">
        <v>1280000.0</v>
      </c>
      <c r="DP176" s="11">
        <v>2.094E7</v>
      </c>
      <c r="DQ176" s="11">
        <v>1.066E7</v>
      </c>
      <c r="DR176" s="11">
        <v>9780000.0</v>
      </c>
      <c r="DS176" s="11">
        <v>9570000.0</v>
      </c>
      <c r="DT176" s="11">
        <v>8730000.0</v>
      </c>
      <c r="DU176" s="13"/>
      <c r="DV176" s="12"/>
      <c r="DW176" s="12"/>
      <c r="DX176" s="12"/>
      <c r="DY176" s="13"/>
      <c r="DZ176" s="12"/>
      <c r="EA176" s="11">
        <v>339000.0</v>
      </c>
      <c r="EB176" s="11">
        <v>1660000.0</v>
      </c>
      <c r="EC176" s="11">
        <v>817000.0</v>
      </c>
      <c r="ED176" s="11">
        <v>6340000.0</v>
      </c>
      <c r="EE176" s="14">
        <v>0.287</v>
      </c>
      <c r="EF176" s="14">
        <v>0.429</v>
      </c>
      <c r="EG176" s="14">
        <v>-0.056</v>
      </c>
      <c r="EH176" s="14">
        <v>-0.704</v>
      </c>
    </row>
    <row r="177">
      <c r="A177" s="9">
        <f t="shared" si="2"/>
        <v>175</v>
      </c>
      <c r="B177" s="10" t="s">
        <v>311</v>
      </c>
      <c r="C177" s="15">
        <v>8640000.0</v>
      </c>
      <c r="D177" s="15">
        <v>8080000.0</v>
      </c>
      <c r="E177" s="15">
        <v>7460000.0</v>
      </c>
      <c r="F177" s="15">
        <v>6700000.0</v>
      </c>
      <c r="G177" s="15">
        <v>6170000.0</v>
      </c>
      <c r="H177" s="15">
        <v>5800000.0</v>
      </c>
      <c r="I177" s="15">
        <v>5410000.0</v>
      </c>
      <c r="J177" s="15">
        <v>1710000.0</v>
      </c>
      <c r="K177" s="15">
        <v>1530000.0</v>
      </c>
      <c r="L177" s="15">
        <v>1380000.0</v>
      </c>
      <c r="M177" s="15">
        <v>1300000.0</v>
      </c>
      <c r="N177" s="15">
        <v>1250000.0</v>
      </c>
      <c r="O177" s="15">
        <v>1040000.0</v>
      </c>
      <c r="P177" s="15">
        <v>916740.0</v>
      </c>
      <c r="Q177" s="15">
        <v>855540.0</v>
      </c>
      <c r="R177" s="15">
        <v>809630.0</v>
      </c>
      <c r="S177" s="15">
        <v>806510.0</v>
      </c>
      <c r="T177" s="15">
        <v>0.0</v>
      </c>
      <c r="U177" s="15">
        <v>0.0</v>
      </c>
      <c r="V177" s="15">
        <v>0.0</v>
      </c>
      <c r="W177" s="15">
        <v>0.0</v>
      </c>
      <c r="X177" s="15">
        <v>0.0</v>
      </c>
      <c r="Y177" s="15">
        <v>668130.0</v>
      </c>
      <c r="Z177" s="15">
        <v>602390.0</v>
      </c>
      <c r="AA177" s="15">
        <v>0.0</v>
      </c>
      <c r="AB177" s="15">
        <v>484250.0</v>
      </c>
      <c r="AC177" s="15">
        <v>449080.0</v>
      </c>
      <c r="AD177" s="15">
        <v>579430.0</v>
      </c>
      <c r="AE177" s="15">
        <v>515400.0</v>
      </c>
      <c r="AF177" s="15">
        <v>430040.0</v>
      </c>
      <c r="AG177" s="15">
        <v>411900.0</v>
      </c>
      <c r="AH177" s="15">
        <v>379460.0</v>
      </c>
      <c r="AI177" s="15">
        <v>805380.0</v>
      </c>
      <c r="AJ177" s="15">
        <v>682170.0</v>
      </c>
      <c r="AK177" s="15">
        <v>584480.0</v>
      </c>
      <c r="AL177" s="15">
        <v>551590.0</v>
      </c>
      <c r="AM177" s="15">
        <v>506120.0</v>
      </c>
      <c r="AN177" s="15">
        <v>481090.0</v>
      </c>
      <c r="AO177" s="15">
        <v>416660.0</v>
      </c>
      <c r="AP177" s="15">
        <v>299820.0</v>
      </c>
      <c r="AQ177" s="15">
        <v>250230.0</v>
      </c>
      <c r="AR177" s="15">
        <v>290540.0</v>
      </c>
      <c r="AS177" s="15">
        <v>589080.0</v>
      </c>
      <c r="AT177" s="15">
        <v>499610.0</v>
      </c>
      <c r="AU177" s="15">
        <v>369140.0</v>
      </c>
      <c r="AV177" s="15">
        <v>382280.0</v>
      </c>
      <c r="AW177" s="15">
        <v>249230.0</v>
      </c>
      <c r="AX177" s="15">
        <v>-128080.0</v>
      </c>
      <c r="AY177" s="15">
        <v>-94680.0</v>
      </c>
      <c r="AZ177" s="15">
        <v>-78440.0</v>
      </c>
      <c r="BA177" s="15">
        <v>-53920.0</v>
      </c>
      <c r="BB177" s="15">
        <v>-66640.0</v>
      </c>
      <c r="BC177" s="15">
        <v>-146600.0</v>
      </c>
      <c r="BD177" s="15">
        <v>-114510.0</v>
      </c>
      <c r="BE177" s="15">
        <v>-104360.0</v>
      </c>
      <c r="BF177" s="15">
        <v>-95180.0</v>
      </c>
      <c r="BG177" s="15">
        <v>-111820.0</v>
      </c>
      <c r="BH177" s="15">
        <v>741900.0</v>
      </c>
      <c r="BI177" s="15">
        <v>283990.0</v>
      </c>
      <c r="BJ177" s="15">
        <v>286960.0</v>
      </c>
      <c r="BK177" s="15">
        <v>217420.0</v>
      </c>
      <c r="BL177" s="15">
        <v>187530.0</v>
      </c>
      <c r="BM177" s="15">
        <v>1460000.0</v>
      </c>
      <c r="BN177" s="15">
        <v>1330000.0</v>
      </c>
      <c r="BO177" s="15">
        <v>1130000.0</v>
      </c>
      <c r="BP177" s="15">
        <v>991810.0</v>
      </c>
      <c r="BQ177" s="15">
        <v>892290.0</v>
      </c>
      <c r="BR177" s="15">
        <v>0.0</v>
      </c>
      <c r="BS177" s="15">
        <v>0.0</v>
      </c>
      <c r="BT177" s="15">
        <v>0.0</v>
      </c>
      <c r="BU177" s="15">
        <v>0.0</v>
      </c>
      <c r="BV177" s="15">
        <v>0.0</v>
      </c>
      <c r="BW177" s="15">
        <v>2330000.0</v>
      </c>
      <c r="BX177" s="15">
        <v>1700000.0</v>
      </c>
      <c r="BY177" s="15">
        <v>1490000.0</v>
      </c>
      <c r="BZ177" s="15">
        <v>1290000.0</v>
      </c>
      <c r="CA177" s="15">
        <v>1190000.0</v>
      </c>
      <c r="CB177" s="15">
        <v>448200.0</v>
      </c>
      <c r="CC177" s="15">
        <v>172450.0</v>
      </c>
      <c r="CD177" s="15">
        <v>152360.0</v>
      </c>
      <c r="CE177" s="15">
        <v>139170.0</v>
      </c>
      <c r="CF177" s="15">
        <v>130170.0</v>
      </c>
      <c r="CG177" s="15">
        <v>1580000.0</v>
      </c>
      <c r="CH177" s="15">
        <v>1580000.0</v>
      </c>
      <c r="CI177" s="15">
        <v>1580000.0</v>
      </c>
      <c r="CJ177" s="15">
        <v>1570000.0</v>
      </c>
      <c r="CK177" s="15">
        <v>1360000.0</v>
      </c>
      <c r="CL177" s="15">
        <v>5060000.0</v>
      </c>
      <c r="CM177" s="15">
        <v>4010000.0</v>
      </c>
      <c r="CN177" s="15">
        <v>3770000.0</v>
      </c>
      <c r="CO177" s="15">
        <v>3600000.0</v>
      </c>
      <c r="CP177" s="15">
        <v>3220000.0</v>
      </c>
      <c r="CQ177" s="15">
        <v>432950.0</v>
      </c>
      <c r="CR177" s="15">
        <v>417650.0</v>
      </c>
      <c r="CS177" s="15">
        <v>339990.0</v>
      </c>
      <c r="CT177" s="15">
        <v>268630.0</v>
      </c>
      <c r="CU177" s="15">
        <v>246670.0</v>
      </c>
      <c r="CV177" s="15">
        <v>1330000.0</v>
      </c>
      <c r="CW177" s="15">
        <v>49020.0</v>
      </c>
      <c r="CX177" s="16">
        <v>0.0</v>
      </c>
      <c r="CY177" s="15">
        <v>0.0</v>
      </c>
      <c r="CZ177" s="15">
        <v>0.0</v>
      </c>
      <c r="DA177" s="15">
        <v>0.0</v>
      </c>
      <c r="DB177" s="15">
        <v>1330000.0</v>
      </c>
      <c r="DC177" s="15">
        <v>1180000.0</v>
      </c>
      <c r="DD177" s="15">
        <v>1030000.0</v>
      </c>
      <c r="DE177" s="15">
        <v>1100000.0</v>
      </c>
      <c r="DF177" s="15">
        <v>4210000.0</v>
      </c>
      <c r="DG177" s="15">
        <v>3340000.0</v>
      </c>
      <c r="DH177" s="15">
        <v>3210000.0</v>
      </c>
      <c r="DI177" s="15">
        <v>3020000.0</v>
      </c>
      <c r="DJ177" s="15">
        <v>2810000.0</v>
      </c>
      <c r="DK177" s="15">
        <v>0.0</v>
      </c>
      <c r="DL177" s="15">
        <v>0.0</v>
      </c>
      <c r="DM177" s="15">
        <v>7200.0</v>
      </c>
      <c r="DN177" s="15">
        <v>0.0</v>
      </c>
      <c r="DO177" s="15">
        <v>0.0</v>
      </c>
      <c r="DP177" s="15">
        <v>2280000.0</v>
      </c>
      <c r="DQ177" s="15">
        <v>1700000.0</v>
      </c>
      <c r="DR177" s="15">
        <v>1760000.0</v>
      </c>
      <c r="DS177" s="15">
        <v>1470000.0</v>
      </c>
      <c r="DT177" s="15">
        <v>1480000.0</v>
      </c>
      <c r="DU177" s="16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856360.0</v>
      </c>
      <c r="EA177" s="15">
        <v>675370.0</v>
      </c>
      <c r="EB177" s="15">
        <v>562490.0</v>
      </c>
      <c r="EC177" s="15">
        <v>573590.0</v>
      </c>
      <c r="ED177" s="15">
        <v>408490.0</v>
      </c>
      <c r="EE177" s="17">
        <v>0.016</v>
      </c>
      <c r="EF177" s="17">
        <v>0.029</v>
      </c>
      <c r="EG177" s="17">
        <v>0.028</v>
      </c>
      <c r="EH177" s="17">
        <v>0.086</v>
      </c>
    </row>
    <row r="178">
      <c r="A178" s="9">
        <f t="shared" si="2"/>
        <v>176</v>
      </c>
      <c r="B178" s="25" t="s">
        <v>312</v>
      </c>
      <c r="C178" s="15">
        <v>1.144E7</v>
      </c>
      <c r="D178" s="15">
        <v>9730000.0</v>
      </c>
      <c r="E178" s="15">
        <v>5.232E7</v>
      </c>
      <c r="F178" s="15">
        <v>5.8E7</v>
      </c>
      <c r="G178" s="15">
        <v>4.926E7</v>
      </c>
      <c r="H178" s="15">
        <v>4.766E7</v>
      </c>
      <c r="I178" s="15">
        <v>4.688E7</v>
      </c>
      <c r="J178" s="15">
        <v>6500000.0</v>
      </c>
      <c r="K178" s="15">
        <v>1.15E7</v>
      </c>
      <c r="L178" s="15">
        <v>1.276E7</v>
      </c>
      <c r="M178" s="15">
        <v>1.25E7</v>
      </c>
      <c r="N178" s="15">
        <v>1.009E7</v>
      </c>
      <c r="O178" s="15">
        <v>4260000.0</v>
      </c>
      <c r="P178" s="15">
        <v>3380000.0</v>
      </c>
      <c r="Q178" s="15">
        <v>3060000.0</v>
      </c>
      <c r="R178" s="15">
        <v>2850000.0</v>
      </c>
      <c r="S178" s="15">
        <v>2530000.0</v>
      </c>
      <c r="T178" s="15">
        <v>247730.0</v>
      </c>
      <c r="U178" s="15">
        <v>199820.0</v>
      </c>
      <c r="V178" s="15">
        <v>167460.0</v>
      </c>
      <c r="W178" s="15">
        <v>162010.0</v>
      </c>
      <c r="X178" s="15">
        <v>169640.0</v>
      </c>
      <c r="Y178" s="15">
        <v>128370.0</v>
      </c>
      <c r="Z178" s="15">
        <v>-83280.0</v>
      </c>
      <c r="AA178" s="15">
        <v>9580000.0</v>
      </c>
      <c r="AB178" s="15">
        <v>-3030000.0</v>
      </c>
      <c r="AC178" s="15">
        <v>-105640.0</v>
      </c>
      <c r="AD178" s="15">
        <v>-4810000.0</v>
      </c>
      <c r="AE178" s="15">
        <v>3650000.0</v>
      </c>
      <c r="AF178" s="15">
        <v>5380000.0</v>
      </c>
      <c r="AG178" s="15">
        <v>-170090.0</v>
      </c>
      <c r="AH178" s="15">
        <v>4410000.0</v>
      </c>
      <c r="AI178" s="15">
        <v>7920000.0</v>
      </c>
      <c r="AJ178" s="15">
        <v>1.144E7</v>
      </c>
      <c r="AK178" s="15">
        <v>1.273E7</v>
      </c>
      <c r="AL178" s="15">
        <v>1.25E7</v>
      </c>
      <c r="AM178" s="15">
        <v>9740000.0</v>
      </c>
      <c r="AN178" s="15">
        <v>-2800000.0</v>
      </c>
      <c r="AO178" s="15">
        <v>2870000.0</v>
      </c>
      <c r="AP178" s="15">
        <v>4070000.0</v>
      </c>
      <c r="AQ178" s="15">
        <v>-438330.0</v>
      </c>
      <c r="AR178" s="15">
        <v>3000000.0</v>
      </c>
      <c r="AS178" s="15">
        <v>5150000.0</v>
      </c>
      <c r="AT178" s="15">
        <v>9190000.0</v>
      </c>
      <c r="AU178" s="15">
        <v>3410000.0</v>
      </c>
      <c r="AV178" s="15">
        <v>5110000.0</v>
      </c>
      <c r="AW178" s="15">
        <v>8020000.0</v>
      </c>
      <c r="AX178" s="15">
        <v>-2680000.0</v>
      </c>
      <c r="AY178" s="15">
        <v>-2710000.0</v>
      </c>
      <c r="AZ178" s="15">
        <v>-2270000.0</v>
      </c>
      <c r="BA178" s="15">
        <v>-2590000.0</v>
      </c>
      <c r="BB178" s="15">
        <v>-4120000.0</v>
      </c>
      <c r="BC178" s="15">
        <v>-668900.0</v>
      </c>
      <c r="BD178" s="15">
        <v>-1500000.0</v>
      </c>
      <c r="BE178" s="15">
        <v>-998890.0</v>
      </c>
      <c r="BF178" s="15">
        <v>-2000000.0</v>
      </c>
      <c r="BG178" s="15">
        <v>-482120.0</v>
      </c>
      <c r="BH178" s="15">
        <v>1.106E7</v>
      </c>
      <c r="BI178" s="15">
        <v>7910000.0</v>
      </c>
      <c r="BJ178" s="15">
        <v>6080000.0</v>
      </c>
      <c r="BK178" s="15">
        <v>7890000.0</v>
      </c>
      <c r="BL178" s="15">
        <v>7460000.0</v>
      </c>
      <c r="BM178" s="15">
        <v>4590000.0</v>
      </c>
      <c r="BN178" s="15">
        <v>4750000.0</v>
      </c>
      <c r="BO178" s="15">
        <v>4930000.0</v>
      </c>
      <c r="BP178" s="15">
        <v>3190000.0</v>
      </c>
      <c r="BQ178" s="15">
        <v>4410000.0</v>
      </c>
      <c r="BR178" s="15">
        <v>7630000.0</v>
      </c>
      <c r="BS178" s="15">
        <v>8490000.0</v>
      </c>
      <c r="BT178" s="15">
        <v>6850000.0</v>
      </c>
      <c r="BU178" s="15">
        <v>5240000.0</v>
      </c>
      <c r="BV178" s="15">
        <v>6110000.0</v>
      </c>
      <c r="BW178" s="15">
        <v>2.339E7</v>
      </c>
      <c r="BX178" s="15">
        <v>2.138E7</v>
      </c>
      <c r="BY178" s="15">
        <v>1.799E7</v>
      </c>
      <c r="BZ178" s="15">
        <v>1.679E7</v>
      </c>
      <c r="CA178" s="15">
        <v>1.814E7</v>
      </c>
      <c r="CB178" s="15">
        <v>3.492E7</v>
      </c>
      <c r="CC178" s="15">
        <v>3.176E7</v>
      </c>
      <c r="CD178" s="15">
        <v>2.976E7</v>
      </c>
      <c r="CE178" s="15">
        <v>2.934E7</v>
      </c>
      <c r="CF178" s="15">
        <v>3.41E7</v>
      </c>
      <c r="CG178" s="15">
        <v>2060000.0</v>
      </c>
      <c r="CH178" s="15">
        <v>2060000.0</v>
      </c>
      <c r="CI178" s="15">
        <v>2060000.0</v>
      </c>
      <c r="CJ178" s="15">
        <v>2060000.0</v>
      </c>
      <c r="CK178" s="15">
        <v>2060000.0</v>
      </c>
      <c r="CL178" s="15">
        <v>6.813E7</v>
      </c>
      <c r="CM178" s="15">
        <v>5.919E7</v>
      </c>
      <c r="CN178" s="15">
        <v>5.334E7</v>
      </c>
      <c r="CO178" s="15">
        <v>5.235E7</v>
      </c>
      <c r="CP178" s="15">
        <v>6.063E7</v>
      </c>
      <c r="CQ178" s="15">
        <v>9120000.0</v>
      </c>
      <c r="CR178" s="15">
        <v>8340000.0</v>
      </c>
      <c r="CS178" s="15">
        <v>5270000.0</v>
      </c>
      <c r="CT178" s="15">
        <v>6550000.0</v>
      </c>
      <c r="CU178" s="15">
        <v>1.237E7</v>
      </c>
      <c r="CV178" s="15">
        <v>1.622E7</v>
      </c>
      <c r="CW178" s="15">
        <v>1570000.0</v>
      </c>
      <c r="CX178" s="15">
        <v>1.127E7</v>
      </c>
      <c r="CY178" s="15">
        <v>1180000.0</v>
      </c>
      <c r="CZ178" s="15">
        <v>2900000.0</v>
      </c>
      <c r="DA178" s="15">
        <v>1970000.0</v>
      </c>
      <c r="DB178" s="15">
        <v>1.622E7</v>
      </c>
      <c r="DC178" s="15">
        <v>2.312E7</v>
      </c>
      <c r="DD178" s="15">
        <v>1.914E7</v>
      </c>
      <c r="DE178" s="15">
        <v>2.357E7</v>
      </c>
      <c r="DF178" s="15">
        <v>6.418E7</v>
      </c>
      <c r="DG178" s="15">
        <v>5.328E7</v>
      </c>
      <c r="DH178" s="15">
        <v>4.765E7</v>
      </c>
      <c r="DI178" s="15">
        <v>5.063E7</v>
      </c>
      <c r="DJ178" s="15">
        <v>5.968E7</v>
      </c>
      <c r="DK178" s="15">
        <v>1680000.0</v>
      </c>
      <c r="DL178" s="15">
        <v>355210.0</v>
      </c>
      <c r="DM178" s="15">
        <v>473800.0</v>
      </c>
      <c r="DN178" s="15">
        <v>405590.0</v>
      </c>
      <c r="DO178" s="15">
        <v>485120.0</v>
      </c>
      <c r="DP178" s="15">
        <v>4.21E7</v>
      </c>
      <c r="DQ178" s="15">
        <v>2.661E7</v>
      </c>
      <c r="DR178" s="15">
        <v>2.422E7</v>
      </c>
      <c r="DS178" s="15">
        <v>2.236E7</v>
      </c>
      <c r="DT178" s="15">
        <v>3.889E7</v>
      </c>
      <c r="DU178" s="13"/>
      <c r="DV178" s="12"/>
      <c r="DW178" s="12"/>
      <c r="DX178" s="13"/>
      <c r="DY178" s="13"/>
      <c r="DZ178" s="15">
        <v>4890000.0</v>
      </c>
      <c r="EA178" s="15">
        <v>6790000.0</v>
      </c>
      <c r="EB178" s="15">
        <v>6520000.0</v>
      </c>
      <c r="EC178" s="15">
        <v>2740000.0</v>
      </c>
      <c r="ED178" s="15">
        <v>1630000.0</v>
      </c>
      <c r="EE178" s="23"/>
      <c r="EF178" s="23"/>
      <c r="EG178" s="23">
        <v>0.662</v>
      </c>
      <c r="EH178" s="23">
        <v>-1.95</v>
      </c>
    </row>
    <row r="179">
      <c r="A179" s="9">
        <f t="shared" si="2"/>
        <v>177</v>
      </c>
      <c r="B179" s="10" t="s">
        <v>313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3"/>
      <c r="BD179" s="13"/>
      <c r="BE179" s="13"/>
      <c r="BF179" s="13"/>
      <c r="BG179" s="13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3"/>
      <c r="CY179" s="13"/>
      <c r="CZ179" s="13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3"/>
      <c r="DV179" s="12"/>
      <c r="DW179" s="12"/>
      <c r="DX179" s="12"/>
      <c r="DY179" s="13"/>
      <c r="DZ179" s="12"/>
      <c r="EA179" s="12"/>
      <c r="EB179" s="12"/>
      <c r="EC179" s="12"/>
      <c r="ED179" s="12"/>
      <c r="EE179" s="23"/>
      <c r="EF179" s="23"/>
      <c r="EG179" s="23"/>
      <c r="EH179" s="23"/>
    </row>
    <row r="180">
      <c r="A180" s="9">
        <f t="shared" si="2"/>
        <v>178</v>
      </c>
      <c r="B180" s="10" t="s">
        <v>314</v>
      </c>
      <c r="C180" s="11">
        <v>1.233E7</v>
      </c>
      <c r="D180" s="11">
        <v>1.171E7</v>
      </c>
      <c r="E180" s="11">
        <v>1.136E7</v>
      </c>
      <c r="F180" s="11">
        <v>1.11E7</v>
      </c>
      <c r="G180" s="11">
        <v>1.056E7</v>
      </c>
      <c r="H180" s="11">
        <v>1.016E7</v>
      </c>
      <c r="I180" s="11">
        <v>9970000.0</v>
      </c>
      <c r="J180" s="11">
        <v>4890000.0</v>
      </c>
      <c r="K180" s="11">
        <v>4820000.0</v>
      </c>
      <c r="L180" s="11">
        <v>4590000.0</v>
      </c>
      <c r="M180" s="11">
        <v>4300000.0</v>
      </c>
      <c r="N180" s="11">
        <v>4110000.0</v>
      </c>
      <c r="O180" s="11">
        <v>2980000.0</v>
      </c>
      <c r="P180" s="11">
        <v>3070000.0</v>
      </c>
      <c r="Q180" s="11">
        <v>3000000.0</v>
      </c>
      <c r="R180" s="11">
        <v>3150000.0</v>
      </c>
      <c r="S180" s="11">
        <v>3500000.0</v>
      </c>
      <c r="T180" s="11">
        <v>542000.0</v>
      </c>
      <c r="U180" s="11">
        <v>621000.0</v>
      </c>
      <c r="V180" s="11">
        <v>613000.0</v>
      </c>
      <c r="W180" s="11">
        <v>540000.0</v>
      </c>
      <c r="X180" s="11">
        <v>589000.0</v>
      </c>
      <c r="Y180" s="11">
        <v>1750000.0</v>
      </c>
      <c r="Z180" s="11">
        <v>-145000.0</v>
      </c>
      <c r="AA180" s="11">
        <v>-252000.0</v>
      </c>
      <c r="AB180" s="11">
        <v>4970000.0</v>
      </c>
      <c r="AC180" s="11">
        <v>-325000.0</v>
      </c>
      <c r="AD180" s="11">
        <v>970000.0</v>
      </c>
      <c r="AE180" s="11">
        <v>1620000.0</v>
      </c>
      <c r="AF180" s="11">
        <v>1220000.0</v>
      </c>
      <c r="AG180" s="11">
        <v>4950000.0</v>
      </c>
      <c r="AH180" s="11">
        <v>428000.0</v>
      </c>
      <c r="AI180" s="11">
        <v>2700000.0</v>
      </c>
      <c r="AJ180" s="11">
        <v>2520000.0</v>
      </c>
      <c r="AK180" s="11">
        <v>2340000.0</v>
      </c>
      <c r="AL180" s="11">
        <v>1900000.0</v>
      </c>
      <c r="AM180" s="11">
        <v>1370000.0</v>
      </c>
      <c r="AN180" s="11">
        <v>1000000.0</v>
      </c>
      <c r="AO180" s="11">
        <v>1550000.0</v>
      </c>
      <c r="AP180" s="11">
        <v>724000.0</v>
      </c>
      <c r="AQ180" s="11">
        <v>4970000.0</v>
      </c>
      <c r="AR180" s="11">
        <v>393000.0</v>
      </c>
      <c r="AS180" s="11">
        <v>2100000.0</v>
      </c>
      <c r="AT180" s="11">
        <v>2020000.0</v>
      </c>
      <c r="AU180" s="11">
        <v>1840000.0</v>
      </c>
      <c r="AV180" s="11">
        <v>1650000.0</v>
      </c>
      <c r="AW180" s="11">
        <v>1770000.0</v>
      </c>
      <c r="AX180" s="11">
        <v>-696000.0</v>
      </c>
      <c r="AY180" s="11">
        <v>-659000.0</v>
      </c>
      <c r="AZ180" s="11">
        <v>-634000.0</v>
      </c>
      <c r="BA180" s="11">
        <v>-719000.0</v>
      </c>
      <c r="BB180" s="11">
        <v>-911000.0</v>
      </c>
      <c r="BC180" s="11">
        <v>-423000.0</v>
      </c>
      <c r="BD180" s="11">
        <v>-376000.0</v>
      </c>
      <c r="BE180" s="11">
        <v>-315000.0</v>
      </c>
      <c r="BF180" s="11">
        <v>-268000.0</v>
      </c>
      <c r="BG180" s="11">
        <v>-910000.0</v>
      </c>
      <c r="BH180" s="11">
        <v>3340000.0</v>
      </c>
      <c r="BI180" s="11">
        <v>1840000.0</v>
      </c>
      <c r="BJ180" s="11">
        <v>3390000.0</v>
      </c>
      <c r="BK180" s="11">
        <v>2800000.0</v>
      </c>
      <c r="BL180" s="11">
        <v>7360000.0</v>
      </c>
      <c r="BM180" s="11">
        <v>1900000.0</v>
      </c>
      <c r="BN180" s="11">
        <v>1840000.0</v>
      </c>
      <c r="BO180" s="11">
        <v>1790000.0</v>
      </c>
      <c r="BP180" s="11">
        <v>1690000.0</v>
      </c>
      <c r="BQ180" s="11">
        <v>1730000.0</v>
      </c>
      <c r="BR180" s="11">
        <v>1650000.0</v>
      </c>
      <c r="BS180" s="11">
        <v>1670000.0</v>
      </c>
      <c r="BT180" s="11">
        <v>1480000.0</v>
      </c>
      <c r="BU180" s="11">
        <v>1430000.0</v>
      </c>
      <c r="BV180" s="11">
        <v>1600000.0</v>
      </c>
      <c r="BW180" s="11">
        <v>7500000.0</v>
      </c>
      <c r="BX180" s="11">
        <v>5960000.0</v>
      </c>
      <c r="BY180" s="11">
        <v>7260000.0</v>
      </c>
      <c r="BZ180" s="11">
        <v>6570000.0</v>
      </c>
      <c r="CA180" s="11">
        <v>1.18E7</v>
      </c>
      <c r="CB180" s="11">
        <v>5120000.0</v>
      </c>
      <c r="CC180" s="11">
        <v>4530000.0</v>
      </c>
      <c r="CD180" s="11">
        <v>4590000.0</v>
      </c>
      <c r="CE180" s="11">
        <v>4290000.0</v>
      </c>
      <c r="CF180" s="11">
        <v>4390000.0</v>
      </c>
      <c r="CG180" s="11">
        <v>3030000.0</v>
      </c>
      <c r="CH180" s="11">
        <v>3000000.0</v>
      </c>
      <c r="CI180" s="11">
        <v>3100000.0</v>
      </c>
      <c r="CJ180" s="11">
        <v>2600000.0</v>
      </c>
      <c r="CK180" s="11">
        <v>2690000.0</v>
      </c>
      <c r="CL180" s="11">
        <v>1.819E7</v>
      </c>
      <c r="CM180" s="11">
        <v>1.572E7</v>
      </c>
      <c r="CN180" s="11">
        <v>1.711E7</v>
      </c>
      <c r="CO180" s="11">
        <v>1.555E7</v>
      </c>
      <c r="CP180" s="11">
        <v>2.096E7</v>
      </c>
      <c r="CQ180" s="11">
        <v>892000.0</v>
      </c>
      <c r="CR180" s="11">
        <v>998000.0</v>
      </c>
      <c r="CS180" s="11">
        <v>920000.0</v>
      </c>
      <c r="CT180" s="11">
        <v>791000.0</v>
      </c>
      <c r="CU180" s="11">
        <v>716000.0</v>
      </c>
      <c r="CV180" s="11">
        <v>3230000.0</v>
      </c>
      <c r="CW180" s="11">
        <v>327000.0</v>
      </c>
      <c r="CX180" s="11">
        <v>2000.0</v>
      </c>
      <c r="CY180" s="13"/>
      <c r="CZ180" s="13"/>
      <c r="DA180" s="11">
        <v>1780000.0</v>
      </c>
      <c r="DB180" s="11">
        <v>3230000.0</v>
      </c>
      <c r="DC180" s="11">
        <v>2810000.0</v>
      </c>
      <c r="DD180" s="11">
        <v>2820000.0</v>
      </c>
      <c r="DE180" s="11">
        <v>2740000.0</v>
      </c>
      <c r="DF180" s="11">
        <v>1.028E7</v>
      </c>
      <c r="DG180" s="11">
        <v>7850000.0</v>
      </c>
      <c r="DH180" s="11">
        <v>8000000.0</v>
      </c>
      <c r="DI180" s="11">
        <v>7270000.0</v>
      </c>
      <c r="DJ180" s="11">
        <v>1.21E7</v>
      </c>
      <c r="DK180" s="11">
        <v>86000.0</v>
      </c>
      <c r="DL180" s="11">
        <v>45000.0</v>
      </c>
      <c r="DM180" s="11">
        <v>47000.0</v>
      </c>
      <c r="DN180" s="12"/>
      <c r="DO180" s="12"/>
      <c r="DP180" s="11">
        <v>5320000.0</v>
      </c>
      <c r="DQ180" s="11">
        <v>3480000.0</v>
      </c>
      <c r="DR180" s="11">
        <v>3510000.0</v>
      </c>
      <c r="DS180" s="11">
        <v>2780000.0</v>
      </c>
      <c r="DT180" s="11">
        <v>3920000.0</v>
      </c>
      <c r="DU180" s="13"/>
      <c r="DV180" s="12"/>
      <c r="DW180" s="12"/>
      <c r="DX180" s="13"/>
      <c r="DY180" s="12"/>
      <c r="DZ180" s="11">
        <v>7880000.0</v>
      </c>
      <c r="EA180" s="11">
        <v>7840000.0</v>
      </c>
      <c r="EB180" s="11">
        <v>9120000.0</v>
      </c>
      <c r="EC180" s="11">
        <v>8290000.0</v>
      </c>
      <c r="ED180" s="11">
        <v>8850000.0</v>
      </c>
      <c r="EE180" s="14">
        <v>0.025</v>
      </c>
      <c r="EF180" s="14">
        <v>0.06</v>
      </c>
      <c r="EG180" s="14">
        <v>0.139</v>
      </c>
      <c r="EH180" s="14">
        <v>0.04</v>
      </c>
    </row>
    <row r="181">
      <c r="A181" s="9">
        <f t="shared" si="2"/>
        <v>179</v>
      </c>
      <c r="B181" s="10" t="s">
        <v>315</v>
      </c>
      <c r="C181" s="11">
        <v>1.007E7</v>
      </c>
      <c r="D181" s="11">
        <v>9490000.0</v>
      </c>
      <c r="E181" s="11">
        <v>1.116E7</v>
      </c>
      <c r="F181" s="11">
        <v>1.203E7</v>
      </c>
      <c r="G181" s="11">
        <v>1.235E7</v>
      </c>
      <c r="H181" s="11">
        <v>1.222E7</v>
      </c>
      <c r="I181" s="11">
        <v>1.21E7</v>
      </c>
      <c r="J181" s="11">
        <v>3540000.0</v>
      </c>
      <c r="K181" s="11">
        <v>4100000.0</v>
      </c>
      <c r="L181" s="11">
        <v>4440000.0</v>
      </c>
      <c r="M181" s="11">
        <v>4580000.0</v>
      </c>
      <c r="N181" s="11">
        <v>4620000.0</v>
      </c>
      <c r="O181" s="11">
        <v>3620000.0</v>
      </c>
      <c r="P181" s="11">
        <v>3680000.0</v>
      </c>
      <c r="Q181" s="11">
        <v>3660000.0</v>
      </c>
      <c r="R181" s="11">
        <v>3440000.0</v>
      </c>
      <c r="S181" s="11">
        <v>3210000.0</v>
      </c>
      <c r="T181" s="11"/>
      <c r="U181" s="11"/>
      <c r="V181" s="11"/>
      <c r="W181" s="11"/>
      <c r="X181" s="11"/>
      <c r="Y181" s="11">
        <v>-668080.0</v>
      </c>
      <c r="Z181" s="11">
        <v>-87140.0</v>
      </c>
      <c r="AA181" s="11">
        <v>761320.0</v>
      </c>
      <c r="AB181" s="11"/>
      <c r="AC181" s="12"/>
      <c r="AD181" s="11">
        <v>-764850.0</v>
      </c>
      <c r="AE181" s="11">
        <v>-156610.0</v>
      </c>
      <c r="AF181" s="11">
        <v>695660.0</v>
      </c>
      <c r="AG181" s="11">
        <v>1070000.0</v>
      </c>
      <c r="AH181" s="11">
        <v>1330000.0</v>
      </c>
      <c r="AI181" s="11">
        <v>257060.0</v>
      </c>
      <c r="AJ181" s="11">
        <v>761600.0</v>
      </c>
      <c r="AK181" s="11">
        <v>1090000.0</v>
      </c>
      <c r="AL181" s="11">
        <v>1430000.0</v>
      </c>
      <c r="AM181" s="11">
        <v>1690000.0</v>
      </c>
      <c r="AN181" s="11">
        <v>-613820.0</v>
      </c>
      <c r="AO181" s="11">
        <v>-137220.0</v>
      </c>
      <c r="AP181" s="11">
        <v>424860.0</v>
      </c>
      <c r="AQ181" s="11">
        <v>685110.0</v>
      </c>
      <c r="AR181" s="11">
        <v>841490.0</v>
      </c>
      <c r="AS181" s="11">
        <v>590920.0</v>
      </c>
      <c r="AT181" s="11">
        <v>832000.0</v>
      </c>
      <c r="AU181" s="11">
        <v>875730.0</v>
      </c>
      <c r="AV181" s="11">
        <v>1060000.0</v>
      </c>
      <c r="AW181" s="11">
        <v>1010000.0</v>
      </c>
      <c r="AX181" s="11">
        <v>-277400.0</v>
      </c>
      <c r="AY181" s="11">
        <v>-325370.0</v>
      </c>
      <c r="AZ181" s="11">
        <v>-375790.0</v>
      </c>
      <c r="BA181" s="11">
        <v>-373570.0</v>
      </c>
      <c r="BB181" s="11">
        <v>-328400.0</v>
      </c>
      <c r="BC181" s="11">
        <v>-85480.0</v>
      </c>
      <c r="BD181" s="11">
        <v>-86290.0</v>
      </c>
      <c r="BE181" s="11">
        <v>-80880.0</v>
      </c>
      <c r="BF181" s="11">
        <v>-55610.0</v>
      </c>
      <c r="BG181" s="12"/>
      <c r="BH181" s="11">
        <v>1390000.0</v>
      </c>
      <c r="BI181" s="11">
        <v>994770.0</v>
      </c>
      <c r="BJ181" s="11">
        <v>724180.0</v>
      </c>
      <c r="BK181" s="11">
        <v>488330.0</v>
      </c>
      <c r="BL181" s="11">
        <v>601770.0</v>
      </c>
      <c r="BM181" s="12"/>
      <c r="BN181" s="12"/>
      <c r="BO181" s="12"/>
      <c r="BP181" s="12"/>
      <c r="BQ181" s="12"/>
      <c r="BR181" s="11">
        <v>2090000.0</v>
      </c>
      <c r="BS181" s="11">
        <v>2620000.0</v>
      </c>
      <c r="BT181" s="11">
        <v>2730000.0</v>
      </c>
      <c r="BU181" s="11">
        <v>2910000.0</v>
      </c>
      <c r="BV181" s="11">
        <v>2850000.0</v>
      </c>
      <c r="BW181" s="11">
        <v>3830000.0</v>
      </c>
      <c r="BX181" s="11">
        <v>3910000.0</v>
      </c>
      <c r="BY181" s="11">
        <v>3970000.0</v>
      </c>
      <c r="BZ181" s="11">
        <v>3590000.0</v>
      </c>
      <c r="CA181" s="11">
        <v>3830000.0</v>
      </c>
      <c r="CB181" s="11">
        <v>3440000.0</v>
      </c>
      <c r="CC181" s="11">
        <v>1850000.0</v>
      </c>
      <c r="CD181" s="11">
        <v>1910000.0</v>
      </c>
      <c r="CE181" s="11">
        <v>1840000.0</v>
      </c>
      <c r="CF181" s="11">
        <v>1730000.0</v>
      </c>
      <c r="CG181" s="12"/>
      <c r="CH181" s="11">
        <v>391050.0</v>
      </c>
      <c r="CI181" s="11">
        <v>716280.0</v>
      </c>
      <c r="CJ181" s="11">
        <v>697090.0</v>
      </c>
      <c r="CK181" s="11">
        <v>487170.0</v>
      </c>
      <c r="CL181" s="11">
        <v>7790000.0</v>
      </c>
      <c r="CM181" s="11">
        <v>6570000.0</v>
      </c>
      <c r="CN181" s="11">
        <v>7040000.0</v>
      </c>
      <c r="CO181" s="11">
        <v>6820000.0</v>
      </c>
      <c r="CP181" s="11">
        <v>6490000.0</v>
      </c>
      <c r="CQ181" s="11">
        <v>944190.0</v>
      </c>
      <c r="CR181" s="11">
        <v>1090000.0</v>
      </c>
      <c r="CS181" s="11">
        <v>1200000.0</v>
      </c>
      <c r="CT181" s="11">
        <v>1180000.0</v>
      </c>
      <c r="CU181" s="11">
        <v>1100000.0</v>
      </c>
      <c r="CV181" s="11">
        <v>2470000.0</v>
      </c>
      <c r="CW181" s="11">
        <v>463010.0</v>
      </c>
      <c r="CX181" s="12"/>
      <c r="CY181" s="13"/>
      <c r="CZ181" s="13"/>
      <c r="DA181" s="12"/>
      <c r="DB181" s="11">
        <v>2470000.0</v>
      </c>
      <c r="DC181" s="11">
        <v>2080000.0</v>
      </c>
      <c r="DD181" s="11">
        <v>2170000.0</v>
      </c>
      <c r="DE181" s="11">
        <v>2030000.0</v>
      </c>
      <c r="DF181" s="11">
        <v>6030000.0</v>
      </c>
      <c r="DG181" s="11">
        <v>4010000.0</v>
      </c>
      <c r="DH181" s="11">
        <v>4150000.0</v>
      </c>
      <c r="DI181" s="11">
        <v>4100000.0</v>
      </c>
      <c r="DJ181" s="11">
        <v>3930000.0</v>
      </c>
      <c r="DK181" s="11">
        <v>20380.0</v>
      </c>
      <c r="DL181" s="11">
        <v>20010.0</v>
      </c>
      <c r="DM181" s="11">
        <v>19520.0</v>
      </c>
      <c r="DN181" s="11">
        <v>89590.0</v>
      </c>
      <c r="DO181" s="11">
        <v>71290.0</v>
      </c>
      <c r="DP181" s="11">
        <v>3410000.0</v>
      </c>
      <c r="DQ181" s="11">
        <v>1490000.0</v>
      </c>
      <c r="DR181" s="11">
        <v>1490000.0</v>
      </c>
      <c r="DS181" s="11">
        <v>1490000.0</v>
      </c>
      <c r="DT181" s="11">
        <v>1490000.0</v>
      </c>
      <c r="DU181" s="13"/>
      <c r="DV181" s="12"/>
      <c r="DW181" s="12"/>
      <c r="DX181" s="12"/>
      <c r="DY181" s="12"/>
      <c r="DZ181" s="11">
        <v>1760000.0</v>
      </c>
      <c r="EA181" s="11">
        <v>2560000.0</v>
      </c>
      <c r="EB181" s="11">
        <v>2890000.0</v>
      </c>
      <c r="EC181" s="11">
        <v>2720000.0</v>
      </c>
      <c r="ED181" s="11">
        <v>2560000.0</v>
      </c>
      <c r="EE181" s="14">
        <v>0.094</v>
      </c>
      <c r="EF181" s="14">
        <v>0.108</v>
      </c>
      <c r="EG181" s="14">
        <v>-0.607</v>
      </c>
      <c r="EH181" s="14">
        <v>-4.862</v>
      </c>
    </row>
    <row r="182">
      <c r="A182" s="9">
        <f t="shared" si="2"/>
        <v>180</v>
      </c>
      <c r="B182" s="22" t="s">
        <v>316</v>
      </c>
      <c r="C182" s="11">
        <v>88550.0</v>
      </c>
      <c r="D182" s="11">
        <v>14510.0</v>
      </c>
      <c r="E182" s="11">
        <v>40560.0</v>
      </c>
      <c r="F182" s="12"/>
      <c r="G182" s="12"/>
      <c r="H182" s="12"/>
      <c r="I182" s="12"/>
      <c r="J182" s="11">
        <v>38060.0</v>
      </c>
      <c r="K182" s="12"/>
      <c r="L182" s="11">
        <v>-260.0</v>
      </c>
      <c r="M182" s="12"/>
      <c r="N182" s="12"/>
      <c r="O182" s="11">
        <v>304300.0</v>
      </c>
      <c r="P182" s="11">
        <v>183660.0</v>
      </c>
      <c r="Q182" s="11">
        <v>43600.0</v>
      </c>
      <c r="R182" s="12"/>
      <c r="S182" s="12"/>
      <c r="T182" s="11">
        <v>209950.0</v>
      </c>
      <c r="U182" s="11">
        <v>140070.0</v>
      </c>
      <c r="V182" s="11">
        <v>30560.0</v>
      </c>
      <c r="W182" s="12"/>
      <c r="X182" s="12"/>
      <c r="Y182" s="11">
        <v>-267310.0</v>
      </c>
      <c r="Z182" s="11">
        <v>18200.0</v>
      </c>
      <c r="AA182" s="12"/>
      <c r="AB182" s="12"/>
      <c r="AC182" s="12"/>
      <c r="AD182" s="11">
        <v>-288590.0</v>
      </c>
      <c r="AE182" s="11">
        <v>-169450.0</v>
      </c>
      <c r="AF182" s="11">
        <v>-43830.0</v>
      </c>
      <c r="AG182" s="12"/>
      <c r="AH182" s="12"/>
      <c r="AI182" s="11">
        <v>-266240.0</v>
      </c>
      <c r="AJ182" s="11">
        <v>-183660.0</v>
      </c>
      <c r="AK182" s="11">
        <v>-43600.0</v>
      </c>
      <c r="AL182" s="12"/>
      <c r="AM182" s="12"/>
      <c r="AN182" s="11">
        <v>-260590.0</v>
      </c>
      <c r="AO182" s="11">
        <v>-130750.0</v>
      </c>
      <c r="AP182" s="11">
        <v>-30570.0</v>
      </c>
      <c r="AQ182" s="12"/>
      <c r="AR182" s="12"/>
      <c r="AS182" s="11">
        <v>-253590.0</v>
      </c>
      <c r="AT182" s="11">
        <v>-136640.0</v>
      </c>
      <c r="AU182" s="11">
        <v>-40490.0</v>
      </c>
      <c r="AV182" s="12"/>
      <c r="AW182" s="12"/>
      <c r="AX182" s="11">
        <v>-5140.0</v>
      </c>
      <c r="AY182" s="11">
        <v>-18180.0</v>
      </c>
      <c r="AZ182" s="11">
        <v>-464.0</v>
      </c>
      <c r="BA182" s="12"/>
      <c r="BB182" s="12"/>
      <c r="BC182" s="12"/>
      <c r="BD182" s="12"/>
      <c r="BE182" s="12"/>
      <c r="BF182" s="12"/>
      <c r="BG182" s="12"/>
      <c r="BH182" s="11">
        <v>545990.0</v>
      </c>
      <c r="BI182" s="11">
        <v>436090.0</v>
      </c>
      <c r="BJ182" s="11">
        <v>92000.0</v>
      </c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1">
        <v>568620.0</v>
      </c>
      <c r="BX182" s="11">
        <v>445220.0</v>
      </c>
      <c r="BY182" s="11">
        <v>97130.0</v>
      </c>
      <c r="BZ182" s="12"/>
      <c r="CA182" s="12"/>
      <c r="CB182" s="11">
        <v>5630.0</v>
      </c>
      <c r="CC182" s="11">
        <v>1580.0</v>
      </c>
      <c r="CD182" s="11">
        <v>440.0</v>
      </c>
      <c r="CE182" s="12"/>
      <c r="CF182" s="12"/>
      <c r="CG182" s="12"/>
      <c r="CH182" s="12"/>
      <c r="CI182" s="12"/>
      <c r="CJ182" s="12"/>
      <c r="CK182" s="12"/>
      <c r="CL182" s="11">
        <v>631680.0</v>
      </c>
      <c r="CM182" s="11">
        <v>464940.0</v>
      </c>
      <c r="CN182" s="11">
        <v>98040.0</v>
      </c>
      <c r="CO182" s="12"/>
      <c r="CP182" s="12"/>
      <c r="CQ182" s="11">
        <v>8850.0</v>
      </c>
      <c r="CR182" s="11">
        <v>13510.0</v>
      </c>
      <c r="CS182" s="11">
        <v>1890.0</v>
      </c>
      <c r="CT182" s="12"/>
      <c r="CU182" s="12"/>
      <c r="CV182" s="11">
        <v>60390.0</v>
      </c>
      <c r="CW182" s="11">
        <v>8000.0</v>
      </c>
      <c r="CX182" s="12"/>
      <c r="CY182" s="12"/>
      <c r="CZ182" s="12"/>
      <c r="DA182" s="12"/>
      <c r="DB182" s="11">
        <v>60390.0</v>
      </c>
      <c r="DC182" s="11">
        <v>32580.0</v>
      </c>
      <c r="DD182" s="11">
        <v>8550.0</v>
      </c>
      <c r="DE182" s="12"/>
      <c r="DF182" s="11">
        <v>155700.0</v>
      </c>
      <c r="DG182" s="11">
        <v>87580.0</v>
      </c>
      <c r="DH182" s="11">
        <v>152730.0</v>
      </c>
      <c r="DI182" s="12"/>
      <c r="DJ182" s="12"/>
      <c r="DK182" s="11">
        <v>31570.0</v>
      </c>
      <c r="DL182" s="11">
        <v>17210.0</v>
      </c>
      <c r="DM182" s="11">
        <v>381.0</v>
      </c>
      <c r="DN182" s="12"/>
      <c r="DO182" s="12"/>
      <c r="DP182" s="11">
        <v>91790.0</v>
      </c>
      <c r="DQ182" s="11">
        <v>54510.0</v>
      </c>
      <c r="DR182" s="11">
        <v>143870.0</v>
      </c>
      <c r="DS182" s="12"/>
      <c r="DT182" s="12"/>
      <c r="DU182" s="13"/>
      <c r="DV182" s="12"/>
      <c r="DW182" s="11">
        <v>3410.0</v>
      </c>
      <c r="DX182" s="13"/>
      <c r="DY182" s="13"/>
      <c r="DZ182" s="11">
        <v>408450.0</v>
      </c>
      <c r="EA182" s="11">
        <v>314880.0</v>
      </c>
      <c r="EB182" s="11">
        <v>-58020.0</v>
      </c>
      <c r="EC182" s="12"/>
      <c r="ED182" s="12"/>
      <c r="EE182" s="23"/>
      <c r="EF182" s="14">
        <v>1.649</v>
      </c>
      <c r="EG182" s="14">
        <v>-0.338</v>
      </c>
      <c r="EH182" s="14">
        <v>-0.079</v>
      </c>
    </row>
    <row r="183">
      <c r="A183" s="9">
        <f t="shared" si="2"/>
        <v>181</v>
      </c>
      <c r="B183" s="10" t="s">
        <v>317</v>
      </c>
      <c r="C183" s="12"/>
      <c r="D183" s="12"/>
      <c r="E183" s="15">
        <v>3.422E7</v>
      </c>
      <c r="F183" s="15">
        <v>3.205E7</v>
      </c>
      <c r="G183" s="15">
        <v>2.85E7</v>
      </c>
      <c r="H183" s="15">
        <v>2.087E7</v>
      </c>
      <c r="I183" s="15">
        <v>2.837E7</v>
      </c>
      <c r="J183" s="15">
        <v>1.574E7</v>
      </c>
      <c r="K183" s="15">
        <v>1.45E7</v>
      </c>
      <c r="L183" s="15">
        <v>1.179E7</v>
      </c>
      <c r="M183" s="15">
        <v>4140000.0</v>
      </c>
      <c r="N183" s="15">
        <v>9300000.0</v>
      </c>
      <c r="O183" s="15">
        <v>3240000.0</v>
      </c>
      <c r="P183" s="15">
        <v>2680000.0</v>
      </c>
      <c r="Q183" s="15">
        <v>2590000.0</v>
      </c>
      <c r="R183" s="15">
        <v>2090000.0</v>
      </c>
      <c r="S183" s="15">
        <v>2480000.0</v>
      </c>
      <c r="T183" s="15">
        <v>0.0</v>
      </c>
      <c r="U183" s="15">
        <v>0.0</v>
      </c>
      <c r="V183" s="15">
        <v>0.0</v>
      </c>
      <c r="W183" s="15">
        <v>0.0</v>
      </c>
      <c r="X183" s="15">
        <v>0.0</v>
      </c>
      <c r="Y183" s="15">
        <v>1.182E7</v>
      </c>
      <c r="Z183" s="15">
        <v>-715730.0</v>
      </c>
      <c r="AA183" s="15">
        <v>-263420.0</v>
      </c>
      <c r="AB183" s="15">
        <v>-2980000.0</v>
      </c>
      <c r="AC183" s="15">
        <v>-2570000.0</v>
      </c>
      <c r="AD183" s="15">
        <v>1.132E7</v>
      </c>
      <c r="AE183" s="15">
        <v>1.048E7</v>
      </c>
      <c r="AF183" s="15">
        <v>8570000.0</v>
      </c>
      <c r="AG183" s="15">
        <v>-3480000.0</v>
      </c>
      <c r="AH183" s="15">
        <v>4770000.0</v>
      </c>
      <c r="AI183" s="15">
        <v>1.721E7</v>
      </c>
      <c r="AJ183" s="15">
        <v>1.649E7</v>
      </c>
      <c r="AK183" s="15">
        <v>1.434E7</v>
      </c>
      <c r="AL183" s="15">
        <v>7690000.0</v>
      </c>
      <c r="AM183" s="15">
        <v>1.293E7</v>
      </c>
      <c r="AN183" s="15">
        <v>6680000.0</v>
      </c>
      <c r="AO183" s="15">
        <v>4940000.0</v>
      </c>
      <c r="AP183" s="15">
        <v>5030000.0</v>
      </c>
      <c r="AQ183" s="15">
        <v>-4310000.0</v>
      </c>
      <c r="AR183" s="15">
        <v>2170000.0</v>
      </c>
      <c r="AS183" s="15">
        <v>1.381E7</v>
      </c>
      <c r="AT183" s="15">
        <v>1.372E7</v>
      </c>
      <c r="AU183" s="15">
        <v>1.325E7</v>
      </c>
      <c r="AV183" s="15">
        <v>7170000.0</v>
      </c>
      <c r="AW183" s="15">
        <v>1.226E7</v>
      </c>
      <c r="AX183" s="15">
        <v>-5500000.0</v>
      </c>
      <c r="AY183" s="15">
        <v>-4350000.0</v>
      </c>
      <c r="AZ183" s="15">
        <v>-3680000.0</v>
      </c>
      <c r="BA183" s="15">
        <v>-5210000.0</v>
      </c>
      <c r="BB183" s="15">
        <v>-8110000.0</v>
      </c>
      <c r="BC183" s="15">
        <v>-8800000.0</v>
      </c>
      <c r="BD183" s="15">
        <v>-3880000.0</v>
      </c>
      <c r="BE183" s="15">
        <v>-2300000.0</v>
      </c>
      <c r="BF183" s="15">
        <v>-2790000.0</v>
      </c>
      <c r="BG183" s="15">
        <v>-4130000.0</v>
      </c>
      <c r="BH183" s="15">
        <v>1.228E7</v>
      </c>
      <c r="BI183" s="15">
        <v>1.203E7</v>
      </c>
      <c r="BJ183" s="15">
        <v>1.095E7</v>
      </c>
      <c r="BK183" s="15">
        <v>7810000.0</v>
      </c>
      <c r="BL183" s="15">
        <v>4350000.0</v>
      </c>
      <c r="BM183" s="15">
        <v>2820000.0</v>
      </c>
      <c r="BN183" s="15">
        <v>2430000.0</v>
      </c>
      <c r="BO183" s="15">
        <v>2330000.0</v>
      </c>
      <c r="BP183" s="15">
        <v>2780000.0</v>
      </c>
      <c r="BQ183" s="15">
        <v>3170000.0</v>
      </c>
      <c r="BR183" s="15">
        <v>3020000.0</v>
      </c>
      <c r="BS183" s="15">
        <v>2850000.0</v>
      </c>
      <c r="BT183" s="15">
        <v>2830000.0</v>
      </c>
      <c r="BU183" s="15">
        <v>2550000.0</v>
      </c>
      <c r="BV183" s="15">
        <v>2730000.0</v>
      </c>
      <c r="BW183" s="15">
        <v>1.836E7</v>
      </c>
      <c r="BX183" s="15">
        <v>2.661E7</v>
      </c>
      <c r="BY183" s="15">
        <v>1.621E7</v>
      </c>
      <c r="BZ183" s="15">
        <v>1.325E7</v>
      </c>
      <c r="CA183" s="15">
        <v>1.041E7</v>
      </c>
      <c r="CB183" s="15">
        <v>5.219E7</v>
      </c>
      <c r="CC183" s="15">
        <v>4.966E7</v>
      </c>
      <c r="CD183" s="15">
        <v>6.087E7</v>
      </c>
      <c r="CE183" s="15">
        <v>6.155E7</v>
      </c>
      <c r="CF183" s="15">
        <v>5.894E7</v>
      </c>
      <c r="CG183" s="15">
        <v>194080.0</v>
      </c>
      <c r="CH183" s="15">
        <v>187090.0</v>
      </c>
      <c r="CI183" s="15">
        <v>2520000.0</v>
      </c>
      <c r="CJ183" s="15">
        <v>2450000.0</v>
      </c>
      <c r="CK183" s="15">
        <v>2080000.0</v>
      </c>
      <c r="CL183" s="15">
        <v>7.925E7</v>
      </c>
      <c r="CM183" s="15">
        <v>8.483E7</v>
      </c>
      <c r="CN183" s="15">
        <v>9.008E7</v>
      </c>
      <c r="CO183" s="15">
        <v>8.898E7</v>
      </c>
      <c r="CP183" s="15">
        <v>7.921E7</v>
      </c>
      <c r="CQ183" s="15">
        <v>5280000.0</v>
      </c>
      <c r="CR183" s="15">
        <v>4530000.0</v>
      </c>
      <c r="CS183" s="15">
        <v>4270000.0</v>
      </c>
      <c r="CT183" s="15">
        <v>4030000.0</v>
      </c>
      <c r="CU183" s="15">
        <v>4700000.0</v>
      </c>
      <c r="CV183" s="15">
        <v>9700000.0</v>
      </c>
      <c r="CW183" s="15">
        <v>67570.0</v>
      </c>
      <c r="CX183" s="15">
        <v>93160.0</v>
      </c>
      <c r="CY183" s="15">
        <v>34640.0</v>
      </c>
      <c r="CZ183" s="15">
        <v>32170.0</v>
      </c>
      <c r="DA183" s="15">
        <v>89020.0</v>
      </c>
      <c r="DB183" s="15">
        <v>9700000.0</v>
      </c>
      <c r="DC183" s="15">
        <v>1.06E7</v>
      </c>
      <c r="DD183" s="15">
        <v>8750000.0</v>
      </c>
      <c r="DE183" s="15">
        <v>9230000.0</v>
      </c>
      <c r="DF183" s="15">
        <v>3.853E7</v>
      </c>
      <c r="DG183" s="15">
        <v>3.887E7</v>
      </c>
      <c r="DH183" s="15">
        <v>4.179E7</v>
      </c>
      <c r="DI183" s="15">
        <v>4.405E7</v>
      </c>
      <c r="DJ183" s="15">
        <v>3.436E7</v>
      </c>
      <c r="DK183" s="15">
        <v>3040000.0</v>
      </c>
      <c r="DL183" s="15">
        <v>2630000.0</v>
      </c>
      <c r="DM183" s="15">
        <v>2870000.0</v>
      </c>
      <c r="DN183" s="15">
        <v>3930000.0</v>
      </c>
      <c r="DO183" s="15">
        <v>3100000.0</v>
      </c>
      <c r="DP183" s="15">
        <v>1.82E7</v>
      </c>
      <c r="DQ183" s="15">
        <v>1.823E7</v>
      </c>
      <c r="DR183" s="15">
        <v>2.251E7</v>
      </c>
      <c r="DS183" s="15">
        <v>2.376E7</v>
      </c>
      <c r="DT183" s="15">
        <v>1.778E7</v>
      </c>
      <c r="DU183" s="16">
        <v>0.0</v>
      </c>
      <c r="DV183" s="15">
        <v>0.0</v>
      </c>
      <c r="DW183" s="15">
        <v>0.0</v>
      </c>
      <c r="DX183" s="16">
        <v>0.0</v>
      </c>
      <c r="DY183" s="16">
        <v>0.0</v>
      </c>
      <c r="DZ183" s="15">
        <v>3.712E7</v>
      </c>
      <c r="EA183" s="15">
        <v>4.211E7</v>
      </c>
      <c r="EB183" s="15">
        <v>4.408E7</v>
      </c>
      <c r="EC183" s="15">
        <v>4.061E7</v>
      </c>
      <c r="ED183" s="15">
        <v>4.118E7</v>
      </c>
      <c r="EE183" s="23"/>
      <c r="EF183" s="23"/>
      <c r="EG183" s="23" t="s">
        <v>155</v>
      </c>
      <c r="EH183" s="23"/>
    </row>
    <row r="184">
      <c r="A184" s="9">
        <f t="shared" si="2"/>
        <v>182</v>
      </c>
      <c r="B184" s="10" t="s">
        <v>318</v>
      </c>
      <c r="C184" s="11">
        <v>339240.0</v>
      </c>
      <c r="D184" s="11">
        <v>234630.0</v>
      </c>
      <c r="E184" s="11">
        <v>338540.0</v>
      </c>
      <c r="F184" s="11">
        <v>336590.0</v>
      </c>
      <c r="G184" s="11">
        <v>357870.0</v>
      </c>
      <c r="H184" s="11">
        <v>364200.0</v>
      </c>
      <c r="I184" s="11">
        <v>377690.0</v>
      </c>
      <c r="J184" s="11">
        <v>153420.0</v>
      </c>
      <c r="K184" s="11">
        <v>143950.0</v>
      </c>
      <c r="L184" s="11">
        <v>168970.0</v>
      </c>
      <c r="M184" s="11">
        <v>168340.0</v>
      </c>
      <c r="N184" s="11">
        <v>179220.0</v>
      </c>
      <c r="O184" s="11">
        <v>151740.0</v>
      </c>
      <c r="P184" s="11">
        <v>155500.0</v>
      </c>
      <c r="Q184" s="11">
        <v>154150.0</v>
      </c>
      <c r="R184" s="11">
        <v>160020.0</v>
      </c>
      <c r="S184" s="11">
        <v>158860.0</v>
      </c>
      <c r="T184" s="11"/>
      <c r="U184" s="11"/>
      <c r="V184" s="11"/>
      <c r="W184" s="11"/>
      <c r="X184" s="11"/>
      <c r="Y184" s="11"/>
      <c r="Z184" s="11">
        <v>-17420.0</v>
      </c>
      <c r="AA184" s="11">
        <v>14720.0</v>
      </c>
      <c r="AB184" s="11">
        <v>5610.0</v>
      </c>
      <c r="AC184" s="11">
        <v>20060.0</v>
      </c>
      <c r="AD184" s="11">
        <v>1560.0</v>
      </c>
      <c r="AE184" s="11">
        <v>-18510.0</v>
      </c>
      <c r="AF184" s="11">
        <v>13810.0</v>
      </c>
      <c r="AG184" s="11">
        <v>5310.0</v>
      </c>
      <c r="AH184" s="11">
        <v>17900.0</v>
      </c>
      <c r="AI184" s="11">
        <v>15380.0</v>
      </c>
      <c r="AJ184" s="11">
        <v>4490.0</v>
      </c>
      <c r="AK184" s="11">
        <v>30990.0</v>
      </c>
      <c r="AL184" s="11">
        <v>24490.0</v>
      </c>
      <c r="AM184" s="11">
        <v>36770.0</v>
      </c>
      <c r="AN184" s="11">
        <v>261.0</v>
      </c>
      <c r="AO184" s="11">
        <v>-17930.0</v>
      </c>
      <c r="AP184" s="11">
        <v>7820.0</v>
      </c>
      <c r="AQ184" s="11">
        <v>1350.0</v>
      </c>
      <c r="AR184" s="11">
        <v>26830.0</v>
      </c>
      <c r="AS184" s="11">
        <v>21610.0</v>
      </c>
      <c r="AT184" s="11">
        <v>9680.0</v>
      </c>
      <c r="AU184" s="11">
        <v>21090.0</v>
      </c>
      <c r="AV184" s="11">
        <v>16010.0</v>
      </c>
      <c r="AW184" s="11">
        <v>32050.0</v>
      </c>
      <c r="AX184" s="11">
        <v>-12380.0</v>
      </c>
      <c r="AY184" s="11">
        <v>-11250.0</v>
      </c>
      <c r="AZ184" s="11">
        <v>-18070.0</v>
      </c>
      <c r="BA184" s="11">
        <v>-28120.0</v>
      </c>
      <c r="BB184" s="11">
        <v>-24390.0</v>
      </c>
      <c r="BC184" s="12"/>
      <c r="BD184" s="12"/>
      <c r="BE184" s="12"/>
      <c r="BF184" s="12"/>
      <c r="BG184" s="12"/>
      <c r="BH184" s="11">
        <v>26730.0</v>
      </c>
      <c r="BI184" s="11">
        <v>17890.0</v>
      </c>
      <c r="BJ184" s="11">
        <v>30450.0</v>
      </c>
      <c r="BK184" s="11">
        <v>32480.0</v>
      </c>
      <c r="BL184" s="11">
        <v>46650.0</v>
      </c>
      <c r="BM184" s="11">
        <v>11530.0</v>
      </c>
      <c r="BN184" s="11">
        <v>10590.0</v>
      </c>
      <c r="BO184" s="11">
        <v>13300.0</v>
      </c>
      <c r="BP184" s="11">
        <v>12940.0</v>
      </c>
      <c r="BQ184" s="11">
        <v>13350.0</v>
      </c>
      <c r="BR184" s="11">
        <v>53380.0</v>
      </c>
      <c r="BS184" s="11">
        <v>58360.0</v>
      </c>
      <c r="BT184" s="11">
        <v>53140.0</v>
      </c>
      <c r="BU184" s="11">
        <v>51890.0</v>
      </c>
      <c r="BV184" s="11">
        <v>53880.0</v>
      </c>
      <c r="BW184" s="11">
        <v>98750.0</v>
      </c>
      <c r="BX184" s="11">
        <v>99800.0</v>
      </c>
      <c r="BY184" s="11">
        <v>110230.0</v>
      </c>
      <c r="BZ184" s="11">
        <v>110040.0</v>
      </c>
      <c r="CA184" s="11">
        <v>128730.0</v>
      </c>
      <c r="CB184" s="11">
        <v>192000.0</v>
      </c>
      <c r="CC184" s="11">
        <v>66370.0</v>
      </c>
      <c r="CD184" s="11">
        <v>77750.0</v>
      </c>
      <c r="CE184" s="11">
        <v>74920.0</v>
      </c>
      <c r="CF184" s="11">
        <v>67740.0</v>
      </c>
      <c r="CG184" s="11"/>
      <c r="CH184" s="11"/>
      <c r="CI184" s="11"/>
      <c r="CJ184" s="11"/>
      <c r="CK184" s="11"/>
      <c r="CL184" s="11">
        <v>336340.0</v>
      </c>
      <c r="CM184" s="11">
        <v>178500.0</v>
      </c>
      <c r="CN184" s="11">
        <v>201660.0</v>
      </c>
      <c r="CO184" s="11">
        <v>206950.0</v>
      </c>
      <c r="CP184" s="11">
        <v>219730.0</v>
      </c>
      <c r="CQ184" s="11">
        <v>15680.0</v>
      </c>
      <c r="CR184" s="11">
        <v>22550.0</v>
      </c>
      <c r="CS184" s="11">
        <v>18940.0</v>
      </c>
      <c r="CT184" s="11">
        <v>27860.0</v>
      </c>
      <c r="CU184" s="11">
        <v>42550.0</v>
      </c>
      <c r="CV184" s="11">
        <v>85960.0</v>
      </c>
      <c r="CW184" s="11">
        <v>30910.0</v>
      </c>
      <c r="CX184" s="12"/>
      <c r="CY184" s="13"/>
      <c r="CZ184" s="13"/>
      <c r="DA184" s="12"/>
      <c r="DB184" s="11">
        <v>85960.0</v>
      </c>
      <c r="DC184" s="11">
        <v>56180.0</v>
      </c>
      <c r="DD184" s="11">
        <v>69860.0</v>
      </c>
      <c r="DE184" s="11">
        <v>82860.0</v>
      </c>
      <c r="DF184" s="11">
        <v>247710.0</v>
      </c>
      <c r="DG184" s="11">
        <v>84190.0</v>
      </c>
      <c r="DH184" s="11">
        <v>94350.0</v>
      </c>
      <c r="DI184" s="11">
        <v>107840.0</v>
      </c>
      <c r="DJ184" s="11">
        <v>120320.0</v>
      </c>
      <c r="DK184" s="12"/>
      <c r="DL184" s="12"/>
      <c r="DM184" s="12"/>
      <c r="DN184" s="12"/>
      <c r="DO184" s="12"/>
      <c r="DP184" s="11">
        <v>119630.0</v>
      </c>
      <c r="DQ184" s="11"/>
      <c r="DR184" s="11"/>
      <c r="DS184" s="11"/>
      <c r="DT184" s="11"/>
      <c r="DU184" s="13"/>
      <c r="DV184" s="12"/>
      <c r="DW184" s="12"/>
      <c r="DX184" s="12"/>
      <c r="DY184" s="12"/>
      <c r="DZ184" s="11">
        <v>88630.0</v>
      </c>
      <c r="EA184" s="11">
        <v>94310.0</v>
      </c>
      <c r="EB184" s="11">
        <v>107320.0</v>
      </c>
      <c r="EC184" s="11">
        <v>99110.0</v>
      </c>
      <c r="ED184" s="11">
        <v>99410.0</v>
      </c>
      <c r="EE184" s="14">
        <v>0.207</v>
      </c>
      <c r="EF184" s="14">
        <v>0.038</v>
      </c>
      <c r="EG184" s="14">
        <v>-0.804</v>
      </c>
      <c r="EH184" s="14">
        <v>-1.932</v>
      </c>
    </row>
    <row r="185">
      <c r="A185" s="9">
        <f t="shared" si="2"/>
        <v>183</v>
      </c>
      <c r="B185" s="10" t="s">
        <v>319</v>
      </c>
      <c r="C185" s="11">
        <v>4.503E7</v>
      </c>
      <c r="D185" s="11">
        <v>4.365E7</v>
      </c>
      <c r="E185" s="11">
        <v>4.364E7</v>
      </c>
      <c r="F185" s="11">
        <v>4.288E7</v>
      </c>
      <c r="G185" s="11">
        <v>4.215E7</v>
      </c>
      <c r="H185" s="11">
        <v>3.94E7</v>
      </c>
      <c r="I185" s="11">
        <v>3.953E7</v>
      </c>
      <c r="J185" s="11">
        <v>9980000.0</v>
      </c>
      <c r="K185" s="11">
        <v>9960000.0</v>
      </c>
      <c r="L185" s="11">
        <v>9880000.0</v>
      </c>
      <c r="M185" s="11">
        <v>9280000.0</v>
      </c>
      <c r="N185" s="11">
        <v>9110000.0</v>
      </c>
      <c r="O185" s="11">
        <v>7940000.0</v>
      </c>
      <c r="P185" s="11">
        <v>8000000.0</v>
      </c>
      <c r="Q185" s="11">
        <v>8010000.0</v>
      </c>
      <c r="R185" s="11">
        <v>7540000.0</v>
      </c>
      <c r="S185" s="11">
        <v>7620000.0</v>
      </c>
      <c r="T185" s="11"/>
      <c r="U185" s="11"/>
      <c r="V185" s="11"/>
      <c r="W185" s="11"/>
      <c r="X185" s="11"/>
      <c r="Y185" s="11">
        <v>1990000.0</v>
      </c>
      <c r="Z185" s="11">
        <v>1900000.0</v>
      </c>
      <c r="AA185" s="11">
        <v>1840000.0</v>
      </c>
      <c r="AB185" s="11">
        <v>1850000.0</v>
      </c>
      <c r="AC185" s="11">
        <v>1380000.0</v>
      </c>
      <c r="AD185" s="11">
        <v>1990000.0</v>
      </c>
      <c r="AE185" s="11">
        <v>1890000.0</v>
      </c>
      <c r="AF185" s="11">
        <v>1820000.0</v>
      </c>
      <c r="AG185" s="11">
        <v>1820000.0</v>
      </c>
      <c r="AH185" s="11">
        <v>1310000.0</v>
      </c>
      <c r="AI185" s="11">
        <v>2850000.0</v>
      </c>
      <c r="AJ185" s="11">
        <v>2730000.0</v>
      </c>
      <c r="AK185" s="11">
        <v>2550000.0</v>
      </c>
      <c r="AL185" s="11">
        <v>2390000.0</v>
      </c>
      <c r="AM185" s="11">
        <v>2140000.0</v>
      </c>
      <c r="AN185" s="11">
        <v>1540000.0</v>
      </c>
      <c r="AO185" s="11">
        <v>1460000.0</v>
      </c>
      <c r="AP185" s="11">
        <v>999000.0</v>
      </c>
      <c r="AQ185" s="11">
        <v>1210000.0</v>
      </c>
      <c r="AR185" s="11">
        <v>807000.0</v>
      </c>
      <c r="AS185" s="11">
        <v>2570000.0</v>
      </c>
      <c r="AT185" s="11">
        <v>2410000.0</v>
      </c>
      <c r="AU185" s="11">
        <v>2140000.0</v>
      </c>
      <c r="AV185" s="11">
        <v>2550000.0</v>
      </c>
      <c r="AW185" s="11">
        <v>1320000.0</v>
      </c>
      <c r="AX185" s="11">
        <v>-743000.0</v>
      </c>
      <c r="AY185" s="11">
        <v>-819000.0</v>
      </c>
      <c r="AZ185" s="11">
        <v>-688000.0</v>
      </c>
      <c r="BA185" s="11">
        <v>-582000.0</v>
      </c>
      <c r="BB185" s="11">
        <v>-649000.0</v>
      </c>
      <c r="BC185" s="11">
        <v>-527000.0</v>
      </c>
      <c r="BD185" s="11">
        <v>-497000.0</v>
      </c>
      <c r="BE185" s="11">
        <v>-409000.0</v>
      </c>
      <c r="BF185" s="11">
        <v>-505000.0</v>
      </c>
      <c r="BG185" s="11">
        <v>-499000.0</v>
      </c>
      <c r="BH185" s="11">
        <v>2470000.0</v>
      </c>
      <c r="BI185" s="11">
        <v>2180000.0</v>
      </c>
      <c r="BJ185" s="11">
        <v>3330000.0</v>
      </c>
      <c r="BK185" s="11">
        <v>4110000.0</v>
      </c>
      <c r="BL185" s="11">
        <v>3470000.0</v>
      </c>
      <c r="BM185" s="11">
        <v>1150000.0</v>
      </c>
      <c r="BN185" s="11">
        <v>1020000.0</v>
      </c>
      <c r="BO185" s="11">
        <v>1050000.0</v>
      </c>
      <c r="BP185" s="11">
        <v>1350000.0</v>
      </c>
      <c r="BQ185" s="11">
        <v>1160000.0</v>
      </c>
      <c r="BR185" s="11">
        <v>5170000.0</v>
      </c>
      <c r="BS185" s="11">
        <v>5410000.0</v>
      </c>
      <c r="BT185" s="11">
        <v>5210000.0</v>
      </c>
      <c r="BU185" s="11">
        <v>4860000.0</v>
      </c>
      <c r="BV185" s="11">
        <v>5050000.0</v>
      </c>
      <c r="BW185" s="11">
        <v>8860000.0</v>
      </c>
      <c r="BX185" s="11">
        <v>8870000.0</v>
      </c>
      <c r="BY185" s="11">
        <v>9830000.0</v>
      </c>
      <c r="BZ185" s="11">
        <v>1.052E7</v>
      </c>
      <c r="CA185" s="11">
        <v>9890000.0</v>
      </c>
      <c r="CB185" s="11">
        <v>5040000.0</v>
      </c>
      <c r="CC185" s="11">
        <v>2510000.0</v>
      </c>
      <c r="CD185" s="11">
        <v>2420000.0</v>
      </c>
      <c r="CE185" s="11">
        <v>2290000.0</v>
      </c>
      <c r="CF185" s="11">
        <v>2350000.0</v>
      </c>
      <c r="CG185" s="11">
        <v>984000.0</v>
      </c>
      <c r="CH185" s="11">
        <v>915000.0</v>
      </c>
      <c r="CI185" s="11">
        <v>425000.0</v>
      </c>
      <c r="CJ185" s="11">
        <v>425000.0</v>
      </c>
      <c r="CK185" s="11">
        <v>425000.0</v>
      </c>
      <c r="CL185" s="11">
        <v>1.559E7</v>
      </c>
      <c r="CM185" s="11">
        <v>1.317E7</v>
      </c>
      <c r="CN185" s="11">
        <v>1.328E7</v>
      </c>
      <c r="CO185" s="11">
        <v>1.422E7</v>
      </c>
      <c r="CP185" s="11">
        <v>1.352E7</v>
      </c>
      <c r="CQ185" s="11">
        <v>5290000.0</v>
      </c>
      <c r="CR185" s="11">
        <v>5260000.0</v>
      </c>
      <c r="CS185" s="11">
        <v>4870000.0</v>
      </c>
      <c r="CT185" s="11">
        <v>4980000.0</v>
      </c>
      <c r="CU185" s="11">
        <v>4450000.0</v>
      </c>
      <c r="CV185" s="11">
        <v>8060000.0</v>
      </c>
      <c r="CW185" s="11">
        <v>660000.0</v>
      </c>
      <c r="CX185" s="11"/>
      <c r="CY185" s="13"/>
      <c r="CZ185" s="13"/>
      <c r="DA185" s="11"/>
      <c r="DB185" s="11">
        <v>8060000.0</v>
      </c>
      <c r="DC185" s="11">
        <v>7510000.0</v>
      </c>
      <c r="DD185" s="11">
        <v>7820000.0</v>
      </c>
      <c r="DE185" s="11">
        <v>7120000.0</v>
      </c>
      <c r="DF185" s="11">
        <v>1.211E7</v>
      </c>
      <c r="DG185" s="11">
        <v>9870000.0</v>
      </c>
      <c r="DH185" s="11">
        <v>9670000.0</v>
      </c>
      <c r="DI185" s="11">
        <v>9510000.0</v>
      </c>
      <c r="DJ185" s="11">
        <v>9140000.0</v>
      </c>
      <c r="DK185" s="11">
        <v>89000.0</v>
      </c>
      <c r="DL185" s="11">
        <v>26000.0</v>
      </c>
      <c r="DM185" s="11"/>
      <c r="DN185" s="12"/>
      <c r="DO185" s="12"/>
      <c r="DP185" s="11">
        <v>3400000.0</v>
      </c>
      <c r="DQ185" s="11">
        <v>1330000.0</v>
      </c>
      <c r="DR185" s="11">
        <v>811000.0</v>
      </c>
      <c r="DS185" s="11">
        <v>1320000.0</v>
      </c>
      <c r="DT185" s="11">
        <v>1340000.0</v>
      </c>
      <c r="DU185" s="13"/>
      <c r="DV185" s="12"/>
      <c r="DW185" s="12"/>
      <c r="DX185" s="12"/>
      <c r="DY185" s="12"/>
      <c r="DZ185" s="11">
        <v>3480000.0</v>
      </c>
      <c r="EA185" s="11">
        <v>3310000.0</v>
      </c>
      <c r="EB185" s="11">
        <v>3610000.0</v>
      </c>
      <c r="EC185" s="11">
        <v>4710000.0</v>
      </c>
      <c r="ED185" s="11">
        <v>4380000.0</v>
      </c>
      <c r="EE185" s="14">
        <v>0.088</v>
      </c>
      <c r="EF185" s="14">
        <v>0.106</v>
      </c>
      <c r="EG185" s="14">
        <v>0.426</v>
      </c>
      <c r="EH185" s="14">
        <v>0.167</v>
      </c>
    </row>
    <row r="186">
      <c r="A186" s="9">
        <f t="shared" si="2"/>
        <v>184</v>
      </c>
      <c r="B186" s="25" t="s">
        <v>320</v>
      </c>
      <c r="C186" s="15">
        <v>4360000.0</v>
      </c>
      <c r="D186" s="15">
        <v>3980000.0</v>
      </c>
      <c r="E186" s="15">
        <v>4110000.0</v>
      </c>
      <c r="F186" s="15">
        <v>4120000.0</v>
      </c>
      <c r="G186" s="15">
        <v>4840000.0</v>
      </c>
      <c r="H186" s="15">
        <v>4150000.0</v>
      </c>
      <c r="I186" s="15">
        <v>4110000.0</v>
      </c>
      <c r="J186" s="15">
        <v>1080000.0</v>
      </c>
      <c r="K186" s="15">
        <v>1030000.0</v>
      </c>
      <c r="L186" s="15">
        <v>1280000.0</v>
      </c>
      <c r="M186" s="15">
        <v>1180000.0</v>
      </c>
      <c r="N186" s="15">
        <v>1100000.0</v>
      </c>
      <c r="O186" s="15">
        <v>599100.0</v>
      </c>
      <c r="P186" s="15">
        <v>610900.0</v>
      </c>
      <c r="Q186" s="15">
        <v>777400.0</v>
      </c>
      <c r="R186" s="15">
        <v>703100.0</v>
      </c>
      <c r="S186" s="15">
        <v>688200.0</v>
      </c>
      <c r="T186" s="15">
        <v>121600.0</v>
      </c>
      <c r="U186" s="15">
        <v>121500.0</v>
      </c>
      <c r="V186" s="15">
        <v>146400.0</v>
      </c>
      <c r="W186" s="15">
        <v>131000.0</v>
      </c>
      <c r="X186" s="15">
        <v>125900.0</v>
      </c>
      <c r="Y186" s="15">
        <v>459000.0</v>
      </c>
      <c r="Z186" s="15">
        <v>-64300.0</v>
      </c>
      <c r="AA186" s="15">
        <v>-202300.0</v>
      </c>
      <c r="AB186" s="15">
        <v>-68500.0</v>
      </c>
      <c r="AC186" s="15">
        <v>322600.0</v>
      </c>
      <c r="AD186" s="15">
        <v>110700.0</v>
      </c>
      <c r="AE186" s="15">
        <v>310700.0</v>
      </c>
      <c r="AF186" s="15">
        <v>281200.0</v>
      </c>
      <c r="AG186" s="15">
        <v>389000.0</v>
      </c>
      <c r="AH186" s="15">
        <v>315200.0</v>
      </c>
      <c r="AI186" s="15">
        <v>617900.0</v>
      </c>
      <c r="AJ186" s="15">
        <v>542700.0</v>
      </c>
      <c r="AK186" s="15">
        <v>615900.0</v>
      </c>
      <c r="AL186" s="15">
        <v>568500.0</v>
      </c>
      <c r="AM186" s="15">
        <v>499400.0</v>
      </c>
      <c r="AN186" s="15">
        <v>30400.0</v>
      </c>
      <c r="AO186" s="15">
        <v>253400.0</v>
      </c>
      <c r="AP186" s="15">
        <v>146400.0</v>
      </c>
      <c r="AQ186" s="15">
        <v>272600.0</v>
      </c>
      <c r="AR186" s="15">
        <v>227400.0</v>
      </c>
      <c r="AS186" s="15">
        <v>434200.0</v>
      </c>
      <c r="AT186" s="15">
        <v>337000.0</v>
      </c>
      <c r="AU186" s="15">
        <v>400300.0</v>
      </c>
      <c r="AV186" s="15">
        <v>435300.0</v>
      </c>
      <c r="AW186" s="15">
        <v>323500.0</v>
      </c>
      <c r="AX186" s="15">
        <v>-232600.0</v>
      </c>
      <c r="AY186" s="15">
        <v>-180200.0</v>
      </c>
      <c r="AZ186" s="15">
        <v>-203200.0</v>
      </c>
      <c r="BA186" s="15">
        <v>-172500.0</v>
      </c>
      <c r="BB186" s="15">
        <v>-132500.0</v>
      </c>
      <c r="BC186" s="15">
        <v>-73400.0</v>
      </c>
      <c r="BD186" s="15">
        <v>-67800.0</v>
      </c>
      <c r="BE186" s="15">
        <v>-60600.0</v>
      </c>
      <c r="BF186" s="15">
        <v>-55400.0</v>
      </c>
      <c r="BG186" s="15">
        <v>-48300.0</v>
      </c>
      <c r="BH186" s="15">
        <v>332700.0</v>
      </c>
      <c r="BI186" s="15">
        <v>304200.0</v>
      </c>
      <c r="BJ186" s="15">
        <v>459000.0</v>
      </c>
      <c r="BK186" s="15">
        <v>469400.0</v>
      </c>
      <c r="BL186" s="15">
        <v>681500.0</v>
      </c>
      <c r="BM186" s="15">
        <v>331800.0</v>
      </c>
      <c r="BN186" s="15">
        <v>351800.0</v>
      </c>
      <c r="BO186" s="15">
        <v>485300.0</v>
      </c>
      <c r="BP186" s="15">
        <v>411500.0</v>
      </c>
      <c r="BQ186" s="15">
        <v>398100.0</v>
      </c>
      <c r="BR186" s="15">
        <v>824500.0</v>
      </c>
      <c r="BS186" s="15">
        <v>774000.0</v>
      </c>
      <c r="BT186" s="15">
        <v>827700.0</v>
      </c>
      <c r="BU186" s="15">
        <v>699000.0</v>
      </c>
      <c r="BV186" s="15">
        <v>685000.0</v>
      </c>
      <c r="BW186" s="15">
        <v>1530000.0</v>
      </c>
      <c r="BX186" s="15">
        <v>1880000.0</v>
      </c>
      <c r="BY186" s="15">
        <v>1850000.0</v>
      </c>
      <c r="BZ186" s="15">
        <v>1690000.0</v>
      </c>
      <c r="CA186" s="15">
        <v>1980000.0</v>
      </c>
      <c r="CB186" s="15">
        <v>879600.0</v>
      </c>
      <c r="CC186" s="15">
        <v>694500.0</v>
      </c>
      <c r="CD186" s="15">
        <v>706000.0</v>
      </c>
      <c r="CE186" s="15">
        <v>569000.0</v>
      </c>
      <c r="CF186" s="15">
        <v>505200.0</v>
      </c>
      <c r="CG186" s="15">
        <v>415000.0</v>
      </c>
      <c r="CH186" s="15">
        <v>377300.0</v>
      </c>
      <c r="CI186" s="15">
        <v>425300.0</v>
      </c>
      <c r="CJ186" s="15">
        <v>413800.0</v>
      </c>
      <c r="CK186" s="15">
        <v>298700.0</v>
      </c>
      <c r="CL186" s="15">
        <v>3560000.0</v>
      </c>
      <c r="CM186" s="15">
        <v>4290000.0</v>
      </c>
      <c r="CN186" s="15">
        <v>3360000.0</v>
      </c>
      <c r="CO186" s="15">
        <v>3280000.0</v>
      </c>
      <c r="CP186" s="15">
        <v>3150000.0</v>
      </c>
      <c r="CQ186" s="15">
        <v>393500.0</v>
      </c>
      <c r="CR186" s="15">
        <v>458200.0</v>
      </c>
      <c r="CS186" s="15">
        <v>420500.0</v>
      </c>
      <c r="CT186" s="15">
        <v>378200.0</v>
      </c>
      <c r="CU186" s="15">
        <v>339100.0</v>
      </c>
      <c r="CV186" s="15">
        <v>944400.0</v>
      </c>
      <c r="CW186" s="15">
        <v>18400.0</v>
      </c>
      <c r="CX186" s="15"/>
      <c r="CY186" s="15"/>
      <c r="CZ186" s="15"/>
      <c r="DA186" s="15"/>
      <c r="DB186" s="15">
        <v>944400.0</v>
      </c>
      <c r="DC186" s="15">
        <v>1260000.0</v>
      </c>
      <c r="DD186" s="15">
        <v>1040000.0</v>
      </c>
      <c r="DE186" s="15">
        <v>964900.0</v>
      </c>
      <c r="DF186" s="15">
        <v>2260000.0</v>
      </c>
      <c r="DG186" s="15">
        <v>2710000.0</v>
      </c>
      <c r="DH186" s="15">
        <v>1880000.0</v>
      </c>
      <c r="DI186" s="15">
        <v>1840000.0</v>
      </c>
      <c r="DJ186" s="15">
        <v>1870000.0</v>
      </c>
      <c r="DK186" s="15">
        <v>29500.0</v>
      </c>
      <c r="DL186" s="15">
        <v>32600.0</v>
      </c>
      <c r="DM186" s="15">
        <v>25800.0</v>
      </c>
      <c r="DN186" s="15">
        <v>21400.0</v>
      </c>
      <c r="DO186" s="15">
        <v>25500.0</v>
      </c>
      <c r="DP186" s="15">
        <v>1140000.0</v>
      </c>
      <c r="DQ186" s="15">
        <v>1180000.0</v>
      </c>
      <c r="DR186" s="15">
        <v>431800.0</v>
      </c>
      <c r="DS186" s="15">
        <v>433800.0</v>
      </c>
      <c r="DT186" s="15">
        <v>442500.0</v>
      </c>
      <c r="DU186" s="13"/>
      <c r="DV186" s="12"/>
      <c r="DW186" s="12"/>
      <c r="DX186" s="13"/>
      <c r="DY186" s="13"/>
      <c r="DZ186" s="15">
        <v>1300000.0</v>
      </c>
      <c r="EA186" s="15">
        <v>1580000.0</v>
      </c>
      <c r="EB186" s="15">
        <v>1480000.0</v>
      </c>
      <c r="EC186" s="15">
        <v>1440000.0</v>
      </c>
      <c r="ED186" s="15">
        <v>1280000.0</v>
      </c>
      <c r="EE186" s="17">
        <v>0.173</v>
      </c>
      <c r="EF186" s="17">
        <v>0.167</v>
      </c>
      <c r="EG186" s="17">
        <v>1.2</v>
      </c>
      <c r="EH186" s="17">
        <v>0.378</v>
      </c>
    </row>
    <row r="187">
      <c r="A187" s="9">
        <f t="shared" si="2"/>
        <v>185</v>
      </c>
      <c r="B187" s="10" t="s">
        <v>321</v>
      </c>
      <c r="C187" s="11">
        <v>4910000.0</v>
      </c>
      <c r="D187" s="11">
        <v>4710000.0</v>
      </c>
      <c r="E187" s="11">
        <v>4640000.0</v>
      </c>
      <c r="F187" s="11">
        <v>5000000.0</v>
      </c>
      <c r="G187" s="11">
        <v>4430000.0</v>
      </c>
      <c r="H187" s="11">
        <v>3910000.0</v>
      </c>
      <c r="I187" s="11">
        <v>3630000.0</v>
      </c>
      <c r="J187" s="11">
        <v>597490.0</v>
      </c>
      <c r="K187" s="11">
        <v>540860.0</v>
      </c>
      <c r="L187" s="11">
        <v>532040.0</v>
      </c>
      <c r="M187" s="11">
        <v>439940.0</v>
      </c>
      <c r="N187" s="11">
        <v>424320.0</v>
      </c>
      <c r="O187" s="11">
        <v>461810.0</v>
      </c>
      <c r="P187" s="11">
        <v>431950.0</v>
      </c>
      <c r="Q187" s="11">
        <v>390250.0</v>
      </c>
      <c r="R187" s="11">
        <v>357780.0</v>
      </c>
      <c r="S187" s="11">
        <v>322730.0</v>
      </c>
      <c r="T187" s="11"/>
      <c r="U187" s="11"/>
      <c r="V187" s="11"/>
      <c r="W187" s="11"/>
      <c r="X187" s="11"/>
      <c r="Y187" s="11">
        <v>132710.0</v>
      </c>
      <c r="Z187" s="11">
        <v>109460.0</v>
      </c>
      <c r="AA187" s="11">
        <v>538.0</v>
      </c>
      <c r="AB187" s="11">
        <v>68460.0</v>
      </c>
      <c r="AC187" s="11"/>
      <c r="AD187" s="11">
        <v>108230.0</v>
      </c>
      <c r="AE187" s="11">
        <v>22100.0</v>
      </c>
      <c r="AF187" s="11">
        <v>117590.0</v>
      </c>
      <c r="AG187" s="11">
        <v>43300.0</v>
      </c>
      <c r="AH187" s="11">
        <v>80680.0</v>
      </c>
      <c r="AI187" s="11">
        <v>215820.0</v>
      </c>
      <c r="AJ187" s="11">
        <v>255750.0</v>
      </c>
      <c r="AK187" s="11">
        <v>222170.0</v>
      </c>
      <c r="AL187" s="11">
        <v>155000.0</v>
      </c>
      <c r="AM187" s="11">
        <v>157160.0</v>
      </c>
      <c r="AN187" s="11">
        <v>80930.0</v>
      </c>
      <c r="AO187" s="11">
        <v>20480.0</v>
      </c>
      <c r="AP187" s="11">
        <v>82960.0</v>
      </c>
      <c r="AQ187" s="11">
        <v>38250.0</v>
      </c>
      <c r="AR187" s="11">
        <v>52180.0</v>
      </c>
      <c r="AS187" s="11">
        <v>245650.0</v>
      </c>
      <c r="AT187" s="11">
        <v>163610.0</v>
      </c>
      <c r="AU187" s="11">
        <v>151570.0</v>
      </c>
      <c r="AV187" s="11">
        <v>151910.0</v>
      </c>
      <c r="AW187" s="11">
        <v>80330.0</v>
      </c>
      <c r="AX187" s="11">
        <v>-82720.0</v>
      </c>
      <c r="AY187" s="11">
        <v>-79990.0</v>
      </c>
      <c r="AZ187" s="11">
        <v>-75450.0</v>
      </c>
      <c r="BA187" s="11">
        <v>-83580.0</v>
      </c>
      <c r="BB187" s="11">
        <v>-87530.0</v>
      </c>
      <c r="BC187" s="11">
        <v>-53950.0</v>
      </c>
      <c r="BD187" s="11">
        <v>-50620.0</v>
      </c>
      <c r="BE187" s="11">
        <v>-2700.0</v>
      </c>
      <c r="BF187" s="11"/>
      <c r="BG187" s="11"/>
      <c r="BH187" s="11">
        <v>285240.0</v>
      </c>
      <c r="BI187" s="11">
        <v>191670.0</v>
      </c>
      <c r="BJ187" s="11">
        <v>177140.0</v>
      </c>
      <c r="BK187" s="11">
        <v>103980.0</v>
      </c>
      <c r="BL187" s="11">
        <v>184500.0</v>
      </c>
      <c r="BM187" s="11">
        <v>231650.0</v>
      </c>
      <c r="BN187" s="11">
        <v>229240.0</v>
      </c>
      <c r="BO187" s="11">
        <v>256180.0</v>
      </c>
      <c r="BP187" s="11">
        <v>210650.0</v>
      </c>
      <c r="BQ187" s="11">
        <v>199060.0</v>
      </c>
      <c r="BR187" s="11">
        <v>497600.0</v>
      </c>
      <c r="BS187" s="11">
        <v>533050.0</v>
      </c>
      <c r="BT187" s="11">
        <v>476670.0</v>
      </c>
      <c r="BU187" s="11">
        <v>433450.0</v>
      </c>
      <c r="BV187" s="11">
        <v>384860.0</v>
      </c>
      <c r="BW187" s="11">
        <v>1020000.0</v>
      </c>
      <c r="BX187" s="11">
        <v>985780.0</v>
      </c>
      <c r="BY187" s="11">
        <v>932570.0</v>
      </c>
      <c r="BZ187" s="11">
        <v>760460.0</v>
      </c>
      <c r="CA187" s="11">
        <v>785570.0</v>
      </c>
      <c r="CB187" s="11">
        <v>562980.0</v>
      </c>
      <c r="CC187" s="11">
        <v>487220.0</v>
      </c>
      <c r="CD187" s="11">
        <v>565790.0</v>
      </c>
      <c r="CE187" s="11">
        <v>568700.0</v>
      </c>
      <c r="CF187" s="11">
        <v>402670.0</v>
      </c>
      <c r="CG187" s="11">
        <v>60380.0</v>
      </c>
      <c r="CH187" s="11">
        <v>59160.0</v>
      </c>
      <c r="CI187" s="11">
        <v>55430.0</v>
      </c>
      <c r="CJ187" s="11">
        <v>55430.0</v>
      </c>
      <c r="CK187" s="11">
        <v>21820.0</v>
      </c>
      <c r="CL187" s="11">
        <v>1690000.0</v>
      </c>
      <c r="CM187" s="11">
        <v>1580000.0</v>
      </c>
      <c r="CN187" s="11">
        <v>1610000.0</v>
      </c>
      <c r="CO187" s="11">
        <v>1440000.0</v>
      </c>
      <c r="CP187" s="11">
        <v>1310000.0</v>
      </c>
      <c r="CQ187" s="11">
        <v>224550.0</v>
      </c>
      <c r="CR187" s="11">
        <v>211660.0</v>
      </c>
      <c r="CS187" s="11">
        <v>234790.0</v>
      </c>
      <c r="CT187" s="11">
        <v>195910.0</v>
      </c>
      <c r="CU187" s="11">
        <v>160470.0</v>
      </c>
      <c r="CV187" s="11">
        <v>384990.0</v>
      </c>
      <c r="CW187" s="11">
        <v>9380.0</v>
      </c>
      <c r="CX187" s="11"/>
      <c r="CY187" s="13"/>
      <c r="CZ187" s="13"/>
      <c r="DA187" s="11"/>
      <c r="DB187" s="11">
        <v>384990.0</v>
      </c>
      <c r="DC187" s="11">
        <v>369830.0</v>
      </c>
      <c r="DD187" s="11">
        <v>381560.0</v>
      </c>
      <c r="DE187" s="11">
        <v>312860.0</v>
      </c>
      <c r="DF187" s="11">
        <v>992020.0</v>
      </c>
      <c r="DG187" s="11">
        <v>908660.0</v>
      </c>
      <c r="DH187" s="11">
        <v>932640.0</v>
      </c>
      <c r="DI187" s="11">
        <v>859190.0</v>
      </c>
      <c r="DJ187" s="11">
        <v>778740.0</v>
      </c>
      <c r="DK187" s="11">
        <v>800.0</v>
      </c>
      <c r="DL187" s="11"/>
      <c r="DM187" s="11"/>
      <c r="DN187" s="12"/>
      <c r="DO187" s="12"/>
      <c r="DP187" s="11">
        <v>521990.0</v>
      </c>
      <c r="DQ187" s="11">
        <v>461350.0</v>
      </c>
      <c r="DR187" s="11">
        <v>438310.0</v>
      </c>
      <c r="DS187" s="11">
        <v>437630.0</v>
      </c>
      <c r="DT187" s="11">
        <v>344590.0</v>
      </c>
      <c r="DU187" s="13"/>
      <c r="DV187" s="12"/>
      <c r="DW187" s="12"/>
      <c r="DX187" s="13"/>
      <c r="DY187" s="12"/>
      <c r="DZ187" s="11">
        <v>701330.0</v>
      </c>
      <c r="EA187" s="11">
        <v>672590.0</v>
      </c>
      <c r="EB187" s="11">
        <v>674550.0</v>
      </c>
      <c r="EC187" s="11">
        <v>580000.0</v>
      </c>
      <c r="ED187" s="11">
        <v>534670.0</v>
      </c>
      <c r="EE187" s="14">
        <v>0.096</v>
      </c>
      <c r="EF187" s="14">
        <v>0.132</v>
      </c>
      <c r="EG187" s="14">
        <v>-0.311</v>
      </c>
      <c r="EH187" s="14">
        <v>0.258</v>
      </c>
    </row>
    <row r="188">
      <c r="A188" s="9">
        <f t="shared" si="2"/>
        <v>186</v>
      </c>
      <c r="B188" s="22" t="s">
        <v>322</v>
      </c>
      <c r="C188" s="12"/>
      <c r="D188" s="12"/>
      <c r="E188" s="11">
        <v>2130.0</v>
      </c>
      <c r="F188" s="11">
        <v>961.0</v>
      </c>
      <c r="G188" s="11">
        <v>1720.0</v>
      </c>
      <c r="H188" s="12"/>
      <c r="I188" s="12"/>
      <c r="J188" s="12"/>
      <c r="K188" s="12"/>
      <c r="L188" s="12"/>
      <c r="M188" s="12"/>
      <c r="N188" s="12"/>
      <c r="O188" s="11">
        <v>70870.0</v>
      </c>
      <c r="P188" s="11">
        <v>38160.0</v>
      </c>
      <c r="Q188" s="11">
        <v>28230.0</v>
      </c>
      <c r="R188" s="12"/>
      <c r="S188" s="12"/>
      <c r="T188" s="11">
        <v>53030.0</v>
      </c>
      <c r="U188" s="11">
        <v>31100.0</v>
      </c>
      <c r="V188" s="11">
        <v>23670.0</v>
      </c>
      <c r="W188" s="12"/>
      <c r="X188" s="12"/>
      <c r="Y188" s="11">
        <v>-70560.0</v>
      </c>
      <c r="Z188" s="11">
        <v>-38650.0</v>
      </c>
      <c r="AA188" s="11">
        <v>-27710.0</v>
      </c>
      <c r="AB188" s="12"/>
      <c r="AC188" s="12"/>
      <c r="AD188" s="11">
        <v>-67480.0</v>
      </c>
      <c r="AE188" s="11">
        <v>-37940.0</v>
      </c>
      <c r="AF188" s="11">
        <v>-27520.0</v>
      </c>
      <c r="AG188" s="12"/>
      <c r="AH188" s="12"/>
      <c r="AI188" s="11">
        <v>-68740.0</v>
      </c>
      <c r="AJ188" s="11">
        <v>-37200.0</v>
      </c>
      <c r="AK188" s="11">
        <v>-26510.0</v>
      </c>
      <c r="AL188" s="12"/>
      <c r="AM188" s="12"/>
      <c r="AN188" s="11">
        <v>-67480.0</v>
      </c>
      <c r="AO188" s="11">
        <v>-37940.0</v>
      </c>
      <c r="AP188" s="11">
        <v>-27530.0</v>
      </c>
      <c r="AQ188" s="12"/>
      <c r="AR188" s="12"/>
      <c r="AS188" s="11">
        <v>-58540.0</v>
      </c>
      <c r="AT188" s="11">
        <v>-34700.0</v>
      </c>
      <c r="AU188" s="11">
        <v>-25100.0</v>
      </c>
      <c r="AV188" s="12"/>
      <c r="AW188" s="12"/>
      <c r="AX188" s="11">
        <v>-3450.0</v>
      </c>
      <c r="AY188" s="11">
        <v>-1760.0</v>
      </c>
      <c r="AZ188" s="11">
        <v>-1380.0</v>
      </c>
      <c r="BA188" s="12"/>
      <c r="BB188" s="12"/>
      <c r="BC188" s="12"/>
      <c r="BD188" s="12"/>
      <c r="BE188" s="12"/>
      <c r="BF188" s="12"/>
      <c r="BG188" s="12"/>
      <c r="BH188" s="11">
        <v>172620.0</v>
      </c>
      <c r="BI188" s="11">
        <v>114500.0</v>
      </c>
      <c r="BJ188" s="11">
        <v>30610.0</v>
      </c>
      <c r="BK188" s="12"/>
      <c r="BL188" s="12"/>
      <c r="BM188" s="11">
        <v>242.0</v>
      </c>
      <c r="BN188" s="11">
        <v>282.0</v>
      </c>
      <c r="BO188" s="11">
        <v>38.0</v>
      </c>
      <c r="BP188" s="12"/>
      <c r="BQ188" s="12"/>
      <c r="BR188" s="12"/>
      <c r="BS188" s="12"/>
      <c r="BT188" s="12"/>
      <c r="BU188" s="12"/>
      <c r="BV188" s="12"/>
      <c r="BW188" s="11">
        <v>176120.0</v>
      </c>
      <c r="BX188" s="11">
        <v>117230.0</v>
      </c>
      <c r="BY188" s="11">
        <v>31980.0</v>
      </c>
      <c r="BZ188" s="12"/>
      <c r="CA188" s="12"/>
      <c r="CB188" s="11">
        <v>5770.0</v>
      </c>
      <c r="CC188" s="11">
        <v>4140.0</v>
      </c>
      <c r="CD188" s="11">
        <v>3790.0</v>
      </c>
      <c r="CE188" s="12"/>
      <c r="CF188" s="12"/>
      <c r="CG188" s="12"/>
      <c r="CH188" s="12"/>
      <c r="CI188" s="12"/>
      <c r="CJ188" s="12"/>
      <c r="CK188" s="12"/>
      <c r="CL188" s="11">
        <v>195720.0</v>
      </c>
      <c r="CM188" s="11">
        <v>121680.0</v>
      </c>
      <c r="CN188" s="11">
        <v>36110.0</v>
      </c>
      <c r="CO188" s="12"/>
      <c r="CP188" s="12"/>
      <c r="CQ188" s="11">
        <v>2130.0</v>
      </c>
      <c r="CR188" s="11">
        <v>1310.0</v>
      </c>
      <c r="CS188" s="11">
        <v>609.0</v>
      </c>
      <c r="CT188" s="12"/>
      <c r="CU188" s="12"/>
      <c r="CV188" s="11">
        <v>7950.0</v>
      </c>
      <c r="CW188" s="12"/>
      <c r="CX188" s="12"/>
      <c r="CY188" s="12"/>
      <c r="CZ188" s="12"/>
      <c r="DA188" s="12"/>
      <c r="DB188" s="11">
        <v>7950.0</v>
      </c>
      <c r="DC188" s="11">
        <v>4560.0</v>
      </c>
      <c r="DD188" s="11">
        <v>2740.0</v>
      </c>
      <c r="DE188" s="12"/>
      <c r="DF188" s="11">
        <v>8760.0</v>
      </c>
      <c r="DG188" s="11">
        <v>214720.0</v>
      </c>
      <c r="DH188" s="11">
        <v>92680.0</v>
      </c>
      <c r="DI188" s="12"/>
      <c r="DJ188" s="12"/>
      <c r="DK188" s="11">
        <v>12080.0</v>
      </c>
      <c r="DL188" s="12"/>
      <c r="DM188" s="12"/>
      <c r="DN188" s="12"/>
      <c r="DO188" s="12"/>
      <c r="DP188" s="11">
        <v>53.0</v>
      </c>
      <c r="DQ188" s="11">
        <v>209770.0</v>
      </c>
      <c r="DR188" s="11">
        <v>89510.0</v>
      </c>
      <c r="DS188" s="12"/>
      <c r="DT188" s="12"/>
      <c r="DU188" s="13"/>
      <c r="DV188" s="12"/>
      <c r="DW188" s="12"/>
      <c r="DX188" s="13"/>
      <c r="DY188" s="13"/>
      <c r="DZ188" s="11">
        <v>186950.0</v>
      </c>
      <c r="EA188" s="11">
        <v>-93030.0</v>
      </c>
      <c r="EB188" s="11">
        <v>-56570.0</v>
      </c>
      <c r="EC188" s="12"/>
      <c r="ED188" s="12"/>
      <c r="EE188" s="23"/>
      <c r="EF188" s="23"/>
      <c r="EG188" s="14">
        <v>0.066</v>
      </c>
      <c r="EH188" s="14">
        <v>0.037</v>
      </c>
    </row>
    <row r="189">
      <c r="A189" s="9">
        <f t="shared" si="2"/>
        <v>187</v>
      </c>
      <c r="B189" s="22" t="s">
        <v>323</v>
      </c>
      <c r="C189" s="11">
        <v>50620.0</v>
      </c>
      <c r="D189" s="12"/>
      <c r="E189" s="12"/>
      <c r="F189" s="12"/>
      <c r="G189" s="12"/>
      <c r="H189" s="12"/>
      <c r="I189" s="12"/>
      <c r="J189" s="11">
        <v>-164.0</v>
      </c>
      <c r="K189" s="11">
        <v>-110.0</v>
      </c>
      <c r="L189" s="11">
        <v>-85.0</v>
      </c>
      <c r="M189" s="11">
        <v>-77.0</v>
      </c>
      <c r="N189" s="11">
        <v>-87.0</v>
      </c>
      <c r="O189" s="11">
        <v>22840.0</v>
      </c>
      <c r="P189" s="11">
        <v>13950.0</v>
      </c>
      <c r="Q189" s="11">
        <v>4910.0</v>
      </c>
      <c r="R189" s="11">
        <v>5010.0</v>
      </c>
      <c r="S189" s="11">
        <v>8450.0</v>
      </c>
      <c r="T189" s="11">
        <v>17200.0</v>
      </c>
      <c r="U189" s="11">
        <v>8290.0</v>
      </c>
      <c r="V189" s="11">
        <v>977.0</v>
      </c>
      <c r="W189" s="11">
        <v>2250.0</v>
      </c>
      <c r="X189" s="11">
        <v>4950.0</v>
      </c>
      <c r="Y189" s="12"/>
      <c r="Z189" s="12"/>
      <c r="AA189" s="12"/>
      <c r="AB189" s="12"/>
      <c r="AC189" s="12"/>
      <c r="AD189" s="11">
        <v>-23250.0</v>
      </c>
      <c r="AE189" s="11">
        <v>-13950.0</v>
      </c>
      <c r="AF189" s="11">
        <v>-4950.0</v>
      </c>
      <c r="AG189" s="11">
        <v>-4980.0</v>
      </c>
      <c r="AH189" s="11">
        <v>-8490.0</v>
      </c>
      <c r="AI189" s="11">
        <v>-22840.0</v>
      </c>
      <c r="AJ189" s="11">
        <v>-13950.0</v>
      </c>
      <c r="AK189" s="11">
        <v>-4910.0</v>
      </c>
      <c r="AL189" s="11">
        <v>-5010.0</v>
      </c>
      <c r="AM189" s="11">
        <v>-8450.0</v>
      </c>
      <c r="AN189" s="11">
        <v>-23250.0</v>
      </c>
      <c r="AO189" s="11">
        <v>-13950.0</v>
      </c>
      <c r="AP189" s="11">
        <v>-4950.0</v>
      </c>
      <c r="AQ189" s="11">
        <v>-4980.0</v>
      </c>
      <c r="AR189" s="11">
        <v>-8490.0</v>
      </c>
      <c r="AS189" s="11">
        <v>-11250.0</v>
      </c>
      <c r="AT189" s="11">
        <v>-12390.0</v>
      </c>
      <c r="AU189" s="11">
        <v>-2360.0</v>
      </c>
      <c r="AV189" s="11">
        <v>-5860.0</v>
      </c>
      <c r="AW189" s="11">
        <v>-7410.0</v>
      </c>
      <c r="AX189" s="11">
        <v>-473.0</v>
      </c>
      <c r="AY189" s="11">
        <v>-369.0</v>
      </c>
      <c r="AZ189" s="11">
        <v>-180.0</v>
      </c>
      <c r="BA189" s="11">
        <v>-103.0</v>
      </c>
      <c r="BB189" s="11">
        <v>-45.0</v>
      </c>
      <c r="BC189" s="12"/>
      <c r="BD189" s="12"/>
      <c r="BE189" s="12"/>
      <c r="BF189" s="12"/>
      <c r="BG189" s="12"/>
      <c r="BH189" s="11">
        <v>569.0</v>
      </c>
      <c r="BI189" s="11">
        <v>7060.0</v>
      </c>
      <c r="BJ189" s="11">
        <v>7760.0</v>
      </c>
      <c r="BK189" s="11">
        <v>9990.0</v>
      </c>
      <c r="BL189" s="11">
        <v>15960.0</v>
      </c>
      <c r="BM189" s="11">
        <v>2360.0</v>
      </c>
      <c r="BN189" s="11">
        <v>2010.0</v>
      </c>
      <c r="BO189" s="11">
        <v>672.0</v>
      </c>
      <c r="BP189" s="11">
        <v>306.0</v>
      </c>
      <c r="BQ189" s="11">
        <v>759.0</v>
      </c>
      <c r="BR189" s="12"/>
      <c r="BS189" s="12"/>
      <c r="BT189" s="12"/>
      <c r="BU189" s="12"/>
      <c r="BV189" s="12"/>
      <c r="BW189" s="11">
        <v>3360.0</v>
      </c>
      <c r="BX189" s="11">
        <v>10270.0</v>
      </c>
      <c r="BY189" s="11">
        <v>9620.0</v>
      </c>
      <c r="BZ189" s="11">
        <v>10440.0</v>
      </c>
      <c r="CA189" s="11">
        <v>16790.0</v>
      </c>
      <c r="CB189" s="11">
        <v>3140.0</v>
      </c>
      <c r="CC189" s="11">
        <v>651.0</v>
      </c>
      <c r="CD189" s="11">
        <v>392.0</v>
      </c>
      <c r="CE189" s="11">
        <v>297.0</v>
      </c>
      <c r="CF189" s="11">
        <v>271.0</v>
      </c>
      <c r="CG189" s="12"/>
      <c r="CH189" s="12"/>
      <c r="CI189" s="12"/>
      <c r="CJ189" s="12"/>
      <c r="CK189" s="12"/>
      <c r="CL189" s="11">
        <v>6530.0</v>
      </c>
      <c r="CM189" s="11">
        <v>11230.0</v>
      </c>
      <c r="CN189" s="11">
        <v>11420.0</v>
      </c>
      <c r="CO189" s="11">
        <v>10770.0</v>
      </c>
      <c r="CP189" s="11">
        <v>17080.0</v>
      </c>
      <c r="CQ189" s="11">
        <v>14680.0</v>
      </c>
      <c r="CR189" s="11">
        <v>4550.0</v>
      </c>
      <c r="CS189" s="12"/>
      <c r="CT189" s="12"/>
      <c r="CU189" s="12"/>
      <c r="CV189" s="11">
        <v>17650.0</v>
      </c>
      <c r="CW189" s="11">
        <v>1260.0</v>
      </c>
      <c r="CX189" s="12"/>
      <c r="CY189" s="12"/>
      <c r="CZ189" s="12"/>
      <c r="DA189" s="12"/>
      <c r="DB189" s="11">
        <v>17650.0</v>
      </c>
      <c r="DC189" s="11">
        <v>6210.0</v>
      </c>
      <c r="DD189" s="11">
        <v>5540.0</v>
      </c>
      <c r="DE189" s="11">
        <v>864.0</v>
      </c>
      <c r="DF189" s="11">
        <v>18760.0</v>
      </c>
      <c r="DG189" s="11">
        <v>6210.0</v>
      </c>
      <c r="DH189" s="11">
        <v>5540.0</v>
      </c>
      <c r="DI189" s="11">
        <v>864.0</v>
      </c>
      <c r="DJ189" s="11">
        <v>2950.0</v>
      </c>
      <c r="DK189" s="12"/>
      <c r="DL189" s="12"/>
      <c r="DM189" s="12"/>
      <c r="DN189" s="12"/>
      <c r="DO189" s="12"/>
      <c r="DP189" s="11">
        <v>1100.0</v>
      </c>
      <c r="DQ189" s="12"/>
      <c r="DR189" s="12"/>
      <c r="DS189" s="12"/>
      <c r="DT189" s="12"/>
      <c r="DU189" s="13"/>
      <c r="DV189" s="12"/>
      <c r="DW189" s="12"/>
      <c r="DX189" s="13"/>
      <c r="DY189" s="13"/>
      <c r="DZ189" s="11">
        <v>-12220.0</v>
      </c>
      <c r="EA189" s="11">
        <v>5020.0</v>
      </c>
      <c r="EB189" s="11">
        <v>5880.0</v>
      </c>
      <c r="EC189" s="11">
        <v>9900.0</v>
      </c>
      <c r="ED189" s="11">
        <v>14130.0</v>
      </c>
      <c r="EE189" s="23"/>
      <c r="EF189" s="23"/>
      <c r="EG189" s="14">
        <v>0.038</v>
      </c>
      <c r="EH189" s="14">
        <v>-0.361</v>
      </c>
    </row>
    <row r="190">
      <c r="A190" s="9">
        <f t="shared" si="2"/>
        <v>188</v>
      </c>
      <c r="B190" s="10" t="s">
        <v>324</v>
      </c>
      <c r="C190" s="15">
        <v>723050.0</v>
      </c>
      <c r="D190" s="15">
        <v>674230.0</v>
      </c>
      <c r="E190" s="15">
        <v>643710.0</v>
      </c>
      <c r="F190" s="15">
        <v>643680.0</v>
      </c>
      <c r="G190" s="15">
        <v>594790.0</v>
      </c>
      <c r="H190" s="15">
        <v>553200.0</v>
      </c>
      <c r="I190" s="15">
        <v>552490.0</v>
      </c>
      <c r="J190" s="15">
        <v>211370.0</v>
      </c>
      <c r="K190" s="15">
        <v>204250.0</v>
      </c>
      <c r="L190" s="15">
        <v>189010.0</v>
      </c>
      <c r="M190" s="15">
        <v>180860.0</v>
      </c>
      <c r="N190" s="15">
        <v>168100.0</v>
      </c>
      <c r="O190" s="15">
        <v>106540.0</v>
      </c>
      <c r="P190" s="15">
        <v>94720.0</v>
      </c>
      <c r="Q190" s="15">
        <v>89510.0</v>
      </c>
      <c r="R190" s="15">
        <v>88520.0</v>
      </c>
      <c r="S190" s="15">
        <v>73820.0</v>
      </c>
      <c r="T190" s="15">
        <v>11380.0</v>
      </c>
      <c r="U190" s="15">
        <v>11590.0</v>
      </c>
      <c r="V190" s="15">
        <v>9310.0</v>
      </c>
      <c r="W190" s="15">
        <v>7330.0</v>
      </c>
      <c r="X190" s="15">
        <v>5990.0</v>
      </c>
      <c r="Y190" s="15">
        <v>102550.0</v>
      </c>
      <c r="Z190" s="15">
        <v>107390.0</v>
      </c>
      <c r="AA190" s="15">
        <v>97260.0</v>
      </c>
      <c r="AB190" s="15">
        <v>90840.0</v>
      </c>
      <c r="AC190" s="15">
        <v>-324.0</v>
      </c>
      <c r="AD190" s="15">
        <v>96480.0</v>
      </c>
      <c r="AE190" s="15">
        <v>99030.0</v>
      </c>
      <c r="AF190" s="15">
        <v>88490.0</v>
      </c>
      <c r="AG190" s="15">
        <v>82930.0</v>
      </c>
      <c r="AH190" s="15">
        <v>87060.0</v>
      </c>
      <c r="AI190" s="15">
        <v>150410.0</v>
      </c>
      <c r="AJ190" s="15">
        <v>153520.0</v>
      </c>
      <c r="AK190" s="15">
        <v>143410.0</v>
      </c>
      <c r="AL190" s="15">
        <v>138010.0</v>
      </c>
      <c r="AM190" s="15">
        <v>133640.0</v>
      </c>
      <c r="AN190" s="15">
        <v>79670.0</v>
      </c>
      <c r="AO190" s="15">
        <v>78570.0</v>
      </c>
      <c r="AP190" s="15">
        <v>90070.0</v>
      </c>
      <c r="AQ190" s="15">
        <v>55970.0</v>
      </c>
      <c r="AR190" s="15">
        <v>59720.0</v>
      </c>
      <c r="AS190" s="15">
        <v>124460.0</v>
      </c>
      <c r="AT190" s="15">
        <v>118700.0</v>
      </c>
      <c r="AU190" s="15">
        <v>110620.0</v>
      </c>
      <c r="AV190" s="15">
        <v>107610.0</v>
      </c>
      <c r="AW190" s="15">
        <v>103830.0</v>
      </c>
      <c r="AX190" s="15">
        <v>-28410.0</v>
      </c>
      <c r="AY190" s="15">
        <v>-19720.0</v>
      </c>
      <c r="AZ190" s="15">
        <v>-28120.0</v>
      </c>
      <c r="BA190" s="15">
        <v>-24000.0</v>
      </c>
      <c r="BB190" s="15">
        <v>-42310.0</v>
      </c>
      <c r="BC190" s="15">
        <v>-15140.0</v>
      </c>
      <c r="BD190" s="15">
        <v>-13430.0</v>
      </c>
      <c r="BE190" s="15">
        <v>-12070.0</v>
      </c>
      <c r="BF190" s="15">
        <v>-10720.0</v>
      </c>
      <c r="BG190" s="15">
        <v>-9250.0</v>
      </c>
      <c r="BH190" s="15">
        <v>65670.0</v>
      </c>
      <c r="BI190" s="15">
        <v>54270.0</v>
      </c>
      <c r="BJ190" s="15">
        <v>40420.0</v>
      </c>
      <c r="BK190" s="15">
        <v>38640.0</v>
      </c>
      <c r="BL190" s="15">
        <v>84800.0</v>
      </c>
      <c r="BM190" s="15">
        <v>93440.0</v>
      </c>
      <c r="BN190" s="15">
        <v>99550.0</v>
      </c>
      <c r="BO190" s="15">
        <v>91230.0</v>
      </c>
      <c r="BP190" s="15">
        <v>83250.0</v>
      </c>
      <c r="BQ190" s="15">
        <v>60490.0</v>
      </c>
      <c r="BR190" s="15">
        <v>83890.0</v>
      </c>
      <c r="BS190" s="15">
        <v>67190.0</v>
      </c>
      <c r="BT190" s="15">
        <v>60700.0</v>
      </c>
      <c r="BU190" s="15">
        <v>57250.0</v>
      </c>
      <c r="BV190" s="15">
        <v>46090.0</v>
      </c>
      <c r="BW190" s="15">
        <v>254950.0</v>
      </c>
      <c r="BX190" s="15">
        <v>226310.0</v>
      </c>
      <c r="BY190" s="15">
        <v>199340.0</v>
      </c>
      <c r="BZ190" s="15">
        <v>188440.0</v>
      </c>
      <c r="CA190" s="15">
        <v>198290.0</v>
      </c>
      <c r="CB190" s="15">
        <v>224200.0</v>
      </c>
      <c r="CC190" s="15">
        <v>194340.0</v>
      </c>
      <c r="CD190" s="15">
        <v>189790.0</v>
      </c>
      <c r="CE190" s="15">
        <v>165750.0</v>
      </c>
      <c r="CF190" s="15">
        <v>158520.0</v>
      </c>
      <c r="CG190" s="15">
        <v>524000.0</v>
      </c>
      <c r="CH190" s="15">
        <v>448000.0</v>
      </c>
      <c r="CI190" s="15">
        <v>441360.0</v>
      </c>
      <c r="CJ190" s="15">
        <v>439810.0</v>
      </c>
      <c r="CK190" s="15">
        <v>383910.0</v>
      </c>
      <c r="CL190" s="15">
        <v>1170000.0</v>
      </c>
      <c r="CM190" s="15">
        <v>989070.0</v>
      </c>
      <c r="CN190" s="15">
        <v>963640.0</v>
      </c>
      <c r="CO190" s="15">
        <v>948630.0</v>
      </c>
      <c r="CP190" s="15">
        <v>879690.0</v>
      </c>
      <c r="CQ190" s="15">
        <v>37270.0</v>
      </c>
      <c r="CR190" s="15">
        <v>33790.0</v>
      </c>
      <c r="CS190" s="15">
        <v>28450.0</v>
      </c>
      <c r="CT190" s="15">
        <v>32510.0</v>
      </c>
      <c r="CU190" s="15">
        <v>14710.0</v>
      </c>
      <c r="CV190" s="15">
        <v>92260.0</v>
      </c>
      <c r="CW190" s="15">
        <v>2480.0</v>
      </c>
      <c r="CX190" s="13"/>
      <c r="CY190" s="13"/>
      <c r="CZ190" s="13"/>
      <c r="DA190" s="12"/>
      <c r="DB190" s="15">
        <v>92260.0</v>
      </c>
      <c r="DC190" s="15">
        <v>82060.0</v>
      </c>
      <c r="DD190" s="15">
        <v>108400.0</v>
      </c>
      <c r="DE190" s="15">
        <v>101010.0</v>
      </c>
      <c r="DF190" s="15">
        <v>423760.0</v>
      </c>
      <c r="DG190" s="15">
        <v>297450.0</v>
      </c>
      <c r="DH190" s="15">
        <v>346760.0</v>
      </c>
      <c r="DI190" s="15">
        <v>427590.0</v>
      </c>
      <c r="DJ190" s="15">
        <v>415980.0</v>
      </c>
      <c r="DK190" s="15">
        <v>4510.0</v>
      </c>
      <c r="DL190" s="15">
        <v>4900.0</v>
      </c>
      <c r="DM190" s="15">
        <v>4800.0</v>
      </c>
      <c r="DN190" s="15">
        <v>4550.0</v>
      </c>
      <c r="DO190" s="15"/>
      <c r="DP190" s="15">
        <v>253400.0</v>
      </c>
      <c r="DQ190" s="15">
        <v>156000.0</v>
      </c>
      <c r="DR190" s="15">
        <v>183960.0</v>
      </c>
      <c r="DS190" s="15">
        <v>245490.0</v>
      </c>
      <c r="DT190" s="15">
        <v>260960.0</v>
      </c>
      <c r="DU190" s="13"/>
      <c r="DV190" s="12"/>
      <c r="DW190" s="12"/>
      <c r="DX190" s="13"/>
      <c r="DY190" s="13"/>
      <c r="DZ190" s="15">
        <v>743670.0</v>
      </c>
      <c r="EA190" s="15">
        <v>691620.0</v>
      </c>
      <c r="EB190" s="15">
        <v>616880.0</v>
      </c>
      <c r="EC190" s="15">
        <v>521030.0</v>
      </c>
      <c r="ED190" s="15">
        <v>463710.0</v>
      </c>
      <c r="EE190" s="17">
        <v>0.027</v>
      </c>
      <c r="EF190" s="17">
        <v>0.126</v>
      </c>
      <c r="EG190" s="17">
        <v>0.35</v>
      </c>
      <c r="EH190" s="17">
        <v>0.145</v>
      </c>
    </row>
    <row r="191">
      <c r="A191" s="9">
        <f t="shared" si="2"/>
        <v>189</v>
      </c>
      <c r="B191" s="22" t="s">
        <v>325</v>
      </c>
      <c r="C191" s="11">
        <v>56300.0</v>
      </c>
      <c r="D191" s="11">
        <v>30650.0</v>
      </c>
      <c r="E191" s="11">
        <v>48840.0</v>
      </c>
      <c r="F191" s="11">
        <v>20650.0</v>
      </c>
      <c r="G191" s="11">
        <v>25190.0</v>
      </c>
      <c r="H191" s="11">
        <v>26350.0</v>
      </c>
      <c r="I191" s="11">
        <v>48260.0</v>
      </c>
      <c r="J191" s="11">
        <v>44730.0</v>
      </c>
      <c r="K191" s="11">
        <v>19800.0</v>
      </c>
      <c r="L191" s="11">
        <v>23480.0</v>
      </c>
      <c r="M191" s="11">
        <v>23650.0</v>
      </c>
      <c r="N191" s="11">
        <v>46360.0</v>
      </c>
      <c r="O191" s="11">
        <v>144190.0</v>
      </c>
      <c r="P191" s="11">
        <v>103020.0</v>
      </c>
      <c r="Q191" s="11">
        <v>80900.0</v>
      </c>
      <c r="R191" s="11">
        <v>72260.0</v>
      </c>
      <c r="S191" s="11">
        <v>85810.0</v>
      </c>
      <c r="T191" s="11">
        <v>107070.0</v>
      </c>
      <c r="U191" s="11">
        <v>84890.0</v>
      </c>
      <c r="V191" s="11">
        <v>66960.0</v>
      </c>
      <c r="W191" s="11">
        <v>61010.0</v>
      </c>
      <c r="X191" s="11">
        <v>72760.0</v>
      </c>
      <c r="Y191" s="11">
        <v>-99800.0</v>
      </c>
      <c r="Z191" s="11">
        <v>-94330.0</v>
      </c>
      <c r="AA191" s="11">
        <v>-58230.0</v>
      </c>
      <c r="AB191" s="11">
        <v>-49450.0</v>
      </c>
      <c r="AC191" s="11">
        <v>-564.0</v>
      </c>
      <c r="AD191" s="11">
        <v>-108900.0</v>
      </c>
      <c r="AE191" s="11">
        <v>-101250.0</v>
      </c>
      <c r="AF191" s="11">
        <v>-65780.0</v>
      </c>
      <c r="AG191" s="11">
        <v>-55140.0</v>
      </c>
      <c r="AH191" s="11">
        <v>-43020.0</v>
      </c>
      <c r="AI191" s="11">
        <v>-98730.0</v>
      </c>
      <c r="AJ191" s="11">
        <v>-82450.0</v>
      </c>
      <c r="AK191" s="11">
        <v>-56710.0</v>
      </c>
      <c r="AL191" s="11">
        <v>-48120.0</v>
      </c>
      <c r="AM191" s="11">
        <v>-39260.0</v>
      </c>
      <c r="AN191" s="11">
        <v>-108900.0</v>
      </c>
      <c r="AO191" s="11">
        <v>-101250.0</v>
      </c>
      <c r="AP191" s="11">
        <v>-65780.0</v>
      </c>
      <c r="AQ191" s="11">
        <v>-55140.0</v>
      </c>
      <c r="AR191" s="11">
        <v>-43020.0</v>
      </c>
      <c r="AS191" s="11">
        <v>-89580.0</v>
      </c>
      <c r="AT191" s="11">
        <v>-92570.0</v>
      </c>
      <c r="AU191" s="11">
        <v>-41140.0</v>
      </c>
      <c r="AV191" s="11">
        <v>-53440.0</v>
      </c>
      <c r="AW191" s="11">
        <v>-13120.0</v>
      </c>
      <c r="AX191" s="11">
        <v>-343.0</v>
      </c>
      <c r="AY191" s="11">
        <v>-366.0</v>
      </c>
      <c r="AZ191" s="11">
        <v>-328.0</v>
      </c>
      <c r="BA191" s="11">
        <v>-5280.0</v>
      </c>
      <c r="BB191" s="11">
        <v>-5120.0</v>
      </c>
      <c r="BC191" s="12"/>
      <c r="BD191" s="12"/>
      <c r="BE191" s="12"/>
      <c r="BF191" s="12"/>
      <c r="BG191" s="12"/>
      <c r="BH191" s="11">
        <v>137780.0</v>
      </c>
      <c r="BI191" s="11">
        <v>106010.0</v>
      </c>
      <c r="BJ191" s="11">
        <v>117680.0</v>
      </c>
      <c r="BK191" s="11">
        <v>56200.0</v>
      </c>
      <c r="BL191" s="11">
        <v>53180.0</v>
      </c>
      <c r="BM191" s="11">
        <v>22150.0</v>
      </c>
      <c r="BN191" s="11">
        <v>4290.0</v>
      </c>
      <c r="BO191" s="11">
        <v>6120.0</v>
      </c>
      <c r="BP191" s="11">
        <v>8770.0</v>
      </c>
      <c r="BQ191" s="11">
        <v>6240.0</v>
      </c>
      <c r="BR191" s="12"/>
      <c r="BS191" s="11">
        <v>1650.0</v>
      </c>
      <c r="BT191" s="12"/>
      <c r="BU191" s="11">
        <v>500.0</v>
      </c>
      <c r="BV191" s="11">
        <v>1610.0</v>
      </c>
      <c r="BW191" s="11">
        <v>164350.0</v>
      </c>
      <c r="BX191" s="11">
        <v>114340.0</v>
      </c>
      <c r="BY191" s="11">
        <v>125180.0</v>
      </c>
      <c r="BZ191" s="11">
        <v>66900.0</v>
      </c>
      <c r="CA191" s="11">
        <v>63700.0</v>
      </c>
      <c r="CB191" s="11">
        <v>10940.0</v>
      </c>
      <c r="CC191" s="11">
        <v>9140.0</v>
      </c>
      <c r="CD191" s="11">
        <v>9550.0</v>
      </c>
      <c r="CE191" s="11">
        <v>9920.0</v>
      </c>
      <c r="CF191" s="11">
        <v>5150.0</v>
      </c>
      <c r="CG191" s="12"/>
      <c r="CH191" s="12"/>
      <c r="CI191" s="12"/>
      <c r="CJ191" s="12"/>
      <c r="CK191" s="12"/>
      <c r="CL191" s="11">
        <v>175280.0</v>
      </c>
      <c r="CM191" s="11">
        <v>146840.0</v>
      </c>
      <c r="CN191" s="11">
        <v>178260.0</v>
      </c>
      <c r="CO191" s="11">
        <v>89850.0</v>
      </c>
      <c r="CP191" s="11">
        <v>122360.0</v>
      </c>
      <c r="CQ191" s="11">
        <v>13990.0</v>
      </c>
      <c r="CR191" s="11">
        <v>7770.0</v>
      </c>
      <c r="CS191" s="11">
        <v>6340.0</v>
      </c>
      <c r="CT191" s="11">
        <v>4270.0</v>
      </c>
      <c r="CU191" s="11">
        <v>9310.0</v>
      </c>
      <c r="CV191" s="11">
        <v>92340.0</v>
      </c>
      <c r="CW191" s="11">
        <v>30940.0</v>
      </c>
      <c r="CX191" s="11">
        <v>29120.0</v>
      </c>
      <c r="CY191" s="12"/>
      <c r="CZ191" s="12"/>
      <c r="DA191" s="12"/>
      <c r="DB191" s="11">
        <v>92340.0</v>
      </c>
      <c r="DC191" s="11">
        <v>69480.0</v>
      </c>
      <c r="DD191" s="11">
        <v>74840.0</v>
      </c>
      <c r="DE191" s="11">
        <v>54360.0</v>
      </c>
      <c r="DF191" s="11">
        <v>137030.0</v>
      </c>
      <c r="DG191" s="11">
        <v>97610.0</v>
      </c>
      <c r="DH191" s="11">
        <v>94490.0</v>
      </c>
      <c r="DI191" s="11">
        <v>88270.0</v>
      </c>
      <c r="DJ191" s="11">
        <v>74640.0</v>
      </c>
      <c r="DK191" s="12"/>
      <c r="DL191" s="11">
        <v>22380.0</v>
      </c>
      <c r="DM191" s="11">
        <v>41300.0</v>
      </c>
      <c r="DN191" s="11">
        <v>8930.0</v>
      </c>
      <c r="DO191" s="11">
        <v>47680.0</v>
      </c>
      <c r="DP191" s="11">
        <v>44700.0</v>
      </c>
      <c r="DQ191" s="11">
        <v>28080.0</v>
      </c>
      <c r="DR191" s="11">
        <v>19500.0</v>
      </c>
      <c r="DS191" s="11">
        <v>25480.0</v>
      </c>
      <c r="DT191" s="11">
        <v>2380.0</v>
      </c>
      <c r="DU191" s="13"/>
      <c r="DV191" s="13"/>
      <c r="DW191" s="13"/>
      <c r="DX191" s="13"/>
      <c r="DY191" s="13"/>
      <c r="DZ191" s="11">
        <v>38250.0</v>
      </c>
      <c r="EA191" s="11">
        <v>49240.0</v>
      </c>
      <c r="EB191" s="11">
        <v>83770.0</v>
      </c>
      <c r="EC191" s="11">
        <v>1580.0</v>
      </c>
      <c r="ED191" s="11">
        <v>47720.0</v>
      </c>
      <c r="EE191" s="14">
        <v>0.872</v>
      </c>
      <c r="EF191" s="14">
        <v>1.881</v>
      </c>
      <c r="EG191" s="14">
        <v>0.04</v>
      </c>
      <c r="EH191" s="14">
        <v>0.225</v>
      </c>
    </row>
    <row r="192">
      <c r="A192" s="9">
        <f t="shared" si="2"/>
        <v>190</v>
      </c>
      <c r="B192" s="22" t="s">
        <v>326</v>
      </c>
      <c r="C192" s="11">
        <v>11520.0</v>
      </c>
      <c r="D192" s="11">
        <v>11060.0</v>
      </c>
      <c r="E192" s="11">
        <v>13860.0</v>
      </c>
      <c r="F192" s="11">
        <v>7120.0</v>
      </c>
      <c r="G192" s="11">
        <v>2080.0</v>
      </c>
      <c r="H192" s="12"/>
      <c r="I192" s="12"/>
      <c r="J192" s="12"/>
      <c r="K192" s="12"/>
      <c r="L192" s="12"/>
      <c r="M192" s="11">
        <v>-269.0</v>
      </c>
      <c r="N192" s="12"/>
      <c r="O192" s="11">
        <v>39000.0</v>
      </c>
      <c r="P192" s="11">
        <v>28420.0</v>
      </c>
      <c r="Q192" s="11">
        <v>17530.0</v>
      </c>
      <c r="R192" s="11">
        <v>13220.0</v>
      </c>
      <c r="S192" s="12"/>
      <c r="T192" s="11">
        <v>25650.0</v>
      </c>
      <c r="U192" s="11">
        <v>20730.0</v>
      </c>
      <c r="V192" s="11">
        <v>11990.0</v>
      </c>
      <c r="W192" s="11">
        <v>9770.0</v>
      </c>
      <c r="X192" s="12"/>
      <c r="Y192" s="11">
        <v>-31510.0</v>
      </c>
      <c r="Z192" s="11">
        <v>-22670.0</v>
      </c>
      <c r="AA192" s="11">
        <v>-120.0</v>
      </c>
      <c r="AB192" s="12"/>
      <c r="AC192" s="12"/>
      <c r="AD192" s="11">
        <v>-30990.0</v>
      </c>
      <c r="AE192" s="11">
        <v>-22200.0</v>
      </c>
      <c r="AF192" s="11">
        <v>-16460.0</v>
      </c>
      <c r="AG192" s="11">
        <v>-13530.0</v>
      </c>
      <c r="AH192" s="12"/>
      <c r="AI192" s="11">
        <v>-25140.0</v>
      </c>
      <c r="AJ192" s="11">
        <v>-21300.0</v>
      </c>
      <c r="AK192" s="11">
        <v>-15440.0</v>
      </c>
      <c r="AL192" s="11">
        <v>-13220.0</v>
      </c>
      <c r="AM192" s="12"/>
      <c r="AN192" s="11">
        <v>-30730.0</v>
      </c>
      <c r="AO192" s="11">
        <v>-21810.0</v>
      </c>
      <c r="AP192" s="11">
        <v>-16430.0</v>
      </c>
      <c r="AQ192" s="11">
        <v>-13510.0</v>
      </c>
      <c r="AR192" s="12"/>
      <c r="AS192" s="11">
        <v>-28730.0</v>
      </c>
      <c r="AT192" s="11">
        <v>-26030.0</v>
      </c>
      <c r="AU192" s="11">
        <v>-1430.0</v>
      </c>
      <c r="AV192" s="11">
        <v>-11270.0</v>
      </c>
      <c r="AW192" s="12"/>
      <c r="AX192" s="11">
        <v>-1560.0</v>
      </c>
      <c r="AY192" s="11">
        <v>-1180.0</v>
      </c>
      <c r="AZ192" s="11">
        <v>-1120.0</v>
      </c>
      <c r="BA192" s="11">
        <v>-243.0</v>
      </c>
      <c r="BB192" s="12"/>
      <c r="BC192" s="12"/>
      <c r="BD192" s="12"/>
      <c r="BE192" s="12"/>
      <c r="BF192" s="12"/>
      <c r="BG192" s="12"/>
      <c r="BH192" s="11">
        <v>92120.0</v>
      </c>
      <c r="BI192" s="11">
        <v>63380.0</v>
      </c>
      <c r="BJ192" s="11">
        <v>67660.0</v>
      </c>
      <c r="BK192" s="11">
        <v>9400.0</v>
      </c>
      <c r="BL192" s="12"/>
      <c r="BM192" s="11">
        <v>7150.0</v>
      </c>
      <c r="BN192" s="11">
        <v>11310.0</v>
      </c>
      <c r="BO192" s="11">
        <v>3000.0</v>
      </c>
      <c r="BP192" s="11">
        <v>1370.0</v>
      </c>
      <c r="BQ192" s="12"/>
      <c r="BR192" s="12"/>
      <c r="BS192" s="12"/>
      <c r="BT192" s="12"/>
      <c r="BU192" s="12"/>
      <c r="BV192" s="12"/>
      <c r="BW192" s="11">
        <v>104150.0</v>
      </c>
      <c r="BX192" s="11">
        <v>76770.0</v>
      </c>
      <c r="BY192" s="11">
        <v>71510.0</v>
      </c>
      <c r="BZ192" s="11">
        <v>11290.0</v>
      </c>
      <c r="CA192" s="12"/>
      <c r="CB192" s="11">
        <v>4350.0</v>
      </c>
      <c r="CC192" s="11">
        <v>1820.0</v>
      </c>
      <c r="CD192" s="11">
        <v>1360.0</v>
      </c>
      <c r="CE192" s="11">
        <v>519.0</v>
      </c>
      <c r="CF192" s="12"/>
      <c r="CG192" s="12"/>
      <c r="CH192" s="12"/>
      <c r="CI192" s="12"/>
      <c r="CJ192" s="12"/>
      <c r="CK192" s="12"/>
      <c r="CL192" s="11">
        <v>110190.0</v>
      </c>
      <c r="CM192" s="11">
        <v>81630.0</v>
      </c>
      <c r="CN192" s="11">
        <v>74000.0</v>
      </c>
      <c r="CO192" s="11">
        <v>11840.0</v>
      </c>
      <c r="CP192" s="12"/>
      <c r="CQ192" s="11">
        <v>1950.0</v>
      </c>
      <c r="CR192" s="11">
        <v>1890.0</v>
      </c>
      <c r="CS192" s="11">
        <v>2070.0</v>
      </c>
      <c r="CT192" s="11">
        <v>1880.0</v>
      </c>
      <c r="CU192" s="12"/>
      <c r="CV192" s="11">
        <v>8820.0</v>
      </c>
      <c r="CW192" s="11">
        <v>640.0</v>
      </c>
      <c r="CX192" s="12"/>
      <c r="CY192" s="12"/>
      <c r="CZ192" s="12"/>
      <c r="DA192" s="12"/>
      <c r="DB192" s="11">
        <v>8820.0</v>
      </c>
      <c r="DC192" s="11">
        <v>8930.0</v>
      </c>
      <c r="DD192" s="11">
        <v>9450.0</v>
      </c>
      <c r="DE192" s="11">
        <v>3810.0</v>
      </c>
      <c r="DF192" s="11">
        <v>17000.0</v>
      </c>
      <c r="DG192" s="11">
        <v>29260.0</v>
      </c>
      <c r="DH192" s="11">
        <v>24740.0</v>
      </c>
      <c r="DI192" s="11">
        <v>3810.0</v>
      </c>
      <c r="DJ192" s="12"/>
      <c r="DK192" s="12"/>
      <c r="DL192" s="12"/>
      <c r="DM192" s="12"/>
      <c r="DN192" s="12"/>
      <c r="DO192" s="12"/>
      <c r="DP192" s="11">
        <v>1250.0</v>
      </c>
      <c r="DQ192" s="12"/>
      <c r="DR192" s="12"/>
      <c r="DS192" s="12"/>
      <c r="DT192" s="12"/>
      <c r="DU192" s="13"/>
      <c r="DV192" s="11">
        <v>122200.0</v>
      </c>
      <c r="DW192" s="11">
        <v>96440.0</v>
      </c>
      <c r="DX192" s="11">
        <v>41820.0</v>
      </c>
      <c r="DY192" s="13"/>
      <c r="DZ192" s="11">
        <v>93200.0</v>
      </c>
      <c r="EA192" s="11">
        <v>52370.0</v>
      </c>
      <c r="EB192" s="11">
        <v>49260.0</v>
      </c>
      <c r="EC192" s="11">
        <v>8020.0</v>
      </c>
      <c r="ED192" s="12"/>
      <c r="EE192" s="14">
        <v>1.687</v>
      </c>
      <c r="EF192" s="23"/>
      <c r="EG192" s="14">
        <v>-0.396</v>
      </c>
      <c r="EH192" s="14">
        <v>-1.63</v>
      </c>
    </row>
    <row r="193">
      <c r="A193" s="9">
        <f t="shared" si="2"/>
        <v>191</v>
      </c>
      <c r="B193" s="22" t="s">
        <v>327</v>
      </c>
      <c r="C193" s="11">
        <v>201670.0</v>
      </c>
      <c r="D193" s="11">
        <v>156130.0</v>
      </c>
      <c r="E193" s="11">
        <v>111390.0</v>
      </c>
      <c r="F193" s="11">
        <v>55640.0</v>
      </c>
      <c r="G193" s="11">
        <v>61990.0</v>
      </c>
      <c r="H193" s="11">
        <v>15550.0</v>
      </c>
      <c r="I193" s="11">
        <v>48230.0</v>
      </c>
      <c r="J193" s="11">
        <v>89800.0</v>
      </c>
      <c r="K193" s="11">
        <v>39860.0</v>
      </c>
      <c r="L193" s="11">
        <v>42490.0</v>
      </c>
      <c r="M193" s="11">
        <v>4290.0</v>
      </c>
      <c r="N193" s="11">
        <v>40130.0</v>
      </c>
      <c r="O193" s="11">
        <v>86060.0</v>
      </c>
      <c r="P193" s="11">
        <v>63510.0</v>
      </c>
      <c r="Q193" s="11">
        <v>71910.0</v>
      </c>
      <c r="R193" s="11">
        <v>68220.0</v>
      </c>
      <c r="S193" s="11">
        <v>75310.0</v>
      </c>
      <c r="T193" s="12"/>
      <c r="U193" s="11">
        <v>4900.0</v>
      </c>
      <c r="V193" s="11">
        <v>13040.0</v>
      </c>
      <c r="W193" s="11">
        <v>18880.0</v>
      </c>
      <c r="X193" s="11">
        <v>20620.0</v>
      </c>
      <c r="Y193" s="12"/>
      <c r="Z193" s="12"/>
      <c r="AA193" s="11">
        <v>-2080.0</v>
      </c>
      <c r="AB193" s="12"/>
      <c r="AC193" s="12"/>
      <c r="AD193" s="11">
        <v>-15300.0</v>
      </c>
      <c r="AE193" s="11">
        <v>-33850.0</v>
      </c>
      <c r="AF193" s="11">
        <v>-10690.0</v>
      </c>
      <c r="AG193" s="11">
        <v>-67140.0</v>
      </c>
      <c r="AH193" s="11">
        <v>-37670.0</v>
      </c>
      <c r="AI193" s="11">
        <v>12560.0</v>
      </c>
      <c r="AJ193" s="11">
        <v>-17750.0</v>
      </c>
      <c r="AK193" s="11">
        <v>-23300.0</v>
      </c>
      <c r="AL193" s="11">
        <v>-62530.0</v>
      </c>
      <c r="AM193" s="11">
        <v>-33880.0</v>
      </c>
      <c r="AN193" s="11">
        <v>-15310.0</v>
      </c>
      <c r="AO193" s="11">
        <v>-33870.0</v>
      </c>
      <c r="AP193" s="11">
        <v>5290.0</v>
      </c>
      <c r="AQ193" s="11">
        <v>-67140.0</v>
      </c>
      <c r="AR193" s="11">
        <v>-37670.0</v>
      </c>
      <c r="AS193" s="11">
        <v>11070.0</v>
      </c>
      <c r="AT193" s="11">
        <v>-24560.0</v>
      </c>
      <c r="AU193" s="11">
        <v>-32450.0</v>
      </c>
      <c r="AV193" s="11">
        <v>-53980.0</v>
      </c>
      <c r="AW193" s="11">
        <v>-3730.0</v>
      </c>
      <c r="AX193" s="11">
        <v>-79.0</v>
      </c>
      <c r="AY193" s="11">
        <v>-112.0</v>
      </c>
      <c r="AZ193" s="11">
        <v>-11.0</v>
      </c>
      <c r="BA193" s="11">
        <v>-405.0</v>
      </c>
      <c r="BB193" s="11">
        <v>-701.0</v>
      </c>
      <c r="BC193" s="12"/>
      <c r="BD193" s="12"/>
      <c r="BE193" s="12"/>
      <c r="BF193" s="12"/>
      <c r="BG193" s="12"/>
      <c r="BH193" s="11">
        <v>63890.0</v>
      </c>
      <c r="BI193" s="11">
        <v>43820.0</v>
      </c>
      <c r="BJ193" s="11">
        <v>21200.0</v>
      </c>
      <c r="BK193" s="11">
        <v>32020.0</v>
      </c>
      <c r="BL193" s="11">
        <v>83560.0</v>
      </c>
      <c r="BM193" s="11">
        <v>38790.0</v>
      </c>
      <c r="BN193" s="11">
        <v>13630.0</v>
      </c>
      <c r="BO193" s="11">
        <v>8850.0</v>
      </c>
      <c r="BP193" s="11">
        <v>2970.0</v>
      </c>
      <c r="BQ193" s="11">
        <v>2490.0</v>
      </c>
      <c r="BR193" s="11">
        <v>11310.0</v>
      </c>
      <c r="BS193" s="11">
        <v>5410.0</v>
      </c>
      <c r="BT193" s="11">
        <v>6090.0</v>
      </c>
      <c r="BU193" s="11">
        <v>3370.0</v>
      </c>
      <c r="BV193" s="11">
        <v>2560.0</v>
      </c>
      <c r="BW193" s="11">
        <v>117760.0</v>
      </c>
      <c r="BX193" s="11">
        <v>66040.0</v>
      </c>
      <c r="BY193" s="11">
        <v>39750.0</v>
      </c>
      <c r="BZ193" s="11">
        <v>40790.0</v>
      </c>
      <c r="CA193" s="11">
        <v>90840.0</v>
      </c>
      <c r="CB193" s="11">
        <v>2080.0</v>
      </c>
      <c r="CC193" s="11">
        <v>3070.0</v>
      </c>
      <c r="CD193" s="11">
        <v>3780.0</v>
      </c>
      <c r="CE193" s="11">
        <v>4230.0</v>
      </c>
      <c r="CF193" s="11">
        <v>4260.0</v>
      </c>
      <c r="CG193" s="11">
        <v>2720.0</v>
      </c>
      <c r="CH193" s="11">
        <v>2720.0</v>
      </c>
      <c r="CI193" s="11">
        <v>2720.0</v>
      </c>
      <c r="CJ193" s="11">
        <v>2720.0</v>
      </c>
      <c r="CK193" s="11">
        <v>2720.0</v>
      </c>
      <c r="CL193" s="11">
        <v>182910.0</v>
      </c>
      <c r="CM193" s="11">
        <v>108530.0</v>
      </c>
      <c r="CN193" s="11">
        <v>88100.0</v>
      </c>
      <c r="CO193" s="11">
        <v>51720.0</v>
      </c>
      <c r="CP193" s="11">
        <v>102770.0</v>
      </c>
      <c r="CQ193" s="11">
        <v>11700.0</v>
      </c>
      <c r="CR193" s="11">
        <v>3170.0</v>
      </c>
      <c r="CS193" s="11">
        <v>12240.0</v>
      </c>
      <c r="CT193" s="11">
        <v>9400.0</v>
      </c>
      <c r="CU193" s="11">
        <v>10180.0</v>
      </c>
      <c r="CV193" s="11">
        <v>53990.0</v>
      </c>
      <c r="CW193" s="11">
        <v>281.0</v>
      </c>
      <c r="CX193" s="12"/>
      <c r="CY193" s="12"/>
      <c r="CZ193" s="12"/>
      <c r="DA193" s="12"/>
      <c r="DB193" s="11">
        <v>53990.0</v>
      </c>
      <c r="DC193" s="11">
        <v>21540.0</v>
      </c>
      <c r="DD193" s="11">
        <v>26150.0</v>
      </c>
      <c r="DE193" s="11">
        <v>19290.0</v>
      </c>
      <c r="DF193" s="11">
        <v>113140.0</v>
      </c>
      <c r="DG193" s="11">
        <v>78790.0</v>
      </c>
      <c r="DH193" s="11">
        <v>79220.0</v>
      </c>
      <c r="DI193" s="11">
        <v>69390.0</v>
      </c>
      <c r="DJ193" s="11">
        <v>71080.0</v>
      </c>
      <c r="DK193" s="12"/>
      <c r="DL193" s="12"/>
      <c r="DM193" s="12"/>
      <c r="DN193" s="12"/>
      <c r="DO193" s="12"/>
      <c r="DP193" s="11">
        <v>59110.0</v>
      </c>
      <c r="DQ193" s="11">
        <v>51650.0</v>
      </c>
      <c r="DR193" s="11">
        <v>47660.0</v>
      </c>
      <c r="DS193" s="11">
        <v>29270.0</v>
      </c>
      <c r="DT193" s="11">
        <v>22170.0</v>
      </c>
      <c r="DU193" s="24">
        <v>2.0</v>
      </c>
      <c r="DV193" s="11">
        <v>2.0</v>
      </c>
      <c r="DW193" s="11">
        <v>2.0</v>
      </c>
      <c r="DX193" s="24">
        <v>2.0</v>
      </c>
      <c r="DY193" s="24">
        <v>2.0</v>
      </c>
      <c r="DZ193" s="11">
        <v>69760.0</v>
      </c>
      <c r="EA193" s="11">
        <v>29740.0</v>
      </c>
      <c r="EB193" s="11">
        <v>8880.0</v>
      </c>
      <c r="EC193" s="11">
        <v>-17670.0</v>
      </c>
      <c r="ED193" s="11">
        <v>31700.0</v>
      </c>
      <c r="EE193" s="14">
        <v>0.102</v>
      </c>
      <c r="EF193" s="14">
        <v>0.199</v>
      </c>
      <c r="EG193" s="14">
        <v>-0.75</v>
      </c>
      <c r="EH193" s="14">
        <v>-0.063</v>
      </c>
    </row>
    <row r="194">
      <c r="A194" s="9">
        <f t="shared" si="2"/>
        <v>192</v>
      </c>
      <c r="B194" s="22" t="s">
        <v>328</v>
      </c>
      <c r="C194" s="12"/>
      <c r="D194" s="12"/>
      <c r="E194" s="12"/>
      <c r="F194" s="12"/>
      <c r="G194" s="12"/>
      <c r="H194" s="12"/>
      <c r="I194" s="12"/>
      <c r="J194" s="11">
        <v>-47.0</v>
      </c>
      <c r="K194" s="11">
        <v>-44.0</v>
      </c>
      <c r="L194" s="11">
        <v>-24.0</v>
      </c>
      <c r="M194" s="12"/>
      <c r="N194" s="12"/>
      <c r="O194" s="11">
        <v>29290.0</v>
      </c>
      <c r="P194" s="11">
        <v>8860.0</v>
      </c>
      <c r="Q194" s="11">
        <v>4100.0</v>
      </c>
      <c r="R194" s="12"/>
      <c r="S194" s="12"/>
      <c r="T194" s="11">
        <v>21710.0</v>
      </c>
      <c r="U194" s="11">
        <v>6950.0</v>
      </c>
      <c r="V194" s="11">
        <v>3450.0</v>
      </c>
      <c r="W194" s="12"/>
      <c r="X194" s="12"/>
      <c r="Y194" s="11">
        <v>-35730.0</v>
      </c>
      <c r="Z194" s="11">
        <v>-8920.0</v>
      </c>
      <c r="AA194" s="11">
        <v>-4530.0</v>
      </c>
      <c r="AB194" s="12"/>
      <c r="AC194" s="12"/>
      <c r="AD194" s="11">
        <v>-35260.0</v>
      </c>
      <c r="AE194" s="11">
        <v>-8930.0</v>
      </c>
      <c r="AF194" s="11">
        <v>-4600.0</v>
      </c>
      <c r="AG194" s="12"/>
      <c r="AH194" s="12"/>
      <c r="AI194" s="11">
        <v>-29290.0</v>
      </c>
      <c r="AJ194" s="11">
        <v>-8860.0</v>
      </c>
      <c r="AK194" s="11">
        <v>-4100.0</v>
      </c>
      <c r="AL194" s="12"/>
      <c r="AM194" s="12"/>
      <c r="AN194" s="11">
        <v>-35260.0</v>
      </c>
      <c r="AO194" s="11">
        <v>-8930.0</v>
      </c>
      <c r="AP194" s="11">
        <v>-4600.0</v>
      </c>
      <c r="AQ194" s="12"/>
      <c r="AR194" s="12"/>
      <c r="AS194" s="11">
        <v>-24670.0</v>
      </c>
      <c r="AT194" s="11">
        <v>-8450.0</v>
      </c>
      <c r="AU194" s="11">
        <v>-2350.0</v>
      </c>
      <c r="AV194" s="12"/>
      <c r="AW194" s="12"/>
      <c r="AX194" s="11">
        <v>-21.0</v>
      </c>
      <c r="AY194" s="11">
        <v>-76.0</v>
      </c>
      <c r="AZ194" s="11">
        <v>-77.0</v>
      </c>
      <c r="BA194" s="12"/>
      <c r="BB194" s="12"/>
      <c r="BC194" s="12"/>
      <c r="BD194" s="12"/>
      <c r="BE194" s="12"/>
      <c r="BF194" s="12"/>
      <c r="BG194" s="12"/>
      <c r="BH194" s="11">
        <v>154670.0</v>
      </c>
      <c r="BI194" s="11">
        <v>51660.0</v>
      </c>
      <c r="BJ194" s="11">
        <v>7880.0</v>
      </c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1">
        <v>155710.0</v>
      </c>
      <c r="BX194" s="11">
        <v>51680.0</v>
      </c>
      <c r="BY194" s="11">
        <v>7910.0</v>
      </c>
      <c r="BZ194" s="12"/>
      <c r="CA194" s="12"/>
      <c r="CB194" s="11">
        <v>164.0</v>
      </c>
      <c r="CC194" s="11">
        <v>134.0</v>
      </c>
      <c r="CD194" s="11">
        <v>102.0</v>
      </c>
      <c r="CE194" s="12"/>
      <c r="CF194" s="12"/>
      <c r="CG194" s="12"/>
      <c r="CH194" s="12"/>
      <c r="CI194" s="12"/>
      <c r="CJ194" s="12"/>
      <c r="CK194" s="12"/>
      <c r="CL194" s="11">
        <v>158300.0</v>
      </c>
      <c r="CM194" s="11">
        <v>51830.0</v>
      </c>
      <c r="CN194" s="11">
        <v>8020.0</v>
      </c>
      <c r="CO194" s="12"/>
      <c r="CP194" s="12"/>
      <c r="CQ194" s="11">
        <v>1960.0</v>
      </c>
      <c r="CR194" s="11">
        <v>416.0</v>
      </c>
      <c r="CS194" s="11">
        <v>152.0</v>
      </c>
      <c r="CT194" s="12"/>
      <c r="CU194" s="12"/>
      <c r="CV194" s="11">
        <v>4860.0</v>
      </c>
      <c r="CW194" s="12"/>
      <c r="CX194" s="12"/>
      <c r="CY194" s="12"/>
      <c r="CZ194" s="12"/>
      <c r="DA194" s="12"/>
      <c r="DB194" s="11">
        <v>4860.0</v>
      </c>
      <c r="DC194" s="11">
        <v>2580.0</v>
      </c>
      <c r="DD194" s="11">
        <v>2230.0</v>
      </c>
      <c r="DE194" s="12"/>
      <c r="DF194" s="11">
        <v>205450.0</v>
      </c>
      <c r="DG194" s="11">
        <v>67370.0</v>
      </c>
      <c r="DH194" s="11">
        <v>14700.0</v>
      </c>
      <c r="DI194" s="12"/>
      <c r="DJ194" s="12"/>
      <c r="DK194" s="11">
        <v>55.0</v>
      </c>
      <c r="DL194" s="12"/>
      <c r="DM194" s="12"/>
      <c r="DN194" s="12"/>
      <c r="DO194" s="12"/>
      <c r="DP194" s="11">
        <v>200570.0</v>
      </c>
      <c r="DQ194" s="11">
        <v>60770.0</v>
      </c>
      <c r="DR194" s="11">
        <v>12460.0</v>
      </c>
      <c r="DS194" s="12"/>
      <c r="DT194" s="12"/>
      <c r="DU194" s="13"/>
      <c r="DV194" s="12"/>
      <c r="DW194" s="12"/>
      <c r="DX194" s="13"/>
      <c r="DY194" s="13"/>
      <c r="DZ194" s="11">
        <v>-47160.0</v>
      </c>
      <c r="EA194" s="11">
        <v>-15540.0</v>
      </c>
      <c r="EB194" s="11">
        <v>-6680.0</v>
      </c>
      <c r="EC194" s="12"/>
      <c r="ED194" s="12"/>
      <c r="EE194" s="23"/>
      <c r="EF194" s="23"/>
      <c r="EG194" s="14">
        <v>0.068</v>
      </c>
      <c r="EH194" s="23"/>
    </row>
    <row r="195">
      <c r="A195" s="9">
        <f t="shared" si="2"/>
        <v>193</v>
      </c>
      <c r="B195" s="10" t="s">
        <v>329</v>
      </c>
      <c r="C195" s="11">
        <v>1.847E7</v>
      </c>
      <c r="D195" s="11">
        <v>1.691E7</v>
      </c>
      <c r="E195" s="11">
        <v>1.729E7</v>
      </c>
      <c r="F195" s="11">
        <v>1.598E7</v>
      </c>
      <c r="G195" s="11">
        <v>1.209E7</v>
      </c>
      <c r="H195" s="11">
        <v>1.248E7</v>
      </c>
      <c r="I195" s="11">
        <v>1.028E7</v>
      </c>
      <c r="J195" s="11">
        <v>8290000.0</v>
      </c>
      <c r="K195" s="11">
        <v>7270000.0</v>
      </c>
      <c r="L195" s="11">
        <v>5940000.0</v>
      </c>
      <c r="M195" s="11">
        <v>5990000.0</v>
      </c>
      <c r="N195" s="11">
        <v>4700000.0</v>
      </c>
      <c r="O195" s="11">
        <v>5390000.0</v>
      </c>
      <c r="P195" s="11">
        <v>5020000.0</v>
      </c>
      <c r="Q195" s="11">
        <v>3700000.0</v>
      </c>
      <c r="R195" s="11">
        <v>3830000.0</v>
      </c>
      <c r="S195" s="11">
        <v>3200000.0</v>
      </c>
      <c r="T195" s="11">
        <v>1060000.0</v>
      </c>
      <c r="U195" s="11">
        <v>1000000.0</v>
      </c>
      <c r="V195" s="11">
        <v>774000.0</v>
      </c>
      <c r="W195" s="11">
        <v>828000.0</v>
      </c>
      <c r="X195" s="11">
        <v>632000.0</v>
      </c>
      <c r="Y195" s="11">
        <v>2370000.0</v>
      </c>
      <c r="Z195" s="11">
        <v>-770000.0</v>
      </c>
      <c r="AA195" s="11">
        <v>1390000.0</v>
      </c>
      <c r="AB195" s="11">
        <v>1430000.0</v>
      </c>
      <c r="AC195" s="11">
        <v>-475000.0</v>
      </c>
      <c r="AD195" s="11">
        <v>1180000.0</v>
      </c>
      <c r="AE195" s="11">
        <v>1170000.0</v>
      </c>
      <c r="AF195" s="11">
        <v>976000.0</v>
      </c>
      <c r="AG195" s="11">
        <v>1070000.0</v>
      </c>
      <c r="AH195" s="11">
        <v>739000.0</v>
      </c>
      <c r="AI195" s="11">
        <v>5020000.0</v>
      </c>
      <c r="AJ195" s="11">
        <v>4100000.0</v>
      </c>
      <c r="AK195" s="11">
        <v>3180000.0</v>
      </c>
      <c r="AL195" s="11">
        <v>3210000.0</v>
      </c>
      <c r="AM195" s="11">
        <v>2330000.0</v>
      </c>
      <c r="AN195" s="11">
        <v>1230000.0</v>
      </c>
      <c r="AO195" s="11">
        <v>311000.0</v>
      </c>
      <c r="AP195" s="11">
        <v>1100000.0</v>
      </c>
      <c r="AQ195" s="11">
        <v>976000.0</v>
      </c>
      <c r="AR195" s="11">
        <v>695000.0</v>
      </c>
      <c r="AS195" s="11">
        <v>3330000.0</v>
      </c>
      <c r="AT195" s="11">
        <v>2870000.0</v>
      </c>
      <c r="AU195" s="11">
        <v>2550000.0</v>
      </c>
      <c r="AV195" s="11">
        <v>2560000.0</v>
      </c>
      <c r="AW195" s="11">
        <v>1730000.0</v>
      </c>
      <c r="AX195" s="11">
        <v>-957000.0</v>
      </c>
      <c r="AY195" s="11">
        <v>-895000.0</v>
      </c>
      <c r="AZ195" s="11">
        <v>-727000.0</v>
      </c>
      <c r="BA195" s="11">
        <v>-718000.0</v>
      </c>
      <c r="BB195" s="11">
        <v>-633000.0</v>
      </c>
      <c r="BC195" s="11">
        <v>-984000.0</v>
      </c>
      <c r="BD195" s="11">
        <v>-927000.0</v>
      </c>
      <c r="BE195" s="11">
        <v>-677000.0</v>
      </c>
      <c r="BF195" s="11">
        <v>-562000.0</v>
      </c>
      <c r="BG195" s="11">
        <v>-485000.0</v>
      </c>
      <c r="BH195" s="11">
        <v>620000.0</v>
      </c>
      <c r="BI195" s="11">
        <v>1250000.0</v>
      </c>
      <c r="BJ195" s="11">
        <v>1.42E7</v>
      </c>
      <c r="BK195" s="11">
        <v>1570000.0</v>
      </c>
      <c r="BL195" s="11">
        <v>1440000.0</v>
      </c>
      <c r="BM195" s="11">
        <v>2350000.0</v>
      </c>
      <c r="BN195" s="11">
        <v>2320000.0</v>
      </c>
      <c r="BO195" s="11">
        <v>1760000.0</v>
      </c>
      <c r="BP195" s="11">
        <v>1960000.0</v>
      </c>
      <c r="BQ195" s="11">
        <v>1690000.0</v>
      </c>
      <c r="BR195" s="11">
        <v>2580000.0</v>
      </c>
      <c r="BS195" s="11">
        <v>2450000.0</v>
      </c>
      <c r="BT195" s="11">
        <v>1820000.0</v>
      </c>
      <c r="BU195" s="11">
        <v>1720000.0</v>
      </c>
      <c r="BV195" s="11">
        <v>1960000.0</v>
      </c>
      <c r="BW195" s="11">
        <v>6660000.0</v>
      </c>
      <c r="BX195" s="11">
        <v>7410000.0</v>
      </c>
      <c r="BY195" s="11">
        <v>1.863E7</v>
      </c>
      <c r="BZ195" s="11">
        <v>6370000.0</v>
      </c>
      <c r="CA195" s="11">
        <v>5660000.0</v>
      </c>
      <c r="CB195" s="11">
        <v>5660000.0</v>
      </c>
      <c r="CC195" s="11">
        <v>5380000.0</v>
      </c>
      <c r="CD195" s="11">
        <v>4640000.0</v>
      </c>
      <c r="CE195" s="11">
        <v>3900000.0</v>
      </c>
      <c r="CF195" s="11">
        <v>4060000.0</v>
      </c>
      <c r="CG195" s="11">
        <v>2.338E7</v>
      </c>
      <c r="CH195" s="11">
        <v>2.36E7</v>
      </c>
      <c r="CI195" s="11">
        <v>7560000.0</v>
      </c>
      <c r="CJ195" s="11">
        <v>7420000.0</v>
      </c>
      <c r="CK195" s="11">
        <v>7540000.0</v>
      </c>
      <c r="CL195" s="11">
        <v>5.177E7</v>
      </c>
      <c r="CM195" s="11">
        <v>5.39E7</v>
      </c>
      <c r="CN195" s="11">
        <v>3.773E7</v>
      </c>
      <c r="CO195" s="11">
        <v>2.559E7</v>
      </c>
      <c r="CP195" s="11">
        <v>2.648E7</v>
      </c>
      <c r="CQ195" s="11">
        <v>1090000.0</v>
      </c>
      <c r="CR195" s="11">
        <v>1110000.0</v>
      </c>
      <c r="CS195" s="11">
        <v>797000.0</v>
      </c>
      <c r="CT195" s="11">
        <v>665000.0</v>
      </c>
      <c r="CU195" s="11">
        <v>631000.0</v>
      </c>
      <c r="CV195" s="11">
        <v>5660000.0</v>
      </c>
      <c r="CW195" s="11">
        <v>10000.0</v>
      </c>
      <c r="CX195" s="11">
        <v>10000.0</v>
      </c>
      <c r="CY195" s="11">
        <v>3000.0</v>
      </c>
      <c r="CZ195" s="11">
        <v>201000.0</v>
      </c>
      <c r="DA195" s="11">
        <v>702000.0</v>
      </c>
      <c r="DB195" s="11">
        <v>5660000.0</v>
      </c>
      <c r="DC195" s="11">
        <v>7220000.0</v>
      </c>
      <c r="DD195" s="11">
        <v>3340000.0</v>
      </c>
      <c r="DE195" s="11">
        <v>4400000.0</v>
      </c>
      <c r="DF195" s="11">
        <v>3.068E7</v>
      </c>
      <c r="DG195" s="11">
        <v>3.291E7</v>
      </c>
      <c r="DH195" s="11">
        <v>2.479E7</v>
      </c>
      <c r="DI195" s="11">
        <v>1.795E7</v>
      </c>
      <c r="DJ195" s="11">
        <v>1.931E7</v>
      </c>
      <c r="DK195" s="12"/>
      <c r="DL195" s="12"/>
      <c r="DM195" s="12"/>
      <c r="DN195" s="12"/>
      <c r="DO195" s="12"/>
      <c r="DP195" s="11">
        <v>1.808E7</v>
      </c>
      <c r="DQ195" s="11">
        <v>1.889E7</v>
      </c>
      <c r="DR195" s="11">
        <v>1.867E7</v>
      </c>
      <c r="DS195" s="11">
        <v>1.055E7</v>
      </c>
      <c r="DT195" s="11">
        <v>1.137E7</v>
      </c>
      <c r="DU195" s="11">
        <v>2000.0</v>
      </c>
      <c r="DV195" s="11">
        <v>2000.0</v>
      </c>
      <c r="DW195" s="11">
        <v>2000.0</v>
      </c>
      <c r="DX195" s="12"/>
      <c r="DY195" s="12"/>
      <c r="DZ195" s="11">
        <v>2.108E7</v>
      </c>
      <c r="EA195" s="11">
        <v>2.099E7</v>
      </c>
      <c r="EB195" s="11">
        <v>1.295E7</v>
      </c>
      <c r="EC195" s="11">
        <v>7630000.0</v>
      </c>
      <c r="ED195" s="11">
        <v>7160000.0</v>
      </c>
      <c r="EE195" s="14">
        <v>0.044</v>
      </c>
      <c r="EF195" s="14">
        <v>0.114</v>
      </c>
      <c r="EG195" s="14">
        <v>0.099</v>
      </c>
      <c r="EH195" s="14">
        <v>0.03</v>
      </c>
    </row>
    <row r="196">
      <c r="A196" s="9">
        <f t="shared" si="2"/>
        <v>194</v>
      </c>
      <c r="B196" s="22" t="s">
        <v>330</v>
      </c>
      <c r="C196" s="11">
        <v>3000.0</v>
      </c>
      <c r="D196" s="12"/>
      <c r="E196" s="11">
        <v>18.0</v>
      </c>
      <c r="F196" s="12"/>
      <c r="G196" s="12"/>
      <c r="H196" s="12"/>
      <c r="I196" s="12"/>
      <c r="J196" s="12"/>
      <c r="K196" s="11">
        <v>-650.0</v>
      </c>
      <c r="L196" s="11">
        <v>-11.0</v>
      </c>
      <c r="M196" s="12"/>
      <c r="N196" s="12"/>
      <c r="O196" s="11">
        <v>69770.0</v>
      </c>
      <c r="P196" s="11">
        <v>45090.0</v>
      </c>
      <c r="Q196" s="11">
        <v>7870.0</v>
      </c>
      <c r="R196" s="12"/>
      <c r="S196" s="12"/>
      <c r="T196" s="11">
        <v>54620.0</v>
      </c>
      <c r="U196" s="11">
        <v>33870.0</v>
      </c>
      <c r="V196" s="11">
        <v>5860.0</v>
      </c>
      <c r="W196" s="12"/>
      <c r="X196" s="12"/>
      <c r="Y196" s="11">
        <v>-80550.0</v>
      </c>
      <c r="Z196" s="11">
        <v>-61820.0</v>
      </c>
      <c r="AA196" s="11">
        <v>-7980.0</v>
      </c>
      <c r="AB196" s="12"/>
      <c r="AC196" s="12"/>
      <c r="AD196" s="11">
        <v>-78330.0</v>
      </c>
      <c r="AE196" s="11">
        <v>-116740.0</v>
      </c>
      <c r="AF196" s="11">
        <v>-8000.0</v>
      </c>
      <c r="AG196" s="12"/>
      <c r="AH196" s="12"/>
      <c r="AI196" s="11">
        <v>-69750.0</v>
      </c>
      <c r="AJ196" s="11">
        <v>-45090.0</v>
      </c>
      <c r="AK196" s="11">
        <v>-7870.0</v>
      </c>
      <c r="AL196" s="12"/>
      <c r="AM196" s="12"/>
      <c r="AN196" s="11">
        <v>-78330.0</v>
      </c>
      <c r="AO196" s="11">
        <v>-115260.0</v>
      </c>
      <c r="AP196" s="11">
        <v>-8000.0</v>
      </c>
      <c r="AQ196" s="12"/>
      <c r="AR196" s="12"/>
      <c r="AS196" s="11">
        <v>-69470.0</v>
      </c>
      <c r="AT196" s="11">
        <v>-20300.0</v>
      </c>
      <c r="AU196" s="11">
        <v>-2710.0</v>
      </c>
      <c r="AV196" s="12"/>
      <c r="AW196" s="12"/>
      <c r="AX196" s="11">
        <v>-12520.0</v>
      </c>
      <c r="AY196" s="11">
        <v>-13120.0</v>
      </c>
      <c r="AZ196" s="11">
        <v>-346.0</v>
      </c>
      <c r="BA196" s="12"/>
      <c r="BB196" s="12"/>
      <c r="BC196" s="12"/>
      <c r="BD196" s="12"/>
      <c r="BE196" s="12"/>
      <c r="BF196" s="12"/>
      <c r="BG196" s="12"/>
      <c r="BH196" s="11">
        <v>91850.0</v>
      </c>
      <c r="BI196" s="11">
        <v>146440.0</v>
      </c>
      <c r="BJ196" s="11">
        <v>1900.0</v>
      </c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1">
        <v>94540.0</v>
      </c>
      <c r="BX196" s="11">
        <v>148280.0</v>
      </c>
      <c r="BY196" s="11">
        <v>2040.0</v>
      </c>
      <c r="BZ196" s="12"/>
      <c r="CA196" s="12"/>
      <c r="CB196" s="11">
        <v>43250.0</v>
      </c>
      <c r="CC196" s="11">
        <v>16940.0</v>
      </c>
      <c r="CD196" s="11">
        <v>335.0</v>
      </c>
      <c r="CE196" s="12"/>
      <c r="CF196" s="12"/>
      <c r="CG196" s="12"/>
      <c r="CH196" s="12"/>
      <c r="CI196" s="12"/>
      <c r="CJ196" s="12"/>
      <c r="CK196" s="12"/>
      <c r="CL196" s="11">
        <v>156100.0</v>
      </c>
      <c r="CM196" s="11">
        <v>167010.0</v>
      </c>
      <c r="CN196" s="11">
        <v>2400.0</v>
      </c>
      <c r="CO196" s="12"/>
      <c r="CP196" s="12"/>
      <c r="CQ196" s="11">
        <v>7850.0</v>
      </c>
      <c r="CR196" s="11">
        <v>7350.0</v>
      </c>
      <c r="CS196" s="11">
        <v>726.0</v>
      </c>
      <c r="CT196" s="12"/>
      <c r="CU196" s="12"/>
      <c r="CV196" s="11">
        <v>29140.0</v>
      </c>
      <c r="CW196" s="11">
        <v>4340.0</v>
      </c>
      <c r="CX196" s="12"/>
      <c r="CY196" s="11">
        <v>1010.0</v>
      </c>
      <c r="CZ196" s="12"/>
      <c r="DA196" s="12"/>
      <c r="DB196" s="11">
        <v>29140.0</v>
      </c>
      <c r="DC196" s="11">
        <v>25590.0</v>
      </c>
      <c r="DD196" s="11">
        <v>6570.0</v>
      </c>
      <c r="DE196" s="12"/>
      <c r="DF196" s="11">
        <v>55150.0</v>
      </c>
      <c r="DG196" s="11">
        <v>32980.0</v>
      </c>
      <c r="DH196" s="11">
        <v>6590.0</v>
      </c>
      <c r="DI196" s="12"/>
      <c r="DJ196" s="12"/>
      <c r="DK196" s="11">
        <v>13330.0</v>
      </c>
      <c r="DL196" s="11">
        <v>1490.0</v>
      </c>
      <c r="DM196" s="11">
        <v>30.0</v>
      </c>
      <c r="DN196" s="12"/>
      <c r="DO196" s="12"/>
      <c r="DP196" s="11">
        <v>25600.0</v>
      </c>
      <c r="DQ196" s="12"/>
      <c r="DR196" s="12"/>
      <c r="DS196" s="12"/>
      <c r="DT196" s="12"/>
      <c r="DU196" s="11">
        <v>302050.0</v>
      </c>
      <c r="DV196" s="11">
        <v>251430.0</v>
      </c>
      <c r="DW196" s="11">
        <v>5260.0</v>
      </c>
      <c r="DX196" s="13"/>
      <c r="DY196" s="13"/>
      <c r="DZ196" s="11">
        <v>100950.0</v>
      </c>
      <c r="EA196" s="11">
        <v>134030.0</v>
      </c>
      <c r="EB196" s="11">
        <v>-4180.0</v>
      </c>
      <c r="EC196" s="12"/>
      <c r="ED196" s="12"/>
      <c r="EE196" s="23"/>
      <c r="EF196" s="23"/>
      <c r="EG196" s="14">
        <v>-0.302</v>
      </c>
      <c r="EH196" s="23"/>
    </row>
    <row r="197">
      <c r="A197" s="9">
        <f t="shared" si="2"/>
        <v>195</v>
      </c>
      <c r="B197" s="10" t="s">
        <v>331</v>
      </c>
      <c r="C197" s="11">
        <v>7050000.0</v>
      </c>
      <c r="D197" s="11">
        <v>6810000.0</v>
      </c>
      <c r="E197" s="11">
        <v>7110000.0</v>
      </c>
      <c r="F197" s="11">
        <v>6420000.0</v>
      </c>
      <c r="G197" s="11">
        <v>4380000.0</v>
      </c>
      <c r="H197" s="11">
        <v>4130000.0</v>
      </c>
      <c r="I197" s="11">
        <v>2520000.0</v>
      </c>
      <c r="J197" s="11">
        <v>1460000.0</v>
      </c>
      <c r="K197" s="11">
        <v>1390000.0</v>
      </c>
      <c r="L197" s="11">
        <v>993440.0</v>
      </c>
      <c r="M197" s="11">
        <v>944770.0</v>
      </c>
      <c r="N197" s="11">
        <v>579170.0</v>
      </c>
      <c r="O197" s="11">
        <v>1280000.0</v>
      </c>
      <c r="P197" s="11">
        <v>1130000.0</v>
      </c>
      <c r="Q197" s="11">
        <v>729540.0</v>
      </c>
      <c r="R197" s="11">
        <v>687890.0</v>
      </c>
      <c r="S197" s="11">
        <v>454780.0</v>
      </c>
      <c r="T197" s="12"/>
      <c r="U197" s="11"/>
      <c r="V197" s="11"/>
      <c r="W197" s="11"/>
      <c r="X197" s="11"/>
      <c r="Y197" s="11">
        <v>147750.0</v>
      </c>
      <c r="Z197" s="11">
        <v>204630.0</v>
      </c>
      <c r="AA197" s="11">
        <v>216100.0</v>
      </c>
      <c r="AB197" s="11">
        <v>204180.0</v>
      </c>
      <c r="AC197" s="11">
        <v>117080.0</v>
      </c>
      <c r="AD197" s="11">
        <v>-10780.0</v>
      </c>
      <c r="AE197" s="11">
        <v>68080.0</v>
      </c>
      <c r="AF197" s="11">
        <v>163350.0</v>
      </c>
      <c r="AG197" s="11">
        <v>146530.0</v>
      </c>
      <c r="AH197" s="11">
        <v>106040.0</v>
      </c>
      <c r="AI197" s="11">
        <v>454710.0</v>
      </c>
      <c r="AJ197" s="11">
        <v>460530.0</v>
      </c>
      <c r="AK197" s="11">
        <v>380360.0</v>
      </c>
      <c r="AL197" s="11">
        <v>357080.0</v>
      </c>
      <c r="AM197" s="11">
        <v>159240.0</v>
      </c>
      <c r="AN197" s="11">
        <v>-10610.0</v>
      </c>
      <c r="AO197" s="11">
        <v>90880.0</v>
      </c>
      <c r="AP197" s="11">
        <v>100860.0</v>
      </c>
      <c r="AQ197" s="11">
        <v>89920.0</v>
      </c>
      <c r="AR197" s="11">
        <v>62280.0</v>
      </c>
      <c r="AS197" s="11">
        <v>212650.0</v>
      </c>
      <c r="AT197" s="11">
        <v>539380.0</v>
      </c>
      <c r="AU197" s="11">
        <v>315200.0</v>
      </c>
      <c r="AV197" s="11">
        <v>120650.0</v>
      </c>
      <c r="AW197" s="11">
        <v>109340.0</v>
      </c>
      <c r="AX197" s="11">
        <v>-57030.0</v>
      </c>
      <c r="AY197" s="11">
        <v>-46010.0</v>
      </c>
      <c r="AZ197" s="11">
        <v>-39830.0</v>
      </c>
      <c r="BA197" s="11">
        <v>-26320.0</v>
      </c>
      <c r="BB197" s="11">
        <v>-20800.0</v>
      </c>
      <c r="BC197" s="11">
        <v>-24000.0</v>
      </c>
      <c r="BD197" s="11">
        <v>-12980.0</v>
      </c>
      <c r="BE197" s="13"/>
      <c r="BF197" s="13"/>
      <c r="BG197" s="13"/>
      <c r="BH197" s="11">
        <v>72290.0</v>
      </c>
      <c r="BI197" s="11">
        <v>129930.0</v>
      </c>
      <c r="BJ197" s="11">
        <v>138250.0</v>
      </c>
      <c r="BK197" s="11">
        <v>31390.0</v>
      </c>
      <c r="BL197" s="11">
        <v>45660.0</v>
      </c>
      <c r="BM197" s="11">
        <v>1370000.0</v>
      </c>
      <c r="BN197" s="11">
        <v>1090000.0</v>
      </c>
      <c r="BO197" s="11">
        <v>704530.0</v>
      </c>
      <c r="BP197" s="11">
        <v>626970.0</v>
      </c>
      <c r="BQ197" s="11">
        <v>476560.0</v>
      </c>
      <c r="BR197" s="11">
        <v>1020000.0</v>
      </c>
      <c r="BS197" s="11">
        <v>936050.0</v>
      </c>
      <c r="BT197" s="11">
        <v>551920.0</v>
      </c>
      <c r="BU197" s="11">
        <v>480740.0</v>
      </c>
      <c r="BV197" s="11">
        <v>321000.0</v>
      </c>
      <c r="BW197" s="11">
        <v>2510000.0</v>
      </c>
      <c r="BX197" s="11">
        <v>2400000.0</v>
      </c>
      <c r="BY197" s="11">
        <v>1600000.0</v>
      </c>
      <c r="BZ197" s="11">
        <v>1300000.0</v>
      </c>
      <c r="CA197" s="11">
        <v>866630.0</v>
      </c>
      <c r="CB197" s="11">
        <v>260380.0</v>
      </c>
      <c r="CC197" s="11">
        <v>280410.0</v>
      </c>
      <c r="CD197" s="11">
        <v>156130.0</v>
      </c>
      <c r="CE197" s="11">
        <v>148570.0</v>
      </c>
      <c r="CF197" s="11">
        <v>90410.0</v>
      </c>
      <c r="CG197" s="11">
        <v>2490000.0</v>
      </c>
      <c r="CH197" s="11">
        <v>2490000.0</v>
      </c>
      <c r="CI197" s="11">
        <v>1250000.0</v>
      </c>
      <c r="CJ197" s="11">
        <v>1200000.0</v>
      </c>
      <c r="CK197" s="11">
        <v>496420.0</v>
      </c>
      <c r="CL197" s="11">
        <v>6450000.0</v>
      </c>
      <c r="CM197" s="11">
        <v>6560000.0</v>
      </c>
      <c r="CN197" s="11">
        <v>3500000.0</v>
      </c>
      <c r="CO197" s="11">
        <v>3180000.0</v>
      </c>
      <c r="CP197" s="11">
        <v>1550000.0</v>
      </c>
      <c r="CQ197" s="11">
        <v>822930.0</v>
      </c>
      <c r="CR197" s="11">
        <v>880870.0</v>
      </c>
      <c r="CS197" s="11">
        <v>503700.0</v>
      </c>
      <c r="CT197" s="11">
        <v>360920.0</v>
      </c>
      <c r="CU197" s="11">
        <v>244890.0</v>
      </c>
      <c r="CV197" s="11">
        <v>1440000.0</v>
      </c>
      <c r="CW197" s="11"/>
      <c r="CX197" s="13"/>
      <c r="CY197" s="13"/>
      <c r="CZ197" s="12"/>
      <c r="DA197" s="12"/>
      <c r="DB197" s="11">
        <v>1440000.0</v>
      </c>
      <c r="DC197" s="11">
        <v>1510000.0</v>
      </c>
      <c r="DD197" s="11">
        <v>779140.0</v>
      </c>
      <c r="DE197" s="11">
        <v>536840.0</v>
      </c>
      <c r="DF197" s="11">
        <v>4190000.0</v>
      </c>
      <c r="DG197" s="11">
        <v>4270000.0</v>
      </c>
      <c r="DH197" s="11">
        <v>1720000.0</v>
      </c>
      <c r="DI197" s="11">
        <v>1860000.0</v>
      </c>
      <c r="DJ197" s="11">
        <v>662800.0</v>
      </c>
      <c r="DK197" s="12"/>
      <c r="DL197" s="12"/>
      <c r="DM197" s="12"/>
      <c r="DN197" s="12"/>
      <c r="DO197" s="12"/>
      <c r="DP197" s="11">
        <v>2580000.0</v>
      </c>
      <c r="DQ197" s="11">
        <v>2600000.0</v>
      </c>
      <c r="DR197" s="11">
        <v>750230.0</v>
      </c>
      <c r="DS197" s="11">
        <v>1120000.0</v>
      </c>
      <c r="DT197" s="11">
        <v>196740.0</v>
      </c>
      <c r="DU197" s="11">
        <v>399200.0</v>
      </c>
      <c r="DV197" s="11">
        <v>399200.0</v>
      </c>
      <c r="DW197" s="12"/>
      <c r="DX197" s="13"/>
      <c r="DY197" s="13"/>
      <c r="DZ197" s="11">
        <v>2260000.0</v>
      </c>
      <c r="EA197" s="11">
        <v>2280000.0</v>
      </c>
      <c r="EB197" s="11">
        <v>1780000.0</v>
      </c>
      <c r="EC197" s="11">
        <v>1320000.0</v>
      </c>
      <c r="ED197" s="11">
        <v>883120.0</v>
      </c>
      <c r="EE197" s="14">
        <v>0.07</v>
      </c>
      <c r="EF197" s="14">
        <v>0.074</v>
      </c>
      <c r="EG197" s="14">
        <v>0.048</v>
      </c>
      <c r="EH197" s="14">
        <v>-0.101</v>
      </c>
    </row>
    <row r="198">
      <c r="A198" s="9">
        <f t="shared" si="2"/>
        <v>196</v>
      </c>
      <c r="B198" s="10" t="s">
        <v>332</v>
      </c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3"/>
      <c r="CY198" s="13"/>
      <c r="CZ198" s="13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3"/>
      <c r="DV198" s="12"/>
      <c r="DW198" s="12"/>
      <c r="DX198" s="13"/>
      <c r="DY198" s="13"/>
      <c r="DZ198" s="12"/>
      <c r="EA198" s="12"/>
      <c r="EB198" s="12"/>
      <c r="EC198" s="12"/>
      <c r="ED198" s="12"/>
      <c r="EE198" s="23"/>
      <c r="EF198" s="23"/>
      <c r="EG198" s="23"/>
      <c r="EH198" s="23"/>
    </row>
    <row r="199">
      <c r="A199" s="9">
        <f t="shared" si="2"/>
        <v>197</v>
      </c>
      <c r="B199" s="22" t="s">
        <v>333</v>
      </c>
      <c r="C199" s="11">
        <v>42700.0</v>
      </c>
      <c r="D199" s="11">
        <v>26700.0</v>
      </c>
      <c r="E199" s="11">
        <v>31270.0</v>
      </c>
      <c r="F199" s="11">
        <v>21110.0</v>
      </c>
      <c r="G199" s="11">
        <v>12030.0</v>
      </c>
      <c r="H199" s="11">
        <v>6130.0</v>
      </c>
      <c r="I199" s="11">
        <v>4140.0</v>
      </c>
      <c r="J199" s="11">
        <v>23250.0</v>
      </c>
      <c r="K199" s="11">
        <v>15920.0</v>
      </c>
      <c r="L199" s="11">
        <v>9570.0</v>
      </c>
      <c r="M199" s="11">
        <v>3660.0</v>
      </c>
      <c r="N199" s="11">
        <v>2100.0</v>
      </c>
      <c r="O199" s="11">
        <v>46630.0</v>
      </c>
      <c r="P199" s="11">
        <v>33900.0</v>
      </c>
      <c r="Q199" s="11">
        <v>22920.0</v>
      </c>
      <c r="R199" s="11">
        <v>14610.0</v>
      </c>
      <c r="S199" s="11">
        <v>12060.0</v>
      </c>
      <c r="T199" s="11">
        <v>4560.0</v>
      </c>
      <c r="U199" s="11">
        <v>3830.0</v>
      </c>
      <c r="V199" s="11">
        <v>3520.0</v>
      </c>
      <c r="W199" s="11">
        <v>3950.0</v>
      </c>
      <c r="X199" s="11">
        <v>5510.0</v>
      </c>
      <c r="Y199" s="12"/>
      <c r="Z199" s="12"/>
      <c r="AA199" s="12"/>
      <c r="AB199" s="12"/>
      <c r="AC199" s="12"/>
      <c r="AD199" s="11">
        <v>-4780.0</v>
      </c>
      <c r="AE199" s="11">
        <v>-19270.0</v>
      </c>
      <c r="AF199" s="11">
        <v>-16100.0</v>
      </c>
      <c r="AG199" s="11">
        <v>-10580.0</v>
      </c>
      <c r="AH199" s="11">
        <v>-11200.0</v>
      </c>
      <c r="AI199" s="11">
        <v>-20220.0</v>
      </c>
      <c r="AJ199" s="11">
        <v>-17230.0</v>
      </c>
      <c r="AK199" s="11">
        <v>-12470.0</v>
      </c>
      <c r="AL199" s="11">
        <v>-10120.0</v>
      </c>
      <c r="AM199" s="11">
        <v>-9150.0</v>
      </c>
      <c r="AN199" s="11">
        <v>-7360.0</v>
      </c>
      <c r="AO199" s="11">
        <v>-8880.0</v>
      </c>
      <c r="AP199" s="11">
        <v>-16100.0</v>
      </c>
      <c r="AQ199" s="11">
        <v>-10580.0</v>
      </c>
      <c r="AR199" s="11">
        <v>-11200.0</v>
      </c>
      <c r="AS199" s="11">
        <v>-33560.0</v>
      </c>
      <c r="AT199" s="11">
        <v>-13970.0</v>
      </c>
      <c r="AU199" s="11">
        <v>-13710.0</v>
      </c>
      <c r="AV199" s="11">
        <v>-11580.0</v>
      </c>
      <c r="AW199" s="11">
        <v>-10760.0</v>
      </c>
      <c r="AX199" s="11">
        <v>-1850.0</v>
      </c>
      <c r="AY199" s="11">
        <v>-513.0</v>
      </c>
      <c r="AZ199" s="11">
        <v>-397.0</v>
      </c>
      <c r="BA199" s="11">
        <v>-485.0</v>
      </c>
      <c r="BB199" s="11">
        <v>-180.0</v>
      </c>
      <c r="BC199" s="12"/>
      <c r="BD199" s="12"/>
      <c r="BE199" s="12"/>
      <c r="BF199" s="12"/>
      <c r="BG199" s="12"/>
      <c r="BH199" s="11">
        <v>11120.0</v>
      </c>
      <c r="BI199" s="11">
        <v>19450.0</v>
      </c>
      <c r="BJ199" s="11">
        <v>11180.0</v>
      </c>
      <c r="BK199" s="11">
        <v>16500.0</v>
      </c>
      <c r="BL199" s="11">
        <v>4690.0</v>
      </c>
      <c r="BM199" s="11">
        <v>5040.0</v>
      </c>
      <c r="BN199" s="11">
        <v>3450.0</v>
      </c>
      <c r="BO199" s="11">
        <v>1610.0</v>
      </c>
      <c r="BP199" s="11">
        <v>1660.0</v>
      </c>
      <c r="BQ199" s="11">
        <v>927.0</v>
      </c>
      <c r="BR199" s="11">
        <v>4070.0</v>
      </c>
      <c r="BS199" s="11">
        <v>3180.0</v>
      </c>
      <c r="BT199" s="11">
        <v>3730.0</v>
      </c>
      <c r="BU199" s="11">
        <v>3650.0</v>
      </c>
      <c r="BV199" s="11">
        <v>1530.0</v>
      </c>
      <c r="BW199" s="11">
        <v>22490.0</v>
      </c>
      <c r="BX199" s="11">
        <v>27590.0</v>
      </c>
      <c r="BY199" s="11">
        <v>17550.0</v>
      </c>
      <c r="BZ199" s="11">
        <v>21980.0</v>
      </c>
      <c r="CA199" s="11">
        <v>7220.0</v>
      </c>
      <c r="CB199" s="11">
        <v>5230.0</v>
      </c>
      <c r="CC199" s="11">
        <v>794.0</v>
      </c>
      <c r="CD199" s="11">
        <v>746.0</v>
      </c>
      <c r="CE199" s="11">
        <v>645.0</v>
      </c>
      <c r="CF199" s="11">
        <v>373.0</v>
      </c>
      <c r="CG199" s="12"/>
      <c r="CH199" s="12"/>
      <c r="CI199" s="12"/>
      <c r="CJ199" s="12"/>
      <c r="CK199" s="12"/>
      <c r="CL199" s="11">
        <v>60040.0</v>
      </c>
      <c r="CM199" s="11">
        <v>39130.0</v>
      </c>
      <c r="CN199" s="11">
        <v>19850.0</v>
      </c>
      <c r="CO199" s="11">
        <v>23880.0</v>
      </c>
      <c r="CP199" s="11">
        <v>9500.0</v>
      </c>
      <c r="CQ199" s="11">
        <v>4200.0</v>
      </c>
      <c r="CR199" s="11">
        <v>1810.0</v>
      </c>
      <c r="CS199" s="11">
        <v>1080.0</v>
      </c>
      <c r="CT199" s="11">
        <v>2090.0</v>
      </c>
      <c r="CU199" s="11">
        <v>1040.0</v>
      </c>
      <c r="CV199" s="11">
        <v>11580.0</v>
      </c>
      <c r="CW199" s="11">
        <v>174.0</v>
      </c>
      <c r="CX199" s="24">
        <v>165.0</v>
      </c>
      <c r="CY199" s="24">
        <v>170.0</v>
      </c>
      <c r="CZ199" s="24">
        <v>274.0</v>
      </c>
      <c r="DA199" s="11">
        <v>830.0</v>
      </c>
      <c r="DB199" s="11">
        <v>11580.0</v>
      </c>
      <c r="DC199" s="11">
        <v>7770.0</v>
      </c>
      <c r="DD199" s="11">
        <v>4110.0</v>
      </c>
      <c r="DE199" s="11">
        <v>4440.0</v>
      </c>
      <c r="DF199" s="11">
        <v>50080.0</v>
      </c>
      <c r="DG199" s="11">
        <v>22780.0</v>
      </c>
      <c r="DH199" s="11">
        <v>16470.0</v>
      </c>
      <c r="DI199" s="11">
        <v>8040.0</v>
      </c>
      <c r="DJ199" s="11">
        <v>14310.0</v>
      </c>
      <c r="DK199" s="12"/>
      <c r="DL199" s="12"/>
      <c r="DM199" s="12"/>
      <c r="DN199" s="12"/>
      <c r="DO199" s="12"/>
      <c r="DP199" s="11">
        <v>22110.0</v>
      </c>
      <c r="DQ199" s="11">
        <v>13460.0</v>
      </c>
      <c r="DR199" s="11">
        <v>12360.0</v>
      </c>
      <c r="DS199" s="11">
        <v>3600.0</v>
      </c>
      <c r="DT199" s="11">
        <v>11230.0</v>
      </c>
      <c r="DU199" s="13"/>
      <c r="DV199" s="12"/>
      <c r="DW199" s="12"/>
      <c r="DX199" s="13"/>
      <c r="DY199" s="13"/>
      <c r="DZ199" s="11">
        <v>9960.0</v>
      </c>
      <c r="EA199" s="11">
        <v>16360.0</v>
      </c>
      <c r="EB199" s="11">
        <v>3380.0</v>
      </c>
      <c r="EC199" s="11">
        <v>15840.0</v>
      </c>
      <c r="ED199" s="11">
        <v>-4810.0</v>
      </c>
      <c r="EE199" s="14">
        <v>0.0</v>
      </c>
      <c r="EF199" s="14">
        <v>0.0</v>
      </c>
      <c r="EG199" s="14">
        <v>0.088</v>
      </c>
      <c r="EH199" s="14">
        <v>0.452</v>
      </c>
    </row>
    <row r="200">
      <c r="A200" s="9">
        <f t="shared" si="2"/>
        <v>198</v>
      </c>
      <c r="B200" s="10" t="s">
        <v>334</v>
      </c>
      <c r="C200" s="15">
        <v>4.046E7</v>
      </c>
      <c r="D200" s="15">
        <v>3.915E7</v>
      </c>
      <c r="E200" s="15">
        <v>4.114E7</v>
      </c>
      <c r="F200" s="15">
        <v>4.575E7</v>
      </c>
      <c r="G200" s="15">
        <v>4.579E7</v>
      </c>
      <c r="H200" s="15">
        <v>4.268E7</v>
      </c>
      <c r="I200" s="15">
        <v>4.346E7</v>
      </c>
      <c r="J200" s="15">
        <v>2040000.0</v>
      </c>
      <c r="K200" s="15">
        <v>2030000.0</v>
      </c>
      <c r="L200" s="15">
        <v>1130000.0</v>
      </c>
      <c r="M200" s="15">
        <v>2240000.0</v>
      </c>
      <c r="N200" s="15">
        <v>2290000.0</v>
      </c>
      <c r="O200" s="15">
        <v>1270000.0</v>
      </c>
      <c r="P200" s="15">
        <v>1370000.0</v>
      </c>
      <c r="Q200" s="15">
        <v>1360000.0</v>
      </c>
      <c r="R200" s="15">
        <v>1280000.0</v>
      </c>
      <c r="S200" s="15">
        <v>1420000.0</v>
      </c>
      <c r="T200" s="15">
        <v>15000.0</v>
      </c>
      <c r="U200" s="15">
        <v>15000.0</v>
      </c>
      <c r="V200" s="15">
        <v>20000.0</v>
      </c>
      <c r="W200" s="15">
        <v>17000.0</v>
      </c>
      <c r="X200" s="15">
        <v>16000.0</v>
      </c>
      <c r="Y200" s="15">
        <v>-1010000.0</v>
      </c>
      <c r="Z200" s="15">
        <v>839000.0</v>
      </c>
      <c r="AA200" s="15">
        <v>541000.0</v>
      </c>
      <c r="AB200" s="15">
        <v>359000.0</v>
      </c>
      <c r="AC200" s="15">
        <v>66000.0</v>
      </c>
      <c r="AD200" s="15">
        <v>-1210000.0</v>
      </c>
      <c r="AE200" s="15">
        <v>456000.0</v>
      </c>
      <c r="AF200" s="15">
        <v>230000.0</v>
      </c>
      <c r="AG200" s="15">
        <v>996000.0</v>
      </c>
      <c r="AH200" s="15">
        <v>1050000.0</v>
      </c>
      <c r="AI200" s="15">
        <v>1310000.0</v>
      </c>
      <c r="AJ200" s="15">
        <v>1280000.0</v>
      </c>
      <c r="AK200" s="15">
        <v>378000.0</v>
      </c>
      <c r="AL200" s="15">
        <v>1500000.0</v>
      </c>
      <c r="AM200" s="15">
        <v>1410000.0</v>
      </c>
      <c r="AN200" s="15">
        <v>-1290000.0</v>
      </c>
      <c r="AO200" s="15">
        <v>257000.0</v>
      </c>
      <c r="AP200" s="15">
        <v>160000.0</v>
      </c>
      <c r="AQ200" s="15">
        <v>752000.0</v>
      </c>
      <c r="AR200" s="15">
        <v>737000.0</v>
      </c>
      <c r="AS200" s="15">
        <v>-582000.0</v>
      </c>
      <c r="AT200" s="15">
        <v>-1320000.0</v>
      </c>
      <c r="AU200" s="15">
        <v>-1850000.0</v>
      </c>
      <c r="AV200" s="15">
        <v>1830000.0</v>
      </c>
      <c r="AW200" s="15">
        <v>610000.0</v>
      </c>
      <c r="AX200" s="15">
        <v>-524000.0</v>
      </c>
      <c r="AY200" s="15">
        <v>-493000.0</v>
      </c>
      <c r="AZ200" s="15">
        <v>-662000.0</v>
      </c>
      <c r="BA200" s="15">
        <v>-784000.0</v>
      </c>
      <c r="BB200" s="15">
        <v>-649000.0</v>
      </c>
      <c r="BC200" s="15">
        <v>-317000.0</v>
      </c>
      <c r="BD200" s="15">
        <v>-305000.0</v>
      </c>
      <c r="BE200" s="15">
        <v>-281000.0</v>
      </c>
      <c r="BF200" s="15">
        <v>-257000.0</v>
      </c>
      <c r="BG200" s="15">
        <v>-241000.0</v>
      </c>
      <c r="BH200" s="15">
        <v>715000.0</v>
      </c>
      <c r="BI200" s="15">
        <v>555000.0</v>
      </c>
      <c r="BJ200" s="15">
        <v>818000.0</v>
      </c>
      <c r="BK200" s="15">
        <v>1090000.0</v>
      </c>
      <c r="BL200" s="15">
        <v>970000.0</v>
      </c>
      <c r="BM200" s="15">
        <v>2320000.0</v>
      </c>
      <c r="BN200" s="15">
        <v>2370000.0</v>
      </c>
      <c r="BO200" s="15">
        <v>2290000.0</v>
      </c>
      <c r="BP200" s="15">
        <v>2410000.0</v>
      </c>
      <c r="BQ200" s="15">
        <v>2050000.0</v>
      </c>
      <c r="BR200" s="15">
        <v>5380000.0</v>
      </c>
      <c r="BS200" s="15">
        <v>6130000.0</v>
      </c>
      <c r="BT200" s="15">
        <v>5490000.0</v>
      </c>
      <c r="BU200" s="15">
        <v>5370000.0</v>
      </c>
      <c r="BV200" s="15">
        <v>4990000.0</v>
      </c>
      <c r="BW200" s="15">
        <v>1.025E7</v>
      </c>
      <c r="BX200" s="15">
        <v>1.107E7</v>
      </c>
      <c r="BY200" s="15">
        <v>1.04E7</v>
      </c>
      <c r="BZ200" s="15">
        <v>1.109E7</v>
      </c>
      <c r="CA200" s="15">
        <v>1.092E7</v>
      </c>
      <c r="CB200" s="15">
        <v>4930000.0</v>
      </c>
      <c r="CC200" s="15">
        <v>5200000.0</v>
      </c>
      <c r="CD200" s="15">
        <v>5310000.0</v>
      </c>
      <c r="CE200" s="15">
        <v>5100000.0</v>
      </c>
      <c r="CF200" s="15">
        <v>4740000.0</v>
      </c>
      <c r="CG200" s="15">
        <v>611000.0</v>
      </c>
      <c r="CH200" s="15">
        <v>727000.0</v>
      </c>
      <c r="CI200" s="15">
        <v>515000.0</v>
      </c>
      <c r="CJ200" s="15">
        <v>373000.0</v>
      </c>
      <c r="CK200" s="15">
        <v>418000.0</v>
      </c>
      <c r="CL200" s="15">
        <v>1.832E7</v>
      </c>
      <c r="CM200" s="15">
        <v>1.943E7</v>
      </c>
      <c r="CN200" s="15">
        <v>1.887E7</v>
      </c>
      <c r="CO200" s="15">
        <v>1.919E7</v>
      </c>
      <c r="CP200" s="15">
        <v>1.791E7</v>
      </c>
      <c r="CQ200" s="15">
        <v>2840000.0</v>
      </c>
      <c r="CR200" s="15">
        <v>3500000.0</v>
      </c>
      <c r="CS200" s="15">
        <v>3400000.0</v>
      </c>
      <c r="CT200" s="15">
        <v>3490000.0</v>
      </c>
      <c r="CU200" s="15">
        <v>2680000.0</v>
      </c>
      <c r="CV200" s="15">
        <v>6600000.0</v>
      </c>
      <c r="CW200" s="15">
        <v>987000.0</v>
      </c>
      <c r="CX200" s="15">
        <v>750000.0</v>
      </c>
      <c r="CY200" s="15">
        <v>619000.0</v>
      </c>
      <c r="CZ200" s="15">
        <v>785000.0</v>
      </c>
      <c r="DA200" s="15">
        <v>973000.0</v>
      </c>
      <c r="DB200" s="15">
        <v>6600000.0</v>
      </c>
      <c r="DC200" s="15">
        <v>7170000.0</v>
      </c>
      <c r="DD200" s="15">
        <v>6220000.0</v>
      </c>
      <c r="DE200" s="15">
        <v>7680000.0</v>
      </c>
      <c r="DF200" s="15">
        <v>1.189E7</v>
      </c>
      <c r="DG200" s="15">
        <v>1.262E7</v>
      </c>
      <c r="DH200" s="15">
        <v>1.151E7</v>
      </c>
      <c r="DI200" s="15">
        <v>1.185E7</v>
      </c>
      <c r="DJ200" s="15">
        <v>1.123E7</v>
      </c>
      <c r="DK200" s="15">
        <v>1150000.0</v>
      </c>
      <c r="DL200" s="15">
        <v>660000.0</v>
      </c>
      <c r="DM200" s="15">
        <v>982000.0</v>
      </c>
      <c r="DN200" s="15">
        <v>1020000.0</v>
      </c>
      <c r="DO200" s="15">
        <v>497000.0</v>
      </c>
      <c r="DP200" s="15">
        <v>4260000.0</v>
      </c>
      <c r="DQ200" s="15">
        <v>4200000.0</v>
      </c>
      <c r="DR200" s="15">
        <v>4160000.0</v>
      </c>
      <c r="DS200" s="15">
        <v>3070000.0</v>
      </c>
      <c r="DT200" s="15">
        <v>2930000.0</v>
      </c>
      <c r="DU200" s="15">
        <v>690000.0</v>
      </c>
      <c r="DV200" s="15">
        <v>690000.0</v>
      </c>
      <c r="DW200" s="15">
        <v>690000.0</v>
      </c>
      <c r="DX200" s="15">
        <v>690000.0</v>
      </c>
      <c r="DY200" s="15">
        <v>690000.0</v>
      </c>
      <c r="DZ200" s="15">
        <v>5910000.0</v>
      </c>
      <c r="EA200" s="15">
        <v>6170000.0</v>
      </c>
      <c r="EB200" s="15">
        <v>7150000.0</v>
      </c>
      <c r="EC200" s="15">
        <v>7140000.0</v>
      </c>
      <c r="ED200" s="15">
        <v>6440000.0</v>
      </c>
      <c r="EE200" s="17">
        <v>0.068</v>
      </c>
      <c r="EF200" s="17">
        <v>0.043</v>
      </c>
      <c r="EG200" s="17">
        <v>1.939</v>
      </c>
      <c r="EH200" s="17">
        <v>0.962</v>
      </c>
    </row>
    <row r="201">
      <c r="A201" s="9">
        <f t="shared" si="2"/>
        <v>199</v>
      </c>
      <c r="B201" s="10" t="s">
        <v>335</v>
      </c>
      <c r="C201" s="11">
        <v>1000000.0</v>
      </c>
      <c r="D201" s="11">
        <v>996500.0</v>
      </c>
      <c r="E201" s="11">
        <v>996500.0</v>
      </c>
      <c r="F201" s="11">
        <v>987580.0</v>
      </c>
      <c r="G201" s="11">
        <v>1010000.0</v>
      </c>
      <c r="H201" s="11">
        <v>1020000.0</v>
      </c>
      <c r="I201" s="11">
        <v>1030000.0</v>
      </c>
      <c r="J201" s="11">
        <v>312020.0</v>
      </c>
      <c r="K201" s="11">
        <v>300850.0</v>
      </c>
      <c r="L201" s="11">
        <v>323330.0</v>
      </c>
      <c r="M201" s="11">
        <v>324460.0</v>
      </c>
      <c r="N201" s="11">
        <v>324960.0</v>
      </c>
      <c r="O201" s="11">
        <v>295570.0</v>
      </c>
      <c r="P201" s="11">
        <v>300130.0</v>
      </c>
      <c r="Q201" s="11">
        <v>301820.0</v>
      </c>
      <c r="R201" s="11">
        <v>293750.0</v>
      </c>
      <c r="S201" s="11">
        <v>297830.0</v>
      </c>
      <c r="T201" s="12"/>
      <c r="U201" s="11"/>
      <c r="V201" s="11"/>
      <c r="W201" s="11"/>
      <c r="X201" s="11"/>
      <c r="Y201" s="11">
        <v>14830.0</v>
      </c>
      <c r="Z201" s="11">
        <v>-1230.0</v>
      </c>
      <c r="AA201" s="11">
        <v>16340.0</v>
      </c>
      <c r="AB201" s="11">
        <v>29490.0</v>
      </c>
      <c r="AC201" s="11">
        <v>26540.0</v>
      </c>
      <c r="AD201" s="11">
        <v>11780.0</v>
      </c>
      <c r="AE201" s="11">
        <v>-4600.0</v>
      </c>
      <c r="AF201" s="11">
        <v>14700.0</v>
      </c>
      <c r="AG201" s="11">
        <v>27940.0</v>
      </c>
      <c r="AH201" s="11">
        <v>24750.0</v>
      </c>
      <c r="AI201" s="11">
        <v>97230.0</v>
      </c>
      <c r="AJ201" s="11">
        <v>20260.0</v>
      </c>
      <c r="AK201" s="11">
        <v>40740.0</v>
      </c>
      <c r="AL201" s="11">
        <v>49840.0</v>
      </c>
      <c r="AM201" s="11">
        <v>48540.0</v>
      </c>
      <c r="AN201" s="11">
        <v>8450.0</v>
      </c>
      <c r="AO201" s="11">
        <v>-3530.0</v>
      </c>
      <c r="AP201" s="11">
        <v>1100.0</v>
      </c>
      <c r="AQ201" s="11">
        <v>16890.0</v>
      </c>
      <c r="AR201" s="11">
        <v>15300.0</v>
      </c>
      <c r="AS201" s="11">
        <v>77250.0</v>
      </c>
      <c r="AT201" s="11">
        <v>24520.0</v>
      </c>
      <c r="AU201" s="11">
        <v>-4380.0</v>
      </c>
      <c r="AV201" s="11">
        <v>73670.0</v>
      </c>
      <c r="AW201" s="11">
        <v>39650.0</v>
      </c>
      <c r="AX201" s="11">
        <v>-9360.0</v>
      </c>
      <c r="AY201" s="11">
        <v>-15460.0</v>
      </c>
      <c r="AZ201" s="11">
        <v>-16460.0</v>
      </c>
      <c r="BA201" s="11">
        <v>-14110.0</v>
      </c>
      <c r="BB201" s="11">
        <v>-24570.0</v>
      </c>
      <c r="BC201" s="11">
        <v>-4400.0</v>
      </c>
      <c r="BD201" s="11">
        <v>-10660.0</v>
      </c>
      <c r="BE201" s="11">
        <v>-12990.0</v>
      </c>
      <c r="BF201" s="11">
        <v>-11480.0</v>
      </c>
      <c r="BG201" s="11">
        <v>-8810.0</v>
      </c>
      <c r="BH201" s="11">
        <v>8220.0</v>
      </c>
      <c r="BI201" s="11">
        <v>6770.0</v>
      </c>
      <c r="BJ201" s="11">
        <v>7170.0</v>
      </c>
      <c r="BK201" s="11">
        <v>7900.0</v>
      </c>
      <c r="BL201" s="11">
        <v>7120.0</v>
      </c>
      <c r="BM201" s="11">
        <v>13650.0</v>
      </c>
      <c r="BN201" s="11">
        <v>14180.0</v>
      </c>
      <c r="BO201" s="11">
        <v>10890.0</v>
      </c>
      <c r="BP201" s="11">
        <v>12200.0</v>
      </c>
      <c r="BQ201" s="11">
        <v>14180.0</v>
      </c>
      <c r="BR201" s="11">
        <v>309320.0</v>
      </c>
      <c r="BS201" s="11">
        <v>294900.0</v>
      </c>
      <c r="BT201" s="11">
        <v>313910.0</v>
      </c>
      <c r="BU201" s="11">
        <v>294320.0</v>
      </c>
      <c r="BV201" s="11">
        <v>299450.0</v>
      </c>
      <c r="BW201" s="11">
        <v>340860.0</v>
      </c>
      <c r="BX201" s="11">
        <v>325070.0</v>
      </c>
      <c r="BY201" s="11">
        <v>350890.0</v>
      </c>
      <c r="BZ201" s="11">
        <v>324500.0</v>
      </c>
      <c r="CA201" s="11">
        <v>344030.0</v>
      </c>
      <c r="CB201" s="11">
        <v>331000.0</v>
      </c>
      <c r="CC201" s="11">
        <v>76490.0</v>
      </c>
      <c r="CD201" s="11">
        <v>77270.0</v>
      </c>
      <c r="CE201" s="11">
        <v>78420.0</v>
      </c>
      <c r="CF201" s="11">
        <v>82040.0</v>
      </c>
      <c r="CG201" s="11"/>
      <c r="CH201" s="11"/>
      <c r="CI201" s="11"/>
      <c r="CJ201" s="11">
        <v>4430.0</v>
      </c>
      <c r="CK201" s="11">
        <v>4430.0</v>
      </c>
      <c r="CL201" s="11">
        <v>690890.0</v>
      </c>
      <c r="CM201" s="11">
        <v>419560.0</v>
      </c>
      <c r="CN201" s="11">
        <v>445060.0</v>
      </c>
      <c r="CO201" s="11">
        <v>433580.0</v>
      </c>
      <c r="CP201" s="11">
        <v>445030.0</v>
      </c>
      <c r="CQ201" s="11">
        <v>83660.0</v>
      </c>
      <c r="CR201" s="11">
        <v>80610.0</v>
      </c>
      <c r="CS201" s="11">
        <v>113740.0</v>
      </c>
      <c r="CT201" s="11">
        <v>109310.0</v>
      </c>
      <c r="CU201" s="11">
        <v>89960.0</v>
      </c>
      <c r="CV201" s="11">
        <v>222810.0</v>
      </c>
      <c r="CW201" s="11">
        <v>71540.0</v>
      </c>
      <c r="CX201" s="12"/>
      <c r="CY201" s="13"/>
      <c r="CZ201" s="12"/>
      <c r="DA201" s="12"/>
      <c r="DB201" s="11">
        <v>222810.0</v>
      </c>
      <c r="DC201" s="11">
        <v>150590.0</v>
      </c>
      <c r="DD201" s="11">
        <v>183720.0</v>
      </c>
      <c r="DE201" s="11">
        <v>187530.0</v>
      </c>
      <c r="DF201" s="11">
        <v>510520.0</v>
      </c>
      <c r="DG201" s="11">
        <v>244700.0</v>
      </c>
      <c r="DH201" s="11">
        <v>257990.0</v>
      </c>
      <c r="DI201" s="11">
        <v>228540.0</v>
      </c>
      <c r="DJ201" s="11">
        <v>246200.0</v>
      </c>
      <c r="DK201" s="12"/>
      <c r="DL201" s="12"/>
      <c r="DM201" s="12"/>
      <c r="DN201" s="12"/>
      <c r="DO201" s="12"/>
      <c r="DP201" s="11">
        <v>278150.0</v>
      </c>
      <c r="DQ201" s="11">
        <v>69820.0</v>
      </c>
      <c r="DR201" s="11">
        <v>47800.0</v>
      </c>
      <c r="DS201" s="11">
        <v>12000.0</v>
      </c>
      <c r="DT201" s="11">
        <v>57240.0</v>
      </c>
      <c r="DU201" s="13"/>
      <c r="DV201" s="12"/>
      <c r="DW201" s="12"/>
      <c r="DX201" s="12"/>
      <c r="DY201" s="12"/>
      <c r="DZ201" s="11">
        <v>180370.0</v>
      </c>
      <c r="EA201" s="11">
        <v>174860.0</v>
      </c>
      <c r="EB201" s="11">
        <v>187070.0</v>
      </c>
      <c r="EC201" s="11">
        <v>205040.0</v>
      </c>
      <c r="ED201" s="11">
        <v>198830.0</v>
      </c>
      <c r="EE201" s="14">
        <v>0.0</v>
      </c>
      <c r="EF201" s="14">
        <v>0.0</v>
      </c>
      <c r="EG201" s="14">
        <v>0.0</v>
      </c>
      <c r="EH201" s="14">
        <v>0.01</v>
      </c>
    </row>
    <row r="202">
      <c r="A202" s="9">
        <f t="shared" si="2"/>
        <v>200</v>
      </c>
      <c r="B202" s="10" t="s">
        <v>336</v>
      </c>
      <c r="C202" s="11"/>
      <c r="D202" s="11"/>
      <c r="E202" s="11">
        <v>127310.0</v>
      </c>
      <c r="F202" s="11">
        <v>115140.0</v>
      </c>
      <c r="G202" s="11">
        <v>114230.0</v>
      </c>
      <c r="H202" s="11">
        <v>116440.0</v>
      </c>
      <c r="I202" s="11">
        <v>285830.0</v>
      </c>
      <c r="J202" s="11">
        <v>45710.0</v>
      </c>
      <c r="K202" s="11">
        <v>41780.0</v>
      </c>
      <c r="L202" s="11">
        <v>40620.0</v>
      </c>
      <c r="M202" s="11">
        <v>44360.0</v>
      </c>
      <c r="N202" s="11">
        <v>104460.0</v>
      </c>
      <c r="O202" s="11">
        <v>49500.0</v>
      </c>
      <c r="P202" s="11">
        <v>51150.0</v>
      </c>
      <c r="Q202" s="11">
        <v>52010.0</v>
      </c>
      <c r="R202" s="11">
        <v>47180.0</v>
      </c>
      <c r="S202" s="11">
        <v>91130.0</v>
      </c>
      <c r="T202" s="11"/>
      <c r="U202" s="11"/>
      <c r="V202" s="11"/>
      <c r="W202" s="11"/>
      <c r="X202" s="11"/>
      <c r="Y202" s="11">
        <v>-4020.0</v>
      </c>
      <c r="Z202" s="11">
        <v>-10300.0</v>
      </c>
      <c r="AA202" s="11">
        <v>-2870.0</v>
      </c>
      <c r="AB202" s="11">
        <v>-682.0</v>
      </c>
      <c r="AC202" s="11">
        <v>-754.0</v>
      </c>
      <c r="AD202" s="11">
        <v>-9190.0</v>
      </c>
      <c r="AE202" s="11">
        <v>-13950.0</v>
      </c>
      <c r="AF202" s="11">
        <v>-17140.0</v>
      </c>
      <c r="AG202" s="11">
        <v>-7060.0</v>
      </c>
      <c r="AH202" s="11">
        <v>5490.0</v>
      </c>
      <c r="AI202" s="11">
        <v>1580.0</v>
      </c>
      <c r="AJ202" s="11">
        <v>-6420.0</v>
      </c>
      <c r="AK202" s="11">
        <v>-8850.0</v>
      </c>
      <c r="AL202" s="11">
        <v>-201.0</v>
      </c>
      <c r="AM202" s="11">
        <v>18560.0</v>
      </c>
      <c r="AN202" s="11">
        <v>-9190.0</v>
      </c>
      <c r="AO202" s="11">
        <v>-13950.0</v>
      </c>
      <c r="AP202" s="11">
        <v>-17140.0</v>
      </c>
      <c r="AQ202" s="11">
        <v>-7060.0</v>
      </c>
      <c r="AR202" s="11">
        <v>5440.0</v>
      </c>
      <c r="AS202" s="11">
        <v>-3280.0</v>
      </c>
      <c r="AT202" s="11">
        <v>-3600.0</v>
      </c>
      <c r="AU202" s="11">
        <v>-29810.0</v>
      </c>
      <c r="AV202" s="11">
        <v>7260.0</v>
      </c>
      <c r="AW202" s="11">
        <v>4700.0</v>
      </c>
      <c r="AX202" s="11">
        <v>-4830.0</v>
      </c>
      <c r="AY202" s="11">
        <v>-10370.0</v>
      </c>
      <c r="AZ202" s="11">
        <v>-6780.0</v>
      </c>
      <c r="BA202" s="11">
        <v>-4380.0</v>
      </c>
      <c r="BB202" s="11">
        <v>-6480.0</v>
      </c>
      <c r="BC202" s="11"/>
      <c r="BD202" s="11"/>
      <c r="BE202" s="11"/>
      <c r="BF202" s="11"/>
      <c r="BG202" s="11"/>
      <c r="BH202" s="11">
        <v>397.0</v>
      </c>
      <c r="BI202" s="11">
        <v>883.0</v>
      </c>
      <c r="BJ202" s="11">
        <v>780.0</v>
      </c>
      <c r="BK202" s="11">
        <v>1940.0</v>
      </c>
      <c r="BL202" s="11">
        <v>2340.0</v>
      </c>
      <c r="BM202" s="11">
        <v>4230.0</v>
      </c>
      <c r="BN202" s="11">
        <v>2650.0</v>
      </c>
      <c r="BO202" s="11">
        <v>4530.0</v>
      </c>
      <c r="BP202" s="11">
        <v>2550.0</v>
      </c>
      <c r="BQ202" s="11">
        <v>10290.0</v>
      </c>
      <c r="BR202" s="11">
        <v>71590.0</v>
      </c>
      <c r="BS202" s="11">
        <v>68520.0</v>
      </c>
      <c r="BT202" s="11">
        <v>65800.0</v>
      </c>
      <c r="BU202" s="11">
        <v>65890.0</v>
      </c>
      <c r="BV202" s="11">
        <v>137840.0</v>
      </c>
      <c r="BW202" s="11">
        <v>77630.0</v>
      </c>
      <c r="BX202" s="11">
        <v>73650.0</v>
      </c>
      <c r="BY202" s="11">
        <v>74930.0</v>
      </c>
      <c r="BZ202" s="11">
        <v>149770.0</v>
      </c>
      <c r="CA202" s="11">
        <v>152270.0</v>
      </c>
      <c r="CB202" s="11">
        <v>63710.0</v>
      </c>
      <c r="CC202" s="11">
        <v>22250.0</v>
      </c>
      <c r="CD202" s="11">
        <v>15070.0</v>
      </c>
      <c r="CE202" s="11">
        <v>11610.0</v>
      </c>
      <c r="CF202" s="11">
        <v>29420.0</v>
      </c>
      <c r="CG202" s="11"/>
      <c r="CH202" s="11"/>
      <c r="CI202" s="11"/>
      <c r="CJ202" s="11"/>
      <c r="CK202" s="11"/>
      <c r="CL202" s="11">
        <v>148000.0</v>
      </c>
      <c r="CM202" s="11">
        <v>100150.0</v>
      </c>
      <c r="CN202" s="11">
        <v>93290.0</v>
      </c>
      <c r="CO202" s="11">
        <v>178940.0</v>
      </c>
      <c r="CP202" s="11">
        <v>182970.0</v>
      </c>
      <c r="CQ202" s="11">
        <v>33850.0</v>
      </c>
      <c r="CR202" s="11">
        <v>24900.0</v>
      </c>
      <c r="CS202" s="11">
        <v>20450.0</v>
      </c>
      <c r="CT202" s="11">
        <v>18480.0</v>
      </c>
      <c r="CU202" s="11">
        <v>46730.0</v>
      </c>
      <c r="CV202" s="11">
        <v>82040.0</v>
      </c>
      <c r="CW202" s="11">
        <v>44860.0</v>
      </c>
      <c r="CX202" s="11">
        <v>35200.0</v>
      </c>
      <c r="CY202" s="11">
        <v>28640.0</v>
      </c>
      <c r="CZ202" s="11">
        <v>44840.0</v>
      </c>
      <c r="DA202" s="11">
        <v>62430.0</v>
      </c>
      <c r="DB202" s="11">
        <v>82040.0</v>
      </c>
      <c r="DC202" s="11">
        <v>68070.0</v>
      </c>
      <c r="DD202" s="11">
        <v>57520.0</v>
      </c>
      <c r="DE202" s="11">
        <v>128290.0</v>
      </c>
      <c r="DF202" s="11">
        <v>145600.0</v>
      </c>
      <c r="DG202" s="11">
        <v>89830.0</v>
      </c>
      <c r="DH202" s="11">
        <v>68100.0</v>
      </c>
      <c r="DI202" s="11">
        <v>166140.0</v>
      </c>
      <c r="DJ202" s="11">
        <v>175270.0</v>
      </c>
      <c r="DK202" s="12"/>
      <c r="DL202" s="12"/>
      <c r="DM202" s="12"/>
      <c r="DN202" s="12"/>
      <c r="DO202" s="12"/>
      <c r="DP202" s="11">
        <v>62430.0</v>
      </c>
      <c r="DQ202" s="11">
        <v>12060.0</v>
      </c>
      <c r="DR202" s="11">
        <v>3750.0</v>
      </c>
      <c r="DS202" s="11">
        <v>4060.0</v>
      </c>
      <c r="DT202" s="11">
        <v>46650.0</v>
      </c>
      <c r="DU202" s="11"/>
      <c r="DV202" s="11"/>
      <c r="DW202" s="11"/>
      <c r="DX202" s="12"/>
      <c r="DY202" s="12"/>
      <c r="DZ202" s="11">
        <v>2400.0</v>
      </c>
      <c r="EA202" s="11">
        <v>10320.0</v>
      </c>
      <c r="EB202" s="11">
        <v>25190.0</v>
      </c>
      <c r="EC202" s="11">
        <v>12800.0</v>
      </c>
      <c r="ED202" s="11">
        <v>7700.0</v>
      </c>
      <c r="EE202" s="14"/>
      <c r="EF202" s="14"/>
      <c r="EG202" s="29" t="s">
        <v>155</v>
      </c>
      <c r="EH202" s="14"/>
    </row>
    <row r="203">
      <c r="A203" s="9">
        <f t="shared" si="2"/>
        <v>201</v>
      </c>
      <c r="B203" s="22" t="s">
        <v>337</v>
      </c>
      <c r="C203" s="11">
        <v>734390.0</v>
      </c>
      <c r="D203" s="11">
        <v>326290.0</v>
      </c>
      <c r="E203" s="11">
        <v>3360000.0</v>
      </c>
      <c r="F203" s="11">
        <v>1550000.0</v>
      </c>
      <c r="G203" s="11">
        <v>1860000.0</v>
      </c>
      <c r="H203" s="11">
        <v>8310.0</v>
      </c>
      <c r="I203" s="11">
        <v>68350.0</v>
      </c>
      <c r="J203" s="11">
        <v>2650000.0</v>
      </c>
      <c r="K203" s="11">
        <v>1250000.0</v>
      </c>
      <c r="L203" s="11">
        <v>1780000.0</v>
      </c>
      <c r="M203" s="12"/>
      <c r="N203" s="12"/>
      <c r="O203" s="11">
        <v>1.017E7</v>
      </c>
      <c r="P203" s="11">
        <v>6780000.0</v>
      </c>
      <c r="Q203" s="11">
        <v>2550000.0</v>
      </c>
      <c r="R203" s="11">
        <v>902160.0</v>
      </c>
      <c r="S203" s="11">
        <v>496290.0</v>
      </c>
      <c r="T203" s="11">
        <v>7130000.0</v>
      </c>
      <c r="U203" s="11">
        <v>5250000.0</v>
      </c>
      <c r="V203" s="11">
        <v>2060000.0</v>
      </c>
      <c r="W203" s="11">
        <v>746160.0</v>
      </c>
      <c r="X203" s="11">
        <v>451590.0</v>
      </c>
      <c r="Y203" s="12"/>
      <c r="Z203" s="12"/>
      <c r="AA203" s="12"/>
      <c r="AB203" s="11">
        <v>-920430.0</v>
      </c>
      <c r="AC203" s="11">
        <v>-454080.0</v>
      </c>
      <c r="AD203" s="11">
        <v>-7390000.0</v>
      </c>
      <c r="AE203" s="11">
        <v>-5410000.0</v>
      </c>
      <c r="AF203" s="11">
        <v>-709650.0</v>
      </c>
      <c r="AG203" s="11">
        <v>-925000.0</v>
      </c>
      <c r="AH203" s="11">
        <v>-442690.0</v>
      </c>
      <c r="AI203" s="11">
        <v>-7380000.0</v>
      </c>
      <c r="AJ203" s="11">
        <v>-5450000.0</v>
      </c>
      <c r="AK203" s="11">
        <v>-731490.0</v>
      </c>
      <c r="AL203" s="11">
        <v>-893850.0</v>
      </c>
      <c r="AM203" s="11">
        <v>-427940.0</v>
      </c>
      <c r="AN203" s="11">
        <v>-7430000.0</v>
      </c>
      <c r="AO203" s="11">
        <v>-5280000.0</v>
      </c>
      <c r="AP203" s="11">
        <v>-725550.0</v>
      </c>
      <c r="AQ203" s="11">
        <v>-925420.0</v>
      </c>
      <c r="AR203" s="11">
        <v>-442690.0</v>
      </c>
      <c r="AS203" s="11">
        <v>-5860000.0</v>
      </c>
      <c r="AT203" s="11">
        <v>-4290000.0</v>
      </c>
      <c r="AU203" s="11">
        <v>99370.0</v>
      </c>
      <c r="AV203" s="11">
        <v>-694840.0</v>
      </c>
      <c r="AW203" s="11">
        <v>-308890.0</v>
      </c>
      <c r="AX203" s="11">
        <v>-702130.0</v>
      </c>
      <c r="AY203" s="11">
        <v>-555180.0</v>
      </c>
      <c r="AZ203" s="11">
        <v>-457660.0</v>
      </c>
      <c r="BA203" s="11">
        <v>-182430.0</v>
      </c>
      <c r="BB203" s="11">
        <v>-41200.0</v>
      </c>
      <c r="BC203" s="12"/>
      <c r="BD203" s="12"/>
      <c r="BE203" s="12"/>
      <c r="BF203" s="12"/>
      <c r="BG203" s="12"/>
      <c r="BH203" s="11">
        <v>7660000.0</v>
      </c>
      <c r="BI203" s="11">
        <v>1.406E7</v>
      </c>
      <c r="BJ203" s="11">
        <v>6550000.0</v>
      </c>
      <c r="BK203" s="11">
        <v>2850000.0</v>
      </c>
      <c r="BL203" s="11">
        <v>778780.0</v>
      </c>
      <c r="BM203" s="11">
        <v>567320.0</v>
      </c>
      <c r="BN203" s="11">
        <v>413110.0</v>
      </c>
      <c r="BO203" s="11">
        <v>230050.0</v>
      </c>
      <c r="BP203" s="12"/>
      <c r="BQ203" s="12"/>
      <c r="BR203" s="11">
        <v>222480.0</v>
      </c>
      <c r="BS203" s="11">
        <v>127160.0</v>
      </c>
      <c r="BT203" s="11">
        <v>85440.0</v>
      </c>
      <c r="BU203" s="12"/>
      <c r="BV203" s="12"/>
      <c r="BW203" s="11">
        <v>9140000.0</v>
      </c>
      <c r="BX203" s="11">
        <v>1.522E7</v>
      </c>
      <c r="BY203" s="11">
        <v>7140000.0</v>
      </c>
      <c r="BZ203" s="11">
        <v>2900000.0</v>
      </c>
      <c r="CA203" s="11">
        <v>823600.0</v>
      </c>
      <c r="CB203" s="11">
        <v>2610000.0</v>
      </c>
      <c r="CC203" s="11">
        <v>1320000.0</v>
      </c>
      <c r="CD203" s="11">
        <v>489110.0</v>
      </c>
      <c r="CE203" s="11">
        <v>201400.0</v>
      </c>
      <c r="CF203" s="11">
        <v>51240.0</v>
      </c>
      <c r="CG203" s="11">
        <v>849.0</v>
      </c>
      <c r="CH203" s="11">
        <v>853.0</v>
      </c>
      <c r="CI203" s="11">
        <v>852.0</v>
      </c>
      <c r="CJ203" s="12"/>
      <c r="CK203" s="12"/>
      <c r="CL203" s="11">
        <v>1.256E7</v>
      </c>
      <c r="CM203" s="11">
        <v>1.761E7</v>
      </c>
      <c r="CN203" s="11">
        <v>8180000.0</v>
      </c>
      <c r="CO203" s="11">
        <v>3150000.0</v>
      </c>
      <c r="CP203" s="11">
        <v>904940.0</v>
      </c>
      <c r="CQ203" s="11">
        <v>954400.0</v>
      </c>
      <c r="CR203" s="11">
        <v>886930.0</v>
      </c>
      <c r="CS203" s="11">
        <v>545480.0</v>
      </c>
      <c r="CT203" s="11">
        <v>92700.0</v>
      </c>
      <c r="CU203" s="11">
        <v>69600.0</v>
      </c>
      <c r="CV203" s="11">
        <v>2420000.0</v>
      </c>
      <c r="CW203" s="11">
        <v>84260.0</v>
      </c>
      <c r="CX203" s="12"/>
      <c r="CY203" s="12"/>
      <c r="CZ203" s="12"/>
      <c r="DA203" s="11">
        <v>113140.0</v>
      </c>
      <c r="DB203" s="11">
        <v>2420000.0</v>
      </c>
      <c r="DC203" s="11">
        <v>1930000.0</v>
      </c>
      <c r="DD203" s="11">
        <v>1170000.0</v>
      </c>
      <c r="DE203" s="11">
        <v>271810.0</v>
      </c>
      <c r="DF203" s="11">
        <v>4580000.0</v>
      </c>
      <c r="DG203" s="11">
        <v>3590000.0</v>
      </c>
      <c r="DH203" s="11">
        <v>2590000.0</v>
      </c>
      <c r="DI203" s="11">
        <v>410190.0</v>
      </c>
      <c r="DJ203" s="11">
        <v>328960.0</v>
      </c>
      <c r="DK203" s="11">
        <v>19290.0</v>
      </c>
      <c r="DL203" s="11">
        <v>103600.0</v>
      </c>
      <c r="DM203" s="12"/>
      <c r="DN203" s="12"/>
      <c r="DO203" s="12"/>
      <c r="DP203" s="11">
        <v>2080000.0</v>
      </c>
      <c r="DQ203" s="11">
        <v>1490000.0</v>
      </c>
      <c r="DR203" s="11">
        <v>1220000.0</v>
      </c>
      <c r="DS203" s="11">
        <v>134010.0</v>
      </c>
      <c r="DT203" s="11">
        <v>47960.0</v>
      </c>
      <c r="DU203" s="13"/>
      <c r="DV203" s="12"/>
      <c r="DW203" s="12"/>
      <c r="DX203" s="13"/>
      <c r="DY203" s="11">
        <v>1360000.0</v>
      </c>
      <c r="DZ203" s="11">
        <v>7500000.0</v>
      </c>
      <c r="EA203" s="11">
        <v>1.362E7</v>
      </c>
      <c r="EB203" s="11">
        <v>5240000.0</v>
      </c>
      <c r="EC203" s="11">
        <v>2740000.0</v>
      </c>
      <c r="ED203" s="11">
        <v>575980.0</v>
      </c>
      <c r="EE203" s="14">
        <v>0.322</v>
      </c>
      <c r="EF203" s="14">
        <v>0.366</v>
      </c>
      <c r="EG203" s="14">
        <v>0.096</v>
      </c>
      <c r="EH203" s="14">
        <v>-0.14</v>
      </c>
    </row>
    <row r="204">
      <c r="A204" s="9">
        <f t="shared" si="2"/>
        <v>202</v>
      </c>
      <c r="B204" s="10" t="s">
        <v>338</v>
      </c>
      <c r="C204" s="15">
        <v>1750000.0</v>
      </c>
      <c r="D204" s="15">
        <v>1900000.0</v>
      </c>
      <c r="E204" s="15">
        <v>1660000.0</v>
      </c>
      <c r="F204" s="15">
        <v>1700000.0</v>
      </c>
      <c r="G204" s="15">
        <v>1650000.0</v>
      </c>
      <c r="H204" s="15">
        <v>1390000.0</v>
      </c>
      <c r="I204" s="15">
        <v>966360.0</v>
      </c>
      <c r="J204" s="15">
        <v>369310.0</v>
      </c>
      <c r="K204" s="15">
        <v>341140.0</v>
      </c>
      <c r="L204" s="15">
        <v>422970.0</v>
      </c>
      <c r="M204" s="15">
        <v>434160.0</v>
      </c>
      <c r="N204" s="15">
        <v>278310.0</v>
      </c>
      <c r="O204" s="15">
        <v>143950.0</v>
      </c>
      <c r="P204" s="15">
        <v>150510.0</v>
      </c>
      <c r="Q204" s="15">
        <v>183450.0</v>
      </c>
      <c r="R204" s="15">
        <v>154860.0</v>
      </c>
      <c r="S204" s="15">
        <v>96940.0</v>
      </c>
      <c r="T204" s="15"/>
      <c r="U204" s="15"/>
      <c r="V204" s="15"/>
      <c r="W204" s="15"/>
      <c r="X204" s="15"/>
      <c r="Y204" s="15">
        <v>202660.0</v>
      </c>
      <c r="Z204" s="15">
        <v>-40000.0</v>
      </c>
      <c r="AA204" s="15">
        <v>-1160.0</v>
      </c>
      <c r="AB204" s="15">
        <v>251160.0</v>
      </c>
      <c r="AC204" s="15">
        <v>172370.0</v>
      </c>
      <c r="AD204" s="15">
        <v>105690.0</v>
      </c>
      <c r="AE204" s="15">
        <v>222280.0</v>
      </c>
      <c r="AF204" s="15">
        <v>148060.0</v>
      </c>
      <c r="AG204" s="15">
        <v>177070.0</v>
      </c>
      <c r="AH204" s="15">
        <v>121240.0</v>
      </c>
      <c r="AI204" s="15">
        <v>284090.0</v>
      </c>
      <c r="AJ204" s="15">
        <v>244270.0</v>
      </c>
      <c r="AK204" s="15">
        <v>288690.0</v>
      </c>
      <c r="AL204" s="15">
        <v>316570.0</v>
      </c>
      <c r="AM204" s="15">
        <v>210020.0</v>
      </c>
      <c r="AN204" s="15">
        <v>76390.0</v>
      </c>
      <c r="AO204" s="15">
        <v>172440.0</v>
      </c>
      <c r="AP204" s="15">
        <v>217460.0</v>
      </c>
      <c r="AQ204" s="15">
        <v>109430.0</v>
      </c>
      <c r="AR204" s="15">
        <v>69090.0</v>
      </c>
      <c r="AS204" s="15">
        <v>46500.0</v>
      </c>
      <c r="AT204" s="15">
        <v>209460.0</v>
      </c>
      <c r="AU204" s="15">
        <v>37800.0</v>
      </c>
      <c r="AV204" s="15">
        <v>289660.0</v>
      </c>
      <c r="AW204" s="15">
        <v>128480.0</v>
      </c>
      <c r="AX204" s="15">
        <v>-42360.0</v>
      </c>
      <c r="AY204" s="15">
        <v>-41630.0</v>
      </c>
      <c r="AZ204" s="15">
        <v>-59800.0</v>
      </c>
      <c r="BA204" s="15">
        <v>-42420.0</v>
      </c>
      <c r="BB204" s="15">
        <v>-18570.0</v>
      </c>
      <c r="BC204" s="15">
        <v>-123670.0</v>
      </c>
      <c r="BD204" s="15">
        <v>-124520.0</v>
      </c>
      <c r="BE204" s="15">
        <v>-123630.0</v>
      </c>
      <c r="BF204" s="15">
        <v>-100810.0</v>
      </c>
      <c r="BG204" s="15">
        <v>-76530.0</v>
      </c>
      <c r="BH204" s="15">
        <v>11320.0</v>
      </c>
      <c r="BI204" s="15">
        <v>11650.0</v>
      </c>
      <c r="BJ204" s="15">
        <v>206510.0</v>
      </c>
      <c r="BK204" s="15">
        <v>28830.0</v>
      </c>
      <c r="BL204" s="15">
        <v>5250.0</v>
      </c>
      <c r="BM204" s="15">
        <v>152840.0</v>
      </c>
      <c r="BN204" s="15">
        <v>153110.0</v>
      </c>
      <c r="BO204" s="15">
        <v>158190.0</v>
      </c>
      <c r="BP204" s="15">
        <v>130050.0</v>
      </c>
      <c r="BQ204" s="15">
        <v>124830.0</v>
      </c>
      <c r="BR204" s="15">
        <v>472190.0</v>
      </c>
      <c r="BS204" s="15">
        <v>401360.0</v>
      </c>
      <c r="BT204" s="15">
        <v>501850.0</v>
      </c>
      <c r="BU204" s="15">
        <v>356590.0</v>
      </c>
      <c r="BV204" s="15">
        <v>312880.0</v>
      </c>
      <c r="BW204" s="15">
        <v>661790.0</v>
      </c>
      <c r="BX204" s="15">
        <v>586100.0</v>
      </c>
      <c r="BY204" s="15">
        <v>886600.0</v>
      </c>
      <c r="BZ204" s="15">
        <v>549780.0</v>
      </c>
      <c r="CA204" s="15">
        <v>463160.0</v>
      </c>
      <c r="CB204" s="15">
        <v>343630.0</v>
      </c>
      <c r="CC204" s="15">
        <v>282550.0</v>
      </c>
      <c r="CD204" s="15">
        <v>272190.0</v>
      </c>
      <c r="CE204" s="15">
        <v>245340.0</v>
      </c>
      <c r="CF204" s="15">
        <v>163640.0</v>
      </c>
      <c r="CG204" s="15">
        <v>596390.0</v>
      </c>
      <c r="CH204" s="15">
        <v>584440.0</v>
      </c>
      <c r="CI204" s="15">
        <v>649290.0</v>
      </c>
      <c r="CJ204" s="15">
        <v>614280.0</v>
      </c>
      <c r="CK204" s="15">
        <v>473150.0</v>
      </c>
      <c r="CL204" s="15">
        <v>3230000.0</v>
      </c>
      <c r="CM204" s="15">
        <v>3060000.0</v>
      </c>
      <c r="CN204" s="15">
        <v>3560000.0</v>
      </c>
      <c r="CO204" s="15">
        <v>3040000.0</v>
      </c>
      <c r="CP204" s="15">
        <v>2570000.0</v>
      </c>
      <c r="CQ204" s="15">
        <v>114940.0</v>
      </c>
      <c r="CR204" s="15">
        <v>140000.0</v>
      </c>
      <c r="CS204" s="15">
        <v>122360.0</v>
      </c>
      <c r="CT204" s="15">
        <v>98030.0</v>
      </c>
      <c r="CU204" s="15">
        <v>49590.0</v>
      </c>
      <c r="CV204" s="15">
        <v>216910.0</v>
      </c>
      <c r="CW204" s="15">
        <v>9810.0</v>
      </c>
      <c r="CX204" s="13"/>
      <c r="CY204" s="13"/>
      <c r="CZ204" s="13"/>
      <c r="DA204" s="12"/>
      <c r="DB204" s="15">
        <v>216910.0</v>
      </c>
      <c r="DC204" s="15">
        <v>258460.0</v>
      </c>
      <c r="DD204" s="15">
        <v>201490.0</v>
      </c>
      <c r="DE204" s="15">
        <v>205700.0</v>
      </c>
      <c r="DF204" s="15">
        <v>2420000.0</v>
      </c>
      <c r="DG204" s="15">
        <v>2160000.0</v>
      </c>
      <c r="DH204" s="15">
        <v>2680000.0</v>
      </c>
      <c r="DI204" s="15">
        <v>2260000.0</v>
      </c>
      <c r="DJ204" s="15">
        <v>2110000.0</v>
      </c>
      <c r="DK204" s="12"/>
      <c r="DL204" s="15"/>
      <c r="DM204" s="15"/>
      <c r="DN204" s="15"/>
      <c r="DO204" s="15"/>
      <c r="DP204" s="15">
        <v>1910000.0</v>
      </c>
      <c r="DQ204" s="15">
        <v>1640000.0</v>
      </c>
      <c r="DR204" s="15">
        <v>2220000.0</v>
      </c>
      <c r="DS204" s="15">
        <v>1720000.0</v>
      </c>
      <c r="DT204" s="15">
        <v>1730000.0</v>
      </c>
      <c r="DU204" s="13"/>
      <c r="DV204" s="12"/>
      <c r="DW204" s="12"/>
      <c r="DX204" s="13"/>
      <c r="DY204" s="15"/>
      <c r="DZ204" s="15">
        <v>812540.0</v>
      </c>
      <c r="EA204" s="15">
        <v>900050.0</v>
      </c>
      <c r="EB204" s="15">
        <v>880820.0</v>
      </c>
      <c r="EC204" s="15">
        <v>785660.0</v>
      </c>
      <c r="ED204" s="15">
        <v>457690.0</v>
      </c>
      <c r="EE204" s="17">
        <v>0.047</v>
      </c>
      <c r="EF204" s="17">
        <v>0.103</v>
      </c>
      <c r="EG204" s="17">
        <v>0.164</v>
      </c>
      <c r="EH204" s="17">
        <v>0.045</v>
      </c>
    </row>
    <row r="205">
      <c r="A205" s="9">
        <f t="shared" si="2"/>
        <v>203</v>
      </c>
      <c r="B205" s="10" t="s">
        <v>339</v>
      </c>
      <c r="C205" s="15">
        <v>854100.0</v>
      </c>
      <c r="D205" s="15">
        <v>829830.0</v>
      </c>
      <c r="E205" s="15">
        <v>668840.0</v>
      </c>
      <c r="F205" s="15">
        <v>809890.0</v>
      </c>
      <c r="G205" s="15">
        <v>839800.0</v>
      </c>
      <c r="H205" s="15">
        <v>850080.0</v>
      </c>
      <c r="I205" s="15">
        <v>861510.0</v>
      </c>
      <c r="J205" s="15">
        <v>105600.0</v>
      </c>
      <c r="K205" s="15">
        <v>129140.0</v>
      </c>
      <c r="L205" s="15">
        <v>131080.0</v>
      </c>
      <c r="M205" s="15">
        <v>158870.0</v>
      </c>
      <c r="N205" s="15">
        <v>158470.0</v>
      </c>
      <c r="O205" s="15">
        <v>91800.0</v>
      </c>
      <c r="P205" s="15">
        <v>127230.0</v>
      </c>
      <c r="Q205" s="15">
        <v>129020.0</v>
      </c>
      <c r="R205" s="15">
        <v>126560.0</v>
      </c>
      <c r="S205" s="15">
        <v>135080.0</v>
      </c>
      <c r="T205" s="15"/>
      <c r="U205" s="15"/>
      <c r="V205" s="15"/>
      <c r="W205" s="15"/>
      <c r="X205" s="15"/>
      <c r="Y205" s="15">
        <v>-2730.0</v>
      </c>
      <c r="Z205" s="15">
        <v>-3770.0</v>
      </c>
      <c r="AA205" s="15">
        <v>267.0</v>
      </c>
      <c r="AB205" s="15">
        <v>31610.0</v>
      </c>
      <c r="AC205" s="15">
        <v>-51.0</v>
      </c>
      <c r="AD205" s="15">
        <v>55140.0</v>
      </c>
      <c r="AE205" s="15">
        <v>16760.0</v>
      </c>
      <c r="AF205" s="15">
        <v>-12890.0</v>
      </c>
      <c r="AG205" s="15">
        <v>146260.0</v>
      </c>
      <c r="AH205" s="15">
        <v>-37430.0</v>
      </c>
      <c r="AI205" s="15">
        <v>43380.0</v>
      </c>
      <c r="AJ205" s="15">
        <v>21220.0</v>
      </c>
      <c r="AK205" s="15">
        <v>23500.0</v>
      </c>
      <c r="AL205" s="15">
        <v>55230.0</v>
      </c>
      <c r="AM205" s="15">
        <v>48170.0</v>
      </c>
      <c r="AN205" s="15">
        <v>45380.0</v>
      </c>
      <c r="AO205" s="15">
        <v>19390.0</v>
      </c>
      <c r="AP205" s="15">
        <v>50070.0</v>
      </c>
      <c r="AQ205" s="15">
        <v>99450.0</v>
      </c>
      <c r="AR205" s="15">
        <v>-15840.0</v>
      </c>
      <c r="AS205" s="15">
        <v>93680.0</v>
      </c>
      <c r="AT205" s="15">
        <v>20680.0</v>
      </c>
      <c r="AU205" s="15">
        <v>25780.0</v>
      </c>
      <c r="AV205" s="15">
        <v>63350.0</v>
      </c>
      <c r="AW205" s="15">
        <v>52500.0</v>
      </c>
      <c r="AX205" s="15">
        <v>-17680.0</v>
      </c>
      <c r="AY205" s="15">
        <v>-17800.0</v>
      </c>
      <c r="AZ205" s="15">
        <v>-8030.0</v>
      </c>
      <c r="BA205" s="15">
        <v>-12030.0</v>
      </c>
      <c r="BB205" s="15">
        <v>-11080.0</v>
      </c>
      <c r="BC205" s="13"/>
      <c r="BD205" s="13"/>
      <c r="BE205" s="13"/>
      <c r="BF205" s="13"/>
      <c r="BG205" s="13"/>
      <c r="BH205" s="15">
        <v>112630.0</v>
      </c>
      <c r="BI205" s="15">
        <v>86880.0</v>
      </c>
      <c r="BJ205" s="15">
        <v>81870.0</v>
      </c>
      <c r="BK205" s="15">
        <v>98110.0</v>
      </c>
      <c r="BL205" s="15">
        <v>80270.0</v>
      </c>
      <c r="BM205" s="15">
        <v>21640.0</v>
      </c>
      <c r="BN205" s="15">
        <v>15740.0</v>
      </c>
      <c r="BO205" s="15">
        <v>16280.0</v>
      </c>
      <c r="BP205" s="15">
        <v>14200.0</v>
      </c>
      <c r="BQ205" s="15">
        <v>17720.0</v>
      </c>
      <c r="BR205" s="15">
        <v>4670.0</v>
      </c>
      <c r="BS205" s="15">
        <v>7540.0</v>
      </c>
      <c r="BT205" s="15">
        <v>7270.0</v>
      </c>
      <c r="BU205" s="15">
        <v>6770.0</v>
      </c>
      <c r="BV205" s="15">
        <v>7590.0</v>
      </c>
      <c r="BW205" s="15">
        <v>142010.0</v>
      </c>
      <c r="BX205" s="15">
        <v>111720.0</v>
      </c>
      <c r="BY205" s="15">
        <v>108690.0</v>
      </c>
      <c r="BZ205" s="15">
        <v>124420.0</v>
      </c>
      <c r="CA205" s="15">
        <v>109710.0</v>
      </c>
      <c r="CB205" s="15">
        <v>410350.0</v>
      </c>
      <c r="CC205" s="15">
        <v>274720.0</v>
      </c>
      <c r="CD205" s="15">
        <v>295800.0</v>
      </c>
      <c r="CE205" s="15">
        <v>312260.0</v>
      </c>
      <c r="CF205" s="15">
        <v>332320.0</v>
      </c>
      <c r="CG205" s="15">
        <v>40040.0</v>
      </c>
      <c r="CH205" s="15">
        <v>40050.0</v>
      </c>
      <c r="CI205" s="15">
        <v>40080.0</v>
      </c>
      <c r="CJ205" s="15">
        <v>40000.0</v>
      </c>
      <c r="CK205" s="15">
        <v>40020.0</v>
      </c>
      <c r="CL205" s="15">
        <v>1160000.0</v>
      </c>
      <c r="CM205" s="15">
        <v>1040000.0</v>
      </c>
      <c r="CN205" s="15">
        <v>1080000.0</v>
      </c>
      <c r="CO205" s="15">
        <v>1110000.0</v>
      </c>
      <c r="CP205" s="15">
        <v>1000000.0</v>
      </c>
      <c r="CQ205" s="15">
        <v>32630.0</v>
      </c>
      <c r="CR205" s="15">
        <v>41970.0</v>
      </c>
      <c r="CS205" s="15">
        <v>40620.0</v>
      </c>
      <c r="CT205" s="15">
        <v>33960.0</v>
      </c>
      <c r="CU205" s="15">
        <v>34650.0</v>
      </c>
      <c r="CV205" s="15">
        <v>139820.0</v>
      </c>
      <c r="CW205" s="15">
        <v>11640.0</v>
      </c>
      <c r="CX205" s="13"/>
      <c r="CY205" s="13">
        <v>175.0</v>
      </c>
      <c r="CZ205" s="15">
        <v>377.0</v>
      </c>
      <c r="DA205" s="12">
        <v>786.0</v>
      </c>
      <c r="DB205" s="15">
        <v>139820.0</v>
      </c>
      <c r="DC205" s="15">
        <v>122990.0</v>
      </c>
      <c r="DD205" s="15">
        <v>135490.0</v>
      </c>
      <c r="DE205" s="15">
        <v>120010.0</v>
      </c>
      <c r="DF205" s="15">
        <v>539670.0</v>
      </c>
      <c r="DG205" s="15">
        <v>470530.0</v>
      </c>
      <c r="DH205" s="15">
        <v>504720.0</v>
      </c>
      <c r="DI205" s="15">
        <v>575710.0</v>
      </c>
      <c r="DJ205" s="15">
        <v>549220.0</v>
      </c>
      <c r="DK205" s="15">
        <v>508470.0</v>
      </c>
      <c r="DL205" s="15">
        <v>563930.0</v>
      </c>
      <c r="DM205" s="15">
        <v>574670.0</v>
      </c>
      <c r="DN205" s="15">
        <v>577640.0</v>
      </c>
      <c r="DO205" s="15">
        <v>471690.0</v>
      </c>
      <c r="DP205" s="15">
        <v>316450.0</v>
      </c>
      <c r="DQ205" s="15">
        <v>240000.0</v>
      </c>
      <c r="DR205" s="15">
        <v>256990.0</v>
      </c>
      <c r="DS205" s="15">
        <v>281560.0</v>
      </c>
      <c r="DT205" s="15">
        <v>296060.0</v>
      </c>
      <c r="DU205" s="13"/>
      <c r="DV205" s="12"/>
      <c r="DW205" s="12"/>
      <c r="DX205" s="13"/>
      <c r="DY205" s="13"/>
      <c r="DZ205" s="15">
        <v>616300.0</v>
      </c>
      <c r="EA205" s="15">
        <v>570460.0</v>
      </c>
      <c r="EB205" s="15">
        <v>571330.0</v>
      </c>
      <c r="EC205" s="15">
        <v>531940.0</v>
      </c>
      <c r="ED205" s="15">
        <v>451370.0</v>
      </c>
      <c r="EE205" s="17">
        <v>0.0</v>
      </c>
      <c r="EF205" s="17">
        <v>0.0</v>
      </c>
      <c r="EG205" s="17">
        <v>5.966</v>
      </c>
      <c r="EH205" s="17"/>
    </row>
    <row r="206">
      <c r="A206" s="9">
        <f t="shared" si="2"/>
        <v>204</v>
      </c>
      <c r="B206" s="10" t="s">
        <v>340</v>
      </c>
      <c r="C206" s="12"/>
      <c r="D206" s="12"/>
      <c r="E206" s="15">
        <v>6.193E7</v>
      </c>
      <c r="F206" s="15">
        <v>5.566E7</v>
      </c>
      <c r="G206" s="15">
        <v>4.791E7</v>
      </c>
      <c r="H206" s="15">
        <v>4.248E7</v>
      </c>
      <c r="I206" s="15">
        <v>5.359E7</v>
      </c>
      <c r="J206" s="15">
        <v>2.848E7</v>
      </c>
      <c r="K206" s="15">
        <v>2.518E7</v>
      </c>
      <c r="L206" s="15">
        <v>1.983E7</v>
      </c>
      <c r="M206" s="15">
        <v>8430000.0</v>
      </c>
      <c r="N206" s="15">
        <v>1.757E7</v>
      </c>
      <c r="O206" s="15">
        <v>5860000.0</v>
      </c>
      <c r="P206" s="15">
        <v>4660000.0</v>
      </c>
      <c r="Q206" s="15">
        <v>4350000.0</v>
      </c>
      <c r="R206" s="15">
        <v>4260000.0</v>
      </c>
      <c r="S206" s="15">
        <v>4680000.0</v>
      </c>
      <c r="T206" s="15">
        <v>0.0</v>
      </c>
      <c r="U206" s="15">
        <v>0.0</v>
      </c>
      <c r="V206" s="15">
        <v>0.0</v>
      </c>
      <c r="W206" s="15">
        <v>0.0</v>
      </c>
      <c r="X206" s="15">
        <v>0.0</v>
      </c>
      <c r="Y206" s="15">
        <v>2.14E7</v>
      </c>
      <c r="Z206" s="15">
        <v>-1240000.0</v>
      </c>
      <c r="AA206" s="15">
        <v>-442880.0</v>
      </c>
      <c r="AB206" s="15">
        <v>-6070000.0</v>
      </c>
      <c r="AC206" s="15">
        <v>-4850000.0</v>
      </c>
      <c r="AD206" s="15">
        <v>2.049E7</v>
      </c>
      <c r="AE206" s="15">
        <v>1.819E7</v>
      </c>
      <c r="AF206" s="15">
        <v>1.441E7</v>
      </c>
      <c r="AG206" s="15">
        <v>-7080000.0</v>
      </c>
      <c r="AH206" s="15">
        <v>9010000.0</v>
      </c>
      <c r="AI206" s="15">
        <v>3.114E7</v>
      </c>
      <c r="AJ206" s="15">
        <v>2.863E7</v>
      </c>
      <c r="AK206" s="15">
        <v>2.411E7</v>
      </c>
      <c r="AL206" s="15">
        <v>1.566E7</v>
      </c>
      <c r="AM206" s="15">
        <v>2.442E7</v>
      </c>
      <c r="AN206" s="15">
        <v>1.209E7</v>
      </c>
      <c r="AO206" s="15">
        <v>8580000.0</v>
      </c>
      <c r="AP206" s="15">
        <v>8450000.0</v>
      </c>
      <c r="AQ206" s="15">
        <v>-8770000.0</v>
      </c>
      <c r="AR206" s="15">
        <v>4110000.0</v>
      </c>
      <c r="AS206" s="15">
        <v>2.499E7</v>
      </c>
      <c r="AT206" s="15">
        <v>2.383E7</v>
      </c>
      <c r="AU206" s="15">
        <v>2.228E7</v>
      </c>
      <c r="AV206" s="15">
        <v>1.46E7</v>
      </c>
      <c r="AW206" s="15">
        <v>2.317E7</v>
      </c>
      <c r="AX206" s="15">
        <v>-9960000.0</v>
      </c>
      <c r="AY206" s="15">
        <v>-7550000.0</v>
      </c>
      <c r="AZ206" s="15">
        <v>-6180000.0</v>
      </c>
      <c r="BA206" s="15">
        <v>-1.06E7</v>
      </c>
      <c r="BB206" s="15">
        <v>-1.532E7</v>
      </c>
      <c r="BC206" s="15">
        <v>-1.593E7</v>
      </c>
      <c r="BD206" s="15">
        <v>-6740000.0</v>
      </c>
      <c r="BE206" s="15">
        <v>-3870000.0</v>
      </c>
      <c r="BF206" s="15">
        <v>-5680000.0</v>
      </c>
      <c r="BG206" s="15">
        <v>-7800000.0</v>
      </c>
      <c r="BH206" s="15">
        <v>2.227E7</v>
      </c>
      <c r="BI206" s="15">
        <v>2.151E7</v>
      </c>
      <c r="BJ206" s="15">
        <v>1.855E7</v>
      </c>
      <c r="BK206" s="15">
        <v>1.402E7</v>
      </c>
      <c r="BL206" s="15">
        <v>8890000.0</v>
      </c>
      <c r="BM206" s="15">
        <v>5110000.0</v>
      </c>
      <c r="BN206" s="15">
        <v>4330000.0</v>
      </c>
      <c r="BO206" s="15">
        <v>3950000.0</v>
      </c>
      <c r="BP206" s="15">
        <v>5000000.0</v>
      </c>
      <c r="BQ206" s="15">
        <v>6480000.0</v>
      </c>
      <c r="BR206" s="15">
        <v>5470000.0</v>
      </c>
      <c r="BS206" s="15">
        <v>5090000.0</v>
      </c>
      <c r="BT206" s="15">
        <v>4790000.0</v>
      </c>
      <c r="BU206" s="15">
        <v>4580000.0</v>
      </c>
      <c r="BV206" s="15">
        <v>5580000.0</v>
      </c>
      <c r="BW206" s="15">
        <v>3.331E7</v>
      </c>
      <c r="BX206" s="15">
        <v>4.755E7</v>
      </c>
      <c r="BY206" s="15">
        <v>2.745E7</v>
      </c>
      <c r="BZ206" s="15">
        <v>2.379E7</v>
      </c>
      <c r="CA206" s="15">
        <v>2.13E7</v>
      </c>
      <c r="CB206" s="15">
        <v>9.465E7</v>
      </c>
      <c r="CC206" s="15">
        <v>8.874E7</v>
      </c>
      <c r="CD206" s="15">
        <v>1.0308E8</v>
      </c>
      <c r="CE206" s="15">
        <v>1.1049E8</v>
      </c>
      <c r="CF206" s="15">
        <v>1.206E8</v>
      </c>
      <c r="CG206" s="15">
        <v>351980.0</v>
      </c>
      <c r="CH206" s="15">
        <v>334300.0</v>
      </c>
      <c r="CI206" s="15">
        <v>4260000.0</v>
      </c>
      <c r="CJ206" s="15">
        <v>4400000.0</v>
      </c>
      <c r="CK206" s="15">
        <v>4260000.0</v>
      </c>
      <c r="CL206" s="15">
        <v>1.4373E8</v>
      </c>
      <c r="CM206" s="15">
        <v>1.5158E8</v>
      </c>
      <c r="CN206" s="15">
        <v>1.5254E8</v>
      </c>
      <c r="CO206" s="15">
        <v>1.5975E8</v>
      </c>
      <c r="CP206" s="15">
        <v>1.6209E8</v>
      </c>
      <c r="CQ206" s="15">
        <v>9570000.0</v>
      </c>
      <c r="CR206" s="15">
        <v>8090000.0</v>
      </c>
      <c r="CS206" s="15">
        <v>7240000.0</v>
      </c>
      <c r="CT206" s="15">
        <v>7240000.0</v>
      </c>
      <c r="CU206" s="15">
        <v>9610000.0</v>
      </c>
      <c r="CV206" s="15">
        <v>1.758E7</v>
      </c>
      <c r="CW206" s="15">
        <v>122550.0</v>
      </c>
      <c r="CX206" s="15">
        <v>166470.0</v>
      </c>
      <c r="CY206" s="15">
        <v>58670.0</v>
      </c>
      <c r="CZ206" s="15">
        <v>57750.0</v>
      </c>
      <c r="DA206" s="15">
        <v>182150.0</v>
      </c>
      <c r="DB206" s="15">
        <v>1.758E7</v>
      </c>
      <c r="DC206" s="15">
        <v>1.893E7</v>
      </c>
      <c r="DD206" s="15">
        <v>1.482E7</v>
      </c>
      <c r="DE206" s="15">
        <v>1.657E7</v>
      </c>
      <c r="DF206" s="15">
        <v>6.988E7</v>
      </c>
      <c r="DG206" s="15">
        <v>6.946E7</v>
      </c>
      <c r="DH206" s="15">
        <v>7.076E7</v>
      </c>
      <c r="DI206" s="15">
        <v>7.908E7</v>
      </c>
      <c r="DJ206" s="15">
        <v>7.03E7</v>
      </c>
      <c r="DK206" s="15">
        <v>5520000.0</v>
      </c>
      <c r="DL206" s="15">
        <v>4700000.0</v>
      </c>
      <c r="DM206" s="15">
        <v>4860000.0</v>
      </c>
      <c r="DN206" s="15">
        <v>7060000.0</v>
      </c>
      <c r="DO206" s="15">
        <v>6340000.0</v>
      </c>
      <c r="DP206" s="15">
        <v>3.301E7</v>
      </c>
      <c r="DQ206" s="15">
        <v>3.258E7</v>
      </c>
      <c r="DR206" s="15">
        <v>3.811E7</v>
      </c>
      <c r="DS206" s="15">
        <v>4.266E7</v>
      </c>
      <c r="DT206" s="15">
        <v>3.639E7</v>
      </c>
      <c r="DU206" s="16">
        <v>0.0</v>
      </c>
      <c r="DV206" s="15">
        <v>0.0</v>
      </c>
      <c r="DW206" s="15">
        <v>0.0</v>
      </c>
      <c r="DX206" s="16">
        <v>0.0</v>
      </c>
      <c r="DY206" s="16">
        <v>0.0</v>
      </c>
      <c r="DZ206" s="15">
        <v>6.732E7</v>
      </c>
      <c r="EA206" s="15">
        <v>7.524E7</v>
      </c>
      <c r="EB206" s="15">
        <v>7.465E7</v>
      </c>
      <c r="EC206" s="15">
        <v>7.291E7</v>
      </c>
      <c r="ED206" s="15">
        <v>8.427E7</v>
      </c>
      <c r="EE206" s="23"/>
      <c r="EF206" s="23"/>
      <c r="EG206" s="23" t="s">
        <v>155</v>
      </c>
      <c r="EH206" s="23"/>
    </row>
    <row r="207">
      <c r="A207" s="9">
        <f t="shared" si="2"/>
        <v>205</v>
      </c>
      <c r="B207" s="10" t="s">
        <v>341</v>
      </c>
      <c r="C207" s="11">
        <v>5630000.0</v>
      </c>
      <c r="D207" s="11">
        <v>5940000.0</v>
      </c>
      <c r="E207" s="11">
        <v>5320000.0</v>
      </c>
      <c r="F207" s="11">
        <v>5240000.0</v>
      </c>
      <c r="G207" s="11">
        <v>5260000.0</v>
      </c>
      <c r="H207" s="11">
        <v>5200000.0</v>
      </c>
      <c r="I207" s="11">
        <v>5190000.0</v>
      </c>
      <c r="J207" s="11">
        <v>1980000.0</v>
      </c>
      <c r="K207" s="11">
        <v>2000000.0</v>
      </c>
      <c r="L207" s="11">
        <v>2030000.0</v>
      </c>
      <c r="M207" s="11">
        <v>1980000.0</v>
      </c>
      <c r="N207" s="11">
        <v>1940000.0</v>
      </c>
      <c r="O207" s="11">
        <v>1820000.0</v>
      </c>
      <c r="P207" s="11">
        <v>1770000.0</v>
      </c>
      <c r="Q207" s="11">
        <v>1720000.0</v>
      </c>
      <c r="R207" s="11">
        <v>1730000.0</v>
      </c>
      <c r="S207" s="11">
        <v>1690000.0</v>
      </c>
      <c r="T207" s="11"/>
      <c r="U207" s="11"/>
      <c r="V207" s="11"/>
      <c r="W207" s="11"/>
      <c r="X207" s="11"/>
      <c r="Y207" s="11">
        <v>157290.0</v>
      </c>
      <c r="Z207" s="11">
        <v>217430.0</v>
      </c>
      <c r="AA207" s="11">
        <v>1400.0</v>
      </c>
      <c r="AB207" s="11">
        <v>3660.0</v>
      </c>
      <c r="AC207" s="11">
        <v>231070.0</v>
      </c>
      <c r="AD207" s="11">
        <v>317550.0</v>
      </c>
      <c r="AE207" s="11">
        <v>207610.0</v>
      </c>
      <c r="AF207" s="11">
        <v>295350.0</v>
      </c>
      <c r="AG207" s="11">
        <v>244300.0</v>
      </c>
      <c r="AH207" s="11">
        <v>226850.0</v>
      </c>
      <c r="AI207" s="11">
        <v>528420.0</v>
      </c>
      <c r="AJ207" s="11">
        <v>347120.0</v>
      </c>
      <c r="AK207" s="11">
        <v>418450.0</v>
      </c>
      <c r="AL207" s="11">
        <v>368460.0</v>
      </c>
      <c r="AM207" s="11">
        <v>372560.0</v>
      </c>
      <c r="AN207" s="11">
        <v>242460.0</v>
      </c>
      <c r="AO207" s="11">
        <v>156890.0</v>
      </c>
      <c r="AP207" s="11">
        <v>189830.0</v>
      </c>
      <c r="AQ207" s="11">
        <v>152830.0</v>
      </c>
      <c r="AR207" s="11">
        <v>143010.0</v>
      </c>
      <c r="AS207" s="11">
        <v>554930.0</v>
      </c>
      <c r="AT207" s="11">
        <v>234060.0</v>
      </c>
      <c r="AU207" s="11">
        <v>250370.0</v>
      </c>
      <c r="AV207" s="11">
        <v>311930.0</v>
      </c>
      <c r="AW207" s="11">
        <v>342350.0</v>
      </c>
      <c r="AX207" s="11">
        <v>-265200.0</v>
      </c>
      <c r="AY207" s="11">
        <v>-377020.0</v>
      </c>
      <c r="AZ207" s="11">
        <v>-158350.0</v>
      </c>
      <c r="BA207" s="11">
        <v>-89780.0</v>
      </c>
      <c r="BB207" s="11">
        <v>-125990.0</v>
      </c>
      <c r="BC207" s="11">
        <v>-48420.0</v>
      </c>
      <c r="BD207" s="11">
        <v>-50610.0</v>
      </c>
      <c r="BE207" s="11">
        <v>-44670.0</v>
      </c>
      <c r="BF207" s="11">
        <v>-38470.0</v>
      </c>
      <c r="BG207" s="11">
        <v>-38530.0</v>
      </c>
      <c r="BH207" s="11">
        <v>52720.0</v>
      </c>
      <c r="BI207" s="11">
        <v>46030.0</v>
      </c>
      <c r="BJ207" s="11">
        <v>51180.0</v>
      </c>
      <c r="BK207" s="11">
        <v>51160.0</v>
      </c>
      <c r="BL207" s="11">
        <v>54140.0</v>
      </c>
      <c r="BM207" s="11"/>
      <c r="BN207" s="11"/>
      <c r="BO207" s="11"/>
      <c r="BP207" s="11"/>
      <c r="BQ207" s="11"/>
      <c r="BR207" s="11">
        <v>921270.0</v>
      </c>
      <c r="BS207" s="11">
        <v>969560.0</v>
      </c>
      <c r="BT207" s="11">
        <v>872790.0</v>
      </c>
      <c r="BU207" s="11">
        <v>858690.0</v>
      </c>
      <c r="BV207" s="11">
        <v>849980.0</v>
      </c>
      <c r="BW207" s="11">
        <v>1060000.0</v>
      </c>
      <c r="BX207" s="11">
        <v>1130000.0</v>
      </c>
      <c r="BY207" s="11">
        <v>1020000.0</v>
      </c>
      <c r="BZ207" s="11">
        <v>994380.0</v>
      </c>
      <c r="CA207" s="11">
        <v>994430.0</v>
      </c>
      <c r="CB207" s="11">
        <v>2050000.0</v>
      </c>
      <c r="CC207" s="11">
        <v>822340.0</v>
      </c>
      <c r="CD207" s="11">
        <v>565980.0</v>
      </c>
      <c r="CE207" s="11">
        <v>525850.0</v>
      </c>
      <c r="CF207" s="11">
        <v>559920.0</v>
      </c>
      <c r="CG207" s="11"/>
      <c r="CH207" s="11"/>
      <c r="CI207" s="11"/>
      <c r="CJ207" s="11"/>
      <c r="CK207" s="11"/>
      <c r="CL207" s="11">
        <v>3190000.0</v>
      </c>
      <c r="CM207" s="11">
        <v>2020000.0</v>
      </c>
      <c r="CN207" s="11">
        <v>1650000.0</v>
      </c>
      <c r="CO207" s="11">
        <v>1610000.0</v>
      </c>
      <c r="CP207" s="11">
        <v>1640000.0</v>
      </c>
      <c r="CQ207" s="11">
        <v>378240.0</v>
      </c>
      <c r="CR207" s="11">
        <v>396900.0</v>
      </c>
      <c r="CS207" s="11">
        <v>351230.0</v>
      </c>
      <c r="CT207" s="11">
        <v>400500.0</v>
      </c>
      <c r="CU207" s="11">
        <v>382280.0</v>
      </c>
      <c r="CV207" s="11">
        <v>870820.0</v>
      </c>
      <c r="CW207" s="11">
        <v>212140.0</v>
      </c>
      <c r="CX207" s="11"/>
      <c r="CY207" s="11"/>
      <c r="CZ207" s="12"/>
      <c r="DA207" s="12"/>
      <c r="DB207" s="11">
        <v>870820.0</v>
      </c>
      <c r="DC207" s="11">
        <v>638560.0</v>
      </c>
      <c r="DD207" s="11">
        <v>589610.0</v>
      </c>
      <c r="DE207" s="11">
        <v>678600.0</v>
      </c>
      <c r="DF207" s="11">
        <v>2340000.0</v>
      </c>
      <c r="DG207" s="11">
        <v>1330000.0</v>
      </c>
      <c r="DH207" s="11">
        <v>982140.0</v>
      </c>
      <c r="DI207" s="11">
        <v>957080.0</v>
      </c>
      <c r="DJ207" s="11">
        <v>919900.0</v>
      </c>
      <c r="DK207" s="11">
        <v>33700.0</v>
      </c>
      <c r="DL207" s="11">
        <v>203.0</v>
      </c>
      <c r="DM207" s="11">
        <v>262.0</v>
      </c>
      <c r="DN207" s="11">
        <v>180.0</v>
      </c>
      <c r="DO207" s="11">
        <v>18090.0</v>
      </c>
      <c r="DP207" s="11">
        <v>1320000.0</v>
      </c>
      <c r="DQ207" s="11">
        <v>518580.0</v>
      </c>
      <c r="DR207" s="11">
        <v>215410.0</v>
      </c>
      <c r="DS207" s="11">
        <v>106400.0</v>
      </c>
      <c r="DT207" s="11">
        <v>62300.0</v>
      </c>
      <c r="DU207" s="13"/>
      <c r="DV207" s="12"/>
      <c r="DW207" s="12"/>
      <c r="DX207" s="12"/>
      <c r="DY207" s="12"/>
      <c r="DZ207" s="11">
        <v>845460.0</v>
      </c>
      <c r="EA207" s="11">
        <v>693040.0</v>
      </c>
      <c r="EB207" s="11">
        <v>669590.0</v>
      </c>
      <c r="EC207" s="11">
        <v>650630.0</v>
      </c>
      <c r="ED207" s="11">
        <v>720470.0</v>
      </c>
      <c r="EE207" s="14">
        <v>0.039</v>
      </c>
      <c r="EF207" s="14">
        <v>0.092</v>
      </c>
      <c r="EG207" s="14">
        <v>2.15</v>
      </c>
      <c r="EH207" s="14">
        <v>0.631</v>
      </c>
    </row>
    <row r="208">
      <c r="A208" s="9">
        <f t="shared" si="2"/>
        <v>206</v>
      </c>
      <c r="B208" s="22" t="s">
        <v>342</v>
      </c>
      <c r="C208" s="11">
        <v>1.293E7</v>
      </c>
      <c r="D208" s="11">
        <v>1.396E7</v>
      </c>
      <c r="E208" s="11">
        <v>1.271E7</v>
      </c>
      <c r="F208" s="11">
        <v>1.205E7</v>
      </c>
      <c r="G208" s="11">
        <v>1.099E7</v>
      </c>
      <c r="H208" s="11">
        <v>1.019E7</v>
      </c>
      <c r="I208" s="11">
        <v>9320000.0</v>
      </c>
      <c r="J208" s="11">
        <v>1.029E7</v>
      </c>
      <c r="K208" s="11">
        <v>9860000.0</v>
      </c>
      <c r="L208" s="11">
        <v>8900000.0</v>
      </c>
      <c r="M208" s="11">
        <v>8390000.0</v>
      </c>
      <c r="N208" s="11">
        <v>7700000.0</v>
      </c>
      <c r="O208" s="11">
        <v>4460000.0</v>
      </c>
      <c r="P208" s="11">
        <v>4690000.0</v>
      </c>
      <c r="Q208" s="11">
        <v>4170000.0</v>
      </c>
      <c r="R208" s="11">
        <v>3920000.0</v>
      </c>
      <c r="S208" s="11">
        <v>4130000.0</v>
      </c>
      <c r="T208" s="11">
        <v>2090000.0</v>
      </c>
      <c r="U208" s="11">
        <v>2600000.0</v>
      </c>
      <c r="V208" s="11">
        <v>2250000.0</v>
      </c>
      <c r="W208" s="11">
        <v>1970000.0</v>
      </c>
      <c r="X208" s="11">
        <v>2010000.0</v>
      </c>
      <c r="Y208" s="11">
        <v>5690000.0</v>
      </c>
      <c r="Z208" s="11">
        <v>4690000.0</v>
      </c>
      <c r="AA208" s="11">
        <v>-553500.0</v>
      </c>
      <c r="AB208" s="11">
        <v>3880000.0</v>
      </c>
      <c r="AC208" s="11">
        <v>3430000.0</v>
      </c>
      <c r="AD208" s="11">
        <v>7130000.0</v>
      </c>
      <c r="AE208" s="11">
        <v>5900000.0</v>
      </c>
      <c r="AF208" s="11">
        <v>5130000.0</v>
      </c>
      <c r="AG208" s="11">
        <v>4930000.0</v>
      </c>
      <c r="AH208" s="11">
        <v>4770000.0</v>
      </c>
      <c r="AI208" s="11">
        <v>6290000.0</v>
      </c>
      <c r="AJ208" s="11">
        <v>5810000.0</v>
      </c>
      <c r="AK208" s="11">
        <v>5460000.0</v>
      </c>
      <c r="AL208" s="11">
        <v>5150000.0</v>
      </c>
      <c r="AM208" s="11">
        <v>4170000.0</v>
      </c>
      <c r="AN208" s="11">
        <v>5890000.0</v>
      </c>
      <c r="AO208" s="11">
        <v>4430000.0</v>
      </c>
      <c r="AP208" s="11">
        <v>2540000.0</v>
      </c>
      <c r="AQ208" s="11">
        <v>3700000.0</v>
      </c>
      <c r="AR208" s="11">
        <v>3550000.0</v>
      </c>
      <c r="AS208" s="11">
        <v>7080000.0</v>
      </c>
      <c r="AT208" s="11">
        <v>6190000.0</v>
      </c>
      <c r="AU208" s="11">
        <v>4550000.0</v>
      </c>
      <c r="AV208" s="11">
        <v>4520000.0</v>
      </c>
      <c r="AW208" s="11">
        <v>3720000.0</v>
      </c>
      <c r="AX208" s="11">
        <v>-669500.0</v>
      </c>
      <c r="AY208" s="11">
        <v>-886100.0</v>
      </c>
      <c r="AZ208" s="11">
        <v>-1960000.0</v>
      </c>
      <c r="BA208" s="11">
        <v>-727700.0</v>
      </c>
      <c r="BB208" s="11">
        <v>-643000.0</v>
      </c>
      <c r="BC208" s="12"/>
      <c r="BD208" s="12"/>
      <c r="BE208" s="12"/>
      <c r="BF208" s="12"/>
      <c r="BG208" s="12"/>
      <c r="BH208" s="11">
        <v>4480000.0</v>
      </c>
      <c r="BI208" s="11">
        <v>3540000.0</v>
      </c>
      <c r="BJ208" s="11">
        <v>3690000.0</v>
      </c>
      <c r="BK208" s="11">
        <v>4900000.0</v>
      </c>
      <c r="BL208" s="11">
        <v>3430000.0</v>
      </c>
      <c r="BM208" s="11">
        <v>2470000.0</v>
      </c>
      <c r="BN208" s="11">
        <v>2490000.0</v>
      </c>
      <c r="BO208" s="11">
        <v>2320000.0</v>
      </c>
      <c r="BP208" s="11">
        <v>1740000.0</v>
      </c>
      <c r="BQ208" s="11">
        <v>1540000.0</v>
      </c>
      <c r="BR208" s="11">
        <v>804200.0</v>
      </c>
      <c r="BS208" s="11">
        <v>929900.0</v>
      </c>
      <c r="BT208" s="11">
        <v>902700.0</v>
      </c>
      <c r="BU208" s="11">
        <v>1000000.0</v>
      </c>
      <c r="BV208" s="11">
        <v>893400.0</v>
      </c>
      <c r="BW208" s="11">
        <v>8380000.0</v>
      </c>
      <c r="BX208" s="11">
        <v>7640000.0</v>
      </c>
      <c r="BY208" s="11">
        <v>7870000.0</v>
      </c>
      <c r="BZ208" s="11">
        <v>8730000.0</v>
      </c>
      <c r="CA208" s="11">
        <v>6700000.0</v>
      </c>
      <c r="CB208" s="11">
        <v>3670000.0</v>
      </c>
      <c r="CC208" s="11">
        <v>3600000.0</v>
      </c>
      <c r="CD208" s="11">
        <v>3180000.0</v>
      </c>
      <c r="CE208" s="11">
        <v>2500000.0</v>
      </c>
      <c r="CF208" s="11">
        <v>2190000.0</v>
      </c>
      <c r="CG208" s="11">
        <v>5760000.0</v>
      </c>
      <c r="CH208" s="11">
        <v>5710000.0</v>
      </c>
      <c r="CI208" s="11">
        <v>4630000.0</v>
      </c>
      <c r="CJ208" s="11">
        <v>3670000.0</v>
      </c>
      <c r="CK208" s="11">
        <v>2660000.0</v>
      </c>
      <c r="CL208" s="11">
        <v>2.723E7</v>
      </c>
      <c r="CM208" s="11">
        <v>2.529E7</v>
      </c>
      <c r="CN208" s="11">
        <v>2.365E7</v>
      </c>
      <c r="CO208" s="11">
        <v>2.288E7</v>
      </c>
      <c r="CP208" s="11">
        <v>1.95E7</v>
      </c>
      <c r="CQ208" s="11">
        <v>530800.0</v>
      </c>
      <c r="CR208" s="11">
        <v>370500.0</v>
      </c>
      <c r="CS208" s="11">
        <v>395500.0</v>
      </c>
      <c r="CT208" s="11">
        <v>279800.0</v>
      </c>
      <c r="CU208" s="11">
        <v>267400.0</v>
      </c>
      <c r="CV208" s="11">
        <v>4860000.0</v>
      </c>
      <c r="CW208" s="11">
        <v>73600.0</v>
      </c>
      <c r="CX208" s="12"/>
      <c r="CY208" s="12"/>
      <c r="CZ208" s="12"/>
      <c r="DA208" s="12"/>
      <c r="DB208" s="11">
        <v>4860000.0</v>
      </c>
      <c r="DC208" s="11">
        <v>3300000.0</v>
      </c>
      <c r="DD208" s="11">
        <v>3370000.0</v>
      </c>
      <c r="DE208" s="11">
        <v>3420000.0</v>
      </c>
      <c r="DF208" s="11">
        <v>1.39E7</v>
      </c>
      <c r="DG208" s="11">
        <v>1.226E7</v>
      </c>
      <c r="DH208" s="11">
        <v>1.105E7</v>
      </c>
      <c r="DI208" s="11">
        <v>1.075E7</v>
      </c>
      <c r="DJ208" s="11">
        <v>1.013E7</v>
      </c>
      <c r="DK208" s="11">
        <v>2380000.0</v>
      </c>
      <c r="DL208" s="11">
        <v>2730000.0</v>
      </c>
      <c r="DM208" s="11">
        <v>3140000.0</v>
      </c>
      <c r="DN208" s="11">
        <v>2930000.0</v>
      </c>
      <c r="DO208" s="11">
        <v>2860000.0</v>
      </c>
      <c r="DP208" s="11">
        <v>4870000.0</v>
      </c>
      <c r="DQ208" s="11">
        <v>5940000.0</v>
      </c>
      <c r="DR208" s="11">
        <v>5940000.0</v>
      </c>
      <c r="DS208" s="11">
        <v>6510000.0</v>
      </c>
      <c r="DT208" s="11">
        <v>6520000.0</v>
      </c>
      <c r="DU208" s="13"/>
      <c r="DV208" s="12"/>
      <c r="DW208" s="12"/>
      <c r="DX208" s="13"/>
      <c r="DY208" s="13"/>
      <c r="DZ208" s="11">
        <v>1.334E7</v>
      </c>
      <c r="EA208" s="11">
        <v>1.304E7</v>
      </c>
      <c r="EB208" s="11">
        <v>1.261E7</v>
      </c>
      <c r="EC208" s="11">
        <v>1.214E7</v>
      </c>
      <c r="ED208" s="11">
        <v>9370000.0</v>
      </c>
      <c r="EE208" s="14">
        <v>0.081</v>
      </c>
      <c r="EF208" s="14">
        <v>0.407</v>
      </c>
      <c r="EG208" s="14">
        <v>0.278</v>
      </c>
      <c r="EH208" s="14">
        <v>0.152</v>
      </c>
    </row>
    <row r="209">
      <c r="A209" s="9">
        <f t="shared" si="2"/>
        <v>207</v>
      </c>
      <c r="B209" s="10" t="s">
        <v>343</v>
      </c>
      <c r="C209" s="15">
        <v>1080000.0</v>
      </c>
      <c r="D209" s="15">
        <v>807330.0</v>
      </c>
      <c r="E209" s="15">
        <v>1160000.0</v>
      </c>
      <c r="F209" s="15">
        <v>1120000.0</v>
      </c>
      <c r="G209" s="15">
        <v>1030000.0</v>
      </c>
      <c r="H209" s="15">
        <v>993050.0</v>
      </c>
      <c r="I209" s="15">
        <v>919600.0</v>
      </c>
      <c r="J209" s="15">
        <v>113680.0</v>
      </c>
      <c r="K209" s="15">
        <v>124370.0</v>
      </c>
      <c r="L209" s="15">
        <v>103330.0</v>
      </c>
      <c r="M209" s="15">
        <v>127360.0</v>
      </c>
      <c r="N209" s="15">
        <v>123450.0</v>
      </c>
      <c r="O209" s="15">
        <v>62540.0</v>
      </c>
      <c r="P209" s="15">
        <v>60450.0</v>
      </c>
      <c r="Q209" s="15">
        <v>55450.0</v>
      </c>
      <c r="R209" s="15">
        <v>62380.0</v>
      </c>
      <c r="S209" s="15">
        <v>60390.0</v>
      </c>
      <c r="T209" s="12"/>
      <c r="U209" s="12"/>
      <c r="V209" s="12"/>
      <c r="W209" s="12"/>
      <c r="X209" s="12"/>
      <c r="Y209" s="12"/>
      <c r="Z209" s="12"/>
      <c r="AA209" s="15">
        <v>-1330.0</v>
      </c>
      <c r="AB209" s="15">
        <v>-369.0</v>
      </c>
      <c r="AC209" s="15">
        <v>65570.0</v>
      </c>
      <c r="AD209" s="15">
        <v>46290.0</v>
      </c>
      <c r="AE209" s="15">
        <v>52000.0</v>
      </c>
      <c r="AF209" s="15">
        <v>35390.0</v>
      </c>
      <c r="AG209" s="15">
        <v>61090.0</v>
      </c>
      <c r="AH209" s="15">
        <v>62110.0</v>
      </c>
      <c r="AI209" s="15">
        <v>123150.0</v>
      </c>
      <c r="AJ209" s="15">
        <v>134360.0</v>
      </c>
      <c r="AK209" s="15">
        <v>116550.0</v>
      </c>
      <c r="AL209" s="15">
        <v>129260.0</v>
      </c>
      <c r="AM209" s="15">
        <v>122480.0</v>
      </c>
      <c r="AN209" s="15">
        <v>45240.0</v>
      </c>
      <c r="AO209" s="15">
        <v>50810.0</v>
      </c>
      <c r="AP209" s="15">
        <v>44780.0</v>
      </c>
      <c r="AQ209" s="15">
        <v>45560.0</v>
      </c>
      <c r="AR209" s="15">
        <v>45330.0</v>
      </c>
      <c r="AS209" s="15">
        <v>116000.0</v>
      </c>
      <c r="AT209" s="15">
        <v>132920.0</v>
      </c>
      <c r="AU209" s="15">
        <v>107040.0</v>
      </c>
      <c r="AV209" s="15">
        <v>138360.0</v>
      </c>
      <c r="AW209" s="15">
        <v>127220.0</v>
      </c>
      <c r="AX209" s="15">
        <v>-82160.0</v>
      </c>
      <c r="AY209" s="15">
        <v>-60960.0</v>
      </c>
      <c r="AZ209" s="15">
        <v>-70740.0</v>
      </c>
      <c r="BA209" s="15">
        <v>-109360.0</v>
      </c>
      <c r="BB209" s="15">
        <v>-86070.0</v>
      </c>
      <c r="BC209" s="15">
        <v>-10000.0</v>
      </c>
      <c r="BD209" s="15">
        <v>-9490.0</v>
      </c>
      <c r="BE209" s="15">
        <v>-2270.0</v>
      </c>
      <c r="BF209" s="13"/>
      <c r="BG209" s="13"/>
      <c r="BH209" s="15">
        <v>22390.0</v>
      </c>
      <c r="BI209" s="15">
        <v>29220.0</v>
      </c>
      <c r="BJ209" s="15">
        <v>24340.0</v>
      </c>
      <c r="BK209" s="15">
        <v>22760.0</v>
      </c>
      <c r="BL209" s="15">
        <v>34600.0</v>
      </c>
      <c r="BM209" s="15">
        <v>22200.0</v>
      </c>
      <c r="BN209" s="15">
        <v>31190.0</v>
      </c>
      <c r="BO209" s="15">
        <v>13870.0</v>
      </c>
      <c r="BP209" s="15">
        <v>14700.0</v>
      </c>
      <c r="BQ209" s="15">
        <v>25360.0</v>
      </c>
      <c r="BR209" s="15">
        <v>11100.0</v>
      </c>
      <c r="BS209" s="15">
        <v>10130.0</v>
      </c>
      <c r="BT209" s="15">
        <v>10510.0</v>
      </c>
      <c r="BU209" s="15">
        <v>9910.0</v>
      </c>
      <c r="BV209" s="15">
        <v>8890.0</v>
      </c>
      <c r="BW209" s="15">
        <v>64610.0</v>
      </c>
      <c r="BX209" s="15">
        <v>78490.0</v>
      </c>
      <c r="BY209" s="15">
        <v>60330.0</v>
      </c>
      <c r="BZ209" s="15">
        <v>58690.0</v>
      </c>
      <c r="CA209" s="15">
        <v>93000.0</v>
      </c>
      <c r="CB209" s="15">
        <v>966990.0</v>
      </c>
      <c r="CC209" s="15">
        <v>582750.0</v>
      </c>
      <c r="CD209" s="15">
        <v>589840.0</v>
      </c>
      <c r="CE209" s="15">
        <v>601320.0</v>
      </c>
      <c r="CF209" s="15">
        <v>561830.0</v>
      </c>
      <c r="CG209" s="15">
        <v>4670.0</v>
      </c>
      <c r="CH209" s="15">
        <v>4670.0</v>
      </c>
      <c r="CI209" s="15">
        <v>4670.0</v>
      </c>
      <c r="CJ209" s="15">
        <v>4670.0</v>
      </c>
      <c r="CK209" s="15">
        <v>4670.0</v>
      </c>
      <c r="CL209" s="15">
        <v>1230000.0</v>
      </c>
      <c r="CM209" s="15">
        <v>695110.0</v>
      </c>
      <c r="CN209" s="15">
        <v>683550.0</v>
      </c>
      <c r="CO209" s="15">
        <v>691310.0</v>
      </c>
      <c r="CP209" s="15">
        <v>681670.0</v>
      </c>
      <c r="CQ209" s="15">
        <v>23420.0</v>
      </c>
      <c r="CR209" s="15">
        <v>36510.0</v>
      </c>
      <c r="CS209" s="15">
        <v>25280.0</v>
      </c>
      <c r="CT209" s="15">
        <v>31150.0</v>
      </c>
      <c r="CU209" s="15">
        <v>33030.0</v>
      </c>
      <c r="CV209" s="15">
        <v>158430.0</v>
      </c>
      <c r="CW209" s="15">
        <v>32190.0</v>
      </c>
      <c r="CX209" s="13"/>
      <c r="CY209" s="13"/>
      <c r="CZ209" s="13"/>
      <c r="DA209" s="12"/>
      <c r="DB209" s="15">
        <v>158430.0</v>
      </c>
      <c r="DC209" s="15">
        <v>150430.0</v>
      </c>
      <c r="DD209" s="15">
        <v>122540.0</v>
      </c>
      <c r="DE209" s="15">
        <v>125700.0</v>
      </c>
      <c r="DF209" s="15">
        <v>943720.0</v>
      </c>
      <c r="DG209" s="15">
        <v>385890.0</v>
      </c>
      <c r="DH209" s="15">
        <v>424820.0</v>
      </c>
      <c r="DI209" s="15">
        <v>416420.0</v>
      </c>
      <c r="DJ209" s="15">
        <v>365180.0</v>
      </c>
      <c r="DK209" s="12"/>
      <c r="DL209" s="12"/>
      <c r="DM209" s="12"/>
      <c r="DN209" s="12"/>
      <c r="DO209" s="12"/>
      <c r="DP209" s="15">
        <v>591330.0</v>
      </c>
      <c r="DQ209" s="15">
        <v>95000.0</v>
      </c>
      <c r="DR209" s="15">
        <v>163500.0</v>
      </c>
      <c r="DS209" s="15">
        <v>148000.0</v>
      </c>
      <c r="DT209" s="15">
        <v>100500.0</v>
      </c>
      <c r="DU209" s="13"/>
      <c r="DV209" s="12"/>
      <c r="DW209" s="12"/>
      <c r="DX209" s="12"/>
      <c r="DY209" s="12"/>
      <c r="DZ209" s="15">
        <v>290290.0</v>
      </c>
      <c r="EA209" s="15">
        <v>309220.0</v>
      </c>
      <c r="EB209" s="15">
        <v>258730.0</v>
      </c>
      <c r="EC209" s="15">
        <v>274900.0</v>
      </c>
      <c r="ED209" s="15">
        <v>316480.0</v>
      </c>
      <c r="EE209" s="17">
        <v>0.132</v>
      </c>
      <c r="EF209" s="17">
        <v>0.12</v>
      </c>
      <c r="EG209" s="17">
        <v>0.492</v>
      </c>
      <c r="EH209" s="17">
        <v>0.208</v>
      </c>
    </row>
    <row r="210">
      <c r="A210" s="9">
        <f t="shared" si="2"/>
        <v>208</v>
      </c>
      <c r="B210" s="10" t="s">
        <v>344</v>
      </c>
      <c r="C210" s="11">
        <v>900400.0</v>
      </c>
      <c r="D210" s="11">
        <v>759520.0</v>
      </c>
      <c r="E210" s="11">
        <v>900250.0</v>
      </c>
      <c r="F210" s="11">
        <v>885500.0</v>
      </c>
      <c r="G210" s="11">
        <v>913380.0</v>
      </c>
      <c r="H210" s="11">
        <v>974870.0</v>
      </c>
      <c r="I210" s="11">
        <v>1120000.0</v>
      </c>
      <c r="J210" s="11">
        <v>377470.0</v>
      </c>
      <c r="K210" s="11">
        <v>366070.0</v>
      </c>
      <c r="L210" s="11">
        <v>380020.0</v>
      </c>
      <c r="M210" s="11">
        <v>397170.0</v>
      </c>
      <c r="N210" s="11">
        <v>481400.0</v>
      </c>
      <c r="O210" s="11">
        <v>245980.0</v>
      </c>
      <c r="P210" s="11">
        <v>245150.0</v>
      </c>
      <c r="Q210" s="11">
        <v>245950.0</v>
      </c>
      <c r="R210" s="11">
        <v>244410.0</v>
      </c>
      <c r="S210" s="11">
        <v>251810.0</v>
      </c>
      <c r="T210" s="12"/>
      <c r="U210" s="12"/>
      <c r="V210" s="12"/>
      <c r="W210" s="12"/>
      <c r="X210" s="12"/>
      <c r="Y210" s="11"/>
      <c r="Z210" s="11"/>
      <c r="AA210" s="11"/>
      <c r="AB210" s="11"/>
      <c r="AC210" s="11"/>
      <c r="AD210" s="11">
        <v>137710.0</v>
      </c>
      <c r="AE210" s="11">
        <v>126640.0</v>
      </c>
      <c r="AF210" s="11">
        <v>139490.0</v>
      </c>
      <c r="AG210" s="11">
        <v>156270.0</v>
      </c>
      <c r="AH210" s="11">
        <v>234820.0</v>
      </c>
      <c r="AI210" s="11">
        <v>155290.0</v>
      </c>
      <c r="AJ210" s="11">
        <v>147780.0</v>
      </c>
      <c r="AK210" s="11">
        <v>164820.0</v>
      </c>
      <c r="AL210" s="11">
        <v>185550.0</v>
      </c>
      <c r="AM210" s="11">
        <v>261730.0</v>
      </c>
      <c r="AN210" s="11">
        <v>104430.0</v>
      </c>
      <c r="AO210" s="11">
        <v>95610.0</v>
      </c>
      <c r="AP210" s="11">
        <v>89710.0</v>
      </c>
      <c r="AQ210" s="11">
        <v>97960.0</v>
      </c>
      <c r="AR210" s="11">
        <v>147280.0</v>
      </c>
      <c r="AS210" s="11">
        <v>130670.0</v>
      </c>
      <c r="AT210" s="11">
        <v>108730.0</v>
      </c>
      <c r="AU210" s="11">
        <v>119720.0</v>
      </c>
      <c r="AV210" s="11">
        <v>148870.0</v>
      </c>
      <c r="AW210" s="11">
        <v>159320.0</v>
      </c>
      <c r="AX210" s="11">
        <v>-7320.0</v>
      </c>
      <c r="AY210" s="11">
        <v>-10020.0</v>
      </c>
      <c r="AZ210" s="11">
        <v>-13460.0</v>
      </c>
      <c r="BA210" s="11">
        <v>-31660.0</v>
      </c>
      <c r="BB210" s="11">
        <v>-34580.0</v>
      </c>
      <c r="BC210" s="11">
        <v>-112850.0</v>
      </c>
      <c r="BD210" s="11">
        <v>-97740.0</v>
      </c>
      <c r="BE210" s="11">
        <v>-133870.0</v>
      </c>
      <c r="BF210" s="11">
        <v>-84850.0</v>
      </c>
      <c r="BG210" s="11">
        <v>-93770.0</v>
      </c>
      <c r="BH210" s="11">
        <v>233500.0</v>
      </c>
      <c r="BI210" s="11">
        <v>220020.0</v>
      </c>
      <c r="BJ210" s="11">
        <v>215920.0</v>
      </c>
      <c r="BK210" s="11">
        <v>246530.0</v>
      </c>
      <c r="BL210" s="11">
        <v>197650.0</v>
      </c>
      <c r="BM210" s="11">
        <v>3140.0</v>
      </c>
      <c r="BN210" s="11">
        <v>7090.0</v>
      </c>
      <c r="BO210" s="11">
        <v>8590.0</v>
      </c>
      <c r="BP210" s="11">
        <v>8210.0</v>
      </c>
      <c r="BQ210" s="11">
        <v>9650.0</v>
      </c>
      <c r="BR210" s="11">
        <v>121260.0</v>
      </c>
      <c r="BS210" s="11">
        <v>125190.0</v>
      </c>
      <c r="BT210" s="11">
        <v>118010.0</v>
      </c>
      <c r="BU210" s="11">
        <v>125690.0</v>
      </c>
      <c r="BV210" s="11">
        <v>149570.0</v>
      </c>
      <c r="BW210" s="11">
        <v>378830.0</v>
      </c>
      <c r="BX210" s="11">
        <v>370430.0</v>
      </c>
      <c r="BY210" s="11">
        <v>360580.0</v>
      </c>
      <c r="BZ210" s="11">
        <v>386460.0</v>
      </c>
      <c r="CA210" s="11">
        <v>362900.0</v>
      </c>
      <c r="CB210" s="11">
        <v>463940.0</v>
      </c>
      <c r="CC210" s="11">
        <v>130680.0</v>
      </c>
      <c r="CD210" s="11">
        <v>149550.0</v>
      </c>
      <c r="CE210" s="11">
        <v>169000.0</v>
      </c>
      <c r="CF210" s="11">
        <v>172780.0</v>
      </c>
      <c r="CG210" s="11"/>
      <c r="CH210" s="11"/>
      <c r="CI210" s="11"/>
      <c r="CJ210" s="11"/>
      <c r="CK210" s="11"/>
      <c r="CL210" s="11">
        <v>867890.0</v>
      </c>
      <c r="CM210" s="11">
        <v>527300.0</v>
      </c>
      <c r="CN210" s="11">
        <v>538120.0</v>
      </c>
      <c r="CO210" s="11">
        <v>579850.0</v>
      </c>
      <c r="CP210" s="11">
        <v>572770.0</v>
      </c>
      <c r="CQ210" s="11">
        <v>26490.0</v>
      </c>
      <c r="CR210" s="11">
        <v>29010.0</v>
      </c>
      <c r="CS210" s="11">
        <v>29390.0</v>
      </c>
      <c r="CT210" s="11">
        <v>25080.0</v>
      </c>
      <c r="CU210" s="11">
        <v>33860.0</v>
      </c>
      <c r="CV210" s="11">
        <v>172640.0</v>
      </c>
      <c r="CW210" s="11">
        <v>87310.0</v>
      </c>
      <c r="CX210" s="11"/>
      <c r="CY210" s="11"/>
      <c r="CZ210" s="11"/>
      <c r="DA210" s="11"/>
      <c r="DB210" s="11">
        <v>172640.0</v>
      </c>
      <c r="DC210" s="11">
        <v>90220.0</v>
      </c>
      <c r="DD210" s="11">
        <v>97910.0</v>
      </c>
      <c r="DE210" s="11">
        <v>98620.0</v>
      </c>
      <c r="DF210" s="11">
        <v>478740.0</v>
      </c>
      <c r="DG210" s="11">
        <v>133430.0</v>
      </c>
      <c r="DH210" s="11">
        <v>146870.0</v>
      </c>
      <c r="DI210" s="11">
        <v>149310.0</v>
      </c>
      <c r="DJ210" s="11">
        <v>160130.0</v>
      </c>
      <c r="DK210" s="11">
        <v>15860.0</v>
      </c>
      <c r="DL210" s="11">
        <v>18750.0</v>
      </c>
      <c r="DM210" s="11">
        <v>21450.0</v>
      </c>
      <c r="DN210" s="11">
        <v>18090.0</v>
      </c>
      <c r="DO210" s="11">
        <v>33830.0</v>
      </c>
      <c r="DP210" s="11">
        <v>290240.0</v>
      </c>
      <c r="DQ210" s="11"/>
      <c r="DR210" s="11"/>
      <c r="DS210" s="11"/>
      <c r="DT210" s="11"/>
      <c r="DU210" s="13"/>
      <c r="DV210" s="12"/>
      <c r="DW210" s="12"/>
      <c r="DX210" s="12"/>
      <c r="DY210" s="12"/>
      <c r="DZ210" s="11">
        <v>389150.0</v>
      </c>
      <c r="EA210" s="11">
        <v>393880.0</v>
      </c>
      <c r="EB210" s="11">
        <v>391250.0</v>
      </c>
      <c r="EC210" s="11">
        <v>430540.0</v>
      </c>
      <c r="ED210" s="11">
        <v>412640.0</v>
      </c>
      <c r="EE210" s="14">
        <v>0.202</v>
      </c>
      <c r="EF210" s="14">
        <v>0.0</v>
      </c>
      <c r="EG210" s="14">
        <v>-9.0</v>
      </c>
      <c r="EH210" s="14">
        <v>-2.133</v>
      </c>
    </row>
    <row r="211">
      <c r="A211" s="9">
        <f t="shared" si="2"/>
        <v>209</v>
      </c>
      <c r="B211" s="10" t="s">
        <v>345</v>
      </c>
      <c r="C211" s="12"/>
      <c r="D211" s="12"/>
      <c r="E211" s="11">
        <v>7350.0</v>
      </c>
      <c r="F211" s="11">
        <v>5580.0</v>
      </c>
      <c r="G211" s="11">
        <v>3970.0</v>
      </c>
      <c r="H211" s="11">
        <v>2680.0</v>
      </c>
      <c r="I211" s="11">
        <v>1340.0</v>
      </c>
      <c r="J211" s="11">
        <v>3650.0</v>
      </c>
      <c r="K211" s="11">
        <v>2980.0</v>
      </c>
      <c r="L211" s="11">
        <v>1570.0</v>
      </c>
      <c r="M211" s="11">
        <v>1150.0</v>
      </c>
      <c r="N211" s="11">
        <v>681.0</v>
      </c>
      <c r="O211" s="11">
        <v>2270.0</v>
      </c>
      <c r="P211" s="11">
        <v>1700.0</v>
      </c>
      <c r="Q211" s="11">
        <v>1500.0</v>
      </c>
      <c r="R211" s="11">
        <v>795.0</v>
      </c>
      <c r="S211" s="11">
        <v>217.0</v>
      </c>
      <c r="T211" s="12"/>
      <c r="U211" s="12"/>
      <c r="V211" s="12"/>
      <c r="W211" s="12"/>
      <c r="X211" s="12"/>
      <c r="Y211" s="11">
        <v>1250.0</v>
      </c>
      <c r="Z211" s="11">
        <v>915.0</v>
      </c>
      <c r="AA211" s="11">
        <v>-667.0</v>
      </c>
      <c r="AB211" s="11">
        <v>239.0</v>
      </c>
      <c r="AC211" s="12"/>
      <c r="AD211" s="11">
        <v>1040.0</v>
      </c>
      <c r="AE211" s="11">
        <v>747.0</v>
      </c>
      <c r="AF211" s="11">
        <v>-761.0</v>
      </c>
      <c r="AG211" s="11">
        <v>154.0</v>
      </c>
      <c r="AH211" s="11">
        <v>419.0</v>
      </c>
      <c r="AI211" s="11">
        <v>2450.0</v>
      </c>
      <c r="AJ211" s="11">
        <v>1960.0</v>
      </c>
      <c r="AK211" s="11">
        <v>549.0</v>
      </c>
      <c r="AL211" s="11">
        <v>656.0</v>
      </c>
      <c r="AM211" s="11">
        <v>663.0</v>
      </c>
      <c r="AN211" s="11">
        <v>1060.0</v>
      </c>
      <c r="AO211" s="11">
        <v>757.0</v>
      </c>
      <c r="AP211" s="11">
        <v>-761.0</v>
      </c>
      <c r="AQ211" s="11">
        <v>144.0</v>
      </c>
      <c r="AR211" s="11">
        <v>308.0</v>
      </c>
      <c r="AS211" s="11">
        <v>1950.0</v>
      </c>
      <c r="AT211" s="11">
        <v>295.0</v>
      </c>
      <c r="AU211" s="11">
        <v>531.0</v>
      </c>
      <c r="AV211" s="11">
        <v>839.0</v>
      </c>
      <c r="AW211" s="11">
        <v>617.0</v>
      </c>
      <c r="AX211" s="11">
        <v>-1660.0</v>
      </c>
      <c r="AY211" s="11">
        <v>-1460.0</v>
      </c>
      <c r="AZ211" s="11">
        <v>-818.0</v>
      </c>
      <c r="BA211" s="11">
        <v>-444.0</v>
      </c>
      <c r="BB211" s="11">
        <v>-289.0</v>
      </c>
      <c r="BC211" s="11">
        <v>-254.0</v>
      </c>
      <c r="BD211" s="12"/>
      <c r="BE211" s="12"/>
      <c r="BF211" s="11">
        <v>-168.0</v>
      </c>
      <c r="BG211" s="11">
        <v>-145.0</v>
      </c>
      <c r="BH211" s="11">
        <v>2340.0</v>
      </c>
      <c r="BI211" s="11">
        <v>2890.0</v>
      </c>
      <c r="BJ211" s="11">
        <v>23.0</v>
      </c>
      <c r="BK211" s="11">
        <v>31.0</v>
      </c>
      <c r="BL211" s="11">
        <v>73.0</v>
      </c>
      <c r="BM211" s="11">
        <v>1100.0</v>
      </c>
      <c r="BN211" s="11">
        <v>664.0</v>
      </c>
      <c r="BO211" s="11">
        <v>392.0</v>
      </c>
      <c r="BP211" s="11">
        <v>336.0</v>
      </c>
      <c r="BQ211" s="11">
        <v>161.0</v>
      </c>
      <c r="BR211" s="12"/>
      <c r="BS211" s="12"/>
      <c r="BT211" s="12"/>
      <c r="BU211" s="12"/>
      <c r="BV211" s="12"/>
      <c r="BW211" s="11">
        <v>3440.0</v>
      </c>
      <c r="BX211" s="11">
        <v>3550.0</v>
      </c>
      <c r="BY211" s="11">
        <v>415.0</v>
      </c>
      <c r="BZ211" s="11">
        <v>367.0</v>
      </c>
      <c r="CA211" s="11">
        <v>234.0</v>
      </c>
      <c r="CB211" s="11">
        <v>2440.0</v>
      </c>
      <c r="CC211" s="11">
        <v>2140.0</v>
      </c>
      <c r="CD211" s="11">
        <v>1300.0</v>
      </c>
      <c r="CE211" s="11">
        <v>648.0</v>
      </c>
      <c r="CF211" s="11">
        <v>443.0</v>
      </c>
      <c r="CG211" s="11">
        <v>528.0</v>
      </c>
      <c r="CH211" s="11">
        <v>393.0</v>
      </c>
      <c r="CI211" s="11">
        <v>400.0</v>
      </c>
      <c r="CJ211" s="11">
        <v>391.0</v>
      </c>
      <c r="CK211" s="12"/>
      <c r="CL211" s="11">
        <v>8250.0</v>
      </c>
      <c r="CM211" s="11">
        <v>6800.0</v>
      </c>
      <c r="CN211" s="11">
        <v>2320.0</v>
      </c>
      <c r="CO211" s="11">
        <v>1670.0</v>
      </c>
      <c r="CP211" s="11">
        <v>854.0</v>
      </c>
      <c r="CQ211" s="11">
        <v>629.0</v>
      </c>
      <c r="CR211" s="11">
        <v>662.0</v>
      </c>
      <c r="CS211" s="11">
        <v>1030.0</v>
      </c>
      <c r="CT211" s="11">
        <v>537.0</v>
      </c>
      <c r="CU211" s="11">
        <v>95.0</v>
      </c>
      <c r="CV211" s="11">
        <v>1870.0</v>
      </c>
      <c r="CW211" s="11">
        <v>325.0</v>
      </c>
      <c r="CX211" s="11">
        <v>35.0</v>
      </c>
      <c r="CY211" s="24">
        <v>77.0</v>
      </c>
      <c r="CZ211" s="24">
        <v>82.0</v>
      </c>
      <c r="DA211" s="11">
        <v>16.0</v>
      </c>
      <c r="DB211" s="11">
        <v>1870.0</v>
      </c>
      <c r="DC211" s="11">
        <v>1510.0</v>
      </c>
      <c r="DD211" s="11">
        <v>2230.0</v>
      </c>
      <c r="DE211" s="11">
        <v>1170.0</v>
      </c>
      <c r="DF211" s="11">
        <v>2620.0</v>
      </c>
      <c r="DG211" s="11">
        <v>1950.0</v>
      </c>
      <c r="DH211" s="11">
        <v>2690.0</v>
      </c>
      <c r="DI211" s="11">
        <v>1290.0</v>
      </c>
      <c r="DJ211" s="11">
        <v>576.0</v>
      </c>
      <c r="DK211" s="12"/>
      <c r="DL211" s="12"/>
      <c r="DM211" s="12"/>
      <c r="DN211" s="12"/>
      <c r="DO211" s="12"/>
      <c r="DP211" s="11">
        <v>699.0</v>
      </c>
      <c r="DQ211" s="11">
        <v>332.0</v>
      </c>
      <c r="DR211" s="11">
        <v>398.0</v>
      </c>
      <c r="DS211" s="11">
        <v>45.0</v>
      </c>
      <c r="DT211" s="11">
        <v>29.0</v>
      </c>
      <c r="DU211" s="13"/>
      <c r="DV211" s="12"/>
      <c r="DW211" s="12"/>
      <c r="DX211" s="12"/>
      <c r="DY211" s="12"/>
      <c r="DZ211" s="11">
        <v>5630.0</v>
      </c>
      <c r="EA211" s="11">
        <v>4840.0</v>
      </c>
      <c r="EB211" s="11">
        <v>-375.0</v>
      </c>
      <c r="EC211" s="11">
        <v>374.0</v>
      </c>
      <c r="ED211" s="11">
        <v>278.0</v>
      </c>
      <c r="EE211" s="23"/>
      <c r="EF211" s="23"/>
      <c r="EG211" s="23"/>
      <c r="EH211" s="23"/>
    </row>
    <row r="212">
      <c r="A212" s="9">
        <f t="shared" si="2"/>
        <v>210</v>
      </c>
      <c r="B212" s="10" t="s">
        <v>346</v>
      </c>
      <c r="C212" s="11">
        <v>2660000.0</v>
      </c>
      <c r="D212" s="11">
        <v>2490000.0</v>
      </c>
      <c r="E212" s="11">
        <v>2620000.0</v>
      </c>
      <c r="F212" s="11">
        <v>2380000.0</v>
      </c>
      <c r="G212" s="11">
        <v>1910000.0</v>
      </c>
      <c r="H212" s="11">
        <v>1740000.0</v>
      </c>
      <c r="I212" s="11">
        <v>1620000.0</v>
      </c>
      <c r="J212" s="11">
        <v>681270.0</v>
      </c>
      <c r="K212" s="11">
        <v>576150.0</v>
      </c>
      <c r="L212" s="11">
        <v>461110.0</v>
      </c>
      <c r="M212" s="11">
        <v>400340.0</v>
      </c>
      <c r="N212" s="11">
        <v>358030.0</v>
      </c>
      <c r="O212" s="11">
        <v>391660.0</v>
      </c>
      <c r="P212" s="11">
        <v>346230.0</v>
      </c>
      <c r="Q212" s="11">
        <v>291830.0</v>
      </c>
      <c r="R212" s="11">
        <v>277840.0</v>
      </c>
      <c r="S212" s="11">
        <v>274500.0</v>
      </c>
      <c r="T212" s="11"/>
      <c r="U212" s="11"/>
      <c r="V212" s="11"/>
      <c r="W212" s="11"/>
      <c r="X212" s="11"/>
      <c r="Y212" s="11">
        <v>289520.0</v>
      </c>
      <c r="Z212" s="11">
        <v>208950.0</v>
      </c>
      <c r="AA212" s="11">
        <v>135780.0</v>
      </c>
      <c r="AB212" s="11">
        <v>121600.0</v>
      </c>
      <c r="AC212" s="11"/>
      <c r="AD212" s="11">
        <v>253780.0</v>
      </c>
      <c r="AE212" s="11">
        <v>180820.0</v>
      </c>
      <c r="AF212" s="11">
        <v>128040.0</v>
      </c>
      <c r="AG212" s="11">
        <v>116270.0</v>
      </c>
      <c r="AH212" s="11">
        <v>74120.0</v>
      </c>
      <c r="AI212" s="11">
        <v>342310.0</v>
      </c>
      <c r="AJ212" s="11">
        <v>269340.0</v>
      </c>
      <c r="AK212" s="11">
        <v>185780.0</v>
      </c>
      <c r="AL212" s="11">
        <v>134500.0</v>
      </c>
      <c r="AM212" s="11">
        <v>95660.0</v>
      </c>
      <c r="AN212" s="11">
        <v>191000.0</v>
      </c>
      <c r="AO212" s="11">
        <v>134750.0</v>
      </c>
      <c r="AP212" s="11">
        <v>158130.0</v>
      </c>
      <c r="AQ212" s="11">
        <v>72610.0</v>
      </c>
      <c r="AR212" s="11">
        <v>79120.0</v>
      </c>
      <c r="AS212" s="11">
        <v>271780.0</v>
      </c>
      <c r="AT212" s="11">
        <v>167170.0</v>
      </c>
      <c r="AU212" s="11">
        <v>113190.0</v>
      </c>
      <c r="AV212" s="11">
        <v>76790.0</v>
      </c>
      <c r="AW212" s="11">
        <v>56010.0</v>
      </c>
      <c r="AX212" s="11">
        <v>-45540.0</v>
      </c>
      <c r="AY212" s="11">
        <v>-52500.0</v>
      </c>
      <c r="AZ212" s="11">
        <v>-25310.0</v>
      </c>
      <c r="BA212" s="11">
        <v>-14160.0</v>
      </c>
      <c r="BB212" s="11">
        <v>-13640.0</v>
      </c>
      <c r="BC212" s="11"/>
      <c r="BD212" s="11"/>
      <c r="BE212" s="11"/>
      <c r="BF212" s="11"/>
      <c r="BG212" s="11">
        <v>-200000.0</v>
      </c>
      <c r="BH212" s="11">
        <v>184810.0</v>
      </c>
      <c r="BI212" s="11">
        <v>100930.0</v>
      </c>
      <c r="BJ212" s="11">
        <v>56520.0</v>
      </c>
      <c r="BK212" s="11">
        <v>134380.0</v>
      </c>
      <c r="BL212" s="11">
        <v>112850.0</v>
      </c>
      <c r="BM212" s="11">
        <v>428840.0</v>
      </c>
      <c r="BN212" s="11">
        <v>407110.0</v>
      </c>
      <c r="BO212" s="11">
        <v>308510.0</v>
      </c>
      <c r="BP212" s="11">
        <v>252620.0</v>
      </c>
      <c r="BQ212" s="11">
        <v>235550.0</v>
      </c>
      <c r="BR212" s="11">
        <v>149080.0</v>
      </c>
      <c r="BS212" s="11">
        <v>168980.0</v>
      </c>
      <c r="BT212" s="11">
        <v>131340.0</v>
      </c>
      <c r="BU212" s="11">
        <v>116190.0</v>
      </c>
      <c r="BV212" s="11">
        <v>118700.0</v>
      </c>
      <c r="BW212" s="11">
        <v>779830.0</v>
      </c>
      <c r="BX212" s="11">
        <v>704700.0</v>
      </c>
      <c r="BY212" s="11">
        <v>511590.0</v>
      </c>
      <c r="BZ212" s="11">
        <v>526550.0</v>
      </c>
      <c r="CA212" s="11">
        <v>480360.0</v>
      </c>
      <c r="CB212" s="11">
        <v>265210.0</v>
      </c>
      <c r="CC212" s="11">
        <v>167960.0</v>
      </c>
      <c r="CD212" s="11">
        <v>107120.0</v>
      </c>
      <c r="CE212" s="11">
        <v>92760.0</v>
      </c>
      <c r="CF212" s="11">
        <v>93070.0</v>
      </c>
      <c r="CG212" s="11">
        <v>1370000.0</v>
      </c>
      <c r="CH212" s="11">
        <v>1360000.0</v>
      </c>
      <c r="CI212" s="11">
        <v>1080000.0</v>
      </c>
      <c r="CJ212" s="11">
        <v>1050000.0</v>
      </c>
      <c r="CK212" s="11">
        <v>1040000.0</v>
      </c>
      <c r="CL212" s="11">
        <v>2600000.0</v>
      </c>
      <c r="CM212" s="11">
        <v>2450000.0</v>
      </c>
      <c r="CN212" s="11">
        <v>1750000.0</v>
      </c>
      <c r="CO212" s="11">
        <v>1690000.0</v>
      </c>
      <c r="CP212" s="11">
        <v>1640000.0</v>
      </c>
      <c r="CQ212" s="11">
        <v>307970.0</v>
      </c>
      <c r="CR212" s="11">
        <v>313170.0</v>
      </c>
      <c r="CS212" s="11">
        <v>263810.0</v>
      </c>
      <c r="CT212" s="11">
        <v>241530.0</v>
      </c>
      <c r="CU212" s="11">
        <v>253310.0</v>
      </c>
      <c r="CV212" s="11">
        <v>476750.0</v>
      </c>
      <c r="CW212" s="11">
        <v>36090.0</v>
      </c>
      <c r="CX212" s="11"/>
      <c r="CY212" s="11"/>
      <c r="CZ212" s="11"/>
      <c r="DA212" s="11"/>
      <c r="DB212" s="11">
        <v>476750.0</v>
      </c>
      <c r="DC212" s="11">
        <v>444260.0</v>
      </c>
      <c r="DD212" s="11">
        <v>351400.0</v>
      </c>
      <c r="DE212" s="11">
        <v>325930.0</v>
      </c>
      <c r="DF212" s="11">
        <v>1450000.0</v>
      </c>
      <c r="DG212" s="11">
        <v>1380000.0</v>
      </c>
      <c r="DH212" s="11">
        <v>753030.0</v>
      </c>
      <c r="DI212" s="11">
        <v>717570.0</v>
      </c>
      <c r="DJ212" s="11">
        <v>726520.0</v>
      </c>
      <c r="DK212" s="12"/>
      <c r="DL212" s="12"/>
      <c r="DM212" s="12"/>
      <c r="DN212" s="12"/>
      <c r="DO212" s="12"/>
      <c r="DP212" s="11">
        <v>751970.0</v>
      </c>
      <c r="DQ212" s="11">
        <v>716620.0</v>
      </c>
      <c r="DR212" s="11">
        <v>229390.0</v>
      </c>
      <c r="DS212" s="11">
        <v>158800.0</v>
      </c>
      <c r="DT212" s="11">
        <v>178460.0</v>
      </c>
      <c r="DU212" s="11"/>
      <c r="DV212" s="11"/>
      <c r="DW212" s="11"/>
      <c r="DX212" s="12"/>
      <c r="DY212" s="12"/>
      <c r="DZ212" s="11">
        <v>1150000.0</v>
      </c>
      <c r="EA212" s="11">
        <v>1070000.0</v>
      </c>
      <c r="EB212" s="11">
        <v>996520.0</v>
      </c>
      <c r="EC212" s="11">
        <v>972550.0</v>
      </c>
      <c r="ED212" s="11">
        <v>915730.0</v>
      </c>
      <c r="EE212" s="14">
        <v>0.092</v>
      </c>
      <c r="EF212" s="14">
        <v>0.154</v>
      </c>
      <c r="EG212" s="14">
        <v>0.096</v>
      </c>
      <c r="EH212" s="14">
        <v>0.091</v>
      </c>
    </row>
    <row r="213">
      <c r="A213" s="9">
        <f t="shared" si="2"/>
        <v>211</v>
      </c>
      <c r="B213" s="10" t="s">
        <v>347</v>
      </c>
      <c r="C213" s="11">
        <v>7630000.0</v>
      </c>
      <c r="D213" s="11">
        <v>7140000.0</v>
      </c>
      <c r="E213" s="11">
        <v>7280000.0</v>
      </c>
      <c r="F213" s="11">
        <v>7720000.0</v>
      </c>
      <c r="G213" s="11">
        <v>7030000.0</v>
      </c>
      <c r="H213" s="11">
        <v>6370000.0</v>
      </c>
      <c r="I213" s="11">
        <v>3560000.0</v>
      </c>
      <c r="J213" s="11">
        <v>1910000.0</v>
      </c>
      <c r="K213" s="11">
        <v>1840000.0</v>
      </c>
      <c r="L213" s="11">
        <v>1730000.0</v>
      </c>
      <c r="M213" s="11">
        <v>1600000.0</v>
      </c>
      <c r="N213" s="11">
        <v>901460.0</v>
      </c>
      <c r="O213" s="11">
        <v>1520000.0</v>
      </c>
      <c r="P213" s="11">
        <v>1470000.0</v>
      </c>
      <c r="Q213" s="11">
        <v>1440000.0</v>
      </c>
      <c r="R213" s="11">
        <v>1360000.0</v>
      </c>
      <c r="S213" s="11">
        <v>786430.0</v>
      </c>
      <c r="T213" s="11"/>
      <c r="U213" s="11"/>
      <c r="V213" s="11"/>
      <c r="W213" s="11"/>
      <c r="X213" s="11"/>
      <c r="Y213" s="11">
        <v>384120.0</v>
      </c>
      <c r="Z213" s="11">
        <v>372170.0</v>
      </c>
      <c r="AA213" s="11"/>
      <c r="AB213" s="11">
        <v>180560.0</v>
      </c>
      <c r="AC213" s="11">
        <v>86050.0</v>
      </c>
      <c r="AD213" s="11">
        <v>282760.0</v>
      </c>
      <c r="AE213" s="11">
        <v>260760.0</v>
      </c>
      <c r="AF213" s="11">
        <v>91930.0</v>
      </c>
      <c r="AG213" s="11">
        <v>21670.0</v>
      </c>
      <c r="AH213" s="11">
        <v>-18580.0</v>
      </c>
      <c r="AI213" s="11">
        <v>492340.0</v>
      </c>
      <c r="AJ213" s="11">
        <v>466870.0</v>
      </c>
      <c r="AK213" s="11">
        <v>382300.0</v>
      </c>
      <c r="AL213" s="11">
        <v>347830.0</v>
      </c>
      <c r="AM213" s="11">
        <v>173310.0</v>
      </c>
      <c r="AN213" s="11">
        <v>221810.0</v>
      </c>
      <c r="AO213" s="11">
        <v>205190.0</v>
      </c>
      <c r="AP213" s="11">
        <v>38780.0</v>
      </c>
      <c r="AQ213" s="11">
        <v>144340.0</v>
      </c>
      <c r="AR213" s="11">
        <v>-22970.0</v>
      </c>
      <c r="AS213" s="11">
        <v>504050.0</v>
      </c>
      <c r="AT213" s="11">
        <v>282830.0</v>
      </c>
      <c r="AU213" s="11">
        <v>178530.0</v>
      </c>
      <c r="AV213" s="11">
        <v>158230.0</v>
      </c>
      <c r="AW213" s="11">
        <v>177030.0</v>
      </c>
      <c r="AX213" s="11">
        <v>-112870.0</v>
      </c>
      <c r="AY213" s="11">
        <v>-101410.0</v>
      </c>
      <c r="AZ213" s="11">
        <v>-62410.0</v>
      </c>
      <c r="BA213" s="11">
        <v>-42660.0</v>
      </c>
      <c r="BB213" s="11">
        <v>-43810.0</v>
      </c>
      <c r="BC213" s="13"/>
      <c r="BD213" s="13"/>
      <c r="BE213" s="13"/>
      <c r="BF213" s="13"/>
      <c r="BG213" s="13"/>
      <c r="BH213" s="11">
        <v>14100.0</v>
      </c>
      <c r="BI213" s="11">
        <v>10130.0</v>
      </c>
      <c r="BJ213" s="11">
        <v>57530.0</v>
      </c>
      <c r="BK213" s="11">
        <v>14450.0</v>
      </c>
      <c r="BL213" s="11">
        <v>65060.0</v>
      </c>
      <c r="BM213" s="11">
        <v>692390.0</v>
      </c>
      <c r="BN213" s="11">
        <v>722810.0</v>
      </c>
      <c r="BO213" s="11">
        <v>703220.0</v>
      </c>
      <c r="BP213" s="11">
        <v>624990.0</v>
      </c>
      <c r="BQ213" s="11">
        <v>586320.0</v>
      </c>
      <c r="BR213" s="11">
        <v>561260.0</v>
      </c>
      <c r="BS213" s="11">
        <v>596900.0</v>
      </c>
      <c r="BT213" s="11">
        <v>601550.0</v>
      </c>
      <c r="BU213" s="11">
        <v>541770.0</v>
      </c>
      <c r="BV213" s="11">
        <v>513050.0</v>
      </c>
      <c r="BW213" s="11">
        <v>1310000.0</v>
      </c>
      <c r="BX213" s="11">
        <v>1370000.0</v>
      </c>
      <c r="BY213" s="11">
        <v>1400000.0</v>
      </c>
      <c r="BZ213" s="11">
        <v>1220000.0</v>
      </c>
      <c r="CA213" s="11">
        <v>1190000.0</v>
      </c>
      <c r="CB213" s="11">
        <v>1010000.0</v>
      </c>
      <c r="CC213" s="11">
        <v>670080.0</v>
      </c>
      <c r="CD213" s="11">
        <v>639300.0</v>
      </c>
      <c r="CE213" s="11">
        <v>656100.0</v>
      </c>
      <c r="CF213" s="11">
        <v>734330.0</v>
      </c>
      <c r="CG213" s="11">
        <v>769020.0</v>
      </c>
      <c r="CH213" s="11">
        <v>740410.0</v>
      </c>
      <c r="CI213" s="11">
        <v>740410.0</v>
      </c>
      <c r="CJ213" s="11">
        <v>740410.0</v>
      </c>
      <c r="CK213" s="11">
        <v>739630.0</v>
      </c>
      <c r="CL213" s="11">
        <v>3250000.0</v>
      </c>
      <c r="CM213" s="11">
        <v>2990000.0</v>
      </c>
      <c r="CN213" s="11">
        <v>3040000.0</v>
      </c>
      <c r="CO213" s="11">
        <v>2940000.0</v>
      </c>
      <c r="CP213" s="11">
        <v>2880000.0</v>
      </c>
      <c r="CQ213" s="11">
        <v>436820.0</v>
      </c>
      <c r="CR213" s="11">
        <v>423170.0</v>
      </c>
      <c r="CS213" s="11">
        <v>514280.0</v>
      </c>
      <c r="CT213" s="11">
        <v>445370.0</v>
      </c>
      <c r="CU213" s="11">
        <v>412180.0</v>
      </c>
      <c r="CV213" s="11">
        <v>821300.0</v>
      </c>
      <c r="CW213" s="11">
        <v>61650.0</v>
      </c>
      <c r="CX213" s="11"/>
      <c r="CY213" s="11"/>
      <c r="CZ213" s="12"/>
      <c r="DA213" s="12"/>
      <c r="DB213" s="11">
        <v>821300.0</v>
      </c>
      <c r="DC213" s="11">
        <v>731260.0</v>
      </c>
      <c r="DD213" s="11">
        <v>798350.0</v>
      </c>
      <c r="DE213" s="11">
        <v>754700.0</v>
      </c>
      <c r="DF213" s="11">
        <v>2420000.0</v>
      </c>
      <c r="DG213" s="11">
        <v>2390000.0</v>
      </c>
      <c r="DH213" s="11">
        <v>2660000.0</v>
      </c>
      <c r="DI213" s="11">
        <v>2630000.0</v>
      </c>
      <c r="DJ213" s="11">
        <v>2730000.0</v>
      </c>
      <c r="DK213" s="11"/>
      <c r="DL213" s="11"/>
      <c r="DM213" s="11"/>
      <c r="DN213" s="12"/>
      <c r="DO213" s="12"/>
      <c r="DP213" s="11">
        <v>1510000.0</v>
      </c>
      <c r="DQ213" s="11">
        <v>1550000.0</v>
      </c>
      <c r="DR213" s="11">
        <v>1770000.0</v>
      </c>
      <c r="DS213" s="11">
        <v>1790000.0</v>
      </c>
      <c r="DT213" s="11">
        <v>1920000.0</v>
      </c>
      <c r="DU213" s="13"/>
      <c r="DV213" s="12"/>
      <c r="DW213" s="12"/>
      <c r="DX213" s="12"/>
      <c r="DY213" s="13"/>
      <c r="DZ213" s="11">
        <v>824950.0</v>
      </c>
      <c r="EA213" s="11">
        <v>596340.0</v>
      </c>
      <c r="EB213" s="11">
        <v>376210.0</v>
      </c>
      <c r="EC213" s="11">
        <v>309620.0</v>
      </c>
      <c r="ED213" s="11">
        <v>149200.0</v>
      </c>
      <c r="EE213" s="14">
        <v>0.154</v>
      </c>
      <c r="EF213" s="14">
        <v>0.13</v>
      </c>
      <c r="EG213" s="14">
        <v>0.214</v>
      </c>
      <c r="EH213" s="14">
        <v>0.223</v>
      </c>
    </row>
    <row r="214">
      <c r="A214" s="9">
        <f t="shared" si="2"/>
        <v>212</v>
      </c>
      <c r="B214" s="22" t="s">
        <v>348</v>
      </c>
      <c r="C214" s="11">
        <v>65760.0</v>
      </c>
      <c r="D214" s="11">
        <v>45880.0</v>
      </c>
      <c r="E214" s="11">
        <v>27370.0</v>
      </c>
      <c r="F214" s="11">
        <v>19740.0</v>
      </c>
      <c r="G214" s="11">
        <v>11020.0</v>
      </c>
      <c r="H214" s="11">
        <v>8230.0</v>
      </c>
      <c r="I214" s="11">
        <v>6450.0</v>
      </c>
      <c r="J214" s="11">
        <v>17530.0</v>
      </c>
      <c r="K214" s="11">
        <v>13530.0</v>
      </c>
      <c r="L214" s="11">
        <v>6750.0</v>
      </c>
      <c r="M214" s="11">
        <v>4780.0</v>
      </c>
      <c r="N214" s="11">
        <v>3810.0</v>
      </c>
      <c r="O214" s="11">
        <v>16760.0</v>
      </c>
      <c r="P214" s="11">
        <v>9860.0</v>
      </c>
      <c r="Q214" s="11">
        <v>7800.0</v>
      </c>
      <c r="R214" s="11">
        <v>9630.0</v>
      </c>
      <c r="S214" s="11">
        <v>8830.0</v>
      </c>
      <c r="T214" s="11">
        <v>3170.0</v>
      </c>
      <c r="U214" s="11">
        <v>1300.0</v>
      </c>
      <c r="V214" s="11">
        <v>1190.0</v>
      </c>
      <c r="W214" s="11">
        <v>2030.0</v>
      </c>
      <c r="X214" s="11">
        <v>1380.0</v>
      </c>
      <c r="Y214" s="11">
        <v>-2950.0</v>
      </c>
      <c r="Z214" s="11">
        <v>-28270.0</v>
      </c>
      <c r="AA214" s="12"/>
      <c r="AB214" s="11">
        <v>-7720.0</v>
      </c>
      <c r="AC214" s="12"/>
      <c r="AD214" s="11">
        <v>-3200.0</v>
      </c>
      <c r="AE214" s="11">
        <v>-25010.0</v>
      </c>
      <c r="AF214" s="11">
        <v>-2520.0</v>
      </c>
      <c r="AG214" s="11">
        <v>-8040.0</v>
      </c>
      <c r="AH214" s="11">
        <v>-5000.0</v>
      </c>
      <c r="AI214" s="11">
        <v>3080.0</v>
      </c>
      <c r="AJ214" s="11">
        <v>4000.0</v>
      </c>
      <c r="AK214" s="11">
        <v>-717.0</v>
      </c>
      <c r="AL214" s="11">
        <v>-4480.0</v>
      </c>
      <c r="AM214" s="11">
        <v>-4670.0</v>
      </c>
      <c r="AN214" s="11">
        <v>-1660.0</v>
      </c>
      <c r="AO214" s="11">
        <v>-25010.0</v>
      </c>
      <c r="AP214" s="11">
        <v>-2520.0</v>
      </c>
      <c r="AQ214" s="11">
        <v>-6880.0</v>
      </c>
      <c r="AR214" s="11">
        <v>-4210.0</v>
      </c>
      <c r="AS214" s="11">
        <v>1210.0</v>
      </c>
      <c r="AT214" s="11">
        <v>2350.0</v>
      </c>
      <c r="AU214" s="11">
        <v>605.0</v>
      </c>
      <c r="AV214" s="11">
        <v>-4330.0</v>
      </c>
      <c r="AW214" s="11">
        <v>-4970.0</v>
      </c>
      <c r="AX214" s="11">
        <v>-675.0</v>
      </c>
      <c r="AY214" s="11">
        <v>-500.0</v>
      </c>
      <c r="AZ214" s="11">
        <v>-144.0</v>
      </c>
      <c r="BA214" s="11">
        <v>-1260.0</v>
      </c>
      <c r="BB214" s="11">
        <v>-1420.0</v>
      </c>
      <c r="BC214" s="12"/>
      <c r="BD214" s="11">
        <v>-436.0</v>
      </c>
      <c r="BE214" s="11">
        <v>-106.0</v>
      </c>
      <c r="BF214" s="12"/>
      <c r="BG214" s="12"/>
      <c r="BH214" s="11">
        <v>6450.0</v>
      </c>
      <c r="BI214" s="11">
        <v>30660.0</v>
      </c>
      <c r="BJ214" s="11">
        <v>6660.0</v>
      </c>
      <c r="BK214" s="11">
        <v>1410.0</v>
      </c>
      <c r="BL214" s="11">
        <v>3820.0</v>
      </c>
      <c r="BM214" s="11">
        <v>5350.0</v>
      </c>
      <c r="BN214" s="11">
        <v>3050.0</v>
      </c>
      <c r="BO214" s="11">
        <v>1020.0</v>
      </c>
      <c r="BP214" s="11">
        <v>1190.0</v>
      </c>
      <c r="BQ214" s="11">
        <v>929.0</v>
      </c>
      <c r="BR214" s="11">
        <v>10970.0</v>
      </c>
      <c r="BS214" s="11">
        <v>3510.0</v>
      </c>
      <c r="BT214" s="11">
        <v>1850.0</v>
      </c>
      <c r="BU214" s="11">
        <v>1760.0</v>
      </c>
      <c r="BV214" s="11">
        <v>1830.0</v>
      </c>
      <c r="BW214" s="11">
        <v>24110.0</v>
      </c>
      <c r="BX214" s="11">
        <v>37560.0</v>
      </c>
      <c r="BY214" s="11">
        <v>9930.0</v>
      </c>
      <c r="BZ214" s="11">
        <v>4630.0</v>
      </c>
      <c r="CA214" s="11">
        <v>6970.0</v>
      </c>
      <c r="CB214" s="11">
        <v>6610.0</v>
      </c>
      <c r="CC214" s="11">
        <v>1320.0</v>
      </c>
      <c r="CD214" s="11">
        <v>1110.0</v>
      </c>
      <c r="CE214" s="11">
        <v>1190.0</v>
      </c>
      <c r="CF214" s="11">
        <v>1450.0</v>
      </c>
      <c r="CG214" s="11">
        <v>33640.0</v>
      </c>
      <c r="CH214" s="12"/>
      <c r="CI214" s="12"/>
      <c r="CJ214" s="12"/>
      <c r="CK214" s="12"/>
      <c r="CL214" s="11">
        <v>92820.0</v>
      </c>
      <c r="CM214" s="11">
        <v>45470.0</v>
      </c>
      <c r="CN214" s="11">
        <v>12140.0</v>
      </c>
      <c r="CO214" s="11">
        <v>7930.0</v>
      </c>
      <c r="CP214" s="11">
        <v>12370.0</v>
      </c>
      <c r="CQ214" s="11">
        <v>3120.0</v>
      </c>
      <c r="CR214" s="11">
        <v>720.0</v>
      </c>
      <c r="CS214" s="11">
        <v>691.0</v>
      </c>
      <c r="CT214" s="11">
        <v>711.0</v>
      </c>
      <c r="CU214" s="11">
        <v>1030.0</v>
      </c>
      <c r="CV214" s="11">
        <v>7670.0</v>
      </c>
      <c r="CW214" s="11">
        <v>804.0</v>
      </c>
      <c r="CX214" s="12"/>
      <c r="CY214" s="12"/>
      <c r="CZ214" s="12"/>
      <c r="DA214" s="12"/>
      <c r="DB214" s="11">
        <v>7670.0</v>
      </c>
      <c r="DC214" s="11">
        <v>1940.0</v>
      </c>
      <c r="DD214" s="11">
        <v>1510.0</v>
      </c>
      <c r="DE214" s="11">
        <v>1130.0</v>
      </c>
      <c r="DF214" s="11">
        <v>49360.0</v>
      </c>
      <c r="DG214" s="11">
        <v>30840.0</v>
      </c>
      <c r="DH214" s="11">
        <v>2050.0</v>
      </c>
      <c r="DI214" s="11">
        <v>4760.0</v>
      </c>
      <c r="DJ214" s="11">
        <v>2510.0</v>
      </c>
      <c r="DK214" s="11">
        <v>6420.0</v>
      </c>
      <c r="DL214" s="11">
        <v>6550.0</v>
      </c>
      <c r="DM214" s="11">
        <v>1070.0</v>
      </c>
      <c r="DN214" s="11">
        <v>2080.0</v>
      </c>
      <c r="DO214" s="12"/>
      <c r="DP214" s="11">
        <v>550.0</v>
      </c>
      <c r="DQ214" s="12"/>
      <c r="DR214" s="12"/>
      <c r="DS214" s="11">
        <v>2840.0</v>
      </c>
      <c r="DT214" s="12"/>
      <c r="DU214" s="13"/>
      <c r="DV214" s="12"/>
      <c r="DW214" s="12"/>
      <c r="DX214" s="13"/>
      <c r="DY214" s="13"/>
      <c r="DZ214" s="11">
        <v>43450.0</v>
      </c>
      <c r="EA214" s="11">
        <v>14630.0</v>
      </c>
      <c r="EB214" s="11">
        <v>10090.0</v>
      </c>
      <c r="EC214" s="11">
        <v>3170.0</v>
      </c>
      <c r="ED214" s="11">
        <v>8510.0</v>
      </c>
      <c r="EE214" s="14">
        <v>0.12</v>
      </c>
      <c r="EF214" s="14">
        <v>0.171</v>
      </c>
      <c r="EG214" s="14">
        <v>-22.333</v>
      </c>
      <c r="EH214" s="14">
        <v>12.792</v>
      </c>
    </row>
    <row r="215">
      <c r="A215" s="9">
        <f t="shared" si="2"/>
        <v>213</v>
      </c>
      <c r="B215" s="22" t="s">
        <v>349</v>
      </c>
      <c r="C215" s="11">
        <v>84640.0</v>
      </c>
      <c r="D215" s="11">
        <v>58260.0</v>
      </c>
      <c r="E215" s="11">
        <v>56690.0</v>
      </c>
      <c r="F215" s="11">
        <v>31300.0</v>
      </c>
      <c r="G215" s="12"/>
      <c r="H215" s="12"/>
      <c r="I215" s="12"/>
      <c r="J215" s="11">
        <v>43480.0</v>
      </c>
      <c r="K215" s="11">
        <v>23120.0</v>
      </c>
      <c r="L215" s="12"/>
      <c r="M215" s="12"/>
      <c r="N215" s="12"/>
      <c r="O215" s="11">
        <v>60010.0</v>
      </c>
      <c r="P215" s="11">
        <v>44280.0</v>
      </c>
      <c r="Q215" s="12"/>
      <c r="R215" s="12"/>
      <c r="S215" s="12"/>
      <c r="T215" s="11">
        <v>38410.0</v>
      </c>
      <c r="U215" s="11">
        <v>29080.0</v>
      </c>
      <c r="V215" s="12"/>
      <c r="W215" s="12"/>
      <c r="X215" s="12"/>
      <c r="Y215" s="12"/>
      <c r="Z215" s="12"/>
      <c r="AA215" s="12"/>
      <c r="AB215" s="12"/>
      <c r="AC215" s="12"/>
      <c r="AD215" s="11">
        <v>-18230.0</v>
      </c>
      <c r="AE215" s="11">
        <v>-23270.0</v>
      </c>
      <c r="AF215" s="12"/>
      <c r="AG215" s="12"/>
      <c r="AH215" s="12"/>
      <c r="AI215" s="11">
        <v>-10020.0</v>
      </c>
      <c r="AJ215" s="11">
        <v>-16960.0</v>
      </c>
      <c r="AK215" s="12"/>
      <c r="AL215" s="12"/>
      <c r="AM215" s="12"/>
      <c r="AN215" s="11">
        <v>-18300.0</v>
      </c>
      <c r="AO215" s="11">
        <v>-23340.0</v>
      </c>
      <c r="AP215" s="12"/>
      <c r="AQ215" s="12"/>
      <c r="AR215" s="12"/>
      <c r="AS215" s="11">
        <v>-8770.0</v>
      </c>
      <c r="AT215" s="11">
        <v>-13540.0</v>
      </c>
      <c r="AU215" s="12"/>
      <c r="AV215" s="12"/>
      <c r="AW215" s="12"/>
      <c r="AX215" s="11">
        <v>-8420.0</v>
      </c>
      <c r="AY215" s="11">
        <v>-7420.0</v>
      </c>
      <c r="AZ215" s="12"/>
      <c r="BA215" s="12"/>
      <c r="BB215" s="12"/>
      <c r="BC215" s="12"/>
      <c r="BD215" s="12"/>
      <c r="BE215" s="12"/>
      <c r="BF215" s="12"/>
      <c r="BG215" s="12"/>
      <c r="BH215" s="11">
        <v>81030.0</v>
      </c>
      <c r="BI215" s="11">
        <v>99620.0</v>
      </c>
      <c r="BJ215" s="12"/>
      <c r="BK215" s="12"/>
      <c r="BL215" s="12"/>
      <c r="BM215" s="11">
        <v>14570.0</v>
      </c>
      <c r="BN215" s="11">
        <v>12370.0</v>
      </c>
      <c r="BO215" s="12"/>
      <c r="BP215" s="12"/>
      <c r="BQ215" s="12"/>
      <c r="BR215" s="11">
        <v>7250.0</v>
      </c>
      <c r="BS215" s="11">
        <v>4850.0</v>
      </c>
      <c r="BT215" s="12"/>
      <c r="BU215" s="12"/>
      <c r="BV215" s="12"/>
      <c r="BW215" s="11">
        <v>104790.0</v>
      </c>
      <c r="BX215" s="11">
        <v>118340.0</v>
      </c>
      <c r="BY215" s="12"/>
      <c r="BZ215" s="12"/>
      <c r="CA215" s="12"/>
      <c r="CB215" s="11">
        <v>24260.0</v>
      </c>
      <c r="CC215" s="11">
        <v>14100.0</v>
      </c>
      <c r="CD215" s="12"/>
      <c r="CE215" s="12"/>
      <c r="CF215" s="12"/>
      <c r="CG215" s="12"/>
      <c r="CH215" s="12"/>
      <c r="CI215" s="12"/>
      <c r="CJ215" s="12"/>
      <c r="CK215" s="12"/>
      <c r="CL215" s="11">
        <v>131010.0</v>
      </c>
      <c r="CM215" s="11">
        <v>133820.0</v>
      </c>
      <c r="CN215" s="12"/>
      <c r="CO215" s="12"/>
      <c r="CP215" s="12"/>
      <c r="CQ215" s="11">
        <v>3240.0</v>
      </c>
      <c r="CR215" s="11">
        <v>2700.0</v>
      </c>
      <c r="CS215" s="12"/>
      <c r="CT215" s="12"/>
      <c r="CU215" s="12"/>
      <c r="CV215" s="11">
        <v>24920.0</v>
      </c>
      <c r="CW215" s="12"/>
      <c r="CX215" s="12"/>
      <c r="CY215" s="12"/>
      <c r="CZ215" s="12"/>
      <c r="DA215" s="12"/>
      <c r="DB215" s="11">
        <v>24920.0</v>
      </c>
      <c r="DC215" s="11">
        <v>15350.0</v>
      </c>
      <c r="DD215" s="12"/>
      <c r="DE215" s="12"/>
      <c r="DF215" s="11">
        <v>47230.0</v>
      </c>
      <c r="DG215" s="11">
        <v>36190.0</v>
      </c>
      <c r="DH215" s="12"/>
      <c r="DI215" s="12"/>
      <c r="DJ215" s="12"/>
      <c r="DK215" s="11">
        <v>270.0</v>
      </c>
      <c r="DL215" s="11">
        <v>270.0</v>
      </c>
      <c r="DM215" s="12"/>
      <c r="DN215" s="12"/>
      <c r="DO215" s="12"/>
      <c r="DP215" s="11">
        <v>20850.0</v>
      </c>
      <c r="DQ215" s="11">
        <v>19760.0</v>
      </c>
      <c r="DR215" s="12"/>
      <c r="DS215" s="12"/>
      <c r="DT215" s="12"/>
      <c r="DU215" s="11">
        <v>224770.0</v>
      </c>
      <c r="DV215" s="11">
        <v>224770.0</v>
      </c>
      <c r="DW215" s="12"/>
      <c r="DX215" s="13"/>
      <c r="DY215" s="13"/>
      <c r="DZ215" s="11">
        <v>83780.0</v>
      </c>
      <c r="EA215" s="11">
        <v>97630.0</v>
      </c>
      <c r="EB215" s="12"/>
      <c r="EC215" s="12"/>
      <c r="ED215" s="12"/>
      <c r="EE215" s="14">
        <v>0.013</v>
      </c>
      <c r="EF215" s="14">
        <v>0.057</v>
      </c>
      <c r="EG215" s="23" t="s">
        <v>155</v>
      </c>
      <c r="EH215" s="23"/>
    </row>
    <row r="216">
      <c r="A216" s="9">
        <f t="shared" si="2"/>
        <v>214</v>
      </c>
      <c r="B216" s="10" t="s">
        <v>350</v>
      </c>
      <c r="C216" s="11">
        <v>1.221E7</v>
      </c>
      <c r="D216" s="11">
        <v>1.146E7</v>
      </c>
      <c r="E216" s="11">
        <v>1.146E7</v>
      </c>
      <c r="F216" s="11">
        <v>1.163E7</v>
      </c>
      <c r="G216" s="11">
        <v>1.099E7</v>
      </c>
      <c r="H216" s="11">
        <v>9060000.0</v>
      </c>
      <c r="I216" s="11">
        <v>7990000.0</v>
      </c>
      <c r="J216" s="11">
        <v>1660000.0</v>
      </c>
      <c r="K216" s="11">
        <v>1570000.0</v>
      </c>
      <c r="L216" s="11">
        <v>1530000.0</v>
      </c>
      <c r="M216" s="11">
        <v>1350000.0</v>
      </c>
      <c r="N216" s="11">
        <v>1300000.0</v>
      </c>
      <c r="O216" s="11">
        <v>660000.0</v>
      </c>
      <c r="P216" s="11">
        <v>649000.0</v>
      </c>
      <c r="Q216" s="11">
        <v>346000.0</v>
      </c>
      <c r="R216" s="11">
        <v>659000.0</v>
      </c>
      <c r="S216" s="11">
        <v>475600.0</v>
      </c>
      <c r="T216" s="11">
        <v>44000.0</v>
      </c>
      <c r="U216" s="11">
        <v>32000.0</v>
      </c>
      <c r="V216" s="11">
        <v>27000.0</v>
      </c>
      <c r="W216" s="11">
        <v>28000.0</v>
      </c>
      <c r="X216" s="11">
        <v>26000.0</v>
      </c>
      <c r="Y216" s="11">
        <v>910000.0</v>
      </c>
      <c r="Z216" s="11">
        <v>852000.0</v>
      </c>
      <c r="AA216" s="11">
        <v>823000.0</v>
      </c>
      <c r="AB216" s="11">
        <v>30000.0</v>
      </c>
      <c r="AC216" s="11">
        <v>590200.0</v>
      </c>
      <c r="AD216" s="11">
        <v>608000.0</v>
      </c>
      <c r="AE216" s="11">
        <v>633000.0</v>
      </c>
      <c r="AF216" s="11">
        <v>514000.0</v>
      </c>
      <c r="AG216" s="11">
        <v>125000.0</v>
      </c>
      <c r="AH216" s="11">
        <v>345500.0</v>
      </c>
      <c r="AI216" s="11">
        <v>1680000.0</v>
      </c>
      <c r="AJ216" s="11">
        <v>1630000.0</v>
      </c>
      <c r="AK216" s="11">
        <v>1910000.0</v>
      </c>
      <c r="AL216" s="11">
        <v>1140000.0</v>
      </c>
      <c r="AM216" s="11">
        <v>1110000.0</v>
      </c>
      <c r="AN216" s="11">
        <v>566000.0</v>
      </c>
      <c r="AO216" s="11">
        <v>454000.0</v>
      </c>
      <c r="AP216" s="11">
        <v>374000.0</v>
      </c>
      <c r="AQ216" s="11">
        <v>263000.0</v>
      </c>
      <c r="AR216" s="11">
        <v>280900.0</v>
      </c>
      <c r="AS216" s="11">
        <v>1550000.0</v>
      </c>
      <c r="AT216" s="11">
        <v>1570000.0</v>
      </c>
      <c r="AU216" s="11">
        <v>1480000.0</v>
      </c>
      <c r="AV216" s="11">
        <v>194000.0</v>
      </c>
      <c r="AW216" s="11">
        <v>1010000.0</v>
      </c>
      <c r="AX216" s="11">
        <v>-598000.0</v>
      </c>
      <c r="AY216" s="11">
        <v>-816000.0</v>
      </c>
      <c r="AZ216" s="11">
        <v>-556000.0</v>
      </c>
      <c r="BA216" s="11">
        <v>-606000.0</v>
      </c>
      <c r="BB216" s="11">
        <v>-527900.0</v>
      </c>
      <c r="BC216" s="11">
        <v>-182000.0</v>
      </c>
      <c r="BD216" s="11">
        <v>-137000.0</v>
      </c>
      <c r="BE216" s="11">
        <v>-129000.0</v>
      </c>
      <c r="BF216" s="11">
        <v>-83000.0</v>
      </c>
      <c r="BG216" s="11">
        <v>-71800.0</v>
      </c>
      <c r="BH216" s="11">
        <v>1810000.0</v>
      </c>
      <c r="BI216" s="11">
        <v>731000.0</v>
      </c>
      <c r="BJ216" s="11">
        <v>448000.0</v>
      </c>
      <c r="BK216" s="11">
        <v>597000.0</v>
      </c>
      <c r="BL216" s="11">
        <v>224000.0</v>
      </c>
      <c r="BM216" s="11">
        <v>1630000.0</v>
      </c>
      <c r="BN216" s="11">
        <v>1800000.0</v>
      </c>
      <c r="BO216" s="11">
        <v>1630000.0</v>
      </c>
      <c r="BP216" s="11">
        <v>1490000.0</v>
      </c>
      <c r="BQ216" s="11">
        <v>885400.0</v>
      </c>
      <c r="BR216" s="11">
        <v>1270000.0</v>
      </c>
      <c r="BS216" s="11">
        <v>1270000.0</v>
      </c>
      <c r="BT216" s="11">
        <v>1530000.0</v>
      </c>
      <c r="BU216" s="11">
        <v>1410000.0</v>
      </c>
      <c r="BV216" s="11">
        <v>898400.0</v>
      </c>
      <c r="BW216" s="11">
        <v>4880000.0</v>
      </c>
      <c r="BX216" s="11">
        <v>3940000.0</v>
      </c>
      <c r="BY216" s="11">
        <v>3760000.0</v>
      </c>
      <c r="BZ216" s="11">
        <v>3650000.0</v>
      </c>
      <c r="CA216" s="11">
        <v>2180000.0</v>
      </c>
      <c r="CB216" s="11">
        <v>4710000.0</v>
      </c>
      <c r="CC216" s="11">
        <v>4540000.0</v>
      </c>
      <c r="CD216" s="11">
        <v>4610000.0</v>
      </c>
      <c r="CE216" s="11">
        <v>4390000.0</v>
      </c>
      <c r="CF216" s="11">
        <v>2690000.0</v>
      </c>
      <c r="CG216" s="11">
        <v>4420000.0</v>
      </c>
      <c r="CH216" s="11">
        <v>4480000.0</v>
      </c>
      <c r="CI216" s="11">
        <v>4930000.0</v>
      </c>
      <c r="CJ216" s="11">
        <v>5100000.0</v>
      </c>
      <c r="CK216" s="11">
        <v>2180000.0</v>
      </c>
      <c r="CL216" s="11">
        <v>1.736E7</v>
      </c>
      <c r="CM216" s="11">
        <v>1.655E7</v>
      </c>
      <c r="CN216" s="11">
        <v>1.717E7</v>
      </c>
      <c r="CO216" s="11">
        <v>1.617E7</v>
      </c>
      <c r="CP216" s="11">
        <v>9780000.0</v>
      </c>
      <c r="CQ216" s="11">
        <v>3140000.0</v>
      </c>
      <c r="CR216" s="11">
        <v>3100000.0</v>
      </c>
      <c r="CS216" s="11">
        <v>2760000.0</v>
      </c>
      <c r="CT216" s="11">
        <v>2030000.0</v>
      </c>
      <c r="CU216" s="11">
        <v>1500000.0</v>
      </c>
      <c r="CV216" s="11">
        <v>5580000.0</v>
      </c>
      <c r="CW216" s="11">
        <v>84000.0</v>
      </c>
      <c r="CX216" s="11">
        <v>194000.0</v>
      </c>
      <c r="CY216" s="11">
        <v>340000.0</v>
      </c>
      <c r="CZ216" s="11">
        <v>143000.0</v>
      </c>
      <c r="DA216" s="11">
        <v>23700.0</v>
      </c>
      <c r="DB216" s="11">
        <v>5580000.0</v>
      </c>
      <c r="DC216" s="11">
        <v>4100000.0</v>
      </c>
      <c r="DD216" s="11">
        <v>4110000.0</v>
      </c>
      <c r="DE216" s="11">
        <v>2970000.0</v>
      </c>
      <c r="DF216" s="11">
        <v>1.434E7</v>
      </c>
      <c r="DG216" s="11">
        <v>1.299E7</v>
      </c>
      <c r="DH216" s="11">
        <v>1.312E7</v>
      </c>
      <c r="DI216" s="11">
        <v>1.263E7</v>
      </c>
      <c r="DJ216" s="11">
        <v>8520000.0</v>
      </c>
      <c r="DK216" s="11">
        <v>291000.0</v>
      </c>
      <c r="DL216" s="11">
        <v>303000.0</v>
      </c>
      <c r="DM216" s="11">
        <v>274000.0</v>
      </c>
      <c r="DN216" s="11">
        <v>204000.0</v>
      </c>
      <c r="DO216" s="11">
        <v>2190000.0</v>
      </c>
      <c r="DP216" s="28">
        <v>6520000.0</v>
      </c>
      <c r="DQ216" s="28">
        <v>6510000.0</v>
      </c>
      <c r="DR216" s="28">
        <v>6520000.0</v>
      </c>
      <c r="DS216" s="28">
        <v>7310000.0</v>
      </c>
      <c r="DT216" s="28">
        <v>5050000.0</v>
      </c>
      <c r="DU216" s="12"/>
      <c r="DV216" s="12"/>
      <c r="DW216" s="12"/>
      <c r="DX216" s="12"/>
      <c r="DY216" s="12"/>
      <c r="DZ216" s="11">
        <v>2950000.0</v>
      </c>
      <c r="EA216" s="11">
        <v>3460000.0</v>
      </c>
      <c r="EB216" s="11">
        <v>3940000.0</v>
      </c>
      <c r="EC216" s="11">
        <v>3440000.0</v>
      </c>
      <c r="ED216" s="11">
        <v>1250000.0</v>
      </c>
      <c r="EE216" s="14">
        <v>0.091</v>
      </c>
      <c r="EF216" s="14">
        <v>0.116</v>
      </c>
      <c r="EG216" s="14">
        <v>0.017</v>
      </c>
      <c r="EH216" s="14">
        <v>0.012</v>
      </c>
    </row>
    <row r="217">
      <c r="A217" s="9">
        <f t="shared" si="2"/>
        <v>215</v>
      </c>
      <c r="B217" s="10" t="s">
        <v>351</v>
      </c>
      <c r="C217" s="15">
        <v>3770000.0</v>
      </c>
      <c r="D217" s="15">
        <v>3230000.0</v>
      </c>
      <c r="E217" s="15">
        <v>4140000.0</v>
      </c>
      <c r="F217" s="15">
        <v>4130000.0</v>
      </c>
      <c r="G217" s="15">
        <v>4220000.0</v>
      </c>
      <c r="H217" s="15">
        <v>4250000.0</v>
      </c>
      <c r="I217" s="15">
        <v>4380000.0</v>
      </c>
      <c r="J217" s="15">
        <v>473020.0</v>
      </c>
      <c r="K217" s="15">
        <v>465820.0</v>
      </c>
      <c r="L217" s="15">
        <v>494420.0</v>
      </c>
      <c r="M217" s="15">
        <v>497530.0</v>
      </c>
      <c r="N217" s="15">
        <v>559610.0</v>
      </c>
      <c r="O217" s="15">
        <v>274130.0</v>
      </c>
      <c r="P217" s="15">
        <v>282150.0</v>
      </c>
      <c r="Q217" s="15">
        <v>303590.0</v>
      </c>
      <c r="R217" s="15">
        <v>266080.0</v>
      </c>
      <c r="S217" s="15">
        <v>284560.0</v>
      </c>
      <c r="T217" s="15">
        <v>3400.0</v>
      </c>
      <c r="U217" s="15">
        <v>3800.0</v>
      </c>
      <c r="V217" s="15">
        <v>3900.0</v>
      </c>
      <c r="W217" s="15">
        <v>5200.0</v>
      </c>
      <c r="X217" s="15">
        <v>6500.0</v>
      </c>
      <c r="Y217" s="15">
        <v>185050.0</v>
      </c>
      <c r="Z217" s="15">
        <v>145090.0</v>
      </c>
      <c r="AA217" s="15">
        <v>-57120.0</v>
      </c>
      <c r="AB217" s="15">
        <v>101910.0</v>
      </c>
      <c r="AC217" s="15">
        <v>229170.0</v>
      </c>
      <c r="AD217" s="15">
        <v>141690.0</v>
      </c>
      <c r="AE217" s="15">
        <v>100310.0</v>
      </c>
      <c r="AF217" s="15">
        <v>111140.0</v>
      </c>
      <c r="AG217" s="15">
        <v>56490.0</v>
      </c>
      <c r="AH217" s="15">
        <v>170850.0</v>
      </c>
      <c r="AI217" s="15">
        <v>469060.0</v>
      </c>
      <c r="AJ217" s="15">
        <v>385260.0</v>
      </c>
      <c r="AK217" s="15">
        <v>383110.0</v>
      </c>
      <c r="AL217" s="15">
        <v>425290.0</v>
      </c>
      <c r="AM217" s="15">
        <v>465450.0</v>
      </c>
      <c r="AN217" s="15">
        <v>130570.0</v>
      </c>
      <c r="AO217" s="15">
        <v>107100.0</v>
      </c>
      <c r="AP217" s="15">
        <v>101290.0</v>
      </c>
      <c r="AQ217" s="15">
        <v>41750.0</v>
      </c>
      <c r="AR217" s="15">
        <v>127330.0</v>
      </c>
      <c r="AS217" s="15">
        <v>387490.0</v>
      </c>
      <c r="AT217" s="15">
        <v>288070.0</v>
      </c>
      <c r="AU217" s="15">
        <v>409000.0</v>
      </c>
      <c r="AV217" s="15">
        <v>340580.0</v>
      </c>
      <c r="AW217" s="15">
        <v>397430.0</v>
      </c>
      <c r="AX217" s="15">
        <v>-161930.0</v>
      </c>
      <c r="AY217" s="15">
        <v>-208220.0</v>
      </c>
      <c r="AZ217" s="15">
        <v>-260590.0</v>
      </c>
      <c r="BA217" s="15">
        <v>-260580.0</v>
      </c>
      <c r="BB217" s="15">
        <v>-210260.0</v>
      </c>
      <c r="BC217" s="15">
        <v>-35730.0</v>
      </c>
      <c r="BD217" s="15">
        <v>-33310.0</v>
      </c>
      <c r="BE217" s="15">
        <v>-30990.0</v>
      </c>
      <c r="BF217" s="15">
        <v>-31380.0</v>
      </c>
      <c r="BG217" s="15">
        <v>-29330.0</v>
      </c>
      <c r="BH217" s="15">
        <v>67150.0</v>
      </c>
      <c r="BI217" s="15">
        <v>71820.0</v>
      </c>
      <c r="BJ217" s="15">
        <v>129540.0</v>
      </c>
      <c r="BK217" s="15">
        <v>135060.0</v>
      </c>
      <c r="BL217" s="15">
        <v>139110.0</v>
      </c>
      <c r="BM217" s="15">
        <v>141110.0</v>
      </c>
      <c r="BN217" s="15">
        <v>122370.0</v>
      </c>
      <c r="BO217" s="15">
        <v>110670.0</v>
      </c>
      <c r="BP217" s="15">
        <v>134950.0</v>
      </c>
      <c r="BQ217" s="15">
        <v>148540.0</v>
      </c>
      <c r="BR217" s="15">
        <v>86860.0</v>
      </c>
      <c r="BS217" s="15">
        <v>72810.0</v>
      </c>
      <c r="BT217" s="15">
        <v>51260.0</v>
      </c>
      <c r="BU217" s="15">
        <v>65230.0</v>
      </c>
      <c r="BV217" s="15">
        <v>80700.0</v>
      </c>
      <c r="BW217" s="15">
        <v>321910.0</v>
      </c>
      <c r="BX217" s="15">
        <v>319050.0</v>
      </c>
      <c r="BY217" s="15">
        <v>343980.0</v>
      </c>
      <c r="BZ217" s="15">
        <v>390520.0</v>
      </c>
      <c r="CA217" s="15">
        <v>402540.0</v>
      </c>
      <c r="CB217" s="15">
        <v>2300000.0</v>
      </c>
      <c r="CC217" s="15">
        <v>1120000.0</v>
      </c>
      <c r="CD217" s="15">
        <v>1170000.0</v>
      </c>
      <c r="CE217" s="15">
        <v>1240000.0</v>
      </c>
      <c r="CF217" s="15">
        <v>1590000.0</v>
      </c>
      <c r="CG217" s="15">
        <v>288440.0</v>
      </c>
      <c r="CH217" s="15">
        <v>295430.0</v>
      </c>
      <c r="CI217" s="15">
        <v>310230.0</v>
      </c>
      <c r="CJ217" s="15">
        <v>310060.0</v>
      </c>
      <c r="CK217" s="15">
        <v>300860.0</v>
      </c>
      <c r="CL217" s="15">
        <v>3590000.0</v>
      </c>
      <c r="CM217" s="15">
        <v>2460000.0</v>
      </c>
      <c r="CN217" s="15">
        <v>2560000.0</v>
      </c>
      <c r="CO217" s="15">
        <v>2640000.0</v>
      </c>
      <c r="CP217" s="15">
        <v>3030000.0</v>
      </c>
      <c r="CQ217" s="15">
        <v>174880.0</v>
      </c>
      <c r="CR217" s="15">
        <v>174490.0</v>
      </c>
      <c r="CS217" s="15">
        <v>185460.0</v>
      </c>
      <c r="CT217" s="15">
        <v>195370.0</v>
      </c>
      <c r="CU217" s="15">
        <v>193120.0</v>
      </c>
      <c r="CV217" s="15">
        <v>962020.0</v>
      </c>
      <c r="CW217" s="15">
        <v>171870.0</v>
      </c>
      <c r="CX217" s="13"/>
      <c r="CY217" s="15"/>
      <c r="CZ217" s="15"/>
      <c r="DA217" s="15"/>
      <c r="DB217" s="15">
        <v>962020.0</v>
      </c>
      <c r="DC217" s="15">
        <v>791040.0</v>
      </c>
      <c r="DD217" s="15">
        <v>813390.0</v>
      </c>
      <c r="DE217" s="15">
        <v>823410.0</v>
      </c>
      <c r="DF217" s="15">
        <v>3420000.0</v>
      </c>
      <c r="DG217" s="15">
        <v>2410000.0</v>
      </c>
      <c r="DH217" s="15">
        <v>2480000.0</v>
      </c>
      <c r="DI217" s="15">
        <v>2450000.0</v>
      </c>
      <c r="DJ217" s="15">
        <v>2590000.0</v>
      </c>
      <c r="DK217" s="15"/>
      <c r="DL217" s="15"/>
      <c r="DM217" s="15"/>
      <c r="DN217" s="15">
        <v>1120.0</v>
      </c>
      <c r="DO217" s="15">
        <v>16270.0</v>
      </c>
      <c r="DP217" s="15">
        <v>2300000.0</v>
      </c>
      <c r="DQ217" s="15">
        <v>1070000.0</v>
      </c>
      <c r="DR217" s="15">
        <v>1090000.0</v>
      </c>
      <c r="DS217" s="15">
        <v>1050000.0</v>
      </c>
      <c r="DT217" s="15">
        <v>1290000.0</v>
      </c>
      <c r="DU217" s="13"/>
      <c r="DV217" s="12"/>
      <c r="DW217" s="15"/>
      <c r="DX217" s="15"/>
      <c r="DY217" s="13"/>
      <c r="DZ217" s="15">
        <v>170340.0</v>
      </c>
      <c r="EA217" s="15">
        <v>45730.0</v>
      </c>
      <c r="EB217" s="15">
        <v>70340.0</v>
      </c>
      <c r="EC217" s="15">
        <v>182700.0</v>
      </c>
      <c r="ED217" s="15">
        <v>408330.0</v>
      </c>
      <c r="EE217" s="17">
        <v>0.071</v>
      </c>
      <c r="EF217" s="17">
        <v>0.111</v>
      </c>
      <c r="EG217" s="17">
        <v>0.339</v>
      </c>
      <c r="EH217" s="17">
        <v>-0.012</v>
      </c>
    </row>
    <row r="218">
      <c r="A218" s="9">
        <f t="shared" si="2"/>
        <v>216</v>
      </c>
      <c r="B218" s="22" t="s">
        <v>352</v>
      </c>
      <c r="C218" s="11">
        <v>9820.0</v>
      </c>
      <c r="D218" s="11">
        <v>2880.0</v>
      </c>
      <c r="E218" s="12"/>
      <c r="F218" s="12"/>
      <c r="G218" s="12"/>
      <c r="H218" s="12"/>
      <c r="I218" s="12"/>
      <c r="J218" s="11">
        <v>-348.0</v>
      </c>
      <c r="K218" s="11">
        <v>-362.0</v>
      </c>
      <c r="L218" s="11">
        <v>-373.0</v>
      </c>
      <c r="M218" s="11">
        <v>-400.0</v>
      </c>
      <c r="N218" s="11">
        <v>-377.0</v>
      </c>
      <c r="O218" s="11">
        <v>17130.0</v>
      </c>
      <c r="P218" s="11">
        <v>27520.0</v>
      </c>
      <c r="Q218" s="11">
        <v>24230.0</v>
      </c>
      <c r="R218" s="11">
        <v>23710.0</v>
      </c>
      <c r="S218" s="11">
        <v>46480.0</v>
      </c>
      <c r="T218" s="11">
        <v>10680.0</v>
      </c>
      <c r="U218" s="11">
        <v>18560.0</v>
      </c>
      <c r="V218" s="11">
        <v>16380.0</v>
      </c>
      <c r="W218" s="11">
        <v>14790.0</v>
      </c>
      <c r="X218" s="11">
        <v>27050.0</v>
      </c>
      <c r="Y218" s="11">
        <v>-14790.0</v>
      </c>
      <c r="Z218" s="11">
        <v>-3000.0</v>
      </c>
      <c r="AA218" s="11">
        <v>-55000.0</v>
      </c>
      <c r="AB218" s="11">
        <v>-24350.0</v>
      </c>
      <c r="AC218" s="11">
        <v>-48240.0</v>
      </c>
      <c r="AD218" s="11">
        <v>-15070.0</v>
      </c>
      <c r="AE218" s="11">
        <v>-2630.0</v>
      </c>
      <c r="AF218" s="11">
        <v>-54820.0</v>
      </c>
      <c r="AG218" s="11">
        <v>-24250.0</v>
      </c>
      <c r="AH218" s="11">
        <v>-46460.0</v>
      </c>
      <c r="AI218" s="11">
        <v>-17130.0</v>
      </c>
      <c r="AJ218" s="11">
        <v>-27520.0</v>
      </c>
      <c r="AK218" s="11">
        <v>-24230.0</v>
      </c>
      <c r="AL218" s="11">
        <v>-23710.0</v>
      </c>
      <c r="AM218" s="11">
        <v>-46480.0</v>
      </c>
      <c r="AN218" s="11">
        <v>-13270.0</v>
      </c>
      <c r="AO218" s="11">
        <v>2810.0</v>
      </c>
      <c r="AP218" s="11">
        <v>-54820.0</v>
      </c>
      <c r="AQ218" s="11">
        <v>-23810.0</v>
      </c>
      <c r="AR218" s="11">
        <v>-46460.0</v>
      </c>
      <c r="AS218" s="11">
        <v>-12940.0</v>
      </c>
      <c r="AT218" s="11">
        <v>-15500.0</v>
      </c>
      <c r="AU218" s="11">
        <v>-15900.0</v>
      </c>
      <c r="AV218" s="11">
        <v>-17210.0</v>
      </c>
      <c r="AW218" s="11">
        <v>-56620.0</v>
      </c>
      <c r="AX218" s="12"/>
      <c r="AY218" s="12"/>
      <c r="AZ218" s="12"/>
      <c r="BA218" s="11">
        <v>-22.0</v>
      </c>
      <c r="BB218" s="11">
        <v>-458.0</v>
      </c>
      <c r="BC218" s="12"/>
      <c r="BD218" s="12"/>
      <c r="BE218" s="12"/>
      <c r="BF218" s="12"/>
      <c r="BG218" s="12"/>
      <c r="BH218" s="11">
        <v>9980.0</v>
      </c>
      <c r="BI218" s="11">
        <v>16750.0</v>
      </c>
      <c r="BJ218" s="11">
        <v>32220.0</v>
      </c>
      <c r="BK218" s="11">
        <v>20170.0</v>
      </c>
      <c r="BL218" s="11">
        <v>24070.0</v>
      </c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1">
        <v>10380.0</v>
      </c>
      <c r="BX218" s="11">
        <v>17400.0</v>
      </c>
      <c r="BY218" s="11">
        <v>35580.0</v>
      </c>
      <c r="BZ218" s="11">
        <v>26510.0</v>
      </c>
      <c r="CA218" s="11">
        <v>29450.0</v>
      </c>
      <c r="CB218" s="11">
        <v>2430.0</v>
      </c>
      <c r="CC218" s="11">
        <v>664.0</v>
      </c>
      <c r="CD218" s="11">
        <v>1030.0</v>
      </c>
      <c r="CE218" s="11">
        <v>1400.0</v>
      </c>
      <c r="CF218" s="11">
        <v>1800.0</v>
      </c>
      <c r="CG218" s="12"/>
      <c r="CH218" s="12"/>
      <c r="CI218" s="12"/>
      <c r="CJ218" s="12"/>
      <c r="CK218" s="12"/>
      <c r="CL218" s="11">
        <v>13110.0</v>
      </c>
      <c r="CM218" s="11">
        <v>18360.0</v>
      </c>
      <c r="CN218" s="11">
        <v>36810.0</v>
      </c>
      <c r="CO218" s="11">
        <v>29700.0</v>
      </c>
      <c r="CP218" s="11">
        <v>38410.0</v>
      </c>
      <c r="CQ218" s="11">
        <v>3110.0</v>
      </c>
      <c r="CR218" s="11">
        <v>2760.0</v>
      </c>
      <c r="CS218" s="11">
        <v>3850.0</v>
      </c>
      <c r="CT218" s="12"/>
      <c r="CU218" s="12"/>
      <c r="CV218" s="11">
        <v>7580.0</v>
      </c>
      <c r="CW218" s="11">
        <v>658.0</v>
      </c>
      <c r="CX218" s="12"/>
      <c r="CY218" s="12"/>
      <c r="CZ218" s="12"/>
      <c r="DA218" s="12"/>
      <c r="DB218" s="11">
        <v>7580.0</v>
      </c>
      <c r="DC218" s="11">
        <v>7540.0</v>
      </c>
      <c r="DD218" s="11">
        <v>7080.0</v>
      </c>
      <c r="DE218" s="11">
        <v>6500.0</v>
      </c>
      <c r="DF218" s="11">
        <v>9520.0</v>
      </c>
      <c r="DG218" s="11">
        <v>14500.0</v>
      </c>
      <c r="DH218" s="11">
        <v>39400.0</v>
      </c>
      <c r="DI218" s="11">
        <v>11710.0</v>
      </c>
      <c r="DJ218" s="11">
        <v>8070.0</v>
      </c>
      <c r="DK218" s="11">
        <v>300.0</v>
      </c>
      <c r="DL218" s="11">
        <v>300.0</v>
      </c>
      <c r="DM218" s="11">
        <v>150.0</v>
      </c>
      <c r="DN218" s="11">
        <v>307.0</v>
      </c>
      <c r="DO218" s="24">
        <v>457.0</v>
      </c>
      <c r="DP218" s="11">
        <v>1660.0</v>
      </c>
      <c r="DQ218" s="12"/>
      <c r="DR218" s="12"/>
      <c r="DS218" s="12"/>
      <c r="DT218" s="12"/>
      <c r="DU218" s="13"/>
      <c r="DV218" s="12"/>
      <c r="DW218" s="12"/>
      <c r="DX218" s="13"/>
      <c r="DY218" s="13"/>
      <c r="DZ218" s="11">
        <v>3590.0</v>
      </c>
      <c r="EA218" s="11">
        <v>3860.0</v>
      </c>
      <c r="EB218" s="11">
        <v>-2590.0</v>
      </c>
      <c r="EC218" s="11">
        <v>17990.0</v>
      </c>
      <c r="ED218" s="11">
        <v>30340.0</v>
      </c>
      <c r="EE218" s="23"/>
      <c r="EF218" s="23"/>
      <c r="EG218" s="14">
        <v>0.292</v>
      </c>
      <c r="EH218" s="14">
        <v>0.021</v>
      </c>
    </row>
    <row r="219">
      <c r="A219" s="9">
        <f t="shared" si="2"/>
        <v>217</v>
      </c>
      <c r="B219" s="22" t="s">
        <v>353</v>
      </c>
      <c r="C219" s="11">
        <v>2270.0</v>
      </c>
      <c r="D219" s="12"/>
      <c r="E219" s="12"/>
      <c r="F219" s="12"/>
      <c r="G219" s="12"/>
      <c r="H219" s="12"/>
      <c r="I219" s="12"/>
      <c r="J219" s="11">
        <v>-3350.0</v>
      </c>
      <c r="K219" s="11">
        <v>-1620.0</v>
      </c>
      <c r="L219" s="11">
        <v>-1730.0</v>
      </c>
      <c r="M219" s="11">
        <v>-1850.0</v>
      </c>
      <c r="N219" s="11">
        <v>-1710.0</v>
      </c>
      <c r="O219" s="11">
        <v>96810.0</v>
      </c>
      <c r="P219" s="11">
        <v>90440.0</v>
      </c>
      <c r="Q219" s="11">
        <v>89060.0</v>
      </c>
      <c r="R219" s="11">
        <v>61540.0</v>
      </c>
      <c r="S219" s="11">
        <v>61210.0</v>
      </c>
      <c r="T219" s="11">
        <v>80440.0</v>
      </c>
      <c r="U219" s="11">
        <v>69690.0</v>
      </c>
      <c r="V219" s="11">
        <v>68550.0</v>
      </c>
      <c r="W219" s="11">
        <v>41170.0</v>
      </c>
      <c r="X219" s="11">
        <v>43030.0</v>
      </c>
      <c r="Y219" s="11">
        <v>-83650.0</v>
      </c>
      <c r="Z219" s="11">
        <v>-85790.0</v>
      </c>
      <c r="AA219" s="11">
        <v>-90000.0</v>
      </c>
      <c r="AB219" s="11">
        <v>-62590.0</v>
      </c>
      <c r="AC219" s="11">
        <v>-57310.0</v>
      </c>
      <c r="AD219" s="11">
        <v>-90660.0</v>
      </c>
      <c r="AE219" s="11">
        <v>-82550.0</v>
      </c>
      <c r="AF219" s="11">
        <v>-87590.0</v>
      </c>
      <c r="AG219" s="11">
        <v>-60810.0</v>
      </c>
      <c r="AH219" s="11">
        <v>-55950.0</v>
      </c>
      <c r="AI219" s="11">
        <v>-96810.0</v>
      </c>
      <c r="AJ219" s="11">
        <v>-90440.0</v>
      </c>
      <c r="AK219" s="11">
        <v>-89060.0</v>
      </c>
      <c r="AL219" s="11">
        <v>-61540.0</v>
      </c>
      <c r="AM219" s="11">
        <v>-61210.0</v>
      </c>
      <c r="AN219" s="11">
        <v>-90660.0</v>
      </c>
      <c r="AO219" s="11">
        <v>-82550.0</v>
      </c>
      <c r="AP219" s="11">
        <v>-87590.0</v>
      </c>
      <c r="AQ219" s="11">
        <v>-60810.0</v>
      </c>
      <c r="AR219" s="11">
        <v>-55950.0</v>
      </c>
      <c r="AS219" s="11">
        <v>-80760.0</v>
      </c>
      <c r="AT219" s="11">
        <v>-86980.0</v>
      </c>
      <c r="AU219" s="11">
        <v>-73910.0</v>
      </c>
      <c r="AV219" s="11">
        <v>-55710.0</v>
      </c>
      <c r="AW219" s="11">
        <v>-55050.0</v>
      </c>
      <c r="AX219" s="11">
        <v>-260.0</v>
      </c>
      <c r="AY219" s="11">
        <v>-36730.0</v>
      </c>
      <c r="AZ219" s="11">
        <v>-15240.0</v>
      </c>
      <c r="BA219" s="11">
        <v>-211.0</v>
      </c>
      <c r="BB219" s="11">
        <v>-10560.0</v>
      </c>
      <c r="BC219" s="12"/>
      <c r="BD219" s="12"/>
      <c r="BE219" s="12"/>
      <c r="BF219" s="12"/>
      <c r="BG219" s="12"/>
      <c r="BH219" s="11">
        <v>94950.0</v>
      </c>
      <c r="BI219" s="11">
        <v>112670.0</v>
      </c>
      <c r="BJ219" s="11">
        <v>171790.0</v>
      </c>
      <c r="BK219" s="11">
        <v>137100.0</v>
      </c>
      <c r="BL219" s="11">
        <v>185460.0</v>
      </c>
      <c r="BM219" s="11">
        <v>2120.0</v>
      </c>
      <c r="BN219" s="11">
        <v>5000.0</v>
      </c>
      <c r="BO219" s="11">
        <v>2030.0</v>
      </c>
      <c r="BP219" s="11">
        <v>858.0</v>
      </c>
      <c r="BQ219" s="11">
        <v>1130.0</v>
      </c>
      <c r="BR219" s="12"/>
      <c r="BS219" s="12"/>
      <c r="BT219" s="12"/>
      <c r="BU219" s="12"/>
      <c r="BV219" s="12"/>
      <c r="BW219" s="11">
        <v>97440.0</v>
      </c>
      <c r="BX219" s="11">
        <v>119490.0</v>
      </c>
      <c r="BY219" s="11">
        <v>174890.0</v>
      </c>
      <c r="BZ219" s="11">
        <v>138940.0</v>
      </c>
      <c r="CA219" s="11">
        <v>187480.0</v>
      </c>
      <c r="CB219" s="11">
        <v>11970.0</v>
      </c>
      <c r="CC219" s="11">
        <v>8320.0</v>
      </c>
      <c r="CD219" s="11">
        <v>8700.0</v>
      </c>
      <c r="CE219" s="11">
        <v>10030.0</v>
      </c>
      <c r="CF219" s="11">
        <v>11320.0</v>
      </c>
      <c r="CG219" s="12"/>
      <c r="CH219" s="12"/>
      <c r="CI219" s="12"/>
      <c r="CJ219" s="12"/>
      <c r="CK219" s="12"/>
      <c r="CL219" s="11">
        <v>185020.0</v>
      </c>
      <c r="CM219" s="11">
        <v>210130.0</v>
      </c>
      <c r="CN219" s="11">
        <v>211650.0</v>
      </c>
      <c r="CO219" s="11">
        <v>149860.0</v>
      </c>
      <c r="CP219" s="11">
        <v>199620.0</v>
      </c>
      <c r="CQ219" s="11">
        <v>26920.0</v>
      </c>
      <c r="CR219" s="11">
        <v>16790.0</v>
      </c>
      <c r="CS219" s="11">
        <v>19150.0</v>
      </c>
      <c r="CT219" s="11">
        <v>9970.0</v>
      </c>
      <c r="CU219" s="11">
        <v>7430.0</v>
      </c>
      <c r="CV219" s="11">
        <v>41340.0</v>
      </c>
      <c r="CW219" s="12"/>
      <c r="CX219" s="12"/>
      <c r="CY219" s="12"/>
      <c r="CZ219" s="12"/>
      <c r="DA219" s="12"/>
      <c r="DB219" s="11">
        <v>41340.0</v>
      </c>
      <c r="DC219" s="11">
        <v>25230.0</v>
      </c>
      <c r="DD219" s="11">
        <v>23340.0</v>
      </c>
      <c r="DE219" s="11">
        <v>14090.0</v>
      </c>
      <c r="DF219" s="11">
        <v>69730.0</v>
      </c>
      <c r="DG219" s="11">
        <v>55720.0</v>
      </c>
      <c r="DH219" s="11">
        <v>28060.0</v>
      </c>
      <c r="DI219" s="11">
        <v>15060.0</v>
      </c>
      <c r="DJ219" s="11">
        <v>14370.0</v>
      </c>
      <c r="DK219" s="12"/>
      <c r="DL219" s="12"/>
      <c r="DM219" s="11">
        <v>3470.0</v>
      </c>
      <c r="DN219" s="12"/>
      <c r="DO219" s="12"/>
      <c r="DP219" s="11">
        <v>26120.0</v>
      </c>
      <c r="DQ219" s="11">
        <v>29290.0</v>
      </c>
      <c r="DR219" s="11">
        <v>545.0</v>
      </c>
      <c r="DS219" s="11">
        <v>962.0</v>
      </c>
      <c r="DT219" s="11">
        <v>1340.0</v>
      </c>
      <c r="DU219" s="13"/>
      <c r="DV219" s="12"/>
      <c r="DW219" s="12"/>
      <c r="DX219" s="13"/>
      <c r="DY219" s="13"/>
      <c r="DZ219" s="11">
        <v>115290.0</v>
      </c>
      <c r="EA219" s="11">
        <v>154410.0</v>
      </c>
      <c r="EB219" s="11">
        <v>183580.0</v>
      </c>
      <c r="EC219" s="11">
        <v>134810.0</v>
      </c>
      <c r="ED219" s="11">
        <v>185250.0</v>
      </c>
      <c r="EE219" s="23"/>
      <c r="EF219" s="23"/>
      <c r="EG219" s="14">
        <v>0.384</v>
      </c>
      <c r="EH219" s="14">
        <v>0.097</v>
      </c>
    </row>
    <row r="220">
      <c r="A220" s="9">
        <f t="shared" si="2"/>
        <v>218</v>
      </c>
      <c r="B220" s="22" t="s">
        <v>354</v>
      </c>
      <c r="C220" s="11">
        <v>177880.0</v>
      </c>
      <c r="D220" s="11">
        <v>266780.0</v>
      </c>
      <c r="E220" s="11">
        <v>44670.0</v>
      </c>
      <c r="F220" s="11">
        <v>54580.0</v>
      </c>
      <c r="G220" s="11">
        <v>35430.0</v>
      </c>
      <c r="H220" s="11">
        <v>6160.0</v>
      </c>
      <c r="I220" s="11">
        <v>14080.0</v>
      </c>
      <c r="J220" s="11">
        <v>24260.0</v>
      </c>
      <c r="K220" s="11">
        <v>36540.0</v>
      </c>
      <c r="L220" s="11">
        <v>20360.0</v>
      </c>
      <c r="M220" s="12"/>
      <c r="N220" s="12"/>
      <c r="O220" s="11">
        <v>836340.0</v>
      </c>
      <c r="P220" s="11">
        <v>605560.0</v>
      </c>
      <c r="Q220" s="11">
        <v>353050.0</v>
      </c>
      <c r="R220" s="11">
        <v>260250.0</v>
      </c>
      <c r="S220" s="11">
        <v>172830.0</v>
      </c>
      <c r="T220" s="11">
        <v>564980.0</v>
      </c>
      <c r="U220" s="11">
        <v>431430.0</v>
      </c>
      <c r="V220" s="11">
        <v>259500.0</v>
      </c>
      <c r="W220" s="11">
        <v>204780.0</v>
      </c>
      <c r="X220" s="11">
        <v>134040.0</v>
      </c>
      <c r="Y220" s="11">
        <v>-824120.0</v>
      </c>
      <c r="Z220" s="11">
        <v>-569820.0</v>
      </c>
      <c r="AA220" s="11">
        <v>-332170.0</v>
      </c>
      <c r="AB220" s="11">
        <v>-267830.0</v>
      </c>
      <c r="AC220" s="11">
        <v>-169040.0</v>
      </c>
      <c r="AD220" s="11">
        <v>-790150.0</v>
      </c>
      <c r="AE220" s="11">
        <v>-555440.0</v>
      </c>
      <c r="AF220" s="11">
        <v>-335430.0</v>
      </c>
      <c r="AG220" s="11">
        <v>-264120.0</v>
      </c>
      <c r="AH220" s="11">
        <v>-166720.0</v>
      </c>
      <c r="AI220" s="11">
        <v>-794650.0</v>
      </c>
      <c r="AJ220" s="11">
        <v>-551870.0</v>
      </c>
      <c r="AK220" s="11">
        <v>-319150.0</v>
      </c>
      <c r="AL220" s="11">
        <v>-254090.0</v>
      </c>
      <c r="AM220" s="11">
        <v>-158750.0</v>
      </c>
      <c r="AN220" s="11">
        <v>-789610.0</v>
      </c>
      <c r="AO220" s="11">
        <v>-555630.0</v>
      </c>
      <c r="AP220" s="11">
        <v>-335640.0</v>
      </c>
      <c r="AQ220" s="11">
        <v>-263510.0</v>
      </c>
      <c r="AR220" s="11">
        <v>-166780.0</v>
      </c>
      <c r="AS220" s="11">
        <v>-554440.0</v>
      </c>
      <c r="AT220" s="11">
        <v>-413430.0</v>
      </c>
      <c r="AU220" s="11">
        <v>-280550.0</v>
      </c>
      <c r="AV220" s="11">
        <v>-189650.0</v>
      </c>
      <c r="AW220" s="11">
        <v>-98430.0</v>
      </c>
      <c r="AX220" s="11">
        <v>-76250.0</v>
      </c>
      <c r="AY220" s="11">
        <v>-55740.0</v>
      </c>
      <c r="AZ220" s="11">
        <v>-62240.0</v>
      </c>
      <c r="BA220" s="11">
        <v>-28030.0</v>
      </c>
      <c r="BB220" s="11">
        <v>-7060.0</v>
      </c>
      <c r="BC220" s="12"/>
      <c r="BD220" s="12"/>
      <c r="BE220" s="12"/>
      <c r="BF220" s="12"/>
      <c r="BG220" s="12"/>
      <c r="BH220" s="11">
        <v>1110000.0</v>
      </c>
      <c r="BI220" s="11">
        <v>1390000.0</v>
      </c>
      <c r="BJ220" s="11">
        <v>1290000.0</v>
      </c>
      <c r="BK220" s="11">
        <v>704380.0</v>
      </c>
      <c r="BL220" s="11">
        <v>517950.0</v>
      </c>
      <c r="BM220" s="12"/>
      <c r="BN220" s="11">
        <v>19.0</v>
      </c>
      <c r="BO220" s="11">
        <v>3110.0</v>
      </c>
      <c r="BP220" s="12"/>
      <c r="BQ220" s="12"/>
      <c r="BR220" s="12"/>
      <c r="BS220" s="12"/>
      <c r="BT220" s="12"/>
      <c r="BU220" s="12"/>
      <c r="BV220" s="12"/>
      <c r="BW220" s="11">
        <v>1150000.0</v>
      </c>
      <c r="BX220" s="11">
        <v>1420000.0</v>
      </c>
      <c r="BY220" s="11">
        <v>1320000.0</v>
      </c>
      <c r="BZ220" s="11">
        <v>724210.0</v>
      </c>
      <c r="CA220" s="11">
        <v>523970.0</v>
      </c>
      <c r="CB220" s="11">
        <v>337060.0</v>
      </c>
      <c r="CC220" s="11">
        <v>246620.0</v>
      </c>
      <c r="CD220" s="11">
        <v>199610.0</v>
      </c>
      <c r="CE220" s="11">
        <v>156960.0</v>
      </c>
      <c r="CF220" s="11">
        <v>82610.0</v>
      </c>
      <c r="CG220" s="11">
        <v>13130.0</v>
      </c>
      <c r="CH220" s="11">
        <v>13130.0</v>
      </c>
      <c r="CI220" s="11">
        <v>13130.0</v>
      </c>
      <c r="CJ220" s="11">
        <v>13130.0</v>
      </c>
      <c r="CK220" s="11">
        <v>13130.0</v>
      </c>
      <c r="CL220" s="11">
        <v>1730000.0</v>
      </c>
      <c r="CM220" s="11">
        <v>2240000.0</v>
      </c>
      <c r="CN220" s="11">
        <v>1900000.0</v>
      </c>
      <c r="CO220" s="11">
        <v>1120000.0</v>
      </c>
      <c r="CP220" s="11">
        <v>1000000.0</v>
      </c>
      <c r="CQ220" s="11">
        <v>43000.0</v>
      </c>
      <c r="CR220" s="11">
        <v>17830.0</v>
      </c>
      <c r="CS220" s="11">
        <v>12870.0</v>
      </c>
      <c r="CT220" s="11">
        <v>13660.0</v>
      </c>
      <c r="CU220" s="11">
        <v>6330.0</v>
      </c>
      <c r="CV220" s="11">
        <v>223580.0</v>
      </c>
      <c r="CW220" s="11">
        <v>20180.0</v>
      </c>
      <c r="CX220" s="12"/>
      <c r="CY220" s="12"/>
      <c r="CZ220" s="12"/>
      <c r="DA220" s="12"/>
      <c r="DB220" s="11">
        <v>223580.0</v>
      </c>
      <c r="DC220" s="11">
        <v>146430.0</v>
      </c>
      <c r="DD220" s="11">
        <v>95610.0</v>
      </c>
      <c r="DE220" s="11">
        <v>74530.0</v>
      </c>
      <c r="DF220" s="11">
        <v>442430.0</v>
      </c>
      <c r="DG220" s="11">
        <v>357770.0</v>
      </c>
      <c r="DH220" s="11">
        <v>277140.0</v>
      </c>
      <c r="DI220" s="11">
        <v>248680.0</v>
      </c>
      <c r="DJ220" s="11">
        <v>151840.0</v>
      </c>
      <c r="DK220" s="11">
        <v>131510.0</v>
      </c>
      <c r="DL220" s="11">
        <v>506120.0</v>
      </c>
      <c r="DM220" s="11">
        <v>324190.0</v>
      </c>
      <c r="DN220" s="11">
        <v>180450.0</v>
      </c>
      <c r="DO220" s="11">
        <v>347810.0</v>
      </c>
      <c r="DP220" s="11">
        <v>170810.0</v>
      </c>
      <c r="DQ220" s="11">
        <v>153320.0</v>
      </c>
      <c r="DR220" s="11">
        <v>154750.0</v>
      </c>
      <c r="DS220" s="11">
        <v>120140.0</v>
      </c>
      <c r="DT220" s="11">
        <v>61900.0</v>
      </c>
      <c r="DU220" s="13"/>
      <c r="DV220" s="12"/>
      <c r="DW220" s="12"/>
      <c r="DX220" s="13"/>
      <c r="DY220" s="13"/>
      <c r="DZ220" s="11">
        <v>1280000.0</v>
      </c>
      <c r="EA220" s="11">
        <v>1890000.0</v>
      </c>
      <c r="EB220" s="11">
        <v>1620000.0</v>
      </c>
      <c r="EC220" s="11">
        <v>869440.0</v>
      </c>
      <c r="ED220" s="11">
        <v>850500.0</v>
      </c>
      <c r="EE220" s="14">
        <v>0.81</v>
      </c>
      <c r="EF220" s="14">
        <v>2.805</v>
      </c>
      <c r="EG220" s="14">
        <v>0.862</v>
      </c>
      <c r="EH220" s="14">
        <v>0.207</v>
      </c>
    </row>
    <row r="221">
      <c r="A221" s="9">
        <f t="shared" si="2"/>
        <v>219</v>
      </c>
      <c r="B221" s="10" t="s">
        <v>355</v>
      </c>
      <c r="C221" s="11">
        <v>3840000.0</v>
      </c>
      <c r="D221" s="11">
        <v>3640000.0</v>
      </c>
      <c r="E221" s="11">
        <v>3630000.0</v>
      </c>
      <c r="F221" s="11">
        <v>3680000.0</v>
      </c>
      <c r="G221" s="11">
        <v>3370000.0</v>
      </c>
      <c r="H221" s="11">
        <v>3090000.0</v>
      </c>
      <c r="I221" s="11">
        <v>1580000.0</v>
      </c>
      <c r="J221" s="11">
        <v>892050.0</v>
      </c>
      <c r="K221" s="11">
        <v>854570.0</v>
      </c>
      <c r="L221" s="11">
        <v>736490.0</v>
      </c>
      <c r="M221" s="11">
        <v>682800.0</v>
      </c>
      <c r="N221" s="11">
        <v>342080.0</v>
      </c>
      <c r="O221" s="11">
        <v>725500.0</v>
      </c>
      <c r="P221" s="11">
        <v>680070.0</v>
      </c>
      <c r="Q221" s="11">
        <v>616150.0</v>
      </c>
      <c r="R221" s="11">
        <v>571800.0</v>
      </c>
      <c r="S221" s="11">
        <v>306840.0</v>
      </c>
      <c r="T221" s="12"/>
      <c r="U221" s="12"/>
      <c r="V221" s="12"/>
      <c r="W221" s="12"/>
      <c r="X221" s="12"/>
      <c r="Y221" s="11">
        <v>156060.0</v>
      </c>
      <c r="Z221" s="11">
        <v>170300.0</v>
      </c>
      <c r="AA221" s="11">
        <v>103160.0</v>
      </c>
      <c r="AB221" s="11">
        <v>73110.0</v>
      </c>
      <c r="AC221" s="11">
        <v>-22990.0</v>
      </c>
      <c r="AD221" s="11">
        <v>146480.0</v>
      </c>
      <c r="AE221" s="11">
        <v>156910.0</v>
      </c>
      <c r="AF221" s="11">
        <v>81830.0</v>
      </c>
      <c r="AG221" s="11">
        <v>45150.0</v>
      </c>
      <c r="AH221" s="11">
        <v>-14520.0</v>
      </c>
      <c r="AI221" s="11">
        <v>238700.0</v>
      </c>
      <c r="AJ221" s="11">
        <v>239890.0</v>
      </c>
      <c r="AK221" s="11">
        <v>189560.0</v>
      </c>
      <c r="AL221" s="11">
        <v>179680.0</v>
      </c>
      <c r="AM221" s="11">
        <v>59830.0</v>
      </c>
      <c r="AN221" s="11">
        <v>109850.0</v>
      </c>
      <c r="AO221" s="11">
        <v>119740.0</v>
      </c>
      <c r="AP221" s="11">
        <v>57430.0</v>
      </c>
      <c r="AQ221" s="11">
        <v>30880.0</v>
      </c>
      <c r="AR221" s="11">
        <v>-4830.0</v>
      </c>
      <c r="AS221" s="11">
        <v>245850.0</v>
      </c>
      <c r="AT221" s="11">
        <v>210030.0</v>
      </c>
      <c r="AU221" s="11">
        <v>93930.0</v>
      </c>
      <c r="AV221" s="11">
        <v>106890.0</v>
      </c>
      <c r="AW221" s="11">
        <v>743.0</v>
      </c>
      <c r="AX221" s="11">
        <v>-89390.0</v>
      </c>
      <c r="AY221" s="11">
        <v>-55170.0</v>
      </c>
      <c r="AZ221" s="11">
        <v>-63280.0</v>
      </c>
      <c r="BA221" s="11">
        <v>-38070.0</v>
      </c>
      <c r="BB221" s="11">
        <v>-31320.0</v>
      </c>
      <c r="BC221" s="11"/>
      <c r="BD221" s="11"/>
      <c r="BE221" s="11"/>
      <c r="BF221" s="11"/>
      <c r="BG221" s="11"/>
      <c r="BH221" s="11">
        <v>165500.0</v>
      </c>
      <c r="BI221" s="11">
        <v>150720.0</v>
      </c>
      <c r="BJ221" s="11">
        <v>11750.0</v>
      </c>
      <c r="BK221" s="11">
        <v>8920.0</v>
      </c>
      <c r="BL221" s="11">
        <v>1090.0</v>
      </c>
      <c r="BM221" s="11">
        <v>386170.0</v>
      </c>
      <c r="BN221" s="11">
        <v>348790.0</v>
      </c>
      <c r="BO221" s="11">
        <v>378680.0</v>
      </c>
      <c r="BP221" s="11">
        <v>363510.0</v>
      </c>
      <c r="BQ221" s="11">
        <v>350790.0</v>
      </c>
      <c r="BR221" s="11">
        <v>331970.0</v>
      </c>
      <c r="BS221" s="11">
        <v>309280.0</v>
      </c>
      <c r="BT221" s="11">
        <v>309060.0</v>
      </c>
      <c r="BU221" s="11">
        <v>272280.0</v>
      </c>
      <c r="BV221" s="11">
        <v>243960.0</v>
      </c>
      <c r="BW221" s="11">
        <v>929650.0</v>
      </c>
      <c r="BX221" s="11">
        <v>847040.0</v>
      </c>
      <c r="BY221" s="11">
        <v>734140.0</v>
      </c>
      <c r="BZ221" s="11">
        <v>666940.0</v>
      </c>
      <c r="CA221" s="11">
        <v>613960.0</v>
      </c>
      <c r="CB221" s="11">
        <v>485370.0</v>
      </c>
      <c r="CC221" s="11">
        <v>294330.0</v>
      </c>
      <c r="CD221" s="11">
        <v>295820.0</v>
      </c>
      <c r="CE221" s="11">
        <v>286740.0</v>
      </c>
      <c r="CF221" s="11">
        <v>295980.0</v>
      </c>
      <c r="CG221" s="11">
        <v>297150.0</v>
      </c>
      <c r="CH221" s="11">
        <v>263000.0</v>
      </c>
      <c r="CI221" s="11">
        <v>261790.0</v>
      </c>
      <c r="CJ221" s="11">
        <v>254830.0</v>
      </c>
      <c r="CK221" s="11">
        <v>254660.0</v>
      </c>
      <c r="CL221" s="11">
        <v>1990000.0</v>
      </c>
      <c r="CM221" s="11">
        <v>1580000.0</v>
      </c>
      <c r="CN221" s="11">
        <v>1470000.0</v>
      </c>
      <c r="CO221" s="11">
        <v>1470000.0</v>
      </c>
      <c r="CP221" s="11">
        <v>1440000.0</v>
      </c>
      <c r="CQ221" s="11">
        <v>189640.0</v>
      </c>
      <c r="CR221" s="11">
        <v>123500.0</v>
      </c>
      <c r="CS221" s="11">
        <v>174580.0</v>
      </c>
      <c r="CT221" s="11">
        <v>165540.0</v>
      </c>
      <c r="CU221" s="11">
        <v>135630.0</v>
      </c>
      <c r="CV221" s="11">
        <v>391370.0</v>
      </c>
      <c r="CW221" s="11">
        <v>26150.0</v>
      </c>
      <c r="CX221" s="11"/>
      <c r="CY221" s="11"/>
      <c r="CZ221" s="11"/>
      <c r="DA221" s="11"/>
      <c r="DB221" s="11">
        <v>391370.0</v>
      </c>
      <c r="DC221" s="11">
        <v>296180.0</v>
      </c>
      <c r="DD221" s="11">
        <v>315280.0</v>
      </c>
      <c r="DE221" s="11">
        <v>302810.0</v>
      </c>
      <c r="DF221" s="11">
        <v>1010000.0</v>
      </c>
      <c r="DG221" s="11">
        <v>701450.0</v>
      </c>
      <c r="DH221" s="11">
        <v>726450.0</v>
      </c>
      <c r="DI221" s="11">
        <v>787110.0</v>
      </c>
      <c r="DJ221" s="11">
        <v>815600.0</v>
      </c>
      <c r="DK221" s="11"/>
      <c r="DL221" s="12"/>
      <c r="DM221" s="12"/>
      <c r="DN221" s="11"/>
      <c r="DO221" s="11"/>
      <c r="DP221" s="11">
        <v>473820.0</v>
      </c>
      <c r="DQ221" s="11">
        <v>354040.0</v>
      </c>
      <c r="DR221" s="11">
        <v>363900.0</v>
      </c>
      <c r="DS221" s="11">
        <v>365410.0</v>
      </c>
      <c r="DT221" s="11">
        <v>416710.0</v>
      </c>
      <c r="DU221" s="13"/>
      <c r="DV221" s="12"/>
      <c r="DW221" s="12"/>
      <c r="DX221" s="13"/>
      <c r="DY221" s="13"/>
      <c r="DZ221" s="11">
        <v>981510.0</v>
      </c>
      <c r="EA221" s="11">
        <v>874660.0</v>
      </c>
      <c r="EB221" s="11">
        <v>746900.0</v>
      </c>
      <c r="EC221" s="11">
        <v>680600.0</v>
      </c>
      <c r="ED221" s="11">
        <v>628930.0</v>
      </c>
      <c r="EE221" s="14">
        <v>0.157</v>
      </c>
      <c r="EF221" s="14">
        <v>0.169</v>
      </c>
      <c r="EG221" s="14">
        <v>0.379</v>
      </c>
      <c r="EH221" s="14">
        <v>0.164</v>
      </c>
    </row>
    <row r="222">
      <c r="A222" s="9">
        <f t="shared" si="2"/>
        <v>220</v>
      </c>
      <c r="B222" s="22" t="s">
        <v>356</v>
      </c>
      <c r="C222" s="11">
        <v>2090000.0</v>
      </c>
      <c r="D222" s="11">
        <v>1870000.0</v>
      </c>
      <c r="E222" s="11">
        <v>1690000.0</v>
      </c>
      <c r="F222" s="11">
        <v>1500000.0</v>
      </c>
      <c r="G222" s="11">
        <v>1320000.0</v>
      </c>
      <c r="H222" s="11">
        <v>1110000.0</v>
      </c>
      <c r="I222" s="11">
        <v>872180.0</v>
      </c>
      <c r="J222" s="11">
        <v>1270000.0</v>
      </c>
      <c r="K222" s="11">
        <v>1150000.0</v>
      </c>
      <c r="L222" s="11">
        <v>1040000.0</v>
      </c>
      <c r="M222" s="11">
        <v>870920.0</v>
      </c>
      <c r="N222" s="11">
        <v>709370.0</v>
      </c>
      <c r="O222" s="11">
        <v>1390000.0</v>
      </c>
      <c r="P222" s="11">
        <v>1310000.0</v>
      </c>
      <c r="Q222" s="11">
        <v>1180000.0</v>
      </c>
      <c r="R222" s="11">
        <v>1140000.0</v>
      </c>
      <c r="S222" s="11">
        <v>1030000.0</v>
      </c>
      <c r="T222" s="11">
        <v>715010.0</v>
      </c>
      <c r="U222" s="11">
        <v>696330.0</v>
      </c>
      <c r="V222" s="11">
        <v>610750.0</v>
      </c>
      <c r="W222" s="11">
        <v>661910.0</v>
      </c>
      <c r="X222" s="11">
        <v>634810.0</v>
      </c>
      <c r="Y222" s="11">
        <v>-139680.0</v>
      </c>
      <c r="Z222" s="11">
        <v>-171480.0</v>
      </c>
      <c r="AA222" s="11">
        <v>-134590.0</v>
      </c>
      <c r="AB222" s="11">
        <v>-813700.0</v>
      </c>
      <c r="AC222" s="11">
        <v>-495030.0</v>
      </c>
      <c r="AD222" s="11">
        <v>-94810.0</v>
      </c>
      <c r="AE222" s="11">
        <v>-142710.0</v>
      </c>
      <c r="AF222" s="11">
        <v>-35880.0</v>
      </c>
      <c r="AG222" s="11">
        <v>-831050.0</v>
      </c>
      <c r="AH222" s="11">
        <v>-154720.0</v>
      </c>
      <c r="AI222" s="11">
        <v>-8510.0</v>
      </c>
      <c r="AJ222" s="11">
        <v>-63150.0</v>
      </c>
      <c r="AK222" s="11">
        <v>-47220.0</v>
      </c>
      <c r="AL222" s="11">
        <v>-181800.0</v>
      </c>
      <c r="AM222" s="11">
        <v>-276310.0</v>
      </c>
      <c r="AN222" s="11">
        <v>-23850.0</v>
      </c>
      <c r="AO222" s="11">
        <v>-77210.0</v>
      </c>
      <c r="AP222" s="11">
        <v>-117040.0</v>
      </c>
      <c r="AQ222" s="11">
        <v>-630210.0</v>
      </c>
      <c r="AR222" s="11">
        <v>-171800.0</v>
      </c>
      <c r="AS222" s="11">
        <v>48260.0</v>
      </c>
      <c r="AT222" s="11">
        <v>20210.0</v>
      </c>
      <c r="AU222" s="11">
        <v>-8760.0</v>
      </c>
      <c r="AV222" s="11">
        <v>-227840.0</v>
      </c>
      <c r="AW222" s="11">
        <v>-221850.0</v>
      </c>
      <c r="AX222" s="11">
        <v>-163410.0</v>
      </c>
      <c r="AY222" s="11">
        <v>-144620.0</v>
      </c>
      <c r="AZ222" s="11">
        <v>-199220.0</v>
      </c>
      <c r="BA222" s="11">
        <v>-148380.0</v>
      </c>
      <c r="BB222" s="11">
        <v>-227650.0</v>
      </c>
      <c r="BC222" s="12"/>
      <c r="BD222" s="12"/>
      <c r="BE222" s="12"/>
      <c r="BF222" s="12"/>
      <c r="BG222" s="12"/>
      <c r="BH222" s="11">
        <v>753810.0</v>
      </c>
      <c r="BI222" s="11">
        <v>1080000.0</v>
      </c>
      <c r="BJ222" s="11">
        <v>1400000.0</v>
      </c>
      <c r="BK222" s="11">
        <v>789680.0</v>
      </c>
      <c r="BL222" s="11">
        <v>599970.0</v>
      </c>
      <c r="BM222" s="11">
        <v>377400.0</v>
      </c>
      <c r="BN222" s="11">
        <v>342630.0</v>
      </c>
      <c r="BO222" s="11">
        <v>261370.0</v>
      </c>
      <c r="BP222" s="11">
        <v>215280.0</v>
      </c>
      <c r="BQ222" s="11">
        <v>179110.0</v>
      </c>
      <c r="BR222" s="11">
        <v>680280.0</v>
      </c>
      <c r="BS222" s="11">
        <v>530870.0</v>
      </c>
      <c r="BT222" s="11">
        <v>475780.0</v>
      </c>
      <c r="BU222" s="11">
        <v>355130.0</v>
      </c>
      <c r="BV222" s="11">
        <v>271680.0</v>
      </c>
      <c r="BW222" s="11">
        <v>1940000.0</v>
      </c>
      <c r="BX222" s="11">
        <v>2060000.0</v>
      </c>
      <c r="BY222" s="11">
        <v>2210000.0</v>
      </c>
      <c r="BZ222" s="11">
        <v>1420000.0</v>
      </c>
      <c r="CA222" s="11">
        <v>1090000.0</v>
      </c>
      <c r="CB222" s="11">
        <v>1070000.0</v>
      </c>
      <c r="CC222" s="11">
        <v>948680.0</v>
      </c>
      <c r="CD222" s="11">
        <v>896700.0</v>
      </c>
      <c r="CE222" s="11">
        <v>798770.0</v>
      </c>
      <c r="CF222" s="11">
        <v>704210.0</v>
      </c>
      <c r="CG222" s="11">
        <v>197040.0</v>
      </c>
      <c r="CH222" s="11">
        <v>197040.0</v>
      </c>
      <c r="CI222" s="11">
        <v>197040.0</v>
      </c>
      <c r="CJ222" s="11">
        <v>197040.0</v>
      </c>
      <c r="CK222" s="11">
        <v>197040.0</v>
      </c>
      <c r="CL222" s="11">
        <v>4690000.0</v>
      </c>
      <c r="CM222" s="11">
        <v>4490000.0</v>
      </c>
      <c r="CN222" s="11">
        <v>4680000.0</v>
      </c>
      <c r="CO222" s="11">
        <v>4020000.0</v>
      </c>
      <c r="CP222" s="11">
        <v>3730000.0</v>
      </c>
      <c r="CQ222" s="11">
        <v>240980.0</v>
      </c>
      <c r="CR222" s="11">
        <v>207620.0</v>
      </c>
      <c r="CS222" s="11">
        <v>166620.0</v>
      </c>
      <c r="CT222" s="11">
        <v>191350.0</v>
      </c>
      <c r="CU222" s="11">
        <v>179290.0</v>
      </c>
      <c r="CV222" s="11">
        <v>932500.0</v>
      </c>
      <c r="CW222" s="11">
        <v>7450.0</v>
      </c>
      <c r="CX222" s="12"/>
      <c r="CY222" s="12"/>
      <c r="CZ222" s="12"/>
      <c r="DA222" s="12"/>
      <c r="DB222" s="11">
        <v>932500.0</v>
      </c>
      <c r="DC222" s="11">
        <v>523240.0</v>
      </c>
      <c r="DD222" s="11">
        <v>816520.0</v>
      </c>
      <c r="DE222" s="11">
        <v>439310.0</v>
      </c>
      <c r="DF222" s="11">
        <v>1570000.0</v>
      </c>
      <c r="DG222" s="11">
        <v>1520000.0</v>
      </c>
      <c r="DH222" s="11">
        <v>1870000.0</v>
      </c>
      <c r="DI222" s="11">
        <v>1260000.0</v>
      </c>
      <c r="DJ222" s="11">
        <v>1330000.0</v>
      </c>
      <c r="DK222" s="11">
        <v>433690.0</v>
      </c>
      <c r="DL222" s="11">
        <v>246190.0</v>
      </c>
      <c r="DM222" s="11">
        <v>390760.0</v>
      </c>
      <c r="DN222" s="11">
        <v>580910.0</v>
      </c>
      <c r="DO222" s="11">
        <v>447240.0</v>
      </c>
      <c r="DP222" s="11">
        <v>537040.0</v>
      </c>
      <c r="DQ222" s="11">
        <v>830420.0</v>
      </c>
      <c r="DR222" s="11">
        <v>813520.0</v>
      </c>
      <c r="DS222" s="11">
        <v>660760.0</v>
      </c>
      <c r="DT222" s="11">
        <v>662290.0</v>
      </c>
      <c r="DU222" s="13"/>
      <c r="DV222" s="12"/>
      <c r="DW222" s="12"/>
      <c r="DX222" s="13"/>
      <c r="DY222" s="13"/>
      <c r="DZ222" s="11">
        <v>3120000.0</v>
      </c>
      <c r="EA222" s="11">
        <v>2970000.0</v>
      </c>
      <c r="EB222" s="11">
        <v>2810000.0</v>
      </c>
      <c r="EC222" s="11">
        <v>2770000.0</v>
      </c>
      <c r="ED222" s="11">
        <v>2400000.0</v>
      </c>
      <c r="EE222" s="14">
        <v>0.086</v>
      </c>
      <c r="EF222" s="14">
        <v>0.364</v>
      </c>
      <c r="EG222" s="14">
        <v>-0.455</v>
      </c>
      <c r="EH222" s="14">
        <v>3.42</v>
      </c>
    </row>
    <row r="223">
      <c r="A223" s="9">
        <f t="shared" si="2"/>
        <v>221</v>
      </c>
      <c r="B223" s="10" t="s">
        <v>357</v>
      </c>
      <c r="C223" s="11">
        <v>4.542E7</v>
      </c>
      <c r="D223" s="11">
        <v>4.188E7</v>
      </c>
      <c r="E223" s="11">
        <v>2.615E7</v>
      </c>
      <c r="F223" s="11">
        <v>2.256E7</v>
      </c>
      <c r="G223" s="11">
        <v>2.078E7</v>
      </c>
      <c r="H223" s="11">
        <v>1.943E7</v>
      </c>
      <c r="I223" s="11">
        <v>1.656E7</v>
      </c>
      <c r="J223" s="11">
        <v>1.725E7</v>
      </c>
      <c r="K223" s="11">
        <v>1.608E7</v>
      </c>
      <c r="L223" s="11">
        <v>1.496E7</v>
      </c>
      <c r="M223" s="11">
        <v>1.45E7</v>
      </c>
      <c r="N223" s="11">
        <v>1.281E7</v>
      </c>
      <c r="O223" s="11">
        <v>1.081E7</v>
      </c>
      <c r="P223" s="11">
        <v>9680000.0</v>
      </c>
      <c r="Q223" s="11">
        <v>9720000.0</v>
      </c>
      <c r="R223" s="11">
        <v>9320000.0</v>
      </c>
      <c r="S223" s="11">
        <v>8870000.0</v>
      </c>
      <c r="T223" s="11">
        <v>5950000.0</v>
      </c>
      <c r="U223" s="11">
        <v>5130000.0</v>
      </c>
      <c r="V223" s="11">
        <v>4970000.0</v>
      </c>
      <c r="W223" s="11">
        <v>4410000.0</v>
      </c>
      <c r="X223" s="11">
        <v>4040000.0</v>
      </c>
      <c r="Y223" s="11">
        <v>3810000.0</v>
      </c>
      <c r="Z223" s="11">
        <v>4780000.0</v>
      </c>
      <c r="AA223" s="11">
        <v>-2000000.0</v>
      </c>
      <c r="AB223" s="11">
        <v>4310000.0</v>
      </c>
      <c r="AC223" s="11">
        <v>1390000.0</v>
      </c>
      <c r="AD223" s="11">
        <v>4980000.0</v>
      </c>
      <c r="AE223" s="11">
        <v>5970000.0</v>
      </c>
      <c r="AF223" s="11">
        <v>5130000.0</v>
      </c>
      <c r="AG223" s="11">
        <v>5920000.0</v>
      </c>
      <c r="AH223" s="11">
        <v>2080000.0</v>
      </c>
      <c r="AI223" s="11">
        <v>8250000.0</v>
      </c>
      <c r="AJ223" s="11">
        <v>7100000.0</v>
      </c>
      <c r="AK223" s="11">
        <v>6110000.0</v>
      </c>
      <c r="AL223" s="11">
        <v>5810000.0</v>
      </c>
      <c r="AM223" s="11">
        <v>4620000.0</v>
      </c>
      <c r="AN223" s="11">
        <v>3440000.0</v>
      </c>
      <c r="AO223" s="11">
        <v>4920000.0</v>
      </c>
      <c r="AP223" s="11">
        <v>1010000.0</v>
      </c>
      <c r="AQ223" s="11">
        <v>4460000.0</v>
      </c>
      <c r="AR223" s="11">
        <v>1570000.0</v>
      </c>
      <c r="AS223" s="11">
        <v>8070000.0</v>
      </c>
      <c r="AT223" s="11">
        <v>5940000.0</v>
      </c>
      <c r="AU223" s="11">
        <v>5280000.0</v>
      </c>
      <c r="AV223" s="11">
        <v>2850000.0</v>
      </c>
      <c r="AW223" s="11">
        <v>1830000.0</v>
      </c>
      <c r="AX223" s="11">
        <v>-836000.0</v>
      </c>
      <c r="AY223" s="11">
        <v>-951000.0</v>
      </c>
      <c r="AZ223" s="11">
        <v>-1060000.0</v>
      </c>
      <c r="BA223" s="11">
        <v>-1220000.0</v>
      </c>
      <c r="BB223" s="11">
        <v>-820000.0</v>
      </c>
      <c r="BC223" s="11">
        <v>-2680000.0</v>
      </c>
      <c r="BD223" s="11">
        <v>-2610000.0</v>
      </c>
      <c r="BE223" s="11">
        <v>-2580000.0</v>
      </c>
      <c r="BF223" s="11">
        <v>-2550000.0</v>
      </c>
      <c r="BG223" s="11">
        <v>-2480000.0</v>
      </c>
      <c r="BH223" s="11">
        <v>1.539E7</v>
      </c>
      <c r="BI223" s="11">
        <v>8880000.0</v>
      </c>
      <c r="BJ223" s="11">
        <v>6810000.0</v>
      </c>
      <c r="BK223" s="11">
        <v>6350000.0</v>
      </c>
      <c r="BL223" s="11">
        <v>4270000.0</v>
      </c>
      <c r="BM223" s="11">
        <v>8440000.0</v>
      </c>
      <c r="BN223" s="11">
        <v>5780000.0</v>
      </c>
      <c r="BO223" s="11">
        <v>5610000.0</v>
      </c>
      <c r="BP223" s="11">
        <v>4920000.0</v>
      </c>
      <c r="BQ223" s="11">
        <v>4120000.0</v>
      </c>
      <c r="BR223" s="11">
        <v>4290000.0</v>
      </c>
      <c r="BS223" s="11">
        <v>1200000.0</v>
      </c>
      <c r="BT223" s="11">
        <v>1170000.0</v>
      </c>
      <c r="BU223" s="11">
        <v>1240000.0</v>
      </c>
      <c r="BV223" s="11">
        <v>1220000.0</v>
      </c>
      <c r="BW223" s="11">
        <v>2.935E7</v>
      </c>
      <c r="BX223" s="11">
        <v>1.716E7</v>
      </c>
      <c r="BY223" s="11">
        <v>1.485E7</v>
      </c>
      <c r="BZ223" s="11">
        <v>1.37E7</v>
      </c>
      <c r="CA223" s="11">
        <v>1.042E7</v>
      </c>
      <c r="CB223" s="11">
        <v>6960000.0</v>
      </c>
      <c r="CC223" s="11">
        <v>5030000.0</v>
      </c>
      <c r="CD223" s="11">
        <v>5000000.0</v>
      </c>
      <c r="CE223" s="11">
        <v>4980000.0</v>
      </c>
      <c r="CF223" s="11">
        <v>4410000.0</v>
      </c>
      <c r="CG223" s="11">
        <v>2.249E7</v>
      </c>
      <c r="CH223" s="11">
        <v>6540000.0</v>
      </c>
      <c r="CI223" s="11">
        <v>6860000.0</v>
      </c>
      <c r="CJ223" s="11">
        <v>6880000.0</v>
      </c>
      <c r="CK223" s="11">
        <v>6880000.0</v>
      </c>
      <c r="CL223" s="11">
        <v>1.2994E8</v>
      </c>
      <c r="CM223" s="11">
        <v>3.499E7</v>
      </c>
      <c r="CN223" s="11">
        <v>3.355E7</v>
      </c>
      <c r="CO223" s="11">
        <v>3.371E7</v>
      </c>
      <c r="CP223" s="11">
        <v>3.175E7</v>
      </c>
      <c r="CQ223" s="11">
        <v>2450000.0</v>
      </c>
      <c r="CR223" s="11">
        <v>1890000.0</v>
      </c>
      <c r="CS223" s="11">
        <v>2250000.0</v>
      </c>
      <c r="CT223" s="11">
        <v>1660000.0</v>
      </c>
      <c r="CU223" s="11">
        <v>1570000.0</v>
      </c>
      <c r="CV223" s="11">
        <v>1.83E7</v>
      </c>
      <c r="CW223" s="11">
        <v>716000.0</v>
      </c>
      <c r="CX223" s="11">
        <v>454000.0</v>
      </c>
      <c r="CY223" s="11">
        <v>987000.0</v>
      </c>
      <c r="CZ223" s="11">
        <v>243000.0</v>
      </c>
      <c r="DA223" s="11">
        <v>139000.0</v>
      </c>
      <c r="DB223" s="11">
        <v>1.83E7</v>
      </c>
      <c r="DC223" s="11">
        <v>1.065E7</v>
      </c>
      <c r="DD223" s="11">
        <v>9560000.0</v>
      </c>
      <c r="DE223" s="11">
        <v>8840000.0</v>
      </c>
      <c r="DF223" s="11">
        <v>7.825E7</v>
      </c>
      <c r="DG223" s="11">
        <v>2.086E7</v>
      </c>
      <c r="DH223" s="11">
        <v>2.17E7</v>
      </c>
      <c r="DI223" s="11">
        <v>1.736E7</v>
      </c>
      <c r="DJ223" s="11">
        <v>1.732E7</v>
      </c>
      <c r="DK223" s="11">
        <v>4560000.0</v>
      </c>
      <c r="DL223" s="11">
        <v>1890000.0</v>
      </c>
      <c r="DM223" s="11">
        <v>2550000.0</v>
      </c>
      <c r="DN223" s="11">
        <v>2720000.0</v>
      </c>
      <c r="DO223" s="11">
        <v>4720000.0</v>
      </c>
      <c r="DP223" s="11">
        <v>4.406E7</v>
      </c>
      <c r="DQ223" s="11">
        <v>5650000.0</v>
      </c>
      <c r="DR223" s="11">
        <v>6980000.0</v>
      </c>
      <c r="DS223" s="11">
        <v>5720000.0</v>
      </c>
      <c r="DT223" s="11">
        <v>6550000.0</v>
      </c>
      <c r="DU223" s="12"/>
      <c r="DV223" s="12"/>
      <c r="DW223" s="12"/>
      <c r="DX223" s="12"/>
      <c r="DY223" s="12"/>
      <c r="DZ223" s="11">
        <v>5.16E7</v>
      </c>
      <c r="EA223" s="11">
        <v>1.403E7</v>
      </c>
      <c r="EB223" s="11">
        <v>1.174E7</v>
      </c>
      <c r="EC223" s="11">
        <v>1.618E7</v>
      </c>
      <c r="ED223" s="11">
        <v>1.427E7</v>
      </c>
      <c r="EE223" s="14">
        <v>0.029</v>
      </c>
      <c r="EF223" s="14">
        <v>0.061</v>
      </c>
      <c r="EG223" s="14">
        <v>0.154</v>
      </c>
      <c r="EH223" s="14">
        <v>0.187</v>
      </c>
    </row>
    <row r="224">
      <c r="A224" s="9">
        <f t="shared" si="2"/>
        <v>222</v>
      </c>
      <c r="B224" s="10" t="s">
        <v>358</v>
      </c>
      <c r="C224" s="11"/>
      <c r="D224" s="11">
        <v>1550000.0</v>
      </c>
      <c r="E224" s="11">
        <v>1850000.0</v>
      </c>
      <c r="F224" s="11">
        <v>2030000.0</v>
      </c>
      <c r="G224" s="11">
        <v>2200000.0</v>
      </c>
      <c r="H224" s="11">
        <v>1870000.0</v>
      </c>
      <c r="I224" s="11">
        <v>1810000.0</v>
      </c>
      <c r="J224" s="11">
        <v>380690.0</v>
      </c>
      <c r="K224" s="11">
        <v>461860.0</v>
      </c>
      <c r="L224" s="11">
        <v>491650.0</v>
      </c>
      <c r="M224" s="11">
        <v>405740.0</v>
      </c>
      <c r="N224" s="11">
        <v>400660.0</v>
      </c>
      <c r="O224" s="11">
        <v>404470.0</v>
      </c>
      <c r="P224" s="11">
        <v>423880.0</v>
      </c>
      <c r="Q224" s="11">
        <v>433750.0</v>
      </c>
      <c r="R224" s="11">
        <v>380770.0</v>
      </c>
      <c r="S224" s="11">
        <v>372760.0</v>
      </c>
      <c r="T224" s="11"/>
      <c r="U224" s="11"/>
      <c r="V224" s="11"/>
      <c r="W224" s="11"/>
      <c r="X224" s="11"/>
      <c r="Y224" s="11">
        <v>-42780.0</v>
      </c>
      <c r="Z224" s="11">
        <v>-27650.0</v>
      </c>
      <c r="AA224" s="11">
        <v>-320600.0</v>
      </c>
      <c r="AB224" s="11">
        <v>-11420.0</v>
      </c>
      <c r="AC224" s="11">
        <v>4620.0</v>
      </c>
      <c r="AD224" s="11">
        <v>-50230.0</v>
      </c>
      <c r="AE224" s="11">
        <v>-37430.0</v>
      </c>
      <c r="AF224" s="11">
        <v>-273010.0</v>
      </c>
      <c r="AG224" s="11">
        <v>10090.0</v>
      </c>
      <c r="AH224" s="11">
        <v>2750.0</v>
      </c>
      <c r="AI224" s="11">
        <v>42160.0</v>
      </c>
      <c r="AJ224" s="11">
        <v>104940.0</v>
      </c>
      <c r="AK224" s="11">
        <v>123490.0</v>
      </c>
      <c r="AL224" s="11">
        <v>78290.0</v>
      </c>
      <c r="AM224" s="11">
        <v>80590.0</v>
      </c>
      <c r="AN224" s="11">
        <v>-38250.0</v>
      </c>
      <c r="AO224" s="11">
        <v>-24370.0</v>
      </c>
      <c r="AP224" s="11">
        <v>-252570.0</v>
      </c>
      <c r="AQ224" s="11">
        <v>5360.0</v>
      </c>
      <c r="AR224" s="11">
        <v>84.0</v>
      </c>
      <c r="AS224" s="11">
        <v>-34500.0</v>
      </c>
      <c r="AT224" s="11">
        <v>120820.0</v>
      </c>
      <c r="AU224" s="11">
        <v>60040.0</v>
      </c>
      <c r="AV224" s="11">
        <v>67990.0</v>
      </c>
      <c r="AW224" s="11">
        <v>82780.0</v>
      </c>
      <c r="AX224" s="11">
        <v>-36190.0</v>
      </c>
      <c r="AY224" s="11">
        <v>-46420.0</v>
      </c>
      <c r="AZ224" s="11">
        <v>-42810.0</v>
      </c>
      <c r="BA224" s="11">
        <v>-37720.0</v>
      </c>
      <c r="BB224" s="11">
        <v>-52900.0</v>
      </c>
      <c r="BC224" s="12"/>
      <c r="BD224" s="12"/>
      <c r="BE224" s="12"/>
      <c r="BF224" s="12"/>
      <c r="BG224" s="12"/>
      <c r="BH224" s="11">
        <v>8240.0</v>
      </c>
      <c r="BI224" s="11">
        <v>14010.0</v>
      </c>
      <c r="BJ224" s="11">
        <v>16130.0</v>
      </c>
      <c r="BK224" s="11">
        <v>21000.0</v>
      </c>
      <c r="BL224" s="11">
        <v>28870.0</v>
      </c>
      <c r="BM224" s="11">
        <v>90850.0</v>
      </c>
      <c r="BN224" s="11">
        <v>98250.0</v>
      </c>
      <c r="BO224" s="11">
        <v>100060.0</v>
      </c>
      <c r="BP224" s="11">
        <v>86040.0</v>
      </c>
      <c r="BQ224" s="11">
        <v>50920.0</v>
      </c>
      <c r="BR224" s="11">
        <v>469650.0</v>
      </c>
      <c r="BS224" s="11">
        <v>467320.0</v>
      </c>
      <c r="BT224" s="11">
        <v>491340.0</v>
      </c>
      <c r="BU224" s="11">
        <v>486890.0</v>
      </c>
      <c r="BV224" s="11">
        <v>360510.0</v>
      </c>
      <c r="BW224" s="11">
        <v>584920.0</v>
      </c>
      <c r="BX224" s="11">
        <v>591360.0</v>
      </c>
      <c r="BY224" s="11">
        <v>619370.0</v>
      </c>
      <c r="BZ224" s="11">
        <v>602630.0</v>
      </c>
      <c r="CA224" s="11">
        <v>446450.0</v>
      </c>
      <c r="CB224" s="11">
        <v>348580.0</v>
      </c>
      <c r="CC224" s="11">
        <v>109780.0</v>
      </c>
      <c r="CD224" s="11">
        <v>111290.0</v>
      </c>
      <c r="CE224" s="11">
        <v>116610.0</v>
      </c>
      <c r="CF224" s="11">
        <v>111190.0</v>
      </c>
      <c r="CG224" s="11">
        <v>4700.0</v>
      </c>
      <c r="CH224" s="11">
        <v>4700.0</v>
      </c>
      <c r="CI224" s="11">
        <v>49280.0</v>
      </c>
      <c r="CJ224" s="11">
        <v>329470.0</v>
      </c>
      <c r="CK224" s="11">
        <v>280910.0</v>
      </c>
      <c r="CL224" s="11">
        <v>1270000.0</v>
      </c>
      <c r="CM224" s="11">
        <v>993230.0</v>
      </c>
      <c r="CN224" s="11">
        <v>1040000.0</v>
      </c>
      <c r="CO224" s="11">
        <v>1350000.0</v>
      </c>
      <c r="CP224" s="11">
        <v>1110000.0</v>
      </c>
      <c r="CQ224" s="11">
        <v>143680.0</v>
      </c>
      <c r="CR224" s="11">
        <v>186820.0</v>
      </c>
      <c r="CS224" s="11">
        <v>187910.0</v>
      </c>
      <c r="CT224" s="11">
        <v>192740.0</v>
      </c>
      <c r="CU224" s="11">
        <v>152180.0</v>
      </c>
      <c r="CV224" s="11">
        <v>406670.0</v>
      </c>
      <c r="CW224" s="11"/>
      <c r="CX224" s="11">
        <v>100000.0</v>
      </c>
      <c r="CY224" s="11">
        <v>100000.0</v>
      </c>
      <c r="CZ224" s="11">
        <v>100000.0</v>
      </c>
      <c r="DA224" s="12"/>
      <c r="DB224" s="11">
        <v>406670.0</v>
      </c>
      <c r="DC224" s="11">
        <v>408540.0</v>
      </c>
      <c r="DD224" s="11">
        <v>413470.0</v>
      </c>
      <c r="DE224" s="11">
        <v>413220.0</v>
      </c>
      <c r="DF224" s="11">
        <v>848000.0</v>
      </c>
      <c r="DG224" s="11">
        <v>542600.0</v>
      </c>
      <c r="DH224" s="11">
        <v>571250.0</v>
      </c>
      <c r="DI224" s="11">
        <v>638190.0</v>
      </c>
      <c r="DJ224" s="11">
        <v>405410.0</v>
      </c>
      <c r="DK224" s="11">
        <v>766.0</v>
      </c>
      <c r="DL224" s="11">
        <v>755.0</v>
      </c>
      <c r="DM224" s="11">
        <v>742.0</v>
      </c>
      <c r="DN224" s="11">
        <v>698.0</v>
      </c>
      <c r="DO224" s="11">
        <v>2000.0</v>
      </c>
      <c r="DP224" s="11">
        <v>285840.0</v>
      </c>
      <c r="DQ224" s="11">
        <v>33500.0</v>
      </c>
      <c r="DR224" s="11">
        <v>96400.0</v>
      </c>
      <c r="DS224" s="11">
        <v>59600.0</v>
      </c>
      <c r="DT224" s="11"/>
      <c r="DU224" s="13"/>
      <c r="DV224" s="12"/>
      <c r="DW224" s="12"/>
      <c r="DX224" s="12"/>
      <c r="DY224" s="12"/>
      <c r="DZ224" s="11">
        <v>417750.0</v>
      </c>
      <c r="EA224" s="11">
        <v>450630.0</v>
      </c>
      <c r="EB224" s="11">
        <v>467960.0</v>
      </c>
      <c r="EC224" s="11">
        <v>713710.0</v>
      </c>
      <c r="ED224" s="11">
        <v>708390.0</v>
      </c>
      <c r="EE224" s="14">
        <v>0.013</v>
      </c>
      <c r="EF224" s="14"/>
      <c r="EG224" s="14">
        <v>-0.75</v>
      </c>
      <c r="EH224" s="14">
        <v>-0.018</v>
      </c>
    </row>
    <row r="225">
      <c r="A225" s="9">
        <f t="shared" si="2"/>
        <v>223</v>
      </c>
      <c r="B225" s="22" t="s">
        <v>359</v>
      </c>
      <c r="C225" s="11">
        <v>2510000.0</v>
      </c>
      <c r="D225" s="11">
        <v>521530.0</v>
      </c>
      <c r="E225" s="11">
        <v>121540.0</v>
      </c>
      <c r="F225" s="11">
        <v>150510.0</v>
      </c>
      <c r="G225" s="11">
        <v>69480.0</v>
      </c>
      <c r="H225" s="12"/>
      <c r="I225" s="12"/>
      <c r="J225" s="11">
        <v>65810.0</v>
      </c>
      <c r="K225" s="11">
        <v>110030.0</v>
      </c>
      <c r="L225" s="11">
        <v>47140.0</v>
      </c>
      <c r="M225" s="12"/>
      <c r="N225" s="12"/>
      <c r="O225" s="11">
        <v>271240.0</v>
      </c>
      <c r="P225" s="11">
        <v>179080.0</v>
      </c>
      <c r="Q225" s="11">
        <v>118580.0</v>
      </c>
      <c r="R225" s="12"/>
      <c r="S225" s="12"/>
      <c r="T225" s="11">
        <v>222660.0</v>
      </c>
      <c r="U225" s="11">
        <v>147150.0</v>
      </c>
      <c r="V225" s="11">
        <v>85310.0</v>
      </c>
      <c r="W225" s="12"/>
      <c r="X225" s="12"/>
      <c r="Y225" s="11">
        <v>-205800.0</v>
      </c>
      <c r="Z225" s="11">
        <v>-69110.0</v>
      </c>
      <c r="AA225" s="11">
        <v>-71820.0</v>
      </c>
      <c r="AB225" s="12"/>
      <c r="AC225" s="12"/>
      <c r="AD225" s="11">
        <v>-200840.0</v>
      </c>
      <c r="AE225" s="11">
        <v>-56130.0</v>
      </c>
      <c r="AF225" s="11">
        <v>-96810.0</v>
      </c>
      <c r="AG225" s="12"/>
      <c r="AH225" s="12"/>
      <c r="AI225" s="11">
        <v>-167490.0</v>
      </c>
      <c r="AJ225" s="11">
        <v>-43120.0</v>
      </c>
      <c r="AK225" s="11">
        <v>-59610.0</v>
      </c>
      <c r="AL225" s="12"/>
      <c r="AM225" s="12"/>
      <c r="AN225" s="11">
        <v>-200410.0</v>
      </c>
      <c r="AO225" s="11">
        <v>-56650.0</v>
      </c>
      <c r="AP225" s="11">
        <v>-96610.0</v>
      </c>
      <c r="AQ225" s="12"/>
      <c r="AR225" s="12"/>
      <c r="AS225" s="11">
        <v>-222210.0</v>
      </c>
      <c r="AT225" s="11">
        <v>-68640.0</v>
      </c>
      <c r="AU225" s="11">
        <v>-59290.0</v>
      </c>
      <c r="AV225" s="12"/>
      <c r="AW225" s="12"/>
      <c r="AX225" s="11">
        <v>-79560.0</v>
      </c>
      <c r="AY225" s="11">
        <v>-80050.0</v>
      </c>
      <c r="AZ225" s="11">
        <v>-65130.0</v>
      </c>
      <c r="BA225" s="12"/>
      <c r="BB225" s="12"/>
      <c r="BC225" s="12"/>
      <c r="BD225" s="12"/>
      <c r="BE225" s="12"/>
      <c r="BF225" s="12"/>
      <c r="BG225" s="12"/>
      <c r="BH225" s="11">
        <v>582740.0</v>
      </c>
      <c r="BI225" s="11">
        <v>470400.0</v>
      </c>
      <c r="BJ225" s="11">
        <v>206660.0</v>
      </c>
      <c r="BK225" s="12"/>
      <c r="BL225" s="12"/>
      <c r="BM225" s="11">
        <v>22680.0</v>
      </c>
      <c r="BN225" s="11">
        <v>32510.0</v>
      </c>
      <c r="BO225" s="11">
        <v>10920.0</v>
      </c>
      <c r="BP225" s="12"/>
      <c r="BQ225" s="12"/>
      <c r="BR225" s="11">
        <v>13550.0</v>
      </c>
      <c r="BS225" s="11">
        <v>6790.0</v>
      </c>
      <c r="BT225" s="11">
        <v>5630.0</v>
      </c>
      <c r="BU225" s="12"/>
      <c r="BV225" s="12"/>
      <c r="BW225" s="11">
        <v>622190.0</v>
      </c>
      <c r="BX225" s="11">
        <v>510540.0</v>
      </c>
      <c r="BY225" s="11">
        <v>225470.0</v>
      </c>
      <c r="BZ225" s="12"/>
      <c r="CA225" s="12"/>
      <c r="CB225" s="11">
        <v>166200.0</v>
      </c>
      <c r="CC225" s="11">
        <v>132570.0</v>
      </c>
      <c r="CD225" s="11">
        <v>121910.0</v>
      </c>
      <c r="CE225" s="12"/>
      <c r="CF225" s="12"/>
      <c r="CG225" s="11">
        <v>3340.0</v>
      </c>
      <c r="CH225" s="11">
        <v>610.0</v>
      </c>
      <c r="CI225" s="11">
        <v>641.0</v>
      </c>
      <c r="CJ225" s="12"/>
      <c r="CK225" s="12"/>
      <c r="CL225" s="11">
        <v>895360.0</v>
      </c>
      <c r="CM225" s="11">
        <v>746460.0</v>
      </c>
      <c r="CN225" s="11">
        <v>449960.0</v>
      </c>
      <c r="CO225" s="12"/>
      <c r="CP225" s="12"/>
      <c r="CQ225" s="11">
        <v>23010.0</v>
      </c>
      <c r="CR225" s="11">
        <v>47690.0</v>
      </c>
      <c r="CS225" s="11">
        <v>63090.0</v>
      </c>
      <c r="CT225" s="12"/>
      <c r="CU225" s="12"/>
      <c r="CV225" s="11">
        <v>155060.0</v>
      </c>
      <c r="CW225" s="11">
        <v>2050.0</v>
      </c>
      <c r="CX225" s="12"/>
      <c r="CY225" s="12"/>
      <c r="CZ225" s="12"/>
      <c r="DA225" s="12"/>
      <c r="DB225" s="11">
        <v>155060.0</v>
      </c>
      <c r="DC225" s="11">
        <v>144180.0</v>
      </c>
      <c r="DD225" s="11">
        <v>190380.0</v>
      </c>
      <c r="DE225" s="12"/>
      <c r="DF225" s="11">
        <v>341410.0</v>
      </c>
      <c r="DG225" s="11">
        <v>441240.0</v>
      </c>
      <c r="DH225" s="11">
        <v>507840.0</v>
      </c>
      <c r="DI225" s="12"/>
      <c r="DJ225" s="12"/>
      <c r="DK225" s="12"/>
      <c r="DL225" s="11">
        <v>21.0</v>
      </c>
      <c r="DM225" s="11">
        <v>22.0</v>
      </c>
      <c r="DN225" s="12"/>
      <c r="DO225" s="12"/>
      <c r="DP225" s="11">
        <v>77340.0</v>
      </c>
      <c r="DQ225" s="11">
        <v>61980.0</v>
      </c>
      <c r="DR225" s="11">
        <v>60460.0</v>
      </c>
      <c r="DS225" s="12"/>
      <c r="DT225" s="12"/>
      <c r="DU225" s="13"/>
      <c r="DV225" s="12"/>
      <c r="DW225" s="12"/>
      <c r="DX225" s="13"/>
      <c r="DY225" s="13"/>
      <c r="DZ225" s="11">
        <v>553940.0</v>
      </c>
      <c r="EA225" s="11">
        <v>304250.0</v>
      </c>
      <c r="EB225" s="11">
        <v>-59190.0</v>
      </c>
      <c r="EC225" s="12"/>
      <c r="ED225" s="12"/>
      <c r="EE225" s="14">
        <v>2.124</v>
      </c>
      <c r="EF225" s="14">
        <v>2.737</v>
      </c>
      <c r="EG225" s="14">
        <v>-5.429</v>
      </c>
      <c r="EH225" s="14">
        <v>-1.452</v>
      </c>
    </row>
    <row r="226">
      <c r="A226" s="9">
        <f t="shared" si="2"/>
        <v>224</v>
      </c>
      <c r="B226" s="10" t="s">
        <v>360</v>
      </c>
      <c r="C226" s="11">
        <v>922460.0</v>
      </c>
      <c r="D226" s="11">
        <v>815160.0</v>
      </c>
      <c r="E226" s="11">
        <v>845580.0</v>
      </c>
      <c r="F226" s="11">
        <v>776850.0</v>
      </c>
      <c r="G226" s="11">
        <v>677950.0</v>
      </c>
      <c r="H226" s="11">
        <v>629820.0</v>
      </c>
      <c r="I226" s="11">
        <v>569020.0</v>
      </c>
      <c r="J226" s="11">
        <v>276320.0</v>
      </c>
      <c r="K226" s="11">
        <v>250790.0</v>
      </c>
      <c r="L226" s="11">
        <v>206790.0</v>
      </c>
      <c r="M226" s="11">
        <v>187730.0</v>
      </c>
      <c r="N226" s="11">
        <v>170670.0</v>
      </c>
      <c r="O226" s="11">
        <v>202650.0</v>
      </c>
      <c r="P226" s="11">
        <v>186010.0</v>
      </c>
      <c r="Q226" s="11">
        <v>158850.0</v>
      </c>
      <c r="R226" s="11">
        <v>148710.0</v>
      </c>
      <c r="S226" s="11">
        <v>133140.0</v>
      </c>
      <c r="T226" s="11"/>
      <c r="U226" s="11"/>
      <c r="V226" s="11"/>
      <c r="W226" s="11"/>
      <c r="X226" s="11"/>
      <c r="Y226" s="11">
        <v>73660.0</v>
      </c>
      <c r="Z226" s="11">
        <v>64320.0</v>
      </c>
      <c r="AA226" s="11">
        <v>46260.0</v>
      </c>
      <c r="AB226" s="11">
        <v>37820.0</v>
      </c>
      <c r="AC226" s="11">
        <v>31130.0</v>
      </c>
      <c r="AD226" s="11">
        <v>60310.0</v>
      </c>
      <c r="AE226" s="11">
        <v>48000.0</v>
      </c>
      <c r="AF226" s="11">
        <v>31180.0</v>
      </c>
      <c r="AG226" s="11">
        <v>23120.0</v>
      </c>
      <c r="AH226" s="11">
        <v>17310.0</v>
      </c>
      <c r="AI226" s="11">
        <v>126140.0</v>
      </c>
      <c r="AJ226" s="11">
        <v>83680.0</v>
      </c>
      <c r="AK226" s="11">
        <v>65070.0</v>
      </c>
      <c r="AL226" s="11">
        <v>55730.0</v>
      </c>
      <c r="AM226" s="11">
        <v>51540.0</v>
      </c>
      <c r="AN226" s="11">
        <v>47950.0</v>
      </c>
      <c r="AO226" s="11">
        <v>39020.0</v>
      </c>
      <c r="AP226" s="11">
        <v>28880.0</v>
      </c>
      <c r="AQ226" s="11">
        <v>14200.0</v>
      </c>
      <c r="AR226" s="11">
        <v>9870.0</v>
      </c>
      <c r="AS226" s="11">
        <v>55390.0</v>
      </c>
      <c r="AT226" s="11">
        <v>63260.0</v>
      </c>
      <c r="AU226" s="11">
        <v>44200.0</v>
      </c>
      <c r="AV226" s="11">
        <v>41150.0</v>
      </c>
      <c r="AW226" s="11">
        <v>32930.0</v>
      </c>
      <c r="AX226" s="11">
        <v>-37200.0</v>
      </c>
      <c r="AY226" s="11">
        <v>-27530.0</v>
      </c>
      <c r="AZ226" s="11">
        <v>-24420.0</v>
      </c>
      <c r="BA226" s="11">
        <v>-22290.0</v>
      </c>
      <c r="BB226" s="11">
        <v>-36130.0</v>
      </c>
      <c r="BC226" s="11"/>
      <c r="BD226" s="12"/>
      <c r="BE226" s="12"/>
      <c r="BF226" s="12"/>
      <c r="BG226" s="12"/>
      <c r="BH226" s="11">
        <v>69560.0</v>
      </c>
      <c r="BI226" s="11">
        <v>16610.0</v>
      </c>
      <c r="BJ226" s="11">
        <v>9020.0</v>
      </c>
      <c r="BK226" s="11">
        <v>8040.0</v>
      </c>
      <c r="BL226" s="11">
        <v>7200.0</v>
      </c>
      <c r="BM226" s="11">
        <v>17260.0</v>
      </c>
      <c r="BN226" s="11">
        <v>9630.0</v>
      </c>
      <c r="BO226" s="11">
        <v>10220.0</v>
      </c>
      <c r="BP226" s="11">
        <v>10030.0</v>
      </c>
      <c r="BQ226" s="11">
        <v>10000.0</v>
      </c>
      <c r="BR226" s="11">
        <v>288720.0</v>
      </c>
      <c r="BS226" s="11">
        <v>240730.0</v>
      </c>
      <c r="BT226" s="11">
        <v>211470.0</v>
      </c>
      <c r="BU226" s="11">
        <v>189100.0</v>
      </c>
      <c r="BV226" s="11">
        <v>176340.0</v>
      </c>
      <c r="BW226" s="11">
        <v>384280.0</v>
      </c>
      <c r="BX226" s="11">
        <v>277000.0</v>
      </c>
      <c r="BY226" s="11">
        <v>240610.0</v>
      </c>
      <c r="BZ226" s="11">
        <v>223730.0</v>
      </c>
      <c r="CA226" s="11">
        <v>202470.0</v>
      </c>
      <c r="CB226" s="11">
        <v>279850.0</v>
      </c>
      <c r="CC226" s="11">
        <v>98660.0</v>
      </c>
      <c r="CD226" s="11">
        <v>89210.0</v>
      </c>
      <c r="CE226" s="11">
        <v>82710.0</v>
      </c>
      <c r="CF226" s="11">
        <v>76080.0</v>
      </c>
      <c r="CG226" s="11">
        <v>197500.0</v>
      </c>
      <c r="CH226" s="11">
        <v>195860.0</v>
      </c>
      <c r="CI226" s="11">
        <v>193100.0</v>
      </c>
      <c r="CJ226" s="11">
        <v>193100.0</v>
      </c>
      <c r="CK226" s="11">
        <v>193100.0</v>
      </c>
      <c r="CL226" s="11">
        <v>978890.0</v>
      </c>
      <c r="CM226" s="11">
        <v>636080.0</v>
      </c>
      <c r="CN226" s="11">
        <v>587940.0</v>
      </c>
      <c r="CO226" s="11">
        <v>565580.0</v>
      </c>
      <c r="CP226" s="11">
        <v>539330.0</v>
      </c>
      <c r="CQ226" s="11">
        <v>95330.0</v>
      </c>
      <c r="CR226" s="11">
        <v>104960.0</v>
      </c>
      <c r="CS226" s="11">
        <v>89960.0</v>
      </c>
      <c r="CT226" s="11">
        <v>77480.0</v>
      </c>
      <c r="CU226" s="11">
        <v>66550.0</v>
      </c>
      <c r="CV226" s="11">
        <v>312630.0</v>
      </c>
      <c r="CW226" s="11">
        <v>33760.0</v>
      </c>
      <c r="CX226" s="12"/>
      <c r="CY226" s="11">
        <v>21010.0</v>
      </c>
      <c r="CZ226" s="11">
        <v>33270.0</v>
      </c>
      <c r="DA226" s="11">
        <v>48820.0</v>
      </c>
      <c r="DB226" s="11">
        <v>312630.0</v>
      </c>
      <c r="DC226" s="11">
        <v>151940.0</v>
      </c>
      <c r="DD226" s="11">
        <v>151000.0</v>
      </c>
      <c r="DE226" s="11">
        <v>147800.0</v>
      </c>
      <c r="DF226" s="11">
        <v>657200.0</v>
      </c>
      <c r="DG226" s="11">
        <v>371910.0</v>
      </c>
      <c r="DH226" s="11">
        <v>373340.0</v>
      </c>
      <c r="DI226" s="11">
        <v>385670.0</v>
      </c>
      <c r="DJ226" s="11">
        <v>377840.0</v>
      </c>
      <c r="DK226" s="11"/>
      <c r="DL226" s="11"/>
      <c r="DM226" s="11"/>
      <c r="DN226" s="11"/>
      <c r="DO226" s="11"/>
      <c r="DP226" s="11">
        <v>269960.0</v>
      </c>
      <c r="DQ226" s="11">
        <v>184980.0</v>
      </c>
      <c r="DR226" s="11">
        <v>194470.0</v>
      </c>
      <c r="DS226" s="11">
        <v>203310.0</v>
      </c>
      <c r="DT226" s="11">
        <v>204820.0</v>
      </c>
      <c r="DU226" s="13"/>
      <c r="DV226" s="12"/>
      <c r="DW226" s="12"/>
      <c r="DX226" s="12"/>
      <c r="DY226" s="12"/>
      <c r="DZ226" s="11">
        <v>321690.0</v>
      </c>
      <c r="EA226" s="11">
        <v>264160.0</v>
      </c>
      <c r="EB226" s="11">
        <v>214610.0</v>
      </c>
      <c r="EC226" s="11">
        <v>179910.0</v>
      </c>
      <c r="ED226" s="11">
        <v>161490.0</v>
      </c>
      <c r="EE226" s="14">
        <v>0.058</v>
      </c>
      <c r="EF226" s="14">
        <v>0.146</v>
      </c>
      <c r="EG226" s="14">
        <v>0.882</v>
      </c>
      <c r="EH226" s="14">
        <v>0.268</v>
      </c>
    </row>
    <row r="227">
      <c r="A227" s="9">
        <f t="shared" si="2"/>
        <v>225</v>
      </c>
      <c r="B227" s="22" t="s">
        <v>361</v>
      </c>
      <c r="C227" s="11">
        <v>160980.0</v>
      </c>
      <c r="D227" s="11">
        <v>589980.0</v>
      </c>
      <c r="E227" s="11">
        <v>66510.0</v>
      </c>
      <c r="F227" s="11">
        <v>44520.0</v>
      </c>
      <c r="G227" s="11">
        <v>21430.0</v>
      </c>
      <c r="H227" s="11">
        <v>27770.0</v>
      </c>
      <c r="I227" s="11">
        <v>11400.0</v>
      </c>
      <c r="J227" s="12"/>
      <c r="K227" s="12"/>
      <c r="L227" s="12"/>
      <c r="M227" s="12"/>
      <c r="N227" s="12"/>
      <c r="O227" s="11">
        <v>417590.0</v>
      </c>
      <c r="P227" s="11">
        <v>287300.0</v>
      </c>
      <c r="Q227" s="11">
        <v>171100.0</v>
      </c>
      <c r="R227" s="11">
        <v>98770.0</v>
      </c>
      <c r="S227" s="11">
        <v>62100.0</v>
      </c>
      <c r="T227" s="11">
        <v>331450.0</v>
      </c>
      <c r="U227" s="11">
        <v>243620.0</v>
      </c>
      <c r="V227" s="11">
        <v>144690.0</v>
      </c>
      <c r="W227" s="11">
        <v>81130.0</v>
      </c>
      <c r="X227" s="11">
        <v>48590.0</v>
      </c>
      <c r="Y227" s="12"/>
      <c r="Z227" s="12"/>
      <c r="AA227" s="12"/>
      <c r="AB227" s="12"/>
      <c r="AC227" s="11">
        <v>-52090.0</v>
      </c>
      <c r="AD227" s="11">
        <v>-347690.0</v>
      </c>
      <c r="AE227" s="11">
        <v>-236640.0</v>
      </c>
      <c r="AF227" s="11">
        <v>-148120.0</v>
      </c>
      <c r="AG227" s="11">
        <v>-72500.0</v>
      </c>
      <c r="AH227" s="11">
        <v>-52770.0</v>
      </c>
      <c r="AI227" s="11">
        <v>-351080.0</v>
      </c>
      <c r="AJ227" s="11">
        <v>-242780.0</v>
      </c>
      <c r="AK227" s="11">
        <v>-149670.0</v>
      </c>
      <c r="AL227" s="11">
        <v>-71000.0</v>
      </c>
      <c r="AM227" s="11">
        <v>-50700.0</v>
      </c>
      <c r="AN227" s="11">
        <v>-347690.0</v>
      </c>
      <c r="AO227" s="11">
        <v>-236640.0</v>
      </c>
      <c r="AP227" s="11">
        <v>-148120.0</v>
      </c>
      <c r="AQ227" s="11">
        <v>-72500.0</v>
      </c>
      <c r="AR227" s="11">
        <v>-52770.0</v>
      </c>
      <c r="AS227" s="11">
        <v>-275920.0</v>
      </c>
      <c r="AT227" s="11">
        <v>-175010.0</v>
      </c>
      <c r="AU227" s="11">
        <v>-119870.0</v>
      </c>
      <c r="AV227" s="11">
        <v>-24510.0</v>
      </c>
      <c r="AW227" s="11">
        <v>-31680.0</v>
      </c>
      <c r="AX227" s="11">
        <v>-14010.0</v>
      </c>
      <c r="AY227" s="11">
        <v>-12680.0</v>
      </c>
      <c r="AZ227" s="11">
        <v>-15510.0</v>
      </c>
      <c r="BA227" s="11">
        <v>-2350.0</v>
      </c>
      <c r="BB227" s="11">
        <v>-4880.0</v>
      </c>
      <c r="BC227" s="12"/>
      <c r="BD227" s="12"/>
      <c r="BE227" s="12"/>
      <c r="BF227" s="12"/>
      <c r="BG227" s="12"/>
      <c r="BH227" s="11">
        <v>484050.0</v>
      </c>
      <c r="BI227" s="11">
        <v>494220.0</v>
      </c>
      <c r="BJ227" s="11">
        <v>673360.0</v>
      </c>
      <c r="BK227" s="11">
        <v>214160.0</v>
      </c>
      <c r="BL227" s="11">
        <v>162830.0</v>
      </c>
      <c r="BM227" s="11">
        <v>23410.0</v>
      </c>
      <c r="BN227" s="12"/>
      <c r="BO227" s="12"/>
      <c r="BP227" s="11">
        <v>3580.0</v>
      </c>
      <c r="BQ227" s="11">
        <v>3410.0</v>
      </c>
      <c r="BR227" s="12"/>
      <c r="BS227" s="12"/>
      <c r="BT227" s="12"/>
      <c r="BU227" s="12"/>
      <c r="BV227" s="12"/>
      <c r="BW227" s="11">
        <v>516790.0</v>
      </c>
      <c r="BX227" s="11">
        <v>499790.0</v>
      </c>
      <c r="BY227" s="11">
        <v>685510.0</v>
      </c>
      <c r="BZ227" s="11">
        <v>220430.0</v>
      </c>
      <c r="CA227" s="11">
        <v>170420.0</v>
      </c>
      <c r="CB227" s="11">
        <v>111110.0</v>
      </c>
      <c r="CC227" s="11">
        <v>29630.0</v>
      </c>
      <c r="CD227" s="11">
        <v>24360.0</v>
      </c>
      <c r="CE227" s="11">
        <v>6190.0</v>
      </c>
      <c r="CF227" s="11">
        <v>6660.0</v>
      </c>
      <c r="CG227" s="12"/>
      <c r="CH227" s="12"/>
      <c r="CI227" s="12"/>
      <c r="CJ227" s="12"/>
      <c r="CK227" s="12"/>
      <c r="CL227" s="11">
        <v>707690.0</v>
      </c>
      <c r="CM227" s="11">
        <v>540120.0</v>
      </c>
      <c r="CN227" s="11">
        <v>715740.0</v>
      </c>
      <c r="CO227" s="11">
        <v>282800.0</v>
      </c>
      <c r="CP227" s="11">
        <v>178900.0</v>
      </c>
      <c r="CQ227" s="11">
        <v>4790.0</v>
      </c>
      <c r="CR227" s="11">
        <v>3300.0</v>
      </c>
      <c r="CS227" s="11">
        <v>3740.0</v>
      </c>
      <c r="CT227" s="11">
        <v>2210.0</v>
      </c>
      <c r="CU227" s="11">
        <v>2460.0</v>
      </c>
      <c r="CV227" s="11">
        <v>106480.0</v>
      </c>
      <c r="CW227" s="11">
        <v>6820.0</v>
      </c>
      <c r="CX227" s="12"/>
      <c r="CY227" s="12"/>
      <c r="CZ227" s="12"/>
      <c r="DA227" s="12"/>
      <c r="DB227" s="11">
        <v>106480.0</v>
      </c>
      <c r="DC227" s="11">
        <v>60320.0</v>
      </c>
      <c r="DD227" s="11">
        <v>42890.0</v>
      </c>
      <c r="DE227" s="11">
        <v>28510.0</v>
      </c>
      <c r="DF227" s="11">
        <v>243340.0</v>
      </c>
      <c r="DG227" s="11">
        <v>121120.0</v>
      </c>
      <c r="DH227" s="11">
        <v>91770.0</v>
      </c>
      <c r="DI227" s="11">
        <v>69720.0</v>
      </c>
      <c r="DJ227" s="11">
        <v>34920.0</v>
      </c>
      <c r="DK227" s="11">
        <v>69570.0</v>
      </c>
      <c r="DL227" s="12"/>
      <c r="DM227" s="12"/>
      <c r="DN227" s="11">
        <v>54060.0</v>
      </c>
      <c r="DO227" s="12"/>
      <c r="DP227" s="11">
        <v>89130.0</v>
      </c>
      <c r="DQ227" s="12"/>
      <c r="DR227" s="12"/>
      <c r="DS227" s="11">
        <v>1520.0</v>
      </c>
      <c r="DT227" s="11">
        <v>4070.0</v>
      </c>
      <c r="DU227" s="13"/>
      <c r="DV227" s="12"/>
      <c r="DW227" s="12"/>
      <c r="DX227" s="13"/>
      <c r="DY227" s="13"/>
      <c r="DZ227" s="11">
        <v>464360.0</v>
      </c>
      <c r="EA227" s="11">
        <v>419010.0</v>
      </c>
      <c r="EB227" s="11">
        <v>623970.0</v>
      </c>
      <c r="EC227" s="11">
        <v>213080.0</v>
      </c>
      <c r="ED227" s="11">
        <v>143980.0</v>
      </c>
      <c r="EE227" s="14">
        <v>1.324</v>
      </c>
      <c r="EF227" s="14">
        <v>1.585</v>
      </c>
      <c r="EG227" s="14">
        <v>-0.065</v>
      </c>
      <c r="EH227" s="14">
        <v>0.059</v>
      </c>
    </row>
    <row r="228">
      <c r="A228" s="9">
        <f t="shared" si="2"/>
        <v>226</v>
      </c>
      <c r="B228" s="10" t="s">
        <v>362</v>
      </c>
      <c r="C228" s="15">
        <v>206500.0</v>
      </c>
      <c r="D228" s="15">
        <v>195200.0</v>
      </c>
      <c r="E228" s="15">
        <v>192970.0</v>
      </c>
      <c r="F228" s="15">
        <v>206190.0</v>
      </c>
      <c r="G228" s="15">
        <v>207460.0</v>
      </c>
      <c r="H228" s="15">
        <v>202510.0</v>
      </c>
      <c r="I228" s="15">
        <v>204170.0</v>
      </c>
      <c r="J228" s="15">
        <v>62850.0</v>
      </c>
      <c r="K228" s="15">
        <v>68320.0</v>
      </c>
      <c r="L228" s="15">
        <v>65260.0</v>
      </c>
      <c r="M228" s="15">
        <v>59600.0</v>
      </c>
      <c r="N228" s="15">
        <v>62200.0</v>
      </c>
      <c r="O228" s="15">
        <v>76270.0</v>
      </c>
      <c r="P228" s="15">
        <v>62570.0</v>
      </c>
      <c r="Q228" s="15">
        <v>60460.0</v>
      </c>
      <c r="R228" s="15">
        <v>59220.0</v>
      </c>
      <c r="S228" s="15">
        <v>57930.0</v>
      </c>
      <c r="T228" s="15"/>
      <c r="U228" s="15"/>
      <c r="V228" s="15"/>
      <c r="W228" s="15"/>
      <c r="X228" s="15"/>
      <c r="Y228" s="15">
        <v>-18120.0</v>
      </c>
      <c r="Z228" s="12"/>
      <c r="AA228" s="12"/>
      <c r="AB228" s="15"/>
      <c r="AC228" s="15"/>
      <c r="AD228" s="15">
        <v>-19620.0</v>
      </c>
      <c r="AE228" s="15">
        <v>5430.0</v>
      </c>
      <c r="AF228" s="15">
        <v>4040.0</v>
      </c>
      <c r="AG228" s="15">
        <v>-306.0</v>
      </c>
      <c r="AH228" s="15">
        <v>3720.0</v>
      </c>
      <c r="AI228" s="15">
        <v>-2570.0</v>
      </c>
      <c r="AJ228" s="15">
        <v>16360.0</v>
      </c>
      <c r="AK228" s="15">
        <v>15250.0</v>
      </c>
      <c r="AL228" s="15">
        <v>11240.0</v>
      </c>
      <c r="AM228" s="15">
        <v>13990.0</v>
      </c>
      <c r="AN228" s="15">
        <v>-12920.0</v>
      </c>
      <c r="AO228" s="15">
        <v>4140.0</v>
      </c>
      <c r="AP228" s="15">
        <v>9520.0</v>
      </c>
      <c r="AQ228" s="15">
        <v>-320.0</v>
      </c>
      <c r="AR228" s="15">
        <v>2220.0</v>
      </c>
      <c r="AS228" s="15">
        <v>27010.0</v>
      </c>
      <c r="AT228" s="15">
        <v>13240.0</v>
      </c>
      <c r="AU228" s="15">
        <v>16780.0</v>
      </c>
      <c r="AV228" s="15">
        <v>7440.0</v>
      </c>
      <c r="AW228" s="15">
        <v>11560.0</v>
      </c>
      <c r="AX228" s="15">
        <v>-14670.0</v>
      </c>
      <c r="AY228" s="15">
        <v>-50660.0</v>
      </c>
      <c r="AZ228" s="15">
        <v>-18340.0</v>
      </c>
      <c r="BA228" s="15">
        <v>-15720.0</v>
      </c>
      <c r="BB228" s="15">
        <v>-15650.0</v>
      </c>
      <c r="BC228" s="13"/>
      <c r="BD228" s="13"/>
      <c r="BE228" s="13"/>
      <c r="BF228" s="13"/>
      <c r="BG228" s="13"/>
      <c r="BH228" s="15">
        <v>469.0</v>
      </c>
      <c r="BI228" s="15">
        <v>1200.0</v>
      </c>
      <c r="BJ228" s="15">
        <v>579.0</v>
      </c>
      <c r="BK228" s="15">
        <v>442.0</v>
      </c>
      <c r="BL228" s="15">
        <v>911.0</v>
      </c>
      <c r="BM228" s="15">
        <v>17830.0</v>
      </c>
      <c r="BN228" s="15">
        <v>30540.0</v>
      </c>
      <c r="BO228" s="15">
        <v>28940.0</v>
      </c>
      <c r="BP228" s="15">
        <v>24080.0</v>
      </c>
      <c r="BQ228" s="15">
        <v>19010.0</v>
      </c>
      <c r="BR228" s="15">
        <v>19140.0</v>
      </c>
      <c r="BS228" s="15">
        <v>17220.0</v>
      </c>
      <c r="BT228" s="15">
        <v>13840.0</v>
      </c>
      <c r="BU228" s="15">
        <v>19090.0</v>
      </c>
      <c r="BV228" s="15">
        <v>18300.0</v>
      </c>
      <c r="BW228" s="15">
        <v>41060.0</v>
      </c>
      <c r="BX228" s="15">
        <v>51540.0</v>
      </c>
      <c r="BY228" s="15">
        <v>69490.0</v>
      </c>
      <c r="BZ228" s="15">
        <v>46040.0</v>
      </c>
      <c r="CA228" s="15">
        <v>42480.0</v>
      </c>
      <c r="CB228" s="15">
        <v>136850.0</v>
      </c>
      <c r="CC228" s="15">
        <v>113190.0</v>
      </c>
      <c r="CD228" s="15">
        <v>106280.0</v>
      </c>
      <c r="CE228" s="15">
        <v>121970.0</v>
      </c>
      <c r="CF228" s="15">
        <v>116870.0</v>
      </c>
      <c r="CG228" s="15">
        <v>21940.0</v>
      </c>
      <c r="CH228" s="15">
        <v>21990.0</v>
      </c>
      <c r="CI228" s="15">
        <v>12920.0</v>
      </c>
      <c r="CJ228" s="15">
        <v>12920.0</v>
      </c>
      <c r="CK228" s="15">
        <v>12920.0</v>
      </c>
      <c r="CL228" s="15">
        <v>264570.0</v>
      </c>
      <c r="CM228" s="15">
        <v>238550.0</v>
      </c>
      <c r="CN228" s="15">
        <v>209640.0</v>
      </c>
      <c r="CO228" s="15">
        <v>200410.0</v>
      </c>
      <c r="CP228" s="15">
        <v>190330.0</v>
      </c>
      <c r="CQ228" s="15">
        <v>15800.0</v>
      </c>
      <c r="CR228" s="15">
        <v>17550.0</v>
      </c>
      <c r="CS228" s="15">
        <v>14340.0</v>
      </c>
      <c r="CT228" s="15">
        <v>14980.0</v>
      </c>
      <c r="CU228" s="15">
        <v>14900.0</v>
      </c>
      <c r="CV228" s="15">
        <v>39410.0</v>
      </c>
      <c r="CW228" s="15">
        <v>883.0</v>
      </c>
      <c r="CX228" s="13"/>
      <c r="CY228" s="13"/>
      <c r="CZ228" s="15">
        <v>1100.0</v>
      </c>
      <c r="DA228" s="15">
        <v>2200.0</v>
      </c>
      <c r="DB228" s="15">
        <v>39410.0</v>
      </c>
      <c r="DC228" s="15">
        <v>37860.0</v>
      </c>
      <c r="DD228" s="15">
        <v>31480.0</v>
      </c>
      <c r="DE228" s="15">
        <v>32950.0</v>
      </c>
      <c r="DF228" s="15">
        <v>139260.0</v>
      </c>
      <c r="DG228" s="15">
        <v>102120.0</v>
      </c>
      <c r="DH228" s="15">
        <v>78850.0</v>
      </c>
      <c r="DI228" s="15">
        <v>80740.0</v>
      </c>
      <c r="DJ228" s="15">
        <v>71600.0</v>
      </c>
      <c r="DK228" s="12"/>
      <c r="DL228" s="12"/>
      <c r="DM228" s="15">
        <v>2030.0</v>
      </c>
      <c r="DN228" s="15"/>
      <c r="DO228" s="15"/>
      <c r="DP228" s="15">
        <v>56960.0</v>
      </c>
      <c r="DQ228" s="15">
        <v>46570.0</v>
      </c>
      <c r="DR228" s="15">
        <v>32600.0</v>
      </c>
      <c r="DS228" s="15">
        <v>27950.0</v>
      </c>
      <c r="DT228" s="15">
        <v>18990.0</v>
      </c>
      <c r="DU228" s="13"/>
      <c r="DV228" s="12"/>
      <c r="DW228" s="12"/>
      <c r="DX228" s="13"/>
      <c r="DY228" s="13"/>
      <c r="DZ228" s="15">
        <v>125310.0</v>
      </c>
      <c r="EA228" s="15">
        <v>136440.0</v>
      </c>
      <c r="EB228" s="15">
        <v>130790.0</v>
      </c>
      <c r="EC228" s="15">
        <v>119660.0</v>
      </c>
      <c r="ED228" s="15">
        <v>118740.0</v>
      </c>
      <c r="EE228" s="17">
        <v>0.328</v>
      </c>
      <c r="EF228" s="17">
        <v>0.341</v>
      </c>
      <c r="EG228" s="17">
        <v>1.75</v>
      </c>
      <c r="EH228" s="17">
        <v>-1.356</v>
      </c>
    </row>
    <row r="229">
      <c r="A229" s="9">
        <f t="shared" si="2"/>
        <v>227</v>
      </c>
      <c r="B229" s="10" t="s">
        <v>363</v>
      </c>
      <c r="C229" s="15">
        <v>7550000.0</v>
      </c>
      <c r="D229" s="15">
        <v>7190000.0</v>
      </c>
      <c r="E229" s="15">
        <v>3.345E7</v>
      </c>
      <c r="F229" s="15">
        <v>3.019E7</v>
      </c>
      <c r="G229" s="15">
        <v>2.831E7</v>
      </c>
      <c r="H229" s="15">
        <v>3.373E7</v>
      </c>
      <c r="I229" s="15">
        <v>3.22E7</v>
      </c>
      <c r="J229" s="15">
        <v>7410000.0</v>
      </c>
      <c r="K229" s="15">
        <v>4580000.0</v>
      </c>
      <c r="L229" s="15">
        <v>5480000.0</v>
      </c>
      <c r="M229" s="15">
        <v>7210000.0</v>
      </c>
      <c r="N229" s="15">
        <v>9530000.0</v>
      </c>
      <c r="O229" s="15">
        <v>5300000.0</v>
      </c>
      <c r="P229" s="15">
        <v>4900000.0</v>
      </c>
      <c r="Q229" s="15">
        <v>4590000.0</v>
      </c>
      <c r="R229" s="15">
        <v>5320000.0</v>
      </c>
      <c r="S229" s="15">
        <v>5350000.0</v>
      </c>
      <c r="T229" s="15">
        <v>67850.0</v>
      </c>
      <c r="U229" s="15">
        <v>53480.0</v>
      </c>
      <c r="V229" s="15">
        <v>51960.0</v>
      </c>
      <c r="W229" s="15">
        <v>200220.0</v>
      </c>
      <c r="X229" s="15">
        <v>227280.0</v>
      </c>
      <c r="Y229" s="15">
        <v>1560000.0</v>
      </c>
      <c r="Z229" s="15">
        <v>-671870.0</v>
      </c>
      <c r="AA229" s="15">
        <v>-157230.0</v>
      </c>
      <c r="AB229" s="15">
        <v>640370.0</v>
      </c>
      <c r="AC229" s="15">
        <v>4120000.0</v>
      </c>
      <c r="AD229" s="15">
        <v>1140000.0</v>
      </c>
      <c r="AE229" s="15">
        <v>-2450000.0</v>
      </c>
      <c r="AF229" s="15">
        <v>-1200000.0</v>
      </c>
      <c r="AG229" s="15">
        <v>-346780.0</v>
      </c>
      <c r="AH229" s="15">
        <v>2660000.0</v>
      </c>
      <c r="AI229" s="15">
        <v>4050000.0</v>
      </c>
      <c r="AJ229" s="15">
        <v>1320000.0</v>
      </c>
      <c r="AK229" s="15">
        <v>2190000.0</v>
      </c>
      <c r="AL229" s="15">
        <v>3310000.0</v>
      </c>
      <c r="AM229" s="15">
        <v>5470000.0</v>
      </c>
      <c r="AN229" s="15">
        <v>1260000.0</v>
      </c>
      <c r="AO229" s="15">
        <v>-2100000.0</v>
      </c>
      <c r="AP229" s="15">
        <v>-939580.0</v>
      </c>
      <c r="AQ229" s="15">
        <v>-372380.0</v>
      </c>
      <c r="AR229" s="15">
        <v>2930000.0</v>
      </c>
      <c r="AS229" s="15">
        <v>2520000.0</v>
      </c>
      <c r="AT229" s="15">
        <v>295690.0</v>
      </c>
      <c r="AU229" s="15">
        <v>649360.0</v>
      </c>
      <c r="AV229" s="15">
        <v>1710000.0</v>
      </c>
      <c r="AW229" s="15">
        <v>4260000.0</v>
      </c>
      <c r="AX229" s="15">
        <v>-1320000.0</v>
      </c>
      <c r="AY229" s="15">
        <v>-1440000.0</v>
      </c>
      <c r="AZ229" s="15">
        <v>-1410000.0</v>
      </c>
      <c r="BA229" s="15">
        <v>-2710000.0</v>
      </c>
      <c r="BB229" s="15">
        <v>-2090000.0</v>
      </c>
      <c r="BC229" s="13"/>
      <c r="BD229" s="13"/>
      <c r="BE229" s="13"/>
      <c r="BF229" s="15">
        <v>-1180000.0</v>
      </c>
      <c r="BG229" s="15">
        <v>-889110.0</v>
      </c>
      <c r="BH229" s="15">
        <v>4950000.0</v>
      </c>
      <c r="BI229" s="15">
        <v>5650000.0</v>
      </c>
      <c r="BJ229" s="15">
        <v>6370000.0</v>
      </c>
      <c r="BK229" s="15">
        <v>7400000.0</v>
      </c>
      <c r="BL229" s="15">
        <v>7570000.0</v>
      </c>
      <c r="BM229" s="15">
        <v>3720000.0</v>
      </c>
      <c r="BN229" s="15">
        <v>3790000.0</v>
      </c>
      <c r="BO229" s="15">
        <v>5300000.0</v>
      </c>
      <c r="BP229" s="15">
        <v>4520000.0</v>
      </c>
      <c r="BQ229" s="15">
        <v>5510000.0</v>
      </c>
      <c r="BR229" s="15">
        <v>5490000.0</v>
      </c>
      <c r="BS229" s="15">
        <v>5390000.0</v>
      </c>
      <c r="BT229" s="15">
        <v>6460000.0</v>
      </c>
      <c r="BU229" s="15">
        <v>6440000.0</v>
      </c>
      <c r="BV229" s="15">
        <v>5360000.0</v>
      </c>
      <c r="BW229" s="15">
        <v>1.505E7</v>
      </c>
      <c r="BX229" s="15">
        <v>1.903E7</v>
      </c>
      <c r="BY229" s="15">
        <v>1.919E7</v>
      </c>
      <c r="BZ229" s="15">
        <v>1.889E7</v>
      </c>
      <c r="CA229" s="15">
        <v>1.918E7</v>
      </c>
      <c r="CB229" s="15">
        <v>1.336E7</v>
      </c>
      <c r="CC229" s="15">
        <v>1.176E7</v>
      </c>
      <c r="CD229" s="15">
        <v>1.309E7</v>
      </c>
      <c r="CE229" s="15">
        <v>1.266E7</v>
      </c>
      <c r="CF229" s="15">
        <v>1.168E7</v>
      </c>
      <c r="CG229" s="15">
        <v>2710000.0</v>
      </c>
      <c r="CH229" s="15">
        <v>2690000.0</v>
      </c>
      <c r="CI229" s="15">
        <v>4190000.0</v>
      </c>
      <c r="CJ229" s="15">
        <v>4340000.0</v>
      </c>
      <c r="CK229" s="15">
        <v>2780000.0</v>
      </c>
      <c r="CL229" s="15">
        <v>4.349E7</v>
      </c>
      <c r="CM229" s="15">
        <v>4.435E7</v>
      </c>
      <c r="CN229" s="15">
        <v>4.701E7</v>
      </c>
      <c r="CO229" s="15">
        <v>4.477E7</v>
      </c>
      <c r="CP229" s="15">
        <v>4.202E7</v>
      </c>
      <c r="CQ229" s="15">
        <v>6630000.0</v>
      </c>
      <c r="CR229" s="15">
        <v>6440000.0</v>
      </c>
      <c r="CS229" s="15">
        <v>7160000.0</v>
      </c>
      <c r="CT229" s="15">
        <v>7180000.0</v>
      </c>
      <c r="CU229" s="15">
        <v>5920000.0</v>
      </c>
      <c r="CV229" s="15">
        <v>1.332E7</v>
      </c>
      <c r="CW229" s="15">
        <v>3130000.0</v>
      </c>
      <c r="CX229" s="15">
        <v>4550000.0</v>
      </c>
      <c r="CY229" s="15">
        <v>5030000.0</v>
      </c>
      <c r="CZ229" s="15">
        <v>3190000.0</v>
      </c>
      <c r="DA229" s="15">
        <v>2420000.0</v>
      </c>
      <c r="DB229" s="15">
        <v>1.332E7</v>
      </c>
      <c r="DC229" s="15">
        <v>1.449E7</v>
      </c>
      <c r="DD229" s="15">
        <v>1.487E7</v>
      </c>
      <c r="DE229" s="15">
        <v>1.264E7</v>
      </c>
      <c r="DF229" s="15">
        <v>3.534E7</v>
      </c>
      <c r="DG229" s="15">
        <v>3.682E7</v>
      </c>
      <c r="DH229" s="15">
        <v>3.529E7</v>
      </c>
      <c r="DI229" s="15">
        <v>3.255E7</v>
      </c>
      <c r="DJ229" s="15">
        <v>2.818E7</v>
      </c>
      <c r="DK229" s="15">
        <v>947970.0</v>
      </c>
      <c r="DL229" s="15">
        <v>1630000.0</v>
      </c>
      <c r="DM229" s="15">
        <v>1730000.0</v>
      </c>
      <c r="DN229" s="15">
        <v>1750000.0</v>
      </c>
      <c r="DO229" s="15">
        <v>1850000.0</v>
      </c>
      <c r="DP229" s="15">
        <v>1.754E7</v>
      </c>
      <c r="DQ229" s="15">
        <v>1.777E7</v>
      </c>
      <c r="DR229" s="15">
        <v>1.541E7</v>
      </c>
      <c r="DS229" s="15">
        <v>1.572E7</v>
      </c>
      <c r="DT229" s="15">
        <v>1.255E7</v>
      </c>
      <c r="DU229" s="13"/>
      <c r="DV229" s="12"/>
      <c r="DW229" s="12"/>
      <c r="DX229" s="12"/>
      <c r="DY229" s="12"/>
      <c r="DZ229" s="15">
        <v>7900000.0</v>
      </c>
      <c r="EA229" s="15">
        <v>6960000.0</v>
      </c>
      <c r="EB229" s="15">
        <v>1.12E7</v>
      </c>
      <c r="EC229" s="15">
        <v>1.184E7</v>
      </c>
      <c r="ED229" s="15">
        <v>1.352E7</v>
      </c>
      <c r="EE229" s="17">
        <v>0.154</v>
      </c>
      <c r="EF229" s="17">
        <v>0.18</v>
      </c>
      <c r="EG229" s="23" t="s">
        <v>155</v>
      </c>
      <c r="EH229" s="23"/>
    </row>
    <row r="230">
      <c r="A230" s="9">
        <f t="shared" si="2"/>
        <v>228</v>
      </c>
      <c r="B230" s="10" t="s">
        <v>364</v>
      </c>
      <c r="C230" s="15"/>
      <c r="D230" s="15"/>
      <c r="E230" s="15">
        <v>188790.0</v>
      </c>
      <c r="F230" s="15">
        <v>174260.0</v>
      </c>
      <c r="G230" s="15">
        <v>167220.0</v>
      </c>
      <c r="H230" s="15">
        <v>140060.0</v>
      </c>
      <c r="I230" s="15">
        <v>130450.0</v>
      </c>
      <c r="J230" s="15">
        <v>61660.0</v>
      </c>
      <c r="K230" s="15">
        <v>56510.0</v>
      </c>
      <c r="L230" s="15">
        <v>61590.0</v>
      </c>
      <c r="M230" s="15">
        <v>55210.0</v>
      </c>
      <c r="N230" s="15">
        <v>46870.0</v>
      </c>
      <c r="O230" s="15">
        <v>52840.0</v>
      </c>
      <c r="P230" s="15">
        <v>49930.0</v>
      </c>
      <c r="Q230" s="15">
        <v>48760.0</v>
      </c>
      <c r="R230" s="15">
        <v>44380.0</v>
      </c>
      <c r="S230" s="15">
        <v>38750.0</v>
      </c>
      <c r="T230" s="15"/>
      <c r="U230" s="15"/>
      <c r="V230" s="15"/>
      <c r="W230" s="15"/>
      <c r="X230" s="15"/>
      <c r="Y230" s="12"/>
      <c r="Z230" s="12"/>
      <c r="AA230" s="12"/>
      <c r="AB230" s="15"/>
      <c r="AC230" s="15"/>
      <c r="AD230" s="15">
        <v>8540.0</v>
      </c>
      <c r="AE230" s="15">
        <v>12810.0</v>
      </c>
      <c r="AF230" s="15">
        <v>12830.0</v>
      </c>
      <c r="AG230" s="15">
        <v>10840.0</v>
      </c>
      <c r="AH230" s="15">
        <v>8120.0</v>
      </c>
      <c r="AI230" s="15">
        <v>12980.0</v>
      </c>
      <c r="AJ230" s="15">
        <v>10520.0</v>
      </c>
      <c r="AK230" s="15">
        <v>16190.0</v>
      </c>
      <c r="AL230" s="15">
        <v>13880.0</v>
      </c>
      <c r="AM230" s="15">
        <v>11170.0</v>
      </c>
      <c r="AN230" s="15">
        <v>6480.0</v>
      </c>
      <c r="AO230" s="15">
        <v>6520.0</v>
      </c>
      <c r="AP230" s="15">
        <v>8830.0</v>
      </c>
      <c r="AQ230" s="15">
        <v>7770.0</v>
      </c>
      <c r="AR230" s="15">
        <v>15440.0</v>
      </c>
      <c r="AS230" s="15">
        <v>7250.0</v>
      </c>
      <c r="AT230" s="15">
        <v>8270.0</v>
      </c>
      <c r="AU230" s="15">
        <v>16770.0</v>
      </c>
      <c r="AV230" s="15">
        <v>4530.0</v>
      </c>
      <c r="AW230" s="15">
        <v>7460.0</v>
      </c>
      <c r="AX230" s="15">
        <v>-25740.0</v>
      </c>
      <c r="AY230" s="15">
        <v>-18150.0</v>
      </c>
      <c r="AZ230" s="15">
        <v>-11570.0</v>
      </c>
      <c r="BA230" s="15">
        <v>-3270.0</v>
      </c>
      <c r="BB230" s="15">
        <v>-1400.0</v>
      </c>
      <c r="BC230" s="13"/>
      <c r="BD230" s="13"/>
      <c r="BE230" s="13"/>
      <c r="BF230" s="13"/>
      <c r="BG230" s="13"/>
      <c r="BH230" s="15">
        <v>3480.0</v>
      </c>
      <c r="BI230" s="15">
        <v>8180.0</v>
      </c>
      <c r="BJ230" s="15">
        <v>12110.0</v>
      </c>
      <c r="BK230" s="15">
        <v>6990.0</v>
      </c>
      <c r="BL230" s="15">
        <v>5840.0</v>
      </c>
      <c r="BM230" s="15">
        <v>21880.0</v>
      </c>
      <c r="BN230" s="15">
        <v>20290.0</v>
      </c>
      <c r="BO230" s="15">
        <v>19150.0</v>
      </c>
      <c r="BP230" s="15">
        <v>16580.0</v>
      </c>
      <c r="BQ230" s="15">
        <v>14620.0</v>
      </c>
      <c r="BR230" s="15">
        <v>26370.0</v>
      </c>
      <c r="BS230" s="15">
        <v>23410.0</v>
      </c>
      <c r="BT230" s="15">
        <v>23020.0</v>
      </c>
      <c r="BU230" s="15">
        <v>24080.0</v>
      </c>
      <c r="BV230" s="15">
        <v>19980.0</v>
      </c>
      <c r="BW230" s="15">
        <v>52770.0</v>
      </c>
      <c r="BX230" s="15">
        <v>53220.0</v>
      </c>
      <c r="BY230" s="15">
        <v>55820.0</v>
      </c>
      <c r="BZ230" s="15">
        <v>48590.0</v>
      </c>
      <c r="CA230" s="15">
        <v>40760.0</v>
      </c>
      <c r="CB230" s="15">
        <v>54350.0</v>
      </c>
      <c r="CC230" s="15">
        <v>32640.0</v>
      </c>
      <c r="CD230" s="15">
        <v>18570.0</v>
      </c>
      <c r="CE230" s="15">
        <v>10360.0</v>
      </c>
      <c r="CF230" s="15">
        <v>10240.0</v>
      </c>
      <c r="CG230" s="15"/>
      <c r="CH230" s="15"/>
      <c r="CI230" s="15"/>
      <c r="CJ230" s="15"/>
      <c r="CK230" s="15"/>
      <c r="CL230" s="15">
        <v>123460.0</v>
      </c>
      <c r="CM230" s="15">
        <v>101490.0</v>
      </c>
      <c r="CN230" s="15">
        <v>97550.0</v>
      </c>
      <c r="CO230" s="15">
        <v>87250.0</v>
      </c>
      <c r="CP230" s="15">
        <v>75300.0</v>
      </c>
      <c r="CQ230" s="15">
        <v>7990.0</v>
      </c>
      <c r="CR230" s="15">
        <v>7660.0</v>
      </c>
      <c r="CS230" s="15">
        <v>5370.0</v>
      </c>
      <c r="CT230" s="15">
        <v>4090.0</v>
      </c>
      <c r="CU230" s="15">
        <v>6090.0</v>
      </c>
      <c r="CV230" s="15">
        <v>19940.0</v>
      </c>
      <c r="CW230" s="15"/>
      <c r="CX230" s="13"/>
      <c r="CY230" s="13"/>
      <c r="CZ230" s="13"/>
      <c r="DA230" s="12"/>
      <c r="DB230" s="15">
        <v>19940.0</v>
      </c>
      <c r="DC230" s="15">
        <v>18370.0</v>
      </c>
      <c r="DD230" s="15">
        <v>16240.0</v>
      </c>
      <c r="DE230" s="15">
        <v>12220.0</v>
      </c>
      <c r="DF230" s="15">
        <v>56970.0</v>
      </c>
      <c r="DG230" s="15">
        <v>35810.0</v>
      </c>
      <c r="DH230" s="15">
        <v>41510.0</v>
      </c>
      <c r="DI230" s="15">
        <v>48350.0</v>
      </c>
      <c r="DJ230" s="15">
        <v>39660.0</v>
      </c>
      <c r="DK230" s="15"/>
      <c r="DL230" s="15"/>
      <c r="DM230" s="15"/>
      <c r="DN230" s="15"/>
      <c r="DO230" s="15"/>
      <c r="DP230" s="15">
        <v>12160.0</v>
      </c>
      <c r="DQ230" s="15"/>
      <c r="DR230" s="15"/>
      <c r="DS230" s="12">
        <v>403.0</v>
      </c>
      <c r="DT230" s="12">
        <v>563.0</v>
      </c>
      <c r="DU230" s="13"/>
      <c r="DV230" s="12"/>
      <c r="DW230" s="12"/>
      <c r="DX230" s="13"/>
      <c r="DY230" s="13"/>
      <c r="DZ230" s="15">
        <v>66480.0</v>
      </c>
      <c r="EA230" s="15">
        <v>65680.0</v>
      </c>
      <c r="EB230" s="15">
        <v>56040.0</v>
      </c>
      <c r="EC230" s="15">
        <v>38910.0</v>
      </c>
      <c r="ED230" s="15">
        <v>35650.0</v>
      </c>
      <c r="EE230" s="17"/>
      <c r="EF230" s="17"/>
      <c r="EG230" s="23" t="s">
        <v>155</v>
      </c>
      <c r="EH230" s="17"/>
    </row>
    <row r="231">
      <c r="A231" s="9">
        <f t="shared" si="2"/>
        <v>229</v>
      </c>
      <c r="B231" s="22" t="s">
        <v>365</v>
      </c>
      <c r="C231" s="11">
        <v>2120000.0</v>
      </c>
      <c r="D231" s="11">
        <v>1920000.0</v>
      </c>
      <c r="E231" s="11">
        <v>2070000.0</v>
      </c>
      <c r="F231" s="11">
        <v>1900000.0</v>
      </c>
      <c r="G231" s="11">
        <v>1770000.0</v>
      </c>
      <c r="H231" s="11">
        <v>1610000.0</v>
      </c>
      <c r="I231" s="11">
        <v>1620000.0</v>
      </c>
      <c r="J231" s="11">
        <v>1000000.0</v>
      </c>
      <c r="K231" s="11">
        <v>903200.0</v>
      </c>
      <c r="L231" s="11">
        <v>821600.0</v>
      </c>
      <c r="M231" s="11">
        <v>753500.0</v>
      </c>
      <c r="N231" s="11">
        <v>729800.0</v>
      </c>
      <c r="O231" s="11">
        <v>687900.0</v>
      </c>
      <c r="P231" s="11">
        <v>618100.0</v>
      </c>
      <c r="Q231" s="11">
        <v>576800.0</v>
      </c>
      <c r="R231" s="11">
        <v>539500.0</v>
      </c>
      <c r="S231" s="11">
        <v>537900.0</v>
      </c>
      <c r="T231" s="11">
        <v>187700.0</v>
      </c>
      <c r="U231" s="11">
        <v>173400.0</v>
      </c>
      <c r="V231" s="11">
        <v>161600.0</v>
      </c>
      <c r="W231" s="11">
        <v>149000.0</v>
      </c>
      <c r="X231" s="11">
        <v>145700.0</v>
      </c>
      <c r="Y231" s="11">
        <v>305300.0</v>
      </c>
      <c r="Z231" s="11">
        <v>255600.0</v>
      </c>
      <c r="AA231" s="11">
        <v>-20400.0</v>
      </c>
      <c r="AB231" s="11">
        <v>-32600.0</v>
      </c>
      <c r="AC231" s="11">
        <v>-42800.0</v>
      </c>
      <c r="AD231" s="11">
        <v>280400.0</v>
      </c>
      <c r="AE231" s="11">
        <v>244700.0</v>
      </c>
      <c r="AF231" s="11">
        <v>197800.0</v>
      </c>
      <c r="AG231" s="11">
        <v>177600.0</v>
      </c>
      <c r="AH231" s="11">
        <v>128000.0</v>
      </c>
      <c r="AI231" s="11">
        <v>389500.0</v>
      </c>
      <c r="AJ231" s="11">
        <v>345200.0</v>
      </c>
      <c r="AK231" s="11">
        <v>304500.0</v>
      </c>
      <c r="AL231" s="11">
        <v>268300.0</v>
      </c>
      <c r="AM231" s="11">
        <v>245200.0</v>
      </c>
      <c r="AN231" s="11">
        <v>197200.0</v>
      </c>
      <c r="AO231" s="11">
        <v>179700.0</v>
      </c>
      <c r="AP231" s="11">
        <v>78600.0</v>
      </c>
      <c r="AQ231" s="11">
        <v>153600.0</v>
      </c>
      <c r="AR231" s="11">
        <v>101600.0</v>
      </c>
      <c r="AS231" s="11">
        <v>213400.0</v>
      </c>
      <c r="AT231" s="11">
        <v>239700.0</v>
      </c>
      <c r="AU231" s="11">
        <v>154400.0</v>
      </c>
      <c r="AV231" s="11">
        <v>130800.0</v>
      </c>
      <c r="AW231" s="11">
        <v>229200.0</v>
      </c>
      <c r="AX231" s="11">
        <v>-73000.0</v>
      </c>
      <c r="AY231" s="11">
        <v>-49200.0</v>
      </c>
      <c r="AZ231" s="11">
        <v>-43700.0</v>
      </c>
      <c r="BA231" s="11">
        <v>-37100.0</v>
      </c>
      <c r="BB231" s="11">
        <v>-34200.0</v>
      </c>
      <c r="BC231" s="11">
        <v>-25000.0</v>
      </c>
      <c r="BD231" s="11">
        <v>-25100.0</v>
      </c>
      <c r="BE231" s="11">
        <v>-25400.0</v>
      </c>
      <c r="BF231" s="11">
        <v>-25800.0</v>
      </c>
      <c r="BG231" s="12"/>
      <c r="BH231" s="11">
        <v>684900.0</v>
      </c>
      <c r="BI231" s="11">
        <v>322400.0</v>
      </c>
      <c r="BJ231" s="11">
        <v>439200.0</v>
      </c>
      <c r="BK231" s="11">
        <v>500300.0</v>
      </c>
      <c r="BL231" s="11">
        <v>468300.0</v>
      </c>
      <c r="BM231" s="11">
        <v>406100.0</v>
      </c>
      <c r="BN231" s="11">
        <v>383100.0</v>
      </c>
      <c r="BO231" s="11">
        <v>319300.0</v>
      </c>
      <c r="BP231" s="11">
        <v>243900.0</v>
      </c>
      <c r="BQ231" s="11">
        <v>234700.0</v>
      </c>
      <c r="BR231" s="11">
        <v>577200.0</v>
      </c>
      <c r="BS231" s="11">
        <v>509600.0</v>
      </c>
      <c r="BT231" s="11">
        <v>486200.0</v>
      </c>
      <c r="BU231" s="11">
        <v>440400.0</v>
      </c>
      <c r="BV231" s="11">
        <v>422000.0</v>
      </c>
      <c r="BW231" s="11">
        <v>1800000.0</v>
      </c>
      <c r="BX231" s="11">
        <v>1300000.0</v>
      </c>
      <c r="BY231" s="11">
        <v>1360000.0</v>
      </c>
      <c r="BZ231" s="11">
        <v>1280000.0</v>
      </c>
      <c r="CA231" s="11">
        <v>1230000.0</v>
      </c>
      <c r="CB231" s="11">
        <v>371700.0</v>
      </c>
      <c r="CC231" s="11">
        <v>270600.0</v>
      </c>
      <c r="CD231" s="11">
        <v>266500.0</v>
      </c>
      <c r="CE231" s="11">
        <v>239100.0</v>
      </c>
      <c r="CF231" s="11">
        <v>231100.0</v>
      </c>
      <c r="CG231" s="11">
        <v>293000.0</v>
      </c>
      <c r="CH231" s="11">
        <v>275700.0</v>
      </c>
      <c r="CI231" s="11">
        <v>169800.0</v>
      </c>
      <c r="CJ231" s="11">
        <v>130600.0</v>
      </c>
      <c r="CK231" s="11">
        <v>130600.0</v>
      </c>
      <c r="CL231" s="11">
        <v>2770000.0</v>
      </c>
      <c r="CM231" s="11">
        <v>2130000.0</v>
      </c>
      <c r="CN231" s="11">
        <v>1950000.0</v>
      </c>
      <c r="CO231" s="11">
        <v>1810000.0</v>
      </c>
      <c r="CP231" s="11">
        <v>1730000.0</v>
      </c>
      <c r="CQ231" s="11">
        <v>118400.0</v>
      </c>
      <c r="CR231" s="11">
        <v>104500.0</v>
      </c>
      <c r="CS231" s="11">
        <v>90800.0</v>
      </c>
      <c r="CT231" s="11">
        <v>86100.0</v>
      </c>
      <c r="CU231" s="11">
        <v>72100.0</v>
      </c>
      <c r="CV231" s="11">
        <v>645600.0</v>
      </c>
      <c r="CW231" s="11">
        <v>20600.0</v>
      </c>
      <c r="CX231" s="12"/>
      <c r="CY231" s="12"/>
      <c r="CZ231" s="12"/>
      <c r="DA231" s="12"/>
      <c r="DB231" s="11">
        <v>645600.0</v>
      </c>
      <c r="DC231" s="11">
        <v>599300.0</v>
      </c>
      <c r="DD231" s="11">
        <v>524500.0</v>
      </c>
      <c r="DE231" s="11">
        <v>524700.0</v>
      </c>
      <c r="DF231" s="11">
        <v>1830000.0</v>
      </c>
      <c r="DG231" s="11">
        <v>1200000.0</v>
      </c>
      <c r="DH231" s="11">
        <v>1220000.0</v>
      </c>
      <c r="DI231" s="11">
        <v>1120000.0</v>
      </c>
      <c r="DJ231" s="11">
        <v>997100.0</v>
      </c>
      <c r="DK231" s="12"/>
      <c r="DL231" s="11">
        <v>200.0</v>
      </c>
      <c r="DM231" s="12"/>
      <c r="DN231" s="11">
        <v>1300.0</v>
      </c>
      <c r="DO231" s="12"/>
      <c r="DP231" s="11">
        <v>859800.0</v>
      </c>
      <c r="DQ231" s="11">
        <v>322600.0</v>
      </c>
      <c r="DR231" s="11">
        <v>415600.0</v>
      </c>
      <c r="DS231" s="11">
        <v>391600.0</v>
      </c>
      <c r="DT231" s="11">
        <v>265200.0</v>
      </c>
      <c r="DU231" s="13"/>
      <c r="DV231" s="12"/>
      <c r="DW231" s="12"/>
      <c r="DX231" s="13"/>
      <c r="DY231" s="13"/>
      <c r="DZ231" s="11">
        <v>906800.0</v>
      </c>
      <c r="EA231" s="11">
        <v>896600.0</v>
      </c>
      <c r="EB231" s="11">
        <v>725400.0</v>
      </c>
      <c r="EC231" s="11">
        <v>686400.0</v>
      </c>
      <c r="ED231" s="11">
        <v>726100.0</v>
      </c>
      <c r="EE231" s="14">
        <v>0.026</v>
      </c>
      <c r="EF231" s="14">
        <v>0.075</v>
      </c>
      <c r="EG231" s="14">
        <v>2.5</v>
      </c>
      <c r="EH231" s="14">
        <v>0.535</v>
      </c>
    </row>
    <row r="232">
      <c r="A232" s="9">
        <f t="shared" si="2"/>
        <v>230</v>
      </c>
      <c r="B232" s="10" t="s">
        <v>366</v>
      </c>
      <c r="C232" s="15">
        <v>916550.0</v>
      </c>
      <c r="D232" s="15">
        <v>846940.0</v>
      </c>
      <c r="E232" s="15">
        <v>780850.0</v>
      </c>
      <c r="F232" s="15">
        <v>631560.0</v>
      </c>
      <c r="G232" s="15">
        <v>527500.0</v>
      </c>
      <c r="H232" s="15">
        <v>560320.0</v>
      </c>
      <c r="I232" s="15">
        <v>552710.0</v>
      </c>
      <c r="J232" s="15">
        <v>292020.0</v>
      </c>
      <c r="K232" s="15">
        <v>226740.0</v>
      </c>
      <c r="L232" s="15">
        <v>185660.0</v>
      </c>
      <c r="M232" s="15">
        <v>187280.0</v>
      </c>
      <c r="N232" s="15">
        <v>181410.0</v>
      </c>
      <c r="O232" s="15">
        <v>236890.0</v>
      </c>
      <c r="P232" s="15">
        <v>192320.0</v>
      </c>
      <c r="Q232" s="15">
        <v>0.0</v>
      </c>
      <c r="R232" s="15">
        <v>167800.0</v>
      </c>
      <c r="S232" s="15">
        <v>159100.0</v>
      </c>
      <c r="T232" s="15">
        <v>56370.0</v>
      </c>
      <c r="U232" s="15">
        <v>46940.0</v>
      </c>
      <c r="V232" s="15">
        <v>39880.0</v>
      </c>
      <c r="W232" s="15">
        <v>51540.0</v>
      </c>
      <c r="X232" s="15">
        <v>52230.0</v>
      </c>
      <c r="Y232" s="15">
        <v>31700.0</v>
      </c>
      <c r="Z232" s="15">
        <v>31410.0</v>
      </c>
      <c r="AA232" s="15">
        <v>0.0</v>
      </c>
      <c r="AB232" s="15">
        <v>4640.0</v>
      </c>
      <c r="AC232" s="15">
        <v>17280.0</v>
      </c>
      <c r="AD232" s="15">
        <v>9440.0</v>
      </c>
      <c r="AE232" s="15">
        <v>20470.0</v>
      </c>
      <c r="AF232" s="15">
        <v>14520.0</v>
      </c>
      <c r="AG232" s="15">
        <v>3950.0</v>
      </c>
      <c r="AH232" s="15">
        <v>17820.0</v>
      </c>
      <c r="AI232" s="15">
        <v>109580.0</v>
      </c>
      <c r="AJ232" s="15">
        <v>71120.0</v>
      </c>
      <c r="AK232" s="15">
        <v>0.0</v>
      </c>
      <c r="AL232" s="15">
        <v>47520.0</v>
      </c>
      <c r="AM232" s="15">
        <v>47460.0</v>
      </c>
      <c r="AN232" s="15">
        <v>9550.0</v>
      </c>
      <c r="AO232" s="15">
        <v>67830.0</v>
      </c>
      <c r="AP232" s="15">
        <v>0.0</v>
      </c>
      <c r="AQ232" s="15">
        <v>-69480.0</v>
      </c>
      <c r="AR232" s="15">
        <v>14220.0</v>
      </c>
      <c r="AS232" s="15">
        <v>90900.0</v>
      </c>
      <c r="AT232" s="15">
        <v>73960.0</v>
      </c>
      <c r="AU232" s="15">
        <v>0.0</v>
      </c>
      <c r="AV232" s="15">
        <v>39550.0</v>
      </c>
      <c r="AW232" s="15">
        <v>43730.0</v>
      </c>
      <c r="AX232" s="15">
        <v>-23860.0</v>
      </c>
      <c r="AY232" s="15">
        <v>-12790.0</v>
      </c>
      <c r="AZ232" s="15">
        <v>0.0</v>
      </c>
      <c r="BA232" s="15">
        <v>-12850.0</v>
      </c>
      <c r="BB232" s="15">
        <v>-16150.0</v>
      </c>
      <c r="BC232" s="15">
        <v>-28900.0</v>
      </c>
      <c r="BD232" s="15">
        <v>-28290.0</v>
      </c>
      <c r="BE232" s="15">
        <v>-27930.0</v>
      </c>
      <c r="BF232" s="15">
        <v>-27500.0</v>
      </c>
      <c r="BG232" s="15">
        <v>-26990.0</v>
      </c>
      <c r="BH232" s="15">
        <v>339300.0</v>
      </c>
      <c r="BI232" s="15">
        <v>243990.0</v>
      </c>
      <c r="BJ232" s="15">
        <v>101650.0</v>
      </c>
      <c r="BK232" s="15">
        <v>85130.0</v>
      </c>
      <c r="BL232" s="15">
        <v>150740.0</v>
      </c>
      <c r="BM232" s="15">
        <v>179600.0</v>
      </c>
      <c r="BN232" s="15">
        <v>125190.0</v>
      </c>
      <c r="BO232" s="15">
        <v>93470.0</v>
      </c>
      <c r="BP232" s="15">
        <v>106370.0</v>
      </c>
      <c r="BQ232" s="15">
        <v>86450.0</v>
      </c>
      <c r="BR232" s="15">
        <v>99450.0</v>
      </c>
      <c r="BS232" s="15">
        <v>96990.0</v>
      </c>
      <c r="BT232" s="15">
        <v>73400.0</v>
      </c>
      <c r="BU232" s="15">
        <v>92570.0</v>
      </c>
      <c r="BV232" s="15">
        <v>100620.0</v>
      </c>
      <c r="BW232" s="15">
        <v>647150.0</v>
      </c>
      <c r="BX232" s="15">
        <v>564060.0</v>
      </c>
      <c r="BY232" s="15">
        <v>351780.0</v>
      </c>
      <c r="BZ232" s="15">
        <v>299330.0</v>
      </c>
      <c r="CA232" s="15">
        <v>373480.0</v>
      </c>
      <c r="CB232" s="15">
        <v>100670.0</v>
      </c>
      <c r="CC232" s="15">
        <v>59990.0</v>
      </c>
      <c r="CD232" s="15">
        <v>56980.0</v>
      </c>
      <c r="CE232" s="15">
        <v>54890.0</v>
      </c>
      <c r="CF232" s="15">
        <v>41860.0</v>
      </c>
      <c r="CG232" s="15">
        <v>488600.0</v>
      </c>
      <c r="CH232" s="15">
        <v>255880.0</v>
      </c>
      <c r="CI232" s="15">
        <v>207150.0</v>
      </c>
      <c r="CJ232" s="15">
        <v>202140.0</v>
      </c>
      <c r="CK232" s="15">
        <v>121410.0</v>
      </c>
      <c r="CL232" s="15">
        <v>1520000.0</v>
      </c>
      <c r="CM232" s="15">
        <v>1100000.0</v>
      </c>
      <c r="CN232" s="15">
        <v>766630.0</v>
      </c>
      <c r="CO232" s="15">
        <v>685910.0</v>
      </c>
      <c r="CP232" s="15">
        <v>759650.0</v>
      </c>
      <c r="CQ232" s="15">
        <v>58920.0</v>
      </c>
      <c r="CR232" s="15">
        <v>55870.0</v>
      </c>
      <c r="CS232" s="15">
        <v>49100.0</v>
      </c>
      <c r="CT232" s="15">
        <v>41130.0</v>
      </c>
      <c r="CU232" s="15">
        <v>44890.0</v>
      </c>
      <c r="CV232" s="15">
        <v>272270.0</v>
      </c>
      <c r="CW232" s="15">
        <v>0.0</v>
      </c>
      <c r="CX232" s="15">
        <v>0.0</v>
      </c>
      <c r="CY232" s="16">
        <v>0.0</v>
      </c>
      <c r="CZ232" s="16">
        <v>0.0</v>
      </c>
      <c r="DA232" s="15">
        <v>0.0</v>
      </c>
      <c r="DB232" s="15">
        <v>272270.0</v>
      </c>
      <c r="DC232" s="15">
        <v>164620.0</v>
      </c>
      <c r="DD232" s="15">
        <v>146780.0</v>
      </c>
      <c r="DE232" s="15">
        <v>119790.0</v>
      </c>
      <c r="DF232" s="15">
        <v>377050.0</v>
      </c>
      <c r="DG232" s="15">
        <v>377430.0</v>
      </c>
      <c r="DH232" s="15">
        <v>0.0</v>
      </c>
      <c r="DI232" s="15">
        <v>132220.0</v>
      </c>
      <c r="DJ232" s="15">
        <v>127610.0</v>
      </c>
      <c r="DK232" s="15">
        <v>2850.0</v>
      </c>
      <c r="DL232" s="15">
        <v>7240.0</v>
      </c>
      <c r="DM232" s="15">
        <v>0.0</v>
      </c>
      <c r="DN232" s="15">
        <v>33370.0</v>
      </c>
      <c r="DO232" s="15">
        <v>87600.0</v>
      </c>
      <c r="DP232" s="15">
        <v>52980.0</v>
      </c>
      <c r="DQ232" s="15">
        <v>194070.0</v>
      </c>
      <c r="DR232" s="15">
        <v>0.0</v>
      </c>
      <c r="DS232" s="15">
        <v>0.0</v>
      </c>
      <c r="DT232" s="15">
        <v>0.0</v>
      </c>
      <c r="DU232" s="16">
        <v>0.0</v>
      </c>
      <c r="DV232" s="15">
        <v>0.0</v>
      </c>
      <c r="DW232" s="15">
        <v>0.0</v>
      </c>
      <c r="DX232" s="15">
        <v>0.0</v>
      </c>
      <c r="DY232" s="15">
        <v>0.0</v>
      </c>
      <c r="DZ232" s="15">
        <v>1140000.0</v>
      </c>
      <c r="EA232" s="15">
        <v>717830.0</v>
      </c>
      <c r="EB232" s="15">
        <v>607640.0</v>
      </c>
      <c r="EC232" s="15">
        <v>553690.0</v>
      </c>
      <c r="ED232" s="15">
        <v>632050.0</v>
      </c>
      <c r="EE232" s="17">
        <v>0.034</v>
      </c>
      <c r="EF232" s="17">
        <v>0.169</v>
      </c>
      <c r="EG232" s="17">
        <v>0.042</v>
      </c>
      <c r="EH232" s="17">
        <v>0.084</v>
      </c>
    </row>
    <row r="233">
      <c r="A233" s="9">
        <f t="shared" si="2"/>
        <v>231</v>
      </c>
      <c r="B233" s="10" t="s">
        <v>367</v>
      </c>
      <c r="C233" s="11">
        <v>396530.0</v>
      </c>
      <c r="D233" s="11">
        <v>349120.0</v>
      </c>
      <c r="E233" s="11">
        <v>452090.0</v>
      </c>
      <c r="F233" s="11">
        <v>456860.0</v>
      </c>
      <c r="G233" s="11">
        <v>452500.0</v>
      </c>
      <c r="H233" s="11">
        <v>432040.0</v>
      </c>
      <c r="I233" s="11">
        <v>430930.0</v>
      </c>
      <c r="J233" s="11">
        <v>261780.0</v>
      </c>
      <c r="K233" s="11">
        <v>266210.0</v>
      </c>
      <c r="L233" s="11">
        <v>264110.0</v>
      </c>
      <c r="M233" s="11">
        <v>252400.0</v>
      </c>
      <c r="N233" s="11">
        <v>241560.0</v>
      </c>
      <c r="O233" s="11">
        <v>251750.0</v>
      </c>
      <c r="P233" s="11">
        <v>247400.0</v>
      </c>
      <c r="Q233" s="11">
        <v>233290.0</v>
      </c>
      <c r="R233" s="11">
        <v>224360.0</v>
      </c>
      <c r="S233" s="11">
        <v>214570.0</v>
      </c>
      <c r="T233" s="11"/>
      <c r="U233" s="11"/>
      <c r="V233" s="11"/>
      <c r="W233" s="11"/>
      <c r="X233" s="11"/>
      <c r="Y233" s="11">
        <v>428.0</v>
      </c>
      <c r="Z233" s="11">
        <v>15900.0</v>
      </c>
      <c r="AA233" s="11">
        <v>27000.0</v>
      </c>
      <c r="AB233" s="11">
        <v>28280.0</v>
      </c>
      <c r="AC233" s="11">
        <v>32840.0</v>
      </c>
      <c r="AD233" s="11">
        <v>-1740.0</v>
      </c>
      <c r="AE233" s="11">
        <v>12210.0</v>
      </c>
      <c r="AF233" s="11">
        <v>27880.0</v>
      </c>
      <c r="AG233" s="11">
        <v>25780.0</v>
      </c>
      <c r="AH233" s="11">
        <v>31870.0</v>
      </c>
      <c r="AI233" s="11">
        <v>22490.0</v>
      </c>
      <c r="AJ233" s="11">
        <v>31140.0</v>
      </c>
      <c r="AK233" s="11">
        <v>42620.0</v>
      </c>
      <c r="AL233" s="11">
        <v>40910.0</v>
      </c>
      <c r="AM233" s="11">
        <v>37670.0</v>
      </c>
      <c r="AN233" s="11">
        <v>-1930.0</v>
      </c>
      <c r="AO233" s="11">
        <v>8220.0</v>
      </c>
      <c r="AP233" s="11">
        <v>18260.0</v>
      </c>
      <c r="AQ233" s="11">
        <v>15830.0</v>
      </c>
      <c r="AR233" s="11">
        <v>20430.0</v>
      </c>
      <c r="AS233" s="11">
        <v>9810.0</v>
      </c>
      <c r="AT233" s="11">
        <v>28700.0</v>
      </c>
      <c r="AU233" s="11">
        <v>36380.0</v>
      </c>
      <c r="AV233" s="11">
        <v>39060.0</v>
      </c>
      <c r="AW233" s="11">
        <v>32400.0</v>
      </c>
      <c r="AX233" s="11">
        <v>-17380.0</v>
      </c>
      <c r="AY233" s="11">
        <v>-18300.0</v>
      </c>
      <c r="AZ233" s="11">
        <v>-15500.0</v>
      </c>
      <c r="BA233" s="11">
        <v>-21500.0</v>
      </c>
      <c r="BB233" s="11">
        <v>-13970.0</v>
      </c>
      <c r="BC233" s="11">
        <v>-5130.0</v>
      </c>
      <c r="BD233" s="11">
        <v>-8800.0</v>
      </c>
      <c r="BE233" s="11">
        <v>-7730.0</v>
      </c>
      <c r="BF233" s="11">
        <v>-6310.0</v>
      </c>
      <c r="BG233" s="11">
        <v>-5790.0</v>
      </c>
      <c r="BH233" s="11">
        <v>37120.0</v>
      </c>
      <c r="BI233" s="11">
        <v>56110.0</v>
      </c>
      <c r="BJ233" s="11">
        <v>77070.0</v>
      </c>
      <c r="BK233" s="11">
        <v>58270.0</v>
      </c>
      <c r="BL233" s="11">
        <v>59390.0</v>
      </c>
      <c r="BM233" s="11">
        <v>21380.0</v>
      </c>
      <c r="BN233" s="11">
        <v>19060.0</v>
      </c>
      <c r="BO233" s="11">
        <v>19640.0</v>
      </c>
      <c r="BP233" s="11">
        <v>18360.0</v>
      </c>
      <c r="BQ233" s="11">
        <v>21200.0</v>
      </c>
      <c r="BR233" s="11">
        <v>66300.0</v>
      </c>
      <c r="BS233" s="11">
        <v>64190.0</v>
      </c>
      <c r="BT233" s="11">
        <v>54480.0</v>
      </c>
      <c r="BU233" s="11">
        <v>53220.0</v>
      </c>
      <c r="BV233" s="11">
        <v>59900.0</v>
      </c>
      <c r="BW233" s="11">
        <v>136790.0</v>
      </c>
      <c r="BX233" s="11">
        <v>148550.0</v>
      </c>
      <c r="BY233" s="11">
        <v>159380.0</v>
      </c>
      <c r="BZ233" s="11">
        <v>140570.0</v>
      </c>
      <c r="CA233" s="11">
        <v>147280.0</v>
      </c>
      <c r="CB233" s="11">
        <v>101720.0</v>
      </c>
      <c r="CC233" s="11">
        <v>104860.0</v>
      </c>
      <c r="CD233" s="11">
        <v>103240.0</v>
      </c>
      <c r="CE233" s="11">
        <v>104660.0</v>
      </c>
      <c r="CF233" s="11">
        <v>96100.0</v>
      </c>
      <c r="CG233" s="11">
        <v>14120.0</v>
      </c>
      <c r="CH233" s="11">
        <v>16040.0</v>
      </c>
      <c r="CI233" s="11">
        <v>11900.0</v>
      </c>
      <c r="CJ233" s="11">
        <v>11590.0</v>
      </c>
      <c r="CK233" s="11">
        <v>11590.0</v>
      </c>
      <c r="CL233" s="11">
        <v>281860.0</v>
      </c>
      <c r="CM233" s="11">
        <v>298770.0</v>
      </c>
      <c r="CN233" s="11">
        <v>300740.0</v>
      </c>
      <c r="CO233" s="11">
        <v>284880.0</v>
      </c>
      <c r="CP233" s="11">
        <v>286910.0</v>
      </c>
      <c r="CQ233" s="11">
        <v>23680.0</v>
      </c>
      <c r="CR233" s="11">
        <v>27410.0</v>
      </c>
      <c r="CS233" s="11">
        <v>21760.0</v>
      </c>
      <c r="CT233" s="11">
        <v>21280.0</v>
      </c>
      <c r="CU233" s="11">
        <v>20920.0</v>
      </c>
      <c r="CV233" s="11">
        <v>72270.0</v>
      </c>
      <c r="CW233" s="11"/>
      <c r="CX233" s="11">
        <v>292.0</v>
      </c>
      <c r="CY233" s="11">
        <v>3410.0</v>
      </c>
      <c r="CZ233" s="13"/>
      <c r="DA233" s="12"/>
      <c r="DB233" s="11">
        <v>72270.0</v>
      </c>
      <c r="DC233" s="11">
        <v>81820.0</v>
      </c>
      <c r="DD233" s="11">
        <v>83360.0</v>
      </c>
      <c r="DE233" s="11">
        <v>77010.0</v>
      </c>
      <c r="DF233" s="11">
        <v>103190.0</v>
      </c>
      <c r="DG233" s="11">
        <v>108460.0</v>
      </c>
      <c r="DH233" s="11">
        <v>109280.0</v>
      </c>
      <c r="DI233" s="11">
        <v>104170.0</v>
      </c>
      <c r="DJ233" s="11">
        <v>109540.0</v>
      </c>
      <c r="DK233" s="12"/>
      <c r="DL233" s="11">
        <v>1660.0</v>
      </c>
      <c r="DM233" s="11">
        <v>1760.0</v>
      </c>
      <c r="DN233" s="11">
        <v>2860.0</v>
      </c>
      <c r="DO233" s="11">
        <v>3010.0</v>
      </c>
      <c r="DP233" s="11"/>
      <c r="DQ233" s="11"/>
      <c r="DR233" s="11">
        <v>329.0</v>
      </c>
      <c r="DS233" s="11">
        <v>3820.0</v>
      </c>
      <c r="DT233" s="11">
        <v>8500.0</v>
      </c>
      <c r="DU233" s="13"/>
      <c r="DV233" s="12"/>
      <c r="DW233" s="12"/>
      <c r="DX233" s="12"/>
      <c r="DY233" s="12"/>
      <c r="DZ233" s="11">
        <v>178670.0</v>
      </c>
      <c r="EA233" s="11">
        <v>190310.0</v>
      </c>
      <c r="EB233" s="11">
        <v>191460.0</v>
      </c>
      <c r="EC233" s="11">
        <v>180710.0</v>
      </c>
      <c r="ED233" s="11">
        <v>177370.0</v>
      </c>
      <c r="EE233" s="14">
        <v>0.0</v>
      </c>
      <c r="EF233" s="14">
        <v>0.0</v>
      </c>
      <c r="EG233" s="14">
        <v>-2.517</v>
      </c>
      <c r="EH233" s="14">
        <v>0.522</v>
      </c>
    </row>
    <row r="234">
      <c r="A234" s="9">
        <f t="shared" si="2"/>
        <v>232</v>
      </c>
      <c r="B234" s="22" t="s">
        <v>368</v>
      </c>
      <c r="C234" s="11">
        <v>90990.0</v>
      </c>
      <c r="D234" s="11">
        <v>1340.0</v>
      </c>
      <c r="E234" s="12"/>
      <c r="F234" s="12"/>
      <c r="G234" s="12"/>
      <c r="H234" s="12"/>
      <c r="I234" s="12"/>
      <c r="J234" s="11">
        <v>-54.0</v>
      </c>
      <c r="K234" s="11">
        <v>-12.0</v>
      </c>
      <c r="L234" s="11">
        <v>-12.0</v>
      </c>
      <c r="M234" s="11">
        <v>-10.0</v>
      </c>
      <c r="N234" s="11">
        <v>-10.0</v>
      </c>
      <c r="O234" s="11">
        <v>31210.0</v>
      </c>
      <c r="P234" s="11">
        <v>17250.0</v>
      </c>
      <c r="Q234" s="11">
        <v>12890.0</v>
      </c>
      <c r="R234" s="11">
        <v>11150.0</v>
      </c>
      <c r="S234" s="11">
        <v>12030.0</v>
      </c>
      <c r="T234" s="11">
        <v>6400.0</v>
      </c>
      <c r="U234" s="11">
        <v>4370.0</v>
      </c>
      <c r="V234" s="11">
        <v>4760.0</v>
      </c>
      <c r="W234" s="11">
        <v>2650.0</v>
      </c>
      <c r="X234" s="11">
        <v>1240.0</v>
      </c>
      <c r="Y234" s="11">
        <v>-34600.0</v>
      </c>
      <c r="Z234" s="12"/>
      <c r="AA234" s="11">
        <v>-12700.0</v>
      </c>
      <c r="AB234" s="11">
        <v>-11590.0</v>
      </c>
      <c r="AC234" s="11">
        <v>-8930.0</v>
      </c>
      <c r="AD234" s="11">
        <v>-34470.0</v>
      </c>
      <c r="AE234" s="11">
        <v>-17250.0</v>
      </c>
      <c r="AF234" s="11">
        <v>-12700.0</v>
      </c>
      <c r="AG234" s="11">
        <v>-11590.0</v>
      </c>
      <c r="AH234" s="11">
        <v>-9460.0</v>
      </c>
      <c r="AI234" s="11">
        <v>-31210.0</v>
      </c>
      <c r="AJ234" s="11">
        <v>-17250.0</v>
      </c>
      <c r="AK234" s="11">
        <v>-12890.0</v>
      </c>
      <c r="AL234" s="11">
        <v>-11150.0</v>
      </c>
      <c r="AM234" s="11">
        <v>-12030.0</v>
      </c>
      <c r="AN234" s="11">
        <v>-34050.0</v>
      </c>
      <c r="AO234" s="11">
        <v>-17250.0</v>
      </c>
      <c r="AP234" s="11">
        <v>-12700.0</v>
      </c>
      <c r="AQ234" s="11">
        <v>-11590.0</v>
      </c>
      <c r="AR234" s="11">
        <v>-9460.0</v>
      </c>
      <c r="AS234" s="11">
        <v>-15490.0</v>
      </c>
      <c r="AT234" s="11">
        <v>-10260.0</v>
      </c>
      <c r="AU234" s="11">
        <v>-7470.0</v>
      </c>
      <c r="AV234" s="11">
        <v>-5110.0</v>
      </c>
      <c r="AW234" s="11">
        <v>-4520.0</v>
      </c>
      <c r="AX234" s="11">
        <v>-289.0</v>
      </c>
      <c r="AY234" s="11">
        <v>-308.0</v>
      </c>
      <c r="AZ234" s="11">
        <v>-9.0</v>
      </c>
      <c r="BA234" s="11">
        <v>-16.0</v>
      </c>
      <c r="BB234" s="11">
        <v>-16.0</v>
      </c>
      <c r="BC234" s="12"/>
      <c r="BD234" s="12"/>
      <c r="BE234" s="12"/>
      <c r="BF234" s="12"/>
      <c r="BG234" s="12"/>
      <c r="BH234" s="11">
        <v>12110.0</v>
      </c>
      <c r="BI234" s="11">
        <v>4450.0</v>
      </c>
      <c r="BJ234" s="11">
        <v>1550.0</v>
      </c>
      <c r="BK234" s="11">
        <v>1060.0</v>
      </c>
      <c r="BL234" s="11">
        <v>953.0</v>
      </c>
      <c r="BM234" s="12"/>
      <c r="BN234" s="12"/>
      <c r="BO234" s="12"/>
      <c r="BP234" s="12"/>
      <c r="BQ234" s="12"/>
      <c r="BR234" s="11">
        <v>578.0</v>
      </c>
      <c r="BS234" s="12"/>
      <c r="BT234" s="12"/>
      <c r="BU234" s="12"/>
      <c r="BV234" s="12"/>
      <c r="BW234" s="11">
        <v>12830.0</v>
      </c>
      <c r="BX234" s="11">
        <v>4630.0</v>
      </c>
      <c r="BY234" s="11">
        <v>1660.0</v>
      </c>
      <c r="BZ234" s="11">
        <v>1190.0</v>
      </c>
      <c r="CA234" s="11">
        <v>985.0</v>
      </c>
      <c r="CB234" s="11">
        <v>895.0</v>
      </c>
      <c r="CC234" s="11">
        <v>44.0</v>
      </c>
      <c r="CD234" s="11">
        <v>19.0</v>
      </c>
      <c r="CE234" s="11">
        <v>24.0</v>
      </c>
      <c r="CF234" s="11">
        <v>18.0</v>
      </c>
      <c r="CG234" s="12"/>
      <c r="CH234" s="12"/>
      <c r="CI234" s="12"/>
      <c r="CJ234" s="12"/>
      <c r="CK234" s="12"/>
      <c r="CL234" s="11">
        <v>14220.0</v>
      </c>
      <c r="CM234" s="11">
        <v>5000.0</v>
      </c>
      <c r="CN234" s="11">
        <v>1700.0</v>
      </c>
      <c r="CO234" s="11">
        <v>1240.0</v>
      </c>
      <c r="CP234" s="11">
        <v>1030.0</v>
      </c>
      <c r="CQ234" s="12"/>
      <c r="CR234" s="12"/>
      <c r="CS234" s="12"/>
      <c r="CT234" s="12"/>
      <c r="CU234" s="12"/>
      <c r="CV234" s="11">
        <v>2030.0</v>
      </c>
      <c r="CW234" s="11">
        <v>412.0</v>
      </c>
      <c r="CX234" s="12"/>
      <c r="CY234" s="12"/>
      <c r="CZ234" s="12"/>
      <c r="DA234" s="12"/>
      <c r="DB234" s="11">
        <v>2030.0</v>
      </c>
      <c r="DC234" s="11">
        <v>1200.0</v>
      </c>
      <c r="DD234" s="11">
        <v>3970.0</v>
      </c>
      <c r="DE234" s="11">
        <v>2960.0</v>
      </c>
      <c r="DF234" s="11">
        <v>2560.0</v>
      </c>
      <c r="DG234" s="11">
        <v>1200.0</v>
      </c>
      <c r="DH234" s="11">
        <v>3970.0</v>
      </c>
      <c r="DI234" s="11">
        <v>2960.0</v>
      </c>
      <c r="DJ234" s="11">
        <v>2470.0</v>
      </c>
      <c r="DK234" s="12"/>
      <c r="DL234" s="12"/>
      <c r="DM234" s="12"/>
      <c r="DN234" s="12"/>
      <c r="DO234" s="12"/>
      <c r="DP234" s="11">
        <v>526.0</v>
      </c>
      <c r="DQ234" s="12"/>
      <c r="DR234" s="12"/>
      <c r="DS234" s="12"/>
      <c r="DT234" s="12"/>
      <c r="DU234" s="13"/>
      <c r="DV234" s="11">
        <v>475.0</v>
      </c>
      <c r="DW234" s="11">
        <v>985.0</v>
      </c>
      <c r="DX234" s="11">
        <v>1070.0</v>
      </c>
      <c r="DY234" s="11">
        <v>1470.0</v>
      </c>
      <c r="DZ234" s="11">
        <v>11150.0</v>
      </c>
      <c r="EA234" s="11">
        <v>3800.0</v>
      </c>
      <c r="EB234" s="11">
        <v>-2260.0</v>
      </c>
      <c r="EC234" s="11">
        <v>-1720.0</v>
      </c>
      <c r="ED234" s="11">
        <v>-1440.0</v>
      </c>
      <c r="EE234" s="14">
        <v>0.0</v>
      </c>
      <c r="EF234" s="14">
        <v>0.0</v>
      </c>
      <c r="EG234" s="14">
        <v>-0.333</v>
      </c>
      <c r="EH234" s="14">
        <v>-0.385</v>
      </c>
    </row>
    <row r="235">
      <c r="A235" s="9">
        <f t="shared" si="2"/>
        <v>233</v>
      </c>
      <c r="B235" s="22" t="s">
        <v>369</v>
      </c>
      <c r="C235" s="11">
        <v>61790.0</v>
      </c>
      <c r="D235" s="11">
        <v>28530.0</v>
      </c>
      <c r="E235" s="11">
        <v>38190.0</v>
      </c>
      <c r="F235" s="11">
        <v>32960.0</v>
      </c>
      <c r="G235" s="11">
        <v>27440.0</v>
      </c>
      <c r="H235" s="11">
        <v>26250.0</v>
      </c>
      <c r="I235" s="11">
        <v>22750.0</v>
      </c>
      <c r="J235" s="12"/>
      <c r="K235" s="12"/>
      <c r="L235" s="12"/>
      <c r="M235" s="12"/>
      <c r="N235" s="12"/>
      <c r="O235" s="11">
        <v>9770.0</v>
      </c>
      <c r="P235" s="11">
        <v>9490.0</v>
      </c>
      <c r="Q235" s="11">
        <v>9700.0</v>
      </c>
      <c r="R235" s="11">
        <v>7530.0</v>
      </c>
      <c r="S235" s="11">
        <v>7370.0</v>
      </c>
      <c r="T235" s="11">
        <v>590.0</v>
      </c>
      <c r="U235" s="11">
        <v>757.0</v>
      </c>
      <c r="V235" s="11">
        <v>1220.0</v>
      </c>
      <c r="W235" s="11">
        <v>1330.0</v>
      </c>
      <c r="X235" s="11">
        <v>1030.0</v>
      </c>
      <c r="Y235" s="12"/>
      <c r="Z235" s="12"/>
      <c r="AA235" s="12"/>
      <c r="AB235" s="12"/>
      <c r="AC235" s="12"/>
      <c r="AD235" s="11">
        <v>30300.0</v>
      </c>
      <c r="AE235" s="11">
        <v>24800.0</v>
      </c>
      <c r="AF235" s="11">
        <v>18370.0</v>
      </c>
      <c r="AG235" s="11">
        <v>17380.0</v>
      </c>
      <c r="AH235" s="11">
        <v>14550.0</v>
      </c>
      <c r="AI235" s="11">
        <v>28410.0</v>
      </c>
      <c r="AJ235" s="11">
        <v>23470.0</v>
      </c>
      <c r="AK235" s="11">
        <v>17740.0</v>
      </c>
      <c r="AL235" s="11">
        <v>18720.0</v>
      </c>
      <c r="AM235" s="11">
        <v>15380.0</v>
      </c>
      <c r="AN235" s="11">
        <v>24470.0</v>
      </c>
      <c r="AO235" s="11">
        <v>20050.0</v>
      </c>
      <c r="AP235" s="11">
        <v>11330.0</v>
      </c>
      <c r="AQ235" s="11">
        <v>11370.0</v>
      </c>
      <c r="AR235" s="11">
        <v>9620.0</v>
      </c>
      <c r="AS235" s="11">
        <v>22290.0</v>
      </c>
      <c r="AT235" s="11">
        <v>17730.0</v>
      </c>
      <c r="AU235" s="11">
        <v>13160.0</v>
      </c>
      <c r="AV235" s="11">
        <v>16350.0</v>
      </c>
      <c r="AW235" s="11">
        <v>10610.0</v>
      </c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1">
        <v>89240.0</v>
      </c>
      <c r="BI235" s="11">
        <v>80880.0</v>
      </c>
      <c r="BJ235" s="11">
        <v>59310.0</v>
      </c>
      <c r="BK235" s="11">
        <v>49020.0</v>
      </c>
      <c r="BL235" s="11">
        <v>33490.0</v>
      </c>
      <c r="BM235" s="11">
        <v>19070.0</v>
      </c>
      <c r="BN235" s="11">
        <v>16520.0</v>
      </c>
      <c r="BO235" s="11">
        <v>4660.0</v>
      </c>
      <c r="BP235" s="11">
        <v>4310.0</v>
      </c>
      <c r="BQ235" s="11">
        <v>3460.0</v>
      </c>
      <c r="BR235" s="12"/>
      <c r="BS235" s="12"/>
      <c r="BT235" s="12"/>
      <c r="BU235" s="12"/>
      <c r="BV235" s="12"/>
      <c r="BW235" s="11">
        <v>109270.0</v>
      </c>
      <c r="BX235" s="11">
        <v>98050.0</v>
      </c>
      <c r="BY235" s="11">
        <v>64590.0</v>
      </c>
      <c r="BZ235" s="11">
        <v>53950.0</v>
      </c>
      <c r="CA235" s="11">
        <v>37350.0</v>
      </c>
      <c r="CB235" s="11">
        <v>239.0</v>
      </c>
      <c r="CC235" s="12"/>
      <c r="CD235" s="12"/>
      <c r="CE235" s="12"/>
      <c r="CF235" s="12"/>
      <c r="CG235" s="12"/>
      <c r="CH235" s="12"/>
      <c r="CI235" s="12"/>
      <c r="CJ235" s="12"/>
      <c r="CK235" s="12"/>
      <c r="CL235" s="11">
        <v>126650.0</v>
      </c>
      <c r="CM235" s="11">
        <v>100090.0</v>
      </c>
      <c r="CN235" s="11">
        <v>75000.0</v>
      </c>
      <c r="CO235" s="11">
        <v>64700.0</v>
      </c>
      <c r="CP235" s="11">
        <v>45700.0</v>
      </c>
      <c r="CQ235" s="11">
        <v>197.0</v>
      </c>
      <c r="CR235" s="11">
        <v>122.0</v>
      </c>
      <c r="CS235" s="11">
        <v>568.0</v>
      </c>
      <c r="CT235" s="11">
        <v>505.0</v>
      </c>
      <c r="CU235" s="11">
        <v>372.0</v>
      </c>
      <c r="CV235" s="11">
        <v>1420.0</v>
      </c>
      <c r="CW235" s="11">
        <v>69.0</v>
      </c>
      <c r="CX235" s="12"/>
      <c r="CY235" s="12"/>
      <c r="CZ235" s="12"/>
      <c r="DA235" s="12"/>
      <c r="DB235" s="11">
        <v>1420.0</v>
      </c>
      <c r="DC235" s="11">
        <v>2500.0</v>
      </c>
      <c r="DD235" s="11">
        <v>2140.0</v>
      </c>
      <c r="DE235" s="11">
        <v>2000.0</v>
      </c>
      <c r="DF235" s="11">
        <v>2160.0</v>
      </c>
      <c r="DG235" s="11">
        <v>2500.0</v>
      </c>
      <c r="DH235" s="11">
        <v>7480.0</v>
      </c>
      <c r="DI235" s="11">
        <v>8410.0</v>
      </c>
      <c r="DJ235" s="11">
        <v>888.0</v>
      </c>
      <c r="DK235" s="11">
        <v>16570.0</v>
      </c>
      <c r="DL235" s="11">
        <v>1100.0</v>
      </c>
      <c r="DM235" s="11">
        <v>5750.0</v>
      </c>
      <c r="DN235" s="11">
        <v>3770.0</v>
      </c>
      <c r="DO235" s="11">
        <v>3600.0</v>
      </c>
      <c r="DP235" s="11">
        <v>167.0</v>
      </c>
      <c r="DQ235" s="12"/>
      <c r="DR235" s="12"/>
      <c r="DS235" s="12"/>
      <c r="DT235" s="12"/>
      <c r="DU235" s="13"/>
      <c r="DV235" s="12"/>
      <c r="DW235" s="12"/>
      <c r="DX235" s="13"/>
      <c r="DY235" s="13"/>
      <c r="DZ235" s="11">
        <v>124490.0</v>
      </c>
      <c r="EA235" s="11">
        <v>97590.0</v>
      </c>
      <c r="EB235" s="11">
        <v>67520.0</v>
      </c>
      <c r="EC235" s="11">
        <v>56280.0</v>
      </c>
      <c r="ED235" s="11">
        <v>44810.0</v>
      </c>
      <c r="EE235" s="14">
        <v>0.0</v>
      </c>
      <c r="EF235" s="14">
        <v>0.0</v>
      </c>
      <c r="EG235" s="14">
        <v>1.4</v>
      </c>
      <c r="EH235" s="14">
        <v>0.35</v>
      </c>
    </row>
    <row r="236">
      <c r="A236" s="9">
        <f t="shared" si="2"/>
        <v>234</v>
      </c>
      <c r="B236" s="10" t="s">
        <v>370</v>
      </c>
      <c r="C236" s="11">
        <v>1.181E7</v>
      </c>
      <c r="D236" s="11">
        <v>9710000.0</v>
      </c>
      <c r="E236" s="11">
        <v>1.074E7</v>
      </c>
      <c r="F236" s="11">
        <v>9820000.0</v>
      </c>
      <c r="G236" s="11">
        <v>9050000.0</v>
      </c>
      <c r="H236" s="11">
        <v>8390000.0</v>
      </c>
      <c r="I236" s="11">
        <v>7400000.0</v>
      </c>
      <c r="J236" s="11">
        <v>6880000.0</v>
      </c>
      <c r="K236" s="11">
        <v>6480000.0</v>
      </c>
      <c r="L236" s="11">
        <v>5870000.0</v>
      </c>
      <c r="M236" s="11">
        <v>5340000.0</v>
      </c>
      <c r="N236" s="11">
        <v>4560000.0</v>
      </c>
      <c r="O236" s="11">
        <v>5100000.0</v>
      </c>
      <c r="P236" s="11">
        <v>4670000.0</v>
      </c>
      <c r="Q236" s="11">
        <v>4280000.0</v>
      </c>
      <c r="R236" s="11">
        <v>4000000.0</v>
      </c>
      <c r="S236" s="11">
        <v>3720000.0</v>
      </c>
      <c r="T236" s="11">
        <v>1170000.0</v>
      </c>
      <c r="U236" s="11">
        <v>1110000.0</v>
      </c>
      <c r="V236" s="11">
        <v>997000.0</v>
      </c>
      <c r="W236" s="11">
        <v>920000.0</v>
      </c>
      <c r="X236" s="11">
        <v>876000.0</v>
      </c>
      <c r="Y236" s="11">
        <v>1100000.0</v>
      </c>
      <c r="Z236" s="11">
        <v>1570000.0</v>
      </c>
      <c r="AA236" s="11">
        <v>1200000.0</v>
      </c>
      <c r="AB236" s="11">
        <v>294000.0</v>
      </c>
      <c r="AC236" s="11">
        <v>-537000.0</v>
      </c>
      <c r="AD236" s="11">
        <v>687000.0</v>
      </c>
      <c r="AE236" s="11">
        <v>1420000.0</v>
      </c>
      <c r="AF236" s="11">
        <v>933000.0</v>
      </c>
      <c r="AG236" s="11">
        <v>177000.0</v>
      </c>
      <c r="AH236" s="11">
        <v>-650000.0</v>
      </c>
      <c r="AI236" s="11">
        <v>2720000.0</v>
      </c>
      <c r="AJ236" s="11">
        <v>2630000.0</v>
      </c>
      <c r="AK236" s="11">
        <v>2370000.0</v>
      </c>
      <c r="AL236" s="11">
        <v>2050000.0</v>
      </c>
      <c r="AM236" s="11">
        <v>1560000.0</v>
      </c>
      <c r="AN236" s="11">
        <v>4700000.0</v>
      </c>
      <c r="AO236" s="11">
        <v>1670000.0</v>
      </c>
      <c r="AP236" s="11">
        <v>104000.0</v>
      </c>
      <c r="AQ236" s="11">
        <v>347000.0</v>
      </c>
      <c r="AR236" s="11">
        <v>-239000.0</v>
      </c>
      <c r="AS236" s="11">
        <v>1840000.0</v>
      </c>
      <c r="AT236" s="11">
        <v>310000.0</v>
      </c>
      <c r="AU236" s="11">
        <v>1430000.0</v>
      </c>
      <c r="AV236" s="11">
        <v>972000.0</v>
      </c>
      <c r="AW236" s="11">
        <v>600000.0</v>
      </c>
      <c r="AX236" s="11">
        <v>-461000.0</v>
      </c>
      <c r="AY236" s="11">
        <v>-316000.0</v>
      </c>
      <c r="AZ236" s="11">
        <v>-319000.0</v>
      </c>
      <c r="BA236" s="11">
        <v>-376000.0</v>
      </c>
      <c r="BB236" s="11">
        <v>-247000.0</v>
      </c>
      <c r="BC236" s="13"/>
      <c r="BD236" s="13"/>
      <c r="BE236" s="13"/>
      <c r="BF236" s="13"/>
      <c r="BG236" s="13"/>
      <c r="BH236" s="11">
        <v>563000.0</v>
      </c>
      <c r="BI236" s="11">
        <v>801000.0</v>
      </c>
      <c r="BJ236" s="11">
        <v>991000.0</v>
      </c>
      <c r="BK236" s="11">
        <v>439000.0</v>
      </c>
      <c r="BL236" s="11">
        <v>319000.0</v>
      </c>
      <c r="BM236" s="11">
        <v>1930000.0</v>
      </c>
      <c r="BN236" s="11">
        <v>1610000.0</v>
      </c>
      <c r="BO236" s="11">
        <v>1550000.0</v>
      </c>
      <c r="BP236" s="11">
        <v>1470000.0</v>
      </c>
      <c r="BQ236" s="11">
        <v>1280000.0</v>
      </c>
      <c r="BR236" s="11">
        <v>1580000.0</v>
      </c>
      <c r="BS236" s="11">
        <v>1170000.0</v>
      </c>
      <c r="BT236" s="11">
        <v>1080000.0</v>
      </c>
      <c r="BU236" s="11">
        <v>955000.0</v>
      </c>
      <c r="BV236" s="11">
        <v>1020000.0</v>
      </c>
      <c r="BW236" s="11">
        <v>4700000.0</v>
      </c>
      <c r="BX236" s="11">
        <v>4000000.0</v>
      </c>
      <c r="BY236" s="11">
        <v>3820000.0</v>
      </c>
      <c r="BZ236" s="11">
        <v>3240000.0</v>
      </c>
      <c r="CA236" s="11">
        <v>3470000.0</v>
      </c>
      <c r="CB236" s="11">
        <v>2420000.0</v>
      </c>
      <c r="CC236" s="11">
        <v>1780000.0</v>
      </c>
      <c r="CD236" s="11">
        <v>1700000.0</v>
      </c>
      <c r="CE236" s="11">
        <v>1630000.0</v>
      </c>
      <c r="CF236" s="11">
        <v>1490000.0</v>
      </c>
      <c r="CG236" s="11">
        <v>1.018E7</v>
      </c>
      <c r="CH236" s="11">
        <v>7910000.0</v>
      </c>
      <c r="CI236" s="11">
        <v>7000000.0</v>
      </c>
      <c r="CJ236" s="11">
        <v>6680000.0</v>
      </c>
      <c r="CK236" s="11">
        <v>6470000.0</v>
      </c>
      <c r="CL236" s="11">
        <v>3.057E7</v>
      </c>
      <c r="CM236" s="11">
        <v>2.1E7</v>
      </c>
      <c r="CN236" s="11">
        <v>1.904E7</v>
      </c>
      <c r="CO236" s="11">
        <v>1.81E7</v>
      </c>
      <c r="CP236" s="11">
        <v>1.813E7</v>
      </c>
      <c r="CQ236" s="11">
        <v>542000.0</v>
      </c>
      <c r="CR236" s="11">
        <v>349000.0</v>
      </c>
      <c r="CS236" s="11">
        <v>530000.0</v>
      </c>
      <c r="CT236" s="11">
        <v>447000.0</v>
      </c>
      <c r="CU236" s="11">
        <v>209000.0</v>
      </c>
      <c r="CV236" s="11">
        <v>4870000.0</v>
      </c>
      <c r="CW236" s="11">
        <v>72000.0</v>
      </c>
      <c r="CX236" s="11">
        <v>5000.0</v>
      </c>
      <c r="CY236" s="11">
        <v>1200000.0</v>
      </c>
      <c r="CZ236" s="12"/>
      <c r="DA236" s="12"/>
      <c r="DB236" s="11">
        <v>4870000.0</v>
      </c>
      <c r="DC236" s="11">
        <v>5260000.0</v>
      </c>
      <c r="DD236" s="11">
        <v>5650000.0</v>
      </c>
      <c r="DE236" s="11">
        <v>3590000.0</v>
      </c>
      <c r="DF236" s="11">
        <v>1.669E7</v>
      </c>
      <c r="DG236" s="11">
        <v>1.227E7</v>
      </c>
      <c r="DH236" s="11">
        <v>1.203E7</v>
      </c>
      <c r="DI236" s="11">
        <v>1.136E7</v>
      </c>
      <c r="DJ236" s="11">
        <v>1.181E7</v>
      </c>
      <c r="DK236" s="11">
        <v>694000.0</v>
      </c>
      <c r="DL236" s="11">
        <v>397000.0</v>
      </c>
      <c r="DM236" s="11">
        <v>305000.0</v>
      </c>
      <c r="DN236" s="12"/>
      <c r="DO236" s="12"/>
      <c r="DP236" s="11">
        <v>8870000.0</v>
      </c>
      <c r="DQ236" s="11">
        <v>4800000.0</v>
      </c>
      <c r="DR236" s="11">
        <v>3820000.0</v>
      </c>
      <c r="DS236" s="11">
        <v>5420000.0</v>
      </c>
      <c r="DT236" s="11">
        <v>5670000.0</v>
      </c>
      <c r="DU236" s="13"/>
      <c r="DV236" s="12"/>
      <c r="DW236" s="12"/>
      <c r="DX236" s="12"/>
      <c r="DY236" s="13"/>
      <c r="DZ236" s="11">
        <v>1.388E7</v>
      </c>
      <c r="EA236" s="11">
        <v>8730000.0</v>
      </c>
      <c r="EB236" s="11">
        <v>7010000.0</v>
      </c>
      <c r="EC236" s="11">
        <v>6730000.0</v>
      </c>
      <c r="ED236" s="11">
        <v>6320000.0</v>
      </c>
      <c r="EE236" s="14">
        <v>0.226</v>
      </c>
      <c r="EF236" s="14">
        <v>0.205</v>
      </c>
      <c r="EG236" s="14">
        <v>-0.097</v>
      </c>
      <c r="EH236" s="14">
        <v>0.0</v>
      </c>
    </row>
    <row r="237">
      <c r="A237" s="9">
        <f t="shared" si="2"/>
        <v>235</v>
      </c>
      <c r="B237" s="22" t="s">
        <v>371</v>
      </c>
      <c r="C237" s="11">
        <v>11650.0</v>
      </c>
      <c r="D237" s="12"/>
      <c r="E237" s="12"/>
      <c r="F237" s="12"/>
      <c r="G237" s="12"/>
      <c r="H237" s="12"/>
      <c r="I237" s="12"/>
      <c r="J237" s="11">
        <v>-156.0</v>
      </c>
      <c r="K237" s="11">
        <v>-17.0</v>
      </c>
      <c r="L237" s="11">
        <v>-1.0</v>
      </c>
      <c r="M237" s="12"/>
      <c r="N237" s="12"/>
      <c r="O237" s="11">
        <v>33450.0</v>
      </c>
      <c r="P237" s="11">
        <v>19950.0</v>
      </c>
      <c r="Q237" s="11">
        <v>4540.0</v>
      </c>
      <c r="R237" s="11">
        <v>2120.0</v>
      </c>
      <c r="S237" s="11">
        <v>636.0</v>
      </c>
      <c r="T237" s="11">
        <v>25800.0</v>
      </c>
      <c r="U237" s="11">
        <v>14560.0</v>
      </c>
      <c r="V237" s="11">
        <v>2690.0</v>
      </c>
      <c r="W237" s="11">
        <v>1400.0</v>
      </c>
      <c r="X237" s="11">
        <v>233.0</v>
      </c>
      <c r="Y237" s="12"/>
      <c r="Z237" s="12"/>
      <c r="AA237" s="12"/>
      <c r="AB237" s="12"/>
      <c r="AC237" s="12"/>
      <c r="AD237" s="11">
        <v>-32970.0</v>
      </c>
      <c r="AE237" s="11">
        <v>-19270.0</v>
      </c>
      <c r="AF237" s="11">
        <v>-4540.0</v>
      </c>
      <c r="AG237" s="11">
        <v>-2120.0</v>
      </c>
      <c r="AH237" s="11">
        <v>-636.0</v>
      </c>
      <c r="AI237" s="11">
        <v>-33450.0</v>
      </c>
      <c r="AJ237" s="11">
        <v>-19950.0</v>
      </c>
      <c r="AK237" s="11">
        <v>-4540.0</v>
      </c>
      <c r="AL237" s="11">
        <v>-2120.0</v>
      </c>
      <c r="AM237" s="11">
        <v>-636.0</v>
      </c>
      <c r="AN237" s="11">
        <v>-32970.0</v>
      </c>
      <c r="AO237" s="11">
        <v>-19270.0</v>
      </c>
      <c r="AP237" s="11">
        <v>-4540.0</v>
      </c>
      <c r="AQ237" s="11">
        <v>-2120.0</v>
      </c>
      <c r="AR237" s="11">
        <v>-636.0</v>
      </c>
      <c r="AS237" s="11">
        <v>-27280.0</v>
      </c>
      <c r="AT237" s="11">
        <v>-13510.0</v>
      </c>
      <c r="AU237" s="11">
        <v>-2200.0</v>
      </c>
      <c r="AV237" s="11">
        <v>-1290.0</v>
      </c>
      <c r="AW237" s="11">
        <v>-280.0</v>
      </c>
      <c r="AX237" s="11">
        <v>-870.0</v>
      </c>
      <c r="AY237" s="11">
        <v>-340.0</v>
      </c>
      <c r="AZ237" s="12"/>
      <c r="BA237" s="11">
        <v>-4.0</v>
      </c>
      <c r="BB237" s="11">
        <v>-1.0</v>
      </c>
      <c r="BC237" s="12"/>
      <c r="BD237" s="12"/>
      <c r="BE237" s="12"/>
      <c r="BF237" s="12"/>
      <c r="BG237" s="12"/>
      <c r="BH237" s="11">
        <v>32430.0</v>
      </c>
      <c r="BI237" s="11">
        <v>42570.0</v>
      </c>
      <c r="BJ237" s="11">
        <v>887.0</v>
      </c>
      <c r="BK237" s="12"/>
      <c r="BL237" s="12"/>
      <c r="BM237" s="12"/>
      <c r="BN237" s="11">
        <v>115.0</v>
      </c>
      <c r="BO237" s="12"/>
      <c r="BP237" s="12"/>
      <c r="BQ237" s="12"/>
      <c r="BR237" s="12"/>
      <c r="BS237" s="12"/>
      <c r="BT237" s="12"/>
      <c r="BU237" s="12"/>
      <c r="BV237" s="12"/>
      <c r="BW237" s="11">
        <v>34110.0</v>
      </c>
      <c r="BX237" s="11">
        <v>43170.0</v>
      </c>
      <c r="BY237" s="11">
        <v>890.0</v>
      </c>
      <c r="BZ237" s="11">
        <v>2.0</v>
      </c>
      <c r="CA237" s="11">
        <v>1.0</v>
      </c>
      <c r="CB237" s="11">
        <v>2230.0</v>
      </c>
      <c r="CC237" s="11">
        <v>327.0</v>
      </c>
      <c r="CD237" s="11">
        <v>4.0</v>
      </c>
      <c r="CE237" s="11">
        <v>5.0</v>
      </c>
      <c r="CF237" s="11">
        <v>1.0</v>
      </c>
      <c r="CG237" s="12"/>
      <c r="CH237" s="12"/>
      <c r="CI237" s="12"/>
      <c r="CJ237" s="12"/>
      <c r="CK237" s="12"/>
      <c r="CL237" s="11">
        <v>36390.0</v>
      </c>
      <c r="CM237" s="11">
        <v>43550.0</v>
      </c>
      <c r="CN237" s="11">
        <v>1360.0</v>
      </c>
      <c r="CO237" s="11">
        <v>7.0</v>
      </c>
      <c r="CP237" s="11">
        <v>2.0</v>
      </c>
      <c r="CQ237" s="11">
        <v>4950.0</v>
      </c>
      <c r="CR237" s="11">
        <v>1600.0</v>
      </c>
      <c r="CS237" s="11">
        <v>444.0</v>
      </c>
      <c r="CT237" s="11">
        <v>279.0</v>
      </c>
      <c r="CU237" s="11">
        <v>120.0</v>
      </c>
      <c r="CV237" s="11">
        <v>8470.0</v>
      </c>
      <c r="CW237" s="11">
        <v>164.0</v>
      </c>
      <c r="CX237" s="12"/>
      <c r="CY237" s="11">
        <v>371.0</v>
      </c>
      <c r="CZ237" s="12"/>
      <c r="DA237" s="12"/>
      <c r="DB237" s="11">
        <v>8470.0</v>
      </c>
      <c r="DC237" s="11">
        <v>4660.0</v>
      </c>
      <c r="DD237" s="11">
        <v>2340.0</v>
      </c>
      <c r="DE237" s="11">
        <v>331.0</v>
      </c>
      <c r="DF237" s="11">
        <v>9500.0</v>
      </c>
      <c r="DG237" s="11">
        <v>4660.0</v>
      </c>
      <c r="DH237" s="11">
        <v>2340.0</v>
      </c>
      <c r="DI237" s="11">
        <v>331.0</v>
      </c>
      <c r="DJ237" s="11">
        <v>175.0</v>
      </c>
      <c r="DK237" s="12"/>
      <c r="DL237" s="12"/>
      <c r="DM237" s="12"/>
      <c r="DN237" s="12"/>
      <c r="DO237" s="12"/>
      <c r="DP237" s="11">
        <v>1030.0</v>
      </c>
      <c r="DQ237" s="12"/>
      <c r="DR237" s="12"/>
      <c r="DS237" s="12"/>
      <c r="DT237" s="12"/>
      <c r="DU237" s="13"/>
      <c r="DV237" s="13"/>
      <c r="DW237" s="12"/>
      <c r="DX237" s="12"/>
      <c r="DY237" s="12"/>
      <c r="DZ237" s="11">
        <v>26900.0</v>
      </c>
      <c r="EA237" s="11">
        <v>38890.0</v>
      </c>
      <c r="EB237" s="11">
        <v>-982.0</v>
      </c>
      <c r="EC237" s="11">
        <v>-324.0</v>
      </c>
      <c r="ED237" s="11">
        <v>-173.0</v>
      </c>
      <c r="EE237" s="23"/>
      <c r="EF237" s="23"/>
      <c r="EG237" s="14">
        <v>-0.413</v>
      </c>
      <c r="EH237" s="14">
        <v>-0.086</v>
      </c>
    </row>
    <row r="238">
      <c r="A238" s="9">
        <f t="shared" si="2"/>
        <v>236</v>
      </c>
      <c r="B238" s="10" t="s">
        <v>372</v>
      </c>
      <c r="C238" s="15">
        <v>1200000.0</v>
      </c>
      <c r="D238" s="15">
        <v>683010.0</v>
      </c>
      <c r="E238" s="15">
        <v>1530000.0</v>
      </c>
      <c r="F238" s="15">
        <v>1360000.0</v>
      </c>
      <c r="G238" s="15">
        <v>829010.0</v>
      </c>
      <c r="H238" s="15">
        <v>905310.0</v>
      </c>
      <c r="I238" s="15">
        <v>708330.0</v>
      </c>
      <c r="J238" s="15">
        <v>597710.0</v>
      </c>
      <c r="K238" s="15">
        <v>493470.0</v>
      </c>
      <c r="L238" s="15">
        <v>195070.0</v>
      </c>
      <c r="M238" s="15">
        <v>278330.0</v>
      </c>
      <c r="N238" s="15">
        <v>111340.0</v>
      </c>
      <c r="O238" s="15">
        <v>95130.0</v>
      </c>
      <c r="P238" s="15">
        <v>90220.0</v>
      </c>
      <c r="Q238" s="15">
        <v>80140.0</v>
      </c>
      <c r="R238" s="15">
        <v>72300.0</v>
      </c>
      <c r="S238" s="15">
        <v>66020.0</v>
      </c>
      <c r="T238" s="15">
        <v>0.0</v>
      </c>
      <c r="U238" s="15">
        <v>0.0</v>
      </c>
      <c r="V238" s="15">
        <v>0.0</v>
      </c>
      <c r="W238" s="15">
        <v>0.0</v>
      </c>
      <c r="X238" s="15">
        <v>0.0</v>
      </c>
      <c r="Y238" s="15">
        <v>622040.0</v>
      </c>
      <c r="Z238" s="15">
        <v>-15750.0</v>
      </c>
      <c r="AA238" s="15">
        <v>102730.0</v>
      </c>
      <c r="AB238" s="15">
        <v>148360.0</v>
      </c>
      <c r="AC238" s="15">
        <v>-156890.0</v>
      </c>
      <c r="AD238" s="15">
        <v>638600.0</v>
      </c>
      <c r="AE238" s="15">
        <v>346240.0</v>
      </c>
      <c r="AF238" s="15">
        <v>89430.0</v>
      </c>
      <c r="AG238" s="15">
        <v>90800.0</v>
      </c>
      <c r="AH238" s="15">
        <v>-183520.0</v>
      </c>
      <c r="AI238" s="15">
        <v>831830.0</v>
      </c>
      <c r="AJ238" s="15">
        <v>720550.0</v>
      </c>
      <c r="AK238" s="15">
        <v>320390.0</v>
      </c>
      <c r="AL238" s="15">
        <v>419040.0</v>
      </c>
      <c r="AM238" s="15">
        <v>223350.0</v>
      </c>
      <c r="AN238" s="15">
        <v>380020.0</v>
      </c>
      <c r="AO238" s="15">
        <v>153700.0</v>
      </c>
      <c r="AP238" s="15">
        <v>73790.0</v>
      </c>
      <c r="AQ238" s="15">
        <v>51850.0</v>
      </c>
      <c r="AR238" s="15">
        <v>-191840.0</v>
      </c>
      <c r="AS238" s="15">
        <v>623110.0</v>
      </c>
      <c r="AT238" s="15">
        <v>536640.0</v>
      </c>
      <c r="AU238" s="15">
        <v>174420.0</v>
      </c>
      <c r="AV238" s="15">
        <v>521320.0</v>
      </c>
      <c r="AW238" s="15">
        <v>205750.0</v>
      </c>
      <c r="AX238" s="15">
        <v>-346530.0</v>
      </c>
      <c r="AY238" s="15">
        <v>-287560.0</v>
      </c>
      <c r="AZ238" s="15">
        <v>-553040.0</v>
      </c>
      <c r="BA238" s="15">
        <v>-514050.0</v>
      </c>
      <c r="BB238" s="15">
        <v>-365670.0</v>
      </c>
      <c r="BC238" s="15">
        <v>-13620.0</v>
      </c>
      <c r="BD238" s="16">
        <v>0.0</v>
      </c>
      <c r="BE238" s="16">
        <v>0.0</v>
      </c>
      <c r="BF238" s="15">
        <v>0.0</v>
      </c>
      <c r="BG238" s="16">
        <v>0.0</v>
      </c>
      <c r="BH238" s="15">
        <v>182320.0</v>
      </c>
      <c r="BI238" s="15">
        <v>140340.0</v>
      </c>
      <c r="BJ238" s="15">
        <v>184770.0</v>
      </c>
      <c r="BK238" s="15">
        <v>194010.0</v>
      </c>
      <c r="BL238" s="15">
        <v>118270.0</v>
      </c>
      <c r="BM238" s="15">
        <v>60610.0</v>
      </c>
      <c r="BN238" s="15">
        <v>33260.0</v>
      </c>
      <c r="BO238" s="15">
        <v>52550.0</v>
      </c>
      <c r="BP238" s="15">
        <v>37160.0</v>
      </c>
      <c r="BQ238" s="15">
        <v>44630.0</v>
      </c>
      <c r="BR238" s="15">
        <v>282590.0</v>
      </c>
      <c r="BS238" s="15">
        <v>319560.0</v>
      </c>
      <c r="BT238" s="15">
        <v>258670.0</v>
      </c>
      <c r="BU238" s="15">
        <v>140400.0</v>
      </c>
      <c r="BV238" s="15">
        <v>119910.0</v>
      </c>
      <c r="BW238" s="15">
        <v>556950.0</v>
      </c>
      <c r="BX238" s="15">
        <v>495830.0</v>
      </c>
      <c r="BY238" s="15">
        <v>495980.0</v>
      </c>
      <c r="BZ238" s="15">
        <v>371560.0</v>
      </c>
      <c r="CA238" s="15">
        <v>282820.0</v>
      </c>
      <c r="CB238" s="15">
        <v>2650000.0</v>
      </c>
      <c r="CC238" s="15">
        <v>2780000.0</v>
      </c>
      <c r="CD238" s="15">
        <v>2470000.0</v>
      </c>
      <c r="CE238" s="15">
        <v>2450000.0</v>
      </c>
      <c r="CF238" s="15">
        <v>2230000.0</v>
      </c>
      <c r="CG238" s="15">
        <v>0.0</v>
      </c>
      <c r="CH238" s="15">
        <v>0.0</v>
      </c>
      <c r="CI238" s="15">
        <v>0.0</v>
      </c>
      <c r="CJ238" s="15">
        <v>0.0</v>
      </c>
      <c r="CK238" s="15">
        <v>0.0</v>
      </c>
      <c r="CL238" s="15">
        <v>3480000.0</v>
      </c>
      <c r="CM238" s="15">
        <v>3480000.0</v>
      </c>
      <c r="CN238" s="15">
        <v>3360000.0</v>
      </c>
      <c r="CO238" s="15">
        <v>3130000.0</v>
      </c>
      <c r="CP238" s="15">
        <v>2810000.0</v>
      </c>
      <c r="CQ238" s="15">
        <v>108110.0</v>
      </c>
      <c r="CR238" s="15">
        <v>109700.0</v>
      </c>
      <c r="CS238" s="15">
        <v>119150.0</v>
      </c>
      <c r="CT238" s="15">
        <v>109590.0</v>
      </c>
      <c r="CU238" s="15">
        <v>81600.0</v>
      </c>
      <c r="CV238" s="15">
        <v>214040.0</v>
      </c>
      <c r="CW238" s="15">
        <v>0.0</v>
      </c>
      <c r="CX238" s="15">
        <v>34160.0</v>
      </c>
      <c r="CY238" s="16">
        <v>0.0</v>
      </c>
      <c r="CZ238" s="16">
        <v>0.0</v>
      </c>
      <c r="DA238" s="15">
        <v>0.0</v>
      </c>
      <c r="DB238" s="15">
        <v>214040.0</v>
      </c>
      <c r="DC238" s="15">
        <v>283060.0</v>
      </c>
      <c r="DD238" s="15">
        <v>619640.0</v>
      </c>
      <c r="DE238" s="15">
        <v>236080.0</v>
      </c>
      <c r="DF238" s="15">
        <v>818790.0</v>
      </c>
      <c r="DG238" s="15">
        <v>1220000.0</v>
      </c>
      <c r="DH238" s="15">
        <v>1400000.0</v>
      </c>
      <c r="DI238" s="15">
        <v>1180000.0</v>
      </c>
      <c r="DJ238" s="15">
        <v>988820.0</v>
      </c>
      <c r="DK238" s="15">
        <v>181810.0</v>
      </c>
      <c r="DL238" s="15">
        <v>107510.0</v>
      </c>
      <c r="DM238" s="15">
        <v>117290.0</v>
      </c>
      <c r="DN238" s="15">
        <v>97560.0</v>
      </c>
      <c r="DO238" s="15">
        <v>79560.0</v>
      </c>
      <c r="DP238" s="15">
        <v>305800.0</v>
      </c>
      <c r="DQ238" s="15">
        <v>620790.0</v>
      </c>
      <c r="DR238" s="15">
        <v>500620.0</v>
      </c>
      <c r="DS238" s="15">
        <v>634110.0</v>
      </c>
      <c r="DT238" s="15">
        <v>627130.0</v>
      </c>
      <c r="DU238" s="16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2580000.0</v>
      </c>
      <c r="EA238" s="15">
        <v>2200000.0</v>
      </c>
      <c r="EB238" s="15">
        <v>1940000.0</v>
      </c>
      <c r="EC238" s="15">
        <v>1940000.0</v>
      </c>
      <c r="ED238" s="15">
        <v>1810000.0</v>
      </c>
      <c r="EE238" s="17">
        <v>0.355</v>
      </c>
      <c r="EF238" s="17">
        <v>0.15</v>
      </c>
      <c r="EG238" s="23" t="s">
        <v>155</v>
      </c>
      <c r="EH238" s="17">
        <v>-0.5</v>
      </c>
    </row>
    <row r="239">
      <c r="A239" s="9">
        <f t="shared" si="2"/>
        <v>237</v>
      </c>
      <c r="B239" s="25" t="s">
        <v>373</v>
      </c>
      <c r="C239" s="15"/>
      <c r="D239" s="15"/>
      <c r="E239" s="15">
        <v>2.587E7</v>
      </c>
      <c r="F239" s="15">
        <v>2.448E7</v>
      </c>
      <c r="G239" s="15">
        <v>1.951E7</v>
      </c>
      <c r="H239" s="15">
        <v>1.489E7</v>
      </c>
      <c r="I239" s="15">
        <v>1.31E7</v>
      </c>
      <c r="J239" s="15">
        <v>1.731E7</v>
      </c>
      <c r="K239" s="15">
        <v>1.609E7</v>
      </c>
      <c r="L239" s="15">
        <v>1.12E7</v>
      </c>
      <c r="M239" s="15">
        <v>8590000.0</v>
      </c>
      <c r="N239" s="15">
        <v>7790000.0</v>
      </c>
      <c r="O239" s="15">
        <v>6770000.0</v>
      </c>
      <c r="P239" s="15">
        <v>6330000.0</v>
      </c>
      <c r="Q239" s="15">
        <v>4340000.0</v>
      </c>
      <c r="R239" s="15">
        <v>3330000.0</v>
      </c>
      <c r="S239" s="15">
        <v>3030000.0</v>
      </c>
      <c r="T239" s="15">
        <v>126000.0</v>
      </c>
      <c r="U239" s="15">
        <v>105000.0</v>
      </c>
      <c r="V239" s="15">
        <v>80000.0</v>
      </c>
      <c r="W239" s="15">
        <v>53000.0</v>
      </c>
      <c r="X239" s="15">
        <v>60000.0</v>
      </c>
      <c r="Y239" s="15">
        <v>8590000.0</v>
      </c>
      <c r="Z239" s="15">
        <v>9410000.0</v>
      </c>
      <c r="AA239" s="15">
        <v>2.264E7</v>
      </c>
      <c r="AB239" s="15">
        <v>5030000.0</v>
      </c>
      <c r="AC239" s="15">
        <v>4530000.0</v>
      </c>
      <c r="AD239" s="15">
        <v>7410000.0</v>
      </c>
      <c r="AE239" s="15">
        <v>7930000.0</v>
      </c>
      <c r="AF239" s="15">
        <v>2.861E7</v>
      </c>
      <c r="AG239" s="15">
        <v>4020000.0</v>
      </c>
      <c r="AH239" s="15">
        <v>4620000.0</v>
      </c>
      <c r="AI239" s="15">
        <v>1.196E7</v>
      </c>
      <c r="AJ239" s="15">
        <v>1.082E7</v>
      </c>
      <c r="AK239" s="15">
        <v>7820000.0</v>
      </c>
      <c r="AL239" s="15">
        <v>5970000.0</v>
      </c>
      <c r="AM239" s="15">
        <v>5160000.0</v>
      </c>
      <c r="AN239" s="15">
        <v>5700000.0</v>
      </c>
      <c r="AO239" s="15">
        <v>6030000.0</v>
      </c>
      <c r="AP239" s="15">
        <v>3.749E7</v>
      </c>
      <c r="AQ239" s="15">
        <v>4650000.0</v>
      </c>
      <c r="AR239" s="15">
        <v>4290000.0</v>
      </c>
      <c r="AS239" s="15">
        <v>7480000.0</v>
      </c>
      <c r="AT239" s="15">
        <v>8790000.0</v>
      </c>
      <c r="AU239" s="15">
        <v>4320000.0</v>
      </c>
      <c r="AV239" s="15">
        <v>4030000.0</v>
      </c>
      <c r="AW239" s="15">
        <v>4190000.0</v>
      </c>
      <c r="AX239" s="15">
        <v>-815000.0</v>
      </c>
      <c r="AY239" s="15">
        <v>-943000.0</v>
      </c>
      <c r="AZ239" s="15">
        <v>-978000.0</v>
      </c>
      <c r="BA239" s="15">
        <v>-674000.0</v>
      </c>
      <c r="BB239" s="15">
        <v>-601000.0</v>
      </c>
      <c r="BC239" s="15">
        <v>-4600000.0</v>
      </c>
      <c r="BD239" s="15">
        <v>-4350000.0</v>
      </c>
      <c r="BE239" s="15">
        <v>-3470000.0</v>
      </c>
      <c r="BF239" s="15">
        <v>-2910000.0</v>
      </c>
      <c r="BG239" s="15">
        <v>-2770000.0</v>
      </c>
      <c r="BH239" s="15">
        <v>2650000.0</v>
      </c>
      <c r="BI239" s="15">
        <v>2780000.0</v>
      </c>
      <c r="BJ239" s="15">
        <v>3360000.0</v>
      </c>
      <c r="BK239" s="15">
        <v>2590000.0</v>
      </c>
      <c r="BL239" s="15">
        <v>2210000.0</v>
      </c>
      <c r="BM239" s="15">
        <v>4220000.0</v>
      </c>
      <c r="BN239" s="15">
        <v>3660000.0</v>
      </c>
      <c r="BO239" s="15">
        <v>4510000.0</v>
      </c>
      <c r="BP239" s="15">
        <v>3950000.0</v>
      </c>
      <c r="BQ239" s="15">
        <v>3340000.0</v>
      </c>
      <c r="BR239" s="15">
        <v>6090000.0</v>
      </c>
      <c r="BS239" s="15">
        <v>6030000.0</v>
      </c>
      <c r="BT239" s="15">
        <v>5860000.0</v>
      </c>
      <c r="BU239" s="15">
        <v>5790000.0</v>
      </c>
      <c r="BV239" s="15">
        <v>4250000.0</v>
      </c>
      <c r="BW239" s="15">
        <v>1.327E7</v>
      </c>
      <c r="BX239" s="15">
        <v>1.266E7</v>
      </c>
      <c r="BY239" s="15">
        <v>1.397E7</v>
      </c>
      <c r="BZ239" s="15">
        <v>1.248E7</v>
      </c>
      <c r="CA239" s="15">
        <v>9950000.0</v>
      </c>
      <c r="CB239" s="15">
        <v>5520000.0</v>
      </c>
      <c r="CC239" s="15">
        <v>5170000.0</v>
      </c>
      <c r="CD239" s="15">
        <v>4880000.0</v>
      </c>
      <c r="CE239" s="15">
        <v>3660000.0</v>
      </c>
      <c r="CF239" s="15">
        <v>3020000.0</v>
      </c>
      <c r="CG239" s="15">
        <v>4.432E7</v>
      </c>
      <c r="CH239" s="15">
        <v>4.616E7</v>
      </c>
      <c r="CI239" s="15">
        <v>4.415E7</v>
      </c>
      <c r="CJ239" s="15">
        <v>1.102E7</v>
      </c>
      <c r="CK239" s="15">
        <v>9320000.0</v>
      </c>
      <c r="CL239" s="15">
        <v>1.4101E8</v>
      </c>
      <c r="CM239" s="15">
        <v>1.4634E8</v>
      </c>
      <c r="CN239" s="15">
        <v>1.4105E8</v>
      </c>
      <c r="CO239" s="15">
        <v>3.977E7</v>
      </c>
      <c r="CP239" s="15">
        <v>3.152E7</v>
      </c>
      <c r="CQ239" s="15">
        <v>3450000.0</v>
      </c>
      <c r="CR239" s="15">
        <v>3560000.0</v>
      </c>
      <c r="CS239" s="15">
        <v>2300000.0</v>
      </c>
      <c r="CT239" s="15">
        <v>1280000.0</v>
      </c>
      <c r="CU239" s="15">
        <v>1060000.0</v>
      </c>
      <c r="CV239" s="15">
        <v>1.882E7</v>
      </c>
      <c r="CW239" s="15">
        <v>6930000.0</v>
      </c>
      <c r="CX239" s="15">
        <v>3750000.0</v>
      </c>
      <c r="CY239" s="15">
        <v>4970000.0</v>
      </c>
      <c r="CZ239" s="15">
        <v>2770000.0</v>
      </c>
      <c r="DA239" s="15">
        <v>22000.0</v>
      </c>
      <c r="DB239" s="15">
        <v>1.882E7</v>
      </c>
      <c r="DC239" s="15">
        <v>1.633E7</v>
      </c>
      <c r="DD239" s="15">
        <v>1.561E7</v>
      </c>
      <c r="DE239" s="15">
        <v>1.223E7</v>
      </c>
      <c r="DF239" s="15">
        <v>7.685E7</v>
      </c>
      <c r="DG239" s="15">
        <v>8.065E7</v>
      </c>
      <c r="DH239" s="15">
        <v>8.007E7</v>
      </c>
      <c r="DI239" s="15">
        <v>3.137E7</v>
      </c>
      <c r="DJ239" s="15">
        <v>2.648E7</v>
      </c>
      <c r="DK239" s="15">
        <v>2320000.0</v>
      </c>
      <c r="DL239" s="15">
        <v>2330000.0</v>
      </c>
      <c r="DM239" s="15">
        <v>2210000.0</v>
      </c>
      <c r="DN239" s="15">
        <v>1.015E7</v>
      </c>
      <c r="DO239" s="15">
        <v>7260000.0</v>
      </c>
      <c r="DP239" s="15">
        <v>3.78E7</v>
      </c>
      <c r="DQ239" s="15">
        <v>4.328E7</v>
      </c>
      <c r="DR239" s="15">
        <v>4.403E7</v>
      </c>
      <c r="DS239" s="15">
        <v>1.649E7</v>
      </c>
      <c r="DT239" s="15">
        <v>1.481E7</v>
      </c>
      <c r="DU239" s="13"/>
      <c r="DV239" s="12"/>
      <c r="DW239" s="12"/>
      <c r="DX239" s="13"/>
      <c r="DY239" s="13"/>
      <c r="DZ239" s="15">
        <v>6.39E7</v>
      </c>
      <c r="EA239" s="15">
        <v>6.544E7</v>
      </c>
      <c r="EB239" s="15">
        <v>6.076E7</v>
      </c>
      <c r="EC239" s="15">
        <v>8180000.0</v>
      </c>
      <c r="ED239" s="15">
        <v>4890000.0</v>
      </c>
      <c r="EE239" s="17"/>
      <c r="EF239" s="17"/>
      <c r="EG239" s="23" t="s">
        <v>155</v>
      </c>
      <c r="EH239" s="17"/>
    </row>
    <row r="240">
      <c r="A240" s="9">
        <f t="shared" si="2"/>
        <v>238</v>
      </c>
      <c r="B240" s="25" t="s">
        <v>374</v>
      </c>
      <c r="C240" s="12"/>
      <c r="D240" s="12"/>
      <c r="E240" s="12">
        <v>62550.0</v>
      </c>
      <c r="F240" s="12">
        <v>64690.0</v>
      </c>
      <c r="G240" s="12">
        <v>72650.0</v>
      </c>
      <c r="H240" s="12">
        <v>76250.0</v>
      </c>
      <c r="I240" s="12">
        <v>78060.0</v>
      </c>
      <c r="J240" s="12">
        <v>18470.0</v>
      </c>
      <c r="K240" s="12">
        <v>12150.0</v>
      </c>
      <c r="L240" s="12">
        <v>19240.0</v>
      </c>
      <c r="M240" s="12">
        <v>22090.0</v>
      </c>
      <c r="N240" s="12">
        <v>17300.0</v>
      </c>
      <c r="O240" s="12">
        <v>22370.0</v>
      </c>
      <c r="P240" s="12">
        <v>20360.0</v>
      </c>
      <c r="Q240" s="12">
        <v>21190.0</v>
      </c>
      <c r="R240" s="12">
        <v>16870.0</v>
      </c>
      <c r="S240" s="12">
        <v>19700.0</v>
      </c>
      <c r="T240" s="12">
        <v>0.0</v>
      </c>
      <c r="U240" s="15">
        <v>0.0</v>
      </c>
      <c r="V240" s="15">
        <v>0.0</v>
      </c>
      <c r="W240" s="15">
        <v>0.0</v>
      </c>
      <c r="X240" s="15">
        <v>0.0</v>
      </c>
      <c r="Y240" s="12">
        <v>-5550.0</v>
      </c>
      <c r="Z240" s="12">
        <v>-7060.0</v>
      </c>
      <c r="AA240" s="12">
        <v>-1460.0</v>
      </c>
      <c r="AB240" s="12">
        <v>4250.0</v>
      </c>
      <c r="AC240" s="12">
        <v>-2280.0</v>
      </c>
      <c r="AD240" s="12">
        <v>-5810.0</v>
      </c>
      <c r="AE240" s="12">
        <v>-9350.0</v>
      </c>
      <c r="AF240" s="12">
        <v>-2130.0</v>
      </c>
      <c r="AG240" s="12">
        <v>3770.0</v>
      </c>
      <c r="AH240" s="12">
        <v>-3780.0</v>
      </c>
      <c r="AI240" s="12">
        <v>1370.0</v>
      </c>
      <c r="AJ240" s="12">
        <v>-5470.0</v>
      </c>
      <c r="AK240" s="12">
        <v>0.0</v>
      </c>
      <c r="AL240" s="12">
        <v>6470.0</v>
      </c>
      <c r="AM240" s="12">
        <v>0.0</v>
      </c>
      <c r="AN240" s="12">
        <v>-10100.0</v>
      </c>
      <c r="AO240" s="12">
        <v>-12330.0</v>
      </c>
      <c r="AP240" s="12">
        <v>-3590.0</v>
      </c>
      <c r="AQ240" s="12">
        <v>0.0</v>
      </c>
      <c r="AR240" s="12">
        <v>-16720.0</v>
      </c>
      <c r="AS240" s="12">
        <v>4090.0</v>
      </c>
      <c r="AT240" s="12">
        <v>-7180.0</v>
      </c>
      <c r="AU240" s="12">
        <v>0.0</v>
      </c>
      <c r="AV240" s="12">
        <v>-3460.0</v>
      </c>
      <c r="AW240" s="12">
        <v>7980.0</v>
      </c>
      <c r="AX240" s="12">
        <v>-2470.0</v>
      </c>
      <c r="AY240" s="12">
        <v>-1980.0</v>
      </c>
      <c r="AZ240" s="12">
        <v>-3280.0</v>
      </c>
      <c r="BA240" s="12">
        <v>-3760.0</v>
      </c>
      <c r="BB240" s="12">
        <v>0.0</v>
      </c>
      <c r="BC240" s="12">
        <v>0.0</v>
      </c>
      <c r="BD240" s="12">
        <v>0.0</v>
      </c>
      <c r="BE240" s="12">
        <v>0.0</v>
      </c>
      <c r="BF240" s="12">
        <v>0.0</v>
      </c>
      <c r="BG240" s="12">
        <v>0.0</v>
      </c>
      <c r="BH240" s="12">
        <v>5300.0</v>
      </c>
      <c r="BI240" s="12">
        <v>7050.0</v>
      </c>
      <c r="BJ240" s="12">
        <v>4870.0</v>
      </c>
      <c r="BK240" s="12">
        <v>7600.0</v>
      </c>
      <c r="BL240" s="12">
        <v>17860.0</v>
      </c>
      <c r="BM240" s="12">
        <v>13090.0</v>
      </c>
      <c r="BN240" s="12">
        <v>14120.0</v>
      </c>
      <c r="BO240" s="12">
        <v>11260.0</v>
      </c>
      <c r="BP240" s="12">
        <v>16990.0</v>
      </c>
      <c r="BQ240" s="12">
        <v>11120.0</v>
      </c>
      <c r="BR240" s="12">
        <v>2880.0</v>
      </c>
      <c r="BS240" s="12">
        <v>3490.0</v>
      </c>
      <c r="BT240" s="12">
        <v>4820.0</v>
      </c>
      <c r="BU240" s="12">
        <v>6560.0</v>
      </c>
      <c r="BV240" s="12">
        <v>7190.0</v>
      </c>
      <c r="BW240" s="12">
        <v>23020.0</v>
      </c>
      <c r="BX240" s="12">
        <v>26320.0</v>
      </c>
      <c r="BY240" s="12">
        <v>22240.0</v>
      </c>
      <c r="BZ240" s="12">
        <v>33080.0</v>
      </c>
      <c r="CA240" s="12">
        <v>45950.0</v>
      </c>
      <c r="CB240" s="12">
        <v>18700.0</v>
      </c>
      <c r="CC240" s="12">
        <v>15180.0</v>
      </c>
      <c r="CD240" s="12">
        <v>10830.0</v>
      </c>
      <c r="CE240" s="12">
        <v>11700.0</v>
      </c>
      <c r="CF240" s="12">
        <v>11700.0</v>
      </c>
      <c r="CG240" s="12">
        <v>0.0</v>
      </c>
      <c r="CH240" s="12">
        <v>0.0</v>
      </c>
      <c r="CI240" s="12">
        <v>0.0</v>
      </c>
      <c r="CJ240" s="12">
        <v>0.0</v>
      </c>
      <c r="CK240" s="12">
        <v>0.0</v>
      </c>
      <c r="CL240" s="12">
        <v>58560.0</v>
      </c>
      <c r="CM240" s="12">
        <v>59640.0</v>
      </c>
      <c r="CN240" s="12">
        <v>59010.0</v>
      </c>
      <c r="CO240" s="12">
        <v>62440.0</v>
      </c>
      <c r="CP240" s="12">
        <v>66860.0</v>
      </c>
      <c r="CQ240" s="12">
        <v>3270.0</v>
      </c>
      <c r="CR240" s="12">
        <v>4720.0</v>
      </c>
      <c r="CS240" s="12">
        <v>3430.0</v>
      </c>
      <c r="CT240" s="12">
        <v>5180.0</v>
      </c>
      <c r="CU240" s="12">
        <v>4950.0</v>
      </c>
      <c r="CV240" s="12">
        <v>17310.0</v>
      </c>
      <c r="CW240" s="12">
        <v>4050.0</v>
      </c>
      <c r="CX240" s="12">
        <v>3150.0</v>
      </c>
      <c r="CY240" s="12">
        <v>0.0</v>
      </c>
      <c r="CZ240" s="12">
        <v>0.0</v>
      </c>
      <c r="DA240" s="12">
        <v>0.0</v>
      </c>
      <c r="DB240" s="12">
        <v>17310.0</v>
      </c>
      <c r="DC240" s="12">
        <v>14220.0</v>
      </c>
      <c r="DD240" s="12">
        <v>8680.0</v>
      </c>
      <c r="DE240" s="12">
        <v>13650.0</v>
      </c>
      <c r="DF240" s="12">
        <v>32850.0</v>
      </c>
      <c r="DG240" s="12">
        <v>28640.0</v>
      </c>
      <c r="DH240" s="12">
        <v>14890.0</v>
      </c>
      <c r="DI240" s="12">
        <v>17290.0</v>
      </c>
      <c r="DJ240" s="12">
        <v>22350.0</v>
      </c>
      <c r="DK240" s="12">
        <v>13310.0</v>
      </c>
      <c r="DL240" s="12">
        <v>11170.0</v>
      </c>
      <c r="DM240" s="12">
        <v>18050.0</v>
      </c>
      <c r="DN240" s="12">
        <v>13100.0</v>
      </c>
      <c r="DO240" s="12">
        <v>6100.0</v>
      </c>
      <c r="DP240" s="12">
        <v>11820.0</v>
      </c>
      <c r="DQ240" s="12">
        <v>10480.0</v>
      </c>
      <c r="DR240" s="12">
        <v>1980.0</v>
      </c>
      <c r="DS240" s="12">
        <v>0.0</v>
      </c>
      <c r="DT240" s="12">
        <v>0.0</v>
      </c>
      <c r="DU240" s="13">
        <v>0.0</v>
      </c>
      <c r="DV240" s="12">
        <v>0.0</v>
      </c>
      <c r="DW240" s="12">
        <v>0.0</v>
      </c>
      <c r="DX240" s="13">
        <v>0.0</v>
      </c>
      <c r="DY240" s="13">
        <v>0.0</v>
      </c>
      <c r="DZ240" s="12">
        <v>25710.0</v>
      </c>
      <c r="EA240" s="12">
        <v>31000.0</v>
      </c>
      <c r="EB240" s="12">
        <v>44120.0</v>
      </c>
      <c r="EC240" s="12">
        <v>45150.0</v>
      </c>
      <c r="ED240" s="12">
        <v>44510.0</v>
      </c>
      <c r="EE240" s="17"/>
      <c r="EF240" s="17"/>
      <c r="EG240" s="23" t="s">
        <v>155</v>
      </c>
      <c r="EH240" s="17"/>
    </row>
    <row r="241">
      <c r="A241" s="9">
        <f t="shared" si="2"/>
        <v>239</v>
      </c>
      <c r="B241" s="10" t="s">
        <v>375</v>
      </c>
      <c r="C241" s="15">
        <v>4.912E7</v>
      </c>
      <c r="D241" s="15">
        <v>4.495E7</v>
      </c>
      <c r="E241" s="15">
        <v>4.675E7</v>
      </c>
      <c r="F241" s="15">
        <v>4.496E7</v>
      </c>
      <c r="G241" s="15">
        <v>5.004E7</v>
      </c>
      <c r="H241" s="15">
        <v>4.115E7</v>
      </c>
      <c r="I241" s="15">
        <v>3.932E7</v>
      </c>
      <c r="J241" s="15">
        <v>2.694E7</v>
      </c>
      <c r="K241" s="15">
        <v>2.658E7</v>
      </c>
      <c r="L241" s="15">
        <v>2.974E7</v>
      </c>
      <c r="M241" s="15">
        <v>2.4E7</v>
      </c>
      <c r="N241" s="15">
        <v>2.306E7</v>
      </c>
      <c r="O241" s="15">
        <v>1.306E7</v>
      </c>
      <c r="P241" s="12"/>
      <c r="Q241" s="15">
        <v>1.48E7</v>
      </c>
      <c r="R241" s="12"/>
      <c r="S241" s="15">
        <v>1.155E7</v>
      </c>
      <c r="T241" s="15">
        <v>260000.0</v>
      </c>
      <c r="U241" s="15">
        <v>233950.0</v>
      </c>
      <c r="V241" s="15">
        <v>244700.0</v>
      </c>
      <c r="W241" s="15">
        <v>220580.0</v>
      </c>
      <c r="X241" s="15">
        <v>186670.0</v>
      </c>
      <c r="Y241" s="15">
        <v>1.491E7</v>
      </c>
      <c r="Z241" s="12"/>
      <c r="AA241" s="15">
        <v>1.353E7</v>
      </c>
      <c r="AB241" s="12"/>
      <c r="AC241" s="15">
        <v>1.127E7</v>
      </c>
      <c r="AD241" s="15">
        <v>1.128E7</v>
      </c>
      <c r="AE241" s="15">
        <v>6430000.0</v>
      </c>
      <c r="AF241" s="15">
        <v>9440000.0</v>
      </c>
      <c r="AG241" s="15">
        <v>3900000.0</v>
      </c>
      <c r="AH241" s="15">
        <v>1.123E7</v>
      </c>
      <c r="AI241" s="15">
        <v>1.798E7</v>
      </c>
      <c r="AJ241" s="12"/>
      <c r="AK241" s="15">
        <v>1.882E7</v>
      </c>
      <c r="AL241" s="12"/>
      <c r="AM241" s="15">
        <v>1.422E7</v>
      </c>
      <c r="AN241" s="15">
        <v>7820000.0</v>
      </c>
      <c r="AO241" s="12"/>
      <c r="AP241" s="15">
        <v>7060000.0</v>
      </c>
      <c r="AQ241" s="12"/>
      <c r="AR241" s="15">
        <v>7460000.0</v>
      </c>
      <c r="AS241" s="15">
        <v>1.121E7</v>
      </c>
      <c r="AT241" s="12"/>
      <c r="AU241" s="15">
        <v>1.368E7</v>
      </c>
      <c r="AV241" s="12"/>
      <c r="AW241" s="15">
        <v>1.273E7</v>
      </c>
      <c r="AX241" s="15">
        <v>-4650000.0</v>
      </c>
      <c r="AY241" s="12"/>
      <c r="AZ241" s="15">
        <v>-4450000.0</v>
      </c>
      <c r="BA241" s="12"/>
      <c r="BB241" s="15">
        <v>-4280000.0</v>
      </c>
      <c r="BC241" s="15">
        <v>-4480000.0</v>
      </c>
      <c r="BD241" s="15">
        <v>-6580000.0</v>
      </c>
      <c r="BE241" s="15">
        <v>-8220000.0</v>
      </c>
      <c r="BF241" s="15">
        <v>-7640000.0</v>
      </c>
      <c r="BG241" s="15">
        <v>-7180000.0</v>
      </c>
      <c r="BH241" s="15">
        <v>6530000.0</v>
      </c>
      <c r="BI241" s="15">
        <v>6260000.0</v>
      </c>
      <c r="BJ241" s="15">
        <v>1.019E7</v>
      </c>
      <c r="BK241" s="15">
        <v>1.442E7</v>
      </c>
      <c r="BL241" s="15">
        <v>9430000.0</v>
      </c>
      <c r="BM241" s="15">
        <v>5570000.0</v>
      </c>
      <c r="BN241" s="15">
        <v>5690000.0</v>
      </c>
      <c r="BO241" s="15">
        <v>5870000.0</v>
      </c>
      <c r="BP241" s="15">
        <v>6810000.0</v>
      </c>
      <c r="BQ241" s="15">
        <v>4300000.0</v>
      </c>
      <c r="BR241" s="15">
        <v>3940000.0</v>
      </c>
      <c r="BS241" s="15">
        <v>3700000.0</v>
      </c>
      <c r="BT241" s="15">
        <v>3430000.0</v>
      </c>
      <c r="BU241" s="15">
        <v>3710000.0</v>
      </c>
      <c r="BV241" s="15">
        <v>2630000.0</v>
      </c>
      <c r="BW241" s="15">
        <v>2.567E7</v>
      </c>
      <c r="BX241" s="15">
        <v>1.599E7</v>
      </c>
      <c r="BY241" s="15">
        <v>1.995E7</v>
      </c>
      <c r="BZ241" s="15">
        <v>4.083E7</v>
      </c>
      <c r="CA241" s="15">
        <v>1.684E7</v>
      </c>
      <c r="CB241" s="15">
        <v>2.454E7</v>
      </c>
      <c r="CC241" s="15">
        <v>2.416E7</v>
      </c>
      <c r="CD241" s="15">
        <v>2.264E7</v>
      </c>
      <c r="CE241" s="15">
        <v>2.609E7</v>
      </c>
      <c r="CF241" s="15">
        <v>1.745E7</v>
      </c>
      <c r="CG241" s="15">
        <v>1.1413E8</v>
      </c>
      <c r="CH241" s="15">
        <v>1.1662E8</v>
      </c>
      <c r="CI241" s="15">
        <v>1.1737E8</v>
      </c>
      <c r="CJ241" s="15">
        <v>1.2945E8</v>
      </c>
      <c r="CK241" s="15">
        <v>5.989E7</v>
      </c>
      <c r="CL241" s="15">
        <v>2.1228E8</v>
      </c>
      <c r="CM241" s="15">
        <v>2.061E8</v>
      </c>
      <c r="CN241" s="15">
        <v>2.0706E8</v>
      </c>
      <c r="CO241" s="15">
        <v>2.4758E8</v>
      </c>
      <c r="CP241" s="15">
        <v>1.2569E8</v>
      </c>
      <c r="CQ241" s="15">
        <v>1.414E7</v>
      </c>
      <c r="CR241" s="15">
        <v>1.357E7</v>
      </c>
      <c r="CS241" s="15">
        <v>1.269E7</v>
      </c>
      <c r="CT241" s="15">
        <v>1.334E7</v>
      </c>
      <c r="CU241" s="15">
        <v>1.069E7</v>
      </c>
      <c r="CV241" s="15">
        <v>3.104E7</v>
      </c>
      <c r="CW241" s="15">
        <v>4580000.0</v>
      </c>
      <c r="CX241" s="15">
        <v>3750000.0</v>
      </c>
      <c r="CY241" s="15">
        <v>6260000.0</v>
      </c>
      <c r="CZ241" s="15">
        <v>8320000.0</v>
      </c>
      <c r="DA241" s="15">
        <v>5450000.0</v>
      </c>
      <c r="DB241" s="15">
        <v>3.104E7</v>
      </c>
      <c r="DC241" s="15">
        <v>3.046E7</v>
      </c>
      <c r="DD241" s="15">
        <v>3.016E7</v>
      </c>
      <c r="DE241" s="15">
        <v>3.803E7</v>
      </c>
      <c r="DF241" s="15">
        <v>1.3695E8</v>
      </c>
      <c r="DG241" s="12"/>
      <c r="DH241" s="15">
        <v>1.4025E8</v>
      </c>
      <c r="DI241" s="12"/>
      <c r="DJ241" s="15">
        <v>8.36E7</v>
      </c>
      <c r="DK241" s="15">
        <v>5440000.0</v>
      </c>
      <c r="DL241" s="12"/>
      <c r="DM241" s="15">
        <v>4660000.0</v>
      </c>
      <c r="DN241" s="12"/>
      <c r="DO241" s="15">
        <v>683050.0</v>
      </c>
      <c r="DP241" s="15">
        <v>8.692E7</v>
      </c>
      <c r="DQ241" s="15">
        <v>9.36E7</v>
      </c>
      <c r="DR241" s="15">
        <v>9.073E7</v>
      </c>
      <c r="DS241" s="15">
        <v>1.0803E8</v>
      </c>
      <c r="DT241" s="15">
        <v>4.008E7</v>
      </c>
      <c r="DU241" s="13"/>
      <c r="DV241" s="12"/>
      <c r="DW241" s="12"/>
      <c r="DX241" s="13"/>
      <c r="DY241" s="13"/>
      <c r="DZ241" s="15">
        <v>6.746E7</v>
      </c>
      <c r="EA241" s="15">
        <v>5.641E7</v>
      </c>
      <c r="EB241" s="15">
        <v>6.045E7</v>
      </c>
      <c r="EC241" s="15">
        <v>6.764E7</v>
      </c>
      <c r="ED241" s="15">
        <v>3.879E7</v>
      </c>
      <c r="EE241" s="17">
        <v>0.144</v>
      </c>
      <c r="EF241" s="17">
        <v>0.114</v>
      </c>
      <c r="EG241" s="17">
        <v>-1.471</v>
      </c>
      <c r="EH241" s="17">
        <v>-0.527</v>
      </c>
    </row>
    <row r="242">
      <c r="A242" s="9">
        <f t="shared" si="2"/>
        <v>240</v>
      </c>
      <c r="B242" s="10" t="s">
        <v>376</v>
      </c>
      <c r="C242" s="11">
        <v>7720000.0</v>
      </c>
      <c r="D242" s="11">
        <v>6000000.0</v>
      </c>
      <c r="E242" s="11">
        <v>7290000.0</v>
      </c>
      <c r="F242" s="11">
        <v>6670000.0</v>
      </c>
      <c r="G242" s="11">
        <v>6110000.0</v>
      </c>
      <c r="H242" s="11">
        <v>5590000.0</v>
      </c>
      <c r="I242" s="11">
        <v>5130000.0</v>
      </c>
      <c r="J242" s="11">
        <v>2850000.0</v>
      </c>
      <c r="K242" s="11">
        <v>2580000.0</v>
      </c>
      <c r="L242" s="11">
        <v>2350000.0</v>
      </c>
      <c r="M242" s="11">
        <v>2110000.0</v>
      </c>
      <c r="N242" s="11">
        <v>1900000.0</v>
      </c>
      <c r="O242" s="11">
        <v>2230000.0</v>
      </c>
      <c r="P242" s="11">
        <v>2020000.0</v>
      </c>
      <c r="Q242" s="11">
        <v>1860000.0</v>
      </c>
      <c r="R242" s="11">
        <v>1720000.0</v>
      </c>
      <c r="S242" s="11">
        <v>1600000.0</v>
      </c>
      <c r="T242" s="12"/>
      <c r="U242" s="12"/>
      <c r="V242" s="12"/>
      <c r="W242" s="12"/>
      <c r="X242" s="12"/>
      <c r="Y242" s="11">
        <v>622920.0</v>
      </c>
      <c r="Z242" s="11">
        <v>555880.0</v>
      </c>
      <c r="AA242" s="11">
        <v>478870.0</v>
      </c>
      <c r="AB242" s="11">
        <v>378540.0</v>
      </c>
      <c r="AC242" s="11">
        <v>-7010.0</v>
      </c>
      <c r="AD242" s="11">
        <v>580530.0</v>
      </c>
      <c r="AE242" s="11">
        <v>507580.0</v>
      </c>
      <c r="AF242" s="11">
        <v>428980.0</v>
      </c>
      <c r="AG242" s="11">
        <v>333210.0</v>
      </c>
      <c r="AH242" s="11">
        <v>238880.0</v>
      </c>
      <c r="AI242" s="11">
        <v>842080.0</v>
      </c>
      <c r="AJ242" s="11">
        <v>781620.0</v>
      </c>
      <c r="AK242" s="11">
        <v>687240.0</v>
      </c>
      <c r="AL242" s="11">
        <v>569730.0</v>
      </c>
      <c r="AM242" s="11">
        <v>471120.0</v>
      </c>
      <c r="AN242" s="11">
        <v>465120.0</v>
      </c>
      <c r="AO242" s="11">
        <v>414750.0</v>
      </c>
      <c r="AP242" s="11">
        <v>384850.0</v>
      </c>
      <c r="AQ242" s="11">
        <v>215870.0</v>
      </c>
      <c r="AR242" s="11">
        <v>150480.0</v>
      </c>
      <c r="AS242" s="11">
        <v>891730.0</v>
      </c>
      <c r="AT242" s="11">
        <v>639650.0</v>
      </c>
      <c r="AU242" s="11">
        <v>607250.0</v>
      </c>
      <c r="AV242" s="11">
        <v>602450.0</v>
      </c>
      <c r="AW242" s="11">
        <v>327460.0</v>
      </c>
      <c r="AX242" s="11">
        <v>-328360.0</v>
      </c>
      <c r="AY242" s="11">
        <v>-295770.0</v>
      </c>
      <c r="AZ242" s="11">
        <v>-268200.0</v>
      </c>
      <c r="BA242" s="11">
        <v>-187510.0</v>
      </c>
      <c r="BB242" s="11">
        <v>-201790.0</v>
      </c>
      <c r="BC242" s="12"/>
      <c r="BD242" s="12"/>
      <c r="BE242" s="12"/>
      <c r="BF242" s="12"/>
      <c r="BG242" s="12"/>
      <c r="BH242" s="11">
        <v>409660.0</v>
      </c>
      <c r="BI242" s="11">
        <v>134160.0</v>
      </c>
      <c r="BJ242" s="11">
        <v>161090.0</v>
      </c>
      <c r="BK242" s="11">
        <v>109400.0</v>
      </c>
      <c r="BL242" s="11">
        <v>48720.0</v>
      </c>
      <c r="BM242" s="11">
        <v>91510.0</v>
      </c>
      <c r="BN242" s="11">
        <v>58750.0</v>
      </c>
      <c r="BO242" s="11">
        <v>71650.0</v>
      </c>
      <c r="BP242" s="11">
        <v>43250.0</v>
      </c>
      <c r="BQ242" s="11">
        <v>38570.0</v>
      </c>
      <c r="BR242" s="11">
        <v>777250.0</v>
      </c>
      <c r="BS242" s="11">
        <v>954180.0</v>
      </c>
      <c r="BT242" s="11">
        <v>752560.0</v>
      </c>
      <c r="BU242" s="11">
        <v>701890.0</v>
      </c>
      <c r="BV242" s="11">
        <v>783530.0</v>
      </c>
      <c r="BW242" s="11">
        <v>1420000.0</v>
      </c>
      <c r="BX242" s="11">
        <v>1270000.0</v>
      </c>
      <c r="BY242" s="11">
        <v>1100000.0</v>
      </c>
      <c r="BZ242" s="11">
        <v>928320.0</v>
      </c>
      <c r="CA242" s="11">
        <v>932980.0</v>
      </c>
      <c r="CB242" s="11">
        <v>3800000.0</v>
      </c>
      <c r="CC242" s="11">
        <v>1250000.0</v>
      </c>
      <c r="CD242" s="11">
        <v>1130000.0</v>
      </c>
      <c r="CE242" s="11">
        <v>1050000.0</v>
      </c>
      <c r="CF242" s="11">
        <v>1020000.0</v>
      </c>
      <c r="CG242" s="11">
        <v>47060.0</v>
      </c>
      <c r="CH242" s="11">
        <v>47060.0</v>
      </c>
      <c r="CI242" s="11">
        <v>47060.0</v>
      </c>
      <c r="CJ242" s="11">
        <v>47060.0</v>
      </c>
      <c r="CK242" s="11">
        <v>47060.0</v>
      </c>
      <c r="CL242" s="11">
        <v>5590000.0</v>
      </c>
      <c r="CM242" s="11">
        <v>3080000.0</v>
      </c>
      <c r="CN242" s="11">
        <v>2810000.0</v>
      </c>
      <c r="CO242" s="11">
        <v>2570000.0</v>
      </c>
      <c r="CP242" s="11">
        <v>2570000.0</v>
      </c>
      <c r="CQ242" s="11">
        <v>759110.0</v>
      </c>
      <c r="CR242" s="11">
        <v>848560.0</v>
      </c>
      <c r="CS242" s="11">
        <v>736250.0</v>
      </c>
      <c r="CT242" s="11">
        <v>640330.0</v>
      </c>
      <c r="CU242" s="11">
        <v>598200.0</v>
      </c>
      <c r="CV242" s="11">
        <v>1460000.0</v>
      </c>
      <c r="CW242" s="11">
        <v>302190.0</v>
      </c>
      <c r="CX242" s="12"/>
      <c r="CY242" s="13"/>
      <c r="CZ242" s="13"/>
      <c r="DA242" s="12"/>
      <c r="DB242" s="11">
        <v>1460000.0</v>
      </c>
      <c r="DC242" s="11">
        <v>1250000.0</v>
      </c>
      <c r="DD242" s="11">
        <v>1120000.0</v>
      </c>
      <c r="DE242" s="11">
        <v>996830.0</v>
      </c>
      <c r="DF242" s="11">
        <v>5070000.0</v>
      </c>
      <c r="DG242" s="11">
        <v>2760000.0</v>
      </c>
      <c r="DH242" s="11">
        <v>2730000.0</v>
      </c>
      <c r="DI242" s="11">
        <v>2620000.0</v>
      </c>
      <c r="DJ242" s="11">
        <v>2670000.0</v>
      </c>
      <c r="DK242" s="12"/>
      <c r="DL242" s="12"/>
      <c r="DM242" s="11"/>
      <c r="DN242" s="11"/>
      <c r="DO242" s="12"/>
      <c r="DP242" s="11">
        <v>3320000.0</v>
      </c>
      <c r="DQ242" s="11">
        <v>983640.0</v>
      </c>
      <c r="DR242" s="11">
        <v>1110000.0</v>
      </c>
      <c r="DS242" s="11">
        <v>1130000.0</v>
      </c>
      <c r="DT242" s="11">
        <v>1300000.0</v>
      </c>
      <c r="DU242" s="13"/>
      <c r="DV242" s="12"/>
      <c r="DW242" s="12"/>
      <c r="DX242" s="12"/>
      <c r="DY242" s="12"/>
      <c r="DZ242" s="11">
        <v>528150.0</v>
      </c>
      <c r="EA242" s="11">
        <v>322710.0</v>
      </c>
      <c r="EB242" s="11">
        <v>86770.0</v>
      </c>
      <c r="EC242" s="11">
        <v>-49810.0</v>
      </c>
      <c r="ED242" s="11">
        <v>-99020.0</v>
      </c>
      <c r="EE242" s="14">
        <v>0.142</v>
      </c>
      <c r="EF242" s="14">
        <v>0.155</v>
      </c>
      <c r="EG242" s="14">
        <v>-2.071</v>
      </c>
      <c r="EH242" s="14">
        <v>-0.441</v>
      </c>
    </row>
    <row r="243">
      <c r="A243" s="9">
        <f t="shared" si="2"/>
        <v>241</v>
      </c>
      <c r="B243" s="10" t="s">
        <v>377</v>
      </c>
      <c r="C243" s="15">
        <v>940600.0</v>
      </c>
      <c r="D243" s="15">
        <v>833030.0</v>
      </c>
      <c r="E243" s="15">
        <v>2880000.0</v>
      </c>
      <c r="F243" s="15">
        <v>3790000.0</v>
      </c>
      <c r="G243" s="15">
        <v>4160000.0</v>
      </c>
      <c r="H243" s="15">
        <v>3620000.0</v>
      </c>
      <c r="I243" s="15">
        <v>3000000.0</v>
      </c>
      <c r="J243" s="15">
        <v>126460.0</v>
      </c>
      <c r="K243" s="15">
        <v>416470.0</v>
      </c>
      <c r="L243" s="15">
        <v>889140.0</v>
      </c>
      <c r="M243" s="15">
        <v>729000.0</v>
      </c>
      <c r="N243" s="15">
        <v>-138120.0</v>
      </c>
      <c r="O243" s="15">
        <v>319660.0</v>
      </c>
      <c r="P243" s="15">
        <v>336660.0</v>
      </c>
      <c r="Q243" s="15">
        <v>341310.0</v>
      </c>
      <c r="R243" s="15">
        <v>334650.0</v>
      </c>
      <c r="S243" s="15">
        <v>337730.0</v>
      </c>
      <c r="T243" s="15">
        <v>0.0</v>
      </c>
      <c r="U243" s="15">
        <v>0.0</v>
      </c>
      <c r="V243" s="15">
        <v>0.0</v>
      </c>
      <c r="W243" s="15">
        <v>0.0</v>
      </c>
      <c r="X243" s="15">
        <v>0.0</v>
      </c>
      <c r="Y243" s="15">
        <v>-271880.0</v>
      </c>
      <c r="Z243" s="15">
        <v>130160.0</v>
      </c>
      <c r="AA243" s="15">
        <v>389640.0</v>
      </c>
      <c r="AB243" s="15">
        <v>373780.0</v>
      </c>
      <c r="AC243" s="15">
        <v>-461220.0</v>
      </c>
      <c r="AD243" s="15">
        <v>-304530.0</v>
      </c>
      <c r="AE243" s="15">
        <v>92620.0</v>
      </c>
      <c r="AF243" s="15">
        <v>258690.0</v>
      </c>
      <c r="AG243" s="15">
        <v>371570.0</v>
      </c>
      <c r="AH243" s="15">
        <v>-566690.0</v>
      </c>
      <c r="AI243" s="15">
        <v>528760.0</v>
      </c>
      <c r="AJ243" s="15">
        <v>935040.0</v>
      </c>
      <c r="AK243" s="15">
        <v>1210000.0</v>
      </c>
      <c r="AL243" s="15">
        <v>1060000.0</v>
      </c>
      <c r="AM243" s="15">
        <v>307240.0</v>
      </c>
      <c r="AN243" s="15">
        <v>-5650.0</v>
      </c>
      <c r="AO243" s="15">
        <v>-5380.0</v>
      </c>
      <c r="AP243" s="15">
        <v>231240.0</v>
      </c>
      <c r="AQ243" s="15">
        <v>-1030000.0</v>
      </c>
      <c r="AR243" s="15">
        <v>-980230.0</v>
      </c>
      <c r="AS243" s="15">
        <v>157080.0</v>
      </c>
      <c r="AT243" s="15">
        <v>1140000.0</v>
      </c>
      <c r="AU243" s="15">
        <v>693130.0</v>
      </c>
      <c r="AV243" s="15">
        <v>1320000.0</v>
      </c>
      <c r="AW243" s="15">
        <v>405420.0</v>
      </c>
      <c r="AX243" s="15">
        <v>-354860.0</v>
      </c>
      <c r="AY243" s="15">
        <v>-393770.0</v>
      </c>
      <c r="AZ243" s="15">
        <v>-863760.0</v>
      </c>
      <c r="BA243" s="15">
        <v>-1260000.0</v>
      </c>
      <c r="BB243" s="15">
        <v>-673110.0</v>
      </c>
      <c r="BC243" s="15">
        <v>-73750.0</v>
      </c>
      <c r="BD243" s="15">
        <v>-75140.0</v>
      </c>
      <c r="BE243" s="15">
        <v>-72050.0</v>
      </c>
      <c r="BF243" s="15">
        <v>-25720.0</v>
      </c>
      <c r="BG243" s="16">
        <v>0.0</v>
      </c>
      <c r="BH243" s="15">
        <v>695480.0</v>
      </c>
      <c r="BI243" s="15">
        <v>1250000.0</v>
      </c>
      <c r="BJ243" s="15">
        <v>719310.0</v>
      </c>
      <c r="BK243" s="15">
        <v>270050.0</v>
      </c>
      <c r="BL243" s="15">
        <v>267860.0</v>
      </c>
      <c r="BM243" s="15">
        <v>1050000.0</v>
      </c>
      <c r="BN243" s="15">
        <v>779940.0</v>
      </c>
      <c r="BO243" s="15">
        <v>1070000.0</v>
      </c>
      <c r="BP243" s="15">
        <v>969120.0</v>
      </c>
      <c r="BQ243" s="15">
        <v>906700.0</v>
      </c>
      <c r="BR243" s="15">
        <v>324400.0</v>
      </c>
      <c r="BS243" s="15">
        <v>459200.0</v>
      </c>
      <c r="BT243" s="15">
        <v>428680.0</v>
      </c>
      <c r="BU243" s="15">
        <v>405520.0</v>
      </c>
      <c r="BV243" s="15">
        <v>346170.0</v>
      </c>
      <c r="BW243" s="15">
        <v>2150000.0</v>
      </c>
      <c r="BX243" s="15">
        <v>2570000.0</v>
      </c>
      <c r="BY243" s="15">
        <v>2270000.0</v>
      </c>
      <c r="BZ243" s="15">
        <v>1680000.0</v>
      </c>
      <c r="CA243" s="15">
        <v>1600000.0</v>
      </c>
      <c r="CB243" s="15">
        <v>5810000.0</v>
      </c>
      <c r="CC243" s="15">
        <v>6240000.0</v>
      </c>
      <c r="CD243" s="15">
        <v>6320000.0</v>
      </c>
      <c r="CE243" s="15">
        <v>6570000.0</v>
      </c>
      <c r="CF243" s="15">
        <v>5960000.0</v>
      </c>
      <c r="CG243" s="15">
        <v>0.0</v>
      </c>
      <c r="CH243" s="15">
        <v>0.0</v>
      </c>
      <c r="CI243" s="15">
        <v>0.0</v>
      </c>
      <c r="CJ243" s="15">
        <v>0.0</v>
      </c>
      <c r="CK243" s="15">
        <v>0.0</v>
      </c>
      <c r="CL243" s="15">
        <v>1.36E7</v>
      </c>
      <c r="CM243" s="15">
        <v>1.425E7</v>
      </c>
      <c r="CN243" s="15">
        <v>1.404E7</v>
      </c>
      <c r="CO243" s="15">
        <v>1.43E7</v>
      </c>
      <c r="CP243" s="15">
        <v>1.551E7</v>
      </c>
      <c r="CQ243" s="15">
        <v>434670.0</v>
      </c>
      <c r="CR243" s="15">
        <v>523660.0</v>
      </c>
      <c r="CS243" s="15">
        <v>631110.0</v>
      </c>
      <c r="CT243" s="15">
        <v>784960.0</v>
      </c>
      <c r="CU243" s="15">
        <v>717370.0</v>
      </c>
      <c r="CV243" s="15">
        <v>1870000.0</v>
      </c>
      <c r="CW243" s="15">
        <v>1060000.0</v>
      </c>
      <c r="CX243" s="15">
        <v>476930.0</v>
      </c>
      <c r="CY243" s="15">
        <v>676980.0</v>
      </c>
      <c r="CZ243" s="15">
        <v>336950.0</v>
      </c>
      <c r="DA243" s="15">
        <v>1130000.0</v>
      </c>
      <c r="DB243" s="15">
        <v>1870000.0</v>
      </c>
      <c r="DC243" s="15">
        <v>1350000.0</v>
      </c>
      <c r="DD243" s="15">
        <v>1690000.0</v>
      </c>
      <c r="DE243" s="15">
        <v>1490000.0</v>
      </c>
      <c r="DF243" s="15">
        <v>3770000.0</v>
      </c>
      <c r="DG243" s="15">
        <v>4010000.0</v>
      </c>
      <c r="DH243" s="15">
        <v>4110000.0</v>
      </c>
      <c r="DI243" s="15">
        <v>4090000.0</v>
      </c>
      <c r="DJ243" s="15">
        <v>3950000.0</v>
      </c>
      <c r="DK243" s="15">
        <v>4930000.0</v>
      </c>
      <c r="DL243" s="15">
        <v>4980000.0</v>
      </c>
      <c r="DM243" s="15">
        <v>4980000.0</v>
      </c>
      <c r="DN243" s="15">
        <v>5190000.0</v>
      </c>
      <c r="DO243" s="15">
        <v>7010000.0</v>
      </c>
      <c r="DP243" s="15">
        <v>1070000.0</v>
      </c>
      <c r="DQ243" s="15">
        <v>1880000.0</v>
      </c>
      <c r="DR243" s="15">
        <v>1840000.0</v>
      </c>
      <c r="DS243" s="15">
        <v>1920000.0</v>
      </c>
      <c r="DT243" s="15">
        <v>1150000.0</v>
      </c>
      <c r="DU243" s="16">
        <v>0.0</v>
      </c>
      <c r="DV243" s="15">
        <v>0.0</v>
      </c>
      <c r="DW243" s="15">
        <v>0.0</v>
      </c>
      <c r="DX243" s="16">
        <v>0.0</v>
      </c>
      <c r="DY243" s="16">
        <v>0.0</v>
      </c>
      <c r="DZ243" s="15">
        <v>9180000.0</v>
      </c>
      <c r="EA243" s="15">
        <v>9490000.0</v>
      </c>
      <c r="EB243" s="15">
        <v>9230000.0</v>
      </c>
      <c r="EC243" s="15">
        <v>9460000.0</v>
      </c>
      <c r="ED243" s="15">
        <v>1.078E7</v>
      </c>
      <c r="EE243" s="17">
        <v>0.653</v>
      </c>
      <c r="EF243" s="17">
        <v>0.199</v>
      </c>
      <c r="EG243" s="17">
        <v>-5.0</v>
      </c>
      <c r="EH243" s="17">
        <v>-2.206</v>
      </c>
    </row>
    <row r="244">
      <c r="A244" s="9">
        <f t="shared" si="2"/>
        <v>242</v>
      </c>
      <c r="B244" s="22" t="s">
        <v>378</v>
      </c>
      <c r="C244" s="12"/>
      <c r="D244" s="12"/>
      <c r="E244" s="12"/>
      <c r="F244" s="12"/>
      <c r="G244" s="12"/>
      <c r="H244" s="12"/>
      <c r="I244" s="12"/>
      <c r="J244" s="11">
        <v>-462.0</v>
      </c>
      <c r="K244" s="11">
        <v>-72.0</v>
      </c>
      <c r="L244" s="11">
        <v>-124.0</v>
      </c>
      <c r="M244" s="11">
        <v>-162.0</v>
      </c>
      <c r="N244" s="11">
        <v>-162.0</v>
      </c>
      <c r="O244" s="11">
        <v>21530.0</v>
      </c>
      <c r="P244" s="11">
        <v>21360.0</v>
      </c>
      <c r="Q244" s="11">
        <v>6500.0</v>
      </c>
      <c r="R244" s="11">
        <v>2950.0</v>
      </c>
      <c r="S244" s="11">
        <v>2750.0</v>
      </c>
      <c r="T244" s="11">
        <v>18900.0</v>
      </c>
      <c r="U244" s="11">
        <v>19950.0</v>
      </c>
      <c r="V244" s="11">
        <v>5170.0</v>
      </c>
      <c r="W244" s="11">
        <v>1890.0</v>
      </c>
      <c r="X244" s="11">
        <v>1910.0</v>
      </c>
      <c r="Y244" s="11">
        <v>-25190.0</v>
      </c>
      <c r="Z244" s="11">
        <v>-20880.0</v>
      </c>
      <c r="AA244" s="11">
        <v>-8860.0</v>
      </c>
      <c r="AB244" s="11">
        <v>-2340.0</v>
      </c>
      <c r="AC244" s="11">
        <v>-2760.0</v>
      </c>
      <c r="AD244" s="11">
        <v>-30650.0</v>
      </c>
      <c r="AE244" s="11">
        <v>-24400.0</v>
      </c>
      <c r="AF244" s="11">
        <v>-9680.0</v>
      </c>
      <c r="AG244" s="11">
        <v>-2400.0</v>
      </c>
      <c r="AH244" s="11">
        <v>-2620.0</v>
      </c>
      <c r="AI244" s="11">
        <v>-21530.0</v>
      </c>
      <c r="AJ244" s="11">
        <v>-21360.0</v>
      </c>
      <c r="AK244" s="11">
        <v>-6500.0</v>
      </c>
      <c r="AL244" s="11">
        <v>-2950.0</v>
      </c>
      <c r="AM244" s="11">
        <v>-2750.0</v>
      </c>
      <c r="AN244" s="11">
        <v>-30650.0</v>
      </c>
      <c r="AO244" s="11">
        <v>-24400.0</v>
      </c>
      <c r="AP244" s="11">
        <v>-9680.0</v>
      </c>
      <c r="AQ244" s="11">
        <v>-2400.0</v>
      </c>
      <c r="AR244" s="11">
        <v>-2620.0</v>
      </c>
      <c r="AS244" s="11">
        <v>-21630.0</v>
      </c>
      <c r="AT244" s="11">
        <v>-15910.0</v>
      </c>
      <c r="AU244" s="11">
        <v>-2820.0</v>
      </c>
      <c r="AV244" s="11">
        <v>-2520.0</v>
      </c>
      <c r="AW244" s="11">
        <v>-2640.0</v>
      </c>
      <c r="AX244" s="11">
        <v>-2090.0</v>
      </c>
      <c r="AY244" s="11">
        <v>-6600.0</v>
      </c>
      <c r="AZ244" s="11">
        <v>-1260.0</v>
      </c>
      <c r="BA244" s="11">
        <v>-5.0</v>
      </c>
      <c r="BB244" s="11">
        <v>-9.0</v>
      </c>
      <c r="BC244" s="12"/>
      <c r="BD244" s="12"/>
      <c r="BE244" s="12"/>
      <c r="BF244" s="12"/>
      <c r="BG244" s="12"/>
      <c r="BH244" s="11">
        <v>20980.0</v>
      </c>
      <c r="BI244" s="11">
        <v>20310.0</v>
      </c>
      <c r="BJ244" s="11">
        <v>20560.0</v>
      </c>
      <c r="BK244" s="11">
        <v>6580.0</v>
      </c>
      <c r="BL244" s="11">
        <v>9120.0</v>
      </c>
      <c r="BM244" s="11">
        <v>190.0</v>
      </c>
      <c r="BN244" s="11">
        <v>102.0</v>
      </c>
      <c r="BO244" s="11">
        <v>1130.0</v>
      </c>
      <c r="BP244" s="11">
        <v>199.0</v>
      </c>
      <c r="BQ244" s="11">
        <v>371.0</v>
      </c>
      <c r="BR244" s="12"/>
      <c r="BS244" s="12"/>
      <c r="BT244" s="12"/>
      <c r="BU244" s="12"/>
      <c r="BV244" s="12"/>
      <c r="BW244" s="11">
        <v>21170.0</v>
      </c>
      <c r="BX244" s="11">
        <v>20570.0</v>
      </c>
      <c r="BY244" s="11">
        <v>21690.0</v>
      </c>
      <c r="BZ244" s="11">
        <v>6790.0</v>
      </c>
      <c r="CA244" s="11">
        <v>9490.0</v>
      </c>
      <c r="CB244" s="11">
        <v>12190.0</v>
      </c>
      <c r="CC244" s="11">
        <v>7560.0</v>
      </c>
      <c r="CD244" s="11">
        <v>1590.0</v>
      </c>
      <c r="CE244" s="11">
        <v>375.0</v>
      </c>
      <c r="CF244" s="11">
        <v>525.0</v>
      </c>
      <c r="CG244" s="12"/>
      <c r="CH244" s="12"/>
      <c r="CI244" s="12"/>
      <c r="CJ244" s="12"/>
      <c r="CK244" s="12"/>
      <c r="CL244" s="11">
        <v>33510.0</v>
      </c>
      <c r="CM244" s="11">
        <v>28320.0</v>
      </c>
      <c r="CN244" s="11">
        <v>23530.0</v>
      </c>
      <c r="CO244" s="11">
        <v>7820.0</v>
      </c>
      <c r="CP244" s="11">
        <v>10620.0</v>
      </c>
      <c r="CQ244" s="11">
        <v>4940.0</v>
      </c>
      <c r="CR244" s="11">
        <v>5550.0</v>
      </c>
      <c r="CS244" s="11">
        <v>1790.0</v>
      </c>
      <c r="CT244" s="11">
        <v>178.0</v>
      </c>
      <c r="CU244" s="12"/>
      <c r="CV244" s="11">
        <v>5490.0</v>
      </c>
      <c r="CW244" s="12"/>
      <c r="CX244" s="12"/>
      <c r="CY244" s="12"/>
      <c r="CZ244" s="12"/>
      <c r="DA244" s="12"/>
      <c r="DB244" s="11">
        <v>5490.0</v>
      </c>
      <c r="DC244" s="11">
        <v>5830.0</v>
      </c>
      <c r="DD244" s="11">
        <v>1980.0</v>
      </c>
      <c r="DE244" s="11">
        <v>357.0</v>
      </c>
      <c r="DF244" s="11">
        <v>48060.0</v>
      </c>
      <c r="DG244" s="11">
        <v>32760.0</v>
      </c>
      <c r="DH244" s="11">
        <v>4360.0</v>
      </c>
      <c r="DI244" s="11">
        <v>1170.0</v>
      </c>
      <c r="DJ244" s="11">
        <v>1990.0</v>
      </c>
      <c r="DK244" s="11">
        <v>138.0</v>
      </c>
      <c r="DL244" s="11">
        <v>189.0</v>
      </c>
      <c r="DM244" s="11">
        <v>253.0</v>
      </c>
      <c r="DN244" s="11">
        <v>657.0</v>
      </c>
      <c r="DO244" s="24">
        <v>600.0</v>
      </c>
      <c r="DP244" s="11">
        <v>37810.0</v>
      </c>
      <c r="DQ244" s="11">
        <v>25250.0</v>
      </c>
      <c r="DR244" s="12"/>
      <c r="DS244" s="12"/>
      <c r="DT244" s="12"/>
      <c r="DU244" s="13"/>
      <c r="DV244" s="12"/>
      <c r="DW244" s="12"/>
      <c r="DX244" s="13"/>
      <c r="DY244" s="13"/>
      <c r="DZ244" s="11">
        <v>-18830.0</v>
      </c>
      <c r="EA244" s="11">
        <v>-8350.0</v>
      </c>
      <c r="EB244" s="11">
        <v>16200.0</v>
      </c>
      <c r="EC244" s="11">
        <v>6660.0</v>
      </c>
      <c r="ED244" s="11">
        <v>8620.0</v>
      </c>
      <c r="EE244" s="23"/>
      <c r="EF244" s="23"/>
      <c r="EG244" s="14">
        <v>-25.667</v>
      </c>
      <c r="EH244" s="23"/>
    </row>
    <row r="245">
      <c r="A245" s="9">
        <f t="shared" si="2"/>
        <v>243</v>
      </c>
      <c r="B245" s="22" t="s">
        <v>379</v>
      </c>
      <c r="C245" s="11">
        <v>29300.0</v>
      </c>
      <c r="D245" s="11">
        <v>21180.0</v>
      </c>
      <c r="E245" s="11">
        <v>82310.0</v>
      </c>
      <c r="F245" s="11">
        <v>58950.0</v>
      </c>
      <c r="G245" s="11">
        <v>38380.0</v>
      </c>
      <c r="H245" s="11">
        <v>42410.0</v>
      </c>
      <c r="I245" s="11">
        <v>26420.0</v>
      </c>
      <c r="J245" s="11">
        <v>63610.0</v>
      </c>
      <c r="K245" s="11">
        <v>45830.0</v>
      </c>
      <c r="L245" s="11">
        <v>28850.0</v>
      </c>
      <c r="M245" s="11">
        <v>32780.0</v>
      </c>
      <c r="N245" s="11">
        <v>20480.0</v>
      </c>
      <c r="O245" s="11">
        <v>93810.0</v>
      </c>
      <c r="P245" s="11">
        <v>64210.0</v>
      </c>
      <c r="Q245" s="11">
        <v>54340.0</v>
      </c>
      <c r="R245" s="11">
        <v>42540.0</v>
      </c>
      <c r="S245" s="11">
        <v>37990.0</v>
      </c>
      <c r="T245" s="11">
        <v>27920.0</v>
      </c>
      <c r="U245" s="11">
        <v>22020.0</v>
      </c>
      <c r="V245" s="11">
        <v>19150.0</v>
      </c>
      <c r="W245" s="11">
        <v>14420.0</v>
      </c>
      <c r="X245" s="11">
        <v>15820.0</v>
      </c>
      <c r="Y245" s="11">
        <v>-29980.0</v>
      </c>
      <c r="Z245" s="11">
        <v>-18490.0</v>
      </c>
      <c r="AA245" s="11">
        <v>-23640.0</v>
      </c>
      <c r="AB245" s="11">
        <v>-7730.0</v>
      </c>
      <c r="AC245" s="11">
        <v>-15100.0</v>
      </c>
      <c r="AD245" s="11">
        <v>-35300.0</v>
      </c>
      <c r="AE245" s="11">
        <v>-22540.0</v>
      </c>
      <c r="AF245" s="11">
        <v>-24770.0</v>
      </c>
      <c r="AG245" s="11">
        <v>-9200.0</v>
      </c>
      <c r="AH245" s="11">
        <v>-15880.0</v>
      </c>
      <c r="AI245" s="11">
        <v>-20240.0</v>
      </c>
      <c r="AJ245" s="11">
        <v>-13970.0</v>
      </c>
      <c r="AK245" s="11">
        <v>-21630.0</v>
      </c>
      <c r="AL245" s="11">
        <v>-7270.0</v>
      </c>
      <c r="AM245" s="11">
        <v>-15130.0</v>
      </c>
      <c r="AN245" s="11">
        <v>-36800.0</v>
      </c>
      <c r="AO245" s="11">
        <v>-23290.0</v>
      </c>
      <c r="AP245" s="11">
        <v>-25370.0</v>
      </c>
      <c r="AQ245" s="11">
        <v>-9200.0</v>
      </c>
      <c r="AR245" s="11">
        <v>-15880.0</v>
      </c>
      <c r="AS245" s="11">
        <v>-25810.0</v>
      </c>
      <c r="AT245" s="11">
        <v>-13560.0</v>
      </c>
      <c r="AU245" s="11">
        <v>-12470.0</v>
      </c>
      <c r="AV245" s="11">
        <v>-9220.0</v>
      </c>
      <c r="AW245" s="11">
        <v>-17690.0</v>
      </c>
      <c r="AX245" s="11">
        <v>-11800.0</v>
      </c>
      <c r="AY245" s="11">
        <v>-7090.0</v>
      </c>
      <c r="AZ245" s="11">
        <v>-3540.0</v>
      </c>
      <c r="BA245" s="11">
        <v>-1570.0</v>
      </c>
      <c r="BB245" s="11">
        <v>-8820.0</v>
      </c>
      <c r="BC245" s="12"/>
      <c r="BD245" s="12"/>
      <c r="BE245" s="12"/>
      <c r="BF245" s="12"/>
      <c r="BG245" s="12"/>
      <c r="BH245" s="11">
        <v>75630.0</v>
      </c>
      <c r="BI245" s="11">
        <v>33890.0</v>
      </c>
      <c r="BJ245" s="11">
        <v>50540.0</v>
      </c>
      <c r="BK245" s="11">
        <v>37560.0</v>
      </c>
      <c r="BL245" s="11">
        <v>46460.0</v>
      </c>
      <c r="BM245" s="11">
        <v>21630.0</v>
      </c>
      <c r="BN245" s="11">
        <v>15270.0</v>
      </c>
      <c r="BO245" s="11">
        <v>11480.0</v>
      </c>
      <c r="BP245" s="11">
        <v>12880.0</v>
      </c>
      <c r="BQ245" s="11">
        <v>10950.0</v>
      </c>
      <c r="BR245" s="12"/>
      <c r="BS245" s="12"/>
      <c r="BT245" s="12"/>
      <c r="BU245" s="12"/>
      <c r="BV245" s="12"/>
      <c r="BW245" s="11">
        <v>99580.0</v>
      </c>
      <c r="BX245" s="11">
        <v>50360.0</v>
      </c>
      <c r="BY245" s="11">
        <v>62100.0</v>
      </c>
      <c r="BZ245" s="11">
        <v>50460.0</v>
      </c>
      <c r="CA245" s="11">
        <v>57840.0</v>
      </c>
      <c r="CB245" s="11">
        <v>33640.0</v>
      </c>
      <c r="CC245" s="11">
        <v>28500.0</v>
      </c>
      <c r="CD245" s="11">
        <v>24620.0</v>
      </c>
      <c r="CE245" s="11">
        <v>26250.0</v>
      </c>
      <c r="CF245" s="11">
        <v>28520.0</v>
      </c>
      <c r="CG245" s="12"/>
      <c r="CH245" s="12"/>
      <c r="CI245" s="12"/>
      <c r="CJ245" s="12"/>
      <c r="CK245" s="12"/>
      <c r="CL245" s="11">
        <v>133790.0</v>
      </c>
      <c r="CM245" s="11">
        <v>88190.0</v>
      </c>
      <c r="CN245" s="11">
        <v>93840.0</v>
      </c>
      <c r="CO245" s="11">
        <v>76830.0</v>
      </c>
      <c r="CP245" s="11">
        <v>86550.0</v>
      </c>
      <c r="CQ245" s="11">
        <v>4560.0</v>
      </c>
      <c r="CR245" s="11">
        <v>8380.0</v>
      </c>
      <c r="CS245" s="11">
        <v>5660.0</v>
      </c>
      <c r="CT245" s="11">
        <v>3120.0</v>
      </c>
      <c r="CU245" s="11">
        <v>3670.0</v>
      </c>
      <c r="CV245" s="11">
        <v>23200.0</v>
      </c>
      <c r="CW245" s="12"/>
      <c r="CX245" s="11">
        <v>2800.0</v>
      </c>
      <c r="CY245" s="12"/>
      <c r="CZ245" s="12"/>
      <c r="DA245" s="12"/>
      <c r="DB245" s="11">
        <v>23200.0</v>
      </c>
      <c r="DC245" s="11">
        <v>31160.0</v>
      </c>
      <c r="DD245" s="11">
        <v>21290.0</v>
      </c>
      <c r="DE245" s="11">
        <v>16910.0</v>
      </c>
      <c r="DF245" s="11">
        <v>31600.0</v>
      </c>
      <c r="DG245" s="11">
        <v>43610.0</v>
      </c>
      <c r="DH245" s="11">
        <v>32220.0</v>
      </c>
      <c r="DI245" s="11">
        <v>18350.0</v>
      </c>
      <c r="DJ245" s="11">
        <v>20020.0</v>
      </c>
      <c r="DK245" s="12"/>
      <c r="DL245" s="11">
        <v>3760.0</v>
      </c>
      <c r="DM245" s="11">
        <v>6970.0</v>
      </c>
      <c r="DN245" s="12"/>
      <c r="DO245" s="24">
        <v>132.0</v>
      </c>
      <c r="DP245" s="12"/>
      <c r="DQ245" s="11">
        <v>7780.0</v>
      </c>
      <c r="DR245" s="11">
        <v>9470.0</v>
      </c>
      <c r="DS245" s="12"/>
      <c r="DT245" s="12"/>
      <c r="DU245" s="13"/>
      <c r="DV245" s="12"/>
      <c r="DW245" s="12"/>
      <c r="DX245" s="13"/>
      <c r="DY245" s="13"/>
      <c r="DZ245" s="11">
        <v>83660.0</v>
      </c>
      <c r="EA245" s="11">
        <v>25980.0</v>
      </c>
      <c r="EB245" s="11">
        <v>44160.0</v>
      </c>
      <c r="EC245" s="11">
        <v>39590.0</v>
      </c>
      <c r="ED245" s="11">
        <v>50180.0</v>
      </c>
      <c r="EE245" s="14">
        <v>0.055</v>
      </c>
      <c r="EF245" s="14">
        <v>0.16</v>
      </c>
      <c r="EG245" s="14">
        <v>0.538</v>
      </c>
      <c r="EH245" s="14">
        <v>-0.282</v>
      </c>
    </row>
    <row r="246">
      <c r="A246" s="9">
        <f t="shared" si="2"/>
        <v>244</v>
      </c>
      <c r="B246" s="10" t="s">
        <v>380</v>
      </c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3"/>
      <c r="BD246" s="13"/>
      <c r="BE246" s="13"/>
      <c r="BF246" s="13"/>
      <c r="BG246" s="13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3"/>
      <c r="CY246" s="13"/>
      <c r="CZ246" s="13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3"/>
      <c r="DV246" s="12"/>
      <c r="DW246" s="12"/>
      <c r="DX246" s="13"/>
      <c r="DY246" s="13"/>
      <c r="DZ246" s="12"/>
      <c r="EA246" s="12"/>
      <c r="EB246" s="12"/>
      <c r="EC246" s="12"/>
      <c r="ED246" s="12"/>
      <c r="EE246" s="23"/>
      <c r="EF246" s="23"/>
      <c r="EG246" s="23"/>
      <c r="EH246" s="23"/>
    </row>
    <row r="247">
      <c r="A247" s="9">
        <f t="shared" si="2"/>
        <v>245</v>
      </c>
      <c r="B247" s="10" t="s">
        <v>381</v>
      </c>
      <c r="C247" s="15">
        <v>2150000.0</v>
      </c>
      <c r="D247" s="15">
        <v>2030000.0</v>
      </c>
      <c r="E247" s="15">
        <v>1900000.0</v>
      </c>
      <c r="F247" s="15">
        <v>1800000.0</v>
      </c>
      <c r="G247" s="15">
        <v>1690000.0</v>
      </c>
      <c r="H247" s="15">
        <v>1550000.0</v>
      </c>
      <c r="I247" s="15">
        <v>1420000.0</v>
      </c>
      <c r="J247" s="15">
        <v>535060.0</v>
      </c>
      <c r="K247" s="15">
        <v>503850.0</v>
      </c>
      <c r="L247" s="15">
        <v>495670.0</v>
      </c>
      <c r="M247" s="15">
        <v>475710.0</v>
      </c>
      <c r="N247" s="15">
        <v>393900.0</v>
      </c>
      <c r="O247" s="15">
        <v>234440.0</v>
      </c>
      <c r="P247" s="15">
        <v>229320.0</v>
      </c>
      <c r="Q247" s="15">
        <v>217340.0</v>
      </c>
      <c r="R247" s="15">
        <v>222890.0</v>
      </c>
      <c r="S247" s="15">
        <v>218300.0</v>
      </c>
      <c r="T247" s="15">
        <v>17670.0</v>
      </c>
      <c r="U247" s="15">
        <v>15220.0</v>
      </c>
      <c r="V247" s="15">
        <v>7190.0</v>
      </c>
      <c r="W247" s="15">
        <v>6410.0</v>
      </c>
      <c r="X247" s="15">
        <v>10540.0</v>
      </c>
      <c r="Y247" s="15">
        <v>0.0</v>
      </c>
      <c r="Z247" s="15">
        <v>279230.0</v>
      </c>
      <c r="AA247" s="15">
        <v>0.0</v>
      </c>
      <c r="AB247" s="15">
        <v>237990.0</v>
      </c>
      <c r="AC247" s="15">
        <v>198730.0</v>
      </c>
      <c r="AD247" s="15">
        <v>313740.0</v>
      </c>
      <c r="AE247" s="15">
        <v>280150.0</v>
      </c>
      <c r="AF247" s="15">
        <v>295780.0</v>
      </c>
      <c r="AG247" s="15">
        <v>257270.0</v>
      </c>
      <c r="AH247" s="15">
        <v>221070.0</v>
      </c>
      <c r="AI247" s="15">
        <v>362340.0</v>
      </c>
      <c r="AJ247" s="15">
        <v>334630.0</v>
      </c>
      <c r="AK247" s="15">
        <v>334890.0</v>
      </c>
      <c r="AL247" s="15">
        <v>306520.0</v>
      </c>
      <c r="AM247" s="15">
        <v>254220.0</v>
      </c>
      <c r="AN247" s="15">
        <v>244120.0</v>
      </c>
      <c r="AO247" s="15">
        <v>226960.0</v>
      </c>
      <c r="AP247" s="15">
        <v>147840.0</v>
      </c>
      <c r="AQ247" s="15">
        <v>183060.0</v>
      </c>
      <c r="AR247" s="15">
        <v>140770.0</v>
      </c>
      <c r="AS247" s="15">
        <v>279370.0</v>
      </c>
      <c r="AT247" s="15">
        <v>169290.0</v>
      </c>
      <c r="AU247" s="15">
        <v>221960.0</v>
      </c>
      <c r="AV247" s="15">
        <v>239850.0</v>
      </c>
      <c r="AW247" s="15">
        <v>330160.0</v>
      </c>
      <c r="AX247" s="15">
        <v>-182120.0</v>
      </c>
      <c r="AY247" s="15">
        <v>-109340.0</v>
      </c>
      <c r="AZ247" s="15">
        <v>-96880.0</v>
      </c>
      <c r="BA247" s="15">
        <v>-52630.0</v>
      </c>
      <c r="BB247" s="15">
        <v>-68340.0</v>
      </c>
      <c r="BC247" s="15">
        <v>-65370.0</v>
      </c>
      <c r="BD247" s="15">
        <v>-63820.0</v>
      </c>
      <c r="BE247" s="15">
        <v>-42040.0</v>
      </c>
      <c r="BF247" s="15">
        <v>-37370.0</v>
      </c>
      <c r="BG247" s="15">
        <v>-34480.0</v>
      </c>
      <c r="BH247" s="15">
        <v>95440.0</v>
      </c>
      <c r="BI247" s="15">
        <v>37300.0</v>
      </c>
      <c r="BJ247" s="15">
        <v>213440.0</v>
      </c>
      <c r="BK247" s="15">
        <v>146290.0</v>
      </c>
      <c r="BL247" s="15">
        <v>173570.0</v>
      </c>
      <c r="BM247" s="15">
        <v>492850.0</v>
      </c>
      <c r="BN247" s="15">
        <v>461290.0</v>
      </c>
      <c r="BO247" s="15">
        <v>629210.0</v>
      </c>
      <c r="BP247" s="15">
        <v>517960.0</v>
      </c>
      <c r="BQ247" s="15">
        <v>441540.0</v>
      </c>
      <c r="BR247" s="15">
        <v>17100.0</v>
      </c>
      <c r="BS247" s="15">
        <v>16000.0</v>
      </c>
      <c r="BT247" s="15">
        <v>8600.0</v>
      </c>
      <c r="BU247" s="15">
        <v>7700.0</v>
      </c>
      <c r="BV247" s="15">
        <v>7310.0</v>
      </c>
      <c r="BW247" s="15">
        <v>629760.0</v>
      </c>
      <c r="BX247" s="15">
        <v>542450.0</v>
      </c>
      <c r="BY247" s="15">
        <v>873090.0</v>
      </c>
      <c r="BZ247" s="15">
        <v>693570.0</v>
      </c>
      <c r="CA247" s="15">
        <v>647290.0</v>
      </c>
      <c r="CB247" s="15">
        <v>621240.0</v>
      </c>
      <c r="CC247" s="15">
        <v>439240.0</v>
      </c>
      <c r="CD247" s="15">
        <v>348630.0</v>
      </c>
      <c r="CE247" s="15">
        <v>299690.0</v>
      </c>
      <c r="CF247" s="15">
        <v>268840.0</v>
      </c>
      <c r="CG247" s="15">
        <v>275500.0</v>
      </c>
      <c r="CH247" s="15">
        <v>274080.0</v>
      </c>
      <c r="CI247" s="15">
        <v>218330.0</v>
      </c>
      <c r="CJ247" s="15">
        <v>210790.0</v>
      </c>
      <c r="CK247" s="15">
        <v>168430.0</v>
      </c>
      <c r="CL247" s="15">
        <v>1910000.0</v>
      </c>
      <c r="CM247" s="15">
        <v>1660000.0</v>
      </c>
      <c r="CN247" s="15">
        <v>1710000.0</v>
      </c>
      <c r="CO247" s="15">
        <v>1580000.0</v>
      </c>
      <c r="CP247" s="15">
        <v>1380000.0</v>
      </c>
      <c r="CQ247" s="15">
        <v>170680.0</v>
      </c>
      <c r="CR247" s="15">
        <v>114750.0</v>
      </c>
      <c r="CS247" s="15">
        <v>93420.0</v>
      </c>
      <c r="CT247" s="15">
        <v>99980.0</v>
      </c>
      <c r="CU247" s="15">
        <v>74130.0</v>
      </c>
      <c r="CV247" s="15">
        <v>404710.0</v>
      </c>
      <c r="CW247" s="15">
        <v>3400.0</v>
      </c>
      <c r="CX247" s="15">
        <v>0.0</v>
      </c>
      <c r="CY247" s="16">
        <v>0.0</v>
      </c>
      <c r="CZ247" s="16">
        <v>0.0</v>
      </c>
      <c r="DA247" s="15">
        <v>0.0</v>
      </c>
      <c r="DB247" s="15">
        <v>404710.0</v>
      </c>
      <c r="DC247" s="15">
        <v>377350.0</v>
      </c>
      <c r="DD247" s="15">
        <v>528130.0</v>
      </c>
      <c r="DE247" s="15">
        <v>439880.0</v>
      </c>
      <c r="DF247" s="15">
        <v>1500000.0</v>
      </c>
      <c r="DG247" s="15">
        <v>1420000.0</v>
      </c>
      <c r="DH247" s="15">
        <v>1430000.0</v>
      </c>
      <c r="DI247" s="15">
        <v>1430000.0</v>
      </c>
      <c r="DJ247" s="15">
        <v>1100000.0</v>
      </c>
      <c r="DK247" s="15">
        <v>80540.0</v>
      </c>
      <c r="DL247" s="15">
        <v>73830.0</v>
      </c>
      <c r="DM247" s="15">
        <v>55200.0</v>
      </c>
      <c r="DN247" s="15">
        <v>60870.0</v>
      </c>
      <c r="DO247" s="15">
        <v>38160.0</v>
      </c>
      <c r="DP247" s="15">
        <v>813610.0</v>
      </c>
      <c r="DQ247" s="15">
        <v>753620.0</v>
      </c>
      <c r="DR247" s="15">
        <v>481060.0</v>
      </c>
      <c r="DS247" s="15">
        <v>497720.0</v>
      </c>
      <c r="DT247" s="15">
        <v>285000.0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404110.0</v>
      </c>
      <c r="EA247" s="15">
        <v>235660.0</v>
      </c>
      <c r="EB247" s="15">
        <v>285390.0</v>
      </c>
      <c r="EC247" s="15">
        <v>150020.0</v>
      </c>
      <c r="ED247" s="15">
        <v>265720.0</v>
      </c>
      <c r="EE247" s="17">
        <v>0.03</v>
      </c>
      <c r="EF247" s="17">
        <v>0.056</v>
      </c>
      <c r="EG247" s="17">
        <v>0.317</v>
      </c>
      <c r="EH247" s="17">
        <v>0.213</v>
      </c>
    </row>
    <row r="248">
      <c r="A248" s="9">
        <f t="shared" si="2"/>
        <v>246</v>
      </c>
      <c r="B248" s="10" t="s">
        <v>382</v>
      </c>
      <c r="C248" s="11">
        <v>2570000.0</v>
      </c>
      <c r="D248" s="11">
        <v>2500000.0</v>
      </c>
      <c r="E248" s="11">
        <v>2640000.0</v>
      </c>
      <c r="F248" s="11">
        <v>2860000.0</v>
      </c>
      <c r="G248" s="11">
        <v>1820000.0</v>
      </c>
      <c r="H248" s="11">
        <v>1880000.0</v>
      </c>
      <c r="I248" s="11">
        <v>1920000.0</v>
      </c>
      <c r="J248" s="11">
        <v>326680.0</v>
      </c>
      <c r="K248" s="11">
        <v>306030.0</v>
      </c>
      <c r="L248" s="11">
        <v>222000.0</v>
      </c>
      <c r="M248" s="11">
        <v>220260.0</v>
      </c>
      <c r="N248" s="11">
        <v>212730.0</v>
      </c>
      <c r="O248" s="11">
        <v>304610.0</v>
      </c>
      <c r="P248" s="11">
        <v>293910.0</v>
      </c>
      <c r="Q248" s="11">
        <v>198710.0</v>
      </c>
      <c r="R248" s="11">
        <v>199510.0</v>
      </c>
      <c r="S248" s="11">
        <v>195940.0</v>
      </c>
      <c r="T248" s="12"/>
      <c r="U248" s="12"/>
      <c r="V248" s="12"/>
      <c r="W248" s="12"/>
      <c r="X248" s="12"/>
      <c r="Y248" s="12"/>
      <c r="Z248" s="11">
        <v>-13290.0</v>
      </c>
      <c r="AA248" s="12"/>
      <c r="AB248" s="11">
        <v>13750.0</v>
      </c>
      <c r="AC248" s="12"/>
      <c r="AD248" s="11">
        <v>-21610.0</v>
      </c>
      <c r="AE248" s="11">
        <v>-60210.0</v>
      </c>
      <c r="AF248" s="11">
        <v>9590.0</v>
      </c>
      <c r="AG248" s="11">
        <v>17210.0</v>
      </c>
      <c r="AH248" s="11">
        <v>-11420.0</v>
      </c>
      <c r="AI248" s="11">
        <v>52300.0</v>
      </c>
      <c r="AJ248" s="11">
        <v>37940.0</v>
      </c>
      <c r="AK248" s="11">
        <v>32320.0</v>
      </c>
      <c r="AL248" s="11">
        <v>30090.0</v>
      </c>
      <c r="AM248" s="11">
        <v>26530.0</v>
      </c>
      <c r="AN248" s="11">
        <v>-17660.0</v>
      </c>
      <c r="AO248" s="11">
        <v>-48050.0</v>
      </c>
      <c r="AP248" s="11">
        <v>62990.0</v>
      </c>
      <c r="AQ248" s="11">
        <v>16090.0</v>
      </c>
      <c r="AR248" s="11">
        <v>-11580.0</v>
      </c>
      <c r="AS248" s="11">
        <v>-9570.0</v>
      </c>
      <c r="AT248" s="11">
        <v>41560.0</v>
      </c>
      <c r="AU248" s="11">
        <v>-2500.0</v>
      </c>
      <c r="AV248" s="11">
        <v>41400.0</v>
      </c>
      <c r="AW248" s="11">
        <v>39930.0</v>
      </c>
      <c r="AX248" s="11">
        <v>-4790.0</v>
      </c>
      <c r="AY248" s="11">
        <v>-2720.0</v>
      </c>
      <c r="AZ248" s="11">
        <v>-797.0</v>
      </c>
      <c r="BA248" s="11">
        <v>-631.0</v>
      </c>
      <c r="BB248" s="11">
        <v>-1560.0</v>
      </c>
      <c r="BC248" s="13"/>
      <c r="BD248" s="13"/>
      <c r="BE248" s="13"/>
      <c r="BF248" s="13"/>
      <c r="BG248" s="13"/>
      <c r="BH248" s="11">
        <v>11640.0</v>
      </c>
      <c r="BI248" s="11">
        <v>8940.0</v>
      </c>
      <c r="BJ248" s="11">
        <v>4700.0</v>
      </c>
      <c r="BK248" s="11">
        <v>5540.0</v>
      </c>
      <c r="BL248" s="11">
        <v>4810.0</v>
      </c>
      <c r="BM248" s="11">
        <v>192870.0</v>
      </c>
      <c r="BN248" s="11">
        <v>208430.0</v>
      </c>
      <c r="BO248" s="11">
        <v>134070.0</v>
      </c>
      <c r="BP248" s="11">
        <v>125860.0</v>
      </c>
      <c r="BQ248" s="11">
        <v>138550.0</v>
      </c>
      <c r="BR248" s="11">
        <v>345810.0</v>
      </c>
      <c r="BS248" s="11">
        <v>341850.0</v>
      </c>
      <c r="BT248" s="11">
        <v>187510.0</v>
      </c>
      <c r="BU248" s="11">
        <v>191290.0</v>
      </c>
      <c r="BV248" s="11">
        <v>226660.0</v>
      </c>
      <c r="BW248" s="11">
        <v>578040.0</v>
      </c>
      <c r="BX248" s="11">
        <v>599850.0</v>
      </c>
      <c r="BY248" s="11">
        <v>343400.0</v>
      </c>
      <c r="BZ248" s="11">
        <v>345810.0</v>
      </c>
      <c r="CA248" s="11">
        <v>402020.0</v>
      </c>
      <c r="CB248" s="11">
        <v>250180.0</v>
      </c>
      <c r="CC248" s="11">
        <v>205110.0</v>
      </c>
      <c r="CD248" s="11">
        <v>83770.0</v>
      </c>
      <c r="CE248" s="11">
        <v>88320.0</v>
      </c>
      <c r="CF248" s="11">
        <v>101580.0</v>
      </c>
      <c r="CG248" s="11">
        <v>47770.0</v>
      </c>
      <c r="CH248" s="11">
        <v>47770.0</v>
      </c>
      <c r="CI248" s="12"/>
      <c r="CJ248" s="12"/>
      <c r="CK248" s="12"/>
      <c r="CL248" s="11">
        <v>992600.0</v>
      </c>
      <c r="CM248" s="11">
        <v>968850.0</v>
      </c>
      <c r="CN248" s="11">
        <v>494470.0</v>
      </c>
      <c r="CO248" s="11">
        <v>444140.0</v>
      </c>
      <c r="CP248" s="11">
        <v>513140.0</v>
      </c>
      <c r="CQ248" s="11">
        <v>132350.0</v>
      </c>
      <c r="CR248" s="11">
        <v>131770.0</v>
      </c>
      <c r="CS248" s="11">
        <v>70620.0</v>
      </c>
      <c r="CT248" s="11">
        <v>82740.0</v>
      </c>
      <c r="CU248" s="11">
        <v>88090.0</v>
      </c>
      <c r="CV248" s="11">
        <v>171120.0</v>
      </c>
      <c r="CW248" s="11">
        <v>7320.0</v>
      </c>
      <c r="CX248" s="11">
        <v>17420.0</v>
      </c>
      <c r="CY248" s="11">
        <v>21590.0</v>
      </c>
      <c r="CZ248" s="11">
        <v>21700.0</v>
      </c>
      <c r="DA248" s="11">
        <v>17290.0</v>
      </c>
      <c r="DB248" s="11">
        <v>171120.0</v>
      </c>
      <c r="DC248" s="11">
        <v>196770.0</v>
      </c>
      <c r="DD248" s="11">
        <v>117610.0</v>
      </c>
      <c r="DE248" s="11">
        <v>154340.0</v>
      </c>
      <c r="DF248" s="11">
        <v>1020000.0</v>
      </c>
      <c r="DG248" s="11">
        <v>983520.0</v>
      </c>
      <c r="DH248" s="11">
        <v>459470.0</v>
      </c>
      <c r="DI248" s="11">
        <v>473980.0</v>
      </c>
      <c r="DJ248" s="11">
        <v>559040.0</v>
      </c>
      <c r="DK248" s="12"/>
      <c r="DL248" s="12"/>
      <c r="DM248" s="12"/>
      <c r="DN248" s="12"/>
      <c r="DO248" s="12"/>
      <c r="DP248" s="11">
        <v>697060.0</v>
      </c>
      <c r="DQ248" s="11">
        <v>641430.0</v>
      </c>
      <c r="DR248" s="11">
        <v>290740.0</v>
      </c>
      <c r="DS248" s="11">
        <v>279140.0</v>
      </c>
      <c r="DT248" s="11">
        <v>377770.0</v>
      </c>
      <c r="DU248" s="13"/>
      <c r="DV248" s="12"/>
      <c r="DW248" s="12"/>
      <c r="DX248" s="12"/>
      <c r="DY248" s="12"/>
      <c r="DZ248" s="11">
        <v>-26080.0</v>
      </c>
      <c r="EA248" s="11">
        <v>-14660.0</v>
      </c>
      <c r="EB248" s="11">
        <v>35000.0</v>
      </c>
      <c r="EC248" s="11">
        <v>-29840.0</v>
      </c>
      <c r="ED248" s="11">
        <v>-45900.0</v>
      </c>
      <c r="EE248" s="14">
        <v>0.0</v>
      </c>
      <c r="EF248" s="14">
        <v>0.0</v>
      </c>
      <c r="EG248" s="14">
        <v>0.789</v>
      </c>
      <c r="EH248" s="23"/>
    </row>
    <row r="249">
      <c r="A249" s="9">
        <f t="shared" si="2"/>
        <v>247</v>
      </c>
      <c r="B249" s="10" t="s">
        <v>383</v>
      </c>
      <c r="C249" s="15">
        <v>630820.0</v>
      </c>
      <c r="D249" s="15">
        <v>522400.0</v>
      </c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3"/>
      <c r="BD249" s="13"/>
      <c r="BE249" s="13"/>
      <c r="BF249" s="13"/>
      <c r="BG249" s="13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3"/>
      <c r="CY249" s="13"/>
      <c r="CZ249" s="13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3"/>
      <c r="DV249" s="12"/>
      <c r="DW249" s="12"/>
      <c r="DX249" s="12"/>
      <c r="DY249" s="13"/>
      <c r="DZ249" s="12"/>
      <c r="EA249" s="12"/>
      <c r="EB249" s="12"/>
      <c r="EC249" s="12"/>
      <c r="ED249" s="12"/>
      <c r="EE249" s="17">
        <v>0.0</v>
      </c>
      <c r="EF249" s="17">
        <v>0.064</v>
      </c>
      <c r="EG249" s="17">
        <v>-1.0</v>
      </c>
      <c r="EH249" s="17">
        <v>-1.218</v>
      </c>
    </row>
    <row r="250">
      <c r="A250" s="9">
        <f t="shared" si="2"/>
        <v>248</v>
      </c>
      <c r="B250" s="10" t="s">
        <v>384</v>
      </c>
      <c r="C250" s="15">
        <v>2780000.0</v>
      </c>
      <c r="D250" s="15">
        <v>1830000.0</v>
      </c>
      <c r="E250" s="15">
        <v>3330000.0</v>
      </c>
      <c r="F250" s="15">
        <v>2630000.0</v>
      </c>
      <c r="G250" s="15">
        <v>2400000.0</v>
      </c>
      <c r="H250" s="15">
        <v>2180000.0</v>
      </c>
      <c r="I250" s="15">
        <v>2200000.0</v>
      </c>
      <c r="J250" s="15">
        <v>1310000.0</v>
      </c>
      <c r="K250" s="15">
        <v>1030000.0</v>
      </c>
      <c r="L250" s="15">
        <v>919380.0</v>
      </c>
      <c r="M250" s="15">
        <v>816020.0</v>
      </c>
      <c r="N250" s="15">
        <v>801490.0</v>
      </c>
      <c r="O250" s="15">
        <v>714370.0</v>
      </c>
      <c r="P250" s="15">
        <v>558520.0</v>
      </c>
      <c r="Q250" s="15">
        <v>487490.0</v>
      </c>
      <c r="R250" s="15">
        <v>424420.0</v>
      </c>
      <c r="S250" s="15">
        <v>510820.0</v>
      </c>
      <c r="T250" s="15">
        <v>0.0</v>
      </c>
      <c r="U250" s="15">
        <v>0.0</v>
      </c>
      <c r="V250" s="15">
        <v>0.0</v>
      </c>
      <c r="W250" s="15">
        <v>0.0</v>
      </c>
      <c r="X250" s="15">
        <v>0.0</v>
      </c>
      <c r="Y250" s="15">
        <v>437440.0</v>
      </c>
      <c r="Z250" s="15">
        <v>354970.0</v>
      </c>
      <c r="AA250" s="15">
        <v>-4220.0</v>
      </c>
      <c r="AB250" s="15">
        <v>218140.0</v>
      </c>
      <c r="AC250" s="15">
        <v>229870.0</v>
      </c>
      <c r="AD250" s="15">
        <v>202130.0</v>
      </c>
      <c r="AE250" s="15">
        <v>155030.0</v>
      </c>
      <c r="AF250" s="15">
        <v>171110.0</v>
      </c>
      <c r="AG250" s="15">
        <v>7990.0</v>
      </c>
      <c r="AH250" s="15">
        <v>40060.0</v>
      </c>
      <c r="AI250" s="15">
        <v>784060.0</v>
      </c>
      <c r="AJ250" s="15">
        <v>604470.0</v>
      </c>
      <c r="AK250" s="15">
        <v>563630.0</v>
      </c>
      <c r="AL250" s="15">
        <v>507860.0</v>
      </c>
      <c r="AM250" s="15">
        <v>496890.0</v>
      </c>
      <c r="AN250" s="15">
        <v>157640.0</v>
      </c>
      <c r="AO250" s="15">
        <v>114700.0</v>
      </c>
      <c r="AP250" s="15">
        <v>168000.0</v>
      </c>
      <c r="AQ250" s="15">
        <v>205470.0</v>
      </c>
      <c r="AR250" s="15">
        <v>47230.0</v>
      </c>
      <c r="AS250" s="15">
        <v>580520.0</v>
      </c>
      <c r="AT250" s="15">
        <v>434530.0</v>
      </c>
      <c r="AU250" s="15">
        <v>422550.0</v>
      </c>
      <c r="AV250" s="15">
        <v>300340.0</v>
      </c>
      <c r="AW250" s="15">
        <v>340770.0</v>
      </c>
      <c r="AX250" s="15">
        <v>-207640.0</v>
      </c>
      <c r="AY250" s="15">
        <v>-161540.0</v>
      </c>
      <c r="AZ250" s="15">
        <v>-190460.0</v>
      </c>
      <c r="BA250" s="15">
        <v>-160360.0</v>
      </c>
      <c r="BB250" s="15">
        <v>-131170.0</v>
      </c>
      <c r="BC250" s="15">
        <v>-28950.0</v>
      </c>
      <c r="BD250" s="15">
        <v>-24730.0</v>
      </c>
      <c r="BE250" s="15">
        <v>-11290.0</v>
      </c>
      <c r="BF250" s="15">
        <v>0.0</v>
      </c>
      <c r="BG250" s="15">
        <v>0.0</v>
      </c>
      <c r="BH250" s="15">
        <v>271050.0</v>
      </c>
      <c r="BI250" s="15">
        <v>273700.0</v>
      </c>
      <c r="BJ250" s="15">
        <v>227780.0</v>
      </c>
      <c r="BK250" s="15">
        <v>210750.0</v>
      </c>
      <c r="BL250" s="15">
        <v>178250.0</v>
      </c>
      <c r="BM250" s="15">
        <v>60460.0</v>
      </c>
      <c r="BN250" s="15">
        <v>60140.0</v>
      </c>
      <c r="BO250" s="15">
        <v>45510.0</v>
      </c>
      <c r="BP250" s="15">
        <v>32820.0</v>
      </c>
      <c r="BQ250" s="15">
        <v>26670.0</v>
      </c>
      <c r="BR250" s="15">
        <v>22100.0</v>
      </c>
      <c r="BS250" s="15">
        <v>20590.0</v>
      </c>
      <c r="BT250" s="15">
        <v>18000.0</v>
      </c>
      <c r="BU250" s="15">
        <v>18570.0</v>
      </c>
      <c r="BV250" s="15">
        <v>15460.0</v>
      </c>
      <c r="BW250" s="15">
        <v>399490.0</v>
      </c>
      <c r="BX250" s="15">
        <v>399750.0</v>
      </c>
      <c r="BY250" s="15">
        <v>328660.0</v>
      </c>
      <c r="BZ250" s="15">
        <v>307950.0</v>
      </c>
      <c r="CA250" s="15">
        <v>257230.0</v>
      </c>
      <c r="CB250" s="15">
        <v>3610000.0</v>
      </c>
      <c r="CC250" s="15">
        <v>2720000.0</v>
      </c>
      <c r="CD250" s="15">
        <v>2540000.0</v>
      </c>
      <c r="CE250" s="15">
        <v>2610000.0</v>
      </c>
      <c r="CF250" s="15">
        <v>2230000.0</v>
      </c>
      <c r="CG250" s="15">
        <v>1080000.0</v>
      </c>
      <c r="CH250" s="15">
        <v>1060000.0</v>
      </c>
      <c r="CI250" s="15">
        <v>888220.0</v>
      </c>
      <c r="CJ250" s="15">
        <v>826480.0</v>
      </c>
      <c r="CK250" s="15">
        <v>685310.0</v>
      </c>
      <c r="CL250" s="15">
        <v>6650000.0</v>
      </c>
      <c r="CM250" s="15">
        <v>5760000.0</v>
      </c>
      <c r="CN250" s="15">
        <v>4690000.0</v>
      </c>
      <c r="CO250" s="15">
        <v>4670000.0</v>
      </c>
      <c r="CP250" s="15">
        <v>4350000.0</v>
      </c>
      <c r="CQ250" s="15">
        <v>91000.0</v>
      </c>
      <c r="CR250" s="15">
        <v>111170.0</v>
      </c>
      <c r="CS250" s="15">
        <v>106320.0</v>
      </c>
      <c r="CT250" s="15">
        <v>84090.0</v>
      </c>
      <c r="CU250" s="15">
        <v>75800.0</v>
      </c>
      <c r="CV250" s="15">
        <v>556890.0</v>
      </c>
      <c r="CW250" s="15">
        <v>87690.0</v>
      </c>
      <c r="CX250" s="16">
        <v>0.0</v>
      </c>
      <c r="CY250" s="16">
        <v>0.0</v>
      </c>
      <c r="CZ250" s="16">
        <v>0.0</v>
      </c>
      <c r="DA250" s="15">
        <v>0.0</v>
      </c>
      <c r="DB250" s="15">
        <v>556890.0</v>
      </c>
      <c r="DC250" s="15">
        <v>469700.0</v>
      </c>
      <c r="DD250" s="15">
        <v>385470.0</v>
      </c>
      <c r="DE250" s="15">
        <v>365500.0</v>
      </c>
      <c r="DF250" s="15">
        <v>5380000.0</v>
      </c>
      <c r="DG250" s="15">
        <v>4610000.0</v>
      </c>
      <c r="DH250" s="15">
        <v>3590000.0</v>
      </c>
      <c r="DI250" s="15">
        <v>3740000.0</v>
      </c>
      <c r="DJ250" s="15">
        <v>3840000.0</v>
      </c>
      <c r="DK250" s="15">
        <v>15600.0</v>
      </c>
      <c r="DL250" s="15">
        <v>15800.0</v>
      </c>
      <c r="DM250" s="15">
        <v>17800.0</v>
      </c>
      <c r="DN250" s="15">
        <v>16800.0</v>
      </c>
      <c r="DO250" s="15">
        <v>262020.0</v>
      </c>
      <c r="DP250" s="15">
        <v>4580000.0</v>
      </c>
      <c r="DQ250" s="15">
        <v>3960000.0</v>
      </c>
      <c r="DR250" s="15">
        <v>3050000.0</v>
      </c>
      <c r="DS250" s="15">
        <v>3200000.0</v>
      </c>
      <c r="DT250" s="15">
        <v>3240000.0</v>
      </c>
      <c r="DU250" s="16">
        <v>0.0</v>
      </c>
      <c r="DV250" s="15">
        <v>0.0</v>
      </c>
      <c r="DW250" s="15">
        <v>0.0</v>
      </c>
      <c r="DX250" s="15">
        <v>0.0</v>
      </c>
      <c r="DY250" s="16">
        <v>0.0</v>
      </c>
      <c r="DZ250" s="15">
        <v>1270000.0</v>
      </c>
      <c r="EA250" s="15">
        <v>1150000.0</v>
      </c>
      <c r="EB250" s="15">
        <v>1100000.0</v>
      </c>
      <c r="EC250" s="15">
        <v>934080.0</v>
      </c>
      <c r="ED250" s="15">
        <v>507960.0</v>
      </c>
      <c r="EE250" s="17">
        <v>0.432</v>
      </c>
      <c r="EF250" s="17">
        <v>0.335</v>
      </c>
      <c r="EG250" s="17">
        <v>-1.077</v>
      </c>
      <c r="EH250" s="17">
        <v>-0.259</v>
      </c>
    </row>
    <row r="251">
      <c r="A251" s="9">
        <f t="shared" si="2"/>
        <v>249</v>
      </c>
      <c r="B251" s="22" t="s">
        <v>385</v>
      </c>
      <c r="C251" s="11">
        <v>18360.0</v>
      </c>
      <c r="D251" s="12"/>
      <c r="E251" s="12"/>
      <c r="F251" s="12"/>
      <c r="G251" s="12"/>
      <c r="H251" s="12"/>
      <c r="I251" s="12"/>
      <c r="J251" s="11">
        <v>-77.0</v>
      </c>
      <c r="K251" s="11">
        <v>-48.0</v>
      </c>
      <c r="L251" s="11">
        <v>-32.0</v>
      </c>
      <c r="M251" s="11">
        <v>-18.0</v>
      </c>
      <c r="N251" s="11">
        <v>-10.0</v>
      </c>
      <c r="O251" s="11">
        <v>40230.0</v>
      </c>
      <c r="P251" s="11">
        <v>57500.0</v>
      </c>
      <c r="Q251" s="11">
        <v>97950.0</v>
      </c>
      <c r="R251" s="11">
        <v>12350.0</v>
      </c>
      <c r="S251" s="11">
        <v>7470.0</v>
      </c>
      <c r="T251" s="11">
        <v>31340.0</v>
      </c>
      <c r="U251" s="11">
        <v>51620.0</v>
      </c>
      <c r="V251" s="11">
        <v>88930.0</v>
      </c>
      <c r="W251" s="11">
        <v>10440.0</v>
      </c>
      <c r="X251" s="11">
        <v>5980.0</v>
      </c>
      <c r="Y251" s="12"/>
      <c r="Z251" s="12"/>
      <c r="AA251" s="12"/>
      <c r="AB251" s="12"/>
      <c r="AC251" s="12"/>
      <c r="AD251" s="11">
        <v>-40330.0</v>
      </c>
      <c r="AE251" s="11">
        <v>-57470.0</v>
      </c>
      <c r="AF251" s="11">
        <v>-96390.0</v>
      </c>
      <c r="AG251" s="11">
        <v>-12550.0</v>
      </c>
      <c r="AH251" s="11">
        <v>-8010.0</v>
      </c>
      <c r="AI251" s="11">
        <v>-40230.0</v>
      </c>
      <c r="AJ251" s="11">
        <v>-57500.0</v>
      </c>
      <c r="AK251" s="11">
        <v>-97950.0</v>
      </c>
      <c r="AL251" s="11">
        <v>-12350.0</v>
      </c>
      <c r="AM251" s="11">
        <v>-7470.0</v>
      </c>
      <c r="AN251" s="11">
        <v>-38090.0</v>
      </c>
      <c r="AO251" s="11">
        <v>-54870.0</v>
      </c>
      <c r="AP251" s="11">
        <v>-91760.0</v>
      </c>
      <c r="AQ251" s="11">
        <v>-12010.0</v>
      </c>
      <c r="AR251" s="11">
        <v>-7970.0</v>
      </c>
      <c r="AS251" s="11">
        <v>-47470.0</v>
      </c>
      <c r="AT251" s="11">
        <v>-39960.0</v>
      </c>
      <c r="AU251" s="11">
        <v>-28800.0</v>
      </c>
      <c r="AV251" s="11">
        <v>-13700.0</v>
      </c>
      <c r="AW251" s="11">
        <v>-6570.0</v>
      </c>
      <c r="AX251" s="11">
        <v>-4.0</v>
      </c>
      <c r="AY251" s="11">
        <v>-207.0</v>
      </c>
      <c r="AZ251" s="11">
        <v>-76.0</v>
      </c>
      <c r="BA251" s="11">
        <v>-64.0</v>
      </c>
      <c r="BB251" s="11">
        <v>-40.0</v>
      </c>
      <c r="BC251" s="12"/>
      <c r="BD251" s="12"/>
      <c r="BE251" s="12"/>
      <c r="BF251" s="12"/>
      <c r="BG251" s="12"/>
      <c r="BH251" s="11">
        <v>35930.0</v>
      </c>
      <c r="BI251" s="11">
        <v>3890.0</v>
      </c>
      <c r="BJ251" s="11">
        <v>30560.0</v>
      </c>
      <c r="BK251" s="11">
        <v>11690.0</v>
      </c>
      <c r="BL251" s="11">
        <v>10820.0</v>
      </c>
      <c r="BM251" s="12"/>
      <c r="BN251" s="12"/>
      <c r="BO251" s="12"/>
      <c r="BP251" s="12"/>
      <c r="BQ251" s="12"/>
      <c r="BR251" s="12"/>
      <c r="BS251" s="12"/>
      <c r="BT251" s="12"/>
      <c r="BU251" s="11">
        <v>799.0</v>
      </c>
      <c r="BV251" s="11">
        <v>89.0</v>
      </c>
      <c r="BW251" s="11">
        <v>40860.0</v>
      </c>
      <c r="BX251" s="11">
        <v>5870.0</v>
      </c>
      <c r="BY251" s="11">
        <v>32340.0</v>
      </c>
      <c r="BZ251" s="11">
        <v>12850.0</v>
      </c>
      <c r="CA251" s="11">
        <v>10940.0</v>
      </c>
      <c r="CB251" s="11">
        <v>2750.0</v>
      </c>
      <c r="CC251" s="11">
        <v>282.0</v>
      </c>
      <c r="CD251" s="11">
        <v>123.0</v>
      </c>
      <c r="CE251" s="11">
        <v>80.0</v>
      </c>
      <c r="CF251" s="11">
        <v>34.0</v>
      </c>
      <c r="CG251" s="12"/>
      <c r="CH251" s="12"/>
      <c r="CI251" s="12"/>
      <c r="CJ251" s="12"/>
      <c r="CK251" s="12"/>
      <c r="CL251" s="11">
        <v>44560.0</v>
      </c>
      <c r="CM251" s="11">
        <v>7060.0</v>
      </c>
      <c r="CN251" s="11">
        <v>32830.0</v>
      </c>
      <c r="CO251" s="11">
        <v>14910.0</v>
      </c>
      <c r="CP251" s="11">
        <v>10970.0</v>
      </c>
      <c r="CQ251" s="11">
        <v>2540.0</v>
      </c>
      <c r="CR251" s="11">
        <v>9590.0</v>
      </c>
      <c r="CS251" s="11">
        <v>3380.0</v>
      </c>
      <c r="CT251" s="11">
        <v>444.0</v>
      </c>
      <c r="CU251" s="11">
        <v>300.0</v>
      </c>
      <c r="CV251" s="11">
        <v>10050.0</v>
      </c>
      <c r="CW251" s="11">
        <v>566.0</v>
      </c>
      <c r="CX251" s="12"/>
      <c r="CY251" s="12"/>
      <c r="CZ251" s="12"/>
      <c r="DA251" s="12"/>
      <c r="DB251" s="11">
        <v>10050.0</v>
      </c>
      <c r="DC251" s="11">
        <v>16450.0</v>
      </c>
      <c r="DD251" s="11">
        <v>4790.0</v>
      </c>
      <c r="DE251" s="11">
        <v>2610.0</v>
      </c>
      <c r="DF251" s="11">
        <v>13420.0</v>
      </c>
      <c r="DG251" s="11">
        <v>16450.0</v>
      </c>
      <c r="DH251" s="11">
        <v>4790.0</v>
      </c>
      <c r="DI251" s="11">
        <v>2610.0</v>
      </c>
      <c r="DJ251" s="11">
        <v>1310.0</v>
      </c>
      <c r="DK251" s="12"/>
      <c r="DL251" s="12"/>
      <c r="DM251" s="12"/>
      <c r="DN251" s="12"/>
      <c r="DO251" s="12"/>
      <c r="DP251" s="11">
        <v>3370.0</v>
      </c>
      <c r="DQ251" s="12"/>
      <c r="DR251" s="12"/>
      <c r="DS251" s="12"/>
      <c r="DT251" s="12"/>
      <c r="DU251" s="13"/>
      <c r="DV251" s="12"/>
      <c r="DW251" s="12"/>
      <c r="DX251" s="13"/>
      <c r="DY251" s="13"/>
      <c r="DZ251" s="11">
        <v>30280.0</v>
      </c>
      <c r="EA251" s="11">
        <v>-7770.0</v>
      </c>
      <c r="EB251" s="11">
        <v>27080.0</v>
      </c>
      <c r="EC251" s="11">
        <v>12150.0</v>
      </c>
      <c r="ED251" s="11">
        <v>8950.0</v>
      </c>
      <c r="EE251" s="23"/>
      <c r="EF251" s="14">
        <v>0.478</v>
      </c>
      <c r="EG251" s="14">
        <v>-0.261</v>
      </c>
      <c r="EH251" s="14">
        <v>-0.157</v>
      </c>
    </row>
    <row r="252">
      <c r="A252" s="9">
        <f t="shared" si="2"/>
        <v>250</v>
      </c>
      <c r="B252" s="10" t="s">
        <v>386</v>
      </c>
      <c r="C252" s="11">
        <v>2190000.0</v>
      </c>
      <c r="D252" s="11">
        <v>1920000.0</v>
      </c>
      <c r="E252" s="11">
        <v>2090000.0</v>
      </c>
      <c r="F252" s="11">
        <v>2110000.0</v>
      </c>
      <c r="G252" s="11">
        <v>1920000.0</v>
      </c>
      <c r="H252" s="11">
        <v>1820000.0</v>
      </c>
      <c r="I252" s="11">
        <v>1630000.0</v>
      </c>
      <c r="J252" s="11">
        <v>151280.0</v>
      </c>
      <c r="K252" s="11">
        <v>331010.0</v>
      </c>
      <c r="L252" s="11">
        <v>294060.0</v>
      </c>
      <c r="M252" s="11">
        <v>208610.0</v>
      </c>
      <c r="N252" s="11">
        <v>240210.0</v>
      </c>
      <c r="O252" s="11">
        <v>241170.0</v>
      </c>
      <c r="P252" s="11">
        <v>249660.0</v>
      </c>
      <c r="Q252" s="11">
        <v>236720.0</v>
      </c>
      <c r="R252" s="11">
        <v>224090.0</v>
      </c>
      <c r="S252" s="11">
        <v>207520.0</v>
      </c>
      <c r="T252" s="11"/>
      <c r="U252" s="11"/>
      <c r="V252" s="11"/>
      <c r="W252" s="11"/>
      <c r="X252" s="11"/>
      <c r="Y252" s="11">
        <v>-114820.0</v>
      </c>
      <c r="Z252" s="11">
        <v>53710.0</v>
      </c>
      <c r="AA252" s="11">
        <v>49510.0</v>
      </c>
      <c r="AB252" s="11">
        <v>45900.0</v>
      </c>
      <c r="AC252" s="11">
        <v>51510.0</v>
      </c>
      <c r="AD252" s="11">
        <v>-116640.0</v>
      </c>
      <c r="AE252" s="11">
        <v>49440.0</v>
      </c>
      <c r="AF252" s="11">
        <v>34650.0</v>
      </c>
      <c r="AG252" s="11">
        <v>21700.0</v>
      </c>
      <c r="AH252" s="11">
        <v>22030.0</v>
      </c>
      <c r="AI252" s="11">
        <v>-75140.0</v>
      </c>
      <c r="AJ252" s="11">
        <v>95160.0</v>
      </c>
      <c r="AK252" s="11">
        <v>71350.0</v>
      </c>
      <c r="AL252" s="11">
        <v>-1680.0</v>
      </c>
      <c r="AM252" s="11">
        <v>46030.0</v>
      </c>
      <c r="AN252" s="11">
        <v>-79420.0</v>
      </c>
      <c r="AO252" s="11">
        <v>-45050.0</v>
      </c>
      <c r="AP252" s="11">
        <v>31950.0</v>
      </c>
      <c r="AQ252" s="11">
        <v>5210.0</v>
      </c>
      <c r="AR252" s="11">
        <v>346600.0</v>
      </c>
      <c r="AS252" s="11">
        <v>113640.0</v>
      </c>
      <c r="AT252" s="11">
        <v>30290.0</v>
      </c>
      <c r="AU252" s="11">
        <v>95910.0</v>
      </c>
      <c r="AV252" s="11">
        <v>163030.0</v>
      </c>
      <c r="AW252" s="11">
        <v>-81050.0</v>
      </c>
      <c r="AX252" s="11">
        <v>-21360.0</v>
      </c>
      <c r="AY252" s="11">
        <v>-17020.0</v>
      </c>
      <c r="AZ252" s="11">
        <v>-12440.0</v>
      </c>
      <c r="BA252" s="11">
        <v>-12220.0</v>
      </c>
      <c r="BB252" s="11">
        <v>-15960.0</v>
      </c>
      <c r="BC252" s="13"/>
      <c r="BD252" s="13"/>
      <c r="BE252" s="13"/>
      <c r="BF252" s="13"/>
      <c r="BG252" s="13"/>
      <c r="BH252" s="11">
        <v>122790.0</v>
      </c>
      <c r="BI252" s="11">
        <v>153250.0</v>
      </c>
      <c r="BJ252" s="11">
        <v>304610.0</v>
      </c>
      <c r="BK252" s="11">
        <v>243280.0</v>
      </c>
      <c r="BL252" s="11">
        <v>290480.0</v>
      </c>
      <c r="BM252" s="11">
        <v>31330.0</v>
      </c>
      <c r="BN252" s="11">
        <v>24650.0</v>
      </c>
      <c r="BO252" s="11">
        <v>36410.0</v>
      </c>
      <c r="BP252" s="11">
        <v>53520.0</v>
      </c>
      <c r="BQ252" s="11">
        <v>52800.0</v>
      </c>
      <c r="BR252" s="11">
        <v>1500000.0</v>
      </c>
      <c r="BS252" s="11">
        <v>1690000.0</v>
      </c>
      <c r="BT252" s="11">
        <v>1540000.0</v>
      </c>
      <c r="BU252" s="11">
        <v>1570000.0</v>
      </c>
      <c r="BV252" s="11">
        <v>1700000.0</v>
      </c>
      <c r="BW252" s="11">
        <v>1660000.0</v>
      </c>
      <c r="BX252" s="11">
        <v>1870000.0</v>
      </c>
      <c r="BY252" s="11">
        <v>1880000.0</v>
      </c>
      <c r="BZ252" s="11">
        <v>1870000.0</v>
      </c>
      <c r="CA252" s="11">
        <v>2040000.0</v>
      </c>
      <c r="CB252" s="11">
        <v>27420.0</v>
      </c>
      <c r="CC252" s="11">
        <v>20840.0</v>
      </c>
      <c r="CD252" s="11">
        <v>17570.0</v>
      </c>
      <c r="CE252" s="11">
        <v>19140.0</v>
      </c>
      <c r="CF252" s="11">
        <v>22230.0</v>
      </c>
      <c r="CG252" s="11">
        <v>11380.0</v>
      </c>
      <c r="CH252" s="11"/>
      <c r="CI252" s="11"/>
      <c r="CJ252" s="11"/>
      <c r="CK252" s="11"/>
      <c r="CL252" s="11">
        <v>1960000.0</v>
      </c>
      <c r="CM252" s="11">
        <v>2130000.0</v>
      </c>
      <c r="CN252" s="11">
        <v>2220000.0</v>
      </c>
      <c r="CO252" s="11">
        <v>2210000.0</v>
      </c>
      <c r="CP252" s="11">
        <v>2420000.0</v>
      </c>
      <c r="CQ252" s="11">
        <v>131150.0</v>
      </c>
      <c r="CR252" s="11">
        <v>126430.0</v>
      </c>
      <c r="CS252" s="11">
        <v>103480.0</v>
      </c>
      <c r="CT252" s="11">
        <v>104170.0</v>
      </c>
      <c r="CU252" s="11">
        <v>113540.0</v>
      </c>
      <c r="CV252" s="11">
        <v>240580.0</v>
      </c>
      <c r="CW252" s="11"/>
      <c r="CX252" s="13"/>
      <c r="CY252" s="13"/>
      <c r="CZ252" s="13"/>
      <c r="DA252" s="12"/>
      <c r="DB252" s="11">
        <v>240580.0</v>
      </c>
      <c r="DC252" s="11">
        <v>252820.0</v>
      </c>
      <c r="DD252" s="11">
        <v>211140.0</v>
      </c>
      <c r="DE252" s="11">
        <v>238430.0</v>
      </c>
      <c r="DF252" s="11">
        <v>1420000.0</v>
      </c>
      <c r="DG252" s="11">
        <v>1480000.0</v>
      </c>
      <c r="DH252" s="11">
        <v>1540000.0</v>
      </c>
      <c r="DI252" s="11">
        <v>1570000.0</v>
      </c>
      <c r="DJ252" s="11">
        <v>1790000.0</v>
      </c>
      <c r="DK252" s="11">
        <v>3960.0</v>
      </c>
      <c r="DL252" s="11">
        <v>4040.0</v>
      </c>
      <c r="DM252" s="11">
        <v>3990.0</v>
      </c>
      <c r="DN252" s="11">
        <v>10470.0</v>
      </c>
      <c r="DO252" s="11">
        <v>13730.0</v>
      </c>
      <c r="DP252" s="11">
        <v>1180000.0</v>
      </c>
      <c r="DQ252" s="11">
        <v>1230000.0</v>
      </c>
      <c r="DR252" s="11">
        <v>1330000.0</v>
      </c>
      <c r="DS252" s="11">
        <v>1330000.0</v>
      </c>
      <c r="DT252" s="11">
        <v>1360000.0</v>
      </c>
      <c r="DU252" s="13"/>
      <c r="DV252" s="12"/>
      <c r="DW252" s="12"/>
      <c r="DX252" s="13"/>
      <c r="DY252" s="13"/>
      <c r="DZ252" s="11">
        <v>538750.0</v>
      </c>
      <c r="EA252" s="11">
        <v>644030.0</v>
      </c>
      <c r="EB252" s="11">
        <v>682440.0</v>
      </c>
      <c r="EC252" s="11">
        <v>642850.0</v>
      </c>
      <c r="ED252" s="11">
        <v>630420.0</v>
      </c>
      <c r="EE252" s="14">
        <v>0.0</v>
      </c>
      <c r="EF252" s="14">
        <v>0.0</v>
      </c>
      <c r="EG252" s="14">
        <v>0.346</v>
      </c>
      <c r="EH252" s="14">
        <v>0.256</v>
      </c>
    </row>
    <row r="253">
      <c r="A253" s="9">
        <f t="shared" si="2"/>
        <v>251</v>
      </c>
      <c r="B253" s="10" t="s">
        <v>387</v>
      </c>
      <c r="C253" s="11">
        <v>898660.0</v>
      </c>
      <c r="D253" s="11">
        <v>789580.0</v>
      </c>
      <c r="E253" s="11">
        <v>1560000.0</v>
      </c>
      <c r="F253" s="11">
        <v>1430000.0</v>
      </c>
      <c r="G253" s="11">
        <v>1580000.0</v>
      </c>
      <c r="H253" s="11">
        <v>1370000.0</v>
      </c>
      <c r="I253" s="11">
        <v>1190000.0</v>
      </c>
      <c r="J253" s="11">
        <v>412450.0</v>
      </c>
      <c r="K253" s="11">
        <v>447590.0</v>
      </c>
      <c r="L253" s="11">
        <v>537530.0</v>
      </c>
      <c r="M253" s="11">
        <v>500110.0</v>
      </c>
      <c r="N253" s="11">
        <v>420460.0</v>
      </c>
      <c r="O253" s="11">
        <v>158360.0</v>
      </c>
      <c r="P253" s="11">
        <v>162670.0</v>
      </c>
      <c r="Q253" s="11">
        <v>186560.0</v>
      </c>
      <c r="R253" s="11">
        <v>163700.0</v>
      </c>
      <c r="S253" s="11">
        <v>159740.0</v>
      </c>
      <c r="T253" s="11"/>
      <c r="U253" s="11"/>
      <c r="V253" s="11"/>
      <c r="W253" s="11"/>
      <c r="X253" s="11"/>
      <c r="Y253" s="11">
        <v>209220.0</v>
      </c>
      <c r="Z253" s="11"/>
      <c r="AA253" s="11">
        <v>354030.0</v>
      </c>
      <c r="AB253" s="11">
        <v>314870.0</v>
      </c>
      <c r="AC253" s="11"/>
      <c r="AD253" s="11">
        <v>16610.0</v>
      </c>
      <c r="AE253" s="11">
        <v>7650.0</v>
      </c>
      <c r="AF253" s="11">
        <v>129660.0</v>
      </c>
      <c r="AG253" s="11">
        <v>96380.0</v>
      </c>
      <c r="AH253" s="11">
        <v>120590.0</v>
      </c>
      <c r="AI253" s="11">
        <v>434110.0</v>
      </c>
      <c r="AJ253" s="11">
        <v>458650.0</v>
      </c>
      <c r="AK253" s="11">
        <v>489100.0</v>
      </c>
      <c r="AL253" s="11">
        <v>454390.0</v>
      </c>
      <c r="AM253" s="11">
        <v>330300.0</v>
      </c>
      <c r="AN253" s="11">
        <v>9100.0</v>
      </c>
      <c r="AO253" s="11">
        <v>7130.0</v>
      </c>
      <c r="AP253" s="11">
        <v>63490.0</v>
      </c>
      <c r="AQ253" s="11">
        <v>43240.0</v>
      </c>
      <c r="AR253" s="11">
        <v>-11040.0</v>
      </c>
      <c r="AS253" s="11">
        <v>255180.0</v>
      </c>
      <c r="AT253" s="11">
        <v>327650.0</v>
      </c>
      <c r="AU253" s="11">
        <v>-156380.0</v>
      </c>
      <c r="AV253" s="11">
        <v>116050.0</v>
      </c>
      <c r="AW253" s="11">
        <v>-36710.0</v>
      </c>
      <c r="AX253" s="11">
        <v>-371800.0</v>
      </c>
      <c r="AY253" s="11">
        <v>-222520.0</v>
      </c>
      <c r="AZ253" s="11">
        <v>-13170.0</v>
      </c>
      <c r="BA253" s="11">
        <v>-11240.0</v>
      </c>
      <c r="BB253" s="11">
        <v>-8880.0</v>
      </c>
      <c r="BC253" s="11">
        <v>-22480.0</v>
      </c>
      <c r="BD253" s="11">
        <v>-14970.0</v>
      </c>
      <c r="BE253" s="11">
        <v>-23840.0</v>
      </c>
      <c r="BF253" s="11">
        <v>-49730.0</v>
      </c>
      <c r="BG253" s="11">
        <v>-76880.0</v>
      </c>
      <c r="BH253" s="11">
        <v>269520.0</v>
      </c>
      <c r="BI253" s="11">
        <v>312220.0</v>
      </c>
      <c r="BJ253" s="11">
        <v>348390.0</v>
      </c>
      <c r="BK253" s="11">
        <v>311730.0</v>
      </c>
      <c r="BL253" s="11">
        <v>216640.0</v>
      </c>
      <c r="BM253" s="11">
        <v>212410.0</v>
      </c>
      <c r="BN253" s="11">
        <v>191060.0</v>
      </c>
      <c r="BO253" s="11">
        <v>184140.0</v>
      </c>
      <c r="BP253" s="11">
        <v>155790.0</v>
      </c>
      <c r="BQ253" s="11">
        <v>144620.0</v>
      </c>
      <c r="BR253" s="11">
        <v>11300.0</v>
      </c>
      <c r="BS253" s="11">
        <v>9770.0</v>
      </c>
      <c r="BT253" s="11">
        <v>8560.0</v>
      </c>
      <c r="BU253" s="11">
        <v>7660.0</v>
      </c>
      <c r="BV253" s="11">
        <v>8220.0</v>
      </c>
      <c r="BW253" s="11">
        <v>507640.0</v>
      </c>
      <c r="BX253" s="11">
        <v>532740.0</v>
      </c>
      <c r="BY253" s="11">
        <v>579480.0</v>
      </c>
      <c r="BZ253" s="11">
        <v>507130.0</v>
      </c>
      <c r="CA253" s="11">
        <v>394720.0</v>
      </c>
      <c r="CB253" s="11">
        <v>87990.0</v>
      </c>
      <c r="CC253" s="11">
        <v>74300.0</v>
      </c>
      <c r="CD253" s="11">
        <v>74480.0</v>
      </c>
      <c r="CE253" s="11">
        <v>65980.0</v>
      </c>
      <c r="CF253" s="11">
        <v>71690.0</v>
      </c>
      <c r="CG253" s="11">
        <v>55510.0</v>
      </c>
      <c r="CH253" s="11">
        <v>56500.0</v>
      </c>
      <c r="CI253" s="11">
        <v>56740.0</v>
      </c>
      <c r="CJ253" s="11">
        <v>55710.0</v>
      </c>
      <c r="CK253" s="11">
        <v>56400.0</v>
      </c>
      <c r="CL253" s="11">
        <v>3880000.0</v>
      </c>
      <c r="CM253" s="11">
        <v>3850000.0</v>
      </c>
      <c r="CN253" s="11">
        <v>3800000.0</v>
      </c>
      <c r="CO253" s="11">
        <v>3630000.0</v>
      </c>
      <c r="CP253" s="11">
        <v>3270000.0</v>
      </c>
      <c r="CQ253" s="11">
        <v>148760.0</v>
      </c>
      <c r="CR253" s="11">
        <v>114640.0</v>
      </c>
      <c r="CS253" s="11">
        <v>127810.0</v>
      </c>
      <c r="CT253" s="11">
        <v>113540.0</v>
      </c>
      <c r="CU253" s="11">
        <v>121160.0</v>
      </c>
      <c r="CV253" s="11">
        <v>562300.0</v>
      </c>
      <c r="CW253" s="11">
        <v>9000.0</v>
      </c>
      <c r="CX253" s="11">
        <v>58840.0</v>
      </c>
      <c r="CY253" s="11">
        <v>42280.0</v>
      </c>
      <c r="CZ253" s="11">
        <v>24460.0</v>
      </c>
      <c r="DA253" s="11">
        <v>3650.0</v>
      </c>
      <c r="DB253" s="11">
        <v>562300.0</v>
      </c>
      <c r="DC253" s="11">
        <v>450550.0</v>
      </c>
      <c r="DD253" s="11">
        <v>732020.0</v>
      </c>
      <c r="DE253" s="11">
        <v>662780.0</v>
      </c>
      <c r="DF253" s="11">
        <v>2680000.0</v>
      </c>
      <c r="DG253" s="11">
        <v>2620000.0</v>
      </c>
      <c r="DH253" s="11">
        <v>3000000.0</v>
      </c>
      <c r="DI253" s="11">
        <v>2820000.0</v>
      </c>
      <c r="DJ253" s="11">
        <v>2440000.0</v>
      </c>
      <c r="DK253" s="11">
        <v>13240.0</v>
      </c>
      <c r="DL253" s="11">
        <v>14260.0</v>
      </c>
      <c r="DM253" s="11">
        <v>152620.0</v>
      </c>
      <c r="DN253" s="11">
        <v>94590.0</v>
      </c>
      <c r="DO253" s="11">
        <v>89130.0</v>
      </c>
      <c r="DP253" s="11">
        <v>1040000.0</v>
      </c>
      <c r="DQ253" s="11">
        <v>1030000.0</v>
      </c>
      <c r="DR253" s="11">
        <v>1110000.0</v>
      </c>
      <c r="DS253" s="11">
        <v>965670.0</v>
      </c>
      <c r="DT253" s="11">
        <v>960320.0</v>
      </c>
      <c r="DU253" s="13"/>
      <c r="DV253" s="12"/>
      <c r="DW253" s="12"/>
      <c r="DX253" s="12"/>
      <c r="DY253" s="12"/>
      <c r="DZ253" s="11">
        <v>763890.0</v>
      </c>
      <c r="EA253" s="11">
        <v>768240.0</v>
      </c>
      <c r="EB253" s="11">
        <v>461780.0</v>
      </c>
      <c r="EC253" s="11">
        <v>449150.0</v>
      </c>
      <c r="ED253" s="11">
        <v>462760.0</v>
      </c>
      <c r="EE253" s="14">
        <v>1.064</v>
      </c>
      <c r="EF253" s="14">
        <v>0.37</v>
      </c>
      <c r="EG253" s="14">
        <v>0.868</v>
      </c>
      <c r="EH253" s="14">
        <v>-0.667</v>
      </c>
    </row>
    <row r="254">
      <c r="A254" s="9">
        <f t="shared" si="2"/>
        <v>252</v>
      </c>
      <c r="B254" s="22" t="s">
        <v>388</v>
      </c>
      <c r="C254" s="12"/>
      <c r="D254" s="12"/>
      <c r="E254" s="12"/>
      <c r="F254" s="12"/>
      <c r="G254" s="12"/>
      <c r="H254" s="12"/>
      <c r="I254" s="12"/>
      <c r="J254" s="11">
        <v>-104.0</v>
      </c>
      <c r="K254" s="12"/>
      <c r="L254" s="12"/>
      <c r="M254" s="12"/>
      <c r="N254" s="12"/>
      <c r="O254" s="11">
        <v>18580.0</v>
      </c>
      <c r="P254" s="11">
        <v>6190.0</v>
      </c>
      <c r="Q254" s="11">
        <v>250.0</v>
      </c>
      <c r="R254" s="12"/>
      <c r="S254" s="12"/>
      <c r="T254" s="11">
        <v>11670.0</v>
      </c>
      <c r="U254" s="11">
        <v>4470.0</v>
      </c>
      <c r="V254" s="12"/>
      <c r="W254" s="12"/>
      <c r="X254" s="12"/>
      <c r="Y254" s="12"/>
      <c r="Z254" s="11">
        <v>-12440.0</v>
      </c>
      <c r="AA254" s="12"/>
      <c r="AB254" s="12"/>
      <c r="AC254" s="12"/>
      <c r="AD254" s="11">
        <v>-16940.0</v>
      </c>
      <c r="AE254" s="11">
        <v>-12200.0</v>
      </c>
      <c r="AF254" s="11">
        <v>-250.0</v>
      </c>
      <c r="AG254" s="12"/>
      <c r="AH254" s="12"/>
      <c r="AI254" s="11">
        <v>-18580.0</v>
      </c>
      <c r="AJ254" s="11">
        <v>-6190.0</v>
      </c>
      <c r="AK254" s="11">
        <v>-250.0</v>
      </c>
      <c r="AL254" s="12"/>
      <c r="AM254" s="12"/>
      <c r="AN254" s="11">
        <v>-16940.0</v>
      </c>
      <c r="AO254" s="11">
        <v>-12200.0</v>
      </c>
      <c r="AP254" s="11">
        <v>-250.0</v>
      </c>
      <c r="AQ254" s="12"/>
      <c r="AR254" s="12"/>
      <c r="AS254" s="11">
        <v>-16050.0</v>
      </c>
      <c r="AT254" s="11">
        <v>-4660.0</v>
      </c>
      <c r="AU254" s="12"/>
      <c r="AV254" s="12"/>
      <c r="AW254" s="12"/>
      <c r="AX254" s="11">
        <v>-693.0</v>
      </c>
      <c r="AY254" s="12"/>
      <c r="AZ254" s="12"/>
      <c r="BA254" s="12"/>
      <c r="BB254" s="12"/>
      <c r="BC254" s="12"/>
      <c r="BD254" s="12"/>
      <c r="BE254" s="12"/>
      <c r="BF254" s="12"/>
      <c r="BG254" s="12"/>
      <c r="BH254" s="11">
        <v>136200.0</v>
      </c>
      <c r="BI254" s="11">
        <v>33020.0</v>
      </c>
      <c r="BJ254" s="11">
        <v>1.0</v>
      </c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1">
        <v>140550.0</v>
      </c>
      <c r="BX254" s="11">
        <v>33990.0</v>
      </c>
      <c r="BY254" s="11">
        <v>1.0</v>
      </c>
      <c r="BZ254" s="12"/>
      <c r="CA254" s="12"/>
      <c r="CB254" s="11">
        <v>815.0</v>
      </c>
      <c r="CC254" s="12"/>
      <c r="CD254" s="12"/>
      <c r="CE254" s="12"/>
      <c r="CF254" s="12"/>
      <c r="CG254" s="12"/>
      <c r="CH254" s="12"/>
      <c r="CI254" s="12"/>
      <c r="CJ254" s="12"/>
      <c r="CK254" s="12"/>
      <c r="CL254" s="11">
        <v>141470.0</v>
      </c>
      <c r="CM254" s="11">
        <v>34170.0</v>
      </c>
      <c r="CN254" s="11">
        <v>1.0</v>
      </c>
      <c r="CO254" s="12"/>
      <c r="CP254" s="12"/>
      <c r="CQ254" s="11">
        <v>920.0</v>
      </c>
      <c r="CR254" s="11">
        <v>603.0</v>
      </c>
      <c r="CS254" s="11">
        <v>189.0</v>
      </c>
      <c r="CT254" s="12"/>
      <c r="CU254" s="12"/>
      <c r="CV254" s="11">
        <v>3150.0</v>
      </c>
      <c r="CW254" s="12"/>
      <c r="CX254" s="12"/>
      <c r="CY254" s="12"/>
      <c r="CZ254" s="12"/>
      <c r="DA254" s="12"/>
      <c r="DB254" s="11">
        <v>3150.0</v>
      </c>
      <c r="DC254" s="11">
        <v>943.0</v>
      </c>
      <c r="DD254" s="11">
        <v>250.0</v>
      </c>
      <c r="DE254" s="12"/>
      <c r="DF254" s="11">
        <v>3150.0</v>
      </c>
      <c r="DG254" s="11">
        <v>44860.0</v>
      </c>
      <c r="DH254" s="11">
        <v>250.0</v>
      </c>
      <c r="DI254" s="12"/>
      <c r="DJ254" s="12"/>
      <c r="DK254" s="12"/>
      <c r="DL254" s="12"/>
      <c r="DM254" s="12"/>
      <c r="DN254" s="12"/>
      <c r="DO254" s="12"/>
      <c r="DP254" s="12"/>
      <c r="DQ254" s="11">
        <v>43920.0</v>
      </c>
      <c r="DR254" s="12"/>
      <c r="DS254" s="12"/>
      <c r="DT254" s="12"/>
      <c r="DU254" s="13"/>
      <c r="DV254" s="12"/>
      <c r="DW254" s="12"/>
      <c r="DX254" s="13"/>
      <c r="DY254" s="13"/>
      <c r="DZ254" s="11">
        <v>138320.0</v>
      </c>
      <c r="EA254" s="11">
        <v>-10690.0</v>
      </c>
      <c r="EB254" s="11">
        <v>-249.0</v>
      </c>
      <c r="EC254" s="12"/>
      <c r="ED254" s="12"/>
      <c r="EE254" s="23"/>
      <c r="EF254" s="23"/>
      <c r="EG254" s="14">
        <v>0.103</v>
      </c>
      <c r="EH254" s="14">
        <v>-0.118</v>
      </c>
    </row>
    <row r="255">
      <c r="A255" s="9">
        <f t="shared" si="2"/>
        <v>253</v>
      </c>
      <c r="B255" s="10" t="s">
        <v>389</v>
      </c>
      <c r="C255" s="15">
        <v>6070000.0</v>
      </c>
      <c r="D255" s="15">
        <v>5700000.0</v>
      </c>
      <c r="E255" s="15">
        <v>4990000.0</v>
      </c>
      <c r="F255" s="15">
        <v>4470000.0</v>
      </c>
      <c r="G255" s="15">
        <v>4350000.0</v>
      </c>
      <c r="H255" s="15">
        <v>3740000.0</v>
      </c>
      <c r="I255" s="15">
        <v>3310000.0</v>
      </c>
      <c r="J255" s="15">
        <v>1600000.0</v>
      </c>
      <c r="K255" s="15">
        <v>1420000.0</v>
      </c>
      <c r="L255" s="15">
        <v>1350000.0</v>
      </c>
      <c r="M255" s="15">
        <v>1190000.0</v>
      </c>
      <c r="N255" s="15">
        <v>1050000.0</v>
      </c>
      <c r="O255" s="15">
        <v>1200000.0</v>
      </c>
      <c r="P255" s="15">
        <v>1080000.0</v>
      </c>
      <c r="Q255" s="15">
        <v>1050000.0</v>
      </c>
      <c r="R255" s="15">
        <v>915020.0</v>
      </c>
      <c r="S255" s="15">
        <v>0.0</v>
      </c>
      <c r="T255" s="15">
        <v>0.0</v>
      </c>
      <c r="U255" s="15">
        <v>0.0</v>
      </c>
      <c r="V255" s="15">
        <v>0.0</v>
      </c>
      <c r="W255" s="15">
        <v>0.0</v>
      </c>
      <c r="X255" s="15">
        <v>0.0</v>
      </c>
      <c r="Y255" s="15">
        <v>377870.0</v>
      </c>
      <c r="Z255" s="15">
        <v>340700.0</v>
      </c>
      <c r="AA255" s="15">
        <v>0.0</v>
      </c>
      <c r="AB255" s="15">
        <v>264750.0</v>
      </c>
      <c r="AC255" s="15">
        <v>0.0</v>
      </c>
      <c r="AD255" s="15">
        <v>327910.0</v>
      </c>
      <c r="AE255" s="15">
        <v>298660.0</v>
      </c>
      <c r="AF255" s="15">
        <v>248620.0</v>
      </c>
      <c r="AG255" s="15">
        <v>223610.0</v>
      </c>
      <c r="AH255" s="15">
        <v>201620.0</v>
      </c>
      <c r="AI255" s="15">
        <v>478740.0</v>
      </c>
      <c r="AJ255" s="15">
        <v>412910.0</v>
      </c>
      <c r="AK255" s="15">
        <v>369720.0</v>
      </c>
      <c r="AL255" s="15">
        <v>341400.0</v>
      </c>
      <c r="AM255" s="15">
        <v>0.0</v>
      </c>
      <c r="AN255" s="15">
        <v>265600.0</v>
      </c>
      <c r="AO255" s="15">
        <v>301170.0</v>
      </c>
      <c r="AP255" s="15">
        <v>163670.0</v>
      </c>
      <c r="AQ255" s="15">
        <v>142800.0</v>
      </c>
      <c r="AR255" s="15">
        <v>0.0</v>
      </c>
      <c r="AS255" s="15">
        <v>555300.0</v>
      </c>
      <c r="AT255" s="15">
        <v>325130.0</v>
      </c>
      <c r="AU255" s="15">
        <v>281250.0</v>
      </c>
      <c r="AV255" s="15">
        <v>242580.0</v>
      </c>
      <c r="AW255" s="15">
        <v>0.0</v>
      </c>
      <c r="AX255" s="15">
        <v>-47900.0</v>
      </c>
      <c r="AY255" s="15">
        <v>-41590.0</v>
      </c>
      <c r="AZ255" s="15">
        <v>-43270.0</v>
      </c>
      <c r="BA255" s="15">
        <v>-20840.0</v>
      </c>
      <c r="BB255" s="15">
        <v>0.0</v>
      </c>
      <c r="BC255" s="16">
        <v>0.0</v>
      </c>
      <c r="BD255" s="16">
        <v>0.0</v>
      </c>
      <c r="BE255" s="16">
        <v>0.0</v>
      </c>
      <c r="BF255" s="16">
        <v>0.0</v>
      </c>
      <c r="BG255" s="16">
        <v>0.0</v>
      </c>
      <c r="BH255" s="15">
        <v>72030.0</v>
      </c>
      <c r="BI255" s="15">
        <v>66190.0</v>
      </c>
      <c r="BJ255" s="15">
        <v>65540.0</v>
      </c>
      <c r="BK255" s="15">
        <v>49080.0</v>
      </c>
      <c r="BL255" s="15">
        <v>35360.0</v>
      </c>
      <c r="BM255" s="15">
        <v>872530.0</v>
      </c>
      <c r="BN255" s="15">
        <v>806870.0</v>
      </c>
      <c r="BO255" s="15">
        <v>757340.0</v>
      </c>
      <c r="BP255" s="15">
        <v>808820.0</v>
      </c>
      <c r="BQ255" s="15">
        <v>596160.0</v>
      </c>
      <c r="BR255" s="15">
        <v>47200.0</v>
      </c>
      <c r="BS255" s="15">
        <v>0.0</v>
      </c>
      <c r="BT255" s="15">
        <v>0.0</v>
      </c>
      <c r="BU255" s="15">
        <v>0.0</v>
      </c>
      <c r="BV255" s="15">
        <v>0.0</v>
      </c>
      <c r="BW255" s="15">
        <v>1030000.0</v>
      </c>
      <c r="BX255" s="15">
        <v>931190.0</v>
      </c>
      <c r="BY255" s="15">
        <v>879900.0</v>
      </c>
      <c r="BZ255" s="15">
        <v>921840.0</v>
      </c>
      <c r="CA255" s="15">
        <v>666110.0</v>
      </c>
      <c r="CB255" s="15">
        <v>149680.0</v>
      </c>
      <c r="CC255" s="15">
        <v>101140.0</v>
      </c>
      <c r="CD255" s="15">
        <v>91750.0</v>
      </c>
      <c r="CE255" s="15">
        <v>81360.0</v>
      </c>
      <c r="CF255" s="15">
        <v>63690.0</v>
      </c>
      <c r="CG255" s="15">
        <v>3340000.0</v>
      </c>
      <c r="CH255" s="15">
        <v>2620000.0</v>
      </c>
      <c r="CI255" s="15">
        <v>2580000.0</v>
      </c>
      <c r="CJ255" s="15">
        <v>2590000.0</v>
      </c>
      <c r="CK255" s="15">
        <v>2190000.0</v>
      </c>
      <c r="CL255" s="15">
        <v>5090000.0</v>
      </c>
      <c r="CM255" s="15">
        <v>4030000.0</v>
      </c>
      <c r="CN255" s="15">
        <v>3910000.0</v>
      </c>
      <c r="CO255" s="15">
        <v>3990000.0</v>
      </c>
      <c r="CP255" s="15">
        <v>3240000.0</v>
      </c>
      <c r="CQ255" s="15">
        <v>118920.0</v>
      </c>
      <c r="CR255" s="15">
        <v>82020.0</v>
      </c>
      <c r="CS255" s="15">
        <v>62870.0</v>
      </c>
      <c r="CT255" s="15">
        <v>95270.0</v>
      </c>
      <c r="CU255" s="15">
        <v>56840.0</v>
      </c>
      <c r="CV255" s="15">
        <v>691720.0</v>
      </c>
      <c r="CW255" s="15">
        <v>0.0</v>
      </c>
      <c r="CX255" s="16">
        <v>0.0</v>
      </c>
      <c r="CY255" s="15">
        <v>0.0</v>
      </c>
      <c r="CZ255" s="15">
        <v>0.0</v>
      </c>
      <c r="DA255" s="15">
        <v>0.0</v>
      </c>
      <c r="DB255" s="15">
        <v>691720.0</v>
      </c>
      <c r="DC255" s="15">
        <v>538980.0</v>
      </c>
      <c r="DD255" s="15">
        <v>526740.0</v>
      </c>
      <c r="DE255" s="15">
        <v>565180.0</v>
      </c>
      <c r="DF255" s="15">
        <v>2720000.0</v>
      </c>
      <c r="DG255" s="15">
        <v>1930000.0</v>
      </c>
      <c r="DH255" s="15">
        <v>2120000.0</v>
      </c>
      <c r="DI255" s="15">
        <v>2380000.0</v>
      </c>
      <c r="DJ255" s="15">
        <v>0.0</v>
      </c>
      <c r="DK255" s="15">
        <v>2080.0</v>
      </c>
      <c r="DL255" s="15">
        <v>0.0</v>
      </c>
      <c r="DM255" s="15">
        <v>0.0</v>
      </c>
      <c r="DN255" s="15">
        <v>0.0</v>
      </c>
      <c r="DO255" s="15">
        <v>0.0</v>
      </c>
      <c r="DP255" s="15">
        <v>1620000.0</v>
      </c>
      <c r="DQ255" s="15">
        <v>1020000.0</v>
      </c>
      <c r="DR255" s="15">
        <v>1180000.0</v>
      </c>
      <c r="DS255" s="15">
        <v>1400000.0</v>
      </c>
      <c r="DT255" s="15">
        <v>1020000.0</v>
      </c>
      <c r="DU255" s="16">
        <v>0.0</v>
      </c>
      <c r="DV255" s="15">
        <v>0.0</v>
      </c>
      <c r="DW255" s="15">
        <v>0.0</v>
      </c>
      <c r="DX255" s="15">
        <v>0.0</v>
      </c>
      <c r="DY255" s="15">
        <v>0.0</v>
      </c>
      <c r="DZ255" s="15">
        <v>2370000.0</v>
      </c>
      <c r="EA255" s="15">
        <v>2110000.0</v>
      </c>
      <c r="EB255" s="15">
        <v>1790000.0</v>
      </c>
      <c r="EC255" s="15">
        <v>1610000.0</v>
      </c>
      <c r="ED255" s="15">
        <v>1480000.0</v>
      </c>
      <c r="EE255" s="17">
        <v>0.014</v>
      </c>
      <c r="EF255" s="17">
        <v>0.063</v>
      </c>
      <c r="EG255" s="17">
        <v>0.003</v>
      </c>
      <c r="EH255" s="17">
        <v>0.009</v>
      </c>
    </row>
    <row r="256">
      <c r="A256" s="9">
        <f t="shared" si="2"/>
        <v>254</v>
      </c>
      <c r="B256" s="10" t="s">
        <v>390</v>
      </c>
      <c r="C256" s="11">
        <v>2380000.0</v>
      </c>
      <c r="D256" s="11">
        <v>2230000.0</v>
      </c>
      <c r="E256" s="11">
        <v>3620000.0</v>
      </c>
      <c r="F256" s="11">
        <v>3300000.0</v>
      </c>
      <c r="G256" s="11">
        <v>2820000.0</v>
      </c>
      <c r="H256" s="11">
        <v>2720000.0</v>
      </c>
      <c r="I256" s="11">
        <v>2550000.0</v>
      </c>
      <c r="J256" s="11">
        <v>1040000.0</v>
      </c>
      <c r="K256" s="11">
        <v>910300.0</v>
      </c>
      <c r="L256" s="11">
        <v>851400.0</v>
      </c>
      <c r="M256" s="11">
        <v>804500.0</v>
      </c>
      <c r="N256" s="11">
        <v>711700.0</v>
      </c>
      <c r="O256" s="11">
        <v>530200.0</v>
      </c>
      <c r="P256" s="11">
        <v>485400.0</v>
      </c>
      <c r="Q256" s="11">
        <v>469200.0</v>
      </c>
      <c r="R256" s="11">
        <v>450800.0</v>
      </c>
      <c r="S256" s="11">
        <v>377200.0</v>
      </c>
      <c r="T256" s="11">
        <v>98200.0</v>
      </c>
      <c r="U256" s="11">
        <v>72000.0</v>
      </c>
      <c r="V256" s="11">
        <v>89900.0</v>
      </c>
      <c r="W256" s="11">
        <v>87800.0</v>
      </c>
      <c r="X256" s="11">
        <v>68600.0</v>
      </c>
      <c r="Y256" s="11">
        <v>467300.0</v>
      </c>
      <c r="Z256" s="11">
        <v>424800.0</v>
      </c>
      <c r="AA256" s="11">
        <v>14200.0</v>
      </c>
      <c r="AB256" s="11">
        <v>317100.0</v>
      </c>
      <c r="AC256" s="11">
        <v>300000.0</v>
      </c>
      <c r="AD256" s="11">
        <v>365200.0</v>
      </c>
      <c r="AE256" s="11">
        <v>366300.0</v>
      </c>
      <c r="AF256" s="11">
        <v>342400.0</v>
      </c>
      <c r="AG256" s="11">
        <v>240600.0</v>
      </c>
      <c r="AH256" s="11">
        <v>216900.0</v>
      </c>
      <c r="AI256" s="11">
        <v>809000.0</v>
      </c>
      <c r="AJ256" s="11">
        <v>642100.0</v>
      </c>
      <c r="AK256" s="11">
        <v>581800.0</v>
      </c>
      <c r="AL256" s="11">
        <v>565600.0</v>
      </c>
      <c r="AM256" s="11">
        <v>552300.0</v>
      </c>
      <c r="AN256" s="11">
        <v>311400.0</v>
      </c>
      <c r="AO256" s="11">
        <v>330000.0</v>
      </c>
      <c r="AP256" s="11">
        <v>346000.0</v>
      </c>
      <c r="AQ256" s="11">
        <v>252000.0</v>
      </c>
      <c r="AR256" s="11">
        <v>239300.0</v>
      </c>
      <c r="AS256" s="11">
        <v>567700.0</v>
      </c>
      <c r="AT256" s="11">
        <v>552400.0</v>
      </c>
      <c r="AU256" s="11">
        <v>440900.0</v>
      </c>
      <c r="AV256" s="11">
        <v>480800.0</v>
      </c>
      <c r="AW256" s="11">
        <v>364300.0</v>
      </c>
      <c r="AX256" s="11">
        <v>-384000.0</v>
      </c>
      <c r="AY256" s="11">
        <v>-541100.0</v>
      </c>
      <c r="AZ256" s="11">
        <v>-221200.0</v>
      </c>
      <c r="BA256" s="11">
        <v>-273800.0</v>
      </c>
      <c r="BB256" s="11">
        <v>-169000.0</v>
      </c>
      <c r="BC256" s="11">
        <v>-110900.0</v>
      </c>
      <c r="BD256" s="11">
        <v>-99900.0</v>
      </c>
      <c r="BE256" s="11">
        <v>-89900.0</v>
      </c>
      <c r="BF256" s="11">
        <v>-80600.0</v>
      </c>
      <c r="BG256" s="11">
        <v>-56700.0</v>
      </c>
      <c r="BH256" s="11">
        <v>946500.0</v>
      </c>
      <c r="BI256" s="11">
        <v>446100.0</v>
      </c>
      <c r="BJ256" s="11">
        <v>611500.0</v>
      </c>
      <c r="BK256" s="11">
        <v>528100.0</v>
      </c>
      <c r="BL256" s="11">
        <v>509800.0</v>
      </c>
      <c r="BM256" s="11">
        <v>1170000.0</v>
      </c>
      <c r="BN256" s="11">
        <v>1050000.0</v>
      </c>
      <c r="BO256" s="11">
        <v>932400.0</v>
      </c>
      <c r="BP256" s="11">
        <v>911500.0</v>
      </c>
      <c r="BQ256" s="11">
        <v>873600.0</v>
      </c>
      <c r="BR256" s="11">
        <v>616200.0</v>
      </c>
      <c r="BS256" s="11">
        <v>537000.0</v>
      </c>
      <c r="BT256" s="11">
        <v>516100.0</v>
      </c>
      <c r="BU256" s="11">
        <v>416300.0</v>
      </c>
      <c r="BV256" s="11">
        <v>278300.0</v>
      </c>
      <c r="BW256" s="11">
        <v>2810000.0</v>
      </c>
      <c r="BX256" s="11">
        <v>2110000.0</v>
      </c>
      <c r="BY256" s="11">
        <v>2120000.0</v>
      </c>
      <c r="BZ256" s="11">
        <v>1920000.0</v>
      </c>
      <c r="CA256" s="11">
        <v>1750000.0</v>
      </c>
      <c r="CB256" s="11">
        <v>2550000.0</v>
      </c>
      <c r="CC256" s="11">
        <v>2150000.0</v>
      </c>
      <c r="CD256" s="11">
        <v>1800000.0</v>
      </c>
      <c r="CE256" s="11">
        <v>1580000.0</v>
      </c>
      <c r="CF256" s="11">
        <v>1470000.0</v>
      </c>
      <c r="CG256" s="11">
        <v>1090000.0</v>
      </c>
      <c r="CH256" s="11">
        <v>1070000.0</v>
      </c>
      <c r="CI256" s="11">
        <v>625500.0</v>
      </c>
      <c r="CJ256" s="11">
        <v>560000.0</v>
      </c>
      <c r="CK256" s="11">
        <v>556600.0</v>
      </c>
      <c r="CL256" s="11">
        <v>8480000.0</v>
      </c>
      <c r="CM256" s="11">
        <v>7170000.0</v>
      </c>
      <c r="CN256" s="11">
        <v>5780000.0</v>
      </c>
      <c r="CO256" s="11">
        <v>5350000.0</v>
      </c>
      <c r="CP256" s="11">
        <v>5000000.0</v>
      </c>
      <c r="CQ256" s="11">
        <v>539700.0</v>
      </c>
      <c r="CR256" s="11">
        <v>461100.0</v>
      </c>
      <c r="CS256" s="11">
        <v>313300.0</v>
      </c>
      <c r="CT256" s="11">
        <v>332400.0</v>
      </c>
      <c r="CU256" s="11">
        <v>324600.0</v>
      </c>
      <c r="CV256" s="11">
        <v>2060000.0</v>
      </c>
      <c r="CW256" s="12"/>
      <c r="CX256" s="13"/>
      <c r="CY256" s="13"/>
      <c r="CZ256" s="13"/>
      <c r="DA256" s="13"/>
      <c r="DB256" s="11">
        <v>2060000.0</v>
      </c>
      <c r="DC256" s="11">
        <v>1890000.0</v>
      </c>
      <c r="DD256" s="11">
        <v>1470000.0</v>
      </c>
      <c r="DE256" s="11">
        <v>1270000.0</v>
      </c>
      <c r="DF256" s="11">
        <v>5910000.0</v>
      </c>
      <c r="DG256" s="11">
        <v>4760000.0</v>
      </c>
      <c r="DH256" s="11">
        <v>3480000.0</v>
      </c>
      <c r="DI256" s="11">
        <v>3270000.0</v>
      </c>
      <c r="DJ256" s="11">
        <v>3060000.0</v>
      </c>
      <c r="DK256" s="11">
        <v>515800.0</v>
      </c>
      <c r="DL256" s="11">
        <v>381700.0</v>
      </c>
      <c r="DM256" s="11">
        <v>324100.0</v>
      </c>
      <c r="DN256" s="11">
        <v>460100.0</v>
      </c>
      <c r="DO256" s="11">
        <v>393500.0</v>
      </c>
      <c r="DP256" s="28">
        <v>3250000.0</v>
      </c>
      <c r="DQ256" s="28">
        <v>2200000.0</v>
      </c>
      <c r="DR256" s="28">
        <v>1350000.0</v>
      </c>
      <c r="DS256" s="28">
        <v>1340000.0</v>
      </c>
      <c r="DT256" s="28">
        <v>1150000.0</v>
      </c>
      <c r="DU256" s="13"/>
      <c r="DV256" s="13"/>
      <c r="DW256" s="13"/>
      <c r="DX256" s="13"/>
      <c r="DY256" s="13"/>
      <c r="DZ256" s="11">
        <v>2490000.0</v>
      </c>
      <c r="EA256" s="11">
        <v>2330000.0</v>
      </c>
      <c r="EB256" s="11">
        <v>2230000.0</v>
      </c>
      <c r="EC256" s="11">
        <v>2020000.0</v>
      </c>
      <c r="ED256" s="11">
        <v>1890000.0</v>
      </c>
      <c r="EE256" s="14">
        <v>0.031</v>
      </c>
      <c r="EF256" s="14">
        <v>0.059</v>
      </c>
      <c r="EG256" s="14">
        <v>0.048</v>
      </c>
      <c r="EH256" s="14">
        <v>-0.016</v>
      </c>
    </row>
    <row r="257">
      <c r="A257" s="9">
        <f t="shared" si="2"/>
        <v>255</v>
      </c>
      <c r="B257" s="10" t="s">
        <v>391</v>
      </c>
      <c r="C257" s="15">
        <v>1.083E7</v>
      </c>
      <c r="D257" s="15">
        <v>1.077E7</v>
      </c>
      <c r="E257" s="15">
        <v>1.105E7</v>
      </c>
      <c r="F257" s="15">
        <v>9540000.0</v>
      </c>
      <c r="G257" s="15">
        <v>7940000.0</v>
      </c>
      <c r="H257" s="15">
        <v>7830000.0</v>
      </c>
      <c r="I257" s="15">
        <v>8660000.0</v>
      </c>
      <c r="J257" s="15">
        <v>3110000.0</v>
      </c>
      <c r="K257" s="15">
        <v>2660000.0</v>
      </c>
      <c r="L257" s="15">
        <v>2350000.0</v>
      </c>
      <c r="M257" s="15">
        <v>2360000.0</v>
      </c>
      <c r="N257" s="15">
        <v>2440000.0</v>
      </c>
      <c r="O257" s="15">
        <v>1290000.0</v>
      </c>
      <c r="P257" s="15">
        <v>1250000.0</v>
      </c>
      <c r="Q257" s="15">
        <v>1400000.0</v>
      </c>
      <c r="R257" s="15">
        <v>1240000.0</v>
      </c>
      <c r="S257" s="15">
        <v>1700000.0</v>
      </c>
      <c r="T257" s="15">
        <v>56400.0</v>
      </c>
      <c r="U257" s="15">
        <v>56100.0</v>
      </c>
      <c r="V257" s="15">
        <v>47300.0</v>
      </c>
      <c r="W257" s="15">
        <v>44600.0</v>
      </c>
      <c r="X257" s="15">
        <v>59600.0</v>
      </c>
      <c r="Y257" s="15">
        <v>1450000.0</v>
      </c>
      <c r="Z257" s="15">
        <v>1110000.0</v>
      </c>
      <c r="AA257" s="15">
        <v>-600.0</v>
      </c>
      <c r="AB257" s="15">
        <v>894100.0</v>
      </c>
      <c r="AC257" s="15">
        <v>-336400.0</v>
      </c>
      <c r="AD257" s="15">
        <v>969900.0</v>
      </c>
      <c r="AE257" s="15">
        <v>823300.0</v>
      </c>
      <c r="AF257" s="15">
        <v>874800.0</v>
      </c>
      <c r="AG257" s="15">
        <v>729500.0</v>
      </c>
      <c r="AH257" s="15">
        <v>108800.0</v>
      </c>
      <c r="AI257" s="15">
        <v>2200000.0</v>
      </c>
      <c r="AJ257" s="15">
        <v>1740000.0</v>
      </c>
      <c r="AK257" s="15">
        <v>1210000.0</v>
      </c>
      <c r="AL257" s="15">
        <v>1390000.0</v>
      </c>
      <c r="AM257" s="15">
        <v>1020000.0</v>
      </c>
      <c r="AN257" s="15">
        <v>840100.0</v>
      </c>
      <c r="AO257" s="15">
        <v>680200.0</v>
      </c>
      <c r="AP257" s="15">
        <v>794100.0</v>
      </c>
      <c r="AQ257" s="15">
        <v>536500.0</v>
      </c>
      <c r="AR257" s="15">
        <v>112600.0</v>
      </c>
      <c r="AS257" s="15">
        <v>1840000.0</v>
      </c>
      <c r="AT257" s="15">
        <v>1130000.0</v>
      </c>
      <c r="AU257" s="15">
        <v>954200.0</v>
      </c>
      <c r="AV257" s="15">
        <v>1180000.0</v>
      </c>
      <c r="AW257" s="15">
        <v>1260000.0</v>
      </c>
      <c r="AX257" s="15">
        <v>-369500.0</v>
      </c>
      <c r="AY257" s="15">
        <v>-353100.0</v>
      </c>
      <c r="AZ257" s="15">
        <v>-251600.0</v>
      </c>
      <c r="BA257" s="15">
        <v>-242100.0</v>
      </c>
      <c r="BB257" s="15">
        <v>-277500.0</v>
      </c>
      <c r="BC257" s="15">
        <v>-413600.0</v>
      </c>
      <c r="BD257" s="15">
        <v>-356200.0</v>
      </c>
      <c r="BE257" s="15">
        <v>-342300.0</v>
      </c>
      <c r="BF257" s="15">
        <v>-415000.0</v>
      </c>
      <c r="BG257" s="15">
        <v>-432500.0</v>
      </c>
      <c r="BH257" s="15">
        <v>553300.0</v>
      </c>
      <c r="BI257" s="15">
        <v>236600.0</v>
      </c>
      <c r="BJ257" s="15">
        <v>128000.0</v>
      </c>
      <c r="BK257" s="15">
        <v>251400.0</v>
      </c>
      <c r="BL257" s="15">
        <v>798100.0</v>
      </c>
      <c r="BM257" s="15">
        <v>860800.0</v>
      </c>
      <c r="BN257" s="15">
        <v>831700.0</v>
      </c>
      <c r="BO257" s="15">
        <v>569400.0</v>
      </c>
      <c r="BP257" s="15">
        <v>563400.0</v>
      </c>
      <c r="BQ257" s="15">
        <v>650100.0</v>
      </c>
      <c r="BR257" s="15">
        <v>1380000.0</v>
      </c>
      <c r="BS257" s="15">
        <v>1570000.0</v>
      </c>
      <c r="BT257" s="15">
        <v>988700.0</v>
      </c>
      <c r="BU257" s="15">
        <v>934200.0</v>
      </c>
      <c r="BV257" s="15">
        <v>1040000.0</v>
      </c>
      <c r="BW257" s="15">
        <v>2890000.0</v>
      </c>
      <c r="BX257" s="15">
        <v>2730000.0</v>
      </c>
      <c r="BY257" s="15">
        <v>1940000.0</v>
      </c>
      <c r="BZ257" s="15">
        <v>2010000.0</v>
      </c>
      <c r="CA257" s="15">
        <v>3580000.0</v>
      </c>
      <c r="CB257" s="15">
        <v>2390000.0</v>
      </c>
      <c r="CC257" s="15">
        <v>2400000.0</v>
      </c>
      <c r="CD257" s="15">
        <v>1590000.0</v>
      </c>
      <c r="CE257" s="15">
        <v>1660000.0</v>
      </c>
      <c r="CF257" s="15">
        <v>1700000.0</v>
      </c>
      <c r="CG257" s="15">
        <v>1.144E7</v>
      </c>
      <c r="CH257" s="15">
        <v>1.15E7</v>
      </c>
      <c r="CI257" s="15">
        <v>4490000.0</v>
      </c>
      <c r="CJ257" s="15">
        <v>4300000.0</v>
      </c>
      <c r="CK257" s="15">
        <v>4320000.0</v>
      </c>
      <c r="CL257" s="15">
        <v>2.23E7</v>
      </c>
      <c r="CM257" s="15">
        <v>2.221E7</v>
      </c>
      <c r="CN257" s="15">
        <v>1.039E7</v>
      </c>
      <c r="CO257" s="15">
        <v>1.01E7</v>
      </c>
      <c r="CP257" s="15">
        <v>1.339E7</v>
      </c>
      <c r="CQ257" s="15">
        <v>1530000.0</v>
      </c>
      <c r="CR257" s="15">
        <v>1260000.0</v>
      </c>
      <c r="CS257" s="15">
        <v>905300.0</v>
      </c>
      <c r="CT257" s="15">
        <v>773100.0</v>
      </c>
      <c r="CU257" s="15">
        <v>706700.0</v>
      </c>
      <c r="CV257" s="15">
        <v>3290000.0</v>
      </c>
      <c r="CW257" s="15">
        <v>1100.0</v>
      </c>
      <c r="CX257" s="15">
        <v>1000.0</v>
      </c>
      <c r="CY257" s="15">
        <v>277300.0</v>
      </c>
      <c r="CZ257" s="15">
        <v>28200.0</v>
      </c>
      <c r="DA257" s="15">
        <v>13900.0</v>
      </c>
      <c r="DB257" s="15">
        <v>3290000.0</v>
      </c>
      <c r="DC257" s="15">
        <v>2140000.0</v>
      </c>
      <c r="DD257" s="15">
        <v>2340000.0</v>
      </c>
      <c r="DE257" s="15">
        <v>1720000.0</v>
      </c>
      <c r="DF257" s="15">
        <v>1.435E7</v>
      </c>
      <c r="DG257" s="15">
        <v>1.475E7</v>
      </c>
      <c r="DH257" s="15">
        <v>6630000.0</v>
      </c>
      <c r="DI257" s="15">
        <v>6020000.0</v>
      </c>
      <c r="DJ257" s="15">
        <v>9600000.0</v>
      </c>
      <c r="DK257" s="12"/>
      <c r="DL257" s="15">
        <v>796300.0</v>
      </c>
      <c r="DM257" s="15">
        <v>776200.0</v>
      </c>
      <c r="DN257" s="15">
        <v>741300.0</v>
      </c>
      <c r="DO257" s="15">
        <v>755700.0</v>
      </c>
      <c r="DP257" s="15">
        <v>8900000.0</v>
      </c>
      <c r="DQ257" s="15">
        <v>1.066E7</v>
      </c>
      <c r="DR257" s="15">
        <v>3230000.0</v>
      </c>
      <c r="DS257" s="15">
        <v>2770000.0</v>
      </c>
      <c r="DT257" s="15">
        <v>4880000.0</v>
      </c>
      <c r="DU257" s="13"/>
      <c r="DV257" s="12"/>
      <c r="DW257" s="12"/>
      <c r="DX257" s="13"/>
      <c r="DY257" s="13"/>
      <c r="DZ257" s="15">
        <v>7950000.0</v>
      </c>
      <c r="EA257" s="15">
        <v>7380000.0</v>
      </c>
      <c r="EB257" s="15">
        <v>3680000.0</v>
      </c>
      <c r="EC257" s="15">
        <v>3990000.0</v>
      </c>
      <c r="ED257" s="15">
        <v>3710000.0</v>
      </c>
      <c r="EE257" s="17">
        <v>0.084</v>
      </c>
      <c r="EF257" s="17">
        <v>0.118</v>
      </c>
      <c r="EG257" s="17">
        <v>0.136</v>
      </c>
      <c r="EH257" s="17">
        <v>0.083</v>
      </c>
    </row>
    <row r="258">
      <c r="A258" s="9">
        <f t="shared" si="2"/>
        <v>256</v>
      </c>
      <c r="B258" s="10" t="s">
        <v>392</v>
      </c>
      <c r="C258" s="11">
        <v>1.5941E8</v>
      </c>
      <c r="D258" s="11">
        <v>1.5288E8</v>
      </c>
      <c r="E258" s="11">
        <v>1.4553E8</v>
      </c>
      <c r="F258" s="11">
        <v>1.3681E8</v>
      </c>
      <c r="G258" s="11">
        <v>1.2998E8</v>
      </c>
      <c r="H258" s="11">
        <v>1.2155E8</v>
      </c>
      <c r="I258" s="11">
        <v>1.0253E8</v>
      </c>
      <c r="J258" s="11">
        <v>6300000.0</v>
      </c>
      <c r="K258" s="11">
        <v>6610000.0</v>
      </c>
      <c r="L258" s="11">
        <v>6150000.0</v>
      </c>
      <c r="M258" s="11">
        <v>6180000.0</v>
      </c>
      <c r="N258" s="11">
        <v>5520000.0</v>
      </c>
      <c r="O258" s="11">
        <v>4480000.0</v>
      </c>
      <c r="P258" s="11">
        <v>4070000.0</v>
      </c>
      <c r="Q258" s="11">
        <v>3660000.0</v>
      </c>
      <c r="R258" s="11">
        <v>3270000.0</v>
      </c>
      <c r="S258" s="11">
        <v>3140000.0</v>
      </c>
      <c r="T258" s="12"/>
      <c r="U258" s="12"/>
      <c r="V258" s="12"/>
      <c r="W258" s="12"/>
      <c r="X258" s="12"/>
      <c r="Y258" s="11">
        <v>1560000.0</v>
      </c>
      <c r="Z258" s="11">
        <v>1540000.0</v>
      </c>
      <c r="AA258" s="11">
        <v>2150000.0</v>
      </c>
      <c r="AB258" s="11">
        <v>2470000.0</v>
      </c>
      <c r="AC258" s="11">
        <v>2040000.0</v>
      </c>
      <c r="AD258" s="11">
        <v>1750000.0</v>
      </c>
      <c r="AE258" s="11">
        <v>-228000.0</v>
      </c>
      <c r="AF258" s="11">
        <v>1920000.0</v>
      </c>
      <c r="AG258" s="11">
        <v>2280000.0</v>
      </c>
      <c r="AH258" s="11">
        <v>1970000.0</v>
      </c>
      <c r="AI258" s="11">
        <v>2810000.0</v>
      </c>
      <c r="AJ258" s="11">
        <v>3560000.0</v>
      </c>
      <c r="AK258" s="11">
        <v>3200000.0</v>
      </c>
      <c r="AL258" s="11">
        <v>3540000.0</v>
      </c>
      <c r="AM258" s="11">
        <v>2820000.0</v>
      </c>
      <c r="AN258" s="11">
        <v>1360000.0</v>
      </c>
      <c r="AO258" s="11">
        <v>256000.0</v>
      </c>
      <c r="AP258" s="11">
        <v>1290000.0</v>
      </c>
      <c r="AQ258" s="11">
        <v>1430000.0</v>
      </c>
      <c r="AR258" s="11">
        <v>1210000.0</v>
      </c>
      <c r="AS258" s="11">
        <v>2720000.0</v>
      </c>
      <c r="AT258" s="11">
        <v>2770000.0</v>
      </c>
      <c r="AU258" s="11">
        <v>1180000.0</v>
      </c>
      <c r="AV258" s="11">
        <v>2970000.0</v>
      </c>
      <c r="AW258" s="11">
        <v>2540000.0</v>
      </c>
      <c r="AX258" s="11">
        <v>-328000.0</v>
      </c>
      <c r="AY258" s="11">
        <v>-384000.0</v>
      </c>
      <c r="AZ258" s="11">
        <v>-387000.0</v>
      </c>
      <c r="BA258" s="11">
        <v>-465000.0</v>
      </c>
      <c r="BB258" s="11">
        <v>-300000.0</v>
      </c>
      <c r="BC258" s="11">
        <v>-577000.0</v>
      </c>
      <c r="BD258" s="11">
        <v>-581000.0</v>
      </c>
      <c r="BE258" s="11">
        <v>-577000.0</v>
      </c>
      <c r="BF258" s="11">
        <v>-512000.0</v>
      </c>
      <c r="BG258" s="11">
        <v>-460000.0</v>
      </c>
      <c r="BH258" s="11">
        <v>2530000.0</v>
      </c>
      <c r="BI258" s="11">
        <v>1760000.0</v>
      </c>
      <c r="BJ258" s="11">
        <v>6880000.0</v>
      </c>
      <c r="BK258" s="11">
        <v>2360000.0</v>
      </c>
      <c r="BL258" s="11">
        <v>4620000.0</v>
      </c>
      <c r="BM258" s="11">
        <v>8460000.0</v>
      </c>
      <c r="BN258" s="11">
        <v>7830000.0</v>
      </c>
      <c r="BO258" s="11">
        <v>8100000.0</v>
      </c>
      <c r="BP258" s="11">
        <v>7440000.0</v>
      </c>
      <c r="BQ258" s="11">
        <v>6580000.0</v>
      </c>
      <c r="BR258" s="11">
        <v>1.282E7</v>
      </c>
      <c r="BS258" s="11">
        <v>1.231E7</v>
      </c>
      <c r="BT258" s="11">
        <v>1.13E7</v>
      </c>
      <c r="BU258" s="11">
        <v>1.062E7</v>
      </c>
      <c r="BV258" s="11">
        <v>9210000.0</v>
      </c>
      <c r="BW258" s="11">
        <v>2.575E7</v>
      </c>
      <c r="BX258" s="11">
        <v>2.455E7</v>
      </c>
      <c r="BY258" s="11">
        <v>2.835E7</v>
      </c>
      <c r="BZ258" s="11">
        <v>2.196E7</v>
      </c>
      <c r="CA258" s="11">
        <v>2.175E7</v>
      </c>
      <c r="CB258" s="11">
        <v>2360000.0</v>
      </c>
      <c r="CC258" s="11">
        <v>2490000.0</v>
      </c>
      <c r="CD258" s="11">
        <v>1880000.0</v>
      </c>
      <c r="CE258" s="11">
        <v>1800000.0</v>
      </c>
      <c r="CF258" s="11">
        <v>1510000.0</v>
      </c>
      <c r="CG258" s="11">
        <v>8380000.0</v>
      </c>
      <c r="CH258" s="11">
        <v>8320000.0</v>
      </c>
      <c r="CI258" s="11">
        <v>7220000.0</v>
      </c>
      <c r="CJ258" s="11">
        <v>7170000.0</v>
      </c>
      <c r="CK258" s="11">
        <v>5070000.0</v>
      </c>
      <c r="CL258" s="11">
        <v>4.096E7</v>
      </c>
      <c r="CM258" s="11">
        <v>3.995E7</v>
      </c>
      <c r="CN258" s="11">
        <v>4.011E7</v>
      </c>
      <c r="CO258" s="11">
        <v>3.412E7</v>
      </c>
      <c r="CP258" s="11">
        <v>3.014E7</v>
      </c>
      <c r="CQ258" s="11">
        <v>2.154E7</v>
      </c>
      <c r="CR258" s="11">
        <v>1.968E7</v>
      </c>
      <c r="CS258" s="11">
        <v>1.791E7</v>
      </c>
      <c r="CT258" s="11">
        <v>1.731E7</v>
      </c>
      <c r="CU258" s="11">
        <v>1.437E7</v>
      </c>
      <c r="CV258" s="11">
        <v>2.411E7</v>
      </c>
      <c r="CW258" s="11">
        <v>3000.0</v>
      </c>
      <c r="CX258" s="11">
        <v>3000.0</v>
      </c>
      <c r="CY258" s="11">
        <v>377000.0</v>
      </c>
      <c r="CZ258" s="11">
        <v>297000.0</v>
      </c>
      <c r="DA258" s="11">
        <v>279000.0</v>
      </c>
      <c r="DB258" s="11">
        <v>2.411E7</v>
      </c>
      <c r="DC258" s="11">
        <v>2.289E7</v>
      </c>
      <c r="DD258" s="11">
        <v>2.122E7</v>
      </c>
      <c r="DE258" s="11">
        <v>1.97E7</v>
      </c>
      <c r="DF258" s="11">
        <v>3.463E7</v>
      </c>
      <c r="DG258" s="11">
        <v>3.388E7</v>
      </c>
      <c r="DH258" s="11">
        <v>3.317E7</v>
      </c>
      <c r="DI258" s="11">
        <v>2.743E7</v>
      </c>
      <c r="DJ258" s="11">
        <v>2.389E7</v>
      </c>
      <c r="DK258" s="11">
        <v>334000.0</v>
      </c>
      <c r="DL258" s="12"/>
      <c r="DM258" s="12"/>
      <c r="DN258" s="11">
        <v>87000.0</v>
      </c>
      <c r="DO258" s="11">
        <v>102000.0</v>
      </c>
      <c r="DP258" s="11">
        <v>7580000.0</v>
      </c>
      <c r="DQ258" s="11">
        <v>8010000.0</v>
      </c>
      <c r="DR258" s="11">
        <v>9070000.0</v>
      </c>
      <c r="DS258" s="11">
        <v>4950000.0</v>
      </c>
      <c r="DT258" s="11">
        <v>5210000.0</v>
      </c>
      <c r="DU258" s="13"/>
      <c r="DV258" s="12"/>
      <c r="DW258" s="12"/>
      <c r="DX258" s="13"/>
      <c r="DY258" s="13"/>
      <c r="DZ258" s="11">
        <v>6330000.0</v>
      </c>
      <c r="EA258" s="11">
        <v>6060000.0</v>
      </c>
      <c r="EB258" s="11">
        <v>6810000.0</v>
      </c>
      <c r="EC258" s="11">
        <v>6550000.0</v>
      </c>
      <c r="ED258" s="11">
        <v>6260000.0</v>
      </c>
      <c r="EE258" s="14">
        <v>0.018</v>
      </c>
      <c r="EF258" s="14">
        <v>0.051</v>
      </c>
      <c r="EG258" s="14">
        <v>0.133</v>
      </c>
      <c r="EH258" s="14">
        <v>0.185</v>
      </c>
    </row>
    <row r="259">
      <c r="A259" s="9">
        <f t="shared" si="2"/>
        <v>257</v>
      </c>
      <c r="B259" s="10" t="s">
        <v>393</v>
      </c>
      <c r="C259" s="11">
        <v>325750.0</v>
      </c>
      <c r="D259" s="11">
        <v>335600.0</v>
      </c>
      <c r="E259" s="11">
        <v>416540.0</v>
      </c>
      <c r="F259" s="11">
        <v>396400.0</v>
      </c>
      <c r="G259" s="11">
        <v>348390.0</v>
      </c>
      <c r="H259" s="11">
        <v>294350.0</v>
      </c>
      <c r="I259" s="11">
        <v>249670.0</v>
      </c>
      <c r="J259" s="11">
        <v>198900.0</v>
      </c>
      <c r="K259" s="11">
        <v>190130.0</v>
      </c>
      <c r="L259" s="11">
        <v>167320.0</v>
      </c>
      <c r="M259" s="11">
        <v>135700.0</v>
      </c>
      <c r="N259" s="11">
        <v>125260.0</v>
      </c>
      <c r="O259" s="11">
        <v>68620.0</v>
      </c>
      <c r="P259" s="11">
        <v>53100.0</v>
      </c>
      <c r="Q259" s="11">
        <v>61650.0</v>
      </c>
      <c r="R259" s="11">
        <v>69740.0</v>
      </c>
      <c r="S259" s="11">
        <v>57170.0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>
        <v>55210.0</v>
      </c>
      <c r="AE259" s="11">
        <v>83660.0</v>
      </c>
      <c r="AF259" s="11">
        <v>57200.0</v>
      </c>
      <c r="AG259" s="11">
        <v>9880.0</v>
      </c>
      <c r="AH259" s="11">
        <v>30990.0</v>
      </c>
      <c r="AI259" s="11">
        <v>244210.0</v>
      </c>
      <c r="AJ259" s="11">
        <v>246320.0</v>
      </c>
      <c r="AK259" s="11">
        <v>218930.0</v>
      </c>
      <c r="AL259" s="11">
        <v>172640.0</v>
      </c>
      <c r="AM259" s="11">
        <v>182330.0</v>
      </c>
      <c r="AN259" s="11">
        <v>51020.0</v>
      </c>
      <c r="AO259" s="11">
        <v>79110.0</v>
      </c>
      <c r="AP259" s="11">
        <v>72060.0</v>
      </c>
      <c r="AQ259" s="11">
        <v>6000.0</v>
      </c>
      <c r="AR259" s="11">
        <v>26600.0</v>
      </c>
      <c r="AS259" s="11">
        <v>254000.0</v>
      </c>
      <c r="AT259" s="11">
        <v>179770.0</v>
      </c>
      <c r="AU259" s="11">
        <v>155190.0</v>
      </c>
      <c r="AV259" s="11">
        <v>129260.0</v>
      </c>
      <c r="AW259" s="11">
        <v>147370.0</v>
      </c>
      <c r="AX259" s="11">
        <v>-319140.0</v>
      </c>
      <c r="AY259" s="11">
        <v>-740770.0</v>
      </c>
      <c r="AZ259" s="11">
        <v>-502180.0</v>
      </c>
      <c r="BA259" s="11">
        <v>-251250.0</v>
      </c>
      <c r="BB259" s="11">
        <v>-389410.0</v>
      </c>
      <c r="BC259" s="11">
        <v>-8830.0</v>
      </c>
      <c r="BD259" s="11">
        <v>-3260.0</v>
      </c>
      <c r="BE259" s="11"/>
      <c r="BF259" s="11"/>
      <c r="BG259" s="11"/>
      <c r="BH259" s="11">
        <v>46460.0</v>
      </c>
      <c r="BI259" s="11">
        <v>45320.0</v>
      </c>
      <c r="BJ259" s="11">
        <v>35420.0</v>
      </c>
      <c r="BK259" s="11">
        <v>46130.0</v>
      </c>
      <c r="BL259" s="11">
        <v>52550.0</v>
      </c>
      <c r="BM259" s="11">
        <v>163410.0</v>
      </c>
      <c r="BN259" s="11">
        <v>171920.0</v>
      </c>
      <c r="BO259" s="11">
        <v>98390.0</v>
      </c>
      <c r="BP259" s="11">
        <v>83700.0</v>
      </c>
      <c r="BQ259" s="11">
        <v>76440.0</v>
      </c>
      <c r="BR259" s="11"/>
      <c r="BS259" s="11"/>
      <c r="BT259" s="11"/>
      <c r="BU259" s="11"/>
      <c r="BV259" s="11"/>
      <c r="BW259" s="11">
        <v>499130.0</v>
      </c>
      <c r="BX259" s="11">
        <v>668490.0</v>
      </c>
      <c r="BY259" s="11">
        <v>138070.0</v>
      </c>
      <c r="BZ259" s="11">
        <v>135150.0</v>
      </c>
      <c r="CA259" s="11">
        <v>131150.0</v>
      </c>
      <c r="CB259" s="11">
        <v>1830000.0</v>
      </c>
      <c r="CC259" s="11">
        <v>1820000.0</v>
      </c>
      <c r="CD259" s="11">
        <v>2010000.0</v>
      </c>
      <c r="CE259" s="11">
        <v>1810000.0</v>
      </c>
      <c r="CF259" s="11">
        <v>1750000.0</v>
      </c>
      <c r="CG259" s="11">
        <v>15790.0</v>
      </c>
      <c r="CH259" s="11">
        <v>15790.0</v>
      </c>
      <c r="CI259" s="11">
        <v>15790.0</v>
      </c>
      <c r="CJ259" s="11">
        <v>15790.0</v>
      </c>
      <c r="CK259" s="11">
        <v>2910.0</v>
      </c>
      <c r="CL259" s="11">
        <v>2920000.0</v>
      </c>
      <c r="CM259" s="11">
        <v>3050000.0</v>
      </c>
      <c r="CN259" s="11">
        <v>2460000.0</v>
      </c>
      <c r="CO259" s="11">
        <v>2090000.0</v>
      </c>
      <c r="CP259" s="11">
        <v>1990000.0</v>
      </c>
      <c r="CQ259" s="11">
        <v>7290.0</v>
      </c>
      <c r="CR259" s="11">
        <v>7370.0</v>
      </c>
      <c r="CS259" s="11">
        <v>7830.0</v>
      </c>
      <c r="CT259" s="11">
        <v>13800.0</v>
      </c>
      <c r="CU259" s="11">
        <v>11960.0</v>
      </c>
      <c r="CV259" s="11">
        <v>287410.0</v>
      </c>
      <c r="CW259" s="11">
        <v>2400.0</v>
      </c>
      <c r="CX259" s="11"/>
      <c r="CY259" s="13"/>
      <c r="CZ259" s="13"/>
      <c r="DA259" s="11"/>
      <c r="DB259" s="11">
        <v>287410.0</v>
      </c>
      <c r="DC259" s="11">
        <v>425530.0</v>
      </c>
      <c r="DD259" s="11">
        <v>257660.0</v>
      </c>
      <c r="DE259" s="11">
        <v>164010.0</v>
      </c>
      <c r="DF259" s="11">
        <v>2230000.0</v>
      </c>
      <c r="DG259" s="11">
        <v>2350000.0</v>
      </c>
      <c r="DH259" s="11">
        <v>1900000.0</v>
      </c>
      <c r="DI259" s="11">
        <v>1630000.0</v>
      </c>
      <c r="DJ259" s="11">
        <v>1530000.0</v>
      </c>
      <c r="DK259" s="11">
        <v>26780.0</v>
      </c>
      <c r="DL259" s="11">
        <v>30670.0</v>
      </c>
      <c r="DM259" s="11">
        <v>11790.0</v>
      </c>
      <c r="DN259" s="11">
        <v>6190.0</v>
      </c>
      <c r="DO259" s="11">
        <v>7210.0</v>
      </c>
      <c r="DP259" s="11">
        <v>1880000.0</v>
      </c>
      <c r="DQ259" s="11">
        <v>1850000.0</v>
      </c>
      <c r="DR259" s="11">
        <v>1570000.0</v>
      </c>
      <c r="DS259" s="11">
        <v>1380000.0</v>
      </c>
      <c r="DT259" s="11">
        <v>1250000.0</v>
      </c>
      <c r="DU259" s="11">
        <v>103870.0</v>
      </c>
      <c r="DV259" s="11">
        <v>103870.0</v>
      </c>
      <c r="DW259" s="12"/>
      <c r="DX259" s="12"/>
      <c r="DY259" s="12"/>
      <c r="DZ259" s="11">
        <v>693240.0</v>
      </c>
      <c r="EA259" s="11">
        <v>701130.0</v>
      </c>
      <c r="EB259" s="11">
        <v>563850.0</v>
      </c>
      <c r="EC259" s="11">
        <v>457500.0</v>
      </c>
      <c r="ED259" s="11">
        <v>459180.0</v>
      </c>
      <c r="EE259" s="14">
        <v>0.004</v>
      </c>
      <c r="EF259" s="14">
        <v>0.036</v>
      </c>
      <c r="EG259" s="14">
        <v>0.8</v>
      </c>
      <c r="EH259" s="14">
        <v>-0.134</v>
      </c>
    </row>
    <row r="260">
      <c r="A260" s="9">
        <f t="shared" si="2"/>
        <v>258</v>
      </c>
      <c r="B260" s="25" t="s">
        <v>394</v>
      </c>
      <c r="C260" s="15">
        <v>3.292E7</v>
      </c>
      <c r="D260" s="15">
        <v>3.167E7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>
        <v>2.985E8</v>
      </c>
      <c r="U260" s="15">
        <v>3.1584E8</v>
      </c>
      <c r="V260" s="15">
        <v>3.3337E8</v>
      </c>
      <c r="W260" s="15">
        <v>3.0238E8</v>
      </c>
      <c r="X260" s="15">
        <v>3.285E8</v>
      </c>
      <c r="Y260" s="15">
        <v>1.7547E8</v>
      </c>
      <c r="Z260" s="15">
        <v>3.4697E8</v>
      </c>
      <c r="AA260" s="15">
        <v>-4.426E7</v>
      </c>
      <c r="AB260" s="15">
        <v>2.3454E8</v>
      </c>
      <c r="AC260" s="15">
        <v>3.5615E8</v>
      </c>
      <c r="AD260" s="15">
        <v>1.9574E8</v>
      </c>
      <c r="AE260" s="15">
        <v>3.6289E8</v>
      </c>
      <c r="AF260" s="15">
        <v>3.5388E8</v>
      </c>
      <c r="AG260" s="15">
        <v>2.4465E8</v>
      </c>
      <c r="AH260" s="15">
        <v>3.4744E8</v>
      </c>
      <c r="AI260" s="15">
        <v>4.1199E8</v>
      </c>
      <c r="AJ260" s="15">
        <v>5.9451E8</v>
      </c>
      <c r="AK260" s="15">
        <v>6.174E8</v>
      </c>
      <c r="AL260" s="15">
        <v>4.7896E8</v>
      </c>
      <c r="AM260" s="15">
        <v>6.2854E8</v>
      </c>
      <c r="AN260" s="15">
        <v>1.2511E8</v>
      </c>
      <c r="AO260" s="15">
        <v>2.5276E8</v>
      </c>
      <c r="AP260" s="15">
        <v>2.4192E8</v>
      </c>
      <c r="AQ260" s="15">
        <v>1.5065E8</v>
      </c>
      <c r="AR260" s="15">
        <v>2.2021E8</v>
      </c>
      <c r="AS260" s="15">
        <v>3.5846E8</v>
      </c>
      <c r="AT260" s="15">
        <v>3.6529E8</v>
      </c>
      <c r="AU260" s="15">
        <v>5.9056E8</v>
      </c>
      <c r="AV260" s="15">
        <v>5.0028E8</v>
      </c>
      <c r="AW260" s="15">
        <v>4.7472E8</v>
      </c>
      <c r="AX260" s="15">
        <v>-2.1567E8</v>
      </c>
      <c r="AY260" s="15">
        <v>-1.914E8</v>
      </c>
      <c r="AZ260" s="15">
        <v>-1.8948E8</v>
      </c>
      <c r="BA260" s="15">
        <v>-2.0697E8</v>
      </c>
      <c r="BB260" s="15">
        <v>-2.5295E8</v>
      </c>
      <c r="BC260" s="15">
        <v>-1.7149E8</v>
      </c>
      <c r="BD260" s="15">
        <v>-1.7816E8</v>
      </c>
      <c r="BE260" s="15">
        <v>-1.6289E8</v>
      </c>
      <c r="BF260" s="15">
        <v>-1.6381E8</v>
      </c>
      <c r="BG260" s="15">
        <v>-1.7471E8</v>
      </c>
      <c r="BH260" s="15">
        <v>4.1458E8</v>
      </c>
      <c r="BI260" s="15">
        <v>5.216E8</v>
      </c>
      <c r="BJ260" s="15">
        <v>7.2378E8</v>
      </c>
      <c r="BK260" s="15">
        <v>6.334E8</v>
      </c>
      <c r="BL260" s="15">
        <v>6.5426E8</v>
      </c>
      <c r="BM260" s="15">
        <v>6.7373E8</v>
      </c>
      <c r="BN260" s="15">
        <v>7.2458E8</v>
      </c>
      <c r="BO260" s="15">
        <v>7.7106E8</v>
      </c>
      <c r="BP260" s="15">
        <v>7.4677E8</v>
      </c>
      <c r="BQ260" s="15">
        <v>6.9722E8</v>
      </c>
      <c r="BR260" s="15">
        <v>5.8476E8</v>
      </c>
      <c r="BS260" s="15">
        <v>6.1128E8</v>
      </c>
      <c r="BT260" s="15">
        <v>5.7003E8</v>
      </c>
      <c r="BU260" s="15">
        <v>5.6074E8</v>
      </c>
      <c r="BV260" s="15">
        <v>5.019E8</v>
      </c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>
        <v>8.9866E8</v>
      </c>
      <c r="CH260" s="15">
        <v>9.0851E8</v>
      </c>
      <c r="CI260" s="15">
        <v>9.3672E8</v>
      </c>
      <c r="CJ260" s="15">
        <v>9.3642E8</v>
      </c>
      <c r="CK260" s="15">
        <v>4.7894E8</v>
      </c>
      <c r="CL260" s="15"/>
      <c r="CM260" s="15"/>
      <c r="CN260" s="15"/>
      <c r="CO260" s="15"/>
      <c r="CP260" s="15"/>
      <c r="CQ260" s="15">
        <v>3.0531E8</v>
      </c>
      <c r="CR260" s="15">
        <v>3.5249E8</v>
      </c>
      <c r="CS260" s="15">
        <v>3.8065E8</v>
      </c>
      <c r="CT260" s="15">
        <v>3.7227E8</v>
      </c>
      <c r="CU260" s="15">
        <v>2.7826E8</v>
      </c>
      <c r="CV260" s="15">
        <v>9.605E8</v>
      </c>
      <c r="CW260" s="15">
        <v>7.268E7</v>
      </c>
      <c r="CX260" s="15">
        <v>3.589E7</v>
      </c>
      <c r="CY260" s="15">
        <v>3.34E7</v>
      </c>
      <c r="CZ260" s="15">
        <v>601000.0</v>
      </c>
      <c r="DA260" s="15">
        <v>26000.0</v>
      </c>
      <c r="DB260" s="15">
        <v>9.605E8</v>
      </c>
      <c r="DC260" s="15"/>
      <c r="DD260" s="15"/>
      <c r="DE260" s="15">
        <v>9.8337E8</v>
      </c>
      <c r="DF260" s="15"/>
      <c r="DG260" s="15"/>
      <c r="DH260" s="15"/>
      <c r="DI260" s="15"/>
      <c r="DJ260" s="15"/>
      <c r="DK260" s="15">
        <v>4.836E7</v>
      </c>
      <c r="DL260" s="15">
        <v>4.256E7</v>
      </c>
      <c r="DM260" s="15">
        <v>4.832E7</v>
      </c>
      <c r="DN260" s="15">
        <v>8.681E7</v>
      </c>
      <c r="DO260" s="15">
        <v>8.142E7</v>
      </c>
      <c r="DP260" s="15">
        <v>4.4103E8</v>
      </c>
      <c r="DQ260" s="15">
        <v>3.6196E8</v>
      </c>
      <c r="DR260" s="15">
        <v>4.9324E8</v>
      </c>
      <c r="DS260" s="15">
        <v>6.1129E8</v>
      </c>
      <c r="DT260" s="15">
        <v>881000.0</v>
      </c>
      <c r="DU260" s="15"/>
      <c r="DV260" s="15"/>
      <c r="DW260" s="15"/>
      <c r="DX260" s="15"/>
      <c r="DY260" s="15"/>
      <c r="DZ260" s="12"/>
      <c r="EA260" s="15"/>
      <c r="EB260" s="15"/>
      <c r="EC260" s="15"/>
      <c r="ED260" s="15"/>
      <c r="EE260" s="31">
        <v>0.051</v>
      </c>
      <c r="EF260" s="31">
        <v>0.089</v>
      </c>
      <c r="EG260" s="31">
        <v>-1.667</v>
      </c>
      <c r="EH260" s="31">
        <v>-0.499</v>
      </c>
    </row>
    <row r="261">
      <c r="A261" s="9">
        <f t="shared" si="2"/>
        <v>259</v>
      </c>
      <c r="B261" s="10" t="s">
        <v>395</v>
      </c>
      <c r="C261" s="15">
        <v>2610000.0</v>
      </c>
      <c r="D261" s="15">
        <v>1980000.0</v>
      </c>
      <c r="E261" s="15">
        <v>2480000.0</v>
      </c>
      <c r="F261" s="15">
        <v>2330000.0</v>
      </c>
      <c r="G261" s="15">
        <v>2260000.0</v>
      </c>
      <c r="H261" s="15">
        <v>2280000.0</v>
      </c>
      <c r="I261" s="15">
        <v>2100000.0</v>
      </c>
      <c r="J261" s="15">
        <v>302100.0</v>
      </c>
      <c r="K261" s="15">
        <v>302520.0</v>
      </c>
      <c r="L261" s="15">
        <v>318000.0</v>
      </c>
      <c r="M261" s="15">
        <v>360720.0</v>
      </c>
      <c r="N261" s="15">
        <v>325560.0</v>
      </c>
      <c r="O261" s="15">
        <v>160200.0</v>
      </c>
      <c r="P261" s="15">
        <v>154770.0</v>
      </c>
      <c r="Q261" s="15">
        <v>141530.0</v>
      </c>
      <c r="R261" s="15">
        <v>159610.0</v>
      </c>
      <c r="S261" s="15">
        <v>154300.0</v>
      </c>
      <c r="T261" s="15"/>
      <c r="U261" s="15"/>
      <c r="V261" s="15"/>
      <c r="W261" s="15"/>
      <c r="X261" s="15"/>
      <c r="Y261" s="15">
        <v>117650.0</v>
      </c>
      <c r="Z261" s="15">
        <v>129890.0</v>
      </c>
      <c r="AA261" s="12"/>
      <c r="AB261" s="15">
        <v>200990.0</v>
      </c>
      <c r="AC261" s="15">
        <v>165250.0</v>
      </c>
      <c r="AD261" s="15">
        <v>140330.0</v>
      </c>
      <c r="AE261" s="15">
        <v>107410.0</v>
      </c>
      <c r="AF261" s="15">
        <v>146470.0</v>
      </c>
      <c r="AG261" s="15">
        <v>191770.0</v>
      </c>
      <c r="AH261" s="15">
        <v>159350.0</v>
      </c>
      <c r="AI261" s="15">
        <v>229430.0</v>
      </c>
      <c r="AJ261" s="15">
        <v>243720.0</v>
      </c>
      <c r="AK261" s="15">
        <v>258850.0</v>
      </c>
      <c r="AL261" s="15">
        <v>289120.0</v>
      </c>
      <c r="AM261" s="15">
        <v>256820.0</v>
      </c>
      <c r="AN261" s="15">
        <v>127290.0</v>
      </c>
      <c r="AO261" s="15">
        <v>99040.0</v>
      </c>
      <c r="AP261" s="15">
        <v>157390.0</v>
      </c>
      <c r="AQ261" s="15">
        <v>139490.0</v>
      </c>
      <c r="AR261" s="15">
        <v>116520.0</v>
      </c>
      <c r="AS261" s="15">
        <v>218760.0</v>
      </c>
      <c r="AT261" s="15">
        <v>291320.0</v>
      </c>
      <c r="AU261" s="15">
        <v>238800.0</v>
      </c>
      <c r="AV261" s="15">
        <v>302520.0</v>
      </c>
      <c r="AW261" s="15">
        <v>235420.0</v>
      </c>
      <c r="AX261" s="15">
        <v>-75870.0</v>
      </c>
      <c r="AY261" s="15">
        <v>-105930.0</v>
      </c>
      <c r="AZ261" s="15">
        <v>-122430.0</v>
      </c>
      <c r="BA261" s="15">
        <v>-117460.0</v>
      </c>
      <c r="BB261" s="15">
        <v>-155700.0</v>
      </c>
      <c r="BC261" s="15">
        <v>-60720.0</v>
      </c>
      <c r="BD261" s="15">
        <v>-56250.0</v>
      </c>
      <c r="BE261" s="15">
        <v>-49890.0</v>
      </c>
      <c r="BF261" s="15">
        <v>-42370.0</v>
      </c>
      <c r="BG261" s="15">
        <v>-35970.0</v>
      </c>
      <c r="BH261" s="15">
        <v>58420.0</v>
      </c>
      <c r="BI261" s="15">
        <v>26580.0</v>
      </c>
      <c r="BJ261" s="15">
        <v>6010.0</v>
      </c>
      <c r="BK261" s="15">
        <v>53840.0</v>
      </c>
      <c r="BL261" s="15">
        <v>43850.0</v>
      </c>
      <c r="BM261" s="15">
        <v>118100.0</v>
      </c>
      <c r="BN261" s="15">
        <v>89120.0</v>
      </c>
      <c r="BO261" s="15">
        <v>102400.0</v>
      </c>
      <c r="BP261" s="15">
        <v>80220.0</v>
      </c>
      <c r="BQ261" s="15">
        <v>105560.0</v>
      </c>
      <c r="BR261" s="15">
        <v>47230.0</v>
      </c>
      <c r="BS261" s="15">
        <v>38890.0</v>
      </c>
      <c r="BT261" s="15">
        <v>42560.0</v>
      </c>
      <c r="BU261" s="15">
        <v>34930.0</v>
      </c>
      <c r="BV261" s="15">
        <v>34010.0</v>
      </c>
      <c r="BW261" s="15">
        <v>244520.0</v>
      </c>
      <c r="BX261" s="15">
        <v>195230.0</v>
      </c>
      <c r="BY261" s="15">
        <v>208630.0</v>
      </c>
      <c r="BZ261" s="15">
        <v>221430.0</v>
      </c>
      <c r="CA261" s="15">
        <v>225400.0</v>
      </c>
      <c r="CB261" s="15">
        <v>2070000.0</v>
      </c>
      <c r="CC261" s="15">
        <v>913280.0</v>
      </c>
      <c r="CD261" s="15">
        <v>935050.0</v>
      </c>
      <c r="CE261" s="15">
        <v>910130.0</v>
      </c>
      <c r="CF261" s="15">
        <v>892190.0</v>
      </c>
      <c r="CG261" s="15">
        <v>78360.0</v>
      </c>
      <c r="CH261" s="15"/>
      <c r="CI261" s="15"/>
      <c r="CJ261" s="15"/>
      <c r="CK261" s="15"/>
      <c r="CL261" s="15">
        <v>2840000.0</v>
      </c>
      <c r="CM261" s="15">
        <v>1310000.0</v>
      </c>
      <c r="CN261" s="15">
        <v>1410000.0</v>
      </c>
      <c r="CO261" s="15">
        <v>1400000.0</v>
      </c>
      <c r="CP261" s="15">
        <v>1330000.0</v>
      </c>
      <c r="CQ261" s="15">
        <v>61950.0</v>
      </c>
      <c r="CR261" s="15">
        <v>49070.0</v>
      </c>
      <c r="CS261" s="15">
        <v>50980.0</v>
      </c>
      <c r="CT261" s="15">
        <v>41560.0</v>
      </c>
      <c r="CU261" s="15">
        <v>47770.0</v>
      </c>
      <c r="CV261" s="15">
        <v>614590.0</v>
      </c>
      <c r="CW261" s="15">
        <v>128080.0</v>
      </c>
      <c r="CX261" s="13"/>
      <c r="CY261" s="13"/>
      <c r="CZ261" s="13"/>
      <c r="DA261" s="12"/>
      <c r="DB261" s="15">
        <v>614590.0</v>
      </c>
      <c r="DC261" s="15">
        <v>416500.0</v>
      </c>
      <c r="DD261" s="15">
        <v>397950.0</v>
      </c>
      <c r="DE261" s="15">
        <v>376530.0</v>
      </c>
      <c r="DF261" s="15">
        <v>2270000.0</v>
      </c>
      <c r="DG261" s="15">
        <v>743070.0</v>
      </c>
      <c r="DH261" s="15">
        <v>791610.0</v>
      </c>
      <c r="DI261" s="15">
        <v>796430.0</v>
      </c>
      <c r="DJ261" s="15">
        <v>744940.0</v>
      </c>
      <c r="DK261" s="12"/>
      <c r="DL261" s="15">
        <v>79770.0</v>
      </c>
      <c r="DM261" s="15">
        <v>59520.0</v>
      </c>
      <c r="DN261" s="15">
        <v>42000.0</v>
      </c>
      <c r="DO261" s="15"/>
      <c r="DP261" s="15">
        <v>1480000.0</v>
      </c>
      <c r="DQ261" s="15">
        <v>123100.0</v>
      </c>
      <c r="DR261" s="15">
        <v>118630.0</v>
      </c>
      <c r="DS261" s="15">
        <v>100580.0</v>
      </c>
      <c r="DT261" s="15">
        <v>87840.0</v>
      </c>
      <c r="DU261" s="13"/>
      <c r="DV261" s="12"/>
      <c r="DW261" s="12"/>
      <c r="DX261" s="13"/>
      <c r="DY261" s="13"/>
      <c r="DZ261" s="15">
        <v>571740.0</v>
      </c>
      <c r="EA261" s="15">
        <v>571060.0</v>
      </c>
      <c r="EB261" s="15">
        <v>613530.0</v>
      </c>
      <c r="EC261" s="15">
        <v>603210.0</v>
      </c>
      <c r="ED261" s="15">
        <v>588540.0</v>
      </c>
      <c r="EE261" s="17">
        <v>0.167</v>
      </c>
      <c r="EF261" s="17">
        <v>0.157</v>
      </c>
      <c r="EG261" s="17">
        <v>0.223</v>
      </c>
      <c r="EH261" s="17">
        <v>0.353</v>
      </c>
    </row>
    <row r="262">
      <c r="A262" s="9">
        <f t="shared" si="2"/>
        <v>260</v>
      </c>
      <c r="B262" s="10" t="s">
        <v>396</v>
      </c>
      <c r="C262" s="11">
        <v>2700000.0</v>
      </c>
      <c r="D262" s="11">
        <v>2070000.0</v>
      </c>
      <c r="E262" s="11">
        <v>2920000.0</v>
      </c>
      <c r="F262" s="11">
        <v>2830000.0</v>
      </c>
      <c r="G262" s="11">
        <v>2790000.0</v>
      </c>
      <c r="H262" s="11">
        <v>2580000.0</v>
      </c>
      <c r="I262" s="11">
        <v>2580000.0</v>
      </c>
      <c r="J262" s="11">
        <v>1170000.0</v>
      </c>
      <c r="K262" s="11">
        <v>1160000.0</v>
      </c>
      <c r="L262" s="11">
        <v>1170000.0</v>
      </c>
      <c r="M262" s="11">
        <v>1060000.0</v>
      </c>
      <c r="N262" s="11">
        <v>1050000.0</v>
      </c>
      <c r="O262" s="11">
        <v>1040000.0</v>
      </c>
      <c r="P262" s="11">
        <v>1040000.0</v>
      </c>
      <c r="Q262" s="11">
        <v>1030000.0</v>
      </c>
      <c r="R262" s="11">
        <v>925580.0</v>
      </c>
      <c r="S262" s="11">
        <v>909640.0</v>
      </c>
      <c r="T262" s="12"/>
      <c r="U262" s="12"/>
      <c r="V262" s="12"/>
      <c r="W262" s="12"/>
      <c r="X262" s="12"/>
      <c r="Y262" s="11">
        <v>98670.0</v>
      </c>
      <c r="Z262" s="11">
        <v>369.0</v>
      </c>
      <c r="AA262" s="11">
        <v>-8690.0</v>
      </c>
      <c r="AB262" s="11">
        <v>111490.0</v>
      </c>
      <c r="AC262" s="11">
        <v>-13410.0</v>
      </c>
      <c r="AD262" s="11">
        <v>78590.0</v>
      </c>
      <c r="AE262" s="11">
        <v>-5750.0</v>
      </c>
      <c r="AF262" s="11">
        <v>122710.0</v>
      </c>
      <c r="AG262" s="11">
        <v>97250.0</v>
      </c>
      <c r="AH262" s="11">
        <v>108770.0</v>
      </c>
      <c r="AI262" s="11">
        <v>199090.0</v>
      </c>
      <c r="AJ262" s="11">
        <v>181100.0</v>
      </c>
      <c r="AK262" s="11">
        <v>200090.0</v>
      </c>
      <c r="AL262" s="11">
        <v>192610.0</v>
      </c>
      <c r="AM262" s="11">
        <v>189480.0</v>
      </c>
      <c r="AN262" s="11">
        <v>60830.0</v>
      </c>
      <c r="AO262" s="11">
        <v>-5440.0</v>
      </c>
      <c r="AP262" s="11">
        <v>84820.0</v>
      </c>
      <c r="AQ262" s="11">
        <v>63910.0</v>
      </c>
      <c r="AR262" s="11">
        <v>78890.0</v>
      </c>
      <c r="AS262" s="11">
        <v>170790.0</v>
      </c>
      <c r="AT262" s="11">
        <v>128290.0</v>
      </c>
      <c r="AU262" s="11">
        <v>191380.0</v>
      </c>
      <c r="AV262" s="11">
        <v>183620.0</v>
      </c>
      <c r="AW262" s="11">
        <v>149150.0</v>
      </c>
      <c r="AX262" s="11">
        <v>-50150.0</v>
      </c>
      <c r="AY262" s="11">
        <v>-66900.0</v>
      </c>
      <c r="AZ262" s="11">
        <v>-51180.0</v>
      </c>
      <c r="BA262" s="11">
        <v>-59560.0</v>
      </c>
      <c r="BB262" s="11">
        <v>-81210.0</v>
      </c>
      <c r="BC262" s="11">
        <v>-11420.0</v>
      </c>
      <c r="BD262" s="11">
        <v>-11980.0</v>
      </c>
      <c r="BE262" s="11">
        <v>-12030.0</v>
      </c>
      <c r="BF262" s="11">
        <v>-12100.0</v>
      </c>
      <c r="BG262" s="11">
        <v>-12250.0</v>
      </c>
      <c r="BH262" s="11">
        <v>45220.0</v>
      </c>
      <c r="BI262" s="11">
        <v>30200.0</v>
      </c>
      <c r="BJ262" s="11">
        <v>64050.0</v>
      </c>
      <c r="BK262" s="11">
        <v>55330.0</v>
      </c>
      <c r="BL262" s="11">
        <v>118150.0</v>
      </c>
      <c r="BM262" s="11">
        <v>168370.0</v>
      </c>
      <c r="BN262" s="11">
        <v>196600.0</v>
      </c>
      <c r="BO262" s="11">
        <v>152610.0</v>
      </c>
      <c r="BP262" s="11">
        <v>162780.0</v>
      </c>
      <c r="BQ262" s="11">
        <v>164810.0</v>
      </c>
      <c r="BR262" s="11">
        <v>618410.0</v>
      </c>
      <c r="BS262" s="11">
        <v>683170.0</v>
      </c>
      <c r="BT262" s="11">
        <v>569380.0</v>
      </c>
      <c r="BU262" s="11">
        <v>585760.0</v>
      </c>
      <c r="BV262" s="11">
        <v>546750.0</v>
      </c>
      <c r="BW262" s="11">
        <v>879500.0</v>
      </c>
      <c r="BX262" s="11">
        <v>972750.0</v>
      </c>
      <c r="BY262" s="11">
        <v>842790.0</v>
      </c>
      <c r="BZ262" s="11">
        <v>841450.0</v>
      </c>
      <c r="CA262" s="11">
        <v>872370.0</v>
      </c>
      <c r="CB262" s="11">
        <v>920440.0</v>
      </c>
      <c r="CC262" s="11">
        <v>230780.0</v>
      </c>
      <c r="CD262" s="11">
        <v>212800.0</v>
      </c>
      <c r="CE262" s="11">
        <v>219200.0</v>
      </c>
      <c r="CF262" s="11">
        <v>179010.0</v>
      </c>
      <c r="CG262" s="11">
        <v>245280.0</v>
      </c>
      <c r="CH262" s="11">
        <v>242530.0</v>
      </c>
      <c r="CI262" s="11">
        <v>127080.0</v>
      </c>
      <c r="CJ262" s="11">
        <v>127100.0</v>
      </c>
      <c r="CK262" s="11">
        <v>13950.0</v>
      </c>
      <c r="CL262" s="11">
        <v>2430000.0</v>
      </c>
      <c r="CM262" s="11">
        <v>1840000.0</v>
      </c>
      <c r="CN262" s="11">
        <v>1490000.0</v>
      </c>
      <c r="CO262" s="11">
        <v>1480000.0</v>
      </c>
      <c r="CP262" s="11">
        <v>1300000.0</v>
      </c>
      <c r="CQ262" s="11">
        <v>267020.0</v>
      </c>
      <c r="CR262" s="11">
        <v>316300.0</v>
      </c>
      <c r="CS262" s="11">
        <v>272960.0</v>
      </c>
      <c r="CT262" s="11">
        <v>266370.0</v>
      </c>
      <c r="CU262" s="11">
        <v>237800.0</v>
      </c>
      <c r="CV262" s="11">
        <v>850950.0</v>
      </c>
      <c r="CW262" s="11">
        <v>402870.0</v>
      </c>
      <c r="CX262" s="11">
        <v>335000.0</v>
      </c>
      <c r="CY262" s="11"/>
      <c r="CZ262" s="11">
        <v>110000.0</v>
      </c>
      <c r="DA262" s="12"/>
      <c r="DB262" s="11">
        <v>850950.0</v>
      </c>
      <c r="DC262" s="11">
        <v>853340.0</v>
      </c>
      <c r="DD262" s="11">
        <v>430160.0</v>
      </c>
      <c r="DE262" s="11">
        <v>527600.0</v>
      </c>
      <c r="DF262" s="11">
        <v>1780000.0</v>
      </c>
      <c r="DG262" s="11">
        <v>1200000.0</v>
      </c>
      <c r="DH262" s="11">
        <v>770450.0</v>
      </c>
      <c r="DI262" s="11">
        <v>860790.0</v>
      </c>
      <c r="DJ262" s="11">
        <v>700850.0</v>
      </c>
      <c r="DK262" s="11"/>
      <c r="DL262" s="11"/>
      <c r="DM262" s="11"/>
      <c r="DN262" s="12"/>
      <c r="DO262" s="11">
        <v>7000.0</v>
      </c>
      <c r="DP262" s="11">
        <v>827420.0</v>
      </c>
      <c r="DQ262" s="11">
        <v>197930.0</v>
      </c>
      <c r="DR262" s="11">
        <v>197470.0</v>
      </c>
      <c r="DS262" s="11">
        <v>197000.0</v>
      </c>
      <c r="DT262" s="11">
        <v>196540.0</v>
      </c>
      <c r="DU262" s="13"/>
      <c r="DV262" s="12"/>
      <c r="DW262" s="12"/>
      <c r="DX262" s="12"/>
      <c r="DY262" s="12"/>
      <c r="DZ262" s="11">
        <v>645950.0</v>
      </c>
      <c r="EA262" s="11">
        <v>634050.0</v>
      </c>
      <c r="EB262" s="11">
        <v>717490.0</v>
      </c>
      <c r="EC262" s="11">
        <v>613120.0</v>
      </c>
      <c r="ED262" s="11">
        <v>601480.0</v>
      </c>
      <c r="EE262" s="14">
        <v>0.058</v>
      </c>
      <c r="EF262" s="14">
        <v>0.074</v>
      </c>
      <c r="EG262" s="14">
        <v>-0.512</v>
      </c>
      <c r="EH262" s="14">
        <v>-0.163</v>
      </c>
    </row>
    <row r="263">
      <c r="A263" s="9">
        <f t="shared" si="2"/>
        <v>261</v>
      </c>
      <c r="B263" s="22" t="s">
        <v>397</v>
      </c>
      <c r="C263" s="11">
        <v>6040.0</v>
      </c>
      <c r="D263" s="12"/>
      <c r="E263" s="12"/>
      <c r="F263" s="11">
        <v>22250.0</v>
      </c>
      <c r="G263" s="11">
        <v>25960.0</v>
      </c>
      <c r="H263" s="12"/>
      <c r="I263" s="12"/>
      <c r="J263" s="11">
        <v>-1850.0</v>
      </c>
      <c r="K263" s="12"/>
      <c r="L263" s="12"/>
      <c r="M263" s="11">
        <v>-297.0</v>
      </c>
      <c r="N263" s="11">
        <v>-404.0</v>
      </c>
      <c r="O263" s="11">
        <v>91050.0</v>
      </c>
      <c r="P263" s="11">
        <v>79030.0</v>
      </c>
      <c r="Q263" s="11">
        <v>55280.0</v>
      </c>
      <c r="R263" s="11">
        <v>38040.0</v>
      </c>
      <c r="S263" s="11">
        <v>32420.0</v>
      </c>
      <c r="T263" s="11">
        <v>76290.0</v>
      </c>
      <c r="U263" s="11">
        <v>66200.0</v>
      </c>
      <c r="V263" s="11">
        <v>43110.0</v>
      </c>
      <c r="W263" s="11">
        <v>27750.0</v>
      </c>
      <c r="X263" s="11">
        <v>23750.0</v>
      </c>
      <c r="Y263" s="12"/>
      <c r="Z263" s="12"/>
      <c r="AA263" s="12"/>
      <c r="AB263" s="12"/>
      <c r="AC263" s="12"/>
      <c r="AD263" s="11">
        <v>-89860.0</v>
      </c>
      <c r="AE263" s="11">
        <v>-54630.0</v>
      </c>
      <c r="AF263" s="11">
        <v>-27830.0</v>
      </c>
      <c r="AG263" s="11">
        <v>-38000.0</v>
      </c>
      <c r="AH263" s="11">
        <v>-32640.0</v>
      </c>
      <c r="AI263" s="11">
        <v>-91050.0</v>
      </c>
      <c r="AJ263" s="11">
        <v>-56780.0</v>
      </c>
      <c r="AK263" s="11">
        <v>-29320.0</v>
      </c>
      <c r="AL263" s="11">
        <v>-38040.0</v>
      </c>
      <c r="AM263" s="11">
        <v>-32420.0</v>
      </c>
      <c r="AN263" s="11">
        <v>-89860.0</v>
      </c>
      <c r="AO263" s="11">
        <v>-54630.0</v>
      </c>
      <c r="AP263" s="11">
        <v>-27830.0</v>
      </c>
      <c r="AQ263" s="11">
        <v>-38000.0</v>
      </c>
      <c r="AR263" s="11">
        <v>-32640.0</v>
      </c>
      <c r="AS263" s="11">
        <v>-77280.0</v>
      </c>
      <c r="AT263" s="11">
        <v>-64840.0</v>
      </c>
      <c r="AU263" s="11">
        <v>13750.0</v>
      </c>
      <c r="AV263" s="11">
        <v>-31030.0</v>
      </c>
      <c r="AW263" s="11">
        <v>-29930.0</v>
      </c>
      <c r="AX263" s="11">
        <v>-7.0</v>
      </c>
      <c r="AY263" s="11">
        <v>-214.0</v>
      </c>
      <c r="AZ263" s="11">
        <v>-1230.0</v>
      </c>
      <c r="BA263" s="11">
        <v>-401.0</v>
      </c>
      <c r="BB263" s="11">
        <v>-441.0</v>
      </c>
      <c r="BC263" s="12"/>
      <c r="BD263" s="12"/>
      <c r="BE263" s="12"/>
      <c r="BF263" s="12"/>
      <c r="BG263" s="12"/>
      <c r="BH263" s="11">
        <v>157360.0</v>
      </c>
      <c r="BI263" s="11">
        <v>136150.0</v>
      </c>
      <c r="BJ263" s="11">
        <v>163790.0</v>
      </c>
      <c r="BK263" s="11">
        <v>51780.0</v>
      </c>
      <c r="BL263" s="11">
        <v>69930.0</v>
      </c>
      <c r="BM263" s="11">
        <v>482.0</v>
      </c>
      <c r="BN263" s="11">
        <v>2000.0</v>
      </c>
      <c r="BO263" s="11">
        <v>1140.0</v>
      </c>
      <c r="BP263" s="12"/>
      <c r="BQ263" s="12"/>
      <c r="BR263" s="12"/>
      <c r="BS263" s="12"/>
      <c r="BT263" s="12"/>
      <c r="BU263" s="12"/>
      <c r="BV263" s="12"/>
      <c r="BW263" s="11">
        <v>159800.0</v>
      </c>
      <c r="BX263" s="11">
        <v>140250.0</v>
      </c>
      <c r="BY263" s="11">
        <v>167670.0</v>
      </c>
      <c r="BZ263" s="11">
        <v>53560.0</v>
      </c>
      <c r="CA263" s="11">
        <v>72500.0</v>
      </c>
      <c r="CB263" s="11">
        <v>8250.0</v>
      </c>
      <c r="CC263" s="11">
        <v>1460.0</v>
      </c>
      <c r="CD263" s="11">
        <v>1760.0</v>
      </c>
      <c r="CE263" s="11">
        <v>899.0</v>
      </c>
      <c r="CF263" s="11">
        <v>931.0</v>
      </c>
      <c r="CG263" s="12"/>
      <c r="CH263" s="12"/>
      <c r="CI263" s="12"/>
      <c r="CJ263" s="12"/>
      <c r="CK263" s="12"/>
      <c r="CL263" s="11">
        <v>168770.0</v>
      </c>
      <c r="CM263" s="11">
        <v>142730.0</v>
      </c>
      <c r="CN263" s="11">
        <v>192460.0</v>
      </c>
      <c r="CO263" s="11">
        <v>54800.0</v>
      </c>
      <c r="CP263" s="11">
        <v>75750.0</v>
      </c>
      <c r="CQ263" s="11">
        <v>2050.0</v>
      </c>
      <c r="CR263" s="11">
        <v>1250.0</v>
      </c>
      <c r="CS263" s="11">
        <v>1070.0</v>
      </c>
      <c r="CT263" s="12"/>
      <c r="CU263" s="12"/>
      <c r="CV263" s="11">
        <v>19620.0</v>
      </c>
      <c r="CW263" s="11">
        <v>1480.0</v>
      </c>
      <c r="CX263" s="12"/>
      <c r="CY263" s="12"/>
      <c r="CZ263" s="12"/>
      <c r="DA263" s="12"/>
      <c r="DB263" s="11">
        <v>19620.0</v>
      </c>
      <c r="DC263" s="11">
        <v>14880.0</v>
      </c>
      <c r="DD263" s="11">
        <v>39030.0</v>
      </c>
      <c r="DE263" s="11">
        <v>4450.0</v>
      </c>
      <c r="DF263" s="11">
        <v>26340.0</v>
      </c>
      <c r="DG263" s="11">
        <v>16010.0</v>
      </c>
      <c r="DH263" s="11">
        <v>42150.0</v>
      </c>
      <c r="DI263" s="11">
        <v>4890.0</v>
      </c>
      <c r="DJ263" s="11">
        <v>3960.0</v>
      </c>
      <c r="DK263" s="11">
        <v>440.0</v>
      </c>
      <c r="DL263" s="11">
        <v>440.0</v>
      </c>
      <c r="DM263" s="11">
        <v>22800.0</v>
      </c>
      <c r="DN263" s="11">
        <v>46.0</v>
      </c>
      <c r="DO263" s="11">
        <v>2040.0</v>
      </c>
      <c r="DP263" s="11">
        <v>6720.0</v>
      </c>
      <c r="DQ263" s="12"/>
      <c r="DR263" s="12"/>
      <c r="DS263" s="12"/>
      <c r="DT263" s="12"/>
      <c r="DU263" s="13"/>
      <c r="DV263" s="12"/>
      <c r="DW263" s="12"/>
      <c r="DX263" s="13"/>
      <c r="DY263" s="13"/>
      <c r="DZ263" s="11">
        <v>142430.0</v>
      </c>
      <c r="EA263" s="11">
        <v>126710.0</v>
      </c>
      <c r="EB263" s="11">
        <v>150310.0</v>
      </c>
      <c r="EC263" s="11">
        <v>49910.0</v>
      </c>
      <c r="ED263" s="11">
        <v>71790.0</v>
      </c>
      <c r="EE263" s="23"/>
      <c r="EF263" s="23"/>
      <c r="EG263" s="14">
        <v>0.121</v>
      </c>
      <c r="EH263" s="14">
        <v>0.042</v>
      </c>
    </row>
    <row r="264">
      <c r="A264" s="9">
        <f t="shared" si="2"/>
        <v>262</v>
      </c>
      <c r="B264" s="10" t="s">
        <v>398</v>
      </c>
      <c r="C264" s="15">
        <v>1500000.0</v>
      </c>
      <c r="D264" s="15">
        <v>1420000.0</v>
      </c>
      <c r="E264" s="15">
        <v>1350000.0</v>
      </c>
      <c r="F264" s="15">
        <v>1360000.0</v>
      </c>
      <c r="G264" s="15">
        <v>1500000.0</v>
      </c>
      <c r="H264" s="15">
        <v>1070000.0</v>
      </c>
      <c r="I264" s="15">
        <v>1910000.0</v>
      </c>
      <c r="J264" s="15">
        <v>182510.0</v>
      </c>
      <c r="K264" s="15">
        <v>222860.0</v>
      </c>
      <c r="L264" s="15">
        <v>361050.0</v>
      </c>
      <c r="M264" s="15">
        <v>45550.0</v>
      </c>
      <c r="N264" s="15">
        <v>648070.0</v>
      </c>
      <c r="O264" s="15">
        <v>176240.0</v>
      </c>
      <c r="P264" s="15">
        <v>174800.0</v>
      </c>
      <c r="Q264" s="15">
        <v>177150.0</v>
      </c>
      <c r="R264" s="15">
        <v>173980.0</v>
      </c>
      <c r="S264" s="15">
        <v>177760.0</v>
      </c>
      <c r="T264" s="12"/>
      <c r="U264" s="12"/>
      <c r="V264" s="12"/>
      <c r="W264" s="12"/>
      <c r="X264" s="12"/>
      <c r="Y264" s="15">
        <v>1350.0</v>
      </c>
      <c r="Z264" s="15">
        <v>45810.0</v>
      </c>
      <c r="AA264" s="15">
        <v>103150.0</v>
      </c>
      <c r="AB264" s="12"/>
      <c r="AC264" s="12"/>
      <c r="AD264" s="15">
        <v>20060.0</v>
      </c>
      <c r="AE264" s="15">
        <v>70810.0</v>
      </c>
      <c r="AF264" s="15">
        <v>117340.0</v>
      </c>
      <c r="AG264" s="15">
        <v>-114290.0</v>
      </c>
      <c r="AH264" s="15">
        <v>487250.0</v>
      </c>
      <c r="AI264" s="15">
        <v>64370.0</v>
      </c>
      <c r="AJ264" s="15">
        <v>102710.0</v>
      </c>
      <c r="AK264" s="15">
        <v>237920.0</v>
      </c>
      <c r="AL264" s="15">
        <v>-79320.0</v>
      </c>
      <c r="AM264" s="15">
        <v>514910.0</v>
      </c>
      <c r="AN264" s="15">
        <v>18390.0</v>
      </c>
      <c r="AO264" s="15">
        <v>54230.0</v>
      </c>
      <c r="AP264" s="15">
        <v>125930.0</v>
      </c>
      <c r="AQ264" s="15">
        <v>-74280.0</v>
      </c>
      <c r="AR264" s="15">
        <v>316040.0</v>
      </c>
      <c r="AS264" s="15">
        <v>80720.0</v>
      </c>
      <c r="AT264" s="15">
        <v>115090.0</v>
      </c>
      <c r="AU264" s="15">
        <v>200420.0</v>
      </c>
      <c r="AV264" s="15">
        <v>-45920.0</v>
      </c>
      <c r="AW264" s="15">
        <v>381840.0</v>
      </c>
      <c r="AX264" s="15">
        <v>-124180.0</v>
      </c>
      <c r="AY264" s="15">
        <v>-67990.0</v>
      </c>
      <c r="AZ264" s="15">
        <v>-19670.0</v>
      </c>
      <c r="BA264" s="15">
        <v>-66660.0</v>
      </c>
      <c r="BB264" s="15">
        <v>-76130.0</v>
      </c>
      <c r="BC264" s="13"/>
      <c r="BD264" s="15">
        <v>-41710.0</v>
      </c>
      <c r="BE264" s="13"/>
      <c r="BF264" s="13"/>
      <c r="BG264" s="15">
        <v>-120940.0</v>
      </c>
      <c r="BH264" s="15">
        <v>232290.0</v>
      </c>
      <c r="BI264" s="15">
        <v>319430.0</v>
      </c>
      <c r="BJ264" s="15">
        <v>331020.0</v>
      </c>
      <c r="BK264" s="15">
        <v>156030.0</v>
      </c>
      <c r="BL264" s="15">
        <v>389550.0</v>
      </c>
      <c r="BM264" s="15">
        <v>98380.0</v>
      </c>
      <c r="BN264" s="15">
        <v>71760.0</v>
      </c>
      <c r="BO264" s="15">
        <v>85840.0</v>
      </c>
      <c r="BP264" s="15">
        <v>117200.0</v>
      </c>
      <c r="BQ264" s="15">
        <v>79280.0</v>
      </c>
      <c r="BR264" s="15">
        <v>187220.0</v>
      </c>
      <c r="BS264" s="15">
        <v>172240.0</v>
      </c>
      <c r="BT264" s="15">
        <v>168640.0</v>
      </c>
      <c r="BU264" s="15">
        <v>160690.0</v>
      </c>
      <c r="BV264" s="15">
        <v>154800.0</v>
      </c>
      <c r="BW264" s="15">
        <v>522250.0</v>
      </c>
      <c r="BX264" s="15">
        <v>567750.0</v>
      </c>
      <c r="BY264" s="15">
        <v>587520.0</v>
      </c>
      <c r="BZ264" s="15">
        <v>436210.0</v>
      </c>
      <c r="CA264" s="15">
        <v>626280.0</v>
      </c>
      <c r="CB264" s="15">
        <v>560580.0</v>
      </c>
      <c r="CC264" s="15">
        <v>456290.0</v>
      </c>
      <c r="CD264" s="15">
        <v>425380.0</v>
      </c>
      <c r="CE264" s="15">
        <v>458180.0</v>
      </c>
      <c r="CF264" s="15">
        <v>392270.0</v>
      </c>
      <c r="CG264" s="15">
        <v>35530.0</v>
      </c>
      <c r="CH264" s="15">
        <v>35530.0</v>
      </c>
      <c r="CI264" s="15">
        <v>35530.0</v>
      </c>
      <c r="CJ264" s="15">
        <v>35530.0</v>
      </c>
      <c r="CK264" s="15">
        <v>29200.0</v>
      </c>
      <c r="CL264" s="15">
        <v>1220000.0</v>
      </c>
      <c r="CM264" s="15">
        <v>1160000.0</v>
      </c>
      <c r="CN264" s="15">
        <v>1150000.0</v>
      </c>
      <c r="CO264" s="15">
        <v>1030000.0</v>
      </c>
      <c r="CP264" s="15">
        <v>1110000.0</v>
      </c>
      <c r="CQ264" s="15">
        <v>55900.0</v>
      </c>
      <c r="CR264" s="15">
        <v>39210.0</v>
      </c>
      <c r="CS264" s="15">
        <v>37840.0</v>
      </c>
      <c r="CT264" s="15">
        <v>30630.0</v>
      </c>
      <c r="CU264" s="15">
        <v>36260.0</v>
      </c>
      <c r="CV264" s="15">
        <v>93180.0</v>
      </c>
      <c r="CW264" s="12"/>
      <c r="CX264" s="12"/>
      <c r="CY264" s="13"/>
      <c r="CZ264" s="13"/>
      <c r="DA264" s="12"/>
      <c r="DB264" s="15">
        <v>93180.0</v>
      </c>
      <c r="DC264" s="15">
        <v>74910.0</v>
      </c>
      <c r="DD264" s="15">
        <v>107840.0</v>
      </c>
      <c r="DE264" s="15">
        <v>64680.0</v>
      </c>
      <c r="DF264" s="15">
        <v>206290.0</v>
      </c>
      <c r="DG264" s="15">
        <v>166470.0</v>
      </c>
      <c r="DH264" s="15">
        <v>194770.0</v>
      </c>
      <c r="DI264" s="15">
        <v>188600.0</v>
      </c>
      <c r="DJ264" s="15">
        <v>194400.0</v>
      </c>
      <c r="DK264" s="15">
        <v>63730.0</v>
      </c>
      <c r="DL264" s="15">
        <v>70950.0</v>
      </c>
      <c r="DM264" s="15">
        <v>66810.0</v>
      </c>
      <c r="DN264" s="15">
        <v>65730.0</v>
      </c>
      <c r="DO264" s="15">
        <v>53980.0</v>
      </c>
      <c r="DP264" s="15">
        <v>2390.0</v>
      </c>
      <c r="DQ264" s="15">
        <v>641.0</v>
      </c>
      <c r="DR264" s="15">
        <v>2550.0</v>
      </c>
      <c r="DS264" s="15">
        <v>6110.0</v>
      </c>
      <c r="DT264" s="15">
        <v>9250.0</v>
      </c>
      <c r="DU264" s="13"/>
      <c r="DV264" s="12"/>
      <c r="DW264" s="12"/>
      <c r="DX264" s="12"/>
      <c r="DY264" s="13"/>
      <c r="DZ264" s="15">
        <v>1010000.0</v>
      </c>
      <c r="EA264" s="15">
        <v>986620.0</v>
      </c>
      <c r="EB264" s="15">
        <v>953330.0</v>
      </c>
      <c r="EC264" s="15">
        <v>842690.0</v>
      </c>
      <c r="ED264" s="15">
        <v>915280.0</v>
      </c>
      <c r="EE264" s="17">
        <v>0.021</v>
      </c>
      <c r="EF264" s="17">
        <v>0.027</v>
      </c>
      <c r="EG264" s="17">
        <v>0.033</v>
      </c>
      <c r="EH264" s="17">
        <v>-1.857</v>
      </c>
    </row>
    <row r="265">
      <c r="A265" s="9">
        <f t="shared" si="2"/>
        <v>263</v>
      </c>
      <c r="B265" s="22" t="s">
        <v>399</v>
      </c>
      <c r="C265" s="11">
        <v>101630.0</v>
      </c>
      <c r="D265" s="12"/>
      <c r="E265" s="11">
        <v>184830.0</v>
      </c>
      <c r="F265" s="12"/>
      <c r="G265" s="12"/>
      <c r="H265" s="11">
        <v>497.0</v>
      </c>
      <c r="I265" s="11">
        <v>478.0</v>
      </c>
      <c r="J265" s="12"/>
      <c r="K265" s="11">
        <v>-51.0</v>
      </c>
      <c r="L265" s="11">
        <v>-51.0</v>
      </c>
      <c r="M265" s="11">
        <v>-56020.0</v>
      </c>
      <c r="N265" s="11">
        <v>-50910.0</v>
      </c>
      <c r="O265" s="11">
        <v>210890.0</v>
      </c>
      <c r="P265" s="11">
        <v>133150.0</v>
      </c>
      <c r="Q265" s="11">
        <v>84600.0</v>
      </c>
      <c r="R265" s="12"/>
      <c r="S265" s="12"/>
      <c r="T265" s="11">
        <v>149830.0</v>
      </c>
      <c r="U265" s="11">
        <v>99260.0</v>
      </c>
      <c r="V265" s="11">
        <v>384.0</v>
      </c>
      <c r="W265" s="12"/>
      <c r="X265" s="12"/>
      <c r="Y265" s="11">
        <v>-30580.0</v>
      </c>
      <c r="Z265" s="12"/>
      <c r="AA265" s="12"/>
      <c r="AB265" s="12"/>
      <c r="AC265" s="12"/>
      <c r="AD265" s="11">
        <v>-32500.0</v>
      </c>
      <c r="AE265" s="11">
        <v>-132050.0</v>
      </c>
      <c r="AF265" s="11">
        <v>-86790.0</v>
      </c>
      <c r="AG265" s="11">
        <v>-56910.0</v>
      </c>
      <c r="AH265" s="11">
        <v>-51010.0</v>
      </c>
      <c r="AI265" s="11">
        <v>-26060.0</v>
      </c>
      <c r="AJ265" s="11">
        <v>-133150.0</v>
      </c>
      <c r="AK265" s="11">
        <v>-84600.0</v>
      </c>
      <c r="AL265" s="11">
        <v>-55910.0</v>
      </c>
      <c r="AM265" s="11">
        <v>-50800.0</v>
      </c>
      <c r="AN265" s="11">
        <v>-32580.0</v>
      </c>
      <c r="AO265" s="11">
        <v>-132050.0</v>
      </c>
      <c r="AP265" s="11">
        <v>-86790.0</v>
      </c>
      <c r="AQ265" s="11">
        <v>-56910.0</v>
      </c>
      <c r="AR265" s="11">
        <v>-51010.0</v>
      </c>
      <c r="AS265" s="11">
        <v>-71010.0</v>
      </c>
      <c r="AT265" s="11">
        <v>-128190.0</v>
      </c>
      <c r="AU265" s="11">
        <v>-68010.0</v>
      </c>
      <c r="AV265" s="11">
        <v>-55430.0</v>
      </c>
      <c r="AW265" s="11">
        <v>-48910.0</v>
      </c>
      <c r="AX265" s="11">
        <v>-16180.0</v>
      </c>
      <c r="AY265" s="12"/>
      <c r="AZ265" s="12"/>
      <c r="BA265" s="11">
        <v>-256.0</v>
      </c>
      <c r="BB265" s="12"/>
      <c r="BC265" s="12"/>
      <c r="BD265" s="12"/>
      <c r="BE265" s="12"/>
      <c r="BF265" s="12"/>
      <c r="BG265" s="12"/>
      <c r="BH265" s="11">
        <v>753540.0</v>
      </c>
      <c r="BI265" s="11">
        <v>646180.0</v>
      </c>
      <c r="BJ265" s="11">
        <v>57350.0</v>
      </c>
      <c r="BK265" s="11">
        <v>24240.0</v>
      </c>
      <c r="BL265" s="11">
        <v>25160.0</v>
      </c>
      <c r="BM265" s="11">
        <v>46590.0</v>
      </c>
      <c r="BN265" s="11">
        <v>1630.0</v>
      </c>
      <c r="BO265" s="11">
        <v>4270.0</v>
      </c>
      <c r="BP265" s="11">
        <v>2210.0</v>
      </c>
      <c r="BQ265" s="11">
        <v>2380.0</v>
      </c>
      <c r="BR265" s="12"/>
      <c r="BS265" s="12"/>
      <c r="BT265" s="12"/>
      <c r="BU265" s="12"/>
      <c r="BV265" s="12"/>
      <c r="BW265" s="11">
        <v>821130.0</v>
      </c>
      <c r="BX265" s="11">
        <v>647970.0</v>
      </c>
      <c r="BY265" s="11">
        <v>61790.0</v>
      </c>
      <c r="BZ265" s="11">
        <v>26800.0</v>
      </c>
      <c r="CA265" s="11">
        <v>27770.0</v>
      </c>
      <c r="CB265" s="11">
        <v>6060.0</v>
      </c>
      <c r="CC265" s="11">
        <v>107.0</v>
      </c>
      <c r="CD265" s="11">
        <v>158.0</v>
      </c>
      <c r="CE265" s="11">
        <v>209.0</v>
      </c>
      <c r="CF265" s="11">
        <v>65.0</v>
      </c>
      <c r="CG265" s="12"/>
      <c r="CH265" s="12"/>
      <c r="CI265" s="12"/>
      <c r="CJ265" s="12"/>
      <c r="CK265" s="12"/>
      <c r="CL265" s="11">
        <v>845200.0</v>
      </c>
      <c r="CM265" s="11">
        <v>648420.0</v>
      </c>
      <c r="CN265" s="11">
        <v>62290.0</v>
      </c>
      <c r="CO265" s="11">
        <v>27300.0</v>
      </c>
      <c r="CP265" s="11">
        <v>28130.0</v>
      </c>
      <c r="CQ265" s="11">
        <v>24380.0</v>
      </c>
      <c r="CR265" s="11">
        <v>22640.0</v>
      </c>
      <c r="CS265" s="11">
        <v>13680.0</v>
      </c>
      <c r="CT265" s="11">
        <v>4920.0</v>
      </c>
      <c r="CU265" s="11">
        <v>3110.0</v>
      </c>
      <c r="CV265" s="11">
        <v>53370.0</v>
      </c>
      <c r="CW265" s="12"/>
      <c r="CX265" s="12"/>
      <c r="CY265" s="12"/>
      <c r="CZ265" s="12"/>
      <c r="DA265" s="12"/>
      <c r="DB265" s="11">
        <v>53370.0</v>
      </c>
      <c r="DC265" s="11">
        <v>30240.0</v>
      </c>
      <c r="DD265" s="11">
        <v>29110.0</v>
      </c>
      <c r="DE265" s="11">
        <v>41520.0</v>
      </c>
      <c r="DF265" s="11">
        <v>57130.0</v>
      </c>
      <c r="DG265" s="11">
        <v>30240.0</v>
      </c>
      <c r="DH265" s="11">
        <v>29110.0</v>
      </c>
      <c r="DI265" s="11">
        <v>41520.0</v>
      </c>
      <c r="DJ265" s="11">
        <v>10040.0</v>
      </c>
      <c r="DK265" s="11">
        <v>1940.0</v>
      </c>
      <c r="DL265" s="11">
        <v>1.0</v>
      </c>
      <c r="DM265" s="11">
        <v>1.0</v>
      </c>
      <c r="DN265" s="11">
        <v>1.0</v>
      </c>
      <c r="DO265" s="24">
        <v>1.0</v>
      </c>
      <c r="DP265" s="11">
        <v>3580.0</v>
      </c>
      <c r="DQ265" s="12"/>
      <c r="DR265" s="12"/>
      <c r="DS265" s="12"/>
      <c r="DT265" s="12"/>
      <c r="DU265" s="13"/>
      <c r="DV265" s="12"/>
      <c r="DW265" s="12"/>
      <c r="DX265" s="13"/>
      <c r="DY265" s="13"/>
      <c r="DZ265" s="11">
        <v>788070.0</v>
      </c>
      <c r="EA265" s="11">
        <v>618180.0</v>
      </c>
      <c r="EB265" s="11">
        <v>33180.0</v>
      </c>
      <c r="EC265" s="11">
        <v>-14220.0</v>
      </c>
      <c r="ED265" s="11">
        <v>18090.0</v>
      </c>
      <c r="EE265" s="23"/>
      <c r="EF265" s="14">
        <v>0.0</v>
      </c>
      <c r="EG265" s="14">
        <v>0.225</v>
      </c>
      <c r="EH265" s="23"/>
    </row>
    <row r="266">
      <c r="A266" s="9">
        <f t="shared" si="2"/>
        <v>264</v>
      </c>
      <c r="B266" s="25" t="s">
        <v>400</v>
      </c>
      <c r="C266" s="15">
        <v>156030.0</v>
      </c>
      <c r="D266" s="15">
        <v>142700.0</v>
      </c>
      <c r="E266" s="15">
        <v>134020.0</v>
      </c>
      <c r="F266" s="15">
        <v>123170.0</v>
      </c>
      <c r="G266" s="15">
        <v>93490.0</v>
      </c>
      <c r="H266" s="15">
        <v>79230.0</v>
      </c>
      <c r="I266" s="15">
        <v>99280.0</v>
      </c>
      <c r="J266" s="15">
        <v>64780.0</v>
      </c>
      <c r="K266" s="15">
        <v>60800.0</v>
      </c>
      <c r="L266" s="15">
        <v>45520.0</v>
      </c>
      <c r="M266" s="15">
        <v>32490.0</v>
      </c>
      <c r="N266" s="15">
        <v>43130.0</v>
      </c>
      <c r="O266" s="15">
        <v>42810.0</v>
      </c>
      <c r="P266" s="15">
        <v>40760.0</v>
      </c>
      <c r="Q266" s="15">
        <v>35560.0</v>
      </c>
      <c r="R266" s="15">
        <v>34530.0</v>
      </c>
      <c r="S266" s="15">
        <v>38450.0</v>
      </c>
      <c r="T266" s="15">
        <v>16330.0</v>
      </c>
      <c r="U266" s="15">
        <v>14580.0</v>
      </c>
      <c r="V266" s="15">
        <v>13530.0</v>
      </c>
      <c r="W266" s="15">
        <v>12630.0</v>
      </c>
      <c r="X266" s="15">
        <v>14860.0</v>
      </c>
      <c r="Y266" s="15">
        <v>0.0</v>
      </c>
      <c r="Z266" s="15">
        <v>0.0</v>
      </c>
      <c r="AA266" s="15">
        <v>-3040.0</v>
      </c>
      <c r="AB266" s="15">
        <v>3880.0</v>
      </c>
      <c r="AC266" s="15">
        <v>-10600.0</v>
      </c>
      <c r="AD266" s="15">
        <v>22770.0</v>
      </c>
      <c r="AE266" s="15">
        <v>20760.0</v>
      </c>
      <c r="AF266" s="15">
        <v>-3190.0</v>
      </c>
      <c r="AG266" s="15">
        <v>1170.0</v>
      </c>
      <c r="AH266" s="15">
        <v>-11940.0</v>
      </c>
      <c r="AI266" s="15">
        <v>25160.0</v>
      </c>
      <c r="AJ266" s="15">
        <v>22000.0</v>
      </c>
      <c r="AK266" s="15">
        <v>12090.0</v>
      </c>
      <c r="AL266" s="15">
        <v>0.0</v>
      </c>
      <c r="AM266" s="15">
        <v>6740.0</v>
      </c>
      <c r="AN266" s="15">
        <v>20820.0</v>
      </c>
      <c r="AO266" s="15">
        <v>18730.0</v>
      </c>
      <c r="AP266" s="15">
        <v>1690.0</v>
      </c>
      <c r="AQ266" s="15">
        <v>0.0</v>
      </c>
      <c r="AR266" s="15">
        <v>-10110.0</v>
      </c>
      <c r="AS266" s="15">
        <v>24630.0</v>
      </c>
      <c r="AT266" s="15">
        <v>16790.0</v>
      </c>
      <c r="AU266" s="15">
        <v>1640.0</v>
      </c>
      <c r="AV266" s="15">
        <v>-17350.0</v>
      </c>
      <c r="AW266" s="15">
        <v>1530.0</v>
      </c>
      <c r="AX266" s="15">
        <v>-1360.0</v>
      </c>
      <c r="AY266" s="15">
        <v>-2340.0</v>
      </c>
      <c r="AZ266" s="15">
        <v>-3220.0</v>
      </c>
      <c r="BA266" s="15">
        <v>-1480.0</v>
      </c>
      <c r="BB266" s="15">
        <v>-1900.0</v>
      </c>
      <c r="BC266" s="15">
        <v>-6550.0</v>
      </c>
      <c r="BD266" s="15">
        <v>-5060.0</v>
      </c>
      <c r="BE266" s="15">
        <v>-5000.0</v>
      </c>
      <c r="BF266" s="15">
        <v>0.0</v>
      </c>
      <c r="BG266" s="15">
        <v>0.0</v>
      </c>
      <c r="BH266" s="15">
        <v>89550.0</v>
      </c>
      <c r="BI266" s="15">
        <v>54940.0</v>
      </c>
      <c r="BJ266" s="15">
        <v>43910.0</v>
      </c>
      <c r="BK266" s="15">
        <v>19860.0</v>
      </c>
      <c r="BL266" s="15">
        <v>38910.0</v>
      </c>
      <c r="BM266" s="15">
        <v>33670.0</v>
      </c>
      <c r="BN266" s="15">
        <v>33670.0</v>
      </c>
      <c r="BO266" s="15">
        <v>24560.0</v>
      </c>
      <c r="BP266" s="15">
        <v>23810.0</v>
      </c>
      <c r="BQ266" s="15">
        <v>27560.0</v>
      </c>
      <c r="BR266" s="15">
        <v>23800.0</v>
      </c>
      <c r="BS266" s="15">
        <v>30110.0</v>
      </c>
      <c r="BT266" s="15">
        <v>21340.0</v>
      </c>
      <c r="BU266" s="15">
        <v>16650.0</v>
      </c>
      <c r="BV266" s="15">
        <v>27820.0</v>
      </c>
      <c r="BW266" s="15">
        <v>147700.0</v>
      </c>
      <c r="BX266" s="15">
        <v>119300.0</v>
      </c>
      <c r="BY266" s="15">
        <v>91450.0</v>
      </c>
      <c r="BZ266" s="15">
        <v>85630.0</v>
      </c>
      <c r="CA266" s="15">
        <v>95760.0</v>
      </c>
      <c r="CB266" s="15">
        <v>18530.0</v>
      </c>
      <c r="CC266" s="15">
        <v>17120.0</v>
      </c>
      <c r="CD266" s="15">
        <v>15500.0</v>
      </c>
      <c r="CE266" s="15">
        <v>13730.0</v>
      </c>
      <c r="CF266" s="15">
        <v>13530.0</v>
      </c>
      <c r="CG266" s="15">
        <v>0.0</v>
      </c>
      <c r="CH266" s="15">
        <v>0.0</v>
      </c>
      <c r="CI266" s="15">
        <v>0.0</v>
      </c>
      <c r="CJ266" s="15">
        <v>0.0</v>
      </c>
      <c r="CK266" s="15">
        <v>0.0</v>
      </c>
      <c r="CL266" s="15">
        <v>171400.0</v>
      </c>
      <c r="CM266" s="15">
        <v>142290.0</v>
      </c>
      <c r="CN266" s="15">
        <v>113700.0</v>
      </c>
      <c r="CO266" s="15">
        <v>106210.0</v>
      </c>
      <c r="CP266" s="15">
        <v>116270.0</v>
      </c>
      <c r="CQ266" s="15">
        <v>11330.0</v>
      </c>
      <c r="CR266" s="15">
        <v>15540.0</v>
      </c>
      <c r="CS266" s="15">
        <v>10500.0</v>
      </c>
      <c r="CT266" s="15">
        <v>10300.0</v>
      </c>
      <c r="CU266" s="15">
        <v>11810.0</v>
      </c>
      <c r="CV266" s="15">
        <v>31610.0</v>
      </c>
      <c r="CW266" s="15">
        <v>0.0</v>
      </c>
      <c r="CX266" s="15">
        <v>0.0</v>
      </c>
      <c r="CY266" s="16">
        <v>0.0</v>
      </c>
      <c r="CZ266" s="16">
        <v>0.0</v>
      </c>
      <c r="DA266" s="15">
        <v>0.0</v>
      </c>
      <c r="DB266" s="15">
        <v>31610.0</v>
      </c>
      <c r="DC266" s="15">
        <v>38720.0</v>
      </c>
      <c r="DD266" s="15">
        <v>27900.0</v>
      </c>
      <c r="DE266" s="15">
        <v>31530.0</v>
      </c>
      <c r="DF266" s="15">
        <v>35100.0</v>
      </c>
      <c r="DG266" s="15">
        <v>40880.0</v>
      </c>
      <c r="DH266" s="15">
        <v>29400.0</v>
      </c>
      <c r="DI266" s="15">
        <v>32850.0</v>
      </c>
      <c r="DJ266" s="15">
        <v>43300.0</v>
      </c>
      <c r="DK266" s="15">
        <v>0.0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0.0</v>
      </c>
      <c r="DQ266" s="15">
        <v>0.0</v>
      </c>
      <c r="DR266" s="15">
        <v>0.0</v>
      </c>
      <c r="DS266" s="15">
        <v>0.0</v>
      </c>
      <c r="DT266" s="15">
        <v>0.0</v>
      </c>
      <c r="DU266" s="16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136300.0</v>
      </c>
      <c r="EA266" s="15">
        <v>101410.0</v>
      </c>
      <c r="EB266" s="15">
        <v>84300.0</v>
      </c>
      <c r="EC266" s="15">
        <v>73370.0</v>
      </c>
      <c r="ED266" s="15">
        <v>68200.0</v>
      </c>
      <c r="EE266" s="17">
        <v>0.012</v>
      </c>
      <c r="EF266" s="17">
        <v>0.02</v>
      </c>
      <c r="EG266" s="17">
        <v>-0.182</v>
      </c>
      <c r="EH266" s="17">
        <v>-0.044</v>
      </c>
    </row>
    <row r="267">
      <c r="A267" s="9">
        <f t="shared" si="2"/>
        <v>265</v>
      </c>
      <c r="B267" s="22" t="s">
        <v>401</v>
      </c>
      <c r="C267" s="12"/>
      <c r="D267" s="12"/>
      <c r="E267" s="11">
        <v>1010.0</v>
      </c>
      <c r="F267" s="11">
        <v>1670.0</v>
      </c>
      <c r="G267" s="11">
        <v>2670.0</v>
      </c>
      <c r="H267" s="11">
        <v>3190.0</v>
      </c>
      <c r="I267" s="11">
        <v>3780.0</v>
      </c>
      <c r="J267" s="12"/>
      <c r="K267" s="12"/>
      <c r="L267" s="12"/>
      <c r="M267" s="12"/>
      <c r="N267" s="12"/>
      <c r="O267" s="11">
        <v>8570.0</v>
      </c>
      <c r="P267" s="11">
        <v>16870.0</v>
      </c>
      <c r="Q267" s="11">
        <v>15410.0</v>
      </c>
      <c r="R267" s="11">
        <v>20870.0</v>
      </c>
      <c r="S267" s="11">
        <v>18050.0</v>
      </c>
      <c r="T267" s="11">
        <v>5140.0</v>
      </c>
      <c r="U267" s="11">
        <v>12070.0</v>
      </c>
      <c r="V267" s="11">
        <v>10770.0</v>
      </c>
      <c r="W267" s="11">
        <v>16040.0</v>
      </c>
      <c r="X267" s="11">
        <v>13760.0</v>
      </c>
      <c r="Y267" s="12"/>
      <c r="Z267" s="12"/>
      <c r="AA267" s="11">
        <v>2760.0</v>
      </c>
      <c r="AB267" s="11">
        <v>-19320.0</v>
      </c>
      <c r="AC267" s="12"/>
      <c r="AD267" s="11">
        <v>-7640.0</v>
      </c>
      <c r="AE267" s="11">
        <v>-15190.0</v>
      </c>
      <c r="AF267" s="11">
        <v>2430.0</v>
      </c>
      <c r="AG267" s="11">
        <v>-18810.0</v>
      </c>
      <c r="AH267" s="11">
        <v>-12860.0</v>
      </c>
      <c r="AI267" s="11">
        <v>-7560.0</v>
      </c>
      <c r="AJ267" s="11">
        <v>-15200.0</v>
      </c>
      <c r="AK267" s="11">
        <v>-12750.0</v>
      </c>
      <c r="AL267" s="11">
        <v>-17680.0</v>
      </c>
      <c r="AM267" s="11">
        <v>-14270.0</v>
      </c>
      <c r="AN267" s="11">
        <v>-7640.0</v>
      </c>
      <c r="AO267" s="11">
        <v>-15190.0</v>
      </c>
      <c r="AP267" s="11">
        <v>2430.0</v>
      </c>
      <c r="AQ267" s="11">
        <v>-18810.0</v>
      </c>
      <c r="AR267" s="11">
        <v>-12860.0</v>
      </c>
      <c r="AS267" s="11">
        <v>-6820.0</v>
      </c>
      <c r="AT267" s="11">
        <v>-13860.0</v>
      </c>
      <c r="AU267" s="11">
        <v>-14230.0</v>
      </c>
      <c r="AV267" s="11">
        <v>-17550.0</v>
      </c>
      <c r="AW267" s="11">
        <v>-13790.0</v>
      </c>
      <c r="AX267" s="12"/>
      <c r="AY267" s="11">
        <v>-316.0</v>
      </c>
      <c r="AZ267" s="11">
        <v>-32.0</v>
      </c>
      <c r="BA267" s="11">
        <v>-194.0</v>
      </c>
      <c r="BB267" s="11">
        <v>-151.0</v>
      </c>
      <c r="BC267" s="12"/>
      <c r="BD267" s="12"/>
      <c r="BE267" s="12"/>
      <c r="BF267" s="12"/>
      <c r="BG267" s="12"/>
      <c r="BH267" s="11">
        <v>9890.0</v>
      </c>
      <c r="BI267" s="11">
        <v>7540.0</v>
      </c>
      <c r="BJ267" s="11">
        <v>14870.0</v>
      </c>
      <c r="BK267" s="11">
        <v>17540.0</v>
      </c>
      <c r="BL267" s="11">
        <v>13570.0</v>
      </c>
      <c r="BM267" s="11">
        <v>146.0</v>
      </c>
      <c r="BN267" s="11">
        <v>205.0</v>
      </c>
      <c r="BO267" s="11">
        <v>345.0</v>
      </c>
      <c r="BP267" s="11">
        <v>223.0</v>
      </c>
      <c r="BQ267" s="11">
        <v>212.0</v>
      </c>
      <c r="BR267" s="12"/>
      <c r="BS267" s="12"/>
      <c r="BT267" s="12"/>
      <c r="BU267" s="12"/>
      <c r="BV267" s="12"/>
      <c r="BW267" s="11">
        <v>10540.0</v>
      </c>
      <c r="BX267" s="11">
        <v>8470.0</v>
      </c>
      <c r="BY267" s="11">
        <v>15710.0</v>
      </c>
      <c r="BZ267" s="11">
        <v>18110.0</v>
      </c>
      <c r="CA267" s="11">
        <v>13990.0</v>
      </c>
      <c r="CB267" s="11">
        <v>443.0</v>
      </c>
      <c r="CC267" s="11">
        <v>574.0</v>
      </c>
      <c r="CD267" s="11">
        <v>372.0</v>
      </c>
      <c r="CE267" s="11">
        <v>435.0</v>
      </c>
      <c r="CF267" s="11">
        <v>319.0</v>
      </c>
      <c r="CG267" s="12"/>
      <c r="CH267" s="12"/>
      <c r="CI267" s="12"/>
      <c r="CJ267" s="12"/>
      <c r="CK267" s="12"/>
      <c r="CL267" s="11">
        <v>11110.0</v>
      </c>
      <c r="CM267" s="11">
        <v>9250.0</v>
      </c>
      <c r="CN267" s="11">
        <v>16270.0</v>
      </c>
      <c r="CO267" s="11">
        <v>18750.0</v>
      </c>
      <c r="CP267" s="11">
        <v>16070.0</v>
      </c>
      <c r="CQ267" s="11">
        <v>898.0</v>
      </c>
      <c r="CR267" s="11">
        <v>1260.0</v>
      </c>
      <c r="CS267" s="11">
        <v>1670.0</v>
      </c>
      <c r="CT267" s="11">
        <v>3040.0</v>
      </c>
      <c r="CU267" s="11">
        <v>2530.0</v>
      </c>
      <c r="CV267" s="11">
        <v>898.0</v>
      </c>
      <c r="CW267" s="12"/>
      <c r="CX267" s="12"/>
      <c r="CY267" s="12"/>
      <c r="CZ267" s="12"/>
      <c r="DA267" s="12"/>
      <c r="DB267" s="11">
        <v>898.0</v>
      </c>
      <c r="DC267" s="11">
        <v>1260.0</v>
      </c>
      <c r="DD267" s="11">
        <v>1670.0</v>
      </c>
      <c r="DE267" s="11">
        <v>4900.0</v>
      </c>
      <c r="DF267" s="11">
        <v>4270.0</v>
      </c>
      <c r="DG267" s="11">
        <v>4630.0</v>
      </c>
      <c r="DH267" s="11">
        <v>5050.0</v>
      </c>
      <c r="DI267" s="11">
        <v>22750.0</v>
      </c>
      <c r="DJ267" s="11">
        <v>17100.0</v>
      </c>
      <c r="DK267" s="12"/>
      <c r="DL267" s="12"/>
      <c r="DM267" s="12"/>
      <c r="DN267" s="12"/>
      <c r="DO267" s="12"/>
      <c r="DP267" s="11">
        <v>3380.0</v>
      </c>
      <c r="DQ267" s="11">
        <v>3380.0</v>
      </c>
      <c r="DR267" s="11">
        <v>3380.0</v>
      </c>
      <c r="DS267" s="11">
        <v>17010.0</v>
      </c>
      <c r="DT267" s="11">
        <v>9160.0</v>
      </c>
      <c r="DU267" s="13"/>
      <c r="DV267" s="12"/>
      <c r="DW267" s="12"/>
      <c r="DX267" s="13"/>
      <c r="DY267" s="13"/>
      <c r="DZ267" s="11">
        <v>6840.0</v>
      </c>
      <c r="EA267" s="11">
        <v>4620.0</v>
      </c>
      <c r="EB267" s="11">
        <v>11230.0</v>
      </c>
      <c r="EC267" s="11">
        <v>-4000.0</v>
      </c>
      <c r="ED267" s="11">
        <v>-1030.0</v>
      </c>
      <c r="EE267" s="23"/>
      <c r="EF267" s="23"/>
      <c r="EG267" s="14">
        <v>0.378</v>
      </c>
      <c r="EH267" s="14">
        <v>0.214</v>
      </c>
    </row>
    <row r="268">
      <c r="A268" s="9">
        <f t="shared" si="2"/>
        <v>266</v>
      </c>
      <c r="B268" s="10" t="s">
        <v>402</v>
      </c>
      <c r="C268" s="11">
        <v>7240000.0</v>
      </c>
      <c r="D268" s="11">
        <v>5250000.0</v>
      </c>
      <c r="E268" s="11">
        <v>9170000.0</v>
      </c>
      <c r="F268" s="11">
        <v>9120000.0</v>
      </c>
      <c r="G268" s="11">
        <v>8850000.0</v>
      </c>
      <c r="H268" s="11">
        <v>8660000.0</v>
      </c>
      <c r="I268" s="11">
        <v>8500000.0</v>
      </c>
      <c r="J268" s="11">
        <v>2260000.0</v>
      </c>
      <c r="K268" s="11">
        <v>2240000.0</v>
      </c>
      <c r="L268" s="11">
        <v>2180000.0</v>
      </c>
      <c r="M268" s="11">
        <v>2200000.0</v>
      </c>
      <c r="N268" s="11">
        <v>2150000.0</v>
      </c>
      <c r="O268" s="11">
        <v>1240000.0</v>
      </c>
      <c r="P268" s="11">
        <v>1220000.0</v>
      </c>
      <c r="Q268" s="11">
        <v>1120000.0</v>
      </c>
      <c r="R268" s="11">
        <v>1130000.0</v>
      </c>
      <c r="S268" s="11">
        <v>1090000.0</v>
      </c>
      <c r="T268" s="12"/>
      <c r="U268" s="11"/>
      <c r="V268" s="11"/>
      <c r="W268" s="11"/>
      <c r="X268" s="11"/>
      <c r="Y268" s="11">
        <v>659000.0</v>
      </c>
      <c r="Z268" s="11">
        <v>699000.0</v>
      </c>
      <c r="AA268" s="11">
        <v>-121000.0</v>
      </c>
      <c r="AB268" s="11">
        <v>822000.0</v>
      </c>
      <c r="AC268" s="11">
        <v>835000.0</v>
      </c>
      <c r="AD268" s="11">
        <v>287000.0</v>
      </c>
      <c r="AE268" s="11">
        <v>267000.0</v>
      </c>
      <c r="AF268" s="11">
        <v>211000.0</v>
      </c>
      <c r="AG268" s="11">
        <v>279000.0</v>
      </c>
      <c r="AH268" s="11">
        <v>382000.0</v>
      </c>
      <c r="AI268" s="11">
        <v>3910000.0</v>
      </c>
      <c r="AJ268" s="11">
        <v>3000000.0</v>
      </c>
      <c r="AK268" s="11">
        <v>3040000.0</v>
      </c>
      <c r="AL268" s="11">
        <v>3020000.0</v>
      </c>
      <c r="AM268" s="11">
        <v>2950000.0</v>
      </c>
      <c r="AN268" s="11">
        <v>302000.0</v>
      </c>
      <c r="AO268" s="11">
        <v>165000.0</v>
      </c>
      <c r="AP268" s="11">
        <v>361000.0</v>
      </c>
      <c r="AQ268" s="11">
        <v>163000.0</v>
      </c>
      <c r="AR268" s="11">
        <v>313000.0</v>
      </c>
      <c r="AS268" s="11">
        <v>3570000.0</v>
      </c>
      <c r="AT268" s="11">
        <v>2610000.0</v>
      </c>
      <c r="AU268" s="11">
        <v>2650000.0</v>
      </c>
      <c r="AV268" s="11">
        <v>2630000.0</v>
      </c>
      <c r="AW268" s="11">
        <v>2580000.0</v>
      </c>
      <c r="AX268" s="11">
        <v>-1.314E7</v>
      </c>
      <c r="AY268" s="11">
        <v>-1.282E7</v>
      </c>
      <c r="AZ268" s="11">
        <v>-1.174E7</v>
      </c>
      <c r="BA268" s="11">
        <v>-1.265E7</v>
      </c>
      <c r="BB268" s="11">
        <v>-1.213E7</v>
      </c>
      <c r="BC268" s="12"/>
      <c r="BD268" s="12"/>
      <c r="BE268" s="12"/>
      <c r="BF268" s="12"/>
      <c r="BG268" s="12"/>
      <c r="BH268" s="11">
        <v>689000.0</v>
      </c>
      <c r="BI268" s="11">
        <v>620000.0</v>
      </c>
      <c r="BJ268" s="11">
        <v>618000.0</v>
      </c>
      <c r="BK268" s="11">
        <v>490000.0</v>
      </c>
      <c r="BL268" s="11">
        <v>452000.0</v>
      </c>
      <c r="BM268" s="11">
        <v>1080000.0</v>
      </c>
      <c r="BN268" s="11">
        <v>1140000.0</v>
      </c>
      <c r="BO268" s="11">
        <v>1100000.0</v>
      </c>
      <c r="BP268" s="11">
        <v>961000.0</v>
      </c>
      <c r="BQ268" s="11">
        <v>827000.0</v>
      </c>
      <c r="BR268" s="11"/>
      <c r="BS268" s="11"/>
      <c r="BT268" s="11"/>
      <c r="BU268" s="11"/>
      <c r="BV268" s="11"/>
      <c r="BW268" s="11">
        <v>2150000.0</v>
      </c>
      <c r="BX268" s="11">
        <v>2170000.0</v>
      </c>
      <c r="BY268" s="11">
        <v>2070000.0</v>
      </c>
      <c r="BZ268" s="11">
        <v>1820000.0</v>
      </c>
      <c r="CA268" s="11">
        <v>1630000.0</v>
      </c>
      <c r="CB268" s="11">
        <v>1.523E7</v>
      </c>
      <c r="CC268" s="11">
        <v>1.161E7</v>
      </c>
      <c r="CD268" s="11">
        <v>1.07E7</v>
      </c>
      <c r="CE268" s="11">
        <v>1.017E7</v>
      </c>
      <c r="CF268" s="11">
        <v>1.038E7</v>
      </c>
      <c r="CG268" s="11">
        <v>1100000.0</v>
      </c>
      <c r="CH268" s="11">
        <v>1090000.0</v>
      </c>
      <c r="CI268" s="11">
        <v>1070000.0</v>
      </c>
      <c r="CJ268" s="11">
        <v>1010000.0</v>
      </c>
      <c r="CK268" s="11">
        <v>973000.0</v>
      </c>
      <c r="CL268" s="11">
        <v>2.403E7</v>
      </c>
      <c r="CM268" s="11">
        <v>1.923E7</v>
      </c>
      <c r="CN268" s="11">
        <v>1.784E7</v>
      </c>
      <c r="CO268" s="11">
        <v>1.779E7</v>
      </c>
      <c r="CP268" s="11">
        <v>1.785E7</v>
      </c>
      <c r="CQ268" s="11">
        <v>378000.0</v>
      </c>
      <c r="CR268" s="11">
        <v>371000.0</v>
      </c>
      <c r="CS268" s="11">
        <v>359000.0</v>
      </c>
      <c r="CT268" s="11">
        <v>343000.0</v>
      </c>
      <c r="CU268" s="11">
        <v>352000.0</v>
      </c>
      <c r="CV268" s="11">
        <v>2230000.0</v>
      </c>
      <c r="CW268" s="11">
        <v>479000.0</v>
      </c>
      <c r="CX268" s="12"/>
      <c r="CY268" s="11">
        <v>26000.0</v>
      </c>
      <c r="CZ268" s="11">
        <v>279000.0</v>
      </c>
      <c r="DA268" s="12"/>
      <c r="DB268" s="11">
        <v>2230000.0</v>
      </c>
      <c r="DC268" s="11">
        <v>1720000.0</v>
      </c>
      <c r="DD268" s="11">
        <v>1650000.0</v>
      </c>
      <c r="DE268" s="11">
        <v>1770000.0</v>
      </c>
      <c r="DF268" s="11">
        <v>2.338E7</v>
      </c>
      <c r="DG268" s="11">
        <v>1.882E7</v>
      </c>
      <c r="DH268" s="11">
        <v>1.727E7</v>
      </c>
      <c r="DI268" s="11">
        <v>1.757E7</v>
      </c>
      <c r="DJ268" s="11">
        <v>1.741E7</v>
      </c>
      <c r="DK268" s="11">
        <v>275000.0</v>
      </c>
      <c r="DL268" s="11">
        <v>742000.0</v>
      </c>
      <c r="DM268" s="11">
        <v>738000.0</v>
      </c>
      <c r="DN268" s="11">
        <v>623000.0</v>
      </c>
      <c r="DO268" s="11">
        <v>656000.0</v>
      </c>
      <c r="DP268" s="11">
        <v>1.662E7</v>
      </c>
      <c r="DQ268" s="11">
        <v>1.376E7</v>
      </c>
      <c r="DR268" s="11">
        <v>1.279E7</v>
      </c>
      <c r="DS268" s="11">
        <v>1.212E7</v>
      </c>
      <c r="DT268" s="11">
        <v>1.23E7</v>
      </c>
      <c r="DU268" s="13"/>
      <c r="DV268" s="12"/>
      <c r="DW268" s="12"/>
      <c r="DX268" s="12"/>
      <c r="DY268" s="12"/>
      <c r="DZ268" s="11">
        <v>656000.0</v>
      </c>
      <c r="EA268" s="11">
        <v>414000.0</v>
      </c>
      <c r="EB268" s="11">
        <v>573000.0</v>
      </c>
      <c r="EC268" s="11">
        <v>221000.0</v>
      </c>
      <c r="ED268" s="11">
        <v>439000.0</v>
      </c>
      <c r="EE268" s="14">
        <v>0.187</v>
      </c>
      <c r="EF268" s="14">
        <v>0.124</v>
      </c>
      <c r="EG268" s="14">
        <v>0.014</v>
      </c>
      <c r="EH268" s="14">
        <v>0.132</v>
      </c>
    </row>
    <row r="269">
      <c r="A269" s="9">
        <f t="shared" si="2"/>
        <v>267</v>
      </c>
      <c r="B269" s="22" t="s">
        <v>403</v>
      </c>
      <c r="C269" s="11">
        <v>33190.0</v>
      </c>
      <c r="D269" s="11">
        <v>22230.0</v>
      </c>
      <c r="E269" s="11">
        <v>19890.0</v>
      </c>
      <c r="F269" s="11">
        <v>13470.0</v>
      </c>
      <c r="G269" s="11">
        <v>911.0</v>
      </c>
      <c r="H269" s="11">
        <v>86.0</v>
      </c>
      <c r="I269" s="11">
        <v>3800.0</v>
      </c>
      <c r="J269" s="12"/>
      <c r="K269" s="12"/>
      <c r="L269" s="12"/>
      <c r="M269" s="12"/>
      <c r="N269" s="12"/>
      <c r="O269" s="11">
        <v>130770.0</v>
      </c>
      <c r="P269" s="11">
        <v>90480.0</v>
      </c>
      <c r="Q269" s="11">
        <v>59900.0</v>
      </c>
      <c r="R269" s="11">
        <v>57020.0</v>
      </c>
      <c r="S269" s="11">
        <v>28150.0</v>
      </c>
      <c r="T269" s="11">
        <v>113710.0</v>
      </c>
      <c r="U269" s="11">
        <v>75240.0</v>
      </c>
      <c r="V269" s="11">
        <v>48110.0</v>
      </c>
      <c r="W269" s="11">
        <v>48410.0</v>
      </c>
      <c r="X269" s="11">
        <v>20770.0</v>
      </c>
      <c r="Y269" s="12"/>
      <c r="Z269" s="12"/>
      <c r="AA269" s="12"/>
      <c r="AB269" s="12"/>
      <c r="AC269" s="12"/>
      <c r="AD269" s="11">
        <v>-107190.0</v>
      </c>
      <c r="AE269" s="11">
        <v>-74400.0</v>
      </c>
      <c r="AF269" s="11">
        <v>-58330.0</v>
      </c>
      <c r="AG269" s="11">
        <v>-57750.0</v>
      </c>
      <c r="AH269" s="11">
        <v>-25090.0</v>
      </c>
      <c r="AI269" s="11">
        <v>-110880.0</v>
      </c>
      <c r="AJ269" s="11">
        <v>-77010.0</v>
      </c>
      <c r="AK269" s="11">
        <v>-58990.0</v>
      </c>
      <c r="AL269" s="11">
        <v>-56940.0</v>
      </c>
      <c r="AM269" s="11">
        <v>-24350.0</v>
      </c>
      <c r="AN269" s="11">
        <v>-106370.0</v>
      </c>
      <c r="AO269" s="11">
        <v>-74010.0</v>
      </c>
      <c r="AP269" s="11">
        <v>-58130.0</v>
      </c>
      <c r="AQ269" s="11">
        <v>-57280.0</v>
      </c>
      <c r="AR269" s="11">
        <v>-24690.0</v>
      </c>
      <c r="AS269" s="11">
        <v>-108350.0</v>
      </c>
      <c r="AT269" s="11">
        <v>-22300.0</v>
      </c>
      <c r="AU269" s="11">
        <v>-54830.0</v>
      </c>
      <c r="AV269" s="11">
        <v>-47380.0</v>
      </c>
      <c r="AW269" s="11">
        <v>-21480.0</v>
      </c>
      <c r="AX269" s="11">
        <v>-18.0</v>
      </c>
      <c r="AY269" s="11">
        <v>-73.0</v>
      </c>
      <c r="AZ269" s="11">
        <v>-58.0</v>
      </c>
      <c r="BA269" s="11">
        <v>-717.0</v>
      </c>
      <c r="BB269" s="11">
        <v>-20.0</v>
      </c>
      <c r="BC269" s="12"/>
      <c r="BD269" s="12"/>
      <c r="BE269" s="12"/>
      <c r="BF269" s="12"/>
      <c r="BG269" s="12"/>
      <c r="BH269" s="11">
        <v>155010.0</v>
      </c>
      <c r="BI269" s="11">
        <v>161740.0</v>
      </c>
      <c r="BJ269" s="11">
        <v>92570.0</v>
      </c>
      <c r="BK269" s="11">
        <v>58980.0</v>
      </c>
      <c r="BL269" s="11">
        <v>106740.0</v>
      </c>
      <c r="BM269" s="11">
        <v>1790.0</v>
      </c>
      <c r="BN269" s="11">
        <v>1590.0</v>
      </c>
      <c r="BO269" s="11">
        <v>854.0</v>
      </c>
      <c r="BP269" s="11">
        <v>939.0</v>
      </c>
      <c r="BQ269" s="11">
        <v>464.0</v>
      </c>
      <c r="BR269" s="12"/>
      <c r="BS269" s="12"/>
      <c r="BT269" s="12"/>
      <c r="BU269" s="12"/>
      <c r="BV269" s="12"/>
      <c r="BW269" s="11">
        <v>165660.0</v>
      </c>
      <c r="BX269" s="11">
        <v>168140.0</v>
      </c>
      <c r="BY269" s="11">
        <v>95060.0</v>
      </c>
      <c r="BZ269" s="11">
        <v>61450.0</v>
      </c>
      <c r="CA269" s="11">
        <v>108930.0</v>
      </c>
      <c r="CB269" s="11">
        <v>3740.0</v>
      </c>
      <c r="CC269" s="11">
        <v>880.0</v>
      </c>
      <c r="CD269" s="11">
        <v>1180.0</v>
      </c>
      <c r="CE269" s="11">
        <v>1610.0</v>
      </c>
      <c r="CF269" s="11">
        <v>1260.0</v>
      </c>
      <c r="CG269" s="12"/>
      <c r="CH269" s="12"/>
      <c r="CI269" s="12"/>
      <c r="CJ269" s="12"/>
      <c r="CK269" s="12"/>
      <c r="CL269" s="11">
        <v>232960.0</v>
      </c>
      <c r="CM269" s="11">
        <v>190820.0</v>
      </c>
      <c r="CN269" s="11">
        <v>97000.0</v>
      </c>
      <c r="CO269" s="11">
        <v>63830.0</v>
      </c>
      <c r="CP269" s="11">
        <v>110900.0</v>
      </c>
      <c r="CQ269" s="11">
        <v>9100.0</v>
      </c>
      <c r="CR269" s="11">
        <v>4370.0</v>
      </c>
      <c r="CS269" s="11">
        <v>3830.0</v>
      </c>
      <c r="CT269" s="11">
        <v>4740.0</v>
      </c>
      <c r="CU269" s="11">
        <v>1970.0</v>
      </c>
      <c r="CV269" s="11">
        <v>42890.0</v>
      </c>
      <c r="CW269" s="11">
        <v>967.0</v>
      </c>
      <c r="CX269" s="12"/>
      <c r="CY269" s="12"/>
      <c r="CZ269" s="12"/>
      <c r="DA269" s="12"/>
      <c r="DB269" s="11">
        <v>42890.0</v>
      </c>
      <c r="DC269" s="11">
        <v>40450.0</v>
      </c>
      <c r="DD269" s="11">
        <v>8510.0</v>
      </c>
      <c r="DE269" s="11">
        <v>11530.0</v>
      </c>
      <c r="DF269" s="11">
        <v>46250.0</v>
      </c>
      <c r="DG269" s="11">
        <v>57190.0</v>
      </c>
      <c r="DH269" s="11">
        <v>10220.0</v>
      </c>
      <c r="DI269" s="11">
        <v>13100.0</v>
      </c>
      <c r="DJ269" s="11">
        <v>5850.0</v>
      </c>
      <c r="DK269" s="11">
        <v>63570.0</v>
      </c>
      <c r="DL269" s="11">
        <v>21800.0</v>
      </c>
      <c r="DM269" s="11">
        <v>769.0</v>
      </c>
      <c r="DN269" s="11">
        <v>769.0</v>
      </c>
      <c r="DO269" s="11">
        <v>700.0</v>
      </c>
      <c r="DP269" s="11">
        <v>3350.0</v>
      </c>
      <c r="DQ269" s="12"/>
      <c r="DR269" s="12"/>
      <c r="DS269" s="12"/>
      <c r="DT269" s="12"/>
      <c r="DU269" s="13"/>
      <c r="DV269" s="13"/>
      <c r="DW269" s="13"/>
      <c r="DX269" s="13"/>
      <c r="DY269" s="13"/>
      <c r="DZ269" s="11">
        <v>186710.0</v>
      </c>
      <c r="EA269" s="11">
        <v>133630.0</v>
      </c>
      <c r="EB269" s="11">
        <v>86780.0</v>
      </c>
      <c r="EC269" s="11">
        <v>50730.0</v>
      </c>
      <c r="ED269" s="11">
        <v>105040.0</v>
      </c>
      <c r="EE269" s="14">
        <v>0.189</v>
      </c>
      <c r="EF269" s="14">
        <v>1.006</v>
      </c>
      <c r="EG269" s="14">
        <v>0.194</v>
      </c>
      <c r="EH269" s="14">
        <v>-0.002</v>
      </c>
    </row>
    <row r="270">
      <c r="A270" s="9">
        <f t="shared" si="2"/>
        <v>268</v>
      </c>
      <c r="B270" s="22" t="s">
        <v>404</v>
      </c>
      <c r="C270" s="11">
        <v>19640.0</v>
      </c>
      <c r="D270" s="11">
        <v>12680.0</v>
      </c>
      <c r="E270" s="11">
        <v>4130.0</v>
      </c>
      <c r="F270" s="12"/>
      <c r="G270" s="12"/>
      <c r="H270" s="12"/>
      <c r="I270" s="11">
        <v>48.0</v>
      </c>
      <c r="J270" s="11">
        <v>-1350.0</v>
      </c>
      <c r="K270" s="11">
        <v>-1670.0</v>
      </c>
      <c r="L270" s="11">
        <v>-118.0</v>
      </c>
      <c r="M270" s="11">
        <v>-66.0</v>
      </c>
      <c r="N270" s="11">
        <v>-27.0</v>
      </c>
      <c r="O270" s="11">
        <v>38640.0</v>
      </c>
      <c r="P270" s="11">
        <v>24830.0</v>
      </c>
      <c r="Q270" s="11">
        <v>10630.0</v>
      </c>
      <c r="R270" s="11">
        <v>9350.0</v>
      </c>
      <c r="S270" s="11">
        <v>7130.0</v>
      </c>
      <c r="T270" s="11">
        <v>8200.0</v>
      </c>
      <c r="U270" s="11">
        <v>7200.0</v>
      </c>
      <c r="V270" s="11">
        <v>7600.0</v>
      </c>
      <c r="W270" s="11">
        <v>4650.0</v>
      </c>
      <c r="X270" s="11">
        <v>4080.0</v>
      </c>
      <c r="Y270" s="11">
        <v>-47630.0</v>
      </c>
      <c r="Z270" s="11">
        <v>-27510.0</v>
      </c>
      <c r="AA270" s="11">
        <v>-10770.0</v>
      </c>
      <c r="AB270" s="11">
        <v>-9430.0</v>
      </c>
      <c r="AC270" s="11">
        <v>-7120.0</v>
      </c>
      <c r="AD270" s="11">
        <v>-45360.0</v>
      </c>
      <c r="AE270" s="11">
        <v>-27470.0</v>
      </c>
      <c r="AF270" s="11">
        <v>-10770.0</v>
      </c>
      <c r="AG270" s="11">
        <v>-9450.0</v>
      </c>
      <c r="AH270" s="11">
        <v>-7210.0</v>
      </c>
      <c r="AI270" s="11">
        <v>-37840.0</v>
      </c>
      <c r="AJ270" s="11">
        <v>-24830.0</v>
      </c>
      <c r="AK270" s="11">
        <v>-10630.0</v>
      </c>
      <c r="AL270" s="11">
        <v>-9350.0</v>
      </c>
      <c r="AM270" s="11">
        <v>-7080.0</v>
      </c>
      <c r="AN270" s="11">
        <v>-46030.0</v>
      </c>
      <c r="AO270" s="11">
        <v>-27470.0</v>
      </c>
      <c r="AP270" s="11">
        <v>-10770.0</v>
      </c>
      <c r="AQ270" s="11">
        <v>-9450.0</v>
      </c>
      <c r="AR270" s="11">
        <v>-7210.0</v>
      </c>
      <c r="AS270" s="11">
        <v>-23450.0</v>
      </c>
      <c r="AT270" s="11">
        <v>-28580.0</v>
      </c>
      <c r="AU270" s="11">
        <v>-6400.0</v>
      </c>
      <c r="AV270" s="11">
        <v>-6020.0</v>
      </c>
      <c r="AW270" s="11">
        <v>-5510.0</v>
      </c>
      <c r="AX270" s="11">
        <v>-7050.0</v>
      </c>
      <c r="AY270" s="11">
        <v>-1130.0</v>
      </c>
      <c r="AZ270" s="11">
        <v>-935.0</v>
      </c>
      <c r="BA270" s="11">
        <v>-223.0</v>
      </c>
      <c r="BB270" s="11">
        <v>-25.0</v>
      </c>
      <c r="BC270" s="12"/>
      <c r="BD270" s="12"/>
      <c r="BE270" s="12"/>
      <c r="BF270" s="12"/>
      <c r="BG270" s="12"/>
      <c r="BH270" s="11">
        <v>54250.0</v>
      </c>
      <c r="BI270" s="11">
        <v>85120.0</v>
      </c>
      <c r="BJ270" s="11">
        <v>43490.0</v>
      </c>
      <c r="BK270" s="11">
        <v>27090.0</v>
      </c>
      <c r="BL270" s="11">
        <v>5130.0</v>
      </c>
      <c r="BM270" s="11">
        <v>1290.0</v>
      </c>
      <c r="BN270" s="12"/>
      <c r="BO270" s="12"/>
      <c r="BP270" s="12"/>
      <c r="BQ270" s="12"/>
      <c r="BR270" s="11">
        <v>4540.0</v>
      </c>
      <c r="BS270" s="11">
        <v>283.0</v>
      </c>
      <c r="BT270" s="12"/>
      <c r="BU270" s="12"/>
      <c r="BV270" s="12"/>
      <c r="BW270" s="11">
        <v>61500.0</v>
      </c>
      <c r="BX270" s="11">
        <v>92560.0</v>
      </c>
      <c r="BY270" s="11">
        <v>43810.0</v>
      </c>
      <c r="BZ270" s="11">
        <v>27450.0</v>
      </c>
      <c r="CA270" s="11">
        <v>5570.0</v>
      </c>
      <c r="CB270" s="11">
        <v>9690.0</v>
      </c>
      <c r="CC270" s="11">
        <v>1750.0</v>
      </c>
      <c r="CD270" s="11">
        <v>1050.0</v>
      </c>
      <c r="CE270" s="11">
        <v>230.0</v>
      </c>
      <c r="CF270" s="11">
        <v>219.0</v>
      </c>
      <c r="CG270" s="12"/>
      <c r="CH270" s="12"/>
      <c r="CI270" s="12"/>
      <c r="CJ270" s="12"/>
      <c r="CK270" s="12"/>
      <c r="CL270" s="11">
        <v>102630.0</v>
      </c>
      <c r="CM270" s="11">
        <v>113410.0</v>
      </c>
      <c r="CN270" s="11">
        <v>45100.0</v>
      </c>
      <c r="CO270" s="11">
        <v>27710.0</v>
      </c>
      <c r="CP270" s="11">
        <v>5830.0</v>
      </c>
      <c r="CQ270" s="11">
        <v>5110.0</v>
      </c>
      <c r="CR270" s="11">
        <v>968.0</v>
      </c>
      <c r="CS270" s="11">
        <v>2090.0</v>
      </c>
      <c r="CT270" s="11">
        <v>1060.0</v>
      </c>
      <c r="CU270" s="11">
        <v>884.0</v>
      </c>
      <c r="CV270" s="11">
        <v>7950.0</v>
      </c>
      <c r="CW270" s="11">
        <v>1180.0</v>
      </c>
      <c r="CX270" s="12"/>
      <c r="CY270" s="12"/>
      <c r="CZ270" s="12"/>
      <c r="DA270" s="12"/>
      <c r="DB270" s="11">
        <v>7950.0</v>
      </c>
      <c r="DC270" s="11">
        <v>3870.0</v>
      </c>
      <c r="DD270" s="11">
        <v>5060.0</v>
      </c>
      <c r="DE270" s="11">
        <v>1320.0</v>
      </c>
      <c r="DF270" s="11">
        <v>8970.0</v>
      </c>
      <c r="DG270" s="11">
        <v>3950.0</v>
      </c>
      <c r="DH270" s="11">
        <v>6560.0</v>
      </c>
      <c r="DI270" s="11">
        <v>6930.0</v>
      </c>
      <c r="DJ270" s="11">
        <v>11910.0</v>
      </c>
      <c r="DK270" s="11">
        <v>14040.0</v>
      </c>
      <c r="DL270" s="12"/>
      <c r="DM270" s="12"/>
      <c r="DN270" s="12"/>
      <c r="DO270" s="12"/>
      <c r="DP270" s="11">
        <v>1020.0</v>
      </c>
      <c r="DQ270" s="12"/>
      <c r="DR270" s="11">
        <v>1500.0</v>
      </c>
      <c r="DS270" s="11">
        <v>1490.0</v>
      </c>
      <c r="DT270" s="11">
        <v>1460.0</v>
      </c>
      <c r="DU270" s="13"/>
      <c r="DV270" s="12"/>
      <c r="DW270" s="12"/>
      <c r="DX270" s="13"/>
      <c r="DY270" s="13"/>
      <c r="DZ270" s="11">
        <v>73000.0</v>
      </c>
      <c r="EA270" s="11">
        <v>109460.0</v>
      </c>
      <c r="EB270" s="11">
        <v>38540.0</v>
      </c>
      <c r="EC270" s="11">
        <v>20780.0</v>
      </c>
      <c r="ED270" s="11">
        <v>-6090.0</v>
      </c>
      <c r="EE270" s="14">
        <v>0.186</v>
      </c>
      <c r="EF270" s="14">
        <v>0.057</v>
      </c>
      <c r="EG270" s="14">
        <v>-0.125</v>
      </c>
      <c r="EH270" s="14">
        <v>0.014</v>
      </c>
    </row>
    <row r="271">
      <c r="A271" s="9">
        <f t="shared" si="2"/>
        <v>269</v>
      </c>
      <c r="B271" s="10" t="s">
        <v>405</v>
      </c>
      <c r="C271" s="11">
        <v>9670000.0</v>
      </c>
      <c r="D271" s="11">
        <v>8540000.0</v>
      </c>
      <c r="E271" s="11">
        <v>9180000.0</v>
      </c>
      <c r="F271" s="11">
        <v>9350000.0</v>
      </c>
      <c r="G271" s="11">
        <v>8390000.0</v>
      </c>
      <c r="H271" s="11">
        <v>7510000.0</v>
      </c>
      <c r="I271" s="11">
        <v>7120000.0</v>
      </c>
      <c r="J271" s="11">
        <v>1890000.0</v>
      </c>
      <c r="K271" s="11">
        <v>1710000.0</v>
      </c>
      <c r="L271" s="11">
        <v>1550000.0</v>
      </c>
      <c r="M271" s="11">
        <v>1480000.0</v>
      </c>
      <c r="N271" s="11">
        <v>1440000.0</v>
      </c>
      <c r="O271" s="11">
        <v>1490000.0</v>
      </c>
      <c r="P271" s="11">
        <v>1390000.0</v>
      </c>
      <c r="Q271" s="11">
        <v>1280000.0</v>
      </c>
      <c r="R271" s="11">
        <v>1170000.0</v>
      </c>
      <c r="S271" s="11">
        <v>1050000.0</v>
      </c>
      <c r="T271" s="12"/>
      <c r="U271" s="12"/>
      <c r="V271" s="12"/>
      <c r="W271" s="12"/>
      <c r="X271" s="12"/>
      <c r="Y271" s="11">
        <v>397790.0</v>
      </c>
      <c r="Z271" s="11">
        <v>319060.0</v>
      </c>
      <c r="AA271" s="11">
        <v>265380.0</v>
      </c>
      <c r="AB271" s="11">
        <v>311200.0</v>
      </c>
      <c r="AC271" s="11">
        <v>388880.0</v>
      </c>
      <c r="AD271" s="11">
        <v>342050.0</v>
      </c>
      <c r="AE271" s="11">
        <v>263400.0</v>
      </c>
      <c r="AF271" s="11">
        <v>214440.0</v>
      </c>
      <c r="AG271" s="11">
        <v>269670.0</v>
      </c>
      <c r="AH271" s="11">
        <v>348710.0</v>
      </c>
      <c r="AI271" s="11">
        <v>650140.0</v>
      </c>
      <c r="AJ271" s="11">
        <v>564610.0</v>
      </c>
      <c r="AK271" s="11">
        <v>486850.0</v>
      </c>
      <c r="AL271" s="11">
        <v>509540.0</v>
      </c>
      <c r="AM271" s="11">
        <v>561440.0</v>
      </c>
      <c r="AN271" s="11">
        <v>263850.0</v>
      </c>
      <c r="AO271" s="11">
        <v>203890.0</v>
      </c>
      <c r="AP271" s="11">
        <v>317900.0</v>
      </c>
      <c r="AQ271" s="11">
        <v>177490.0</v>
      </c>
      <c r="AR271" s="11">
        <v>225980.0</v>
      </c>
      <c r="AS271" s="11">
        <v>504310.0</v>
      </c>
      <c r="AT271" s="11">
        <v>530610.0</v>
      </c>
      <c r="AU271" s="11">
        <v>419800.0</v>
      </c>
      <c r="AV271" s="11">
        <v>459270.0</v>
      </c>
      <c r="AW271" s="11">
        <v>464710.0</v>
      </c>
      <c r="AX271" s="11">
        <v>-438980.0</v>
      </c>
      <c r="AY271" s="11">
        <v>-394700.0</v>
      </c>
      <c r="AZ271" s="11">
        <v>-577420.0</v>
      </c>
      <c r="BA271" s="11">
        <v>-433390.0</v>
      </c>
      <c r="BB271" s="11">
        <v>-392840.0</v>
      </c>
      <c r="BC271" s="11">
        <v>-45950.0</v>
      </c>
      <c r="BD271" s="11">
        <v>-41430.0</v>
      </c>
      <c r="BE271" s="11">
        <v>-38780.0</v>
      </c>
      <c r="BF271" s="11">
        <v>-36760.0</v>
      </c>
      <c r="BG271" s="11">
        <v>-33530.0</v>
      </c>
      <c r="BH271" s="11">
        <v>78280.0</v>
      </c>
      <c r="BI271" s="11">
        <v>63300.0</v>
      </c>
      <c r="BJ271" s="11">
        <v>53680.0</v>
      </c>
      <c r="BK271" s="11">
        <v>76720.0</v>
      </c>
      <c r="BL271" s="11">
        <v>75780.0</v>
      </c>
      <c r="BM271" s="11">
        <v>63170.0</v>
      </c>
      <c r="BN271" s="11">
        <v>66750.0</v>
      </c>
      <c r="BO271" s="11">
        <v>95730.0</v>
      </c>
      <c r="BP271" s="11">
        <v>63150.0</v>
      </c>
      <c r="BQ271" s="11">
        <v>42110.0</v>
      </c>
      <c r="BR271" s="11">
        <v>236010.0</v>
      </c>
      <c r="BS271" s="11">
        <v>273040.0</v>
      </c>
      <c r="BT271" s="11">
        <v>241670.0</v>
      </c>
      <c r="BU271" s="11">
        <v>201640.0</v>
      </c>
      <c r="BV271" s="11">
        <v>204990.0</v>
      </c>
      <c r="BW271" s="11">
        <v>387250.0</v>
      </c>
      <c r="BX271" s="11">
        <v>410580.0</v>
      </c>
      <c r="BY271" s="11">
        <v>396840.0</v>
      </c>
      <c r="BZ271" s="11">
        <v>350690.0</v>
      </c>
      <c r="CA271" s="11">
        <v>325890.0</v>
      </c>
      <c r="CB271" s="11">
        <v>3340000.0</v>
      </c>
      <c r="CC271" s="11">
        <v>3110000.0</v>
      </c>
      <c r="CD271" s="11">
        <v>2900000.0</v>
      </c>
      <c r="CE271" s="11">
        <v>2510000.0</v>
      </c>
      <c r="CF271" s="11">
        <v>2250000.0</v>
      </c>
      <c r="CG271" s="11">
        <v>161080.0</v>
      </c>
      <c r="CH271" s="11">
        <v>157220.0</v>
      </c>
      <c r="CI271" s="11">
        <v>140260.0</v>
      </c>
      <c r="CJ271" s="11">
        <v>132810.0</v>
      </c>
      <c r="CK271" s="11">
        <v>128570.0</v>
      </c>
      <c r="CL271" s="11">
        <v>4010000.0</v>
      </c>
      <c r="CM271" s="11">
        <v>3790000.0</v>
      </c>
      <c r="CN271" s="11">
        <v>3530000.0</v>
      </c>
      <c r="CO271" s="11">
        <v>3070000.0</v>
      </c>
      <c r="CP271" s="11">
        <v>2780000.0</v>
      </c>
      <c r="CQ271" s="11">
        <v>184800.0</v>
      </c>
      <c r="CR271" s="11">
        <v>335240.0</v>
      </c>
      <c r="CS271" s="11">
        <v>321420.0</v>
      </c>
      <c r="CT271" s="11">
        <v>293900.0</v>
      </c>
      <c r="CU271" s="11">
        <v>241210.0</v>
      </c>
      <c r="CV271" s="11">
        <v>1060000.0</v>
      </c>
      <c r="CW271" s="11">
        <v>121830.0</v>
      </c>
      <c r="CX271" s="11">
        <v>75000.0</v>
      </c>
      <c r="CY271" s="11">
        <v>39600.0</v>
      </c>
      <c r="CZ271" s="24">
        <v>900.0</v>
      </c>
      <c r="DA271" s="12"/>
      <c r="DB271" s="11">
        <v>1060000.0</v>
      </c>
      <c r="DC271" s="11">
        <v>590930.0</v>
      </c>
      <c r="DD271" s="11">
        <v>507850.0</v>
      </c>
      <c r="DE271" s="11">
        <v>446550.0</v>
      </c>
      <c r="DF271" s="11">
        <v>2370000.0</v>
      </c>
      <c r="DG271" s="11">
        <v>2380000.0</v>
      </c>
      <c r="DH271" s="11">
        <v>2260000.0</v>
      </c>
      <c r="DI271" s="11">
        <v>1880000.0</v>
      </c>
      <c r="DJ271" s="11">
        <v>1700000.0</v>
      </c>
      <c r="DK271" s="11"/>
      <c r="DL271" s="11"/>
      <c r="DM271" s="11"/>
      <c r="DN271" s="11"/>
      <c r="DO271" s="11"/>
      <c r="DP271" s="11">
        <v>734270.0</v>
      </c>
      <c r="DQ271" s="11">
        <v>1280000.0</v>
      </c>
      <c r="DR271" s="11">
        <v>1290000.0</v>
      </c>
      <c r="DS271" s="11">
        <v>907360.0</v>
      </c>
      <c r="DT271" s="11">
        <v>822870.0</v>
      </c>
      <c r="DU271" s="13"/>
      <c r="DV271" s="12"/>
      <c r="DW271" s="12"/>
      <c r="DX271" s="12"/>
      <c r="DY271" s="12"/>
      <c r="DZ271" s="11">
        <v>1640000.0</v>
      </c>
      <c r="EA271" s="11">
        <v>1410000.0</v>
      </c>
      <c r="EB271" s="11">
        <v>1270000.0</v>
      </c>
      <c r="EC271" s="11">
        <v>1190000.0</v>
      </c>
      <c r="ED271" s="11">
        <v>1080000.0</v>
      </c>
      <c r="EE271" s="14">
        <v>0.193</v>
      </c>
      <c r="EF271" s="14">
        <v>0.198</v>
      </c>
      <c r="EG271" s="14">
        <v>-0.067</v>
      </c>
      <c r="EH271" s="14">
        <v>0.032</v>
      </c>
    </row>
    <row r="272">
      <c r="A272" s="9">
        <f t="shared" si="2"/>
        <v>270</v>
      </c>
      <c r="B272" s="10" t="s">
        <v>406</v>
      </c>
      <c r="C272" s="11">
        <v>4.432E7</v>
      </c>
      <c r="D272" s="11">
        <v>4.083E7</v>
      </c>
      <c r="E272" s="11">
        <v>5.379E7</v>
      </c>
      <c r="F272" s="11">
        <v>5.472E7</v>
      </c>
      <c r="G272" s="11">
        <v>4.546E7</v>
      </c>
      <c r="H272" s="11">
        <v>3.854E7</v>
      </c>
      <c r="I272" s="11">
        <v>4.701E7</v>
      </c>
      <c r="J272" s="11">
        <v>1.569E7</v>
      </c>
      <c r="K272" s="11">
        <v>1.635E7</v>
      </c>
      <c r="L272" s="11">
        <v>1.291E7</v>
      </c>
      <c r="M272" s="11">
        <v>9060000.0</v>
      </c>
      <c r="N272" s="11">
        <v>1.21E7</v>
      </c>
      <c r="O272" s="11">
        <v>6860000.0</v>
      </c>
      <c r="P272" s="11">
        <v>7330000.0</v>
      </c>
      <c r="Q272" s="11">
        <v>6840000.0</v>
      </c>
      <c r="R272" s="11">
        <v>6640000.0</v>
      </c>
      <c r="S272" s="11">
        <v>7070000.0</v>
      </c>
      <c r="T272" s="11">
        <v>1690000.0</v>
      </c>
      <c r="U272" s="11">
        <v>1850000.0</v>
      </c>
      <c r="V272" s="11">
        <v>1840000.0</v>
      </c>
      <c r="W272" s="11">
        <v>1950000.0</v>
      </c>
      <c r="X272" s="11">
        <v>2120000.0</v>
      </c>
      <c r="Y272" s="11">
        <v>8250000.0</v>
      </c>
      <c r="Z272" s="11">
        <v>8210000.0</v>
      </c>
      <c r="AA272" s="11">
        <v>-1150000.0</v>
      </c>
      <c r="AB272" s="11">
        <v>490000.0</v>
      </c>
      <c r="AC272" s="11">
        <v>-986000.0</v>
      </c>
      <c r="AD272" s="11">
        <v>7810000.0</v>
      </c>
      <c r="AE272" s="11">
        <v>7820000.0</v>
      </c>
      <c r="AF272" s="11">
        <v>4080000.0</v>
      </c>
      <c r="AG272" s="11">
        <v>139000.0</v>
      </c>
      <c r="AH272" s="11">
        <v>3440000.0</v>
      </c>
      <c r="AI272" s="11">
        <v>1.107E7</v>
      </c>
      <c r="AJ272" s="11">
        <v>1.143E7</v>
      </c>
      <c r="AK272" s="11">
        <v>8560000.0</v>
      </c>
      <c r="AL272" s="11">
        <v>5150000.0</v>
      </c>
      <c r="AM272" s="11">
        <v>7730000.0</v>
      </c>
      <c r="AN272" s="11">
        <v>6090000.0</v>
      </c>
      <c r="AO272" s="11">
        <v>6150000.0</v>
      </c>
      <c r="AP272" s="11">
        <v>754000.0</v>
      </c>
      <c r="AQ272" s="11">
        <v>-67000.0</v>
      </c>
      <c r="AR272" s="11">
        <v>2510000.0</v>
      </c>
      <c r="AS272" s="11">
        <v>6910000.0</v>
      </c>
      <c r="AT272" s="11">
        <v>6560000.0</v>
      </c>
      <c r="AU272" s="11">
        <v>5710000.0</v>
      </c>
      <c r="AV272" s="11">
        <v>5610000.0</v>
      </c>
      <c r="AW272" s="11">
        <v>6680000.0</v>
      </c>
      <c r="AX272" s="11">
        <v>-2670000.0</v>
      </c>
      <c r="AY272" s="11">
        <v>-2920000.0</v>
      </c>
      <c r="AZ272" s="11">
        <v>-2340000.0</v>
      </c>
      <c r="BA272" s="11">
        <v>-2930000.0</v>
      </c>
      <c r="BB272" s="11">
        <v>-3260000.0</v>
      </c>
      <c r="BC272" s="11">
        <v>-2130000.0</v>
      </c>
      <c r="BD272" s="11">
        <v>-1950000.0</v>
      </c>
      <c r="BE272" s="11">
        <v>-1830000.0</v>
      </c>
      <c r="BF272" s="11">
        <v>-1800000.0</v>
      </c>
      <c r="BG272" s="11">
        <v>-1760000.0</v>
      </c>
      <c r="BH272" s="11">
        <v>8290000.0</v>
      </c>
      <c r="BI272" s="11">
        <v>7890000.0</v>
      </c>
      <c r="BJ272" s="11">
        <v>8460000.0</v>
      </c>
      <c r="BK272" s="11">
        <v>7200000.0</v>
      </c>
      <c r="BL272" s="11">
        <v>6510000.0</v>
      </c>
      <c r="BM272" s="11">
        <v>1.79E7</v>
      </c>
      <c r="BN272" s="11">
        <v>1.745E7</v>
      </c>
      <c r="BO272" s="11">
        <v>1.619E7</v>
      </c>
      <c r="BP272" s="11">
        <v>1.45E7</v>
      </c>
      <c r="BQ272" s="11">
        <v>1.569E7</v>
      </c>
      <c r="BR272" s="11">
        <v>1.127E7</v>
      </c>
      <c r="BS272" s="11">
        <v>1.153E7</v>
      </c>
      <c r="BT272" s="11">
        <v>1.002E7</v>
      </c>
      <c r="BU272" s="11">
        <v>8610000.0</v>
      </c>
      <c r="BV272" s="11">
        <v>9700000.0</v>
      </c>
      <c r="BW272" s="11">
        <v>3.919E7</v>
      </c>
      <c r="BX272" s="11">
        <v>3.86E7</v>
      </c>
      <c r="BY272" s="11">
        <v>3.624E7</v>
      </c>
      <c r="BZ272" s="11">
        <v>3.197E7</v>
      </c>
      <c r="CA272" s="11">
        <v>3.351E7</v>
      </c>
      <c r="CB272" s="11">
        <v>1.353E7</v>
      </c>
      <c r="CC272" s="11">
        <v>1.357E7</v>
      </c>
      <c r="CD272" s="11">
        <v>1.416E7</v>
      </c>
      <c r="CE272" s="11">
        <v>1.532E7</v>
      </c>
      <c r="CF272" s="11">
        <v>1.609E7</v>
      </c>
      <c r="CG272" s="11">
        <v>6200000.0</v>
      </c>
      <c r="CH272" s="11">
        <v>6220000.0</v>
      </c>
      <c r="CI272" s="11">
        <v>6200000.0</v>
      </c>
      <c r="CJ272" s="11">
        <v>6020000.0</v>
      </c>
      <c r="CK272" s="11">
        <v>6620000.0</v>
      </c>
      <c r="CL272" s="11">
        <v>7.845E7</v>
      </c>
      <c r="CM272" s="11">
        <v>7.851E7</v>
      </c>
      <c r="CN272" s="11">
        <v>7.696E7</v>
      </c>
      <c r="CO272" s="11">
        <v>7.47E7</v>
      </c>
      <c r="CP272" s="11">
        <v>7.834E7</v>
      </c>
      <c r="CQ272" s="11">
        <v>5960000.0</v>
      </c>
      <c r="CR272" s="11">
        <v>7050000.0</v>
      </c>
      <c r="CS272" s="11">
        <v>6490000.0</v>
      </c>
      <c r="CT272" s="11">
        <v>4610000.0</v>
      </c>
      <c r="CU272" s="11">
        <v>5020000.0</v>
      </c>
      <c r="CV272" s="11">
        <v>2.662E7</v>
      </c>
      <c r="CW272" s="11">
        <v>5340000.0</v>
      </c>
      <c r="CX272" s="11">
        <v>5720000.0</v>
      </c>
      <c r="CY272" s="11">
        <v>4840000.0</v>
      </c>
      <c r="CZ272" s="11">
        <v>7300000.0</v>
      </c>
      <c r="DA272" s="11">
        <v>6970000.0</v>
      </c>
      <c r="DB272" s="11">
        <v>2.662E7</v>
      </c>
      <c r="DC272" s="11">
        <v>2.822E7</v>
      </c>
      <c r="DD272" s="11">
        <v>2.693E7</v>
      </c>
      <c r="DE272" s="11">
        <v>2.613E7</v>
      </c>
      <c r="DF272" s="11">
        <v>6.382E7</v>
      </c>
      <c r="DG272" s="11">
        <v>6.443E7</v>
      </c>
      <c r="DH272" s="11">
        <v>6.32E7</v>
      </c>
      <c r="DI272" s="11">
        <v>6.149E7</v>
      </c>
      <c r="DJ272" s="11">
        <v>6.346E7</v>
      </c>
      <c r="DK272" s="11">
        <v>1760000.0</v>
      </c>
      <c r="DL272" s="11">
        <v>1610000.0</v>
      </c>
      <c r="DM272" s="11">
        <v>1480000.0</v>
      </c>
      <c r="DN272" s="11">
        <v>1620000.0</v>
      </c>
      <c r="DO272" s="11">
        <v>1880000.0</v>
      </c>
      <c r="DP272" s="11">
        <v>2.674E7</v>
      </c>
      <c r="DQ272" s="11">
        <v>2.5E7</v>
      </c>
      <c r="DR272" s="11">
        <v>2.385E7</v>
      </c>
      <c r="DS272" s="11">
        <v>2.282E7</v>
      </c>
      <c r="DT272" s="11">
        <v>2.517E7</v>
      </c>
      <c r="DU272" s="13"/>
      <c r="DV272" s="12"/>
      <c r="DW272" s="12"/>
      <c r="DX272" s="13"/>
      <c r="DY272" s="13"/>
      <c r="DZ272" s="11">
        <v>1.459E7</v>
      </c>
      <c r="EA272" s="11">
        <v>1.404E7</v>
      </c>
      <c r="EB272" s="11">
        <v>1.37E7</v>
      </c>
      <c r="EC272" s="11">
        <v>1.314E7</v>
      </c>
      <c r="ED272" s="11">
        <v>1.481E7</v>
      </c>
      <c r="EE272" s="14">
        <v>0.156</v>
      </c>
      <c r="EF272" s="14">
        <v>0.233</v>
      </c>
      <c r="EG272" s="14">
        <v>-0.053</v>
      </c>
      <c r="EH272" s="14">
        <v>-0.028</v>
      </c>
    </row>
    <row r="273">
      <c r="A273" s="9">
        <f t="shared" si="2"/>
        <v>271</v>
      </c>
      <c r="B273" s="22" t="s">
        <v>407</v>
      </c>
      <c r="C273" s="11">
        <v>6750.0</v>
      </c>
      <c r="D273" s="12"/>
      <c r="E273" s="12"/>
      <c r="F273" s="12"/>
      <c r="G273" s="11">
        <v>500.0</v>
      </c>
      <c r="H273" s="12"/>
      <c r="I273" s="12"/>
      <c r="J273" s="11">
        <v>-26.0</v>
      </c>
      <c r="K273" s="11">
        <v>-119.0</v>
      </c>
      <c r="L273" s="12"/>
      <c r="M273" s="11">
        <v>-395.0</v>
      </c>
      <c r="N273" s="11">
        <v>-202.0</v>
      </c>
      <c r="O273" s="11">
        <v>27060.0</v>
      </c>
      <c r="P273" s="11">
        <v>25350.0</v>
      </c>
      <c r="Q273" s="11">
        <v>27290.0</v>
      </c>
      <c r="R273" s="11">
        <v>35160.0</v>
      </c>
      <c r="S273" s="11">
        <v>31460.0</v>
      </c>
      <c r="T273" s="11">
        <v>18320.0</v>
      </c>
      <c r="U273" s="11">
        <v>16540.0</v>
      </c>
      <c r="V273" s="11">
        <v>18680.0</v>
      </c>
      <c r="W273" s="11">
        <v>25450.0</v>
      </c>
      <c r="X273" s="11">
        <v>23030.0</v>
      </c>
      <c r="Y273" s="12"/>
      <c r="Z273" s="11">
        <v>-26370.0</v>
      </c>
      <c r="AA273" s="12"/>
      <c r="AB273" s="12"/>
      <c r="AC273" s="12"/>
      <c r="AD273" s="11">
        <v>-26290.0</v>
      </c>
      <c r="AE273" s="11">
        <v>-25870.0</v>
      </c>
      <c r="AF273" s="11">
        <v>-27360.0</v>
      </c>
      <c r="AG273" s="11">
        <v>-36060.0</v>
      </c>
      <c r="AH273" s="11">
        <v>-32630.0</v>
      </c>
      <c r="AI273" s="11">
        <v>-27060.0</v>
      </c>
      <c r="AJ273" s="11">
        <v>-25350.0</v>
      </c>
      <c r="AK273" s="11">
        <v>-26790.0</v>
      </c>
      <c r="AL273" s="11">
        <v>-35160.0</v>
      </c>
      <c r="AM273" s="11">
        <v>-31460.0</v>
      </c>
      <c r="AN273" s="11">
        <v>-26290.0</v>
      </c>
      <c r="AO273" s="11">
        <v>-25870.0</v>
      </c>
      <c r="AP273" s="11">
        <v>-27360.0</v>
      </c>
      <c r="AQ273" s="11">
        <v>-36060.0</v>
      </c>
      <c r="AR273" s="11">
        <v>-32630.0</v>
      </c>
      <c r="AS273" s="11">
        <v>-26570.0</v>
      </c>
      <c r="AT273" s="11">
        <v>-23470.0</v>
      </c>
      <c r="AU273" s="11">
        <v>-26840.0</v>
      </c>
      <c r="AV273" s="11">
        <v>-32860.0</v>
      </c>
      <c r="AW273" s="11">
        <v>-29790.0</v>
      </c>
      <c r="AX273" s="11">
        <v>-12.0</v>
      </c>
      <c r="AY273" s="12"/>
      <c r="AZ273" s="11">
        <v>-57.0</v>
      </c>
      <c r="BA273" s="11">
        <v>-459.0</v>
      </c>
      <c r="BB273" s="11">
        <v>-421.0</v>
      </c>
      <c r="BC273" s="12"/>
      <c r="BD273" s="12"/>
      <c r="BE273" s="12"/>
      <c r="BF273" s="12"/>
      <c r="BG273" s="12"/>
      <c r="BH273" s="11">
        <v>36240.0</v>
      </c>
      <c r="BI273" s="11">
        <v>37570.0</v>
      </c>
      <c r="BJ273" s="11">
        <v>16370.0</v>
      </c>
      <c r="BK273" s="11">
        <v>38530.0</v>
      </c>
      <c r="BL273" s="11">
        <v>62780.0</v>
      </c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1">
        <v>38960.0</v>
      </c>
      <c r="BX273" s="11">
        <v>38920.0</v>
      </c>
      <c r="BY273" s="11">
        <v>17460.0</v>
      </c>
      <c r="BZ273" s="11">
        <v>39530.0</v>
      </c>
      <c r="CA273" s="11">
        <v>63550.0</v>
      </c>
      <c r="CB273" s="11">
        <v>2350.0</v>
      </c>
      <c r="CC273" s="11">
        <v>56.0</v>
      </c>
      <c r="CD273" s="11">
        <v>321.0</v>
      </c>
      <c r="CE273" s="11">
        <v>568.0</v>
      </c>
      <c r="CF273" s="11">
        <v>504.0</v>
      </c>
      <c r="CG273" s="12"/>
      <c r="CH273" s="12"/>
      <c r="CI273" s="12"/>
      <c r="CJ273" s="12"/>
      <c r="CK273" s="12"/>
      <c r="CL273" s="11">
        <v>41780.0</v>
      </c>
      <c r="CM273" s="11">
        <v>39170.0</v>
      </c>
      <c r="CN273" s="11">
        <v>17900.0</v>
      </c>
      <c r="CO273" s="11">
        <v>40210.0</v>
      </c>
      <c r="CP273" s="11">
        <v>64170.0</v>
      </c>
      <c r="CQ273" s="11">
        <v>1200.0</v>
      </c>
      <c r="CR273" s="11">
        <v>1410.0</v>
      </c>
      <c r="CS273" s="11">
        <v>773.0</v>
      </c>
      <c r="CT273" s="12"/>
      <c r="CU273" s="12"/>
      <c r="CV273" s="11">
        <v>5030.0</v>
      </c>
      <c r="CW273" s="11">
        <v>1230.0</v>
      </c>
      <c r="CX273" s="12"/>
      <c r="CY273" s="12"/>
      <c r="CZ273" s="12"/>
      <c r="DA273" s="12"/>
      <c r="DB273" s="11">
        <v>5030.0</v>
      </c>
      <c r="DC273" s="11">
        <v>4170.0</v>
      </c>
      <c r="DD273" s="11">
        <v>6020.0</v>
      </c>
      <c r="DE273" s="11">
        <v>8330.0</v>
      </c>
      <c r="DF273" s="11">
        <v>6060.0</v>
      </c>
      <c r="DG273" s="11">
        <v>4230.0</v>
      </c>
      <c r="DH273" s="11">
        <v>6110.0</v>
      </c>
      <c r="DI273" s="11">
        <v>11120.0</v>
      </c>
      <c r="DJ273" s="11">
        <v>13680.0</v>
      </c>
      <c r="DK273" s="12"/>
      <c r="DL273" s="11">
        <v>113.0</v>
      </c>
      <c r="DM273" s="11">
        <v>113.0</v>
      </c>
      <c r="DN273" s="11">
        <v>113.0</v>
      </c>
      <c r="DO273" s="24">
        <v>113.0</v>
      </c>
      <c r="DP273" s="11">
        <v>1030.0</v>
      </c>
      <c r="DQ273" s="12"/>
      <c r="DR273" s="12"/>
      <c r="DS273" s="11">
        <v>2480.0</v>
      </c>
      <c r="DT273" s="11">
        <v>5720.0</v>
      </c>
      <c r="DU273" s="13"/>
      <c r="DV273" s="12"/>
      <c r="DW273" s="12"/>
      <c r="DX273" s="13"/>
      <c r="DY273" s="13"/>
      <c r="DZ273" s="11">
        <v>35720.0</v>
      </c>
      <c r="EA273" s="11">
        <v>34940.0</v>
      </c>
      <c r="EB273" s="11">
        <v>11790.0</v>
      </c>
      <c r="EC273" s="11">
        <v>29090.0</v>
      </c>
      <c r="ED273" s="11">
        <v>50490.0</v>
      </c>
      <c r="EE273" s="23"/>
      <c r="EF273" s="23"/>
      <c r="EG273" s="14">
        <v>-0.178</v>
      </c>
      <c r="EH273" s="14">
        <v>-0.044</v>
      </c>
    </row>
    <row r="274">
      <c r="A274" s="9">
        <f t="shared" si="2"/>
        <v>272</v>
      </c>
      <c r="B274" s="10" t="s">
        <v>408</v>
      </c>
      <c r="C274" s="11"/>
      <c r="D274" s="11"/>
      <c r="E274" s="11">
        <v>825340.0</v>
      </c>
      <c r="F274" s="11">
        <v>829660.0</v>
      </c>
      <c r="G274" s="11">
        <v>849980.0</v>
      </c>
      <c r="H274" s="11">
        <v>956570.0</v>
      </c>
      <c r="I274" s="11">
        <v>1010000.0</v>
      </c>
      <c r="J274" s="11">
        <v>300940.0</v>
      </c>
      <c r="K274" s="11">
        <v>290670.0</v>
      </c>
      <c r="L274" s="11">
        <v>277280.0</v>
      </c>
      <c r="M274" s="11">
        <v>331870.0</v>
      </c>
      <c r="N274" s="11">
        <v>371650.0</v>
      </c>
      <c r="O274" s="11">
        <v>263630.0</v>
      </c>
      <c r="P274" s="11">
        <v>260960.0</v>
      </c>
      <c r="Q274" s="11">
        <v>258610.0</v>
      </c>
      <c r="R274" s="11">
        <v>276060.0</v>
      </c>
      <c r="S274" s="11">
        <v>273800.0</v>
      </c>
      <c r="T274" s="11"/>
      <c r="U274" s="11"/>
      <c r="V274" s="11"/>
      <c r="W274" s="11"/>
      <c r="X274" s="11"/>
      <c r="Y274" s="11">
        <v>37170.0</v>
      </c>
      <c r="Z274" s="11">
        <v>28160.0</v>
      </c>
      <c r="AA274" s="11">
        <v>10980.0</v>
      </c>
      <c r="AB274" s="11">
        <v>42250.0</v>
      </c>
      <c r="AC274" s="11">
        <v>95940.0</v>
      </c>
      <c r="AD274" s="11">
        <v>43210.0</v>
      </c>
      <c r="AE274" s="11">
        <v>33050.0</v>
      </c>
      <c r="AF274" s="11">
        <v>15970.0</v>
      </c>
      <c r="AG274" s="11">
        <v>49110.0</v>
      </c>
      <c r="AH274" s="11">
        <v>99130.0</v>
      </c>
      <c r="AI274" s="11">
        <v>52800.0</v>
      </c>
      <c r="AJ274" s="11">
        <v>46170.0</v>
      </c>
      <c r="AK274" s="11">
        <v>38320.0</v>
      </c>
      <c r="AL274" s="11">
        <v>78530.0</v>
      </c>
      <c r="AM274" s="11">
        <v>120820.0</v>
      </c>
      <c r="AN274" s="11">
        <v>34620.0</v>
      </c>
      <c r="AO274" s="11">
        <v>29600.0</v>
      </c>
      <c r="AP274" s="11">
        <v>8370.0</v>
      </c>
      <c r="AQ274" s="11">
        <v>46260.0</v>
      </c>
      <c r="AR274" s="11">
        <v>65440.0</v>
      </c>
      <c r="AS274" s="11">
        <v>53400.0</v>
      </c>
      <c r="AT274" s="11">
        <v>60240.0</v>
      </c>
      <c r="AU274" s="11">
        <v>35990.0</v>
      </c>
      <c r="AV274" s="11">
        <v>72130.0</v>
      </c>
      <c r="AW274" s="11">
        <v>93850.0</v>
      </c>
      <c r="AX274" s="11">
        <v>-9660.0</v>
      </c>
      <c r="AY274" s="11">
        <v>-4650.0</v>
      </c>
      <c r="AZ274" s="11">
        <v>-11750.0</v>
      </c>
      <c r="BA274" s="11">
        <v>-27590.0</v>
      </c>
      <c r="BB274" s="11">
        <v>-32180.0</v>
      </c>
      <c r="BC274" s="11">
        <v>-32590.0</v>
      </c>
      <c r="BD274" s="11">
        <v>-32580.0</v>
      </c>
      <c r="BE274" s="11">
        <v>-33730.0</v>
      </c>
      <c r="BF274" s="11">
        <v>-35430.0</v>
      </c>
      <c r="BG274" s="11">
        <v>-33570.0</v>
      </c>
      <c r="BH274" s="11">
        <v>216110.0</v>
      </c>
      <c r="BI274" s="11">
        <v>211120.0</v>
      </c>
      <c r="BJ274" s="11">
        <v>200610.0</v>
      </c>
      <c r="BK274" s="11">
        <v>252160.0</v>
      </c>
      <c r="BL274" s="11">
        <v>287020.0</v>
      </c>
      <c r="BM274" s="11">
        <v>26090.0</v>
      </c>
      <c r="BN274" s="11">
        <v>28140.0</v>
      </c>
      <c r="BO274" s="11">
        <v>28020.0</v>
      </c>
      <c r="BP274" s="11">
        <v>30340.0</v>
      </c>
      <c r="BQ274" s="11">
        <v>36610.0</v>
      </c>
      <c r="BR274" s="11">
        <v>115370.0</v>
      </c>
      <c r="BS274" s="11">
        <v>119590.0</v>
      </c>
      <c r="BT274" s="11">
        <v>121540.0</v>
      </c>
      <c r="BU274" s="11">
        <v>145680.0</v>
      </c>
      <c r="BV274" s="11">
        <v>141100.0</v>
      </c>
      <c r="BW274" s="11">
        <v>362800.0</v>
      </c>
      <c r="BX274" s="11">
        <v>370590.0</v>
      </c>
      <c r="BY274" s="11">
        <v>372480.0</v>
      </c>
      <c r="BZ274" s="11">
        <v>443810.0</v>
      </c>
      <c r="CA274" s="11">
        <v>472050.0</v>
      </c>
      <c r="CB274" s="11">
        <v>289470.0</v>
      </c>
      <c r="CC274" s="11">
        <v>94300.0</v>
      </c>
      <c r="CD274" s="11">
        <v>109370.0</v>
      </c>
      <c r="CE274" s="11">
        <v>126390.0</v>
      </c>
      <c r="CF274" s="11">
        <v>138300.0</v>
      </c>
      <c r="CG274" s="11"/>
      <c r="CH274" s="11"/>
      <c r="CI274" s="11"/>
      <c r="CJ274" s="11"/>
      <c r="CK274" s="11"/>
      <c r="CL274" s="11">
        <v>733280.0</v>
      </c>
      <c r="CM274" s="11">
        <v>502000.0</v>
      </c>
      <c r="CN274" s="11">
        <v>520320.0</v>
      </c>
      <c r="CO274" s="11">
        <v>618620.0</v>
      </c>
      <c r="CP274" s="11">
        <v>642340.0</v>
      </c>
      <c r="CQ274" s="11">
        <v>68440.0</v>
      </c>
      <c r="CR274" s="11">
        <v>84280.0</v>
      </c>
      <c r="CS274" s="11">
        <v>82610.0</v>
      </c>
      <c r="CT274" s="11">
        <v>105250.0</v>
      </c>
      <c r="CU274" s="11">
        <v>113150.0</v>
      </c>
      <c r="CV274" s="11">
        <v>199300.0</v>
      </c>
      <c r="CW274" s="11">
        <v>63150.0</v>
      </c>
      <c r="CX274" s="12"/>
      <c r="CY274" s="13"/>
      <c r="CZ274" s="13"/>
      <c r="DA274" s="12"/>
      <c r="DB274" s="11">
        <v>199300.0</v>
      </c>
      <c r="DC274" s="11">
        <v>141090.0</v>
      </c>
      <c r="DD274" s="11">
        <v>139080.0</v>
      </c>
      <c r="DE274" s="11">
        <v>171910.0</v>
      </c>
      <c r="DF274" s="11">
        <v>416760.0</v>
      </c>
      <c r="DG274" s="11">
        <v>185160.0</v>
      </c>
      <c r="DH274" s="11">
        <v>193970.0</v>
      </c>
      <c r="DI274" s="11">
        <v>234710.0</v>
      </c>
      <c r="DJ274" s="11">
        <v>229680.0</v>
      </c>
      <c r="DK274" s="11">
        <v>11540.0</v>
      </c>
      <c r="DL274" s="11">
        <v>11730.0</v>
      </c>
      <c r="DM274" s="11">
        <v>11770.0</v>
      </c>
      <c r="DN274" s="11">
        <v>12590.0</v>
      </c>
      <c r="DO274" s="11">
        <v>578.0</v>
      </c>
      <c r="DP274" s="11">
        <v>147180.0</v>
      </c>
      <c r="DQ274" s="11"/>
      <c r="DR274" s="11"/>
      <c r="DS274" s="11"/>
      <c r="DT274" s="11"/>
      <c r="DU274" s="11"/>
      <c r="DV274" s="12"/>
      <c r="DW274" s="12"/>
      <c r="DX274" s="12"/>
      <c r="DY274" s="12"/>
      <c r="DZ274" s="11">
        <v>316510.0</v>
      </c>
      <c r="EA274" s="11">
        <v>316840.0</v>
      </c>
      <c r="EB274" s="11">
        <v>326350.0</v>
      </c>
      <c r="EC274" s="11">
        <v>383900.0</v>
      </c>
      <c r="ED274" s="11">
        <v>412670.0</v>
      </c>
      <c r="EE274" s="14"/>
      <c r="EF274" s="14"/>
      <c r="EG274" s="29" t="s">
        <v>155</v>
      </c>
      <c r="EH274" s="14"/>
    </row>
    <row r="275">
      <c r="A275" s="9">
        <f t="shared" si="2"/>
        <v>273</v>
      </c>
      <c r="B275" s="22" t="s">
        <v>409</v>
      </c>
      <c r="C275" s="12"/>
      <c r="D275" s="12"/>
      <c r="E275" s="12"/>
      <c r="F275" s="12"/>
      <c r="G275" s="11">
        <v>10000.0</v>
      </c>
      <c r="H275" s="12"/>
      <c r="I275" s="12"/>
      <c r="J275" s="11">
        <v>-800.0</v>
      </c>
      <c r="K275" s="11">
        <v>-105.0</v>
      </c>
      <c r="L275" s="12"/>
      <c r="M275" s="11">
        <v>-29.0</v>
      </c>
      <c r="N275" s="11">
        <v>-22.0</v>
      </c>
      <c r="O275" s="11">
        <v>102280.0</v>
      </c>
      <c r="P275" s="11">
        <v>72400.0</v>
      </c>
      <c r="Q275" s="11">
        <v>31290.0</v>
      </c>
      <c r="R275" s="11">
        <v>25560.0</v>
      </c>
      <c r="S275" s="11">
        <v>25880.0</v>
      </c>
      <c r="T275" s="11">
        <v>83840.0</v>
      </c>
      <c r="U275" s="11">
        <v>58120.0</v>
      </c>
      <c r="V275" s="11">
        <v>18940.0</v>
      </c>
      <c r="W275" s="11">
        <v>15940.0</v>
      </c>
      <c r="X275" s="11">
        <v>17030.0</v>
      </c>
      <c r="Y275" s="11">
        <v>-108150.0</v>
      </c>
      <c r="Z275" s="11">
        <v>-72910.0</v>
      </c>
      <c r="AA275" s="11">
        <v>-27100.0</v>
      </c>
      <c r="AB275" s="11">
        <v>-25510.0</v>
      </c>
      <c r="AC275" s="11">
        <v>-14780.0</v>
      </c>
      <c r="AD275" s="11">
        <v>-102810.0</v>
      </c>
      <c r="AE275" s="11">
        <v>-72550.0</v>
      </c>
      <c r="AF275" s="11">
        <v>-27560.0</v>
      </c>
      <c r="AG275" s="11">
        <v>-26670.0</v>
      </c>
      <c r="AH275" s="11">
        <v>-15530.0</v>
      </c>
      <c r="AI275" s="11">
        <v>-102280.0</v>
      </c>
      <c r="AJ275" s="11">
        <v>-72400.0</v>
      </c>
      <c r="AK275" s="11">
        <v>-21290.0</v>
      </c>
      <c r="AL275" s="11">
        <v>-25560.0</v>
      </c>
      <c r="AM275" s="11">
        <v>-25880.0</v>
      </c>
      <c r="AN275" s="11">
        <v>-102810.0</v>
      </c>
      <c r="AO275" s="11">
        <v>-72550.0</v>
      </c>
      <c r="AP275" s="11">
        <v>-27560.0</v>
      </c>
      <c r="AQ275" s="11">
        <v>-26670.0</v>
      </c>
      <c r="AR275" s="11">
        <v>-15530.0</v>
      </c>
      <c r="AS275" s="11">
        <v>-97910.0</v>
      </c>
      <c r="AT275" s="11">
        <v>-54940.0</v>
      </c>
      <c r="AU275" s="11">
        <v>-19630.0</v>
      </c>
      <c r="AV275" s="11">
        <v>-23350.0</v>
      </c>
      <c r="AW275" s="11">
        <v>-23320.0</v>
      </c>
      <c r="AX275" s="11">
        <v>-315.0</v>
      </c>
      <c r="AY275" s="11">
        <v>-529.0</v>
      </c>
      <c r="AZ275" s="11">
        <v>-27.0</v>
      </c>
      <c r="BA275" s="11">
        <v>-42.0</v>
      </c>
      <c r="BB275" s="12"/>
      <c r="BC275" s="12"/>
      <c r="BD275" s="12"/>
      <c r="BE275" s="12"/>
      <c r="BF275" s="12"/>
      <c r="BG275" s="12"/>
      <c r="BH275" s="11">
        <v>190950.0</v>
      </c>
      <c r="BI275" s="11">
        <v>178660.0</v>
      </c>
      <c r="BJ275" s="11">
        <v>97210.0</v>
      </c>
      <c r="BK275" s="11">
        <v>16990.0</v>
      </c>
      <c r="BL275" s="11">
        <v>41480.0</v>
      </c>
      <c r="BM275" s="11">
        <v>687.0</v>
      </c>
      <c r="BN275" s="12"/>
      <c r="BO275" s="11">
        <v>5000.0</v>
      </c>
      <c r="BP275" s="12"/>
      <c r="BQ275" s="11">
        <v>186.0</v>
      </c>
      <c r="BR275" s="12"/>
      <c r="BS275" s="12"/>
      <c r="BT275" s="12"/>
      <c r="BU275" s="12"/>
      <c r="BV275" s="12"/>
      <c r="BW275" s="11">
        <v>202920.0</v>
      </c>
      <c r="BX275" s="11">
        <v>181560.0</v>
      </c>
      <c r="BY275" s="11">
        <v>103540.0</v>
      </c>
      <c r="BZ275" s="11">
        <v>18530.0</v>
      </c>
      <c r="CA275" s="11">
        <v>42790.0</v>
      </c>
      <c r="CB275" s="11">
        <v>2640.0</v>
      </c>
      <c r="CC275" s="11">
        <v>2910.0</v>
      </c>
      <c r="CD275" s="11">
        <v>69.0</v>
      </c>
      <c r="CE275" s="11">
        <v>77.0</v>
      </c>
      <c r="CF275" s="11">
        <v>64.0</v>
      </c>
      <c r="CG275" s="12"/>
      <c r="CH275" s="12"/>
      <c r="CI275" s="12"/>
      <c r="CJ275" s="12"/>
      <c r="CK275" s="12"/>
      <c r="CL275" s="11">
        <v>205730.0</v>
      </c>
      <c r="CM275" s="11">
        <v>186750.0</v>
      </c>
      <c r="CN275" s="11">
        <v>104250.0</v>
      </c>
      <c r="CO275" s="11">
        <v>19360.0</v>
      </c>
      <c r="CP275" s="11">
        <v>43080.0</v>
      </c>
      <c r="CQ275" s="11">
        <v>2500.0</v>
      </c>
      <c r="CR275" s="11">
        <v>1970.0</v>
      </c>
      <c r="CS275" s="11">
        <v>1310.0</v>
      </c>
      <c r="CT275" s="11">
        <v>899.0</v>
      </c>
      <c r="CU275" s="12"/>
      <c r="CV275" s="11">
        <v>17640.0</v>
      </c>
      <c r="CW275" s="11">
        <v>407.0</v>
      </c>
      <c r="CX275" s="12"/>
      <c r="CY275" s="12"/>
      <c r="CZ275" s="12"/>
      <c r="DA275" s="12"/>
      <c r="DB275" s="11">
        <v>17640.0</v>
      </c>
      <c r="DC275" s="11">
        <v>14420.0</v>
      </c>
      <c r="DD275" s="11">
        <v>16310.0</v>
      </c>
      <c r="DE275" s="11">
        <v>9310.0</v>
      </c>
      <c r="DF275" s="11">
        <v>19380.0</v>
      </c>
      <c r="DG275" s="11">
        <v>16330.0</v>
      </c>
      <c r="DH275" s="11">
        <v>19300.0</v>
      </c>
      <c r="DI275" s="11">
        <v>15420.0</v>
      </c>
      <c r="DJ275" s="11">
        <v>14960.0</v>
      </c>
      <c r="DK275" s="12"/>
      <c r="DL275" s="12"/>
      <c r="DM275" s="12"/>
      <c r="DN275" s="11">
        <v>170.0</v>
      </c>
      <c r="DO275" s="24">
        <v>170.0</v>
      </c>
      <c r="DP275" s="11">
        <v>1740.0</v>
      </c>
      <c r="DQ275" s="12"/>
      <c r="DR275" s="11">
        <v>2990.0</v>
      </c>
      <c r="DS275" s="11">
        <v>6100.0</v>
      </c>
      <c r="DT275" s="11">
        <v>8800.0</v>
      </c>
      <c r="DU275" s="13"/>
      <c r="DV275" s="12"/>
      <c r="DW275" s="12"/>
      <c r="DX275" s="13"/>
      <c r="DY275" s="13"/>
      <c r="DZ275" s="11">
        <v>186350.0</v>
      </c>
      <c r="EA275" s="11">
        <v>170420.0</v>
      </c>
      <c r="EB275" s="11">
        <v>84950.0</v>
      </c>
      <c r="EC275" s="11">
        <v>3940.0</v>
      </c>
      <c r="ED275" s="11">
        <v>28120.0</v>
      </c>
      <c r="EE275" s="23"/>
      <c r="EF275" s="23"/>
      <c r="EG275" s="14">
        <v>0.333</v>
      </c>
      <c r="EH275" s="14">
        <v>0.194</v>
      </c>
    </row>
    <row r="276">
      <c r="A276" s="9">
        <f t="shared" si="2"/>
        <v>274</v>
      </c>
      <c r="B276" s="10" t="s">
        <v>410</v>
      </c>
      <c r="C276" s="15">
        <v>2.085E7</v>
      </c>
      <c r="D276" s="15">
        <v>1.924E7</v>
      </c>
      <c r="E276" s="15">
        <v>5.664E7</v>
      </c>
      <c r="F276" s="15">
        <v>4.939E7</v>
      </c>
      <c r="G276" s="15">
        <v>4.463E7</v>
      </c>
      <c r="H276" s="15">
        <v>4.145E7</v>
      </c>
      <c r="I276" s="15">
        <v>3.72E7</v>
      </c>
      <c r="J276" s="15">
        <v>1.077E7</v>
      </c>
      <c r="K276" s="15">
        <v>1.041E7</v>
      </c>
      <c r="L276" s="15">
        <v>1.021E7</v>
      </c>
      <c r="M276" s="15">
        <v>8810000.0</v>
      </c>
      <c r="N276" s="15">
        <v>8430000.0</v>
      </c>
      <c r="O276" s="15">
        <v>8350000.0</v>
      </c>
      <c r="P276" s="15">
        <v>7600000.0</v>
      </c>
      <c r="Q276" s="15">
        <v>8060000.0</v>
      </c>
      <c r="R276" s="15">
        <v>7450000.0</v>
      </c>
      <c r="S276" s="15">
        <v>6690000.0</v>
      </c>
      <c r="T276" s="15"/>
      <c r="U276" s="15"/>
      <c r="V276" s="15"/>
      <c r="W276" s="15"/>
      <c r="X276" s="15"/>
      <c r="Y276" s="15">
        <v>1910000.0</v>
      </c>
      <c r="Z276" s="15">
        <v>-147000.0</v>
      </c>
      <c r="AA276" s="15">
        <v>-107000.0</v>
      </c>
      <c r="AB276" s="15">
        <v>907000.0</v>
      </c>
      <c r="AC276" s="15">
        <v>-80000.0</v>
      </c>
      <c r="AD276" s="15">
        <v>752000.0</v>
      </c>
      <c r="AE276" s="15">
        <v>1540000.0</v>
      </c>
      <c r="AF276" s="15">
        <v>841000.0</v>
      </c>
      <c r="AG276" s="15">
        <v>-107000.0</v>
      </c>
      <c r="AH276" s="15">
        <v>763000.0</v>
      </c>
      <c r="AI276" s="15">
        <v>3760000.0</v>
      </c>
      <c r="AJ276" s="15">
        <v>3950000.0</v>
      </c>
      <c r="AK276" s="15">
        <v>2770000.0</v>
      </c>
      <c r="AL276" s="15">
        <v>2030000.0</v>
      </c>
      <c r="AM276" s="15">
        <v>2330000.0</v>
      </c>
      <c r="AN276" s="15">
        <v>478000.0</v>
      </c>
      <c r="AO276" s="15">
        <v>1160000.0</v>
      </c>
      <c r="AP276" s="15">
        <v>455000.0</v>
      </c>
      <c r="AQ276" s="15">
        <v>523000.0</v>
      </c>
      <c r="AR276" s="15">
        <v>1160000.0</v>
      </c>
      <c r="AS276" s="15">
        <v>1140000.0</v>
      </c>
      <c r="AT276" s="15">
        <v>4270000.0</v>
      </c>
      <c r="AU276" s="15">
        <v>1900000.0</v>
      </c>
      <c r="AV276" s="15">
        <v>-1090000.0</v>
      </c>
      <c r="AW276" s="15">
        <v>4710000.0</v>
      </c>
      <c r="AX276" s="15">
        <v>-2780000.0</v>
      </c>
      <c r="AY276" s="15">
        <v>-2360000.0</v>
      </c>
      <c r="AZ276" s="15">
        <v>-1710000.0</v>
      </c>
      <c r="BA276" s="15">
        <v>-1540000.0</v>
      </c>
      <c r="BB276" s="15">
        <v>-1990000.0</v>
      </c>
      <c r="BC276" s="15">
        <v>-268000.0</v>
      </c>
      <c r="BD276" s="15">
        <v>-351000.0</v>
      </c>
      <c r="BE276" s="15">
        <v>-101000.0</v>
      </c>
      <c r="BF276" s="15">
        <v>-4000.0</v>
      </c>
      <c r="BG276" s="15">
        <v>-434000.0</v>
      </c>
      <c r="BH276" s="15">
        <v>7950000.0</v>
      </c>
      <c r="BI276" s="15">
        <v>4370000.0</v>
      </c>
      <c r="BJ276" s="15">
        <v>3790000.0</v>
      </c>
      <c r="BK276" s="15">
        <v>5110000.0</v>
      </c>
      <c r="BL276" s="15">
        <v>1.102E7</v>
      </c>
      <c r="BM276" s="15">
        <v>2740000.0</v>
      </c>
      <c r="BN276" s="15">
        <v>1370000.0</v>
      </c>
      <c r="BO276" s="15">
        <v>1480000.0</v>
      </c>
      <c r="BP276" s="15">
        <v>1340000.0</v>
      </c>
      <c r="BQ276" s="15">
        <v>4670000.0</v>
      </c>
      <c r="BR276" s="15">
        <v>8630000.0</v>
      </c>
      <c r="BS276" s="15">
        <v>5910000.0</v>
      </c>
      <c r="BT276" s="15">
        <v>4820000.0</v>
      </c>
      <c r="BU276" s="15">
        <v>4640000.0</v>
      </c>
      <c r="BV276" s="15">
        <v>8970000.0</v>
      </c>
      <c r="BW276" s="15">
        <v>1.989E7</v>
      </c>
      <c r="BX276" s="15">
        <v>4.085E7</v>
      </c>
      <c r="BY276" s="15">
        <v>3.302E7</v>
      </c>
      <c r="BZ276" s="15">
        <v>3.165E7</v>
      </c>
      <c r="CA276" s="15">
        <v>2.496E7</v>
      </c>
      <c r="CB276" s="15">
        <v>2.271E7</v>
      </c>
      <c r="CC276" s="15">
        <v>1.405E7</v>
      </c>
      <c r="CD276" s="15">
        <v>9140000.0</v>
      </c>
      <c r="CE276" s="15">
        <v>9180000.0</v>
      </c>
      <c r="CF276" s="15">
        <v>1.038E7</v>
      </c>
      <c r="CG276" s="15">
        <v>3040000.0</v>
      </c>
      <c r="CH276" s="15">
        <v>1260000.0</v>
      </c>
      <c r="CI276" s="15">
        <v>1190000.0</v>
      </c>
      <c r="CJ276" s="15">
        <v>1190000.0</v>
      </c>
      <c r="CK276" s="15">
        <v>2920000.0</v>
      </c>
      <c r="CL276" s="15">
        <v>5.799E7</v>
      </c>
      <c r="CM276" s="15">
        <v>6.199E7</v>
      </c>
      <c r="CN276" s="15">
        <v>4.771E7</v>
      </c>
      <c r="CO276" s="15">
        <v>4.522E7</v>
      </c>
      <c r="CP276" s="15">
        <v>4.724E7</v>
      </c>
      <c r="CQ276" s="15">
        <v>1.489E7</v>
      </c>
      <c r="CR276" s="15">
        <v>9250000.0</v>
      </c>
      <c r="CS276" s="15">
        <v>8130000.0</v>
      </c>
      <c r="CT276" s="15">
        <v>7230000.0</v>
      </c>
      <c r="CU276" s="15">
        <v>1.551E7</v>
      </c>
      <c r="CV276" s="15">
        <v>2.314E7</v>
      </c>
      <c r="CW276" s="15">
        <v>3490000.0</v>
      </c>
      <c r="CX276" s="15">
        <v>1980000.0</v>
      </c>
      <c r="CY276" s="15">
        <v>1200000.0</v>
      </c>
      <c r="CZ276" s="15">
        <v>2340000.0</v>
      </c>
      <c r="DA276" s="15">
        <v>4660000.0</v>
      </c>
      <c r="DB276" s="15">
        <v>2.314E7</v>
      </c>
      <c r="DC276" s="15">
        <v>3.759E7</v>
      </c>
      <c r="DD276" s="15">
        <v>2.899E7</v>
      </c>
      <c r="DE276" s="15">
        <v>2.758E7</v>
      </c>
      <c r="DF276" s="15">
        <v>4.448E7</v>
      </c>
      <c r="DG276" s="15">
        <v>4.883E7</v>
      </c>
      <c r="DH276" s="15">
        <v>3.467E7</v>
      </c>
      <c r="DI276" s="15">
        <v>3.262E7</v>
      </c>
      <c r="DJ276" s="15">
        <v>3.389E7</v>
      </c>
      <c r="DK276" s="15">
        <v>4420000.0</v>
      </c>
      <c r="DL276" s="15">
        <v>1040000.0</v>
      </c>
      <c r="DM276" s="15">
        <v>967000.0</v>
      </c>
      <c r="DN276" s="15">
        <v>1000000.0</v>
      </c>
      <c r="DO276" s="15">
        <v>1410000.0</v>
      </c>
      <c r="DP276" s="15">
        <v>1.844E7</v>
      </c>
      <c r="DQ276" s="15">
        <v>8670000.0</v>
      </c>
      <c r="DR276" s="15">
        <v>3340000.0</v>
      </c>
      <c r="DS276" s="15">
        <v>2910000.0</v>
      </c>
      <c r="DT276" s="15">
        <v>4160000.0</v>
      </c>
      <c r="DU276" s="13"/>
      <c r="DV276" s="12"/>
      <c r="DW276" s="12"/>
      <c r="DX276" s="13"/>
      <c r="DY276" s="13"/>
      <c r="DZ276" s="15">
        <v>1.094E7</v>
      </c>
      <c r="EA276" s="15">
        <v>1.023E7</v>
      </c>
      <c r="EB276" s="15">
        <v>1.019E7</v>
      </c>
      <c r="EC276" s="15">
        <v>9860000.0</v>
      </c>
      <c r="ED276" s="15">
        <v>1.035E7</v>
      </c>
      <c r="EE276" s="17">
        <v>0.0</v>
      </c>
      <c r="EF276" s="17">
        <v>0.0</v>
      </c>
      <c r="EG276" s="17">
        <v>-0.577</v>
      </c>
      <c r="EH276" s="17">
        <v>-0.057</v>
      </c>
    </row>
    <row r="277">
      <c r="A277" s="9">
        <f t="shared" si="2"/>
        <v>275</v>
      </c>
      <c r="B277" s="22" t="s">
        <v>411</v>
      </c>
      <c r="C277" s="12"/>
      <c r="D277" s="11">
        <v>20500.0</v>
      </c>
      <c r="E277" s="12"/>
      <c r="F277" s="11">
        <v>6.0</v>
      </c>
      <c r="G277" s="11">
        <v>1020.0</v>
      </c>
      <c r="H277" s="11">
        <v>399.0</v>
      </c>
      <c r="I277" s="11">
        <v>1750.0</v>
      </c>
      <c r="J277" s="11">
        <v>-146.0</v>
      </c>
      <c r="K277" s="12"/>
      <c r="L277" s="12"/>
      <c r="M277" s="12"/>
      <c r="N277" s="12"/>
      <c r="O277" s="11">
        <v>57130.0</v>
      </c>
      <c r="P277" s="11">
        <v>33680.0</v>
      </c>
      <c r="Q277" s="11">
        <v>22670.0</v>
      </c>
      <c r="R277" s="11">
        <v>20430.0</v>
      </c>
      <c r="S277" s="11">
        <v>15080.0</v>
      </c>
      <c r="T277" s="11">
        <v>43860.0</v>
      </c>
      <c r="U277" s="11">
        <v>21470.0</v>
      </c>
      <c r="V277" s="11">
        <v>12850.0</v>
      </c>
      <c r="W277" s="11">
        <v>11170.0</v>
      </c>
      <c r="X277" s="11">
        <v>5960.0</v>
      </c>
      <c r="Y277" s="12"/>
      <c r="Z277" s="12"/>
      <c r="AA277" s="12"/>
      <c r="AB277" s="11">
        <v>-19260.0</v>
      </c>
      <c r="AC277" s="11">
        <v>-13470.0</v>
      </c>
      <c r="AD277" s="11">
        <v>-55180.0</v>
      </c>
      <c r="AE277" s="11">
        <v>-30060.0</v>
      </c>
      <c r="AF277" s="11">
        <v>-21560.0</v>
      </c>
      <c r="AG277" s="11">
        <v>-16950.0</v>
      </c>
      <c r="AH277" s="11">
        <v>-14760.0</v>
      </c>
      <c r="AI277" s="11">
        <v>-57130.0</v>
      </c>
      <c r="AJ277" s="11">
        <v>-33670.0</v>
      </c>
      <c r="AK277" s="11">
        <v>-21650.0</v>
      </c>
      <c r="AL277" s="11">
        <v>-20030.0</v>
      </c>
      <c r="AM277" s="11">
        <v>-13330.0</v>
      </c>
      <c r="AN277" s="11">
        <v>-55180.0</v>
      </c>
      <c r="AO277" s="11">
        <v>-30060.0</v>
      </c>
      <c r="AP277" s="11">
        <v>-21560.0</v>
      </c>
      <c r="AQ277" s="11">
        <v>-16950.0</v>
      </c>
      <c r="AR277" s="11">
        <v>-14760.0</v>
      </c>
      <c r="AS277" s="11">
        <v>-43610.0</v>
      </c>
      <c r="AT277" s="11">
        <v>-28550.0</v>
      </c>
      <c r="AU277" s="11">
        <v>-19940.0</v>
      </c>
      <c r="AV277" s="11">
        <v>-18470.0</v>
      </c>
      <c r="AW277" s="11">
        <v>-19120.0</v>
      </c>
      <c r="AX277" s="11">
        <v>-64.0</v>
      </c>
      <c r="AY277" s="11">
        <v>-376.0</v>
      </c>
      <c r="AZ277" s="11">
        <v>-23.0</v>
      </c>
      <c r="BA277" s="11">
        <v>-468.0</v>
      </c>
      <c r="BB277" s="11">
        <v>-272.0</v>
      </c>
      <c r="BC277" s="12"/>
      <c r="BD277" s="12"/>
      <c r="BE277" s="12"/>
      <c r="BF277" s="12"/>
      <c r="BG277" s="12"/>
      <c r="BH277" s="11">
        <v>76870.0</v>
      </c>
      <c r="BI277" s="11">
        <v>120180.0</v>
      </c>
      <c r="BJ277" s="11">
        <v>37780.0</v>
      </c>
      <c r="BK277" s="11">
        <v>36530.0</v>
      </c>
      <c r="BL277" s="11">
        <v>66290.0</v>
      </c>
      <c r="BM277" s="11">
        <v>15000.0</v>
      </c>
      <c r="BN277" s="12"/>
      <c r="BO277" s="12"/>
      <c r="BP277" s="11">
        <v>31.0</v>
      </c>
      <c r="BQ277" s="11">
        <v>492.0</v>
      </c>
      <c r="BR277" s="12"/>
      <c r="BS277" s="12"/>
      <c r="BT277" s="12"/>
      <c r="BU277" s="12"/>
      <c r="BV277" s="12"/>
      <c r="BW277" s="11">
        <v>96070.0</v>
      </c>
      <c r="BX277" s="11">
        <v>123990.0</v>
      </c>
      <c r="BY277" s="11">
        <v>39110.0</v>
      </c>
      <c r="BZ277" s="11">
        <v>37520.0</v>
      </c>
      <c r="CA277" s="11">
        <v>68700.0</v>
      </c>
      <c r="CB277" s="11">
        <v>2230.0</v>
      </c>
      <c r="CC277" s="11">
        <v>386.0</v>
      </c>
      <c r="CD277" s="11">
        <v>276.0</v>
      </c>
      <c r="CE277" s="11">
        <v>444.0</v>
      </c>
      <c r="CF277" s="11">
        <v>698.0</v>
      </c>
      <c r="CG277" s="12"/>
      <c r="CH277" s="12"/>
      <c r="CI277" s="12"/>
      <c r="CJ277" s="12"/>
      <c r="CK277" s="12"/>
      <c r="CL277" s="11">
        <v>98550.0</v>
      </c>
      <c r="CM277" s="11">
        <v>124920.0</v>
      </c>
      <c r="CN277" s="11">
        <v>39510.0</v>
      </c>
      <c r="CO277" s="11">
        <v>38090.0</v>
      </c>
      <c r="CP277" s="11">
        <v>69520.0</v>
      </c>
      <c r="CQ277" s="11">
        <v>4280.0</v>
      </c>
      <c r="CR277" s="11">
        <v>1250.0</v>
      </c>
      <c r="CS277" s="11">
        <v>747.0</v>
      </c>
      <c r="CT277" s="11">
        <v>837.0</v>
      </c>
      <c r="CU277" s="11">
        <v>939.0</v>
      </c>
      <c r="CV277" s="11">
        <v>28900.0</v>
      </c>
      <c r="CW277" s="11">
        <v>483.0</v>
      </c>
      <c r="CX277" s="12"/>
      <c r="CY277" s="11">
        <v>5090.0</v>
      </c>
      <c r="CZ277" s="11">
        <v>19400.0</v>
      </c>
      <c r="DA277" s="11">
        <v>33740.0</v>
      </c>
      <c r="DB277" s="11">
        <v>28900.0</v>
      </c>
      <c r="DC277" s="11">
        <v>4800.0</v>
      </c>
      <c r="DD277" s="11">
        <v>8740.0</v>
      </c>
      <c r="DE277" s="11">
        <v>21970.0</v>
      </c>
      <c r="DF277" s="11">
        <v>30220.0</v>
      </c>
      <c r="DG277" s="11">
        <v>4980.0</v>
      </c>
      <c r="DH277" s="11">
        <v>8740.0</v>
      </c>
      <c r="DI277" s="11">
        <v>22020.0</v>
      </c>
      <c r="DJ277" s="11">
        <v>38100.0</v>
      </c>
      <c r="DK277" s="12"/>
      <c r="DL277" s="12"/>
      <c r="DM277" s="12"/>
      <c r="DN277" s="11">
        <v>125.0</v>
      </c>
      <c r="DO277" s="24">
        <v>125.0</v>
      </c>
      <c r="DP277" s="11">
        <v>1320.0</v>
      </c>
      <c r="DQ277" s="12"/>
      <c r="DR277" s="12"/>
      <c r="DS277" s="12"/>
      <c r="DT277" s="12"/>
      <c r="DU277" s="13"/>
      <c r="DV277" s="12"/>
      <c r="DW277" s="12"/>
      <c r="DX277" s="13"/>
      <c r="DY277" s="13"/>
      <c r="DZ277" s="11">
        <v>68340.0</v>
      </c>
      <c r="EA277" s="11">
        <v>119950.0</v>
      </c>
      <c r="EB277" s="11">
        <v>30770.0</v>
      </c>
      <c r="EC277" s="11">
        <v>16070.0</v>
      </c>
      <c r="ED277" s="11">
        <v>31430.0</v>
      </c>
      <c r="EE277" s="14">
        <v>0.244</v>
      </c>
      <c r="EF277" s="23"/>
      <c r="EG277" s="14">
        <v>-0.116</v>
      </c>
      <c r="EH277" s="14">
        <v>-0.633</v>
      </c>
    </row>
    <row r="278">
      <c r="A278" s="9">
        <f t="shared" si="2"/>
        <v>276</v>
      </c>
      <c r="B278" s="10" t="s">
        <v>412</v>
      </c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3"/>
      <c r="BD278" s="13"/>
      <c r="BE278" s="13"/>
      <c r="BF278" s="13"/>
      <c r="BG278" s="13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3"/>
      <c r="CY278" s="13"/>
      <c r="CZ278" s="13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3"/>
      <c r="DV278" s="12"/>
      <c r="DW278" s="12"/>
      <c r="DX278" s="12"/>
      <c r="DY278" s="12"/>
      <c r="DZ278" s="12"/>
      <c r="EA278" s="12"/>
      <c r="EB278" s="12"/>
      <c r="EC278" s="12"/>
      <c r="ED278" s="12"/>
      <c r="EE278" s="23"/>
      <c r="EF278" s="23"/>
      <c r="EG278" s="23"/>
      <c r="EH278" s="23"/>
    </row>
    <row r="279">
      <c r="A279" s="9">
        <f t="shared" si="2"/>
        <v>277</v>
      </c>
      <c r="B279" s="22" t="s">
        <v>413</v>
      </c>
      <c r="C279" s="11">
        <v>4000.0</v>
      </c>
      <c r="D279" s="11">
        <v>2000.0</v>
      </c>
      <c r="E279" s="11">
        <v>340.0</v>
      </c>
      <c r="F279" s="11">
        <v>224.0</v>
      </c>
      <c r="G279" s="11">
        <v>337.0</v>
      </c>
      <c r="H279" s="11">
        <v>628.0</v>
      </c>
      <c r="I279" s="11">
        <v>2510.0</v>
      </c>
      <c r="J279" s="11">
        <v>-5360.0</v>
      </c>
      <c r="K279" s="11">
        <v>-4960.0</v>
      </c>
      <c r="L279" s="11">
        <v>-2810.0</v>
      </c>
      <c r="M279" s="11">
        <v>-2870.0</v>
      </c>
      <c r="N279" s="11">
        <v>-422.0</v>
      </c>
      <c r="O279" s="11">
        <v>45630.0</v>
      </c>
      <c r="P279" s="11">
        <v>32630.0</v>
      </c>
      <c r="Q279" s="11">
        <v>24770.0</v>
      </c>
      <c r="R279" s="11">
        <v>20940.0</v>
      </c>
      <c r="S279" s="11">
        <v>20300.0</v>
      </c>
      <c r="T279" s="11">
        <v>37670.0</v>
      </c>
      <c r="U279" s="11">
        <v>24150.0</v>
      </c>
      <c r="V279" s="11">
        <v>14610.0</v>
      </c>
      <c r="W279" s="11">
        <v>11480.0</v>
      </c>
      <c r="X279" s="11">
        <v>7570.0</v>
      </c>
      <c r="Y279" s="12"/>
      <c r="Z279" s="11">
        <v>-2910.0</v>
      </c>
      <c r="AA279" s="12"/>
      <c r="AB279" s="11">
        <v>-28420.0</v>
      </c>
      <c r="AC279" s="11">
        <v>-20850.0</v>
      </c>
      <c r="AD279" s="11">
        <v>-49980.0</v>
      </c>
      <c r="AE279" s="11">
        <v>-38940.0</v>
      </c>
      <c r="AF279" s="11">
        <v>-25490.0</v>
      </c>
      <c r="AG279" s="11">
        <v>-28200.0</v>
      </c>
      <c r="AH279" s="11">
        <v>-20180.0</v>
      </c>
      <c r="AI279" s="11">
        <v>-45350.0</v>
      </c>
      <c r="AJ279" s="11">
        <v>-32540.0</v>
      </c>
      <c r="AK279" s="11">
        <v>-24590.0</v>
      </c>
      <c r="AL279" s="11">
        <v>-21170.0</v>
      </c>
      <c r="AM279" s="11">
        <v>-18630.0</v>
      </c>
      <c r="AN279" s="11">
        <v>-49980.0</v>
      </c>
      <c r="AO279" s="11">
        <v>-38950.0</v>
      </c>
      <c r="AP279" s="11">
        <v>-25490.0</v>
      </c>
      <c r="AQ279" s="11">
        <v>-28210.0</v>
      </c>
      <c r="AR279" s="11">
        <v>-19450.0</v>
      </c>
      <c r="AS279" s="11">
        <v>-40120.0</v>
      </c>
      <c r="AT279" s="11">
        <v>-25110.0</v>
      </c>
      <c r="AU279" s="11">
        <v>-18590.0</v>
      </c>
      <c r="AV279" s="11">
        <v>-15870.0</v>
      </c>
      <c r="AW279" s="11">
        <v>-11750.0</v>
      </c>
      <c r="AX279" s="11">
        <v>-11540.0</v>
      </c>
      <c r="AY279" s="11">
        <v>-6790.0</v>
      </c>
      <c r="AZ279" s="11">
        <v>-10190.0</v>
      </c>
      <c r="BA279" s="11">
        <v>-2730.0</v>
      </c>
      <c r="BB279" s="11">
        <v>-6130.0</v>
      </c>
      <c r="BC279" s="12"/>
      <c r="BD279" s="12"/>
      <c r="BE279" s="12"/>
      <c r="BF279" s="12"/>
      <c r="BG279" s="12"/>
      <c r="BH279" s="11">
        <v>32440.0</v>
      </c>
      <c r="BI279" s="11">
        <v>52810.0</v>
      </c>
      <c r="BJ279" s="11">
        <v>21570.0</v>
      </c>
      <c r="BK279" s="11">
        <v>39250.0</v>
      </c>
      <c r="BL279" s="11">
        <v>14880.0</v>
      </c>
      <c r="BM279" s="11">
        <v>751.0</v>
      </c>
      <c r="BN279" s="11">
        <v>103.0</v>
      </c>
      <c r="BO279" s="11">
        <v>374.0</v>
      </c>
      <c r="BP279" s="11">
        <v>453.0</v>
      </c>
      <c r="BQ279" s="11">
        <v>1050.0</v>
      </c>
      <c r="BR279" s="12"/>
      <c r="BS279" s="12"/>
      <c r="BT279" s="12"/>
      <c r="BU279" s="12"/>
      <c r="BV279" s="11">
        <v>391.0</v>
      </c>
      <c r="BW279" s="11">
        <v>34030.0</v>
      </c>
      <c r="BX279" s="11">
        <v>54610.0</v>
      </c>
      <c r="BY279" s="11">
        <v>23790.0</v>
      </c>
      <c r="BZ279" s="11">
        <v>40690.0</v>
      </c>
      <c r="CA279" s="11">
        <v>16690.0</v>
      </c>
      <c r="CB279" s="11">
        <v>41540.0</v>
      </c>
      <c r="CC279" s="11">
        <v>31130.0</v>
      </c>
      <c r="CD279" s="11">
        <v>12970.0</v>
      </c>
      <c r="CE279" s="11">
        <v>4120.0</v>
      </c>
      <c r="CF279" s="11">
        <v>2770.0</v>
      </c>
      <c r="CG279" s="11">
        <v>7680.0</v>
      </c>
      <c r="CH279" s="11">
        <v>7680.0</v>
      </c>
      <c r="CI279" s="11">
        <v>7680.0</v>
      </c>
      <c r="CJ279" s="11">
        <v>7680.0</v>
      </c>
      <c r="CK279" s="11">
        <v>7680.0</v>
      </c>
      <c r="CL279" s="11">
        <v>97320.0</v>
      </c>
      <c r="CM279" s="11">
        <v>107580.0</v>
      </c>
      <c r="CN279" s="11">
        <v>61160.0</v>
      </c>
      <c r="CO279" s="11">
        <v>68630.0</v>
      </c>
      <c r="CP279" s="11">
        <v>49460.0</v>
      </c>
      <c r="CQ279" s="11">
        <v>2040.0</v>
      </c>
      <c r="CR279" s="11">
        <v>423.0</v>
      </c>
      <c r="CS279" s="11">
        <v>225.0</v>
      </c>
      <c r="CT279" s="11">
        <v>216.0</v>
      </c>
      <c r="CU279" s="11">
        <v>261.0</v>
      </c>
      <c r="CV279" s="11">
        <v>23670.0</v>
      </c>
      <c r="CW279" s="11">
        <v>16840.0</v>
      </c>
      <c r="CX279" s="11">
        <v>1870.0</v>
      </c>
      <c r="CY279" s="12"/>
      <c r="CZ279" s="12"/>
      <c r="DA279" s="12"/>
      <c r="DB279" s="11">
        <v>23670.0</v>
      </c>
      <c r="DC279" s="11">
        <v>8040.0</v>
      </c>
      <c r="DD279" s="11">
        <v>3680.0</v>
      </c>
      <c r="DE279" s="11">
        <v>2360.0</v>
      </c>
      <c r="DF279" s="11">
        <v>41610.0</v>
      </c>
      <c r="DG279" s="11">
        <v>22360.0</v>
      </c>
      <c r="DH279" s="11">
        <v>3860.0</v>
      </c>
      <c r="DI279" s="11">
        <v>2730.0</v>
      </c>
      <c r="DJ279" s="11">
        <v>3100.0</v>
      </c>
      <c r="DK279" s="11">
        <v>240.0</v>
      </c>
      <c r="DL279" s="11">
        <v>240.0</v>
      </c>
      <c r="DM279" s="11">
        <v>269.0</v>
      </c>
      <c r="DN279" s="11">
        <v>509.0</v>
      </c>
      <c r="DO279" s="11">
        <v>5380.0</v>
      </c>
      <c r="DP279" s="11">
        <v>17600.0</v>
      </c>
      <c r="DQ279" s="11">
        <v>14060.0</v>
      </c>
      <c r="DR279" s="12"/>
      <c r="DS279" s="12"/>
      <c r="DT279" s="12"/>
      <c r="DU279" s="13"/>
      <c r="DV279" s="12"/>
      <c r="DW279" s="12"/>
      <c r="DX279" s="13"/>
      <c r="DY279" s="13"/>
      <c r="DZ279" s="11">
        <v>55720.0</v>
      </c>
      <c r="EA279" s="11">
        <v>85220.0</v>
      </c>
      <c r="EB279" s="11">
        <v>57300.0</v>
      </c>
      <c r="EC279" s="11">
        <v>65890.0</v>
      </c>
      <c r="ED279" s="11">
        <v>46360.0</v>
      </c>
      <c r="EE279" s="14">
        <v>0.0</v>
      </c>
      <c r="EF279" s="14">
        <v>0.0</v>
      </c>
      <c r="EG279" s="14">
        <v>0.237</v>
      </c>
      <c r="EH279" s="14">
        <v>-0.019</v>
      </c>
    </row>
    <row r="280">
      <c r="A280" s="9">
        <f t="shared" si="2"/>
        <v>278</v>
      </c>
      <c r="B280" s="22" t="s">
        <v>414</v>
      </c>
      <c r="C280" s="11">
        <v>617970.0</v>
      </c>
      <c r="D280" s="11">
        <v>556650.0</v>
      </c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3"/>
      <c r="DV280" s="12"/>
      <c r="DW280" s="12"/>
      <c r="DX280" s="13"/>
      <c r="DY280" s="13"/>
      <c r="DZ280" s="12"/>
      <c r="EA280" s="12"/>
      <c r="EB280" s="12"/>
      <c r="EC280" s="12"/>
      <c r="ED280" s="12"/>
      <c r="EE280" s="14">
        <v>0.07</v>
      </c>
      <c r="EF280" s="14">
        <v>0.093</v>
      </c>
      <c r="EG280" s="14">
        <v>-0.133</v>
      </c>
      <c r="EH280" s="14">
        <v>0.086</v>
      </c>
    </row>
    <row r="281">
      <c r="A281" s="9">
        <f t="shared" si="2"/>
        <v>279</v>
      </c>
      <c r="B281" s="10" t="s">
        <v>415</v>
      </c>
      <c r="C281" s="15">
        <v>2760000.0</v>
      </c>
      <c r="D281" s="15">
        <v>2490000.0</v>
      </c>
      <c r="E281" s="15">
        <v>3070000.0</v>
      </c>
      <c r="F281" s="15">
        <v>3030000.0</v>
      </c>
      <c r="G281" s="15">
        <v>2930000.0</v>
      </c>
      <c r="H281" s="15">
        <v>2910000.0</v>
      </c>
      <c r="I281" s="15">
        <v>2840000.0</v>
      </c>
      <c r="J281" s="15">
        <v>435670.0</v>
      </c>
      <c r="K281" s="15">
        <v>437350.0</v>
      </c>
      <c r="L281" s="15">
        <v>454570.0</v>
      </c>
      <c r="M281" s="15">
        <v>423450.0</v>
      </c>
      <c r="N281" s="15">
        <v>402420.0</v>
      </c>
      <c r="O281" s="15">
        <v>152830.0</v>
      </c>
      <c r="P281" s="15">
        <v>143760.0</v>
      </c>
      <c r="Q281" s="15">
        <v>141410.0</v>
      </c>
      <c r="R281" s="15">
        <v>142980.0</v>
      </c>
      <c r="S281" s="15">
        <v>144040.0</v>
      </c>
      <c r="T281" s="15"/>
      <c r="U281" s="15"/>
      <c r="V281" s="15"/>
      <c r="W281" s="15"/>
      <c r="X281" s="15"/>
      <c r="Y281" s="15">
        <v>282680.0</v>
      </c>
      <c r="Z281" s="12"/>
      <c r="AA281" s="12"/>
      <c r="AB281" s="15"/>
      <c r="AC281" s="15">
        <v>254470.0</v>
      </c>
      <c r="AD281" s="15">
        <v>266360.0</v>
      </c>
      <c r="AE281" s="15">
        <v>278420.0</v>
      </c>
      <c r="AF281" s="15">
        <v>298890.0</v>
      </c>
      <c r="AG281" s="15">
        <v>266420.0</v>
      </c>
      <c r="AH281" s="15">
        <v>238200.0</v>
      </c>
      <c r="AI281" s="15">
        <v>390380.0</v>
      </c>
      <c r="AJ281" s="15">
        <v>387280.0</v>
      </c>
      <c r="AK281" s="15">
        <v>399480.0</v>
      </c>
      <c r="AL281" s="15">
        <v>358690.0</v>
      </c>
      <c r="AM281" s="15">
        <v>331340.0</v>
      </c>
      <c r="AN281" s="15">
        <v>223400.0</v>
      </c>
      <c r="AO281" s="15">
        <v>247620.0</v>
      </c>
      <c r="AP281" s="15">
        <v>201900.0</v>
      </c>
      <c r="AQ281" s="15">
        <v>189300.0</v>
      </c>
      <c r="AR281" s="15">
        <v>163900.0</v>
      </c>
      <c r="AS281" s="15">
        <v>362800.0</v>
      </c>
      <c r="AT281" s="15">
        <v>330620.0</v>
      </c>
      <c r="AU281" s="15">
        <v>320770.0</v>
      </c>
      <c r="AV281" s="15">
        <v>271380.0</v>
      </c>
      <c r="AW281" s="15">
        <v>334060.0</v>
      </c>
      <c r="AX281" s="15">
        <v>-138290.0</v>
      </c>
      <c r="AY281" s="15">
        <v>-152250.0</v>
      </c>
      <c r="AZ281" s="15">
        <v>-110590.0</v>
      </c>
      <c r="BA281" s="15">
        <v>-114020.0</v>
      </c>
      <c r="BB281" s="15">
        <v>-90860.0</v>
      </c>
      <c r="BC281" s="15">
        <v>-193480.0</v>
      </c>
      <c r="BD281" s="15">
        <v>-207160.0</v>
      </c>
      <c r="BE281" s="15">
        <v>-196870.0</v>
      </c>
      <c r="BF281" s="15">
        <v>-255550.0</v>
      </c>
      <c r="BG281" s="15">
        <v>-95700.0</v>
      </c>
      <c r="BH281" s="15">
        <v>36880.0</v>
      </c>
      <c r="BI281" s="15">
        <v>114660.0</v>
      </c>
      <c r="BJ281" s="15">
        <v>161000.0</v>
      </c>
      <c r="BK281" s="15">
        <v>150970.0</v>
      </c>
      <c r="BL281" s="15">
        <v>265460.0</v>
      </c>
      <c r="BM281" s="15">
        <v>32210.0</v>
      </c>
      <c r="BN281" s="15">
        <v>19500.0</v>
      </c>
      <c r="BO281" s="15">
        <v>22380.0</v>
      </c>
      <c r="BP281" s="15">
        <v>35570.0</v>
      </c>
      <c r="BQ281" s="15">
        <v>18050.0</v>
      </c>
      <c r="BR281" s="15">
        <v>154960.0</v>
      </c>
      <c r="BS281" s="15">
        <v>156250.0</v>
      </c>
      <c r="BT281" s="15">
        <v>156370.0</v>
      </c>
      <c r="BU281" s="15">
        <v>152310.0</v>
      </c>
      <c r="BV281" s="15">
        <v>153060.0</v>
      </c>
      <c r="BW281" s="15">
        <v>242380.0</v>
      </c>
      <c r="BX281" s="15">
        <v>306750.0</v>
      </c>
      <c r="BY281" s="15">
        <v>358860.0</v>
      </c>
      <c r="BZ281" s="15">
        <v>355740.0</v>
      </c>
      <c r="CA281" s="15">
        <v>456820.0</v>
      </c>
      <c r="CB281" s="15">
        <v>1170000.0</v>
      </c>
      <c r="CC281" s="15">
        <v>1150000.0</v>
      </c>
      <c r="CD281" s="15">
        <v>1100000.0</v>
      </c>
      <c r="CE281" s="15">
        <v>1080000.0</v>
      </c>
      <c r="CF281" s="15">
        <v>1050000.0</v>
      </c>
      <c r="CG281" s="15"/>
      <c r="CH281" s="15"/>
      <c r="CI281" s="15"/>
      <c r="CJ281" s="15"/>
      <c r="CK281" s="15"/>
      <c r="CL281" s="15">
        <v>1630000.0</v>
      </c>
      <c r="CM281" s="15">
        <v>1570000.0</v>
      </c>
      <c r="CN281" s="15">
        <v>1520000.0</v>
      </c>
      <c r="CO281" s="15">
        <v>1500000.0</v>
      </c>
      <c r="CP281" s="15">
        <v>1580000.0</v>
      </c>
      <c r="CQ281" s="15">
        <v>132220.0</v>
      </c>
      <c r="CR281" s="15">
        <v>122330.0</v>
      </c>
      <c r="CS281" s="15">
        <v>118400.0</v>
      </c>
      <c r="CT281" s="15">
        <v>132490.0</v>
      </c>
      <c r="CU281" s="15">
        <v>133120.0</v>
      </c>
      <c r="CV281" s="15">
        <v>392470.0</v>
      </c>
      <c r="CW281" s="15"/>
      <c r="CX281" s="13"/>
      <c r="CY281" s="13"/>
      <c r="CZ281" s="13"/>
      <c r="DA281" s="12"/>
      <c r="DB281" s="15">
        <v>392470.0</v>
      </c>
      <c r="DC281" s="15">
        <v>364620.0</v>
      </c>
      <c r="DD281" s="15">
        <v>375830.0</v>
      </c>
      <c r="DE281" s="15">
        <v>368820.0</v>
      </c>
      <c r="DF281" s="15">
        <v>1030000.0</v>
      </c>
      <c r="DG281" s="15">
        <v>983530.0</v>
      </c>
      <c r="DH281" s="15">
        <v>977440.0</v>
      </c>
      <c r="DI281" s="15">
        <v>971220.0</v>
      </c>
      <c r="DJ281" s="15">
        <v>1040000.0</v>
      </c>
      <c r="DK281" s="15">
        <v>89100.0</v>
      </c>
      <c r="DL281" s="15"/>
      <c r="DM281" s="15"/>
      <c r="DN281" s="15"/>
      <c r="DO281" s="15"/>
      <c r="DP281" s="15">
        <v>400000.0</v>
      </c>
      <c r="DQ281" s="15">
        <v>400000.0</v>
      </c>
      <c r="DR281" s="15">
        <v>400000.0</v>
      </c>
      <c r="DS281" s="15">
        <v>400000.0</v>
      </c>
      <c r="DT281" s="15">
        <v>400000.0</v>
      </c>
      <c r="DU281" s="13"/>
      <c r="DV281" s="12"/>
      <c r="DW281" s="12"/>
      <c r="DX281" s="13"/>
      <c r="DY281" s="13"/>
      <c r="DZ281" s="15">
        <v>604710.0</v>
      </c>
      <c r="EA281" s="15">
        <v>581780.0</v>
      </c>
      <c r="EB281" s="15">
        <v>544510.0</v>
      </c>
      <c r="EC281" s="15">
        <v>526440.0</v>
      </c>
      <c r="ED281" s="15">
        <v>538270.0</v>
      </c>
      <c r="EE281" s="17">
        <v>0.1</v>
      </c>
      <c r="EF281" s="17">
        <v>0.188</v>
      </c>
      <c r="EG281" s="17">
        <v>0.177</v>
      </c>
      <c r="EH281" s="17">
        <v>0.031</v>
      </c>
    </row>
    <row r="282">
      <c r="A282" s="9">
        <f t="shared" si="2"/>
        <v>280</v>
      </c>
      <c r="B282" s="25" t="s">
        <v>416</v>
      </c>
      <c r="C282" s="15">
        <v>2860000.0</v>
      </c>
      <c r="D282" s="15">
        <v>2680000.0</v>
      </c>
      <c r="E282" s="15">
        <v>3340000.0</v>
      </c>
      <c r="F282" s="15">
        <v>3240000.0</v>
      </c>
      <c r="G282" s="15">
        <v>2720000.0</v>
      </c>
      <c r="H282" s="15">
        <v>2410000.0</v>
      </c>
      <c r="I282" s="15">
        <v>2870000.0</v>
      </c>
      <c r="J282" s="15">
        <v>694000.0</v>
      </c>
      <c r="K282" s="15">
        <v>741000.0</v>
      </c>
      <c r="L282" s="15">
        <v>665000.0</v>
      </c>
      <c r="M282" s="15">
        <v>611000.0</v>
      </c>
      <c r="N282" s="15">
        <v>595000.0</v>
      </c>
      <c r="O282" s="15">
        <v>330000.0</v>
      </c>
      <c r="P282" s="15">
        <v>373000.0</v>
      </c>
      <c r="Q282" s="15">
        <v>315000.0</v>
      </c>
      <c r="R282" s="15">
        <v>297000.0</v>
      </c>
      <c r="S282" s="15">
        <v>324000.0</v>
      </c>
      <c r="T282" s="15">
        <v>60000.0</v>
      </c>
      <c r="U282" s="15">
        <v>66000.0</v>
      </c>
      <c r="V282" s="15">
        <v>56000.0</v>
      </c>
      <c r="W282" s="15">
        <v>48000.0</v>
      </c>
      <c r="X282" s="15">
        <v>58000.0</v>
      </c>
      <c r="Y282" s="15">
        <v>294000.0</v>
      </c>
      <c r="Z282" s="15">
        <v>-226000.0</v>
      </c>
      <c r="AA282" s="15">
        <v>-3000.0</v>
      </c>
      <c r="AB282" s="15">
        <v>-64000.0</v>
      </c>
      <c r="AC282" s="15">
        <v>-317000.0</v>
      </c>
      <c r="AD282" s="15">
        <v>255000.0</v>
      </c>
      <c r="AE282" s="15">
        <v>117000.0</v>
      </c>
      <c r="AF282" s="15">
        <v>299000.0</v>
      </c>
      <c r="AG282" s="15">
        <v>194000.0</v>
      </c>
      <c r="AH282" s="15">
        <v>-377000.0</v>
      </c>
      <c r="AI282" s="15">
        <v>512000.0</v>
      </c>
      <c r="AJ282" s="15">
        <v>517000.0</v>
      </c>
      <c r="AK282" s="15">
        <v>505000.0</v>
      </c>
      <c r="AL282" s="15">
        <v>475000.0</v>
      </c>
      <c r="AM282" s="15">
        <v>454000.0</v>
      </c>
      <c r="AN282" s="15">
        <v>155000.0</v>
      </c>
      <c r="AO282" s="15">
        <v>-114000.0</v>
      </c>
      <c r="AP282" s="15">
        <v>246000.0</v>
      </c>
      <c r="AQ282" s="15">
        <v>147000.0</v>
      </c>
      <c r="AR282" s="15">
        <v>-336000.0</v>
      </c>
      <c r="AS282" s="15">
        <v>363000.0</v>
      </c>
      <c r="AT282" s="15">
        <v>298000.0</v>
      </c>
      <c r="AU282" s="15">
        <v>348000.0</v>
      </c>
      <c r="AV282" s="15">
        <v>392000.0</v>
      </c>
      <c r="AW282" s="15">
        <v>499000.0</v>
      </c>
      <c r="AX282" s="15">
        <v>-224000.0</v>
      </c>
      <c r="AY282" s="15">
        <v>-229000.0</v>
      </c>
      <c r="AZ282" s="15">
        <v>-147000.0</v>
      </c>
      <c r="BA282" s="15">
        <v>-112000.0</v>
      </c>
      <c r="BB282" s="15">
        <v>-141000.0</v>
      </c>
      <c r="BC282" s="15">
        <v>-80000.0</v>
      </c>
      <c r="BD282" s="15">
        <v>-80000.0</v>
      </c>
      <c r="BE282" s="15">
        <v>-77000.0</v>
      </c>
      <c r="BF282" s="15">
        <v>-65000.0</v>
      </c>
      <c r="BG282" s="15">
        <v>-56000.0</v>
      </c>
      <c r="BH282" s="15">
        <v>169000.0</v>
      </c>
      <c r="BI282" s="15">
        <v>175000.0</v>
      </c>
      <c r="BJ282" s="15">
        <v>280000.0</v>
      </c>
      <c r="BK282" s="15">
        <v>200000.0</v>
      </c>
      <c r="BL282" s="15">
        <v>77000.0</v>
      </c>
      <c r="BM282" s="15">
        <v>530000.0</v>
      </c>
      <c r="BN282" s="15">
        <v>637000.0</v>
      </c>
      <c r="BO282" s="15">
        <v>527000.0</v>
      </c>
      <c r="BP282" s="15">
        <v>456000.0</v>
      </c>
      <c r="BQ282" s="15">
        <v>477000.0</v>
      </c>
      <c r="BR282" s="15">
        <v>466000.0</v>
      </c>
      <c r="BS282" s="15">
        <v>511000.0</v>
      </c>
      <c r="BT282" s="15">
        <v>433000.0</v>
      </c>
      <c r="BU282" s="15">
        <v>342000.0</v>
      </c>
      <c r="BV282" s="15">
        <v>397000.0</v>
      </c>
      <c r="BW282" s="15">
        <v>1210000.0</v>
      </c>
      <c r="BX282" s="15">
        <v>1390000.0</v>
      </c>
      <c r="BY282" s="15">
        <v>1300000.0</v>
      </c>
      <c r="BZ282" s="15">
        <v>1050000.0</v>
      </c>
      <c r="CA282" s="15">
        <v>1050000.0</v>
      </c>
      <c r="CB282" s="15">
        <v>1350000.0</v>
      </c>
      <c r="CC282" s="15">
        <v>1300000.0</v>
      </c>
      <c r="CD282" s="15">
        <v>1310000.0</v>
      </c>
      <c r="CE282" s="15">
        <v>1290000.0</v>
      </c>
      <c r="CF282" s="15">
        <v>1380000.0</v>
      </c>
      <c r="CG282" s="15">
        <v>90000.0</v>
      </c>
      <c r="CH282" s="15">
        <v>93000.0</v>
      </c>
      <c r="CI282" s="15">
        <v>154000.0</v>
      </c>
      <c r="CJ282" s="15">
        <v>152000.0</v>
      </c>
      <c r="CK282" s="15">
        <v>154000.0</v>
      </c>
      <c r="CL282" s="15">
        <v>3000000.0</v>
      </c>
      <c r="CM282" s="15">
        <v>3240000.0</v>
      </c>
      <c r="CN282" s="15">
        <v>3340000.0</v>
      </c>
      <c r="CO282" s="15">
        <v>3040000.0</v>
      </c>
      <c r="CP282" s="15">
        <v>3080000.0</v>
      </c>
      <c r="CQ282" s="15">
        <v>390000.0</v>
      </c>
      <c r="CR282" s="15">
        <v>446000.0</v>
      </c>
      <c r="CS282" s="15">
        <v>339000.0</v>
      </c>
      <c r="CT282" s="15">
        <v>259000.0</v>
      </c>
      <c r="CU282" s="15">
        <v>274000.0</v>
      </c>
      <c r="CV282" s="15">
        <v>599000.0</v>
      </c>
      <c r="CW282" s="15">
        <v>33000.0</v>
      </c>
      <c r="CX282" s="15">
        <v>249000.0</v>
      </c>
      <c r="CY282" s="15">
        <v>7000.0</v>
      </c>
      <c r="CZ282" s="15">
        <v>7000.0</v>
      </c>
      <c r="DA282" s="15">
        <v>22000.0</v>
      </c>
      <c r="DB282" s="15">
        <v>599000.0</v>
      </c>
      <c r="DC282" s="15">
        <v>952000.0</v>
      </c>
      <c r="DD282" s="15">
        <v>742000.0</v>
      </c>
      <c r="DE282" s="15">
        <v>397000.0</v>
      </c>
      <c r="DF282" s="15">
        <v>1870000.0</v>
      </c>
      <c r="DG282" s="15">
        <v>1970000.0</v>
      </c>
      <c r="DH282" s="15">
        <v>1690000.0</v>
      </c>
      <c r="DI282" s="15">
        <v>1640000.0</v>
      </c>
      <c r="DJ282" s="15">
        <v>1710000.0</v>
      </c>
      <c r="DK282" s="15">
        <v>49000.0</v>
      </c>
      <c r="DL282" s="15">
        <v>63000.0</v>
      </c>
      <c r="DM282" s="15">
        <v>68000.0</v>
      </c>
      <c r="DN282" s="15">
        <v>65000.0</v>
      </c>
      <c r="DO282" s="15">
        <v>69000.0</v>
      </c>
      <c r="DP282" s="15">
        <v>1020000.0</v>
      </c>
      <c r="DQ282" s="15">
        <v>719000.0</v>
      </c>
      <c r="DR282" s="15">
        <v>661000.0</v>
      </c>
      <c r="DS282" s="15">
        <v>914000.0</v>
      </c>
      <c r="DT282" s="15">
        <v>970000.0</v>
      </c>
      <c r="DU282" s="13"/>
      <c r="DV282" s="12"/>
      <c r="DW282" s="15">
        <v>27000.0</v>
      </c>
      <c r="DX282" s="15">
        <v>26000.0</v>
      </c>
      <c r="DY282" s="15">
        <v>27000.0</v>
      </c>
      <c r="DZ282" s="15">
        <v>998000.0</v>
      </c>
      <c r="EA282" s="15">
        <v>1150000.0</v>
      </c>
      <c r="EB282" s="15">
        <v>1530000.0</v>
      </c>
      <c r="EC282" s="15">
        <v>1300000.0</v>
      </c>
      <c r="ED282" s="15">
        <v>1260000.0</v>
      </c>
      <c r="EE282" s="23"/>
      <c r="EF282" s="23"/>
      <c r="EG282" s="23">
        <v>0.116</v>
      </c>
      <c r="EH282" s="23">
        <v>0.002</v>
      </c>
    </row>
    <row r="283">
      <c r="A283" s="9">
        <f t="shared" si="2"/>
        <v>281</v>
      </c>
      <c r="B283" s="25" t="s">
        <v>417</v>
      </c>
      <c r="C283" s="15">
        <v>5250000.0</v>
      </c>
      <c r="D283" s="15">
        <v>4860000.0</v>
      </c>
      <c r="E283" s="15">
        <v>5530000.0</v>
      </c>
      <c r="F283" s="15">
        <v>6640000.0</v>
      </c>
      <c r="G283" s="15">
        <v>6180000.0</v>
      </c>
      <c r="H283" s="15">
        <v>5400000.0</v>
      </c>
      <c r="I283" s="15">
        <v>5720000.0</v>
      </c>
      <c r="J283" s="15">
        <v>1050000.0</v>
      </c>
      <c r="K283" s="15">
        <v>2000000.0</v>
      </c>
      <c r="L283" s="15">
        <v>1800000.0</v>
      </c>
      <c r="M283" s="15">
        <v>1150000.0</v>
      </c>
      <c r="N283" s="15">
        <v>955000.0</v>
      </c>
      <c r="O283" s="15">
        <v>627000.0</v>
      </c>
      <c r="P283" s="15">
        <v>739000.0</v>
      </c>
      <c r="Q283" s="15">
        <v>682000.0</v>
      </c>
      <c r="R283" s="15">
        <v>653000.0</v>
      </c>
      <c r="S283" s="15">
        <v>729000.0</v>
      </c>
      <c r="T283" s="15">
        <v>80000.0</v>
      </c>
      <c r="U283" s="15">
        <v>82000.0</v>
      </c>
      <c r="V283" s="15">
        <v>80000.0</v>
      </c>
      <c r="W283" s="15">
        <v>80000.0</v>
      </c>
      <c r="X283" s="15">
        <v>97000.0</v>
      </c>
      <c r="Y283" s="15">
        <v>336000.0</v>
      </c>
      <c r="Z283" s="15">
        <v>1140000.0</v>
      </c>
      <c r="AA283" s="15">
        <v>-53000.0</v>
      </c>
      <c r="AB283" s="15">
        <v>-104000.0</v>
      </c>
      <c r="AC283" s="15">
        <v>-90000.0</v>
      </c>
      <c r="AD283" s="15">
        <v>-124000.0</v>
      </c>
      <c r="AE283" s="15">
        <v>1160000.0</v>
      </c>
      <c r="AF283" s="15">
        <v>912000.0</v>
      </c>
      <c r="AG283" s="15">
        <v>-11000.0</v>
      </c>
      <c r="AH283" s="15">
        <v>-188000.0</v>
      </c>
      <c r="AI283" s="15">
        <v>737000.0</v>
      </c>
      <c r="AJ283" s="15">
        <v>1510000.0</v>
      </c>
      <c r="AK283" s="15">
        <v>1350000.0</v>
      </c>
      <c r="AL283" s="15">
        <v>741000.0</v>
      </c>
      <c r="AM283" s="15">
        <v>493000.0</v>
      </c>
      <c r="AN283" s="15">
        <v>-52000.0</v>
      </c>
      <c r="AO283" s="15">
        <v>995000.0</v>
      </c>
      <c r="AP283" s="15">
        <v>746000.0</v>
      </c>
      <c r="AQ283" s="15">
        <v>7000.0</v>
      </c>
      <c r="AR283" s="15">
        <v>-90000.0</v>
      </c>
      <c r="AS283" s="15">
        <v>650000.0</v>
      </c>
      <c r="AT283" s="15">
        <v>1140000.0</v>
      </c>
      <c r="AU283" s="15">
        <v>639000.0</v>
      </c>
      <c r="AV283" s="15">
        <v>594000.0</v>
      </c>
      <c r="AW283" s="15">
        <v>182000.0</v>
      </c>
      <c r="AX283" s="15">
        <v>-481000.0</v>
      </c>
      <c r="AY283" s="15">
        <v>-498000.0</v>
      </c>
      <c r="AZ283" s="15">
        <v>-411000.0</v>
      </c>
      <c r="BA283" s="15">
        <v>-338000.0</v>
      </c>
      <c r="BB283" s="15">
        <v>-519000.0</v>
      </c>
      <c r="BC283" s="15">
        <v>-164000.0</v>
      </c>
      <c r="BD283" s="15">
        <v>-148000.0</v>
      </c>
      <c r="BE283" s="15">
        <v>-22000.0</v>
      </c>
      <c r="BF283" s="15">
        <v>-22000.0</v>
      </c>
      <c r="BG283" s="15">
        <v>-105000.0</v>
      </c>
      <c r="BH283" s="15">
        <v>943000.0</v>
      </c>
      <c r="BI283" s="15">
        <v>1200000.0</v>
      </c>
      <c r="BJ283" s="15">
        <v>1560000.0</v>
      </c>
      <c r="BK283" s="15">
        <v>902000.0</v>
      </c>
      <c r="BL283" s="15">
        <v>366000.0</v>
      </c>
      <c r="BM283" s="15">
        <v>674000.0</v>
      </c>
      <c r="BN283" s="15">
        <v>861000.0</v>
      </c>
      <c r="BO283" s="15">
        <v>919000.0</v>
      </c>
      <c r="BP283" s="15">
        <v>807000.0</v>
      </c>
      <c r="BQ283" s="15">
        <v>859000.0</v>
      </c>
      <c r="BR283" s="15">
        <v>1080000.0</v>
      </c>
      <c r="BS283" s="15">
        <v>1150000.0</v>
      </c>
      <c r="BT283" s="15">
        <v>935000.0</v>
      </c>
      <c r="BU283" s="15">
        <v>767000.0</v>
      </c>
      <c r="BV283" s="15">
        <v>972000.0</v>
      </c>
      <c r="BW283" s="15">
        <v>2780000.0</v>
      </c>
      <c r="BX283" s="15">
        <v>3290000.0</v>
      </c>
      <c r="BY283" s="15">
        <v>3490000.0</v>
      </c>
      <c r="BZ283" s="15">
        <v>2550000.0</v>
      </c>
      <c r="CA283" s="15">
        <v>2300000.0</v>
      </c>
      <c r="CB283" s="15">
        <v>3850000.0</v>
      </c>
      <c r="CC283" s="15">
        <v>3290000.0</v>
      </c>
      <c r="CD283" s="15">
        <v>3010000.0</v>
      </c>
      <c r="CE283" s="15">
        <v>2780000.0</v>
      </c>
      <c r="CF283" s="15">
        <v>3180000.0</v>
      </c>
      <c r="CG283" s="15">
        <v>153000.0</v>
      </c>
      <c r="CH283" s="15">
        <v>153000.0</v>
      </c>
      <c r="CI283" s="15">
        <v>153000.0</v>
      </c>
      <c r="CJ283" s="15">
        <v>153000.0</v>
      </c>
      <c r="CK283" s="15">
        <v>166000.0</v>
      </c>
      <c r="CL283" s="15">
        <v>7260000.0</v>
      </c>
      <c r="CM283" s="15">
        <v>7360000.0</v>
      </c>
      <c r="CN283" s="15">
        <v>7290000.0</v>
      </c>
      <c r="CO283" s="15">
        <v>6060000.0</v>
      </c>
      <c r="CP283" s="15">
        <v>6300000.0</v>
      </c>
      <c r="CQ283" s="15">
        <v>901000.0</v>
      </c>
      <c r="CR283" s="15">
        <v>1110000.0</v>
      </c>
      <c r="CS283" s="15">
        <v>1010000.0</v>
      </c>
      <c r="CT283" s="15">
        <v>858000.0</v>
      </c>
      <c r="CU283" s="15">
        <v>945000.0</v>
      </c>
      <c r="CV283" s="15">
        <v>1540000.0</v>
      </c>
      <c r="CW283" s="15">
        <v>66000.0</v>
      </c>
      <c r="CX283" s="13"/>
      <c r="CY283" s="12"/>
      <c r="CZ283" s="12"/>
      <c r="DA283" s="12"/>
      <c r="DB283" s="15">
        <v>1540000.0</v>
      </c>
      <c r="DC283" s="15">
        <v>1710000.0</v>
      </c>
      <c r="DD283" s="15">
        <v>1650000.0</v>
      </c>
      <c r="DE283" s="15">
        <v>1770000.0</v>
      </c>
      <c r="DF283" s="15">
        <v>6560000.0</v>
      </c>
      <c r="DG283" s="15">
        <v>6340000.0</v>
      </c>
      <c r="DH283" s="15">
        <v>6430000.0</v>
      </c>
      <c r="DI283" s="15">
        <v>5960000.0</v>
      </c>
      <c r="DJ283" s="15">
        <v>6170000.0</v>
      </c>
      <c r="DK283" s="15">
        <v>162000.0</v>
      </c>
      <c r="DL283" s="15">
        <v>160000.0</v>
      </c>
      <c r="DM283" s="15">
        <v>173000.0</v>
      </c>
      <c r="DN283" s="15">
        <v>136000.0</v>
      </c>
      <c r="DO283" s="15">
        <v>136000.0</v>
      </c>
      <c r="DP283" s="15">
        <v>4270000.0</v>
      </c>
      <c r="DQ283" s="15">
        <v>3960000.0</v>
      </c>
      <c r="DR283" s="15">
        <v>4100000.0</v>
      </c>
      <c r="DS283" s="15">
        <v>3530000.0</v>
      </c>
      <c r="DT283" s="15">
        <v>3920000.0</v>
      </c>
      <c r="DU283" s="12"/>
      <c r="DV283" s="12"/>
      <c r="DW283" s="12"/>
      <c r="DX283" s="12"/>
      <c r="DY283" s="13"/>
      <c r="DZ283" s="15">
        <v>689000.0</v>
      </c>
      <c r="EA283" s="15">
        <v>1010000.0</v>
      </c>
      <c r="EB283" s="15">
        <v>860000.0</v>
      </c>
      <c r="EC283" s="15">
        <v>100000.0</v>
      </c>
      <c r="ED283" s="15">
        <v>126000.0</v>
      </c>
      <c r="EE283" s="23"/>
      <c r="EF283" s="23"/>
      <c r="EG283" s="17">
        <v>0.543</v>
      </c>
      <c r="EH283" s="17">
        <v>0.178</v>
      </c>
    </row>
    <row r="284">
      <c r="A284" s="9">
        <f t="shared" si="2"/>
        <v>282</v>
      </c>
      <c r="B284" s="10" t="s">
        <v>418</v>
      </c>
      <c r="C284" s="11"/>
      <c r="D284" s="11"/>
      <c r="E284" s="11">
        <v>281350.0</v>
      </c>
      <c r="F284" s="11">
        <v>284190.0</v>
      </c>
      <c r="G284" s="11">
        <v>252560.0</v>
      </c>
      <c r="H284" s="11">
        <v>238090.0</v>
      </c>
      <c r="I284" s="11">
        <v>238050.0</v>
      </c>
      <c r="J284" s="11">
        <v>88740.0</v>
      </c>
      <c r="K284" s="11">
        <v>97250.0</v>
      </c>
      <c r="L284" s="11">
        <v>106520.0</v>
      </c>
      <c r="M284" s="11">
        <v>93660.0</v>
      </c>
      <c r="N284" s="11">
        <v>88840.0</v>
      </c>
      <c r="O284" s="11">
        <v>40270.0</v>
      </c>
      <c r="P284" s="11">
        <v>39740.0</v>
      </c>
      <c r="Q284" s="11">
        <v>47610.0</v>
      </c>
      <c r="R284" s="11">
        <v>44510.0</v>
      </c>
      <c r="S284" s="11">
        <v>46040.0</v>
      </c>
      <c r="T284" s="11">
        <v>4020.0</v>
      </c>
      <c r="U284" s="11">
        <v>3940.0</v>
      </c>
      <c r="V284" s="11">
        <v>3700.0</v>
      </c>
      <c r="W284" s="11">
        <v>2790.0</v>
      </c>
      <c r="X284" s="11">
        <v>2690.0</v>
      </c>
      <c r="Y284" s="11">
        <v>45080.0</v>
      </c>
      <c r="Z284" s="11">
        <v>-1670.0</v>
      </c>
      <c r="AA284" s="11">
        <v>58260.0</v>
      </c>
      <c r="AB284" s="11">
        <v>47850.0</v>
      </c>
      <c r="AC284" s="11">
        <v>42160.0</v>
      </c>
      <c r="AD284" s="11">
        <v>43550.0</v>
      </c>
      <c r="AE284" s="11">
        <v>56970.0</v>
      </c>
      <c r="AF284" s="11">
        <v>60890.0</v>
      </c>
      <c r="AG284" s="11">
        <v>50110.0</v>
      </c>
      <c r="AH284" s="11">
        <v>41230.0</v>
      </c>
      <c r="AI284" s="11">
        <v>65680.0</v>
      </c>
      <c r="AJ284" s="11">
        <v>75130.0</v>
      </c>
      <c r="AK284" s="11">
        <v>73170.0</v>
      </c>
      <c r="AL284" s="11">
        <v>62590.0</v>
      </c>
      <c r="AM284" s="11">
        <v>55380.0</v>
      </c>
      <c r="AN284" s="11">
        <v>32450.0</v>
      </c>
      <c r="AO284" s="11">
        <v>42730.0</v>
      </c>
      <c r="AP284" s="11">
        <v>41560.0</v>
      </c>
      <c r="AQ284" s="11">
        <v>32540.0</v>
      </c>
      <c r="AR284" s="11">
        <v>26100.0</v>
      </c>
      <c r="AS284" s="11">
        <v>49540.0</v>
      </c>
      <c r="AT284" s="11">
        <v>46070.0</v>
      </c>
      <c r="AU284" s="11">
        <v>51930.0</v>
      </c>
      <c r="AV284" s="11">
        <v>48830.0</v>
      </c>
      <c r="AW284" s="11">
        <v>40960.0</v>
      </c>
      <c r="AX284" s="11">
        <v>-2520.0</v>
      </c>
      <c r="AY284" s="11">
        <v>-3510.0</v>
      </c>
      <c r="AZ284" s="11">
        <v>-3270.0</v>
      </c>
      <c r="BA284" s="11">
        <v>-2110.0</v>
      </c>
      <c r="BB284" s="11">
        <v>-2680.0</v>
      </c>
      <c r="BC284" s="11">
        <v>-7520.0</v>
      </c>
      <c r="BD284" s="11">
        <v>-7500.0</v>
      </c>
      <c r="BE284" s="11">
        <v>-6530.0</v>
      </c>
      <c r="BF284" s="11">
        <v>-6000.0</v>
      </c>
      <c r="BG284" s="11">
        <v>-5480.0</v>
      </c>
      <c r="BH284" s="11">
        <v>47770.0</v>
      </c>
      <c r="BI284" s="11">
        <v>34830.0</v>
      </c>
      <c r="BJ284" s="11">
        <v>47350.0</v>
      </c>
      <c r="BK284" s="11">
        <v>73410.0</v>
      </c>
      <c r="BL284" s="11">
        <v>43820.0</v>
      </c>
      <c r="BM284" s="11">
        <v>39470.0</v>
      </c>
      <c r="BN284" s="11">
        <v>45090.0</v>
      </c>
      <c r="BO284" s="11">
        <v>38050.0</v>
      </c>
      <c r="BP284" s="11">
        <v>35290.0</v>
      </c>
      <c r="BQ284" s="11">
        <v>39490.0</v>
      </c>
      <c r="BR284" s="11">
        <v>42350.0</v>
      </c>
      <c r="BS284" s="11">
        <v>39700.0</v>
      </c>
      <c r="BT284" s="11">
        <v>25620.0</v>
      </c>
      <c r="BU284" s="11">
        <v>25810.0</v>
      </c>
      <c r="BV284" s="11">
        <v>29480.0</v>
      </c>
      <c r="BW284" s="11">
        <v>134380.0</v>
      </c>
      <c r="BX284" s="11">
        <v>126230.0</v>
      </c>
      <c r="BY284" s="11">
        <v>114140.0</v>
      </c>
      <c r="BZ284" s="11">
        <v>138850.0</v>
      </c>
      <c r="CA284" s="11">
        <v>118300.0</v>
      </c>
      <c r="CB284" s="11">
        <v>29330.0</v>
      </c>
      <c r="CC284" s="11">
        <v>32850.0</v>
      </c>
      <c r="CD284" s="11">
        <v>34760.0</v>
      </c>
      <c r="CE284" s="11">
        <v>36740.0</v>
      </c>
      <c r="CF284" s="11">
        <v>40920.0</v>
      </c>
      <c r="CG284" s="11">
        <v>81990.0</v>
      </c>
      <c r="CH284" s="11">
        <v>84700.0</v>
      </c>
      <c r="CI284" s="11">
        <v>50780.0</v>
      </c>
      <c r="CJ284" s="11">
        <v>43580.0</v>
      </c>
      <c r="CK284" s="11">
        <v>44120.0</v>
      </c>
      <c r="CL284" s="11">
        <v>310470.0</v>
      </c>
      <c r="CM284" s="11">
        <v>320780.0</v>
      </c>
      <c r="CN284" s="11">
        <v>254740.0</v>
      </c>
      <c r="CO284" s="11">
        <v>262820.0</v>
      </c>
      <c r="CP284" s="11">
        <v>257900.0</v>
      </c>
      <c r="CQ284" s="11">
        <v>12110.0</v>
      </c>
      <c r="CR284" s="11">
        <v>17810.0</v>
      </c>
      <c r="CS284" s="11">
        <v>14460.0</v>
      </c>
      <c r="CT284" s="11">
        <v>12350.0</v>
      </c>
      <c r="CU284" s="11">
        <v>15600.0</v>
      </c>
      <c r="CV284" s="11">
        <v>22440.0</v>
      </c>
      <c r="CW284" s="11"/>
      <c r="CX284" s="13"/>
      <c r="CY284" s="13"/>
      <c r="CZ284" s="13"/>
      <c r="DA284" s="12"/>
      <c r="DB284" s="11">
        <v>22440.0</v>
      </c>
      <c r="DC284" s="11">
        <v>28940.0</v>
      </c>
      <c r="DD284" s="11">
        <v>27340.0</v>
      </c>
      <c r="DE284" s="11">
        <v>68510.0</v>
      </c>
      <c r="DF284" s="11">
        <v>39250.0</v>
      </c>
      <c r="DG284" s="11">
        <v>74020.0</v>
      </c>
      <c r="DH284" s="11">
        <v>43810.0</v>
      </c>
      <c r="DI284" s="11">
        <v>88730.0</v>
      </c>
      <c r="DJ284" s="11">
        <v>103560.0</v>
      </c>
      <c r="DK284" s="11">
        <v>1260.0</v>
      </c>
      <c r="DL284" s="11">
        <v>1090.0</v>
      </c>
      <c r="DM284" s="12">
        <v>964.0</v>
      </c>
      <c r="DN284" s="11">
        <v>1640.0</v>
      </c>
      <c r="DO284" s="11">
        <v>1410.0</v>
      </c>
      <c r="DP284" s="11"/>
      <c r="DQ284" s="11">
        <v>25000.0</v>
      </c>
      <c r="DR284" s="12"/>
      <c r="DS284" s="11"/>
      <c r="DT284" s="11">
        <v>43400.0</v>
      </c>
      <c r="DU284" s="13"/>
      <c r="DV284" s="12"/>
      <c r="DW284" s="12"/>
      <c r="DX284" s="13"/>
      <c r="DY284" s="13"/>
      <c r="DZ284" s="11">
        <v>271230.0</v>
      </c>
      <c r="EA284" s="11">
        <v>246760.0</v>
      </c>
      <c r="EB284" s="11">
        <v>210930.0</v>
      </c>
      <c r="EC284" s="11">
        <v>174090.0</v>
      </c>
      <c r="ED284" s="11">
        <v>154340.0</v>
      </c>
      <c r="EE284" s="14"/>
      <c r="EF284" s="14"/>
      <c r="EG284" s="29" t="s">
        <v>155</v>
      </c>
      <c r="EH284" s="14"/>
    </row>
    <row r="285">
      <c r="A285" s="9">
        <f t="shared" si="2"/>
        <v>283</v>
      </c>
      <c r="B285" s="10" t="s">
        <v>419</v>
      </c>
      <c r="C285" s="15">
        <v>1490000.0</v>
      </c>
      <c r="D285" s="15">
        <v>1500000.0</v>
      </c>
      <c r="E285" s="15">
        <v>1860000.0</v>
      </c>
      <c r="F285" s="15">
        <v>2090000.0</v>
      </c>
      <c r="G285" s="15">
        <v>2160000.0</v>
      </c>
      <c r="H285" s="15">
        <v>2430000.0</v>
      </c>
      <c r="I285" s="15">
        <v>2750000.0</v>
      </c>
      <c r="J285" s="15">
        <v>204830.0</v>
      </c>
      <c r="K285" s="15">
        <v>192340.0</v>
      </c>
      <c r="L285" s="15">
        <v>384430.0</v>
      </c>
      <c r="M285" s="15">
        <v>414470.0</v>
      </c>
      <c r="N285" s="15">
        <v>635690.0</v>
      </c>
      <c r="O285" s="15">
        <v>129930.0</v>
      </c>
      <c r="P285" s="15">
        <v>129310.0</v>
      </c>
      <c r="Q285" s="15">
        <v>168760.0</v>
      </c>
      <c r="R285" s="15">
        <v>211600.0</v>
      </c>
      <c r="S285" s="15">
        <v>193400.0</v>
      </c>
      <c r="T285" s="15">
        <v>6060.0</v>
      </c>
      <c r="U285" s="15">
        <v>1760.0</v>
      </c>
      <c r="V285" s="15">
        <v>5660.0</v>
      </c>
      <c r="W285" s="15">
        <v>4950.0</v>
      </c>
      <c r="X285" s="15">
        <v>6590.0</v>
      </c>
      <c r="Y285" s="15">
        <v>158720.0</v>
      </c>
      <c r="Z285" s="15">
        <v>22720.0</v>
      </c>
      <c r="AA285" s="15">
        <v>-92330.0</v>
      </c>
      <c r="AB285" s="15">
        <v>-72860.0</v>
      </c>
      <c r="AC285" s="15">
        <v>-53810.0</v>
      </c>
      <c r="AD285" s="15">
        <v>89660.0</v>
      </c>
      <c r="AE285" s="15">
        <v>7610.0</v>
      </c>
      <c r="AF285" s="15">
        <v>-207240.0</v>
      </c>
      <c r="AG285" s="15">
        <v>-154230.0</v>
      </c>
      <c r="AH285" s="15">
        <v>-78510.0</v>
      </c>
      <c r="AI285" s="15">
        <v>374020.0</v>
      </c>
      <c r="AJ285" s="15">
        <v>474130.0</v>
      </c>
      <c r="AK285" s="15">
        <v>567930.0</v>
      </c>
      <c r="AL285" s="15">
        <v>595190.0</v>
      </c>
      <c r="AM285" s="15">
        <v>775910.0</v>
      </c>
      <c r="AN285" s="15">
        <v>74000.0</v>
      </c>
      <c r="AO285" s="15">
        <v>166320.0</v>
      </c>
      <c r="AP285" s="15">
        <v>-204940.0</v>
      </c>
      <c r="AQ285" s="15">
        <v>-61610.0</v>
      </c>
      <c r="AR285" s="15">
        <v>65290.0</v>
      </c>
      <c r="AS285" s="15">
        <v>454540.0</v>
      </c>
      <c r="AT285" s="15">
        <v>594540.0</v>
      </c>
      <c r="AU285" s="15">
        <v>526550.0</v>
      </c>
      <c r="AV285" s="15">
        <v>241930.0</v>
      </c>
      <c r="AW285" s="15">
        <v>380500.0</v>
      </c>
      <c r="AX285" s="15">
        <v>-75210.0</v>
      </c>
      <c r="AY285" s="15">
        <v>-55360.0</v>
      </c>
      <c r="AZ285" s="15">
        <v>-114030.0</v>
      </c>
      <c r="BA285" s="15">
        <v>-216910.0</v>
      </c>
      <c r="BB285" s="15">
        <v>-358560.0</v>
      </c>
      <c r="BC285" s="15">
        <v>-31610.0</v>
      </c>
      <c r="BD285" s="15">
        <v>-71220.0</v>
      </c>
      <c r="BE285" s="15">
        <v>-158300.0</v>
      </c>
      <c r="BF285" s="15">
        <v>-158310.0</v>
      </c>
      <c r="BG285" s="15">
        <v>-158310.0</v>
      </c>
      <c r="BH285" s="15">
        <v>1060000.0</v>
      </c>
      <c r="BI285" s="15">
        <v>1100000.0</v>
      </c>
      <c r="BJ285" s="15">
        <v>591620.0</v>
      </c>
      <c r="BK285" s="15">
        <v>320280.0</v>
      </c>
      <c r="BL285" s="15">
        <v>458600.0</v>
      </c>
      <c r="BM285" s="15">
        <v>331710.0</v>
      </c>
      <c r="BN285" s="15">
        <v>409350.0</v>
      </c>
      <c r="BO285" s="15">
        <v>408230.0</v>
      </c>
      <c r="BP285" s="15">
        <v>254030.0</v>
      </c>
      <c r="BQ285" s="15">
        <v>246870.0</v>
      </c>
      <c r="BR285" s="15">
        <v>320770.0</v>
      </c>
      <c r="BS285" s="15">
        <v>467800.0</v>
      </c>
      <c r="BT285" s="15">
        <v>949770.0</v>
      </c>
      <c r="BU285" s="15">
        <v>1290000.0</v>
      </c>
      <c r="BV285" s="15">
        <v>1290000.0</v>
      </c>
      <c r="BW285" s="15">
        <v>1810000.0</v>
      </c>
      <c r="BX285" s="15">
        <v>2080000.0</v>
      </c>
      <c r="BY285" s="15">
        <v>2140000.0</v>
      </c>
      <c r="BZ285" s="15">
        <v>2040000.0</v>
      </c>
      <c r="CA285" s="15">
        <v>2180000.0</v>
      </c>
      <c r="CB285" s="15">
        <v>3720000.0</v>
      </c>
      <c r="CC285" s="15">
        <v>3240000.0</v>
      </c>
      <c r="CD285" s="15">
        <v>3560000.0</v>
      </c>
      <c r="CE285" s="15">
        <v>3930000.0</v>
      </c>
      <c r="CF285" s="15">
        <v>4250000.0</v>
      </c>
      <c r="CG285" s="15">
        <v>0.0</v>
      </c>
      <c r="CH285" s="15">
        <v>0.0</v>
      </c>
      <c r="CI285" s="15">
        <v>0.0</v>
      </c>
      <c r="CJ285" s="15">
        <v>118660.0</v>
      </c>
      <c r="CK285" s="15">
        <v>122310.0</v>
      </c>
      <c r="CL285" s="15">
        <v>7430000.0</v>
      </c>
      <c r="CM285" s="15">
        <v>8020000.0</v>
      </c>
      <c r="CN285" s="15">
        <v>7780000.0</v>
      </c>
      <c r="CO285" s="15">
        <v>8250000.0</v>
      </c>
      <c r="CP285" s="15">
        <v>8790000.0</v>
      </c>
      <c r="CQ285" s="15">
        <v>100410.0</v>
      </c>
      <c r="CR285" s="15">
        <v>124390.0</v>
      </c>
      <c r="CS285" s="15">
        <v>177040.0</v>
      </c>
      <c r="CT285" s="15">
        <v>213480.0</v>
      </c>
      <c r="CU285" s="15">
        <v>199080.0</v>
      </c>
      <c r="CV285" s="15">
        <v>277410.0</v>
      </c>
      <c r="CW285" s="15">
        <v>0.0</v>
      </c>
      <c r="CX285" s="16">
        <v>0.0</v>
      </c>
      <c r="CY285" s="16">
        <v>0.0</v>
      </c>
      <c r="CZ285" s="16">
        <v>0.0</v>
      </c>
      <c r="DA285" s="15">
        <v>0.0</v>
      </c>
      <c r="DB285" s="15">
        <v>277410.0</v>
      </c>
      <c r="DC285" s="15">
        <v>875880.0</v>
      </c>
      <c r="DD285" s="15">
        <v>410990.0</v>
      </c>
      <c r="DE285" s="15">
        <v>469260.0</v>
      </c>
      <c r="DF285" s="15">
        <v>2430000.0</v>
      </c>
      <c r="DG285" s="15">
        <v>3030000.0</v>
      </c>
      <c r="DH285" s="15">
        <v>2920000.0</v>
      </c>
      <c r="DI285" s="15">
        <v>2990000.0</v>
      </c>
      <c r="DJ285" s="15">
        <v>3250000.0</v>
      </c>
      <c r="DK285" s="15">
        <v>283450.0</v>
      </c>
      <c r="DL285" s="15">
        <v>262270.0</v>
      </c>
      <c r="DM285" s="15">
        <v>0.0</v>
      </c>
      <c r="DN285" s="15">
        <v>0.0</v>
      </c>
      <c r="DO285" s="15">
        <v>2470.0</v>
      </c>
      <c r="DP285" s="15">
        <v>1010000.0</v>
      </c>
      <c r="DQ285" s="15">
        <v>996070.0</v>
      </c>
      <c r="DR285" s="15">
        <v>1490000.0</v>
      </c>
      <c r="DS285" s="15">
        <v>1490000.0</v>
      </c>
      <c r="DT285" s="15">
        <v>1490000.0</v>
      </c>
      <c r="DU285" s="16">
        <v>0.0</v>
      </c>
      <c r="DV285" s="15">
        <v>0.0</v>
      </c>
      <c r="DW285" s="15">
        <v>0.0</v>
      </c>
      <c r="DX285" s="15">
        <v>0.0</v>
      </c>
      <c r="DY285" s="15">
        <v>0.0</v>
      </c>
      <c r="DZ285" s="15">
        <v>4990000.0</v>
      </c>
      <c r="EA285" s="15">
        <v>4990000.0</v>
      </c>
      <c r="EB285" s="15">
        <v>4860000.0</v>
      </c>
      <c r="EC285" s="15">
        <v>5260000.0</v>
      </c>
      <c r="ED285" s="15">
        <v>5550000.0</v>
      </c>
      <c r="EE285" s="17">
        <v>0.273</v>
      </c>
      <c r="EF285" s="17">
        <v>0.611</v>
      </c>
      <c r="EG285" s="17">
        <v>0.286</v>
      </c>
      <c r="EH285" s="17">
        <v>-2.929</v>
      </c>
    </row>
    <row r="286">
      <c r="A286" s="9">
        <f t="shared" si="2"/>
        <v>284</v>
      </c>
      <c r="B286" s="10" t="s">
        <v>420</v>
      </c>
      <c r="C286" s="15">
        <v>1.377E7</v>
      </c>
      <c r="D286" s="15">
        <v>8890000.0</v>
      </c>
      <c r="E286" s="15">
        <v>2.083E7</v>
      </c>
      <c r="F286" s="15">
        <v>1.888E7</v>
      </c>
      <c r="G286" s="15">
        <v>1.751E7</v>
      </c>
      <c r="H286" s="15">
        <v>1.639E7</v>
      </c>
      <c r="I286" s="15">
        <v>1.571E7</v>
      </c>
      <c r="J286" s="15">
        <v>5760000.0</v>
      </c>
      <c r="K286" s="15">
        <v>5780000.0</v>
      </c>
      <c r="L286" s="15">
        <v>5470000.0</v>
      </c>
      <c r="M286" s="15">
        <v>5270000.0</v>
      </c>
      <c r="N286" s="15">
        <v>4640000.0</v>
      </c>
      <c r="O286" s="15">
        <v>2480000.0</v>
      </c>
      <c r="P286" s="15">
        <v>2450000.0</v>
      </c>
      <c r="Q286" s="15">
        <v>2270000.0</v>
      </c>
      <c r="R286" s="15">
        <v>2200000.0</v>
      </c>
      <c r="S286" s="15">
        <v>2070000.0</v>
      </c>
      <c r="T286" s="15">
        <v>0.0</v>
      </c>
      <c r="U286" s="15">
        <v>0.0</v>
      </c>
      <c r="V286" s="15">
        <v>0.0</v>
      </c>
      <c r="W286" s="15">
        <v>0.0</v>
      </c>
      <c r="X286" s="15">
        <v>0.0</v>
      </c>
      <c r="Y286" s="15">
        <v>3300000.0</v>
      </c>
      <c r="Z286" s="15">
        <v>3420000.0</v>
      </c>
      <c r="AA286" s="15">
        <v>-166000.0</v>
      </c>
      <c r="AB286" s="15">
        <v>3310000.0</v>
      </c>
      <c r="AC286" s="15">
        <v>2240000.0</v>
      </c>
      <c r="AD286" s="15">
        <v>3060000.0</v>
      </c>
      <c r="AE286" s="15">
        <v>3210000.0</v>
      </c>
      <c r="AF286" s="15">
        <v>2670000.0</v>
      </c>
      <c r="AG286" s="15">
        <v>2830000.0</v>
      </c>
      <c r="AH286" s="15">
        <v>1800000.0</v>
      </c>
      <c r="AI286" s="15">
        <v>5440000.0</v>
      </c>
      <c r="AJ286" s="15">
        <v>5340000.0</v>
      </c>
      <c r="AK286" s="15">
        <v>5050000.0</v>
      </c>
      <c r="AL286" s="15">
        <v>4810000.0</v>
      </c>
      <c r="AM286" s="15">
        <v>4200000.0</v>
      </c>
      <c r="AN286" s="15">
        <v>2990000.0</v>
      </c>
      <c r="AO286" s="15">
        <v>3150000.0</v>
      </c>
      <c r="AP286" s="15">
        <v>2610000.0</v>
      </c>
      <c r="AQ286" s="15">
        <v>2780000.0</v>
      </c>
      <c r="AR286" s="15">
        <v>1760000.0</v>
      </c>
      <c r="AS286" s="15">
        <v>5480000.0</v>
      </c>
      <c r="AT286" s="15">
        <v>5550000.0</v>
      </c>
      <c r="AU286" s="15">
        <v>5320000.0</v>
      </c>
      <c r="AV286" s="15">
        <v>5130000.0</v>
      </c>
      <c r="AW286" s="15">
        <v>4550000.0</v>
      </c>
      <c r="AX286" s="15">
        <v>-5430000.0</v>
      </c>
      <c r="AY286" s="15">
        <v>-3750000.0</v>
      </c>
      <c r="AZ286" s="15">
        <v>-2940000.0</v>
      </c>
      <c r="BA286" s="15">
        <v>-3060000.0</v>
      </c>
      <c r="BB286" s="15">
        <v>-2290000.0</v>
      </c>
      <c r="BC286" s="15">
        <v>-1390000.0</v>
      </c>
      <c r="BD286" s="15">
        <v>-1360000.0</v>
      </c>
      <c r="BE286" s="15">
        <v>-1090000.0</v>
      </c>
      <c r="BF286" s="15">
        <v>-977000.0</v>
      </c>
      <c r="BG286" s="15">
        <v>-816000.0</v>
      </c>
      <c r="BH286" s="15">
        <v>518000.0</v>
      </c>
      <c r="BI286" s="15">
        <v>982000.0</v>
      </c>
      <c r="BJ286" s="15">
        <v>395000.0</v>
      </c>
      <c r="BK286" s="15">
        <v>603000.0</v>
      </c>
      <c r="BL286" s="15">
        <v>1400000.0</v>
      </c>
      <c r="BM286" s="15">
        <v>598000.0</v>
      </c>
      <c r="BN286" s="15">
        <v>358000.0</v>
      </c>
      <c r="BO286" s="15">
        <v>312000.0</v>
      </c>
      <c r="BP286" s="15">
        <v>298000.0</v>
      </c>
      <c r="BQ286" s="15">
        <v>412000.0</v>
      </c>
      <c r="BR286" s="15">
        <v>427000.0</v>
      </c>
      <c r="BS286" s="15">
        <v>450000.0</v>
      </c>
      <c r="BT286" s="15">
        <v>387000.0</v>
      </c>
      <c r="BU286" s="15">
        <v>322000.0</v>
      </c>
      <c r="BV286" s="15">
        <v>330000.0</v>
      </c>
      <c r="BW286" s="15">
        <v>2060000.0</v>
      </c>
      <c r="BX286" s="15">
        <v>2230000.0</v>
      </c>
      <c r="BY286" s="15">
        <v>1600000.0</v>
      </c>
      <c r="BZ286" s="15">
        <v>1690000.0</v>
      </c>
      <c r="CA286" s="15">
        <v>2450000.0</v>
      </c>
      <c r="CB286" s="15">
        <v>3.813E7</v>
      </c>
      <c r="CC286" s="15">
        <v>3.534E7</v>
      </c>
      <c r="CD286" s="15">
        <v>3.443E7</v>
      </c>
      <c r="CE286" s="15">
        <v>3.243E7</v>
      </c>
      <c r="CF286" s="15">
        <v>3.189E7</v>
      </c>
      <c r="CG286" s="15">
        <v>2910000.0</v>
      </c>
      <c r="CH286" s="15">
        <v>2930000.0</v>
      </c>
      <c r="CI286" s="15">
        <v>2970000.0</v>
      </c>
      <c r="CJ286" s="15">
        <v>2910000.0</v>
      </c>
      <c r="CK286" s="15">
        <v>3010000.0</v>
      </c>
      <c r="CL286" s="15">
        <v>4.506E7</v>
      </c>
      <c r="CM286" s="15">
        <v>4.24E7</v>
      </c>
      <c r="CN286" s="15">
        <v>4.078E7</v>
      </c>
      <c r="CO286" s="15">
        <v>3.894E7</v>
      </c>
      <c r="CP286" s="15">
        <v>3.924E7</v>
      </c>
      <c r="CQ286" s="15">
        <v>756000.0</v>
      </c>
      <c r="CR286" s="15">
        <v>730000.0</v>
      </c>
      <c r="CS286" s="15">
        <v>762000.0</v>
      </c>
      <c r="CT286" s="15">
        <v>713000.0</v>
      </c>
      <c r="CU286" s="15">
        <v>627000.0</v>
      </c>
      <c r="CV286" s="15">
        <v>9130000.0</v>
      </c>
      <c r="CW286" s="15">
        <v>231000.0</v>
      </c>
      <c r="CX286" s="15">
        <v>848000.0</v>
      </c>
      <c r="CY286" s="15">
        <v>485000.0</v>
      </c>
      <c r="CZ286" s="15">
        <v>457000.0</v>
      </c>
      <c r="DA286" s="15">
        <v>30000.0</v>
      </c>
      <c r="DB286" s="15">
        <v>9130000.0</v>
      </c>
      <c r="DC286" s="15">
        <v>9200000.0</v>
      </c>
      <c r="DD286" s="15">
        <v>8800000.0</v>
      </c>
      <c r="DE286" s="15">
        <v>7070000.0</v>
      </c>
      <c r="DF286" s="15">
        <v>1.969E7</v>
      </c>
      <c r="DG286" s="15">
        <v>1.796E7</v>
      </c>
      <c r="DH286" s="15">
        <v>1.656E7</v>
      </c>
      <c r="DI286" s="15">
        <v>1.634E7</v>
      </c>
      <c r="DJ286" s="15">
        <v>1.547E7</v>
      </c>
      <c r="DK286" s="15">
        <v>0.0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9680000.0</v>
      </c>
      <c r="DQ286" s="15">
        <v>7900000.0</v>
      </c>
      <c r="DR286" s="15">
        <v>6990000.0</v>
      </c>
      <c r="DS286" s="15">
        <v>8360000.0</v>
      </c>
      <c r="DT286" s="15">
        <v>7410000.0</v>
      </c>
      <c r="DU286" s="16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2.537E7</v>
      </c>
      <c r="EA286" s="15">
        <v>2.444E7</v>
      </c>
      <c r="EB286" s="15">
        <v>2.422E7</v>
      </c>
      <c r="EC286" s="15">
        <v>2.26E7</v>
      </c>
      <c r="ED286" s="15">
        <v>2.377E7</v>
      </c>
      <c r="EE286" s="17">
        <v>1.726</v>
      </c>
      <c r="EF286" s="17">
        <v>1.32</v>
      </c>
      <c r="EG286" s="17">
        <v>-0.185</v>
      </c>
      <c r="EH286" s="17">
        <v>0.044</v>
      </c>
    </row>
    <row r="287">
      <c r="A287" s="9">
        <f t="shared" si="2"/>
        <v>285</v>
      </c>
      <c r="B287" s="10" t="s">
        <v>421</v>
      </c>
      <c r="C287" s="15">
        <v>1130000.0</v>
      </c>
      <c r="D287" s="15">
        <v>1110000.0</v>
      </c>
      <c r="E287" s="15">
        <v>1040000.0</v>
      </c>
      <c r="F287" s="15">
        <v>590120.0</v>
      </c>
      <c r="G287" s="15">
        <v>507180.0</v>
      </c>
      <c r="H287" s="15">
        <v>430450.0</v>
      </c>
      <c r="I287" s="15">
        <v>414100.0</v>
      </c>
      <c r="J287" s="15">
        <v>457520.0</v>
      </c>
      <c r="K287" s="15">
        <v>314110.0</v>
      </c>
      <c r="L287" s="15">
        <v>254660.0</v>
      </c>
      <c r="M287" s="15">
        <v>210800.0</v>
      </c>
      <c r="N287" s="15">
        <v>212880.0</v>
      </c>
      <c r="O287" s="15">
        <v>230080.0</v>
      </c>
      <c r="P287" s="15">
        <v>150130.0</v>
      </c>
      <c r="Q287" s="15">
        <v>142140.0</v>
      </c>
      <c r="R287" s="15">
        <v>135690.0</v>
      </c>
      <c r="S287" s="15">
        <v>137190.0</v>
      </c>
      <c r="T287" s="15">
        <v>51710.0</v>
      </c>
      <c r="U287" s="15">
        <v>51950.0</v>
      </c>
      <c r="V287" s="15">
        <v>55660.0</v>
      </c>
      <c r="W287" s="15">
        <v>58530.0</v>
      </c>
      <c r="X287" s="15">
        <v>59780.0</v>
      </c>
      <c r="Y287" s="15">
        <v>110520.0</v>
      </c>
      <c r="Z287" s="15">
        <v>158550.0</v>
      </c>
      <c r="AA287" s="15">
        <v>110530.0</v>
      </c>
      <c r="AB287" s="15">
        <v>0.0</v>
      </c>
      <c r="AC287" s="15">
        <v>73370.0</v>
      </c>
      <c r="AD287" s="15">
        <v>63110.0</v>
      </c>
      <c r="AE287" s="15">
        <v>161710.0</v>
      </c>
      <c r="AF287" s="15">
        <v>109370.0</v>
      </c>
      <c r="AG287" s="15">
        <v>70440.0</v>
      </c>
      <c r="AH287" s="15">
        <v>71200.0</v>
      </c>
      <c r="AI287" s="15">
        <v>325490.0</v>
      </c>
      <c r="AJ287" s="15">
        <v>188730.0</v>
      </c>
      <c r="AK287" s="15">
        <v>136980.0</v>
      </c>
      <c r="AL287" s="15">
        <v>99600.0</v>
      </c>
      <c r="AM287" s="15">
        <v>93760.0</v>
      </c>
      <c r="AN287" s="15">
        <v>39220.0</v>
      </c>
      <c r="AO287" s="15">
        <v>109920.0</v>
      </c>
      <c r="AP287" s="15">
        <v>86700.0</v>
      </c>
      <c r="AQ287" s="15">
        <v>59490.0</v>
      </c>
      <c r="AR287" s="15">
        <v>55660.0</v>
      </c>
      <c r="AS287" s="15">
        <v>174980.0</v>
      </c>
      <c r="AT287" s="15">
        <v>168870.0</v>
      </c>
      <c r="AU287" s="15">
        <v>141370.0</v>
      </c>
      <c r="AV287" s="15">
        <v>95210.0</v>
      </c>
      <c r="AW287" s="15">
        <v>98190.0</v>
      </c>
      <c r="AX287" s="15">
        <v>-55970.0</v>
      </c>
      <c r="AY287" s="15">
        <v>-21310.0</v>
      </c>
      <c r="AZ287" s="15">
        <v>-21170.0</v>
      </c>
      <c r="BA287" s="15">
        <v>-17670.0</v>
      </c>
      <c r="BB287" s="15">
        <v>-13810.0</v>
      </c>
      <c r="BC287" s="15">
        <v>-46320.0</v>
      </c>
      <c r="BD287" s="15">
        <v>-30730.0</v>
      </c>
      <c r="BE287" s="15">
        <v>-19040.0</v>
      </c>
      <c r="BF287" s="15">
        <v>-8660.0</v>
      </c>
      <c r="BG287" s="15">
        <v>0.0</v>
      </c>
      <c r="BH287" s="15">
        <v>188500.0</v>
      </c>
      <c r="BI287" s="15">
        <v>352920.0</v>
      </c>
      <c r="BJ287" s="15">
        <v>397890.0</v>
      </c>
      <c r="BK287" s="15">
        <v>287480.0</v>
      </c>
      <c r="BL287" s="15">
        <v>354190.0</v>
      </c>
      <c r="BM287" s="15">
        <v>146110.0</v>
      </c>
      <c r="BN287" s="15">
        <v>75890.0</v>
      </c>
      <c r="BO287" s="15">
        <v>64790.0</v>
      </c>
      <c r="BP287" s="15">
        <v>62830.0</v>
      </c>
      <c r="BQ287" s="15">
        <v>49410.0</v>
      </c>
      <c r="BR287" s="15">
        <v>145280.0</v>
      </c>
      <c r="BS287" s="15">
        <v>71930.0</v>
      </c>
      <c r="BT287" s="15">
        <v>71870.0</v>
      </c>
      <c r="BU287" s="15">
        <v>72120.0</v>
      </c>
      <c r="BV287" s="15">
        <v>70680.0</v>
      </c>
      <c r="BW287" s="15">
        <v>508560.0</v>
      </c>
      <c r="BX287" s="15">
        <v>522780.0</v>
      </c>
      <c r="BY287" s="15">
        <v>550980.0</v>
      </c>
      <c r="BZ287" s="15">
        <v>436830.0</v>
      </c>
      <c r="CA287" s="15">
        <v>494510.0</v>
      </c>
      <c r="CB287" s="15">
        <v>276820.0</v>
      </c>
      <c r="CC287" s="15">
        <v>111400.0</v>
      </c>
      <c r="CD287" s="15">
        <v>106360.0</v>
      </c>
      <c r="CE287" s="15">
        <v>106500.0</v>
      </c>
      <c r="CF287" s="15">
        <v>93740.0</v>
      </c>
      <c r="CG287" s="15">
        <v>710070.0</v>
      </c>
      <c r="CH287" s="15">
        <v>101080.0</v>
      </c>
      <c r="CI287" s="15">
        <v>101930.0</v>
      </c>
      <c r="CJ287" s="15">
        <v>100640.0</v>
      </c>
      <c r="CK287" s="15">
        <v>40440.0</v>
      </c>
      <c r="CL287" s="15">
        <v>2260000.0</v>
      </c>
      <c r="CM287" s="15">
        <v>780970.0</v>
      </c>
      <c r="CN287" s="15">
        <v>834100.0</v>
      </c>
      <c r="CO287" s="15">
        <v>727230.0</v>
      </c>
      <c r="CP287" s="15">
        <v>660470.0</v>
      </c>
      <c r="CQ287" s="15">
        <v>54530.0</v>
      </c>
      <c r="CR287" s="15">
        <v>18170.0</v>
      </c>
      <c r="CS287" s="15">
        <v>17620.0</v>
      </c>
      <c r="CT287" s="15">
        <v>16830.0</v>
      </c>
      <c r="CU287" s="15">
        <v>15450.0</v>
      </c>
      <c r="CV287" s="15">
        <v>171460.0</v>
      </c>
      <c r="CW287" s="15">
        <v>0.0</v>
      </c>
      <c r="CX287" s="15">
        <v>0.0</v>
      </c>
      <c r="CY287" s="16">
        <v>0.0</v>
      </c>
      <c r="CZ287" s="16">
        <v>0.0</v>
      </c>
      <c r="DA287" s="15">
        <v>0.0</v>
      </c>
      <c r="DB287" s="15">
        <v>171460.0</v>
      </c>
      <c r="DC287" s="15">
        <v>101150.0</v>
      </c>
      <c r="DD287" s="15">
        <v>91210.0</v>
      </c>
      <c r="DE287" s="15">
        <v>65890.0</v>
      </c>
      <c r="DF287" s="15">
        <v>1280000.0</v>
      </c>
      <c r="DG287" s="15">
        <v>114280.0</v>
      </c>
      <c r="DH287" s="15">
        <v>239060.0</v>
      </c>
      <c r="DI287" s="15">
        <v>229580.0</v>
      </c>
      <c r="DJ287" s="15">
        <v>231510.0</v>
      </c>
      <c r="DK287" s="15">
        <v>0.0</v>
      </c>
      <c r="DL287" s="15">
        <v>1140.0</v>
      </c>
      <c r="DM287" s="15">
        <v>6250.0</v>
      </c>
      <c r="DN287" s="15">
        <v>6520.0</v>
      </c>
      <c r="DO287" s="15">
        <v>7410.0</v>
      </c>
      <c r="DP287" s="15">
        <v>928460.0</v>
      </c>
      <c r="DQ287" s="15">
        <v>0.0</v>
      </c>
      <c r="DR287" s="15">
        <v>133000.0</v>
      </c>
      <c r="DS287" s="15">
        <v>146960.0</v>
      </c>
      <c r="DT287" s="15">
        <v>155310.0</v>
      </c>
      <c r="DU287" s="16">
        <v>0.0</v>
      </c>
      <c r="DV287" s="15">
        <v>0.0</v>
      </c>
      <c r="DW287" s="15">
        <v>0.0</v>
      </c>
      <c r="DX287" s="15">
        <v>0.0</v>
      </c>
      <c r="DY287" s="15">
        <v>0.0</v>
      </c>
      <c r="DZ287" s="15">
        <v>980380.0</v>
      </c>
      <c r="EA287" s="15">
        <v>666690.0</v>
      </c>
      <c r="EB287" s="15">
        <v>595040.0</v>
      </c>
      <c r="EC287" s="15">
        <v>497650.0</v>
      </c>
      <c r="ED287" s="15">
        <v>428960.0</v>
      </c>
      <c r="EE287" s="17">
        <v>0.009</v>
      </c>
      <c r="EF287" s="17">
        <v>0.133</v>
      </c>
      <c r="EG287" s="17">
        <v>0.029</v>
      </c>
      <c r="EH287" s="17">
        <v>0.068</v>
      </c>
    </row>
    <row r="288">
      <c r="A288" s="9">
        <f t="shared" si="2"/>
        <v>286</v>
      </c>
      <c r="B288" s="10" t="s">
        <v>422</v>
      </c>
      <c r="C288" s="11">
        <v>2720000.0</v>
      </c>
      <c r="D288" s="11">
        <v>2600000.0</v>
      </c>
      <c r="E288" s="11">
        <v>2540000.0</v>
      </c>
      <c r="F288" s="11">
        <v>2150000.0</v>
      </c>
      <c r="G288" s="11">
        <v>1420000.0</v>
      </c>
      <c r="H288" s="11">
        <v>994440.0</v>
      </c>
      <c r="I288" s="11">
        <v>734490.0</v>
      </c>
      <c r="J288" s="11">
        <v>441580.0</v>
      </c>
      <c r="K288" s="11">
        <v>379000.0</v>
      </c>
      <c r="L288" s="11">
        <v>249960.0</v>
      </c>
      <c r="M288" s="11">
        <v>194100.0</v>
      </c>
      <c r="N288" s="11">
        <v>146850.0</v>
      </c>
      <c r="O288" s="11">
        <v>288140.0</v>
      </c>
      <c r="P288" s="11">
        <v>263980.0</v>
      </c>
      <c r="Q288" s="11">
        <v>176300.0</v>
      </c>
      <c r="R288" s="11">
        <v>122220.0</v>
      </c>
      <c r="S288" s="11">
        <v>90240.0</v>
      </c>
      <c r="T288" s="12"/>
      <c r="U288" s="12"/>
      <c r="V288" s="12"/>
      <c r="W288" s="12"/>
      <c r="X288" s="12"/>
      <c r="Y288" s="11">
        <v>137830.0</v>
      </c>
      <c r="Z288" s="11">
        <v>114590.0</v>
      </c>
      <c r="AA288" s="11">
        <v>64850.0</v>
      </c>
      <c r="AB288" s="11">
        <v>71380.0</v>
      </c>
      <c r="AC288" s="11">
        <v>58520.0</v>
      </c>
      <c r="AD288" s="11">
        <v>132640.0</v>
      </c>
      <c r="AE288" s="11">
        <v>128530.0</v>
      </c>
      <c r="AF288" s="11">
        <v>84160.0</v>
      </c>
      <c r="AG288" s="11">
        <v>73150.0</v>
      </c>
      <c r="AH288" s="11">
        <v>60310.0</v>
      </c>
      <c r="AI288" s="11">
        <v>164840.0</v>
      </c>
      <c r="AJ288" s="11">
        <v>127050.0</v>
      </c>
      <c r="AK288" s="11">
        <v>80630.0</v>
      </c>
      <c r="AL288" s="11">
        <v>77450.0</v>
      </c>
      <c r="AM288" s="11">
        <v>61330.0</v>
      </c>
      <c r="AN288" s="11">
        <v>112990.0</v>
      </c>
      <c r="AO288" s="11">
        <v>96400.0</v>
      </c>
      <c r="AP288" s="11">
        <v>49910.0</v>
      </c>
      <c r="AQ288" s="11">
        <v>48490.0</v>
      </c>
      <c r="AR288" s="11">
        <v>38570.0</v>
      </c>
      <c r="AS288" s="11">
        <v>-57840.0</v>
      </c>
      <c r="AT288" s="11">
        <v>-209220.0</v>
      </c>
      <c r="AU288" s="11">
        <v>-96970.0</v>
      </c>
      <c r="AV288" s="11">
        <v>-37610.0</v>
      </c>
      <c r="AW288" s="11">
        <v>-162730.0</v>
      </c>
      <c r="AX288" s="11">
        <v>-16120.0</v>
      </c>
      <c r="AY288" s="11">
        <v>-15800.0</v>
      </c>
      <c r="AZ288" s="11">
        <v>-17630.0</v>
      </c>
      <c r="BA288" s="11">
        <v>-7760.0</v>
      </c>
      <c r="BB288" s="11">
        <v>-5750.0</v>
      </c>
      <c r="BC288" s="13"/>
      <c r="BD288" s="13"/>
      <c r="BE288" s="13"/>
      <c r="BF288" s="13"/>
      <c r="BG288" s="13"/>
      <c r="BH288" s="11">
        <v>90740.0</v>
      </c>
      <c r="BI288" s="11">
        <v>57250.0</v>
      </c>
      <c r="BJ288" s="11">
        <v>126560.0</v>
      </c>
      <c r="BK288" s="11">
        <v>49490.0</v>
      </c>
      <c r="BL288" s="11">
        <v>29290.0</v>
      </c>
      <c r="BM288" s="11">
        <v>27440.0</v>
      </c>
      <c r="BN288" s="11">
        <v>13460.0</v>
      </c>
      <c r="BO288" s="11">
        <v>13000.0</v>
      </c>
      <c r="BP288" s="11">
        <v>5730.0</v>
      </c>
      <c r="BQ288" s="11">
        <v>17060.0</v>
      </c>
      <c r="BR288" s="11">
        <v>2000000.0</v>
      </c>
      <c r="BS288" s="11">
        <v>1850000.0</v>
      </c>
      <c r="BT288" s="11">
        <v>1390000.0</v>
      </c>
      <c r="BU288" s="11">
        <v>857890.0</v>
      </c>
      <c r="BV288" s="11">
        <v>810140.0</v>
      </c>
      <c r="BW288" s="11">
        <v>2110000.0</v>
      </c>
      <c r="BX288" s="11">
        <v>1920000.0</v>
      </c>
      <c r="BY288" s="11">
        <v>1530000.0</v>
      </c>
      <c r="BZ288" s="11">
        <v>913110.0</v>
      </c>
      <c r="CA288" s="11">
        <v>856480.0</v>
      </c>
      <c r="CB288" s="11">
        <v>54850.0</v>
      </c>
      <c r="CC288" s="11">
        <v>33260.0</v>
      </c>
      <c r="CD288" s="11">
        <v>27910.0</v>
      </c>
      <c r="CE288" s="11">
        <v>11410.0</v>
      </c>
      <c r="CF288" s="11">
        <v>8380.0</v>
      </c>
      <c r="CG288" s="11">
        <v>30400.0</v>
      </c>
      <c r="CH288" s="11">
        <v>30400.0</v>
      </c>
      <c r="CI288" s="11">
        <v>27360.0</v>
      </c>
      <c r="CJ288" s="11">
        <v>21370.0</v>
      </c>
      <c r="CK288" s="11">
        <v>21370.0</v>
      </c>
      <c r="CL288" s="11">
        <v>2510000.0</v>
      </c>
      <c r="CM288" s="11">
        <v>2260000.0</v>
      </c>
      <c r="CN288" s="11">
        <v>1740000.0</v>
      </c>
      <c r="CO288" s="11">
        <v>1010000.0</v>
      </c>
      <c r="CP288" s="11">
        <v>917740.0</v>
      </c>
      <c r="CQ288" s="11">
        <v>84790.0</v>
      </c>
      <c r="CR288" s="11">
        <v>89910.0</v>
      </c>
      <c r="CS288" s="11">
        <v>24830.0</v>
      </c>
      <c r="CT288" s="11">
        <v>15710.0</v>
      </c>
      <c r="CU288" s="11">
        <v>10970.0</v>
      </c>
      <c r="CV288" s="11">
        <v>475700.0</v>
      </c>
      <c r="CW288" s="11">
        <v>19310.0</v>
      </c>
      <c r="CX288" s="13"/>
      <c r="CY288" s="13"/>
      <c r="CZ288" s="13"/>
      <c r="DA288" s="12"/>
      <c r="DB288" s="11">
        <v>475700.0</v>
      </c>
      <c r="DC288" s="11">
        <v>416410.0</v>
      </c>
      <c r="DD288" s="11">
        <v>225830.0</v>
      </c>
      <c r="DE288" s="11">
        <v>73800.0</v>
      </c>
      <c r="DF288" s="11">
        <v>1440000.0</v>
      </c>
      <c r="DG288" s="11">
        <v>1400000.0</v>
      </c>
      <c r="DH288" s="11">
        <v>1010000.0</v>
      </c>
      <c r="DI288" s="11">
        <v>537880.0</v>
      </c>
      <c r="DJ288" s="11">
        <v>508260.0</v>
      </c>
      <c r="DK288" s="11">
        <v>51900.0</v>
      </c>
      <c r="DL288" s="11">
        <v>54580.0</v>
      </c>
      <c r="DM288" s="11">
        <v>68790.0</v>
      </c>
      <c r="DN288" s="11">
        <v>32100.0</v>
      </c>
      <c r="DO288" s="11">
        <v>4990.0</v>
      </c>
      <c r="DP288" s="11">
        <v>962570.0</v>
      </c>
      <c r="DQ288" s="11">
        <v>978480.0</v>
      </c>
      <c r="DR288" s="11">
        <v>773960.0</v>
      </c>
      <c r="DS288" s="11">
        <v>454090.0</v>
      </c>
      <c r="DT288" s="11">
        <v>390240.0</v>
      </c>
      <c r="DU288" s="13"/>
      <c r="DV288" s="12"/>
      <c r="DW288" s="12"/>
      <c r="DX288" s="13"/>
      <c r="DY288" s="13"/>
      <c r="DZ288" s="11">
        <v>1060000.0</v>
      </c>
      <c r="EA288" s="11">
        <v>859360.0</v>
      </c>
      <c r="EB288" s="11">
        <v>735230.0</v>
      </c>
      <c r="EC288" s="11">
        <v>473640.0</v>
      </c>
      <c r="ED288" s="11">
        <v>409480.0</v>
      </c>
      <c r="EE288" s="14">
        <v>0.027</v>
      </c>
      <c r="EF288" s="14">
        <v>0.026</v>
      </c>
      <c r="EG288" s="14">
        <v>0.754</v>
      </c>
      <c r="EH288" s="14">
        <v>0.289</v>
      </c>
    </row>
    <row r="289">
      <c r="A289" s="9">
        <f t="shared" si="2"/>
        <v>287</v>
      </c>
      <c r="B289" s="25" t="s">
        <v>423</v>
      </c>
      <c r="C289" s="15">
        <v>2260000.0</v>
      </c>
      <c r="D289" s="15">
        <v>2140000.0</v>
      </c>
      <c r="E289" s="15"/>
      <c r="F289" s="15"/>
      <c r="G289" s="15"/>
      <c r="H289" s="15"/>
      <c r="I289" s="15"/>
      <c r="J289" s="15">
        <v>9.1422E8</v>
      </c>
      <c r="K289" s="15">
        <v>9.2327E8</v>
      </c>
      <c r="L289" s="15">
        <v>8.9962E8</v>
      </c>
      <c r="M289" s="15">
        <v>8.1708E8</v>
      </c>
      <c r="N289" s="15">
        <v>8.133E8</v>
      </c>
      <c r="O289" s="15">
        <v>4.6452E8</v>
      </c>
      <c r="P289" s="15">
        <v>4.6677E8</v>
      </c>
      <c r="Q289" s="15">
        <v>4.3274E8</v>
      </c>
      <c r="R289" s="15">
        <v>4.2616E8</v>
      </c>
      <c r="S289" s="15">
        <v>4.0574E8</v>
      </c>
      <c r="T289" s="15"/>
      <c r="U289" s="15"/>
      <c r="V289" s="15"/>
      <c r="W289" s="15"/>
      <c r="X289" s="15"/>
      <c r="Y289" s="15">
        <v>2.2996E8</v>
      </c>
      <c r="Z289" s="15">
        <v>4.7102E8</v>
      </c>
      <c r="AA289" s="15">
        <v>2.25E8</v>
      </c>
      <c r="AB289" s="15">
        <v>-1.005E7</v>
      </c>
      <c r="AC289" s="15">
        <v>2.1092E8</v>
      </c>
      <c r="AD289" s="15">
        <v>2.0205E8</v>
      </c>
      <c r="AE289" s="15">
        <v>4.6903E8</v>
      </c>
      <c r="AF289" s="15">
        <v>2.0539E8</v>
      </c>
      <c r="AG289" s="15">
        <v>1.7589E8</v>
      </c>
      <c r="AH289" s="15">
        <v>1.9587E8</v>
      </c>
      <c r="AI289" s="15">
        <v>3.3035E8</v>
      </c>
      <c r="AJ289" s="15">
        <v>5.5845E8</v>
      </c>
      <c r="AK289" s="15">
        <v>3.2492E8</v>
      </c>
      <c r="AL289" s="15">
        <v>2.9393E8</v>
      </c>
      <c r="AM289" s="15">
        <v>2.8261E8</v>
      </c>
      <c r="AN289" s="15">
        <v>1.3014E8</v>
      </c>
      <c r="AO289" s="15">
        <v>3.0689E8</v>
      </c>
      <c r="AP289" s="15">
        <v>1.2961E8</v>
      </c>
      <c r="AQ289" s="15">
        <v>1.1846E8</v>
      </c>
      <c r="AR289" s="15">
        <v>1.2081E8</v>
      </c>
      <c r="AS289" s="15">
        <v>2.4232E8</v>
      </c>
      <c r="AT289" s="15">
        <v>4.2931E8</v>
      </c>
      <c r="AU289" s="15">
        <v>2.6216E8</v>
      </c>
      <c r="AV289" s="15">
        <v>1.9001E8</v>
      </c>
      <c r="AW289" s="15">
        <v>2.1951E8</v>
      </c>
      <c r="AX289" s="15">
        <v>-1.4049E8</v>
      </c>
      <c r="AY289" s="15">
        <v>-1.3144E8</v>
      </c>
      <c r="AZ289" s="15">
        <v>-1.2577E8</v>
      </c>
      <c r="BA289" s="15">
        <v>-1.2888E8</v>
      </c>
      <c r="BB289" s="15">
        <v>-1.3173E8</v>
      </c>
      <c r="BC289" s="15">
        <v>-2.1804E8</v>
      </c>
      <c r="BD289" s="15">
        <v>-7.483E7</v>
      </c>
      <c r="BE289" s="15">
        <v>-7.513E7</v>
      </c>
      <c r="BF289" s="15">
        <v>-6.982E7</v>
      </c>
      <c r="BG289" s="15">
        <v>-6.615E7</v>
      </c>
      <c r="BH289" s="15">
        <v>2.0618E8</v>
      </c>
      <c r="BI289" s="15">
        <v>3.4176E8</v>
      </c>
      <c r="BJ289" s="15">
        <v>1.8077E8</v>
      </c>
      <c r="BK289" s="15">
        <v>1.4244E8</v>
      </c>
      <c r="BL289" s="15">
        <v>2.062E8</v>
      </c>
      <c r="BM289" s="15">
        <v>3.109E8</v>
      </c>
      <c r="BN289" s="15">
        <v>3.3779E8</v>
      </c>
      <c r="BO289" s="15">
        <v>3.0941E8</v>
      </c>
      <c r="BP289" s="15">
        <v>2.9407E8</v>
      </c>
      <c r="BQ289" s="15">
        <v>2.666E8</v>
      </c>
      <c r="BR289" s="15">
        <v>2.4944E8</v>
      </c>
      <c r="BS289" s="15">
        <v>2.4125E8</v>
      </c>
      <c r="BT289" s="15">
        <v>2.1379E8</v>
      </c>
      <c r="BU289" s="15">
        <v>2.1238E8</v>
      </c>
      <c r="BV289" s="15">
        <v>1.8186E8</v>
      </c>
      <c r="BW289" s="15">
        <v>7.8928E8</v>
      </c>
      <c r="BX289" s="15">
        <v>9.4101E8</v>
      </c>
      <c r="BY289" s="15">
        <v>7.3028E8</v>
      </c>
      <c r="BZ289" s="15">
        <v>6.8169E8</v>
      </c>
      <c r="CA289" s="15">
        <v>6.8431E8</v>
      </c>
      <c r="CB289" s="15"/>
      <c r="CC289" s="15"/>
      <c r="CD289" s="15">
        <v>9.1791E8</v>
      </c>
      <c r="CE289" s="15">
        <v>9.041E8</v>
      </c>
      <c r="CF289" s="15">
        <v>8.7267E8</v>
      </c>
      <c r="CG289" s="15">
        <v>1.2496E8</v>
      </c>
      <c r="CH289" s="15">
        <v>1.2304E8</v>
      </c>
      <c r="CI289" s="15">
        <v>9.462E7</v>
      </c>
      <c r="CJ289" s="15">
        <v>9.693E7</v>
      </c>
      <c r="CK289" s="15">
        <v>8.33E7</v>
      </c>
      <c r="CL289" s="15"/>
      <c r="CM289" s="15"/>
      <c r="CN289" s="15"/>
      <c r="CO289" s="15"/>
      <c r="CP289" s="15"/>
      <c r="CQ289" s="15">
        <v>2.4861E8</v>
      </c>
      <c r="CR289" s="15">
        <v>2.4734E8</v>
      </c>
      <c r="CS289" s="15">
        <v>2.301E8</v>
      </c>
      <c r="CT289" s="15">
        <v>2.1598E8</v>
      </c>
      <c r="CU289" s="15">
        <v>2.3045E8</v>
      </c>
      <c r="CV289" s="15">
        <v>4.8328E8</v>
      </c>
      <c r="CW289" s="15">
        <v>4.251E7</v>
      </c>
      <c r="CX289" s="15">
        <v>3.335E7</v>
      </c>
      <c r="CY289" s="15">
        <v>4.875E7</v>
      </c>
      <c r="CZ289" s="15">
        <v>6.039E7</v>
      </c>
      <c r="DA289" s="15">
        <v>1.859E7</v>
      </c>
      <c r="DB289" s="15">
        <v>4.8328E8</v>
      </c>
      <c r="DC289" s="15">
        <v>6.4572E8</v>
      </c>
      <c r="DD289" s="15">
        <v>4.6875E8</v>
      </c>
      <c r="DE289" s="15">
        <v>4.4237E8</v>
      </c>
      <c r="DF289" s="15">
        <v>9.1076E8</v>
      </c>
      <c r="DG289" s="15"/>
      <c r="DH289" s="15">
        <v>7.494E8</v>
      </c>
      <c r="DI289" s="15">
        <v>6.7137E8</v>
      </c>
      <c r="DJ289" s="15">
        <v>6.3583E8</v>
      </c>
      <c r="DK289" s="15">
        <v>1.4908E8</v>
      </c>
      <c r="DL289" s="15">
        <v>1.5406E8</v>
      </c>
      <c r="DM289" s="15">
        <v>1.0943E8</v>
      </c>
      <c r="DN289" s="15">
        <v>7.376E7</v>
      </c>
      <c r="DO289" s="15">
        <v>5.691E7</v>
      </c>
      <c r="DP289" s="15">
        <v>2.618E8</v>
      </c>
      <c r="DQ289" s="15">
        <v>2.282E8</v>
      </c>
      <c r="DR289" s="15">
        <v>1.6154E8</v>
      </c>
      <c r="DS289" s="15">
        <v>1.1903E8</v>
      </c>
      <c r="DT289" s="15">
        <v>1.3693E8</v>
      </c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7">
        <v>0.033</v>
      </c>
      <c r="EF289" s="17">
        <v>0.066</v>
      </c>
      <c r="EG289" s="17">
        <v>-0.346</v>
      </c>
      <c r="EH289" s="17">
        <v>-0.158</v>
      </c>
    </row>
    <row r="290">
      <c r="A290" s="9">
        <f t="shared" si="2"/>
        <v>288</v>
      </c>
      <c r="B290" s="22" t="s">
        <v>424</v>
      </c>
      <c r="C290" s="11">
        <v>67130.0</v>
      </c>
      <c r="D290" s="11">
        <v>69070.0</v>
      </c>
      <c r="E290" s="11">
        <v>36130.0</v>
      </c>
      <c r="F290" s="11">
        <v>42880.0</v>
      </c>
      <c r="G290" s="11">
        <v>82500.0</v>
      </c>
      <c r="H290" s="11">
        <v>11940.0</v>
      </c>
      <c r="I290" s="12"/>
      <c r="J290" s="12"/>
      <c r="K290" s="12"/>
      <c r="L290" s="12"/>
      <c r="M290" s="12"/>
      <c r="N290" s="11">
        <v>-477.0</v>
      </c>
      <c r="O290" s="11">
        <v>92790.0</v>
      </c>
      <c r="P290" s="11">
        <v>82630.0</v>
      </c>
      <c r="Q290" s="11">
        <v>65590.0</v>
      </c>
      <c r="R290" s="11">
        <v>52310.0</v>
      </c>
      <c r="S290" s="11">
        <v>47210.0</v>
      </c>
      <c r="T290" s="11">
        <v>70280.0</v>
      </c>
      <c r="U290" s="11">
        <v>62740.0</v>
      </c>
      <c r="V290" s="11">
        <v>49500.0</v>
      </c>
      <c r="W290" s="11">
        <v>37950.0</v>
      </c>
      <c r="X290" s="11">
        <v>33180.0</v>
      </c>
      <c r="Y290" s="12"/>
      <c r="Z290" s="12"/>
      <c r="AA290" s="12"/>
      <c r="AB290" s="12"/>
      <c r="AC290" s="12"/>
      <c r="AD290" s="11">
        <v>-55490.0</v>
      </c>
      <c r="AE290" s="11">
        <v>-37970.0</v>
      </c>
      <c r="AF290" s="11">
        <v>17860.0</v>
      </c>
      <c r="AG290" s="11">
        <v>-39960.0</v>
      </c>
      <c r="AH290" s="11">
        <v>-47310.0</v>
      </c>
      <c r="AI290" s="11">
        <v>-56660.0</v>
      </c>
      <c r="AJ290" s="11">
        <v>-39760.0</v>
      </c>
      <c r="AK290" s="11">
        <v>16910.0</v>
      </c>
      <c r="AL290" s="11">
        <v>-40370.0</v>
      </c>
      <c r="AM290" s="11">
        <v>-47210.0</v>
      </c>
      <c r="AN290" s="11">
        <v>-55490.0</v>
      </c>
      <c r="AO290" s="11">
        <v>-37970.0</v>
      </c>
      <c r="AP290" s="11">
        <v>17860.0</v>
      </c>
      <c r="AQ290" s="11">
        <v>-39960.0</v>
      </c>
      <c r="AR290" s="11">
        <v>-47310.0</v>
      </c>
      <c r="AS290" s="11">
        <v>-70120.0</v>
      </c>
      <c r="AT290" s="11">
        <v>16440.0</v>
      </c>
      <c r="AU290" s="11">
        <v>4880.0</v>
      </c>
      <c r="AV290" s="11">
        <v>39150.0</v>
      </c>
      <c r="AW290" s="11">
        <v>-39330.0</v>
      </c>
      <c r="AX290" s="11">
        <v>-790.0</v>
      </c>
      <c r="AY290" s="11">
        <v>-838.0</v>
      </c>
      <c r="AZ290" s="11">
        <v>-723.0</v>
      </c>
      <c r="BA290" s="11">
        <v>-304.0</v>
      </c>
      <c r="BB290" s="11">
        <v>-218.0</v>
      </c>
      <c r="BC290" s="12"/>
      <c r="BD290" s="12"/>
      <c r="BE290" s="12"/>
      <c r="BF290" s="12"/>
      <c r="BG290" s="12"/>
      <c r="BH290" s="11">
        <v>172790.0</v>
      </c>
      <c r="BI290" s="11">
        <v>176980.0</v>
      </c>
      <c r="BJ290" s="11">
        <v>127290.0</v>
      </c>
      <c r="BK290" s="11">
        <v>117760.0</v>
      </c>
      <c r="BL290" s="11">
        <v>71280.0</v>
      </c>
      <c r="BM290" s="11">
        <v>176.0</v>
      </c>
      <c r="BN290" s="11">
        <v>2060.0</v>
      </c>
      <c r="BO290" s="11">
        <v>51090.0</v>
      </c>
      <c r="BP290" s="11">
        <v>30210.0</v>
      </c>
      <c r="BQ290" s="12"/>
      <c r="BR290" s="12"/>
      <c r="BS290" s="12"/>
      <c r="BT290" s="12"/>
      <c r="BU290" s="12"/>
      <c r="BV290" s="12"/>
      <c r="BW290" s="11">
        <v>174360.0</v>
      </c>
      <c r="BX290" s="11">
        <v>181380.0</v>
      </c>
      <c r="BY290" s="11">
        <v>179830.0</v>
      </c>
      <c r="BZ290" s="11">
        <v>148690.0</v>
      </c>
      <c r="CA290" s="11">
        <v>72040.0</v>
      </c>
      <c r="CB290" s="11">
        <v>3860.0</v>
      </c>
      <c r="CC290" s="11">
        <v>1540.0</v>
      </c>
      <c r="CD290" s="11">
        <v>1210.0</v>
      </c>
      <c r="CE290" s="11">
        <v>905.0</v>
      </c>
      <c r="CF290" s="11">
        <v>949.0</v>
      </c>
      <c r="CG290" s="12"/>
      <c r="CH290" s="12"/>
      <c r="CI290" s="12"/>
      <c r="CJ290" s="12"/>
      <c r="CK290" s="12"/>
      <c r="CL290" s="11">
        <v>209100.0</v>
      </c>
      <c r="CM290" s="11">
        <v>183330.0</v>
      </c>
      <c r="CN290" s="11">
        <v>189340.0</v>
      </c>
      <c r="CO290" s="11">
        <v>155890.0</v>
      </c>
      <c r="CP290" s="11">
        <v>78170.0</v>
      </c>
      <c r="CQ290" s="11">
        <v>1530.0</v>
      </c>
      <c r="CR290" s="11">
        <v>966.0</v>
      </c>
      <c r="CS290" s="11">
        <v>1400.0</v>
      </c>
      <c r="CT290" s="11">
        <v>671.0</v>
      </c>
      <c r="CU290" s="12"/>
      <c r="CV290" s="11">
        <v>59080.0</v>
      </c>
      <c r="CW290" s="11">
        <v>1500.0</v>
      </c>
      <c r="CX290" s="12"/>
      <c r="CY290" s="12"/>
      <c r="CZ290" s="12"/>
      <c r="DA290" s="12"/>
      <c r="DB290" s="11">
        <v>59080.0</v>
      </c>
      <c r="DC290" s="11">
        <v>64400.0</v>
      </c>
      <c r="DD290" s="11">
        <v>32940.0</v>
      </c>
      <c r="DE290" s="11">
        <v>38340.0</v>
      </c>
      <c r="DF290" s="11">
        <v>143080.0</v>
      </c>
      <c r="DG290" s="11">
        <v>168570.0</v>
      </c>
      <c r="DH290" s="11">
        <v>110060.0</v>
      </c>
      <c r="DI290" s="11">
        <v>105980.0</v>
      </c>
      <c r="DJ290" s="11">
        <v>5650.0</v>
      </c>
      <c r="DK290" s="11">
        <v>30530.0</v>
      </c>
      <c r="DL290" s="12"/>
      <c r="DM290" s="11">
        <v>7930.0</v>
      </c>
      <c r="DN290" s="11">
        <v>6000.0</v>
      </c>
      <c r="DO290" s="11">
        <v>5010.0</v>
      </c>
      <c r="DP290" s="11">
        <v>20350.0</v>
      </c>
      <c r="DQ290" s="11">
        <v>19690.0</v>
      </c>
      <c r="DR290" s="11">
        <v>4680.0</v>
      </c>
      <c r="DS290" s="12"/>
      <c r="DT290" s="12"/>
      <c r="DU290" s="13"/>
      <c r="DV290" s="12"/>
      <c r="DW290" s="12"/>
      <c r="DX290" s="13"/>
      <c r="DY290" s="13"/>
      <c r="DZ290" s="11">
        <v>66020.0</v>
      </c>
      <c r="EA290" s="11">
        <v>14750.0</v>
      </c>
      <c r="EB290" s="11">
        <v>79280.0</v>
      </c>
      <c r="EC290" s="11">
        <v>49910.0</v>
      </c>
      <c r="ED290" s="11">
        <v>72520.0</v>
      </c>
      <c r="EE290" s="14">
        <v>0.962</v>
      </c>
      <c r="EF290" s="14">
        <v>1.022</v>
      </c>
      <c r="EG290" s="14">
        <v>1.853</v>
      </c>
      <c r="EH290" s="14">
        <v>0.475</v>
      </c>
    </row>
    <row r="291">
      <c r="A291" s="9">
        <f t="shared" si="2"/>
        <v>289</v>
      </c>
      <c r="B291" s="25" t="s">
        <v>425</v>
      </c>
      <c r="C291" s="12">
        <v>802800.0</v>
      </c>
      <c r="D291" s="12">
        <v>745460.0</v>
      </c>
      <c r="E291" s="12">
        <v>711170.0</v>
      </c>
      <c r="F291" s="12">
        <v>625790.0</v>
      </c>
      <c r="G291" s="12">
        <v>708970.0</v>
      </c>
      <c r="H291" s="12">
        <v>572140.0</v>
      </c>
      <c r="I291" s="12">
        <v>645790.0</v>
      </c>
      <c r="J291" s="12">
        <v>-53390.0</v>
      </c>
      <c r="K291" s="12">
        <v>19940.0</v>
      </c>
      <c r="L291" s="12">
        <v>83080.0</v>
      </c>
      <c r="M291" s="12">
        <v>100270.0</v>
      </c>
      <c r="N291" s="12">
        <v>10740.0</v>
      </c>
      <c r="O291" s="12">
        <v>34490.0</v>
      </c>
      <c r="P291" s="12">
        <v>31350.0</v>
      </c>
      <c r="Q291" s="12">
        <v>33620.0</v>
      </c>
      <c r="R291" s="12">
        <v>29280.0</v>
      </c>
      <c r="S291" s="12">
        <v>32830.0</v>
      </c>
      <c r="T291" s="12">
        <v>0.0</v>
      </c>
      <c r="U291" s="12">
        <v>0.0</v>
      </c>
      <c r="V291" s="12">
        <v>0.0</v>
      </c>
      <c r="W291" s="12">
        <v>0.0</v>
      </c>
      <c r="X291" s="12">
        <v>0.0</v>
      </c>
      <c r="Y291" s="12">
        <v>-331830.0</v>
      </c>
      <c r="Z291" s="12">
        <v>-49770.0</v>
      </c>
      <c r="AA291" s="12">
        <v>29290.0</v>
      </c>
      <c r="AB291" s="12">
        <v>-38330.0</v>
      </c>
      <c r="AC291" s="12">
        <v>-321290.0</v>
      </c>
      <c r="AD291" s="12">
        <v>-358030.0</v>
      </c>
      <c r="AE291" s="12">
        <v>-65740.0</v>
      </c>
      <c r="AF291" s="12">
        <v>39920.0</v>
      </c>
      <c r="AG291" s="12">
        <v>-10810.0</v>
      </c>
      <c r="AH291" s="12">
        <v>-393450.0</v>
      </c>
      <c r="AI291" s="12">
        <v>96510.0</v>
      </c>
      <c r="AJ291" s="12">
        <v>119100.0</v>
      </c>
      <c r="AK291" s="12">
        <v>197910.0</v>
      </c>
      <c r="AL291" s="12">
        <v>187180.0</v>
      </c>
      <c r="AM291" s="12">
        <v>105960.0</v>
      </c>
      <c r="AN291" s="12">
        <v>-346900.0</v>
      </c>
      <c r="AO291" s="12">
        <v>-48960.0</v>
      </c>
      <c r="AP291" s="12">
        <v>10930.0</v>
      </c>
      <c r="AQ291" s="12">
        <v>22440.0</v>
      </c>
      <c r="AR291" s="12">
        <v>-367180.0</v>
      </c>
      <c r="AS291" s="12">
        <v>91880.0</v>
      </c>
      <c r="AT291" s="12">
        <v>17420.0</v>
      </c>
      <c r="AU291" s="12">
        <v>208460.0</v>
      </c>
      <c r="AV291" s="12">
        <v>125820.0</v>
      </c>
      <c r="AW291" s="12">
        <v>113540.0</v>
      </c>
      <c r="AX291" s="12">
        <v>-99770.0</v>
      </c>
      <c r="AY291" s="12">
        <v>-140790.0</v>
      </c>
      <c r="AZ291" s="12">
        <v>-136730.0</v>
      </c>
      <c r="BA291" s="12">
        <v>-94380.0</v>
      </c>
      <c r="BB291" s="12">
        <v>-95190.0</v>
      </c>
      <c r="BC291" s="16">
        <v>0.0</v>
      </c>
      <c r="BD291" s="16">
        <v>0.0</v>
      </c>
      <c r="BE291" s="12">
        <v>0.0</v>
      </c>
      <c r="BF291" s="12">
        <v>0.0</v>
      </c>
      <c r="BG291" s="12">
        <v>0.0</v>
      </c>
      <c r="BH291" s="12">
        <v>55650.0</v>
      </c>
      <c r="BI291" s="12">
        <v>115080.0</v>
      </c>
      <c r="BJ291" s="12">
        <v>192030.0</v>
      </c>
      <c r="BK291" s="12">
        <v>118310.0</v>
      </c>
      <c r="BL291" s="12">
        <v>200710.0</v>
      </c>
      <c r="BM291" s="12">
        <v>18670.0</v>
      </c>
      <c r="BN291" s="12">
        <v>29740.0</v>
      </c>
      <c r="BO291" s="12">
        <v>19070.0</v>
      </c>
      <c r="BP291" s="12">
        <v>53420.0</v>
      </c>
      <c r="BQ291" s="12">
        <v>85990.0</v>
      </c>
      <c r="BR291" s="12">
        <v>122080.0</v>
      </c>
      <c r="BS291" s="12">
        <v>141400.0</v>
      </c>
      <c r="BT291" s="12">
        <v>131980.0</v>
      </c>
      <c r="BU291" s="12">
        <v>157600.0</v>
      </c>
      <c r="BV291" s="12">
        <v>149040.0</v>
      </c>
      <c r="BW291" s="12">
        <v>210440.0</v>
      </c>
      <c r="BX291" s="12">
        <v>297620.0</v>
      </c>
      <c r="BY291" s="12">
        <v>449560.0</v>
      </c>
      <c r="BZ291" s="12">
        <v>410790.0</v>
      </c>
      <c r="CA291" s="12">
        <v>446690.0</v>
      </c>
      <c r="CB291" s="12">
        <v>1010000.0</v>
      </c>
      <c r="CC291" s="12">
        <v>1270000.0</v>
      </c>
      <c r="CD291" s="12">
        <v>1080000.0</v>
      </c>
      <c r="CE291" s="12">
        <v>743710.0</v>
      </c>
      <c r="CF291" s="12">
        <v>785220.0</v>
      </c>
      <c r="CG291" s="12">
        <v>0.0</v>
      </c>
      <c r="CH291" s="12">
        <v>0.0</v>
      </c>
      <c r="CI291" s="12">
        <v>0.0</v>
      </c>
      <c r="CJ291" s="12">
        <v>0.0</v>
      </c>
      <c r="CK291" s="12">
        <v>0.0</v>
      </c>
      <c r="CL291" s="12">
        <v>1380000.0</v>
      </c>
      <c r="CM291" s="12">
        <v>1710000.0</v>
      </c>
      <c r="CN291" s="12">
        <v>1700000.0</v>
      </c>
      <c r="CO291" s="12">
        <v>1320000.0</v>
      </c>
      <c r="CP291" s="12">
        <v>1330000.0</v>
      </c>
      <c r="CQ291" s="12">
        <v>69180.0</v>
      </c>
      <c r="CR291" s="12">
        <v>47210.0</v>
      </c>
      <c r="CS291" s="12">
        <v>48590.0</v>
      </c>
      <c r="CT291" s="12">
        <v>44660.0</v>
      </c>
      <c r="CU291" s="12">
        <v>48730.0</v>
      </c>
      <c r="CV291" s="12">
        <v>190650.0</v>
      </c>
      <c r="CW291" s="12">
        <v>13100.0</v>
      </c>
      <c r="CX291" s="16">
        <v>0.0</v>
      </c>
      <c r="CY291" s="16">
        <v>0.0</v>
      </c>
      <c r="CZ291" s="16">
        <v>0.0</v>
      </c>
      <c r="DA291" s="15">
        <v>0.0</v>
      </c>
      <c r="DB291" s="12">
        <v>190650.0</v>
      </c>
      <c r="DC291" s="12">
        <v>161320.0</v>
      </c>
      <c r="DD291" s="12">
        <v>228730.0</v>
      </c>
      <c r="DE291" s="12">
        <v>116630.0</v>
      </c>
      <c r="DF291" s="12">
        <v>711630.0</v>
      </c>
      <c r="DG291" s="12">
        <v>859990.0</v>
      </c>
      <c r="DH291" s="12">
        <v>886200.0</v>
      </c>
      <c r="DI291" s="12">
        <v>550420.0</v>
      </c>
      <c r="DJ291" s="12">
        <v>911010.0</v>
      </c>
      <c r="DK291" s="12">
        <v>44400.0</v>
      </c>
      <c r="DL291" s="12">
        <v>29940.0</v>
      </c>
      <c r="DM291" s="12">
        <v>55680.0</v>
      </c>
      <c r="DN291" s="12">
        <v>22090.0</v>
      </c>
      <c r="DO291" s="12">
        <v>14400.0</v>
      </c>
      <c r="DP291" s="12">
        <v>313390.0</v>
      </c>
      <c r="DQ291" s="12">
        <v>433890.0</v>
      </c>
      <c r="DR291" s="12">
        <v>380570.0</v>
      </c>
      <c r="DS291" s="12">
        <v>198680.0</v>
      </c>
      <c r="DT291" s="12">
        <v>484840.0</v>
      </c>
      <c r="DU291" s="16">
        <v>0.0</v>
      </c>
      <c r="DV291" s="15">
        <v>0.0</v>
      </c>
      <c r="DW291" s="15">
        <v>0.0</v>
      </c>
      <c r="DX291" s="16">
        <v>0.0</v>
      </c>
      <c r="DY291" s="16">
        <v>0.0</v>
      </c>
      <c r="DZ291" s="12">
        <v>667000.0</v>
      </c>
      <c r="EA291" s="12">
        <v>852510.0</v>
      </c>
      <c r="EB291" s="12">
        <v>814980.0</v>
      </c>
      <c r="EC291" s="12">
        <v>768490.0</v>
      </c>
      <c r="ED291" s="12">
        <v>421480.0</v>
      </c>
      <c r="EE291" s="23">
        <v>0.342</v>
      </c>
      <c r="EF291" s="23">
        <v>0.185</v>
      </c>
      <c r="EG291" s="23">
        <v>1.0</v>
      </c>
      <c r="EH291" s="23">
        <v>0.25</v>
      </c>
    </row>
    <row r="292">
      <c r="A292" s="9">
        <f t="shared" si="2"/>
        <v>290</v>
      </c>
      <c r="B292" s="22" t="s">
        <v>426</v>
      </c>
      <c r="C292" s="11">
        <v>104810.0</v>
      </c>
      <c r="D292" s="11">
        <v>80700.0</v>
      </c>
      <c r="E292" s="11">
        <v>59700.0</v>
      </c>
      <c r="F292" s="11">
        <v>53600.0</v>
      </c>
      <c r="G292" s="11">
        <v>53620.0</v>
      </c>
      <c r="H292" s="11">
        <v>57630.0</v>
      </c>
      <c r="I292" s="11">
        <v>44690.0</v>
      </c>
      <c r="J292" s="11">
        <v>3930.0</v>
      </c>
      <c r="K292" s="11">
        <v>7220.0</v>
      </c>
      <c r="L292" s="11">
        <v>-2920.0</v>
      </c>
      <c r="M292" s="11">
        <v>19370.0</v>
      </c>
      <c r="N292" s="11">
        <v>21720.0</v>
      </c>
      <c r="O292" s="11">
        <v>14520.0</v>
      </c>
      <c r="P292" s="11">
        <v>12850.0</v>
      </c>
      <c r="Q292" s="11">
        <v>17960.0</v>
      </c>
      <c r="R292" s="11">
        <v>18080.0</v>
      </c>
      <c r="S292" s="11">
        <v>78080.0</v>
      </c>
      <c r="T292" s="12"/>
      <c r="U292" s="12"/>
      <c r="V292" s="12"/>
      <c r="W292" s="12"/>
      <c r="X292" s="11">
        <v>59530.0</v>
      </c>
      <c r="Y292" s="11">
        <v>-10940.0</v>
      </c>
      <c r="Z292" s="12"/>
      <c r="AA292" s="11">
        <v>-20640.0</v>
      </c>
      <c r="AB292" s="12"/>
      <c r="AC292" s="11">
        <v>-55760.0</v>
      </c>
      <c r="AD292" s="11">
        <v>-10470.0</v>
      </c>
      <c r="AE292" s="11">
        <v>-5340.0</v>
      </c>
      <c r="AF292" s="11">
        <v>-20560.0</v>
      </c>
      <c r="AG292" s="11">
        <v>1390.0</v>
      </c>
      <c r="AH292" s="11">
        <v>-55650.0</v>
      </c>
      <c r="AI292" s="11">
        <v>-7490.0</v>
      </c>
      <c r="AJ292" s="11">
        <v>-2880.0</v>
      </c>
      <c r="AK292" s="11">
        <v>-18320.0</v>
      </c>
      <c r="AL292" s="11">
        <v>3760.0</v>
      </c>
      <c r="AM292" s="11">
        <v>-54830.0</v>
      </c>
      <c r="AN292" s="11">
        <v>-10470.0</v>
      </c>
      <c r="AO292" s="11">
        <v>-5060.0</v>
      </c>
      <c r="AP292" s="11">
        <v>-20560.0</v>
      </c>
      <c r="AQ292" s="11">
        <v>1390.0</v>
      </c>
      <c r="AR292" s="11">
        <v>-55650.0</v>
      </c>
      <c r="AS292" s="11">
        <v>5830.0</v>
      </c>
      <c r="AT292" s="11">
        <v>-11600.0</v>
      </c>
      <c r="AU292" s="11">
        <v>-26770.0</v>
      </c>
      <c r="AV292" s="11">
        <v>-39240.0</v>
      </c>
      <c r="AW292" s="11">
        <v>-39590.0</v>
      </c>
      <c r="AX292" s="11">
        <v>-3810.0</v>
      </c>
      <c r="AY292" s="11">
        <v>-1500.0</v>
      </c>
      <c r="AZ292" s="11">
        <v>-3020.0</v>
      </c>
      <c r="BA292" s="11">
        <v>-3560.0</v>
      </c>
      <c r="BB292" s="11">
        <v>-9320.0</v>
      </c>
      <c r="BC292" s="11">
        <v>-4330.0</v>
      </c>
      <c r="BD292" s="11">
        <v>-4330.0</v>
      </c>
      <c r="BE292" s="11">
        <v>-4330.0</v>
      </c>
      <c r="BF292" s="11">
        <v>-4280.0</v>
      </c>
      <c r="BG292" s="11">
        <v>-4140.0</v>
      </c>
      <c r="BH292" s="11">
        <v>36260.0</v>
      </c>
      <c r="BI292" s="11">
        <v>32350.0</v>
      </c>
      <c r="BJ292" s="11">
        <v>42270.0</v>
      </c>
      <c r="BK292" s="11">
        <v>46800.0</v>
      </c>
      <c r="BL292" s="11">
        <v>61410.0</v>
      </c>
      <c r="BM292" s="11">
        <v>11910.0</v>
      </c>
      <c r="BN292" s="11">
        <v>11700.0</v>
      </c>
      <c r="BO292" s="11">
        <v>3750.0</v>
      </c>
      <c r="BP292" s="11">
        <v>7740.0</v>
      </c>
      <c r="BQ292" s="11">
        <v>2860.0</v>
      </c>
      <c r="BR292" s="11">
        <v>10880.0</v>
      </c>
      <c r="BS292" s="11">
        <v>6560.0</v>
      </c>
      <c r="BT292" s="11">
        <v>16130.0</v>
      </c>
      <c r="BU292" s="11">
        <v>33100.0</v>
      </c>
      <c r="BV292" s="11">
        <v>16190.0</v>
      </c>
      <c r="BW292" s="11">
        <v>59760.0</v>
      </c>
      <c r="BX292" s="11">
        <v>51320.0</v>
      </c>
      <c r="BY292" s="11">
        <v>67830.0</v>
      </c>
      <c r="BZ292" s="11">
        <v>89870.0</v>
      </c>
      <c r="CA292" s="11">
        <v>81810.0</v>
      </c>
      <c r="CB292" s="11">
        <v>47210.0</v>
      </c>
      <c r="CC292" s="11">
        <v>25630.0</v>
      </c>
      <c r="CD292" s="11">
        <v>26480.0</v>
      </c>
      <c r="CE292" s="11">
        <v>26050.0</v>
      </c>
      <c r="CF292" s="11">
        <v>24300.0</v>
      </c>
      <c r="CG292" s="12"/>
      <c r="CH292" s="12"/>
      <c r="CI292" s="12"/>
      <c r="CJ292" s="12"/>
      <c r="CK292" s="12"/>
      <c r="CL292" s="11">
        <v>107620.0</v>
      </c>
      <c r="CM292" s="11">
        <v>78400.0</v>
      </c>
      <c r="CN292" s="11">
        <v>95760.0</v>
      </c>
      <c r="CO292" s="11">
        <v>118110.0</v>
      </c>
      <c r="CP292" s="11">
        <v>109040.0</v>
      </c>
      <c r="CQ292" s="11">
        <v>5930.0</v>
      </c>
      <c r="CR292" s="11">
        <v>4350.0</v>
      </c>
      <c r="CS292" s="11">
        <v>1910.0</v>
      </c>
      <c r="CT292" s="11">
        <v>3000.0</v>
      </c>
      <c r="CU292" s="11">
        <v>8430.0</v>
      </c>
      <c r="CV292" s="11">
        <v>44480.0</v>
      </c>
      <c r="CW292" s="11">
        <v>5610.0</v>
      </c>
      <c r="CX292" s="12"/>
      <c r="CY292" s="12"/>
      <c r="CZ292" s="12"/>
      <c r="DA292" s="12"/>
      <c r="DB292" s="11">
        <v>44480.0</v>
      </c>
      <c r="DC292" s="11">
        <v>23160.0</v>
      </c>
      <c r="DD292" s="11">
        <v>37860.0</v>
      </c>
      <c r="DE292" s="11">
        <v>62930.0</v>
      </c>
      <c r="DF292" s="11">
        <v>65720.0</v>
      </c>
      <c r="DG292" s="11">
        <v>25330.0</v>
      </c>
      <c r="DH292" s="11">
        <v>40020.0</v>
      </c>
      <c r="DI292" s="11">
        <v>64530.0</v>
      </c>
      <c r="DJ292" s="11">
        <v>58970.0</v>
      </c>
      <c r="DK292" s="11">
        <v>350.0</v>
      </c>
      <c r="DL292" s="11">
        <v>1150.0</v>
      </c>
      <c r="DM292" s="11">
        <v>1150.0</v>
      </c>
      <c r="DN292" s="11">
        <v>1150.0</v>
      </c>
      <c r="DO292" s="24">
        <v>600.0</v>
      </c>
      <c r="DP292" s="11">
        <v>21240.0</v>
      </c>
      <c r="DQ292" s="11">
        <v>93.0</v>
      </c>
      <c r="DR292" s="12"/>
      <c r="DS292" s="12"/>
      <c r="DT292" s="12"/>
      <c r="DU292" s="24">
        <v>2.0</v>
      </c>
      <c r="DV292" s="11">
        <v>2.0</v>
      </c>
      <c r="DW292" s="11">
        <v>2.0</v>
      </c>
      <c r="DX292" s="24">
        <v>2.0</v>
      </c>
      <c r="DY292" s="24">
        <v>2.0</v>
      </c>
      <c r="DZ292" s="11">
        <v>41900.0</v>
      </c>
      <c r="EA292" s="11">
        <v>53070.0</v>
      </c>
      <c r="EB292" s="11">
        <v>55740.0</v>
      </c>
      <c r="EC292" s="11">
        <v>53580.0</v>
      </c>
      <c r="ED292" s="11">
        <v>50070.0</v>
      </c>
      <c r="EE292" s="14">
        <v>0.07</v>
      </c>
      <c r="EF292" s="14">
        <v>0.136</v>
      </c>
      <c r="EG292" s="14">
        <v>0.312</v>
      </c>
      <c r="EH292" s="14">
        <v>-0.364</v>
      </c>
    </row>
    <row r="293">
      <c r="A293" s="9">
        <f t="shared" si="2"/>
        <v>291</v>
      </c>
      <c r="B293" s="10" t="s">
        <v>427</v>
      </c>
      <c r="C293" s="11">
        <v>200430.0</v>
      </c>
      <c r="D293" s="11">
        <v>155110.0</v>
      </c>
      <c r="E293" s="11">
        <v>127070.0</v>
      </c>
      <c r="F293" s="11">
        <v>76570.0</v>
      </c>
      <c r="G293" s="11">
        <v>48320.0</v>
      </c>
      <c r="H293" s="11">
        <v>40630.0</v>
      </c>
      <c r="I293" s="11">
        <v>28140.0</v>
      </c>
      <c r="J293" s="11">
        <v>80310.0</v>
      </c>
      <c r="K293" s="11">
        <v>42580.0</v>
      </c>
      <c r="L293" s="11">
        <v>25950.0</v>
      </c>
      <c r="M293" s="11">
        <v>18810.0</v>
      </c>
      <c r="N293" s="11">
        <v>17870.0</v>
      </c>
      <c r="O293" s="11">
        <v>104250.0</v>
      </c>
      <c r="P293" s="11">
        <v>57140.0</v>
      </c>
      <c r="Q293" s="11">
        <v>43110.0</v>
      </c>
      <c r="R293" s="11">
        <v>39280.0</v>
      </c>
      <c r="S293" s="11">
        <v>28630.0</v>
      </c>
      <c r="T293" s="11">
        <v>30710.0</v>
      </c>
      <c r="U293" s="11">
        <v>14510.0</v>
      </c>
      <c r="V293" s="11">
        <v>12390.0</v>
      </c>
      <c r="W293" s="11">
        <v>12390.0</v>
      </c>
      <c r="X293" s="11">
        <v>9330.0</v>
      </c>
      <c r="Y293" s="11">
        <v>-24210.0</v>
      </c>
      <c r="Z293" s="11">
        <v>-44340.0</v>
      </c>
      <c r="AA293" s="11">
        <v>-50190.0</v>
      </c>
      <c r="AB293" s="11">
        <v>-37580.0</v>
      </c>
      <c r="AC293" s="11">
        <v>-12530.0</v>
      </c>
      <c r="AD293" s="11">
        <v>-23950.0</v>
      </c>
      <c r="AE293" s="11">
        <v>-48220.0</v>
      </c>
      <c r="AF293" s="11">
        <v>-57270.0</v>
      </c>
      <c r="AG293" s="11">
        <v>-41360.0</v>
      </c>
      <c r="AH293" s="11">
        <v>-13710.0</v>
      </c>
      <c r="AI293" s="11">
        <v>-18410.0</v>
      </c>
      <c r="AJ293" s="11">
        <v>-10350.0</v>
      </c>
      <c r="AK293" s="11">
        <v>-13400.0</v>
      </c>
      <c r="AL293" s="11">
        <v>-17550.0</v>
      </c>
      <c r="AM293" s="11">
        <v>-9960.0</v>
      </c>
      <c r="AN293" s="11">
        <v>-21970.0</v>
      </c>
      <c r="AO293" s="11">
        <v>-46760.0</v>
      </c>
      <c r="AP293" s="11">
        <v>-55470.0</v>
      </c>
      <c r="AQ293" s="11">
        <v>-39470.0</v>
      </c>
      <c r="AR293" s="11">
        <v>-13710.0</v>
      </c>
      <c r="AS293" s="11">
        <v>-2770.0</v>
      </c>
      <c r="AT293" s="11">
        <v>-4010.0</v>
      </c>
      <c r="AU293" s="11">
        <v>-14310.0</v>
      </c>
      <c r="AV293" s="11">
        <v>-16520.0</v>
      </c>
      <c r="AW293" s="11">
        <v>-9750.0</v>
      </c>
      <c r="AX293" s="11">
        <v>-3350.0</v>
      </c>
      <c r="AY293" s="11">
        <v>-7240.0</v>
      </c>
      <c r="AZ293" s="11">
        <v>-186.0</v>
      </c>
      <c r="BA293" s="11">
        <v>-549.0</v>
      </c>
      <c r="BB293" s="11">
        <v>-1200.0</v>
      </c>
      <c r="BC293" s="13"/>
      <c r="BD293" s="13"/>
      <c r="BE293" s="13"/>
      <c r="BF293" s="13"/>
      <c r="BG293" s="13"/>
      <c r="BH293" s="11">
        <v>38220.0</v>
      </c>
      <c r="BI293" s="11">
        <v>64620.0</v>
      </c>
      <c r="BJ293" s="11">
        <v>16900.0</v>
      </c>
      <c r="BK293" s="11">
        <v>17260.0</v>
      </c>
      <c r="BL293" s="11">
        <v>29890.0</v>
      </c>
      <c r="BM293" s="11">
        <v>24060.0</v>
      </c>
      <c r="BN293" s="11">
        <v>9760.0</v>
      </c>
      <c r="BO293" s="11">
        <v>2990.0</v>
      </c>
      <c r="BP293" s="11">
        <v>2770.0</v>
      </c>
      <c r="BQ293" s="11">
        <v>2370.0</v>
      </c>
      <c r="BR293" s="11">
        <v>6010.0</v>
      </c>
      <c r="BS293" s="11">
        <v>4940.0</v>
      </c>
      <c r="BT293" s="11">
        <v>5530.0</v>
      </c>
      <c r="BU293" s="11">
        <v>5460.0</v>
      </c>
      <c r="BV293" s="11">
        <v>766.0</v>
      </c>
      <c r="BW293" s="11">
        <v>71920.0</v>
      </c>
      <c r="BX293" s="11">
        <v>81110.0</v>
      </c>
      <c r="BY293" s="11">
        <v>26770.0</v>
      </c>
      <c r="BZ293" s="11">
        <v>26670.0</v>
      </c>
      <c r="CA293" s="11">
        <v>34360.0</v>
      </c>
      <c r="CB293" s="11">
        <v>9160.0</v>
      </c>
      <c r="CC293" s="11">
        <v>4130.0</v>
      </c>
      <c r="CD293" s="11">
        <v>2080.0</v>
      </c>
      <c r="CE293" s="11">
        <v>2930.0</v>
      </c>
      <c r="CF293" s="11">
        <v>2430.0</v>
      </c>
      <c r="CG293" s="11">
        <v>23860.0</v>
      </c>
      <c r="CH293" s="11">
        <v>12010.0</v>
      </c>
      <c r="CI293" s="11">
        <v>12010.0</v>
      </c>
      <c r="CJ293" s="11">
        <v>13840.0</v>
      </c>
      <c r="CK293" s="11">
        <v>12010.0</v>
      </c>
      <c r="CL293" s="11">
        <v>158260.0</v>
      </c>
      <c r="CM293" s="11">
        <v>134190.0</v>
      </c>
      <c r="CN293" s="11">
        <v>86200.0</v>
      </c>
      <c r="CO293" s="11">
        <v>79670.0</v>
      </c>
      <c r="CP293" s="11">
        <v>55640.0</v>
      </c>
      <c r="CQ293" s="11">
        <v>5510.0</v>
      </c>
      <c r="CR293" s="11">
        <v>4710.0</v>
      </c>
      <c r="CS293" s="11">
        <v>3390.0</v>
      </c>
      <c r="CT293" s="11">
        <v>3070.0</v>
      </c>
      <c r="CU293" s="11">
        <v>1640.0</v>
      </c>
      <c r="CV293" s="11">
        <v>34830.0</v>
      </c>
      <c r="CW293" s="11">
        <v>3020.0</v>
      </c>
      <c r="CX293" s="13"/>
      <c r="CY293" s="13"/>
      <c r="CZ293" s="24">
        <v>600.0</v>
      </c>
      <c r="DA293" s="12"/>
      <c r="DB293" s="11">
        <v>34830.0</v>
      </c>
      <c r="DC293" s="11">
        <v>19500.0</v>
      </c>
      <c r="DD293" s="11">
        <v>42910.0</v>
      </c>
      <c r="DE293" s="11">
        <v>40830.0</v>
      </c>
      <c r="DF293" s="11">
        <v>59260.0</v>
      </c>
      <c r="DG293" s="11">
        <v>38260.0</v>
      </c>
      <c r="DH293" s="11">
        <v>92160.0</v>
      </c>
      <c r="DI293" s="11">
        <v>59910.0</v>
      </c>
      <c r="DJ293" s="11">
        <v>26140.0</v>
      </c>
      <c r="DK293" s="11">
        <v>256.0</v>
      </c>
      <c r="DL293" s="11">
        <v>192.0</v>
      </c>
      <c r="DM293" s="11">
        <v>9580.0</v>
      </c>
      <c r="DN293" s="11">
        <v>143.0</v>
      </c>
      <c r="DO293" s="11">
        <v>147.0</v>
      </c>
      <c r="DP293" s="11">
        <v>71.0</v>
      </c>
      <c r="DQ293" s="11">
        <v>249.0</v>
      </c>
      <c r="DR293" s="11">
        <v>18340.0</v>
      </c>
      <c r="DS293" s="11">
        <v>1100.0</v>
      </c>
      <c r="DT293" s="11">
        <v>12890.0</v>
      </c>
      <c r="DU293" s="13"/>
      <c r="DV293" s="12"/>
      <c r="DW293" s="12"/>
      <c r="DX293" s="13"/>
      <c r="DY293" s="13"/>
      <c r="DZ293" s="11">
        <v>99000.0</v>
      </c>
      <c r="EA293" s="11">
        <v>95930.0</v>
      </c>
      <c r="EB293" s="11">
        <v>-6130.0</v>
      </c>
      <c r="EC293" s="11">
        <v>19480.0</v>
      </c>
      <c r="ED293" s="11">
        <v>29490.0</v>
      </c>
      <c r="EE293" s="14">
        <v>0.06</v>
      </c>
      <c r="EF293" s="14">
        <v>0.055</v>
      </c>
      <c r="EG293" s="14">
        <v>-1.0</v>
      </c>
      <c r="EH293" s="23"/>
    </row>
    <row r="294">
      <c r="A294" s="9">
        <f t="shared" si="2"/>
        <v>292</v>
      </c>
      <c r="B294" s="22" t="s">
        <v>428</v>
      </c>
      <c r="C294" s="11">
        <v>5880.0</v>
      </c>
      <c r="D294" s="11">
        <v>16040.0</v>
      </c>
      <c r="E294" s="11">
        <v>20920.0</v>
      </c>
      <c r="F294" s="12"/>
      <c r="G294" s="12"/>
      <c r="H294" s="12"/>
      <c r="I294" s="12"/>
      <c r="J294" s="12"/>
      <c r="K294" s="11">
        <v>-523.0</v>
      </c>
      <c r="L294" s="11">
        <v>-667.0</v>
      </c>
      <c r="M294" s="11">
        <v>-732.0</v>
      </c>
      <c r="N294" s="11">
        <v>-461.0</v>
      </c>
      <c r="O294" s="11">
        <v>62310.0</v>
      </c>
      <c r="P294" s="11">
        <v>62760.0</v>
      </c>
      <c r="Q294" s="11">
        <v>55050.0</v>
      </c>
      <c r="R294" s="11">
        <v>47700.0</v>
      </c>
      <c r="S294" s="11">
        <v>31850.0</v>
      </c>
      <c r="T294" s="11">
        <v>46400.0</v>
      </c>
      <c r="U294" s="11">
        <v>49140.0</v>
      </c>
      <c r="V294" s="11">
        <v>42820.0</v>
      </c>
      <c r="W294" s="11">
        <v>35700.0</v>
      </c>
      <c r="X294" s="11">
        <v>23480.0</v>
      </c>
      <c r="Y294" s="11">
        <v>-41310.0</v>
      </c>
      <c r="Z294" s="11">
        <v>-59430.0</v>
      </c>
      <c r="AA294" s="12"/>
      <c r="AB294" s="12"/>
      <c r="AC294" s="12"/>
      <c r="AD294" s="11">
        <v>-41090.0</v>
      </c>
      <c r="AE294" s="11">
        <v>-59020.0</v>
      </c>
      <c r="AF294" s="11">
        <v>-55730.0</v>
      </c>
      <c r="AG294" s="11">
        <v>-48170.0</v>
      </c>
      <c r="AH294" s="11">
        <v>-32190.0</v>
      </c>
      <c r="AI294" s="11">
        <v>-41400.0</v>
      </c>
      <c r="AJ294" s="11">
        <v>-62760.0</v>
      </c>
      <c r="AK294" s="11">
        <v>-55050.0</v>
      </c>
      <c r="AL294" s="11">
        <v>-47700.0</v>
      </c>
      <c r="AM294" s="11">
        <v>-31850.0</v>
      </c>
      <c r="AN294" s="11">
        <v>-41090.0</v>
      </c>
      <c r="AO294" s="11">
        <v>-69350.0</v>
      </c>
      <c r="AP294" s="11">
        <v>-55730.0</v>
      </c>
      <c r="AQ294" s="11">
        <v>-48170.0</v>
      </c>
      <c r="AR294" s="11">
        <v>-32190.0</v>
      </c>
      <c r="AS294" s="11">
        <v>-28530.0</v>
      </c>
      <c r="AT294" s="11">
        <v>-56710.0</v>
      </c>
      <c r="AU294" s="11">
        <v>-49910.0</v>
      </c>
      <c r="AV294" s="11">
        <v>-39770.0</v>
      </c>
      <c r="AW294" s="11">
        <v>-25960.0</v>
      </c>
      <c r="AX294" s="11">
        <v>-35.0</v>
      </c>
      <c r="AY294" s="11">
        <v>-177.0</v>
      </c>
      <c r="AZ294" s="11">
        <v>-306.0</v>
      </c>
      <c r="BA294" s="11">
        <v>-401.0</v>
      </c>
      <c r="BB294" s="11">
        <v>-1170.0</v>
      </c>
      <c r="BC294" s="12"/>
      <c r="BD294" s="12"/>
      <c r="BE294" s="12"/>
      <c r="BF294" s="12"/>
      <c r="BG294" s="12"/>
      <c r="BH294" s="11">
        <v>60270.0</v>
      </c>
      <c r="BI294" s="11">
        <v>74560.0</v>
      </c>
      <c r="BJ294" s="11">
        <v>75310.0</v>
      </c>
      <c r="BK294" s="11">
        <v>104620.0</v>
      </c>
      <c r="BL294" s="11">
        <v>107510.0</v>
      </c>
      <c r="BM294" s="11">
        <v>5550.0</v>
      </c>
      <c r="BN294" s="12"/>
      <c r="BO294" s="11">
        <v>321.0</v>
      </c>
      <c r="BP294" s="12"/>
      <c r="BQ294" s="12"/>
      <c r="BR294" s="12"/>
      <c r="BS294" s="12"/>
      <c r="BT294" s="12"/>
      <c r="BU294" s="12"/>
      <c r="BV294" s="12"/>
      <c r="BW294" s="11">
        <v>65810.0</v>
      </c>
      <c r="BX294" s="11">
        <v>77130.0</v>
      </c>
      <c r="BY294" s="11">
        <v>77670.0</v>
      </c>
      <c r="BZ294" s="11">
        <v>105400.0</v>
      </c>
      <c r="CA294" s="11">
        <v>108220.0</v>
      </c>
      <c r="CB294" s="11">
        <v>2060.0</v>
      </c>
      <c r="CC294" s="11">
        <v>712.0</v>
      </c>
      <c r="CD294" s="11">
        <v>1040.0</v>
      </c>
      <c r="CE294" s="11">
        <v>1370.0</v>
      </c>
      <c r="CF294" s="11">
        <v>1680.0</v>
      </c>
      <c r="CG294" s="12"/>
      <c r="CH294" s="12"/>
      <c r="CI294" s="12"/>
      <c r="CJ294" s="12"/>
      <c r="CK294" s="12"/>
      <c r="CL294" s="11">
        <v>68980.0</v>
      </c>
      <c r="CM294" s="11">
        <v>79110.0</v>
      </c>
      <c r="CN294" s="11">
        <v>79040.0</v>
      </c>
      <c r="CO294" s="11">
        <v>106960.0</v>
      </c>
      <c r="CP294" s="11">
        <v>109970.0</v>
      </c>
      <c r="CQ294" s="11">
        <v>1890.0</v>
      </c>
      <c r="CR294" s="11">
        <v>2850.0</v>
      </c>
      <c r="CS294" s="12"/>
      <c r="CT294" s="12"/>
      <c r="CU294" s="12"/>
      <c r="CV294" s="11">
        <v>30200.0</v>
      </c>
      <c r="CW294" s="11">
        <v>818.0</v>
      </c>
      <c r="CX294" s="12"/>
      <c r="CY294" s="12"/>
      <c r="CZ294" s="12"/>
      <c r="DA294" s="12"/>
      <c r="DB294" s="11">
        <v>30200.0</v>
      </c>
      <c r="DC294" s="11">
        <v>19890.0</v>
      </c>
      <c r="DD294" s="11">
        <v>12090.0</v>
      </c>
      <c r="DE294" s="11">
        <v>8910.0</v>
      </c>
      <c r="DF294" s="11">
        <v>31140.0</v>
      </c>
      <c r="DG294" s="11">
        <v>19970.0</v>
      </c>
      <c r="DH294" s="11">
        <v>19290.0</v>
      </c>
      <c r="DI294" s="11">
        <v>18780.0</v>
      </c>
      <c r="DJ294" s="11">
        <v>6060.0</v>
      </c>
      <c r="DK294" s="12"/>
      <c r="DL294" s="12"/>
      <c r="DM294" s="12"/>
      <c r="DN294" s="12"/>
      <c r="DO294" s="12"/>
      <c r="DP294" s="11">
        <v>942.0</v>
      </c>
      <c r="DQ294" s="12"/>
      <c r="DR294" s="11">
        <v>7210.0</v>
      </c>
      <c r="DS294" s="11">
        <v>9790.0</v>
      </c>
      <c r="DT294" s="12"/>
      <c r="DU294" s="13"/>
      <c r="DV294" s="12"/>
      <c r="DW294" s="12"/>
      <c r="DX294" s="13"/>
      <c r="DY294" s="13"/>
      <c r="DZ294" s="11">
        <v>37840.0</v>
      </c>
      <c r="EA294" s="11">
        <v>59140.0</v>
      </c>
      <c r="EB294" s="11">
        <v>59740.0</v>
      </c>
      <c r="EC294" s="11">
        <v>88180.0</v>
      </c>
      <c r="ED294" s="11">
        <v>103910.0</v>
      </c>
      <c r="EE294" s="14">
        <v>1.309</v>
      </c>
      <c r="EF294" s="23"/>
      <c r="EG294" s="14">
        <v>-0.607</v>
      </c>
      <c r="EH294" s="14">
        <v>0.093</v>
      </c>
    </row>
    <row r="295">
      <c r="A295" s="9">
        <f t="shared" si="2"/>
        <v>293</v>
      </c>
      <c r="B295" s="25" t="s">
        <v>429</v>
      </c>
      <c r="C295" s="15">
        <v>84430.0</v>
      </c>
      <c r="D295" s="15">
        <v>60530.0</v>
      </c>
      <c r="E295" s="15">
        <v>46290.0</v>
      </c>
      <c r="F295" s="15">
        <v>31560.0</v>
      </c>
      <c r="G295" s="15">
        <v>21200.0</v>
      </c>
      <c r="H295" s="15">
        <v>21660.0</v>
      </c>
      <c r="I295" s="15">
        <v>22010.0</v>
      </c>
      <c r="J295" s="15">
        <v>25770.0</v>
      </c>
      <c r="K295" s="15">
        <v>16060.0</v>
      </c>
      <c r="L295" s="15">
        <v>10480.0</v>
      </c>
      <c r="M295" s="15">
        <v>10390.0</v>
      </c>
      <c r="N295" s="15">
        <v>8480.0</v>
      </c>
      <c r="O295" s="15">
        <v>45640.0</v>
      </c>
      <c r="P295" s="15">
        <v>49150.0</v>
      </c>
      <c r="Q295" s="15">
        <v>26110.0</v>
      </c>
      <c r="R295" s="15">
        <v>13300.0</v>
      </c>
      <c r="S295" s="15">
        <v>10630.0</v>
      </c>
      <c r="T295" s="15">
        <v>4420.0</v>
      </c>
      <c r="U295" s="15">
        <v>5480.0</v>
      </c>
      <c r="V295" s="15">
        <v>4010.0</v>
      </c>
      <c r="W295" s="15">
        <v>2520.0</v>
      </c>
      <c r="X295" s="15">
        <v>892.0</v>
      </c>
      <c r="Y295" s="15">
        <v>-31300.0</v>
      </c>
      <c r="Z295" s="12"/>
      <c r="AA295" s="12"/>
      <c r="AB295" s="15">
        <v>-313.0</v>
      </c>
      <c r="AC295" s="12"/>
      <c r="AD295" s="15">
        <v>-32150.0</v>
      </c>
      <c r="AE295" s="15">
        <v>-33320.0</v>
      </c>
      <c r="AF295" s="15">
        <v>-16530.0</v>
      </c>
      <c r="AG295" s="15">
        <v>-3550.0</v>
      </c>
      <c r="AH295" s="15">
        <v>-2770.0</v>
      </c>
      <c r="AI295" s="15">
        <v>-18480.0</v>
      </c>
      <c r="AJ295" s="15">
        <v>-32330.0</v>
      </c>
      <c r="AK295" s="15">
        <v>-15660.0</v>
      </c>
      <c r="AL295" s="15">
        <v>-2490.0</v>
      </c>
      <c r="AM295" s="15">
        <v>-1820.0</v>
      </c>
      <c r="AN295" s="15">
        <v>-32150.0</v>
      </c>
      <c r="AO295" s="15">
        <v>-33320.0</v>
      </c>
      <c r="AP295" s="15">
        <v>-16530.0</v>
      </c>
      <c r="AQ295" s="15">
        <v>-3550.0</v>
      </c>
      <c r="AR295" s="15">
        <v>-2770.0</v>
      </c>
      <c r="AS295" s="15">
        <v>-20490.0</v>
      </c>
      <c r="AT295" s="15">
        <v>-20930.0</v>
      </c>
      <c r="AU295" s="15">
        <v>-9880.0</v>
      </c>
      <c r="AV295" s="15">
        <v>-3110.0</v>
      </c>
      <c r="AW295" s="15">
        <v>-2110.0</v>
      </c>
      <c r="AX295" s="15">
        <v>-802.0</v>
      </c>
      <c r="AY295" s="15">
        <v>-1450.0</v>
      </c>
      <c r="AZ295" s="15">
        <v>-1350.0</v>
      </c>
      <c r="BA295" s="15">
        <v>-1720.0</v>
      </c>
      <c r="BB295" s="15">
        <v>-648.0</v>
      </c>
      <c r="BC295" s="13"/>
      <c r="BD295" s="13"/>
      <c r="BE295" s="13"/>
      <c r="BF295" s="12"/>
      <c r="BG295" s="13"/>
      <c r="BH295" s="15">
        <v>18810.0</v>
      </c>
      <c r="BI295" s="15">
        <v>22620.0</v>
      </c>
      <c r="BJ295" s="15">
        <v>45390.0</v>
      </c>
      <c r="BK295" s="15">
        <v>1640.0</v>
      </c>
      <c r="BL295" s="15">
        <v>5550.0</v>
      </c>
      <c r="BM295" s="15">
        <v>2180.0</v>
      </c>
      <c r="BN295" s="15">
        <v>5090.0</v>
      </c>
      <c r="BO295" s="15">
        <v>5340.0</v>
      </c>
      <c r="BP295" s="15">
        <v>5850.0</v>
      </c>
      <c r="BQ295" s="15">
        <v>2450.0</v>
      </c>
      <c r="BR295" s="15">
        <v>11540.0</v>
      </c>
      <c r="BS295" s="15">
        <v>8250.0</v>
      </c>
      <c r="BT295" s="15">
        <v>5800.0</v>
      </c>
      <c r="BU295" s="15">
        <v>7910.0</v>
      </c>
      <c r="BV295" s="15">
        <v>8170.0</v>
      </c>
      <c r="BW295" s="15">
        <v>33520.0</v>
      </c>
      <c r="BX295" s="15">
        <v>36530.0</v>
      </c>
      <c r="BY295" s="15">
        <v>57180.0</v>
      </c>
      <c r="BZ295" s="15">
        <v>15740.0</v>
      </c>
      <c r="CA295" s="15">
        <v>16550.0</v>
      </c>
      <c r="CB295" s="15">
        <v>4660.0</v>
      </c>
      <c r="CC295" s="15">
        <v>3590.0</v>
      </c>
      <c r="CD295" s="15">
        <v>2870.0</v>
      </c>
      <c r="CE295" s="15">
        <v>1780.0</v>
      </c>
      <c r="CF295" s="15">
        <v>1790.0</v>
      </c>
      <c r="CG295" s="12"/>
      <c r="CH295" s="12"/>
      <c r="CI295" s="12"/>
      <c r="CJ295" s="12"/>
      <c r="CK295" s="12"/>
      <c r="CL295" s="15">
        <v>40250.0</v>
      </c>
      <c r="CM295" s="15">
        <v>42230.0</v>
      </c>
      <c r="CN295" s="15">
        <v>62720.0</v>
      </c>
      <c r="CO295" s="15">
        <v>19750.0</v>
      </c>
      <c r="CP295" s="15">
        <v>18750.0</v>
      </c>
      <c r="CQ295" s="15">
        <v>9630.0</v>
      </c>
      <c r="CR295" s="15">
        <v>9550.0</v>
      </c>
      <c r="CS295" s="15">
        <v>3720.0</v>
      </c>
      <c r="CT295" s="15">
        <v>5980.0</v>
      </c>
      <c r="CU295" s="15">
        <v>6220.0</v>
      </c>
      <c r="CV295" s="15">
        <v>15060.0</v>
      </c>
      <c r="CW295" s="15">
        <v>595.0</v>
      </c>
      <c r="CX295" s="13"/>
      <c r="CY295" s="13"/>
      <c r="CZ295" s="13"/>
      <c r="DA295" s="12"/>
      <c r="DB295" s="15">
        <v>15060.0</v>
      </c>
      <c r="DC295" s="15">
        <v>14440.0</v>
      </c>
      <c r="DD295" s="15">
        <v>8090.0</v>
      </c>
      <c r="DE295" s="15">
        <v>8870.0</v>
      </c>
      <c r="DF295" s="15">
        <v>19800.0</v>
      </c>
      <c r="DG295" s="15">
        <v>15050.0</v>
      </c>
      <c r="DH295" s="15">
        <v>8890.0</v>
      </c>
      <c r="DI295" s="15">
        <v>9780.0</v>
      </c>
      <c r="DJ295" s="15">
        <v>13470.0</v>
      </c>
      <c r="DK295" s="12"/>
      <c r="DL295" s="15">
        <v>323.0</v>
      </c>
      <c r="DM295" s="12"/>
      <c r="DN295" s="15">
        <v>20.0</v>
      </c>
      <c r="DO295" s="12"/>
      <c r="DP295" s="15">
        <v>866.0</v>
      </c>
      <c r="DQ295" s="15">
        <v>137.0</v>
      </c>
      <c r="DR295" s="15">
        <v>310.0</v>
      </c>
      <c r="DS295" s="15">
        <v>344.0</v>
      </c>
      <c r="DT295" s="15">
        <v>3790.0</v>
      </c>
      <c r="DU295" s="13"/>
      <c r="DV295" s="12"/>
      <c r="DW295" s="12"/>
      <c r="DX295" s="12"/>
      <c r="DY295" s="12"/>
      <c r="DZ295" s="15">
        <v>20450.0</v>
      </c>
      <c r="EA295" s="15">
        <v>27180.0</v>
      </c>
      <c r="EB295" s="15">
        <v>53830.0</v>
      </c>
      <c r="EC295" s="15">
        <v>9970.0</v>
      </c>
      <c r="ED295" s="15">
        <v>5270.0</v>
      </c>
      <c r="EE295" s="17">
        <v>0.078</v>
      </c>
      <c r="EF295" s="17">
        <v>0.134</v>
      </c>
      <c r="EG295" s="17">
        <v>0.091</v>
      </c>
      <c r="EH295" s="17">
        <v>-0.088</v>
      </c>
    </row>
    <row r="296">
      <c r="A296" s="9">
        <f t="shared" si="2"/>
        <v>294</v>
      </c>
      <c r="B296" s="25" t="s">
        <v>430</v>
      </c>
      <c r="C296" s="15">
        <v>5710000.0</v>
      </c>
      <c r="D296" s="15">
        <v>5150000.0</v>
      </c>
      <c r="E296" s="15">
        <v>6300000.0</v>
      </c>
      <c r="F296" s="15">
        <v>7160000.0</v>
      </c>
      <c r="G296" s="15">
        <v>6140000.0</v>
      </c>
      <c r="H296" s="15">
        <v>5390000.0</v>
      </c>
      <c r="I296" s="15">
        <v>5670000.0</v>
      </c>
      <c r="J296" s="15">
        <v>1580000.0</v>
      </c>
      <c r="K296" s="15">
        <v>1950000.0</v>
      </c>
      <c r="L296" s="15">
        <v>1490000.0</v>
      </c>
      <c r="M296" s="15">
        <v>1390000.0</v>
      </c>
      <c r="N296" s="15">
        <v>1310000.0</v>
      </c>
      <c r="O296" s="15">
        <v>550000.0</v>
      </c>
      <c r="P296" s="15">
        <v>618000.0</v>
      </c>
      <c r="Q296" s="15">
        <v>569000.0</v>
      </c>
      <c r="R296" s="15">
        <v>491000.0</v>
      </c>
      <c r="S296" s="15">
        <v>586000.0</v>
      </c>
      <c r="T296" s="15">
        <v>67000.0</v>
      </c>
      <c r="U296" s="15">
        <v>72000.0</v>
      </c>
      <c r="V296" s="15">
        <v>73000.0</v>
      </c>
      <c r="W296" s="15">
        <v>78000.0</v>
      </c>
      <c r="X296" s="15">
        <v>80000.0</v>
      </c>
      <c r="Y296" s="15">
        <v>918000.0</v>
      </c>
      <c r="Z296" s="15">
        <v>1340000.0</v>
      </c>
      <c r="AA296" s="15">
        <v>-55000.0</v>
      </c>
      <c r="AB296" s="15">
        <v>891000.0</v>
      </c>
      <c r="AC296" s="15">
        <v>330000.0</v>
      </c>
      <c r="AD296" s="15">
        <v>988000.0</v>
      </c>
      <c r="AE296" s="15">
        <v>1510000.0</v>
      </c>
      <c r="AF296" s="15">
        <v>1080000.0</v>
      </c>
      <c r="AG296" s="15">
        <v>1030000.0</v>
      </c>
      <c r="AH296" s="15">
        <v>488000.0</v>
      </c>
      <c r="AI296" s="15">
        <v>1380000.0</v>
      </c>
      <c r="AJ296" s="15">
        <v>1670000.0</v>
      </c>
      <c r="AK296" s="15">
        <v>1220000.0</v>
      </c>
      <c r="AL296" s="15">
        <v>1190000.0</v>
      </c>
      <c r="AM296" s="15">
        <v>1080000.0</v>
      </c>
      <c r="AN296" s="15">
        <v>858000.0</v>
      </c>
      <c r="AO296" s="15">
        <v>1210000.0</v>
      </c>
      <c r="AP296" s="15">
        <v>856000.0</v>
      </c>
      <c r="AQ296" s="15">
        <v>902000.0</v>
      </c>
      <c r="AR296" s="15">
        <v>306000.0</v>
      </c>
      <c r="AS296" s="15">
        <v>1450000.0</v>
      </c>
      <c r="AT296" s="15">
        <v>1560000.0</v>
      </c>
      <c r="AU296" s="15">
        <v>803000.0</v>
      </c>
      <c r="AV296" s="15">
        <v>893000.0</v>
      </c>
      <c r="AW296" s="15">
        <v>862000.0</v>
      </c>
      <c r="AX296" s="15">
        <v>-370000.0</v>
      </c>
      <c r="AY296" s="15">
        <v>-337000.0</v>
      </c>
      <c r="AZ296" s="15">
        <v>-267000.0</v>
      </c>
      <c r="BA296" s="15">
        <v>-246000.0</v>
      </c>
      <c r="BB296" s="15">
        <v>-520000.0</v>
      </c>
      <c r="BC296" s="15">
        <v>-300000.0</v>
      </c>
      <c r="BD296" s="15">
        <v>-280000.0</v>
      </c>
      <c r="BE296" s="15">
        <v>-241000.0</v>
      </c>
      <c r="BF296" s="15">
        <v>-201000.0</v>
      </c>
      <c r="BG296" s="15">
        <v>-174000.0</v>
      </c>
      <c r="BH296" s="15">
        <v>503000.0</v>
      </c>
      <c r="BI296" s="15">
        <v>470000.0</v>
      </c>
      <c r="BJ296" s="15">
        <v>608000.0</v>
      </c>
      <c r="BK296" s="15">
        <v>668000.0</v>
      </c>
      <c r="BL296" s="15">
        <v>997000.0</v>
      </c>
      <c r="BM296" s="15">
        <v>1180000.0</v>
      </c>
      <c r="BN296" s="15">
        <v>1320000.0</v>
      </c>
      <c r="BO296" s="15">
        <v>1230000.0</v>
      </c>
      <c r="BP296" s="15">
        <v>1020000.0</v>
      </c>
      <c r="BQ296" s="15">
        <v>991000.0</v>
      </c>
      <c r="BR296" s="15">
        <v>1040000.0</v>
      </c>
      <c r="BS296" s="15">
        <v>1050000.0</v>
      </c>
      <c r="BT296" s="15">
        <v>900000.0</v>
      </c>
      <c r="BU296" s="15">
        <v>720000.0</v>
      </c>
      <c r="BV296" s="15">
        <v>682000.0</v>
      </c>
      <c r="BW296" s="15">
        <v>2770000.0</v>
      </c>
      <c r="BX296" s="15">
        <v>2870000.0</v>
      </c>
      <c r="BY296" s="15">
        <v>2790000.0</v>
      </c>
      <c r="BZ296" s="15">
        <v>2470000.0</v>
      </c>
      <c r="CA296" s="15">
        <v>2790000.0</v>
      </c>
      <c r="CB296" s="15">
        <v>3920000.0</v>
      </c>
      <c r="CC296" s="15">
        <v>3720000.0</v>
      </c>
      <c r="CD296" s="15">
        <v>3760000.0</v>
      </c>
      <c r="CE296" s="15">
        <v>3580000.0</v>
      </c>
      <c r="CF296" s="15">
        <v>3610000.0</v>
      </c>
      <c r="CG296" s="15">
        <v>1070000.0</v>
      </c>
      <c r="CH296" s="15">
        <v>1060000.0</v>
      </c>
      <c r="CI296" s="15">
        <v>1000000.0</v>
      </c>
      <c r="CJ296" s="15">
        <v>796000.0</v>
      </c>
      <c r="CK296" s="15">
        <v>705000.0</v>
      </c>
      <c r="CL296" s="15">
        <v>9480000.0</v>
      </c>
      <c r="CM296" s="15">
        <v>9310000.0</v>
      </c>
      <c r="CN296" s="15">
        <v>9540000.0</v>
      </c>
      <c r="CO296" s="15">
        <v>8360000.0</v>
      </c>
      <c r="CP296" s="15">
        <v>8590000.0</v>
      </c>
      <c r="CQ296" s="15">
        <v>780000.0</v>
      </c>
      <c r="CR296" s="15">
        <v>819000.0</v>
      </c>
      <c r="CS296" s="15">
        <v>807000.0</v>
      </c>
      <c r="CT296" s="15">
        <v>625000.0</v>
      </c>
      <c r="CU296" s="15">
        <v>587000.0</v>
      </c>
      <c r="CV296" s="15">
        <v>1750000.0</v>
      </c>
      <c r="CW296" s="15">
        <v>497000.0</v>
      </c>
      <c r="CX296" s="15">
        <v>194000.0</v>
      </c>
      <c r="CY296" s="15">
        <v>263000.0</v>
      </c>
      <c r="CZ296" s="15">
        <v>91000.0</v>
      </c>
      <c r="DA296" s="15">
        <v>457000.0</v>
      </c>
      <c r="DB296" s="15">
        <v>1750000.0</v>
      </c>
      <c r="DC296" s="15">
        <v>1780000.0</v>
      </c>
      <c r="DD296" s="15">
        <v>1560000.0</v>
      </c>
      <c r="DE296" s="15">
        <v>1080000.0</v>
      </c>
      <c r="DF296" s="15">
        <v>6580000.0</v>
      </c>
      <c r="DG296" s="15">
        <v>5930000.0</v>
      </c>
      <c r="DH296" s="15">
        <v>6240000.0</v>
      </c>
      <c r="DI296" s="15">
        <v>5340000.0</v>
      </c>
      <c r="DJ296" s="15">
        <v>5760000.0</v>
      </c>
      <c r="DK296" s="15">
        <v>975000.0</v>
      </c>
      <c r="DL296" s="15">
        <v>979000.0</v>
      </c>
      <c r="DM296" s="15">
        <v>978000.0</v>
      </c>
      <c r="DN296" s="15">
        <v>852000.0</v>
      </c>
      <c r="DO296" s="15">
        <v>838000.0</v>
      </c>
      <c r="DP296" s="15">
        <v>3590000.0</v>
      </c>
      <c r="DQ296" s="15">
        <v>2970000.0</v>
      </c>
      <c r="DR296" s="15">
        <v>3320000.0</v>
      </c>
      <c r="DS296" s="15">
        <v>2890000.0</v>
      </c>
      <c r="DT296" s="15">
        <v>2470000.0</v>
      </c>
      <c r="DU296" s="13"/>
      <c r="DV296" s="15"/>
      <c r="DW296" s="15"/>
      <c r="DX296" s="15"/>
      <c r="DY296" s="13"/>
      <c r="DZ296" s="15">
        <v>2510000.0</v>
      </c>
      <c r="EA296" s="15">
        <v>2980000.0</v>
      </c>
      <c r="EB296" s="15">
        <v>2890000.0</v>
      </c>
      <c r="EC296" s="15">
        <v>2590000.0</v>
      </c>
      <c r="ED296" s="15">
        <v>2380000.0</v>
      </c>
      <c r="EE296" s="23"/>
      <c r="EF296" s="23"/>
      <c r="EG296" s="23">
        <v>0.022</v>
      </c>
      <c r="EH296" s="23">
        <v>-0.006</v>
      </c>
    </row>
    <row r="297">
      <c r="A297" s="9">
        <f t="shared" si="2"/>
        <v>295</v>
      </c>
      <c r="B297" s="10" t="s">
        <v>431</v>
      </c>
      <c r="C297" s="11"/>
      <c r="D297" s="11"/>
      <c r="E297" s="11">
        <v>1.3719E8</v>
      </c>
      <c r="F297" s="11">
        <v>1.3654E8</v>
      </c>
      <c r="G297" s="11">
        <v>1.1816E8</v>
      </c>
      <c r="H297" s="11">
        <v>1.1556E8</v>
      </c>
      <c r="I297" s="11">
        <v>1.1591E8</v>
      </c>
      <c r="J297" s="11">
        <v>1.656E7</v>
      </c>
      <c r="K297" s="11">
        <v>1.458E7</v>
      </c>
      <c r="L297" s="11">
        <v>1.548E7</v>
      </c>
      <c r="M297" s="11">
        <v>2.132E7</v>
      </c>
      <c r="N297" s="11">
        <v>2.297E7</v>
      </c>
      <c r="O297" s="11">
        <v>1.122E7</v>
      </c>
      <c r="P297" s="11">
        <v>1.077E7</v>
      </c>
      <c r="Q297" s="11">
        <v>9420000.0</v>
      </c>
      <c r="R297" s="11">
        <v>1.079E7</v>
      </c>
      <c r="S297" s="11">
        <v>1.138E7</v>
      </c>
      <c r="T297" s="11"/>
      <c r="U297" s="11"/>
      <c r="V297" s="11"/>
      <c r="W297" s="11"/>
      <c r="X297" s="11"/>
      <c r="Y297" s="11">
        <v>3290000.0</v>
      </c>
      <c r="Z297" s="11">
        <v>3770000.0</v>
      </c>
      <c r="AA297" s="11">
        <v>2730000.0</v>
      </c>
      <c r="AB297" s="11">
        <v>8210000.0</v>
      </c>
      <c r="AC297" s="11">
        <v>9080000.0</v>
      </c>
      <c r="AD297" s="11">
        <v>4550000.0</v>
      </c>
      <c r="AE297" s="11">
        <v>4330000.0</v>
      </c>
      <c r="AF297" s="11">
        <v>9640000.0</v>
      </c>
      <c r="AG297" s="11">
        <v>7370000.0</v>
      </c>
      <c r="AH297" s="11">
        <v>6800000.0</v>
      </c>
      <c r="AI297" s="11">
        <v>2.828E7</v>
      </c>
      <c r="AJ297" s="11">
        <v>2.099E7</v>
      </c>
      <c r="AK297" s="11">
        <v>1.91E7</v>
      </c>
      <c r="AL297" s="11">
        <v>2.236E7</v>
      </c>
      <c r="AM297" s="11">
        <v>2.213E7</v>
      </c>
      <c r="AN297" s="11">
        <v>3620000.0</v>
      </c>
      <c r="AO297" s="11">
        <v>3200000.0</v>
      </c>
      <c r="AP297" s="11">
        <v>7310000.0</v>
      </c>
      <c r="AQ297" s="11">
        <v>5260000.0</v>
      </c>
      <c r="AR297" s="11">
        <v>5600000.0</v>
      </c>
      <c r="AS297" s="11">
        <v>2.689E7</v>
      </c>
      <c r="AT297" s="11">
        <v>2.164E7</v>
      </c>
      <c r="AU297" s="11">
        <v>1.854E7</v>
      </c>
      <c r="AV297" s="11">
        <v>2.565E7</v>
      </c>
      <c r="AW297" s="11">
        <v>2.642E7</v>
      </c>
      <c r="AX297" s="11">
        <v>-8610000.0</v>
      </c>
      <c r="AY297" s="11">
        <v>-3.103E7</v>
      </c>
      <c r="AZ297" s="11">
        <v>-2.847E7</v>
      </c>
      <c r="BA297" s="11">
        <v>-4.524E7</v>
      </c>
      <c r="BB297" s="11">
        <v>-4.141E7</v>
      </c>
      <c r="BC297" s="11"/>
      <c r="BD297" s="11">
        <v>-874130.0</v>
      </c>
      <c r="BE297" s="11">
        <v>-817540.0</v>
      </c>
      <c r="BF297" s="11">
        <v>-862290.0</v>
      </c>
      <c r="BG297" s="11"/>
      <c r="BH297" s="11">
        <v>1650000.0</v>
      </c>
      <c r="BI297" s="11">
        <v>864390.0</v>
      </c>
      <c r="BJ297" s="11">
        <v>5590000.0</v>
      </c>
      <c r="BK297" s="11">
        <v>1940000.0</v>
      </c>
      <c r="BL297" s="11">
        <v>1.088E7</v>
      </c>
      <c r="BM297" s="11">
        <v>1.53E7</v>
      </c>
      <c r="BN297" s="11">
        <v>1.303E7</v>
      </c>
      <c r="BO297" s="11">
        <v>1.215E7</v>
      </c>
      <c r="BP297" s="11">
        <v>7040000.0</v>
      </c>
      <c r="BQ297" s="11">
        <v>7910000.0</v>
      </c>
      <c r="BR297" s="11">
        <v>2840000.0</v>
      </c>
      <c r="BS297" s="11">
        <v>2480000.0</v>
      </c>
      <c r="BT297" s="11">
        <v>2880000.0</v>
      </c>
      <c r="BU297" s="11">
        <v>5100000.0</v>
      </c>
      <c r="BV297" s="11">
        <v>2910000.0</v>
      </c>
      <c r="BW297" s="11">
        <v>2.208E7</v>
      </c>
      <c r="BX297" s="11">
        <v>1.817E7</v>
      </c>
      <c r="BY297" s="11">
        <v>2.196E7</v>
      </c>
      <c r="BZ297" s="11">
        <v>1.773E7</v>
      </c>
      <c r="CA297" s="11">
        <v>2.754E7</v>
      </c>
      <c r="CB297" s="11">
        <v>2.7457E8</v>
      </c>
      <c r="CC297" s="11">
        <v>2.3158E8</v>
      </c>
      <c r="CD297" s="11">
        <v>2.3109E8</v>
      </c>
      <c r="CE297" s="11">
        <v>1.976E8</v>
      </c>
      <c r="CF297" s="11">
        <v>1.8493E8</v>
      </c>
      <c r="CG297" s="11">
        <v>1.261E7</v>
      </c>
      <c r="CH297" s="11">
        <v>1.285E7</v>
      </c>
      <c r="CI297" s="11">
        <v>1.353E7</v>
      </c>
      <c r="CJ297" s="11">
        <v>1.257E7</v>
      </c>
      <c r="CK297" s="11">
        <v>1.345E7</v>
      </c>
      <c r="CL297" s="11">
        <v>3.1901E8</v>
      </c>
      <c r="CM297" s="11">
        <v>2.7256E8</v>
      </c>
      <c r="CN297" s="11">
        <v>2.7577E8</v>
      </c>
      <c r="CO297" s="11">
        <v>2.3688E8</v>
      </c>
      <c r="CP297" s="11">
        <v>2.363E8</v>
      </c>
      <c r="CQ297" s="11">
        <v>4340000.0</v>
      </c>
      <c r="CR297" s="11">
        <v>4600000.0</v>
      </c>
      <c r="CS297" s="11">
        <v>2410000.0</v>
      </c>
      <c r="CT297" s="11">
        <v>2520000.0</v>
      </c>
      <c r="CU297" s="11">
        <v>3480000.0</v>
      </c>
      <c r="CV297" s="11">
        <v>8.766E7</v>
      </c>
      <c r="CW297" s="11">
        <v>2.315E7</v>
      </c>
      <c r="CX297" s="11">
        <v>2.58E7</v>
      </c>
      <c r="CY297" s="11">
        <v>4.337E7</v>
      </c>
      <c r="CZ297" s="11">
        <v>3.135E7</v>
      </c>
      <c r="DA297" s="11">
        <v>2.845E7</v>
      </c>
      <c r="DB297" s="11">
        <v>8.766E7</v>
      </c>
      <c r="DC297" s="11">
        <v>8.332E7</v>
      </c>
      <c r="DD297" s="11">
        <v>9.643E7</v>
      </c>
      <c r="DE297" s="11">
        <v>7.596E7</v>
      </c>
      <c r="DF297" s="11">
        <v>2.3775E8</v>
      </c>
      <c r="DG297" s="11">
        <v>2.0232E8</v>
      </c>
      <c r="DH297" s="11">
        <v>2.0521E8</v>
      </c>
      <c r="DI297" s="11">
        <v>1.7846E8</v>
      </c>
      <c r="DJ297" s="11">
        <v>1.8865E8</v>
      </c>
      <c r="DK297" s="11">
        <v>5100000.0</v>
      </c>
      <c r="DL297" s="11">
        <v>5090000.0</v>
      </c>
      <c r="DM297" s="11">
        <v>4160000.0</v>
      </c>
      <c r="DN297" s="11">
        <v>3530000.0</v>
      </c>
      <c r="DO297" s="11">
        <v>3400000.0</v>
      </c>
      <c r="DP297" s="11">
        <v>1.3567E8</v>
      </c>
      <c r="DQ297" s="11">
        <v>1.0711E8</v>
      </c>
      <c r="DR297" s="11">
        <v>9.884E7</v>
      </c>
      <c r="DS297" s="11">
        <v>9.202E7</v>
      </c>
      <c r="DT297" s="11">
        <v>8.926E7</v>
      </c>
      <c r="DU297" s="11"/>
      <c r="DV297" s="11"/>
      <c r="DW297" s="11"/>
      <c r="DX297" s="12"/>
      <c r="DY297" s="12"/>
      <c r="DZ297" s="11">
        <v>7.719E7</v>
      </c>
      <c r="EA297" s="11">
        <v>6.615E7</v>
      </c>
      <c r="EB297" s="11">
        <v>6.646E7</v>
      </c>
      <c r="EC297" s="11">
        <v>5.517E7</v>
      </c>
      <c r="ED297" s="11">
        <v>4.465E7</v>
      </c>
      <c r="EE297" s="14"/>
      <c r="EF297" s="14"/>
      <c r="EG297" s="29" t="s">
        <v>155</v>
      </c>
      <c r="EH297" s="14"/>
    </row>
    <row r="298">
      <c r="A298" s="9">
        <f t="shared" si="2"/>
        <v>296</v>
      </c>
      <c r="B298" s="22" t="s">
        <v>432</v>
      </c>
      <c r="C298" s="11">
        <v>34310.0</v>
      </c>
      <c r="D298" s="11">
        <v>21690.0</v>
      </c>
      <c r="E298" s="11">
        <v>34460.0</v>
      </c>
      <c r="F298" s="11">
        <v>34580.0</v>
      </c>
      <c r="G298" s="11">
        <v>24020.0</v>
      </c>
      <c r="H298" s="11">
        <v>17870.0</v>
      </c>
      <c r="I298" s="11">
        <v>24260.0</v>
      </c>
      <c r="J298" s="11">
        <v>12070.0</v>
      </c>
      <c r="K298" s="11">
        <v>11980.0</v>
      </c>
      <c r="L298" s="11">
        <v>10700.0</v>
      </c>
      <c r="M298" s="11">
        <v>8450.0</v>
      </c>
      <c r="N298" s="11">
        <v>10490.0</v>
      </c>
      <c r="O298" s="11">
        <v>24680.0</v>
      </c>
      <c r="P298" s="11">
        <v>19630.0</v>
      </c>
      <c r="Q298" s="11">
        <v>17300.0</v>
      </c>
      <c r="R298" s="11">
        <v>16020.0</v>
      </c>
      <c r="S298" s="11">
        <v>14040.0</v>
      </c>
      <c r="T298" s="11">
        <v>8540.0</v>
      </c>
      <c r="U298" s="11">
        <v>8530.0</v>
      </c>
      <c r="V298" s="11">
        <v>8560.0</v>
      </c>
      <c r="W298" s="11">
        <v>8430.0</v>
      </c>
      <c r="X298" s="11">
        <v>6380.0</v>
      </c>
      <c r="Y298" s="11">
        <v>-13330.0</v>
      </c>
      <c r="Z298" s="11">
        <v>-338.0</v>
      </c>
      <c r="AA298" s="11">
        <v>-6480.0</v>
      </c>
      <c r="AB298" s="12"/>
      <c r="AC298" s="12"/>
      <c r="AD298" s="11">
        <v>-14180.0</v>
      </c>
      <c r="AE298" s="11">
        <v>-7930.0</v>
      </c>
      <c r="AF298" s="11">
        <v>-6460.0</v>
      </c>
      <c r="AG298" s="11">
        <v>-7550.0</v>
      </c>
      <c r="AH298" s="11">
        <v>-3560.0</v>
      </c>
      <c r="AI298" s="11">
        <v>-10690.0</v>
      </c>
      <c r="AJ298" s="11">
        <v>-6740.0</v>
      </c>
      <c r="AK298" s="11">
        <v>-5480.0</v>
      </c>
      <c r="AL298" s="11">
        <v>-6430.0</v>
      </c>
      <c r="AM298" s="11">
        <v>-2180.0</v>
      </c>
      <c r="AN298" s="11">
        <v>-13680.0</v>
      </c>
      <c r="AO298" s="11">
        <v>-7870.0</v>
      </c>
      <c r="AP298" s="11">
        <v>-6370.0</v>
      </c>
      <c r="AQ298" s="11">
        <v>-13350.0</v>
      </c>
      <c r="AR298" s="11">
        <v>-2400.0</v>
      </c>
      <c r="AS298" s="11">
        <v>-9060.0</v>
      </c>
      <c r="AT298" s="11">
        <v>-11780.0</v>
      </c>
      <c r="AU298" s="11">
        <v>-5030.0</v>
      </c>
      <c r="AV298" s="11">
        <v>-6700.0</v>
      </c>
      <c r="AW298" s="11">
        <v>1790.0</v>
      </c>
      <c r="AX298" s="11">
        <v>-3800.0</v>
      </c>
      <c r="AY298" s="11">
        <v>-1470.0</v>
      </c>
      <c r="AZ298" s="11">
        <v>-1030.0</v>
      </c>
      <c r="BA298" s="11">
        <v>-119.0</v>
      </c>
      <c r="BB298" s="11">
        <v>-1030.0</v>
      </c>
      <c r="BC298" s="12"/>
      <c r="BD298" s="12"/>
      <c r="BE298" s="12"/>
      <c r="BF298" s="12"/>
      <c r="BG298" s="12"/>
      <c r="BH298" s="11">
        <v>18270.0</v>
      </c>
      <c r="BI298" s="11">
        <v>12520.0</v>
      </c>
      <c r="BJ298" s="11">
        <v>3790.0</v>
      </c>
      <c r="BK298" s="11">
        <v>10550.0</v>
      </c>
      <c r="BL298" s="11">
        <v>5380.0</v>
      </c>
      <c r="BM298" s="11">
        <v>3660.0</v>
      </c>
      <c r="BN298" s="11">
        <v>7370.0</v>
      </c>
      <c r="BO298" s="11">
        <v>2090.0</v>
      </c>
      <c r="BP298" s="11">
        <v>3380.0</v>
      </c>
      <c r="BQ298" s="11">
        <v>2420.0</v>
      </c>
      <c r="BR298" s="11">
        <v>9600.0</v>
      </c>
      <c r="BS298" s="11">
        <v>7850.0</v>
      </c>
      <c r="BT298" s="11">
        <v>4420.0</v>
      </c>
      <c r="BU298" s="11">
        <v>3340.0</v>
      </c>
      <c r="BV298" s="11">
        <v>3580.0</v>
      </c>
      <c r="BW298" s="11">
        <v>32220.0</v>
      </c>
      <c r="BX298" s="11">
        <v>28450.0</v>
      </c>
      <c r="BY298" s="11">
        <v>10850.0</v>
      </c>
      <c r="BZ298" s="11">
        <v>18110.0</v>
      </c>
      <c r="CA298" s="11">
        <v>12630.0</v>
      </c>
      <c r="CB298" s="11">
        <v>13170.0</v>
      </c>
      <c r="CC298" s="11">
        <v>2870.0</v>
      </c>
      <c r="CD298" s="11">
        <v>1910.0</v>
      </c>
      <c r="CE298" s="11">
        <v>1740.0</v>
      </c>
      <c r="CF298" s="11">
        <v>2410.0</v>
      </c>
      <c r="CG298" s="11">
        <v>5870.0</v>
      </c>
      <c r="CH298" s="11">
        <v>4980.0</v>
      </c>
      <c r="CI298" s="11">
        <v>1670.0</v>
      </c>
      <c r="CJ298" s="12"/>
      <c r="CK298" s="12"/>
      <c r="CL298" s="11">
        <v>70060.0</v>
      </c>
      <c r="CM298" s="11">
        <v>40910.0</v>
      </c>
      <c r="CN298" s="11">
        <v>16620.0</v>
      </c>
      <c r="CO298" s="11">
        <v>20580.0</v>
      </c>
      <c r="CP298" s="11">
        <v>20820.0</v>
      </c>
      <c r="CQ298" s="11">
        <v>3140.0</v>
      </c>
      <c r="CR298" s="11">
        <v>3620.0</v>
      </c>
      <c r="CS298" s="11">
        <v>1490.0</v>
      </c>
      <c r="CT298" s="11">
        <v>1440.0</v>
      </c>
      <c r="CU298" s="11">
        <v>1260.0</v>
      </c>
      <c r="CV298" s="11">
        <v>6440.0</v>
      </c>
      <c r="CW298" s="11">
        <v>568.0</v>
      </c>
      <c r="CX298" s="12"/>
      <c r="CY298" s="12"/>
      <c r="CZ298" s="12"/>
      <c r="DA298" s="12"/>
      <c r="DB298" s="11">
        <v>6440.0</v>
      </c>
      <c r="DC298" s="11">
        <v>6520.0</v>
      </c>
      <c r="DD298" s="11">
        <v>3100.0</v>
      </c>
      <c r="DE298" s="11">
        <v>3410.0</v>
      </c>
      <c r="DF298" s="11">
        <v>46030.0</v>
      </c>
      <c r="DG298" s="11">
        <v>7580.0</v>
      </c>
      <c r="DH298" s="11">
        <v>3540.0</v>
      </c>
      <c r="DI298" s="11">
        <v>3410.0</v>
      </c>
      <c r="DJ298" s="11">
        <v>3150.0</v>
      </c>
      <c r="DK298" s="12"/>
      <c r="DL298" s="12"/>
      <c r="DM298" s="12"/>
      <c r="DN298" s="12"/>
      <c r="DO298" s="12"/>
      <c r="DP298" s="11">
        <v>24790.0</v>
      </c>
      <c r="DQ298" s="11">
        <v>172.0</v>
      </c>
      <c r="DR298" s="11">
        <v>99.0</v>
      </c>
      <c r="DS298" s="12"/>
      <c r="DT298" s="12"/>
      <c r="DU298" s="13"/>
      <c r="DV298" s="12"/>
      <c r="DW298" s="12"/>
      <c r="DX298" s="13"/>
      <c r="DY298" s="13"/>
      <c r="DZ298" s="11">
        <v>24040.0</v>
      </c>
      <c r="EA298" s="11">
        <v>33330.0</v>
      </c>
      <c r="EB298" s="11">
        <v>13080.0</v>
      </c>
      <c r="EC298" s="11">
        <v>17170.0</v>
      </c>
      <c r="ED298" s="11">
        <v>17660.0</v>
      </c>
      <c r="EE298" s="14">
        <v>0.253</v>
      </c>
      <c r="EF298" s="14">
        <v>0.136</v>
      </c>
      <c r="EG298" s="14">
        <v>-0.077</v>
      </c>
      <c r="EH298" s="14">
        <v>-0.158</v>
      </c>
    </row>
    <row r="299">
      <c r="A299" s="9">
        <f t="shared" si="2"/>
        <v>297</v>
      </c>
      <c r="B299" s="25" t="s">
        <v>433</v>
      </c>
      <c r="C299" s="15">
        <v>2590000.0</v>
      </c>
      <c r="D299" s="15">
        <v>2610000.0</v>
      </c>
      <c r="E299" s="15">
        <v>2380000.0</v>
      </c>
      <c r="F299" s="15">
        <v>2220000.0</v>
      </c>
      <c r="G299" s="15">
        <v>2050000.0</v>
      </c>
      <c r="H299" s="15">
        <v>1830000.0</v>
      </c>
      <c r="I299" s="15">
        <v>1650000.0</v>
      </c>
      <c r="J299" s="15">
        <v>689540.0</v>
      </c>
      <c r="K299" s="15">
        <v>675380.0</v>
      </c>
      <c r="L299" s="15">
        <v>632810.0</v>
      </c>
      <c r="M299" s="15">
        <v>553050.0</v>
      </c>
      <c r="N299" s="15">
        <v>488050.0</v>
      </c>
      <c r="O299" s="15">
        <v>538170.0</v>
      </c>
      <c r="P299" s="15">
        <v>508040.0</v>
      </c>
      <c r="Q299" s="15">
        <v>474700.0</v>
      </c>
      <c r="R299" s="15">
        <v>419460.0</v>
      </c>
      <c r="S299" s="15">
        <v>389350.0</v>
      </c>
      <c r="T299" s="15"/>
      <c r="U299" s="15"/>
      <c r="V299" s="12"/>
      <c r="W299" s="15"/>
      <c r="X299" s="15"/>
      <c r="Y299" s="15">
        <v>152070.0</v>
      </c>
      <c r="Z299" s="12"/>
      <c r="AA299" s="15">
        <v>156110.0</v>
      </c>
      <c r="AB299" s="15">
        <v>-24170.0</v>
      </c>
      <c r="AC299" s="15">
        <v>91000.0</v>
      </c>
      <c r="AD299" s="15">
        <v>119250.0</v>
      </c>
      <c r="AE299" s="15">
        <v>127430.0</v>
      </c>
      <c r="AF299" s="15">
        <v>126430.0</v>
      </c>
      <c r="AG299" s="15">
        <v>69640.0</v>
      </c>
      <c r="AH299" s="15">
        <v>51550.0</v>
      </c>
      <c r="AI299" s="15">
        <v>202200.0</v>
      </c>
      <c r="AJ299" s="15">
        <v>214540.0</v>
      </c>
      <c r="AK299" s="15">
        <v>200830.0</v>
      </c>
      <c r="AL299" s="15">
        <v>173590.0</v>
      </c>
      <c r="AM299" s="15">
        <v>132410.0</v>
      </c>
      <c r="AN299" s="15">
        <v>92790.0</v>
      </c>
      <c r="AO299" s="15">
        <v>123590.0</v>
      </c>
      <c r="AP299" s="15">
        <v>78830.0</v>
      </c>
      <c r="AQ299" s="15">
        <v>44510.0</v>
      </c>
      <c r="AR299" s="15">
        <v>31970.0</v>
      </c>
      <c r="AS299" s="15">
        <v>204970.0</v>
      </c>
      <c r="AT299" s="15">
        <v>114110.0</v>
      </c>
      <c r="AU299" s="15">
        <v>114310.0</v>
      </c>
      <c r="AV299" s="15">
        <v>151430.0</v>
      </c>
      <c r="AW299" s="15">
        <v>87450.0</v>
      </c>
      <c r="AX299" s="15">
        <v>-31580.0</v>
      </c>
      <c r="AY299" s="15">
        <v>-37850.0</v>
      </c>
      <c r="AZ299" s="15">
        <v>-44660.0</v>
      </c>
      <c r="BA299" s="15">
        <v>-27620.0</v>
      </c>
      <c r="BB299" s="15">
        <v>-22030.0</v>
      </c>
      <c r="BC299" s="13"/>
      <c r="BD299" s="13"/>
      <c r="BE299" s="13"/>
      <c r="BF299" s="13"/>
      <c r="BG299" s="13"/>
      <c r="BH299" s="15">
        <v>510700.0</v>
      </c>
      <c r="BI299" s="15">
        <v>493010.0</v>
      </c>
      <c r="BJ299" s="15">
        <v>45040.0</v>
      </c>
      <c r="BK299" s="15">
        <v>103890.0</v>
      </c>
      <c r="BL299" s="15">
        <v>60740.0</v>
      </c>
      <c r="BM299" s="15">
        <v>300140.0</v>
      </c>
      <c r="BN299" s="15">
        <v>275910.0</v>
      </c>
      <c r="BO299" s="15">
        <v>237870.0</v>
      </c>
      <c r="BP299" s="15">
        <v>201150.0</v>
      </c>
      <c r="BQ299" s="15">
        <v>207400.0</v>
      </c>
      <c r="BR299" s="15">
        <v>466200.0</v>
      </c>
      <c r="BS299" s="15">
        <v>427820.0</v>
      </c>
      <c r="BT299" s="15">
        <v>382100.0</v>
      </c>
      <c r="BU299" s="15">
        <v>362000.0</v>
      </c>
      <c r="BV299" s="15">
        <v>335950.0</v>
      </c>
      <c r="BW299" s="15">
        <v>1310000.0</v>
      </c>
      <c r="BX299" s="15">
        <v>1220000.0</v>
      </c>
      <c r="BY299" s="15">
        <v>683060.0</v>
      </c>
      <c r="BZ299" s="15">
        <v>683300.0</v>
      </c>
      <c r="CA299" s="15">
        <v>653820.0</v>
      </c>
      <c r="CB299" s="15">
        <v>245410.0</v>
      </c>
      <c r="CC299" s="15">
        <v>217650.0</v>
      </c>
      <c r="CD299" s="15">
        <v>180910.0</v>
      </c>
      <c r="CE299" s="15">
        <v>158220.0</v>
      </c>
      <c r="CF299" s="15">
        <v>162810.0</v>
      </c>
      <c r="CG299" s="15">
        <v>286080.0</v>
      </c>
      <c r="CH299" s="15">
        <v>281180.0</v>
      </c>
      <c r="CI299" s="15">
        <v>256280.0</v>
      </c>
      <c r="CJ299" s="15"/>
      <c r="CK299" s="15">
        <v>209090.0</v>
      </c>
      <c r="CL299" s="15">
        <v>2030000.0</v>
      </c>
      <c r="CM299" s="15">
        <v>1910000.0</v>
      </c>
      <c r="CN299" s="15">
        <v>1310000.0</v>
      </c>
      <c r="CO299" s="15">
        <v>1180000.0</v>
      </c>
      <c r="CP299" s="15">
        <v>1130000.0</v>
      </c>
      <c r="CQ299" s="15">
        <v>149250.0</v>
      </c>
      <c r="CR299" s="15">
        <v>110260.0</v>
      </c>
      <c r="CS299" s="15">
        <v>103280.0</v>
      </c>
      <c r="CT299" s="15">
        <v>102410.0</v>
      </c>
      <c r="CU299" s="15">
        <v>88890.0</v>
      </c>
      <c r="CV299" s="15">
        <v>278530.0</v>
      </c>
      <c r="CW299" s="15"/>
      <c r="CX299" s="15"/>
      <c r="CY299" s="15"/>
      <c r="CZ299" s="15"/>
      <c r="DA299" s="15"/>
      <c r="DB299" s="15">
        <v>278530.0</v>
      </c>
      <c r="DC299" s="15">
        <v>212960.0</v>
      </c>
      <c r="DD299" s="15">
        <v>220210.0</v>
      </c>
      <c r="DE299" s="15">
        <v>202220.0</v>
      </c>
      <c r="DF299" s="15">
        <v>1030000.0</v>
      </c>
      <c r="DG299" s="15">
        <v>954380.0</v>
      </c>
      <c r="DH299" s="15">
        <v>669760.0</v>
      </c>
      <c r="DI299" s="15">
        <v>626100.0</v>
      </c>
      <c r="DJ299" s="15">
        <v>628370.0</v>
      </c>
      <c r="DK299" s="15"/>
      <c r="DL299" s="15"/>
      <c r="DM299" s="15"/>
      <c r="DN299" s="12"/>
      <c r="DO299" s="15"/>
      <c r="DP299" s="15">
        <v>693040.0</v>
      </c>
      <c r="DQ299" s="15">
        <v>692030.0</v>
      </c>
      <c r="DR299" s="15">
        <v>395280.0</v>
      </c>
      <c r="DS299" s="15">
        <v>394810.0</v>
      </c>
      <c r="DT299" s="15">
        <v>399850.0</v>
      </c>
      <c r="DU299" s="13"/>
      <c r="DV299" s="12"/>
      <c r="DW299" s="12"/>
      <c r="DX299" s="13"/>
      <c r="DY299" s="13"/>
      <c r="DZ299" s="15">
        <v>996010.0</v>
      </c>
      <c r="EA299" s="15">
        <v>952450.0</v>
      </c>
      <c r="EB299" s="15">
        <v>635690.0</v>
      </c>
      <c r="EC299" s="15">
        <v>553010.0</v>
      </c>
      <c r="ED299" s="15">
        <v>505290.0</v>
      </c>
      <c r="EE299" s="17">
        <v>0.011</v>
      </c>
      <c r="EF299" s="17">
        <v>0.012</v>
      </c>
      <c r="EG299" s="17">
        <v>0.65</v>
      </c>
      <c r="EH299" s="17">
        <v>0.068</v>
      </c>
    </row>
    <row r="300">
      <c r="A300" s="9">
        <f t="shared" si="2"/>
        <v>298</v>
      </c>
      <c r="B300" s="10" t="s">
        <v>434</v>
      </c>
      <c r="C300" s="15">
        <v>1710000.0</v>
      </c>
      <c r="D300" s="15">
        <v>1560000.0</v>
      </c>
      <c r="E300" s="15">
        <v>1840000.0</v>
      </c>
      <c r="F300" s="15">
        <v>1890000.0</v>
      </c>
      <c r="G300" s="15">
        <v>1590000.0</v>
      </c>
      <c r="H300" s="15">
        <v>1320000.0</v>
      </c>
      <c r="I300" s="15">
        <v>1950000.0</v>
      </c>
      <c r="J300" s="15">
        <v>-23700.0</v>
      </c>
      <c r="K300" s="15">
        <v>-22700.0</v>
      </c>
      <c r="L300" s="15">
        <v>131500.0</v>
      </c>
      <c r="M300" s="15">
        <v>-10860.0</v>
      </c>
      <c r="N300" s="15">
        <v>41500.0</v>
      </c>
      <c r="O300" s="15">
        <v>47400.0</v>
      </c>
      <c r="P300" s="15">
        <v>40200.0</v>
      </c>
      <c r="Q300" s="15">
        <v>44800.0</v>
      </c>
      <c r="R300" s="15">
        <v>40260.0</v>
      </c>
      <c r="S300" s="15">
        <v>42120.0</v>
      </c>
      <c r="T300" s="15">
        <v>0.0</v>
      </c>
      <c r="U300" s="15">
        <v>0.0</v>
      </c>
      <c r="V300" s="15">
        <v>0.0</v>
      </c>
      <c r="W300" s="15">
        <v>0.0</v>
      </c>
      <c r="X300" s="15">
        <v>0.0</v>
      </c>
      <c r="Y300" s="15">
        <v>-59900.0</v>
      </c>
      <c r="Z300" s="15">
        <v>-52500.0</v>
      </c>
      <c r="AA300" s="15">
        <v>-3700.0</v>
      </c>
      <c r="AB300" s="15">
        <v>-235020.0</v>
      </c>
      <c r="AC300" s="15">
        <v>-10910.0</v>
      </c>
      <c r="AD300" s="15">
        <v>-85500.0</v>
      </c>
      <c r="AE300" s="15">
        <v>-70600.0</v>
      </c>
      <c r="AF300" s="15">
        <v>55400.0</v>
      </c>
      <c r="AG300" s="15">
        <v>-250870.0</v>
      </c>
      <c r="AH300" s="15">
        <v>-41120.0</v>
      </c>
      <c r="AI300" s="15">
        <v>11300.0</v>
      </c>
      <c r="AJ300" s="15">
        <v>26800.0</v>
      </c>
      <c r="AK300" s="15">
        <v>168800.0</v>
      </c>
      <c r="AL300" s="15">
        <v>29800.0</v>
      </c>
      <c r="AM300" s="15">
        <v>72070.0</v>
      </c>
      <c r="AN300" s="15">
        <v>-76500.0</v>
      </c>
      <c r="AO300" s="15">
        <v>-66200.0</v>
      </c>
      <c r="AP300" s="15">
        <v>48600.0</v>
      </c>
      <c r="AQ300" s="15">
        <v>-252420.0</v>
      </c>
      <c r="AR300" s="15">
        <v>-47730.0</v>
      </c>
      <c r="AS300" s="15">
        <v>17700.0</v>
      </c>
      <c r="AT300" s="15">
        <v>-69100.0</v>
      </c>
      <c r="AU300" s="15">
        <v>51500.0</v>
      </c>
      <c r="AV300" s="15">
        <v>38170.0</v>
      </c>
      <c r="AW300" s="15">
        <v>31870.0</v>
      </c>
      <c r="AX300" s="15">
        <v>-59600.0</v>
      </c>
      <c r="AY300" s="15">
        <v>-83000.0</v>
      </c>
      <c r="AZ300" s="15">
        <v>-31800.0</v>
      </c>
      <c r="BA300" s="15">
        <v>-21940.0</v>
      </c>
      <c r="BB300" s="15">
        <v>-54700.0</v>
      </c>
      <c r="BC300" s="16">
        <v>0.0</v>
      </c>
      <c r="BD300" s="16">
        <v>0.0</v>
      </c>
      <c r="BE300" s="16">
        <v>0.0</v>
      </c>
      <c r="BF300" s="16">
        <v>0.0</v>
      </c>
      <c r="BG300" s="16">
        <v>0.0</v>
      </c>
      <c r="BH300" s="15">
        <v>39700.0</v>
      </c>
      <c r="BI300" s="15">
        <v>39700.0</v>
      </c>
      <c r="BJ300" s="15">
        <v>168000.0</v>
      </c>
      <c r="BK300" s="15">
        <v>133450.0</v>
      </c>
      <c r="BL300" s="15">
        <v>116180.0</v>
      </c>
      <c r="BM300" s="15">
        <v>100200.0</v>
      </c>
      <c r="BN300" s="15">
        <v>105200.0</v>
      </c>
      <c r="BO300" s="15">
        <v>53500.0</v>
      </c>
      <c r="BP300" s="15">
        <v>29080.0</v>
      </c>
      <c r="BQ300" s="15">
        <v>26890.0</v>
      </c>
      <c r="BR300" s="15">
        <v>320600.0</v>
      </c>
      <c r="BS300" s="15">
        <v>343800.0</v>
      </c>
      <c r="BT300" s="15">
        <v>317500.0</v>
      </c>
      <c r="BU300" s="15">
        <v>233560.0</v>
      </c>
      <c r="BV300" s="15">
        <v>231870.0</v>
      </c>
      <c r="BW300" s="15">
        <v>487300.0</v>
      </c>
      <c r="BX300" s="15">
        <v>506700.0</v>
      </c>
      <c r="BY300" s="15">
        <v>553700.0</v>
      </c>
      <c r="BZ300" s="15">
        <v>440620.0</v>
      </c>
      <c r="CA300" s="15">
        <v>448060.0</v>
      </c>
      <c r="CB300" s="15">
        <v>974400.0</v>
      </c>
      <c r="CC300" s="15">
        <v>967300.0</v>
      </c>
      <c r="CD300" s="15">
        <v>971900.0</v>
      </c>
      <c r="CE300" s="15">
        <v>1030000.0</v>
      </c>
      <c r="CF300" s="15">
        <v>1230000.0</v>
      </c>
      <c r="CG300" s="15">
        <v>0.0</v>
      </c>
      <c r="CH300" s="15">
        <v>0.0</v>
      </c>
      <c r="CI300" s="15">
        <v>0.0</v>
      </c>
      <c r="CJ300" s="15">
        <v>0.0</v>
      </c>
      <c r="CK300" s="15">
        <v>0.0</v>
      </c>
      <c r="CL300" s="15">
        <v>1500000.0</v>
      </c>
      <c r="CM300" s="15">
        <v>1540000.0</v>
      </c>
      <c r="CN300" s="15">
        <v>1580000.0</v>
      </c>
      <c r="CO300" s="15">
        <v>1540000.0</v>
      </c>
      <c r="CP300" s="15">
        <v>1750000.0</v>
      </c>
      <c r="CQ300" s="15">
        <v>97100.0</v>
      </c>
      <c r="CR300" s="15">
        <v>119400.0</v>
      </c>
      <c r="CS300" s="15">
        <v>89900.0</v>
      </c>
      <c r="CT300" s="15">
        <v>94960.0</v>
      </c>
      <c r="CU300" s="15">
        <v>90490.0</v>
      </c>
      <c r="CV300" s="15">
        <v>233700.0</v>
      </c>
      <c r="CW300" s="15">
        <v>10600.0</v>
      </c>
      <c r="CX300" s="15">
        <v>31100.0</v>
      </c>
      <c r="CY300" s="15">
        <v>7800.0</v>
      </c>
      <c r="CZ300" s="15">
        <v>7820.0</v>
      </c>
      <c r="DA300" s="15">
        <v>7820.0</v>
      </c>
      <c r="DB300" s="15">
        <v>233700.0</v>
      </c>
      <c r="DC300" s="15">
        <v>224300.0</v>
      </c>
      <c r="DD300" s="15">
        <v>190500.0</v>
      </c>
      <c r="DE300" s="15">
        <v>179160.0</v>
      </c>
      <c r="DF300" s="15">
        <v>824700.0</v>
      </c>
      <c r="DG300" s="15">
        <v>775300.0</v>
      </c>
      <c r="DH300" s="15">
        <v>752000.0</v>
      </c>
      <c r="DI300" s="15">
        <v>783670.0</v>
      </c>
      <c r="DJ300" s="15">
        <v>743660.0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292000.0</v>
      </c>
      <c r="DQ300" s="15">
        <v>248600.0</v>
      </c>
      <c r="DR300" s="15">
        <v>248200.0</v>
      </c>
      <c r="DS300" s="15">
        <v>247700.0</v>
      </c>
      <c r="DT300" s="15">
        <v>247280.0</v>
      </c>
      <c r="DU300" s="16">
        <v>0.0</v>
      </c>
      <c r="DV300" s="15">
        <v>0.0</v>
      </c>
      <c r="DW300" s="15">
        <v>0.0</v>
      </c>
      <c r="DX300" s="15">
        <v>0.0</v>
      </c>
      <c r="DY300" s="16">
        <v>0.0</v>
      </c>
      <c r="DZ300" s="15">
        <v>675000.0</v>
      </c>
      <c r="EA300" s="15">
        <v>762200.0</v>
      </c>
      <c r="EB300" s="15">
        <v>829600.0</v>
      </c>
      <c r="EC300" s="15">
        <v>756660.0</v>
      </c>
      <c r="ED300" s="15">
        <v>1010000.0</v>
      </c>
      <c r="EE300" s="17">
        <v>0.045</v>
      </c>
      <c r="EF300" s="17">
        <v>0.099</v>
      </c>
      <c r="EG300" s="17">
        <v>1.125</v>
      </c>
      <c r="EH300" s="17">
        <v>0.422</v>
      </c>
    </row>
    <row r="301">
      <c r="A301" s="9">
        <f t="shared" si="2"/>
        <v>299</v>
      </c>
      <c r="B301" s="22" t="s">
        <v>435</v>
      </c>
      <c r="C301" s="11">
        <v>4000.0</v>
      </c>
      <c r="D301" s="11">
        <v>6600.0</v>
      </c>
      <c r="E301" s="11">
        <v>6750.0</v>
      </c>
      <c r="F301" s="11">
        <v>7030.0</v>
      </c>
      <c r="G301" s="11">
        <v>27810.0</v>
      </c>
      <c r="H301" s="11">
        <v>1150.0</v>
      </c>
      <c r="I301" s="12"/>
      <c r="J301" s="11">
        <v>4260.0</v>
      </c>
      <c r="K301" s="11">
        <v>1940.0</v>
      </c>
      <c r="L301" s="11">
        <v>26750.0</v>
      </c>
      <c r="M301" s="12"/>
      <c r="N301" s="11">
        <v>-24.0</v>
      </c>
      <c r="O301" s="11">
        <v>23250.0</v>
      </c>
      <c r="P301" s="11">
        <v>16640.0</v>
      </c>
      <c r="Q301" s="11">
        <v>12860.0</v>
      </c>
      <c r="R301" s="11">
        <v>17210.0</v>
      </c>
      <c r="S301" s="11">
        <v>10990.0</v>
      </c>
      <c r="T301" s="11">
        <v>11760.0</v>
      </c>
      <c r="U301" s="11">
        <v>5790.0</v>
      </c>
      <c r="V301" s="11">
        <v>4370.0</v>
      </c>
      <c r="W301" s="11">
        <v>10150.0</v>
      </c>
      <c r="X301" s="11">
        <v>6590.0</v>
      </c>
      <c r="Y301" s="11">
        <v>-16090.0</v>
      </c>
      <c r="Z301" s="11">
        <v>-20650.0</v>
      </c>
      <c r="AA301" s="11">
        <v>13860.0</v>
      </c>
      <c r="AB301" s="11">
        <v>-16010.0</v>
      </c>
      <c r="AC301" s="11">
        <v>-9700.0</v>
      </c>
      <c r="AD301" s="11">
        <v>-15990.0</v>
      </c>
      <c r="AE301" s="11">
        <v>-35320.0</v>
      </c>
      <c r="AF301" s="11">
        <v>13840.0</v>
      </c>
      <c r="AG301" s="11">
        <v>-16470.0</v>
      </c>
      <c r="AH301" s="11">
        <v>-10490.0</v>
      </c>
      <c r="AI301" s="11">
        <v>-17540.0</v>
      </c>
      <c r="AJ301" s="11">
        <v>-12850.0</v>
      </c>
      <c r="AK301" s="11">
        <v>14320.0</v>
      </c>
      <c r="AL301" s="11">
        <v>-16050.0</v>
      </c>
      <c r="AM301" s="11">
        <v>-10990.0</v>
      </c>
      <c r="AN301" s="11">
        <v>-16270.0</v>
      </c>
      <c r="AO301" s="11">
        <v>-36930.0</v>
      </c>
      <c r="AP301" s="11">
        <v>7770.0</v>
      </c>
      <c r="AQ301" s="11">
        <v>-16470.0</v>
      </c>
      <c r="AR301" s="11">
        <v>-10490.0</v>
      </c>
      <c r="AS301" s="11">
        <v>-19260.0</v>
      </c>
      <c r="AT301" s="11">
        <v>-3130.0</v>
      </c>
      <c r="AU301" s="11">
        <v>12580.0</v>
      </c>
      <c r="AV301" s="11">
        <v>-14560.0</v>
      </c>
      <c r="AW301" s="11">
        <v>-10280.0</v>
      </c>
      <c r="AX301" s="11">
        <v>-262.0</v>
      </c>
      <c r="AY301" s="11">
        <v>-564.0</v>
      </c>
      <c r="AZ301" s="11">
        <v>-23.0</v>
      </c>
      <c r="BA301" s="11">
        <v>-35.0</v>
      </c>
      <c r="BB301" s="11">
        <v>-20.0</v>
      </c>
      <c r="BC301" s="12"/>
      <c r="BD301" s="12"/>
      <c r="BE301" s="12"/>
      <c r="BF301" s="12"/>
      <c r="BG301" s="12"/>
      <c r="BH301" s="11">
        <v>11260.0</v>
      </c>
      <c r="BI301" s="11">
        <v>10670.0</v>
      </c>
      <c r="BJ301" s="11">
        <v>2470.0</v>
      </c>
      <c r="BK301" s="11">
        <v>5140.0</v>
      </c>
      <c r="BL301" s="11">
        <v>21220.0</v>
      </c>
      <c r="BM301" s="11">
        <v>5240.0</v>
      </c>
      <c r="BN301" s="11">
        <v>6080.0</v>
      </c>
      <c r="BO301" s="11">
        <v>7430.0</v>
      </c>
      <c r="BP301" s="11">
        <v>132.0</v>
      </c>
      <c r="BQ301" s="12"/>
      <c r="BR301" s="11">
        <v>21.0</v>
      </c>
      <c r="BS301" s="11">
        <v>318.0</v>
      </c>
      <c r="BT301" s="11">
        <v>382.0</v>
      </c>
      <c r="BU301" s="12"/>
      <c r="BV301" s="12"/>
      <c r="BW301" s="11">
        <v>17720.0</v>
      </c>
      <c r="BX301" s="11">
        <v>21930.0</v>
      </c>
      <c r="BY301" s="11">
        <v>10990.0</v>
      </c>
      <c r="BZ301" s="11">
        <v>5660.0</v>
      </c>
      <c r="CA301" s="11">
        <v>21620.0</v>
      </c>
      <c r="CB301" s="11">
        <v>1450.0</v>
      </c>
      <c r="CC301" s="11">
        <v>587.0</v>
      </c>
      <c r="CD301" s="11">
        <v>45.0</v>
      </c>
      <c r="CE301" s="11">
        <v>43.0</v>
      </c>
      <c r="CF301" s="11">
        <v>35.0</v>
      </c>
      <c r="CG301" s="11">
        <v>14410.0</v>
      </c>
      <c r="CH301" s="11">
        <v>14410.0</v>
      </c>
      <c r="CI301" s="11">
        <v>14290.0</v>
      </c>
      <c r="CJ301" s="12"/>
      <c r="CK301" s="12"/>
      <c r="CL301" s="11">
        <v>36110.0</v>
      </c>
      <c r="CM301" s="11">
        <v>70250.0</v>
      </c>
      <c r="CN301" s="11">
        <v>43120.0</v>
      </c>
      <c r="CO301" s="11">
        <v>5770.0</v>
      </c>
      <c r="CP301" s="11">
        <v>21660.0</v>
      </c>
      <c r="CQ301" s="11">
        <v>2080.0</v>
      </c>
      <c r="CR301" s="11">
        <v>1450.0</v>
      </c>
      <c r="CS301" s="11">
        <v>1300.0</v>
      </c>
      <c r="CT301" s="11">
        <v>1010.0</v>
      </c>
      <c r="CU301" s="11">
        <v>678.0</v>
      </c>
      <c r="CV301" s="11">
        <v>12160.0</v>
      </c>
      <c r="CW301" s="11">
        <v>156.0</v>
      </c>
      <c r="CX301" s="12"/>
      <c r="CY301" s="12"/>
      <c r="CZ301" s="12"/>
      <c r="DA301" s="12"/>
      <c r="DB301" s="11">
        <v>12160.0</v>
      </c>
      <c r="DC301" s="11">
        <v>26220.0</v>
      </c>
      <c r="DD301" s="11">
        <v>11410.0</v>
      </c>
      <c r="DE301" s="11">
        <v>4310.0</v>
      </c>
      <c r="DF301" s="11">
        <v>15110.0</v>
      </c>
      <c r="DG301" s="11">
        <v>49340.0</v>
      </c>
      <c r="DH301" s="11">
        <v>15260.0</v>
      </c>
      <c r="DI301" s="11">
        <v>5560.0</v>
      </c>
      <c r="DJ301" s="11">
        <v>8570.0</v>
      </c>
      <c r="DK301" s="11">
        <v>102.0</v>
      </c>
      <c r="DL301" s="11">
        <v>82.0</v>
      </c>
      <c r="DM301" s="11">
        <v>131.0</v>
      </c>
      <c r="DN301" s="11">
        <v>63.0</v>
      </c>
      <c r="DO301" s="12"/>
      <c r="DP301" s="11">
        <v>1110.0</v>
      </c>
      <c r="DQ301" s="12"/>
      <c r="DR301" s="12"/>
      <c r="DS301" s="12"/>
      <c r="DT301" s="11">
        <v>2350.0</v>
      </c>
      <c r="DU301" s="24">
        <v>3.0</v>
      </c>
      <c r="DV301" s="11">
        <v>3.0</v>
      </c>
      <c r="DW301" s="12"/>
      <c r="DX301" s="13"/>
      <c r="DY301" s="13"/>
      <c r="DZ301" s="11">
        <v>21000.0</v>
      </c>
      <c r="EA301" s="11">
        <v>20910.0</v>
      </c>
      <c r="EB301" s="11">
        <v>27860.0</v>
      </c>
      <c r="EC301" s="11">
        <v>207.0</v>
      </c>
      <c r="ED301" s="11">
        <v>13080.0</v>
      </c>
      <c r="EE301" s="14">
        <v>0.455</v>
      </c>
      <c r="EF301" s="23"/>
      <c r="EG301" s="14">
        <v>-0.9</v>
      </c>
      <c r="EH301" s="14">
        <v>-0.852</v>
      </c>
    </row>
    <row r="302">
      <c r="A302" s="9">
        <f t="shared" si="2"/>
        <v>300</v>
      </c>
      <c r="B302" s="10" t="s">
        <v>436</v>
      </c>
      <c r="C302" s="11">
        <v>5920000.0</v>
      </c>
      <c r="D302" s="11">
        <v>5610000.0</v>
      </c>
      <c r="E302" s="11">
        <v>5690000.0</v>
      </c>
      <c r="F302" s="11">
        <v>5370000.0</v>
      </c>
      <c r="G302" s="11">
        <v>5140000.0</v>
      </c>
      <c r="H302" s="11">
        <v>4800000.0</v>
      </c>
      <c r="I302" s="11">
        <v>4430000.0</v>
      </c>
      <c r="J302" s="11">
        <v>4310000.0</v>
      </c>
      <c r="K302" s="11">
        <v>4130000.0</v>
      </c>
      <c r="L302" s="11">
        <v>4020000.0</v>
      </c>
      <c r="M302" s="11">
        <v>3790000.0</v>
      </c>
      <c r="N302" s="11">
        <v>3460000.0</v>
      </c>
      <c r="O302" s="11">
        <v>3620000.0</v>
      </c>
      <c r="P302" s="11">
        <v>3360000.0</v>
      </c>
      <c r="Q302" s="11">
        <v>3060000.0</v>
      </c>
      <c r="R302" s="11">
        <v>2840000.0</v>
      </c>
      <c r="S302" s="11">
        <v>2590000.0</v>
      </c>
      <c r="T302" s="11">
        <v>509720.0</v>
      </c>
      <c r="U302" s="11">
        <v>473440.0</v>
      </c>
      <c r="V302" s="11">
        <v>431800.0</v>
      </c>
      <c r="W302" s="11">
        <v>411190.0</v>
      </c>
      <c r="X302" s="11">
        <v>420600.0</v>
      </c>
      <c r="Y302" s="11">
        <v>614780.0</v>
      </c>
      <c r="Z302" s="12"/>
      <c r="AA302" s="12"/>
      <c r="AB302" s="11">
        <v>911010.0</v>
      </c>
      <c r="AC302" s="11">
        <v>781140.0</v>
      </c>
      <c r="AD302" s="11">
        <v>654510.0</v>
      </c>
      <c r="AE302" s="11">
        <v>800850.0</v>
      </c>
      <c r="AF302" s="11">
        <v>967130.0</v>
      </c>
      <c r="AG302" s="11">
        <v>918430.0</v>
      </c>
      <c r="AH302" s="11">
        <v>781380.0</v>
      </c>
      <c r="AI302" s="11">
        <v>1370000.0</v>
      </c>
      <c r="AJ302" s="11">
        <v>1420000.0</v>
      </c>
      <c r="AK302" s="11">
        <v>1540000.0</v>
      </c>
      <c r="AL302" s="11">
        <v>1460000.0</v>
      </c>
      <c r="AM302" s="11">
        <v>1330000.0</v>
      </c>
      <c r="AN302" s="11">
        <v>529450.0</v>
      </c>
      <c r="AO302" s="11">
        <v>630060.0</v>
      </c>
      <c r="AP302" s="11">
        <v>866980.0</v>
      </c>
      <c r="AQ302" s="11">
        <v>636480.0</v>
      </c>
      <c r="AR302" s="11">
        <v>539360.0</v>
      </c>
      <c r="AS302" s="11">
        <v>1310000.0</v>
      </c>
      <c r="AT302" s="11">
        <v>1450000.0</v>
      </c>
      <c r="AU302" s="11">
        <v>1310000.0</v>
      </c>
      <c r="AV302" s="11">
        <v>1160000.0</v>
      </c>
      <c r="AW302" s="11">
        <v>947530.0</v>
      </c>
      <c r="AX302" s="11">
        <v>-780980.0</v>
      </c>
      <c r="AY302" s="11">
        <v>-757440.0</v>
      </c>
      <c r="AZ302" s="11">
        <v>-665880.0</v>
      </c>
      <c r="BA302" s="11">
        <v>-771600.0</v>
      </c>
      <c r="BB302" s="11">
        <v>-648220.0</v>
      </c>
      <c r="BC302" s="11">
        <v>-113820.0</v>
      </c>
      <c r="BD302" s="13"/>
      <c r="BE302" s="13"/>
      <c r="BF302" s="12"/>
      <c r="BG302" s="12"/>
      <c r="BH302" s="11">
        <v>541770.0</v>
      </c>
      <c r="BI302" s="11">
        <v>775410.0</v>
      </c>
      <c r="BJ302" s="11">
        <v>805770.0</v>
      </c>
      <c r="BK302" s="11">
        <v>356450.0</v>
      </c>
      <c r="BL302" s="11">
        <v>513180.0</v>
      </c>
      <c r="BM302" s="11">
        <v>1140000.0</v>
      </c>
      <c r="BN302" s="11">
        <v>1180000.0</v>
      </c>
      <c r="BO302" s="11">
        <v>1040000.0</v>
      </c>
      <c r="BP302" s="11">
        <v>944940.0</v>
      </c>
      <c r="BQ302" s="11">
        <v>1030000.0</v>
      </c>
      <c r="BR302" s="11">
        <v>23180.0</v>
      </c>
      <c r="BS302" s="11">
        <v>25030.0</v>
      </c>
      <c r="BT302" s="11">
        <v>15750.0</v>
      </c>
      <c r="BU302" s="11">
        <v>14740.0</v>
      </c>
      <c r="BV302" s="11">
        <v>15790.0</v>
      </c>
      <c r="BW302" s="11">
        <v>2100000.0</v>
      </c>
      <c r="BX302" s="11">
        <v>2320000.0</v>
      </c>
      <c r="BY302" s="11">
        <v>2380000.0</v>
      </c>
      <c r="BZ302" s="11">
        <v>1620000.0</v>
      </c>
      <c r="CA302" s="11">
        <v>1830000.0</v>
      </c>
      <c r="CB302" s="11">
        <v>1980000.0</v>
      </c>
      <c r="CC302" s="11">
        <v>1740000.0</v>
      </c>
      <c r="CD302" s="11">
        <v>1600000.0</v>
      </c>
      <c r="CE302" s="11">
        <v>1550000.0</v>
      </c>
      <c r="CF302" s="11">
        <v>1310000.0</v>
      </c>
      <c r="CG302" s="11">
        <v>883160.0</v>
      </c>
      <c r="CH302" s="11">
        <v>847540.0</v>
      </c>
      <c r="CI302" s="11">
        <v>853010.0</v>
      </c>
      <c r="CJ302" s="11">
        <v>844200.0</v>
      </c>
      <c r="CK302" s="11">
        <v>799180.0</v>
      </c>
      <c r="CL302" s="11">
        <v>6810000.0</v>
      </c>
      <c r="CM302" s="11">
        <v>6710000.0</v>
      </c>
      <c r="CN302" s="11">
        <v>6470000.0</v>
      </c>
      <c r="CO302" s="11">
        <v>5630000.0</v>
      </c>
      <c r="CP302" s="11">
        <v>5560000.0</v>
      </c>
      <c r="CQ302" s="11">
        <v>273440.0</v>
      </c>
      <c r="CR302" s="11">
        <v>293530.0</v>
      </c>
      <c r="CS302" s="11">
        <v>219000.0</v>
      </c>
      <c r="CT302" s="11">
        <v>238130.0</v>
      </c>
      <c r="CU302" s="11">
        <v>215510.0</v>
      </c>
      <c r="CV302" s="11">
        <v>1030000.0</v>
      </c>
      <c r="CW302" s="11">
        <v>29540.0</v>
      </c>
      <c r="CX302" s="13"/>
      <c r="CY302" s="13"/>
      <c r="CZ302" s="13"/>
      <c r="DA302" s="12"/>
      <c r="DB302" s="11">
        <v>1030000.0</v>
      </c>
      <c r="DC302" s="11">
        <v>962690.0</v>
      </c>
      <c r="DD302" s="11">
        <v>789600.0</v>
      </c>
      <c r="DE302" s="11">
        <v>845400.0</v>
      </c>
      <c r="DF302" s="11">
        <v>2580000.0</v>
      </c>
      <c r="DG302" s="11">
        <v>1780000.0</v>
      </c>
      <c r="DH302" s="11">
        <v>1680000.0</v>
      </c>
      <c r="DI302" s="11">
        <v>1700000.0</v>
      </c>
      <c r="DJ302" s="11">
        <v>1690000.0</v>
      </c>
      <c r="DK302" s="11">
        <v>419420.0</v>
      </c>
      <c r="DL302" s="11">
        <v>300050.0</v>
      </c>
      <c r="DM302" s="11">
        <v>196840.0</v>
      </c>
      <c r="DN302" s="11">
        <v>109370.0</v>
      </c>
      <c r="DO302" s="11">
        <v>173070.0</v>
      </c>
      <c r="DP302" s="11">
        <v>1140000.0</v>
      </c>
      <c r="DQ302" s="11">
        <v>438800.0</v>
      </c>
      <c r="DR302" s="11">
        <v>515130.0</v>
      </c>
      <c r="DS302" s="11">
        <v>537550.0</v>
      </c>
      <c r="DT302" s="11">
        <v>563350.0</v>
      </c>
      <c r="DU302" s="13"/>
      <c r="DV302" s="12"/>
      <c r="DW302" s="12"/>
      <c r="DX302" s="13"/>
      <c r="DY302" s="13"/>
      <c r="DZ302" s="11">
        <v>4230000.0</v>
      </c>
      <c r="EA302" s="11">
        <v>4930000.0</v>
      </c>
      <c r="EB302" s="11">
        <v>4790000.0</v>
      </c>
      <c r="EC302" s="11">
        <v>3930000.0</v>
      </c>
      <c r="ED302" s="11">
        <v>3870000.0</v>
      </c>
      <c r="EE302" s="14">
        <v>0.045</v>
      </c>
      <c r="EF302" s="14">
        <v>0.068</v>
      </c>
      <c r="EG302" s="14">
        <v>0.014</v>
      </c>
      <c r="EH302" s="14">
        <v>0.015</v>
      </c>
    </row>
    <row r="303">
      <c r="A303" s="9">
        <f t="shared" si="2"/>
        <v>301</v>
      </c>
      <c r="B303" s="10" t="s">
        <v>437</v>
      </c>
      <c r="C303" s="15">
        <v>103050.0</v>
      </c>
      <c r="D303" s="15">
        <v>91410.0</v>
      </c>
      <c r="E303" s="15">
        <v>87150.0</v>
      </c>
      <c r="F303" s="15">
        <v>77880.0</v>
      </c>
      <c r="G303" s="15">
        <v>87510.0</v>
      </c>
      <c r="H303" s="15">
        <v>72650.0</v>
      </c>
      <c r="I303" s="15">
        <v>59500.0</v>
      </c>
      <c r="J303" s="15">
        <v>75120.0</v>
      </c>
      <c r="K303" s="15">
        <v>69030.0</v>
      </c>
      <c r="L303" s="15">
        <v>79310.0</v>
      </c>
      <c r="M303" s="15">
        <v>65330.0</v>
      </c>
      <c r="N303" s="15">
        <v>52780.0</v>
      </c>
      <c r="O303" s="15">
        <v>90690.0</v>
      </c>
      <c r="P303" s="15">
        <v>75500.0</v>
      </c>
      <c r="Q303" s="15">
        <v>69600.0</v>
      </c>
      <c r="R303" s="15">
        <v>59000.0</v>
      </c>
      <c r="S303" s="15">
        <v>46570.0</v>
      </c>
      <c r="T303" s="15">
        <v>66910.0</v>
      </c>
      <c r="U303" s="15">
        <v>53020.0</v>
      </c>
      <c r="V303" s="15">
        <v>46520.0</v>
      </c>
      <c r="W303" s="15">
        <v>38870.0</v>
      </c>
      <c r="X303" s="15">
        <v>28200.0</v>
      </c>
      <c r="Y303" s="15">
        <v>-16030.0</v>
      </c>
      <c r="Z303" s="15">
        <v>-7340.0</v>
      </c>
      <c r="AA303" s="15">
        <v>0.0</v>
      </c>
      <c r="AB303" s="15">
        <v>6490.0</v>
      </c>
      <c r="AC303" s="15">
        <v>6110.0</v>
      </c>
      <c r="AD303" s="15">
        <v>-6790.0</v>
      </c>
      <c r="AE303" s="15">
        <v>-4270.0</v>
      </c>
      <c r="AF303" s="15">
        <v>12930.0</v>
      </c>
      <c r="AG303" s="15">
        <v>8530.0</v>
      </c>
      <c r="AH303" s="15">
        <v>7380.0</v>
      </c>
      <c r="AI303" s="15">
        <v>-10300.0</v>
      </c>
      <c r="AJ303" s="15">
        <v>-2310.0</v>
      </c>
      <c r="AK303" s="15">
        <v>12960.0</v>
      </c>
      <c r="AL303" s="15">
        <v>8970.0</v>
      </c>
      <c r="AM303" s="15">
        <v>8560.0</v>
      </c>
      <c r="AN303" s="15">
        <v>0.0</v>
      </c>
      <c r="AO303" s="15">
        <v>0.0</v>
      </c>
      <c r="AP303" s="15">
        <v>17030.0</v>
      </c>
      <c r="AQ303" s="15">
        <v>13100.0</v>
      </c>
      <c r="AR303" s="15">
        <v>6270.0</v>
      </c>
      <c r="AS303" s="15">
        <v>8510.0</v>
      </c>
      <c r="AT303" s="15">
        <v>8610.0</v>
      </c>
      <c r="AU303" s="15">
        <v>24470.0</v>
      </c>
      <c r="AV303" s="15">
        <v>14460.0</v>
      </c>
      <c r="AW303" s="15">
        <v>19380.0</v>
      </c>
      <c r="AX303" s="15">
        <v>-10830.0</v>
      </c>
      <c r="AY303" s="15">
        <v>-5280.0</v>
      </c>
      <c r="AZ303" s="15">
        <v>-4140.0</v>
      </c>
      <c r="BA303" s="15">
        <v>-2390.0</v>
      </c>
      <c r="BB303" s="15">
        <v>-2180.0</v>
      </c>
      <c r="BC303" s="15">
        <v>0.0</v>
      </c>
      <c r="BD303" s="15">
        <v>0.0</v>
      </c>
      <c r="BE303" s="15">
        <v>0.0</v>
      </c>
      <c r="BF303" s="15">
        <v>0.0</v>
      </c>
      <c r="BG303" s="15">
        <v>0.0</v>
      </c>
      <c r="BH303" s="15">
        <v>144590.0</v>
      </c>
      <c r="BI303" s="15">
        <v>145870.0</v>
      </c>
      <c r="BJ303" s="15">
        <v>138840.0</v>
      </c>
      <c r="BK303" s="15">
        <v>126520.0</v>
      </c>
      <c r="BL303" s="15">
        <v>97940.0</v>
      </c>
      <c r="BM303" s="15">
        <v>28310.0</v>
      </c>
      <c r="BN303" s="15">
        <v>26160.0</v>
      </c>
      <c r="BO303" s="15">
        <v>16490.0</v>
      </c>
      <c r="BP303" s="15">
        <v>15040.0</v>
      </c>
      <c r="BQ303" s="15">
        <v>4070.0</v>
      </c>
      <c r="BR303" s="15">
        <v>0.0</v>
      </c>
      <c r="BS303" s="15">
        <v>0.0</v>
      </c>
      <c r="BT303" s="15">
        <v>0.0</v>
      </c>
      <c r="BU303" s="15">
        <v>0.0</v>
      </c>
      <c r="BV303" s="15">
        <v>0.0</v>
      </c>
      <c r="BW303" s="15">
        <v>178550.0</v>
      </c>
      <c r="BX303" s="15">
        <v>177290.0</v>
      </c>
      <c r="BY303" s="15">
        <v>159080.0</v>
      </c>
      <c r="BZ303" s="15">
        <v>144710.0</v>
      </c>
      <c r="CA303" s="15">
        <v>106030.0</v>
      </c>
      <c r="CB303" s="15">
        <v>18950.0</v>
      </c>
      <c r="CC303" s="15">
        <v>7340.0</v>
      </c>
      <c r="CD303" s="15">
        <v>6930.0</v>
      </c>
      <c r="CE303" s="15">
        <v>4810.0</v>
      </c>
      <c r="CF303" s="15">
        <v>3730.0</v>
      </c>
      <c r="CG303" s="15">
        <v>51070.0</v>
      </c>
      <c r="CH303" s="15">
        <v>46610.0</v>
      </c>
      <c r="CI303" s="15">
        <v>46610.0</v>
      </c>
      <c r="CJ303" s="15">
        <v>46610.0</v>
      </c>
      <c r="CK303" s="15">
        <v>46610.0</v>
      </c>
      <c r="CL303" s="15">
        <v>298570.0</v>
      </c>
      <c r="CM303" s="15">
        <v>277380.0</v>
      </c>
      <c r="CN303" s="15">
        <v>277120.0</v>
      </c>
      <c r="CO303" s="15">
        <v>243150.0</v>
      </c>
      <c r="CP303" s="15">
        <v>212650.0</v>
      </c>
      <c r="CQ303" s="15">
        <v>0.0</v>
      </c>
      <c r="CR303" s="15">
        <v>0.0</v>
      </c>
      <c r="CS303" s="15">
        <v>0.0</v>
      </c>
      <c r="CT303" s="15">
        <v>0.0</v>
      </c>
      <c r="CU303" s="15">
        <v>0.0</v>
      </c>
      <c r="CV303" s="15">
        <v>26380.0</v>
      </c>
      <c r="CW303" s="15">
        <v>2390.0</v>
      </c>
      <c r="CX303" s="15">
        <v>0.0</v>
      </c>
      <c r="CY303" s="16">
        <v>0.0</v>
      </c>
      <c r="CZ303" s="16">
        <v>0.0</v>
      </c>
      <c r="DA303" s="15">
        <v>0.0</v>
      </c>
      <c r="DB303" s="15">
        <v>26380.0</v>
      </c>
      <c r="DC303" s="15">
        <v>21750.0</v>
      </c>
      <c r="DD303" s="15">
        <v>22800.0</v>
      </c>
      <c r="DE303" s="15">
        <v>22600.0</v>
      </c>
      <c r="DF303" s="15">
        <v>47410.0</v>
      </c>
      <c r="DG303" s="15">
        <v>31500.0</v>
      </c>
      <c r="DH303" s="15">
        <v>32450.0</v>
      </c>
      <c r="DI303" s="15">
        <v>31600.0</v>
      </c>
      <c r="DJ303" s="15">
        <v>26550.0</v>
      </c>
      <c r="DK303" s="15">
        <v>6300.0</v>
      </c>
      <c r="DL303" s="15">
        <v>22800.0</v>
      </c>
      <c r="DM303" s="15">
        <v>46320.0</v>
      </c>
      <c r="DN303" s="15">
        <v>31780.0</v>
      </c>
      <c r="DO303" s="15">
        <v>43140.0</v>
      </c>
      <c r="DP303" s="15">
        <v>8270.0</v>
      </c>
      <c r="DQ303" s="15">
        <v>0.0</v>
      </c>
      <c r="DR303" s="15">
        <v>0.0</v>
      </c>
      <c r="DS303" s="15">
        <v>0.0</v>
      </c>
      <c r="DT303" s="15">
        <v>0.0</v>
      </c>
      <c r="DU303" s="16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251160.0</v>
      </c>
      <c r="EA303" s="15">
        <v>245880.0</v>
      </c>
      <c r="EB303" s="15">
        <v>244670.0</v>
      </c>
      <c r="EC303" s="15">
        <v>211550.0</v>
      </c>
      <c r="ED303" s="15">
        <v>186100.0</v>
      </c>
      <c r="EE303" s="17">
        <v>0.015</v>
      </c>
      <c r="EF303" s="17">
        <v>0.133</v>
      </c>
      <c r="EG303" s="17">
        <v>1.2</v>
      </c>
      <c r="EH303" s="17">
        <v>0.631</v>
      </c>
    </row>
    <row r="304">
      <c r="A304" s="9">
        <f t="shared" si="2"/>
        <v>302</v>
      </c>
      <c r="B304" s="25" t="s">
        <v>438</v>
      </c>
      <c r="C304" s="15">
        <v>4380000.0</v>
      </c>
      <c r="D304" s="15">
        <v>4130000.0</v>
      </c>
      <c r="E304" s="15">
        <v>4590000.0</v>
      </c>
      <c r="F304" s="15">
        <v>4430000.0</v>
      </c>
      <c r="G304" s="15">
        <v>4130000.0</v>
      </c>
      <c r="H304" s="15">
        <v>3690000.0</v>
      </c>
      <c r="I304" s="15">
        <v>4310000.0</v>
      </c>
      <c r="J304" s="15">
        <v>1180000.0</v>
      </c>
      <c r="K304" s="15">
        <v>906000.0</v>
      </c>
      <c r="L304" s="15">
        <v>521000.0</v>
      </c>
      <c r="M304" s="15">
        <v>713000.0</v>
      </c>
      <c r="N304" s="15">
        <v>1840000.0</v>
      </c>
      <c r="O304" s="15">
        <v>239000.0</v>
      </c>
      <c r="P304" s="15">
        <v>212000.0</v>
      </c>
      <c r="Q304" s="15">
        <v>191000.0</v>
      </c>
      <c r="R304" s="15">
        <v>174000.0</v>
      </c>
      <c r="S304" s="15">
        <v>170000.0</v>
      </c>
      <c r="T304" s="15"/>
      <c r="U304" s="15"/>
      <c r="V304" s="15"/>
      <c r="W304" s="15"/>
      <c r="X304" s="15"/>
      <c r="Y304" s="15">
        <v>943000.0</v>
      </c>
      <c r="Z304" s="15">
        <v>714000.0</v>
      </c>
      <c r="AA304" s="15">
        <v>-118000.0</v>
      </c>
      <c r="AB304" s="15">
        <v>430000.0</v>
      </c>
      <c r="AC304" s="15">
        <v>-255000.0</v>
      </c>
      <c r="AD304" s="15">
        <v>772000.0</v>
      </c>
      <c r="AE304" s="15">
        <v>547000.0</v>
      </c>
      <c r="AF304" s="15">
        <v>-125000.0</v>
      </c>
      <c r="AG304" s="15">
        <v>-226000.0</v>
      </c>
      <c r="AH304" s="15">
        <v>1060000.0</v>
      </c>
      <c r="AI304" s="15">
        <v>1810000.0</v>
      </c>
      <c r="AJ304" s="15">
        <v>1570000.0</v>
      </c>
      <c r="AK304" s="15">
        <v>1190000.0</v>
      </c>
      <c r="AL304" s="15">
        <v>1150000.0</v>
      </c>
      <c r="AM304" s="15">
        <v>2120000.0</v>
      </c>
      <c r="AN304" s="15">
        <v>493000.0</v>
      </c>
      <c r="AO304" s="15">
        <v>290000.0</v>
      </c>
      <c r="AP304" s="15">
        <v>358000.0</v>
      </c>
      <c r="AQ304" s="15">
        <v>-277000.0</v>
      </c>
      <c r="AR304" s="15">
        <v>700000.0</v>
      </c>
      <c r="AS304" s="15">
        <v>1510000.0</v>
      </c>
      <c r="AT304" s="15">
        <v>1510000.0</v>
      </c>
      <c r="AU304" s="15">
        <v>1650000.0</v>
      </c>
      <c r="AV304" s="15">
        <v>617000.0</v>
      </c>
      <c r="AW304" s="15">
        <v>1210000.0</v>
      </c>
      <c r="AX304" s="15">
        <v>-404000.0</v>
      </c>
      <c r="AY304" s="15">
        <v>-422000.0</v>
      </c>
      <c r="AZ304" s="15">
        <v>-473000.0</v>
      </c>
      <c r="BA304" s="15">
        <v>-2210000.0</v>
      </c>
      <c r="BB304" s="15">
        <v>-2470000.0</v>
      </c>
      <c r="BC304" s="15">
        <v>-265000.0</v>
      </c>
      <c r="BD304" s="15">
        <v>-280000.0</v>
      </c>
      <c r="BE304" s="15">
        <v>-280000.0</v>
      </c>
      <c r="BF304" s="15">
        <v>-280000.0</v>
      </c>
      <c r="BG304" s="15">
        <v>-282000.0</v>
      </c>
      <c r="BH304" s="15">
        <v>287000.0</v>
      </c>
      <c r="BI304" s="15">
        <v>682000.0</v>
      </c>
      <c r="BJ304" s="15">
        <v>835000.0</v>
      </c>
      <c r="BK304" s="15">
        <v>1170000.0</v>
      </c>
      <c r="BL304" s="15">
        <v>309000.0</v>
      </c>
      <c r="BM304" s="15">
        <v>242000.0</v>
      </c>
      <c r="BN304" s="15">
        <v>235000.0</v>
      </c>
      <c r="BO304" s="15">
        <v>307000.0</v>
      </c>
      <c r="BP304" s="15">
        <v>1050000.0</v>
      </c>
      <c r="BQ304" s="15">
        <v>267000.0</v>
      </c>
      <c r="BR304" s="15">
        <v>351000.0</v>
      </c>
      <c r="BS304" s="15">
        <v>309000.0</v>
      </c>
      <c r="BT304" s="15">
        <v>275000.0</v>
      </c>
      <c r="BU304" s="15">
        <v>339000.0</v>
      </c>
      <c r="BV304" s="15">
        <v>321000.0</v>
      </c>
      <c r="BW304" s="15">
        <v>974000.0</v>
      </c>
      <c r="BX304" s="15">
        <v>1270000.0</v>
      </c>
      <c r="BY304" s="15">
        <v>1470000.0</v>
      </c>
      <c r="BZ304" s="15">
        <v>2660000.0</v>
      </c>
      <c r="CA304" s="15">
        <v>1130000.0</v>
      </c>
      <c r="CB304" s="15">
        <v>8450000.0</v>
      </c>
      <c r="CC304" s="15">
        <v>8620000.0</v>
      </c>
      <c r="CD304" s="15">
        <v>9180000.0</v>
      </c>
      <c r="CE304" s="15">
        <v>9650000.0</v>
      </c>
      <c r="CF304" s="15">
        <v>8540000.0</v>
      </c>
      <c r="CG304" s="15">
        <v>2370000.0</v>
      </c>
      <c r="CH304" s="15">
        <v>2350000.0</v>
      </c>
      <c r="CI304" s="15">
        <v>2370000.0</v>
      </c>
      <c r="CJ304" s="15">
        <v>2350000.0</v>
      </c>
      <c r="CK304" s="15">
        <v>2390000.0</v>
      </c>
      <c r="CL304" s="15">
        <v>1.249E7</v>
      </c>
      <c r="CM304" s="15">
        <v>1.297E7</v>
      </c>
      <c r="CN304" s="15">
        <v>1.386E7</v>
      </c>
      <c r="CO304" s="15">
        <v>1.546E7</v>
      </c>
      <c r="CP304" s="15">
        <v>1.302E7</v>
      </c>
      <c r="CQ304" s="15">
        <v>437000.0</v>
      </c>
      <c r="CR304" s="15">
        <v>101000.0</v>
      </c>
      <c r="CS304" s="15">
        <v>99000.0</v>
      </c>
      <c r="CT304" s="15">
        <v>81000.0</v>
      </c>
      <c r="CU304" s="15">
        <v>97000.0</v>
      </c>
      <c r="CV304" s="15">
        <v>665000.0</v>
      </c>
      <c r="CW304" s="15">
        <v>90000.0</v>
      </c>
      <c r="CX304" s="15"/>
      <c r="CY304" s="13"/>
      <c r="CZ304" s="13"/>
      <c r="DA304" s="12"/>
      <c r="DB304" s="15">
        <v>665000.0</v>
      </c>
      <c r="DC304" s="15">
        <v>705000.0</v>
      </c>
      <c r="DD304" s="15">
        <v>580000.0</v>
      </c>
      <c r="DE304" s="15">
        <v>686000.0</v>
      </c>
      <c r="DF304" s="15">
        <v>6850000.0</v>
      </c>
      <c r="DG304" s="15">
        <v>7240000.0</v>
      </c>
      <c r="DH304" s="15">
        <v>7180000.0</v>
      </c>
      <c r="DI304" s="15">
        <v>8970000.0</v>
      </c>
      <c r="DJ304" s="15">
        <v>8640000.0</v>
      </c>
      <c r="DK304" s="15">
        <v>88000.0</v>
      </c>
      <c r="DL304" s="15">
        <v>93000.0</v>
      </c>
      <c r="DM304" s="15">
        <v>108000.0</v>
      </c>
      <c r="DN304" s="15">
        <v>143000.0</v>
      </c>
      <c r="DO304" s="15">
        <v>298000.0</v>
      </c>
      <c r="DP304" s="15">
        <v>4150000.0</v>
      </c>
      <c r="DQ304" s="15">
        <v>4700000.0</v>
      </c>
      <c r="DR304" s="15">
        <v>4690000.0</v>
      </c>
      <c r="DS304" s="15">
        <v>5780000.0</v>
      </c>
      <c r="DT304" s="15">
        <v>5540000.0</v>
      </c>
      <c r="DU304" s="13"/>
      <c r="DV304" s="12"/>
      <c r="DW304" s="15"/>
      <c r="DX304" s="15"/>
      <c r="DY304" s="15"/>
      <c r="DZ304" s="15">
        <v>2900000.0</v>
      </c>
      <c r="EA304" s="15">
        <v>2960000.0</v>
      </c>
      <c r="EB304" s="15">
        <v>3580000.0</v>
      </c>
      <c r="EC304" s="15">
        <v>3350000.0</v>
      </c>
      <c r="ED304" s="15">
        <v>4040000.0</v>
      </c>
      <c r="EE304" s="23"/>
      <c r="EF304" s="23"/>
      <c r="EG304" s="23">
        <v>0.24</v>
      </c>
      <c r="EH304" s="23">
        <v>0.207</v>
      </c>
    </row>
    <row r="305">
      <c r="A305" s="9">
        <f t="shared" si="2"/>
        <v>303</v>
      </c>
      <c r="B305" s="22" t="s">
        <v>439</v>
      </c>
      <c r="C305" s="11">
        <v>6750.0</v>
      </c>
      <c r="D305" s="11">
        <v>1080.0</v>
      </c>
      <c r="E305" s="12"/>
      <c r="F305" s="12"/>
      <c r="G305" s="12"/>
      <c r="H305" s="12"/>
      <c r="I305" s="12"/>
      <c r="J305" s="11">
        <v>-169.0</v>
      </c>
      <c r="K305" s="11">
        <v>-151.0</v>
      </c>
      <c r="L305" s="11">
        <v>-187.0</v>
      </c>
      <c r="M305" s="11">
        <v>-451.0</v>
      </c>
      <c r="N305" s="11">
        <v>-537.0</v>
      </c>
      <c r="O305" s="11">
        <v>27700.0</v>
      </c>
      <c r="P305" s="11">
        <v>32200.0</v>
      </c>
      <c r="Q305" s="11">
        <v>26380.0</v>
      </c>
      <c r="R305" s="11">
        <v>33080.0</v>
      </c>
      <c r="S305" s="11">
        <v>23930.0</v>
      </c>
      <c r="T305" s="11">
        <v>18060.0</v>
      </c>
      <c r="U305" s="11">
        <v>23640.0</v>
      </c>
      <c r="V305" s="11">
        <v>17310.0</v>
      </c>
      <c r="W305" s="11">
        <v>22100.0</v>
      </c>
      <c r="X305" s="11">
        <v>15000.0</v>
      </c>
      <c r="Y305" s="11">
        <v>-13150.0</v>
      </c>
      <c r="Z305" s="11">
        <v>-39580.0</v>
      </c>
      <c r="AA305" s="11">
        <v>-15030.0</v>
      </c>
      <c r="AB305" s="11">
        <v>-27190.0</v>
      </c>
      <c r="AC305" s="11">
        <v>-25200.0</v>
      </c>
      <c r="AD305" s="11">
        <v>-12790.0</v>
      </c>
      <c r="AE305" s="11">
        <v>-37680.0</v>
      </c>
      <c r="AF305" s="11">
        <v>-15520.0</v>
      </c>
      <c r="AG305" s="11">
        <v>-28540.0</v>
      </c>
      <c r="AH305" s="11">
        <v>-25120.0</v>
      </c>
      <c r="AI305" s="11">
        <v>-27700.0</v>
      </c>
      <c r="AJ305" s="11">
        <v>-32200.0</v>
      </c>
      <c r="AK305" s="11">
        <v>-26380.0</v>
      </c>
      <c r="AL305" s="11">
        <v>-33080.0</v>
      </c>
      <c r="AM305" s="11">
        <v>-23930.0</v>
      </c>
      <c r="AN305" s="11">
        <v>-12790.0</v>
      </c>
      <c r="AO305" s="11">
        <v>-37680.0</v>
      </c>
      <c r="AP305" s="11">
        <v>-15520.0</v>
      </c>
      <c r="AQ305" s="11">
        <v>-28540.0</v>
      </c>
      <c r="AR305" s="11">
        <v>-25120.0</v>
      </c>
      <c r="AS305" s="11">
        <v>-27430.0</v>
      </c>
      <c r="AT305" s="11">
        <v>-26260.0</v>
      </c>
      <c r="AU305" s="11">
        <v>-24530.0</v>
      </c>
      <c r="AV305" s="11">
        <v>-29300.0</v>
      </c>
      <c r="AW305" s="11">
        <v>-22180.0</v>
      </c>
      <c r="AX305" s="11">
        <v>-20.0</v>
      </c>
      <c r="AY305" s="11">
        <v>-133.0</v>
      </c>
      <c r="AZ305" s="12"/>
      <c r="BA305" s="11">
        <v>-113.0</v>
      </c>
      <c r="BB305" s="11">
        <v>-8.0</v>
      </c>
      <c r="BC305" s="12"/>
      <c r="BD305" s="12"/>
      <c r="BE305" s="12"/>
      <c r="BF305" s="12"/>
      <c r="BG305" s="12"/>
      <c r="BH305" s="11">
        <v>24180.0</v>
      </c>
      <c r="BI305" s="11">
        <v>30450.0</v>
      </c>
      <c r="BJ305" s="11">
        <v>46850.0</v>
      </c>
      <c r="BK305" s="11">
        <v>35160.0</v>
      </c>
      <c r="BL305" s="11">
        <v>32920.0</v>
      </c>
      <c r="BM305" s="11">
        <v>1100.0</v>
      </c>
      <c r="BN305" s="11">
        <v>202.0</v>
      </c>
      <c r="BO305" s="12"/>
      <c r="BP305" s="12"/>
      <c r="BQ305" s="12"/>
      <c r="BR305" s="12"/>
      <c r="BS305" s="12"/>
      <c r="BT305" s="12"/>
      <c r="BU305" s="12"/>
      <c r="BV305" s="12"/>
      <c r="BW305" s="11">
        <v>30760.0</v>
      </c>
      <c r="BX305" s="11">
        <v>31440.0</v>
      </c>
      <c r="BY305" s="11">
        <v>48700.0</v>
      </c>
      <c r="BZ305" s="11">
        <v>36180.0</v>
      </c>
      <c r="CA305" s="11">
        <v>34100.0</v>
      </c>
      <c r="CB305" s="11">
        <v>4140.0</v>
      </c>
      <c r="CC305" s="11">
        <v>1080.0</v>
      </c>
      <c r="CD305" s="11">
        <v>1090.0</v>
      </c>
      <c r="CE305" s="11">
        <v>1280.0</v>
      </c>
      <c r="CF305" s="11">
        <v>1620.0</v>
      </c>
      <c r="CG305" s="12"/>
      <c r="CH305" s="12"/>
      <c r="CI305" s="12"/>
      <c r="CJ305" s="12"/>
      <c r="CK305" s="12"/>
      <c r="CL305" s="11">
        <v>35010.0</v>
      </c>
      <c r="CM305" s="11">
        <v>32870.0</v>
      </c>
      <c r="CN305" s="11">
        <v>50190.0</v>
      </c>
      <c r="CO305" s="11">
        <v>37620.0</v>
      </c>
      <c r="CP305" s="11">
        <v>35860.0</v>
      </c>
      <c r="CQ305" s="11">
        <v>2620.0</v>
      </c>
      <c r="CR305" s="11">
        <v>1430.0</v>
      </c>
      <c r="CS305" s="11">
        <v>1300.0</v>
      </c>
      <c r="CT305" s="12"/>
      <c r="CU305" s="12"/>
      <c r="CV305" s="11">
        <v>10060.0</v>
      </c>
      <c r="CW305" s="11">
        <v>632.0</v>
      </c>
      <c r="CX305" s="12"/>
      <c r="CY305" s="12"/>
      <c r="CZ305" s="12"/>
      <c r="DA305" s="12"/>
      <c r="DB305" s="11">
        <v>10060.0</v>
      </c>
      <c r="DC305" s="11">
        <v>5800.0</v>
      </c>
      <c r="DD305" s="11">
        <v>4420.0</v>
      </c>
      <c r="DE305" s="11">
        <v>4420.0</v>
      </c>
      <c r="DF305" s="11">
        <v>19460.0</v>
      </c>
      <c r="DG305" s="11">
        <v>27330.0</v>
      </c>
      <c r="DH305" s="11">
        <v>19000.0</v>
      </c>
      <c r="DI305" s="11">
        <v>18110.0</v>
      </c>
      <c r="DJ305" s="11">
        <v>5190.0</v>
      </c>
      <c r="DK305" s="12"/>
      <c r="DL305" s="12"/>
      <c r="DM305" s="12"/>
      <c r="DN305" s="12"/>
      <c r="DO305" s="12"/>
      <c r="DP305" s="11">
        <v>3260.0</v>
      </c>
      <c r="DQ305" s="12"/>
      <c r="DR305" s="12"/>
      <c r="DS305" s="12"/>
      <c r="DT305" s="12"/>
      <c r="DU305" s="13"/>
      <c r="DV305" s="12"/>
      <c r="DW305" s="12"/>
      <c r="DX305" s="13"/>
      <c r="DY305" s="13"/>
      <c r="DZ305" s="11">
        <v>15540.0</v>
      </c>
      <c r="EA305" s="11">
        <v>5540.0</v>
      </c>
      <c r="EB305" s="11">
        <v>31190.0</v>
      </c>
      <c r="EC305" s="11">
        <v>19510.0</v>
      </c>
      <c r="ED305" s="11">
        <v>30680.0</v>
      </c>
      <c r="EE305" s="23"/>
      <c r="EF305" s="23"/>
      <c r="EG305" s="14">
        <v>-1.378</v>
      </c>
      <c r="EH305" s="14">
        <v>-0.354</v>
      </c>
    </row>
    <row r="306">
      <c r="A306" s="9">
        <f t="shared" si="2"/>
        <v>304</v>
      </c>
      <c r="B306" s="25" t="s">
        <v>440</v>
      </c>
      <c r="C306" s="15"/>
      <c r="D306" s="15"/>
      <c r="E306" s="15">
        <v>294320.0</v>
      </c>
      <c r="F306" s="15">
        <v>287050.0</v>
      </c>
      <c r="G306" s="15">
        <v>277850.0</v>
      </c>
      <c r="H306" s="15">
        <v>268790.0</v>
      </c>
      <c r="I306" s="15">
        <v>263350.0</v>
      </c>
      <c r="J306" s="15">
        <v>64640.0</v>
      </c>
      <c r="K306" s="15">
        <v>74110.0</v>
      </c>
      <c r="L306" s="15">
        <v>68150.0</v>
      </c>
      <c r="M306" s="15">
        <v>57960.0</v>
      </c>
      <c r="N306" s="15">
        <v>62050.0</v>
      </c>
      <c r="O306" s="15">
        <v>45840.0</v>
      </c>
      <c r="P306" s="15">
        <v>44310.0</v>
      </c>
      <c r="Q306" s="15">
        <v>36630.0</v>
      </c>
      <c r="R306" s="15">
        <v>25370.0</v>
      </c>
      <c r="S306" s="15">
        <v>20340.0</v>
      </c>
      <c r="T306" s="15"/>
      <c r="U306" s="15"/>
      <c r="V306" s="15"/>
      <c r="W306" s="15"/>
      <c r="X306" s="15">
        <v>744.0</v>
      </c>
      <c r="Y306" s="12"/>
      <c r="Z306" s="12"/>
      <c r="AA306" s="12"/>
      <c r="AB306" s="15"/>
      <c r="AC306" s="15"/>
      <c r="AD306" s="15">
        <v>18090.0</v>
      </c>
      <c r="AE306" s="15">
        <v>29210.0</v>
      </c>
      <c r="AF306" s="15">
        <v>31210.0</v>
      </c>
      <c r="AG306" s="15">
        <v>32080.0</v>
      </c>
      <c r="AH306" s="15">
        <v>40360.0</v>
      </c>
      <c r="AI306" s="15">
        <v>23730.0</v>
      </c>
      <c r="AJ306" s="15">
        <v>36000.0</v>
      </c>
      <c r="AK306" s="15">
        <v>63360.0</v>
      </c>
      <c r="AL306" s="15">
        <v>72900.0</v>
      </c>
      <c r="AM306" s="15">
        <v>89420.0</v>
      </c>
      <c r="AN306" s="15">
        <v>11590.0</v>
      </c>
      <c r="AO306" s="15">
        <v>-6640.0</v>
      </c>
      <c r="AP306" s="15">
        <v>24700.0</v>
      </c>
      <c r="AQ306" s="15">
        <v>24700.0</v>
      </c>
      <c r="AR306" s="15">
        <v>31450.0</v>
      </c>
      <c r="AS306" s="15">
        <v>-71410.0</v>
      </c>
      <c r="AT306" s="15">
        <v>28140.0</v>
      </c>
      <c r="AU306" s="15">
        <v>21710.0</v>
      </c>
      <c r="AV306" s="15">
        <v>34360.0</v>
      </c>
      <c r="AW306" s="15">
        <v>67530.0</v>
      </c>
      <c r="AX306" s="15">
        <v>-64.0</v>
      </c>
      <c r="AY306" s="15">
        <v>-55.0</v>
      </c>
      <c r="AZ306" s="15">
        <v>-253.0</v>
      </c>
      <c r="BA306" s="15">
        <v>-19.0</v>
      </c>
      <c r="BB306" s="15">
        <v>-446.0</v>
      </c>
      <c r="BC306" s="13"/>
      <c r="BD306" s="13"/>
      <c r="BE306" s="13"/>
      <c r="BF306" s="13"/>
      <c r="BG306" s="15">
        <v>-2160.0</v>
      </c>
      <c r="BH306" s="15">
        <v>72260.0</v>
      </c>
      <c r="BI306" s="15">
        <v>150810.0</v>
      </c>
      <c r="BJ306" s="15">
        <v>123030.0</v>
      </c>
      <c r="BK306" s="15">
        <v>102900.0</v>
      </c>
      <c r="BL306" s="15">
        <v>92980.0</v>
      </c>
      <c r="BM306" s="15">
        <v>145190.0</v>
      </c>
      <c r="BN306" s="15">
        <v>174700.0</v>
      </c>
      <c r="BO306" s="15">
        <v>141010.0</v>
      </c>
      <c r="BP306" s="15">
        <v>117060.0</v>
      </c>
      <c r="BQ306" s="15">
        <v>68530.0</v>
      </c>
      <c r="BR306" s="15">
        <v>194730.0</v>
      </c>
      <c r="BS306" s="15">
        <v>78980.0</v>
      </c>
      <c r="BT306" s="15">
        <v>101550.0</v>
      </c>
      <c r="BU306" s="15">
        <v>112040.0</v>
      </c>
      <c r="BV306" s="15">
        <v>142210.0</v>
      </c>
      <c r="BW306" s="15">
        <v>414950.0</v>
      </c>
      <c r="BX306" s="15">
        <v>407430.0</v>
      </c>
      <c r="BY306" s="15">
        <v>370950.0</v>
      </c>
      <c r="BZ306" s="15">
        <v>333310.0</v>
      </c>
      <c r="CA306" s="15">
        <v>304180.0</v>
      </c>
      <c r="CB306" s="15">
        <v>26670.0</v>
      </c>
      <c r="CC306" s="15">
        <v>30890.0</v>
      </c>
      <c r="CD306" s="15">
        <v>34190.0</v>
      </c>
      <c r="CE306" s="15">
        <v>37570.0</v>
      </c>
      <c r="CF306" s="15">
        <v>44630.0</v>
      </c>
      <c r="CG306" s="15">
        <v>7870.0</v>
      </c>
      <c r="CH306" s="15">
        <v>8170.0</v>
      </c>
      <c r="CI306" s="15">
        <v>8130.0</v>
      </c>
      <c r="CJ306" s="15">
        <v>7980.0</v>
      </c>
      <c r="CK306" s="15">
        <v>5250.0</v>
      </c>
      <c r="CL306" s="15">
        <v>481000.0</v>
      </c>
      <c r="CM306" s="15">
        <v>482990.0</v>
      </c>
      <c r="CN306" s="15">
        <v>455680.0</v>
      </c>
      <c r="CO306" s="15">
        <v>416510.0</v>
      </c>
      <c r="CP306" s="15">
        <v>429580.0</v>
      </c>
      <c r="CQ306" s="15">
        <v>19000.0</v>
      </c>
      <c r="CR306" s="15">
        <v>27130.0</v>
      </c>
      <c r="CS306" s="15">
        <v>19640.0</v>
      </c>
      <c r="CT306" s="15">
        <v>5250.0</v>
      </c>
      <c r="CU306" s="15">
        <v>2370.0</v>
      </c>
      <c r="CV306" s="15">
        <v>76930.0</v>
      </c>
      <c r="CW306" s="15">
        <v>4660.0</v>
      </c>
      <c r="CX306" s="15">
        <v>5780.0</v>
      </c>
      <c r="CY306" s="15">
        <v>7680.0</v>
      </c>
      <c r="CZ306" s="15">
        <v>5760.0</v>
      </c>
      <c r="DA306" s="15">
        <v>23610.0</v>
      </c>
      <c r="DB306" s="15">
        <v>76930.0</v>
      </c>
      <c r="DC306" s="15">
        <v>83070.0</v>
      </c>
      <c r="DD306" s="15">
        <v>49720.0</v>
      </c>
      <c r="DE306" s="15">
        <v>39350.0</v>
      </c>
      <c r="DF306" s="15">
        <v>84440.0</v>
      </c>
      <c r="DG306" s="15">
        <v>90440.0</v>
      </c>
      <c r="DH306" s="15">
        <v>58150.0</v>
      </c>
      <c r="DI306" s="15">
        <v>46020.0</v>
      </c>
      <c r="DJ306" s="15">
        <v>56630.0</v>
      </c>
      <c r="DK306" s="12"/>
      <c r="DL306" s="15"/>
      <c r="DM306" s="15"/>
      <c r="DN306" s="15"/>
      <c r="DO306" s="15"/>
      <c r="DP306" s="15">
        <v>7520.0</v>
      </c>
      <c r="DQ306" s="15">
        <v>7370.0</v>
      </c>
      <c r="DR306" s="15">
        <v>8440.0</v>
      </c>
      <c r="DS306" s="15">
        <v>6670.0</v>
      </c>
      <c r="DT306" s="15"/>
      <c r="DU306" s="13"/>
      <c r="DV306" s="12"/>
      <c r="DW306" s="12"/>
      <c r="DX306" s="13"/>
      <c r="DY306" s="15"/>
      <c r="DZ306" s="15">
        <v>396560.0</v>
      </c>
      <c r="EA306" s="15">
        <v>392550.0</v>
      </c>
      <c r="EB306" s="15">
        <v>397530.0</v>
      </c>
      <c r="EC306" s="15">
        <v>370480.0</v>
      </c>
      <c r="ED306" s="15">
        <v>372950.0</v>
      </c>
      <c r="EE306" s="23"/>
      <c r="EF306" s="23"/>
      <c r="EG306" s="23" t="s">
        <v>155</v>
      </c>
      <c r="EH306" s="23"/>
    </row>
    <row r="307">
      <c r="A307" s="9">
        <f t="shared" si="2"/>
        <v>305</v>
      </c>
      <c r="B307" s="22" t="s">
        <v>441</v>
      </c>
      <c r="C307" s="12"/>
      <c r="D307" s="12"/>
      <c r="E307" s="12"/>
      <c r="F307" s="11">
        <v>17800.0</v>
      </c>
      <c r="G307" s="12"/>
      <c r="H307" s="11">
        <v>712.0</v>
      </c>
      <c r="I307" s="11">
        <v>9280.0</v>
      </c>
      <c r="J307" s="11">
        <v>-989.0</v>
      </c>
      <c r="K307" s="11">
        <v>15370.0</v>
      </c>
      <c r="L307" s="11">
        <v>-1590.0</v>
      </c>
      <c r="M307" s="11">
        <v>-995.0</v>
      </c>
      <c r="N307" s="11">
        <v>7640.0</v>
      </c>
      <c r="O307" s="11">
        <v>27890.0</v>
      </c>
      <c r="P307" s="11">
        <v>38600.0</v>
      </c>
      <c r="Q307" s="11">
        <v>35810.0</v>
      </c>
      <c r="R307" s="11">
        <v>31590.0</v>
      </c>
      <c r="S307" s="11">
        <v>28560.0</v>
      </c>
      <c r="T307" s="11">
        <v>19820.0</v>
      </c>
      <c r="U307" s="11">
        <v>30320.0</v>
      </c>
      <c r="V307" s="11">
        <v>28580.0</v>
      </c>
      <c r="W307" s="11">
        <v>24550.0</v>
      </c>
      <c r="X307" s="11">
        <v>21250.0</v>
      </c>
      <c r="Y307" s="12"/>
      <c r="Z307" s="12"/>
      <c r="AA307" s="12"/>
      <c r="AB307" s="12"/>
      <c r="AC307" s="12"/>
      <c r="AD307" s="11">
        <v>-28060.0</v>
      </c>
      <c r="AE307" s="11">
        <v>-22600.0</v>
      </c>
      <c r="AF307" s="11">
        <v>-37070.0</v>
      </c>
      <c r="AG307" s="11">
        <v>-31490.0</v>
      </c>
      <c r="AH307" s="11">
        <v>-19770.0</v>
      </c>
      <c r="AI307" s="11">
        <v>-27890.0</v>
      </c>
      <c r="AJ307" s="11">
        <v>-21830.0</v>
      </c>
      <c r="AK307" s="11">
        <v>-35810.0</v>
      </c>
      <c r="AL307" s="11">
        <v>-31100.0</v>
      </c>
      <c r="AM307" s="11">
        <v>-19810.0</v>
      </c>
      <c r="AN307" s="11">
        <v>-27340.0</v>
      </c>
      <c r="AO307" s="11">
        <v>-22600.0</v>
      </c>
      <c r="AP307" s="11">
        <v>-37070.0</v>
      </c>
      <c r="AQ307" s="11">
        <v>-31510.0</v>
      </c>
      <c r="AR307" s="11">
        <v>-20160.0</v>
      </c>
      <c r="AS307" s="11">
        <v>-26120.0</v>
      </c>
      <c r="AT307" s="11">
        <v>-13000.0</v>
      </c>
      <c r="AU307" s="11">
        <v>-30660.0</v>
      </c>
      <c r="AV307" s="11">
        <v>-19820.0</v>
      </c>
      <c r="AW307" s="11">
        <v>-25610.0</v>
      </c>
      <c r="AX307" s="11">
        <v>-155.0</v>
      </c>
      <c r="AY307" s="11">
        <v>-158.0</v>
      </c>
      <c r="AZ307" s="11">
        <v>-385.0</v>
      </c>
      <c r="BA307" s="11">
        <v>-2600.0</v>
      </c>
      <c r="BB307" s="11">
        <v>-3120.0</v>
      </c>
      <c r="BC307" s="12"/>
      <c r="BD307" s="12"/>
      <c r="BE307" s="12"/>
      <c r="BF307" s="12"/>
      <c r="BG307" s="12"/>
      <c r="BH307" s="11">
        <v>43880.0</v>
      </c>
      <c r="BI307" s="11">
        <v>45680.0</v>
      </c>
      <c r="BJ307" s="11">
        <v>30440.0</v>
      </c>
      <c r="BK307" s="11">
        <v>61530.0</v>
      </c>
      <c r="BL307" s="11">
        <v>81850.0</v>
      </c>
      <c r="BM307" s="11">
        <v>341.0</v>
      </c>
      <c r="BN307" s="11">
        <v>167.0</v>
      </c>
      <c r="BO307" s="11">
        <v>51.0</v>
      </c>
      <c r="BP307" s="11">
        <v>82.0</v>
      </c>
      <c r="BQ307" s="11">
        <v>8430.0</v>
      </c>
      <c r="BR307" s="12"/>
      <c r="BS307" s="12"/>
      <c r="BT307" s="12"/>
      <c r="BU307" s="12"/>
      <c r="BV307" s="12"/>
      <c r="BW307" s="11">
        <v>45000.0</v>
      </c>
      <c r="BX307" s="11">
        <v>46580.0</v>
      </c>
      <c r="BY307" s="11">
        <v>31180.0</v>
      </c>
      <c r="BZ307" s="11">
        <v>62680.0</v>
      </c>
      <c r="CA307" s="11">
        <v>91000.0</v>
      </c>
      <c r="CB307" s="11">
        <v>5590.0</v>
      </c>
      <c r="CC307" s="11">
        <v>3370.0</v>
      </c>
      <c r="CD307" s="11">
        <v>4650.0</v>
      </c>
      <c r="CE307" s="11">
        <v>5970.0</v>
      </c>
      <c r="CF307" s="11">
        <v>6030.0</v>
      </c>
      <c r="CG307" s="12"/>
      <c r="CH307" s="12"/>
      <c r="CI307" s="12"/>
      <c r="CJ307" s="12"/>
      <c r="CK307" s="12"/>
      <c r="CL307" s="11">
        <v>53760.0</v>
      </c>
      <c r="CM307" s="11">
        <v>53180.0</v>
      </c>
      <c r="CN307" s="11">
        <v>38750.0</v>
      </c>
      <c r="CO307" s="11">
        <v>71140.0</v>
      </c>
      <c r="CP307" s="11">
        <v>99310.0</v>
      </c>
      <c r="CQ307" s="11">
        <v>1090.0</v>
      </c>
      <c r="CR307" s="11">
        <v>2950.0</v>
      </c>
      <c r="CS307" s="11">
        <v>3450.0</v>
      </c>
      <c r="CT307" s="11">
        <v>1270.0</v>
      </c>
      <c r="CU307" s="11">
        <v>2000.0</v>
      </c>
      <c r="CV307" s="11">
        <v>6820.0</v>
      </c>
      <c r="CW307" s="11">
        <v>600.0</v>
      </c>
      <c r="CX307" s="12"/>
      <c r="CY307" s="12"/>
      <c r="CZ307" s="12"/>
      <c r="DA307" s="12"/>
      <c r="DB307" s="11">
        <v>6820.0</v>
      </c>
      <c r="DC307" s="11">
        <v>9990.0</v>
      </c>
      <c r="DD307" s="11">
        <v>6190.0</v>
      </c>
      <c r="DE307" s="11">
        <v>4740.0</v>
      </c>
      <c r="DF307" s="11">
        <v>15440.0</v>
      </c>
      <c r="DG307" s="11">
        <v>15940.0</v>
      </c>
      <c r="DH307" s="11">
        <v>9450.0</v>
      </c>
      <c r="DI307" s="11">
        <v>7620.0</v>
      </c>
      <c r="DJ307" s="11">
        <v>9410.0</v>
      </c>
      <c r="DK307" s="12"/>
      <c r="DL307" s="12"/>
      <c r="DM307" s="12"/>
      <c r="DN307" s="12"/>
      <c r="DO307" s="12"/>
      <c r="DP307" s="11">
        <v>2980.0</v>
      </c>
      <c r="DQ307" s="12"/>
      <c r="DR307" s="12"/>
      <c r="DS307" s="12"/>
      <c r="DT307" s="12"/>
      <c r="DU307" s="13"/>
      <c r="DV307" s="12"/>
      <c r="DW307" s="12"/>
      <c r="DX307" s="13"/>
      <c r="DY307" s="13"/>
      <c r="DZ307" s="11">
        <v>38320.0</v>
      </c>
      <c r="EA307" s="11">
        <v>37240.0</v>
      </c>
      <c r="EB307" s="11">
        <v>29300.0</v>
      </c>
      <c r="EC307" s="11">
        <v>63520.0</v>
      </c>
      <c r="ED307" s="11">
        <v>89900.0</v>
      </c>
      <c r="EE307" s="23"/>
      <c r="EF307" s="23"/>
      <c r="EG307" s="14">
        <v>0.2</v>
      </c>
      <c r="EH307" s="14">
        <v>0.073</v>
      </c>
    </row>
    <row r="308">
      <c r="A308" s="9">
        <f t="shared" si="2"/>
        <v>306</v>
      </c>
      <c r="B308" s="10" t="s">
        <v>442</v>
      </c>
      <c r="C308" s="11">
        <v>835790.0</v>
      </c>
      <c r="D308" s="11">
        <v>730720.0</v>
      </c>
      <c r="E308" s="11">
        <v>725630.0</v>
      </c>
      <c r="F308" s="11">
        <v>806340.0</v>
      </c>
      <c r="G308" s="11">
        <v>766050.0</v>
      </c>
      <c r="H308" s="11">
        <v>521190.0</v>
      </c>
      <c r="I308" s="11">
        <v>450940.0</v>
      </c>
      <c r="J308" s="11">
        <v>535870.0</v>
      </c>
      <c r="K308" s="11">
        <v>596540.0</v>
      </c>
      <c r="L308" s="11">
        <v>578760.0</v>
      </c>
      <c r="M308" s="11">
        <v>405600.0</v>
      </c>
      <c r="N308" s="11">
        <v>348370.0</v>
      </c>
      <c r="O308" s="11">
        <v>393270.0</v>
      </c>
      <c r="P308" s="11">
        <v>375400.0</v>
      </c>
      <c r="Q308" s="11">
        <v>319920.0</v>
      </c>
      <c r="R308" s="11">
        <v>244420.0</v>
      </c>
      <c r="S308" s="11">
        <v>226620.0</v>
      </c>
      <c r="T308" s="11">
        <v>119430.0</v>
      </c>
      <c r="U308" s="11">
        <v>116450.0</v>
      </c>
      <c r="V308" s="11">
        <v>99200.0</v>
      </c>
      <c r="W308" s="11">
        <v>78280.0</v>
      </c>
      <c r="X308" s="11">
        <v>69780.0</v>
      </c>
      <c r="Y308" s="11">
        <v>145310.0</v>
      </c>
      <c r="Z308" s="11">
        <v>220860.0</v>
      </c>
      <c r="AA308" s="11">
        <v>298.0</v>
      </c>
      <c r="AB308" s="11">
        <v>161130.0</v>
      </c>
      <c r="AC308" s="11">
        <v>121740.0</v>
      </c>
      <c r="AD308" s="11">
        <v>162990.0</v>
      </c>
      <c r="AE308" s="11">
        <v>234570.0</v>
      </c>
      <c r="AF308" s="11">
        <v>266460.0</v>
      </c>
      <c r="AG308" s="11">
        <v>168800.0</v>
      </c>
      <c r="AH308" s="11">
        <v>126960.0</v>
      </c>
      <c r="AI308" s="11">
        <v>167500.0</v>
      </c>
      <c r="AJ308" s="11">
        <v>242690.0</v>
      </c>
      <c r="AK308" s="11">
        <v>275830.0</v>
      </c>
      <c r="AL308" s="11">
        <v>176250.0</v>
      </c>
      <c r="AM308" s="11">
        <v>135870.0</v>
      </c>
      <c r="AN308" s="11">
        <v>203870.0</v>
      </c>
      <c r="AO308" s="11">
        <v>219270.0</v>
      </c>
      <c r="AP308" s="11">
        <v>176710.0</v>
      </c>
      <c r="AQ308" s="11">
        <v>149830.0</v>
      </c>
      <c r="AR308" s="11">
        <v>107660.0</v>
      </c>
      <c r="AS308" s="11">
        <v>253230.0</v>
      </c>
      <c r="AT308" s="11">
        <v>223450.0</v>
      </c>
      <c r="AU308" s="11">
        <v>224320.0</v>
      </c>
      <c r="AV308" s="11">
        <v>182080.0</v>
      </c>
      <c r="AW308" s="11">
        <v>118360.0</v>
      </c>
      <c r="AX308" s="11">
        <v>-21750.0</v>
      </c>
      <c r="AY308" s="11">
        <v>-37100.0</v>
      </c>
      <c r="AZ308" s="11">
        <v>-28750.0</v>
      </c>
      <c r="BA308" s="11">
        <v>-12820.0</v>
      </c>
      <c r="BB308" s="11">
        <v>-28700.0</v>
      </c>
      <c r="BC308" s="11">
        <v>-35120.0</v>
      </c>
      <c r="BD308" s="11">
        <v>-31870.0</v>
      </c>
      <c r="BE308" s="11">
        <v>-29040.0</v>
      </c>
      <c r="BF308" s="11">
        <v>-25210.0</v>
      </c>
      <c r="BG308" s="11">
        <v>-18060.0</v>
      </c>
      <c r="BH308" s="11">
        <v>411900.0</v>
      </c>
      <c r="BI308" s="11">
        <v>535560.0</v>
      </c>
      <c r="BJ308" s="11">
        <v>404540.0</v>
      </c>
      <c r="BK308" s="11">
        <v>420840.0</v>
      </c>
      <c r="BL308" s="11">
        <v>348440.0</v>
      </c>
      <c r="BM308" s="11">
        <v>108230.0</v>
      </c>
      <c r="BN308" s="11">
        <v>127480.0</v>
      </c>
      <c r="BO308" s="11">
        <v>126840.0</v>
      </c>
      <c r="BP308" s="11">
        <v>57660.0</v>
      </c>
      <c r="BQ308" s="11">
        <v>42850.0</v>
      </c>
      <c r="BR308" s="11">
        <v>60260.0</v>
      </c>
      <c r="BS308" s="11">
        <v>83280.0</v>
      </c>
      <c r="BT308" s="11">
        <v>67920.0</v>
      </c>
      <c r="BU308" s="11">
        <v>26980.0</v>
      </c>
      <c r="BV308" s="11">
        <v>37330.0</v>
      </c>
      <c r="BW308" s="11">
        <v>603270.0</v>
      </c>
      <c r="BX308" s="11">
        <v>780330.0</v>
      </c>
      <c r="BY308" s="11">
        <v>629990.0</v>
      </c>
      <c r="BZ308" s="11">
        <v>526340.0</v>
      </c>
      <c r="CA308" s="11">
        <v>451600.0</v>
      </c>
      <c r="CB308" s="11">
        <v>106970.0</v>
      </c>
      <c r="CC308" s="11">
        <v>91400.0</v>
      </c>
      <c r="CD308" s="11">
        <v>78050.0</v>
      </c>
      <c r="CE308" s="11">
        <v>53990.0</v>
      </c>
      <c r="CF308" s="11">
        <v>53290.0</v>
      </c>
      <c r="CG308" s="11">
        <v>243450.0</v>
      </c>
      <c r="CH308" s="11">
        <v>113210.0</v>
      </c>
      <c r="CI308" s="11">
        <v>113210.0</v>
      </c>
      <c r="CJ308" s="11">
        <v>95280.0</v>
      </c>
      <c r="CK308" s="11">
        <v>81450.0</v>
      </c>
      <c r="CL308" s="11">
        <v>1890000.0</v>
      </c>
      <c r="CM308" s="11">
        <v>1290000.0</v>
      </c>
      <c r="CN308" s="11">
        <v>1290000.0</v>
      </c>
      <c r="CO308" s="11">
        <v>1040000.0</v>
      </c>
      <c r="CP308" s="11">
        <v>887760.0</v>
      </c>
      <c r="CQ308" s="11">
        <v>17870.0</v>
      </c>
      <c r="CR308" s="11">
        <v>16230.0</v>
      </c>
      <c r="CS308" s="11">
        <v>23460.0</v>
      </c>
      <c r="CT308" s="11">
        <v>9830.0</v>
      </c>
      <c r="CU308" s="11">
        <v>7860.0</v>
      </c>
      <c r="CV308" s="11">
        <v>120480.0</v>
      </c>
      <c r="CW308" s="11">
        <v>5650.0</v>
      </c>
      <c r="CX308" s="12"/>
      <c r="CY308" s="12"/>
      <c r="CZ308" s="12"/>
      <c r="DA308" s="12"/>
      <c r="DB308" s="11">
        <v>120480.0</v>
      </c>
      <c r="DC308" s="11">
        <v>91360.0</v>
      </c>
      <c r="DD308" s="11">
        <v>112640.0</v>
      </c>
      <c r="DE308" s="11">
        <v>65770.0</v>
      </c>
      <c r="DF308" s="11">
        <v>530230.0</v>
      </c>
      <c r="DG308" s="11">
        <v>154400.0</v>
      </c>
      <c r="DH308" s="11">
        <v>192080.0</v>
      </c>
      <c r="DI308" s="11">
        <v>76010.0</v>
      </c>
      <c r="DJ308" s="11">
        <v>62090.0</v>
      </c>
      <c r="DK308" s="11">
        <v>433450.0</v>
      </c>
      <c r="DL308" s="11">
        <v>262040.0</v>
      </c>
      <c r="DM308" s="11">
        <v>423440.0</v>
      </c>
      <c r="DN308" s="11">
        <v>324340.0</v>
      </c>
      <c r="DO308" s="11">
        <v>273090.0</v>
      </c>
      <c r="DP308" s="11">
        <v>12330.0</v>
      </c>
      <c r="DQ308" s="12"/>
      <c r="DR308" s="11"/>
      <c r="DS308" s="11"/>
      <c r="DT308" s="11"/>
      <c r="DU308" s="13"/>
      <c r="DV308" s="12"/>
      <c r="DW308" s="12"/>
      <c r="DX308" s="12"/>
      <c r="DY308" s="12"/>
      <c r="DZ308" s="11">
        <v>1360000.0</v>
      </c>
      <c r="EA308" s="11">
        <v>1140000.0</v>
      </c>
      <c r="EB308" s="11">
        <v>1100000.0</v>
      </c>
      <c r="EC308" s="11">
        <v>962600.0</v>
      </c>
      <c r="ED308" s="11">
        <v>825670.0</v>
      </c>
      <c r="EE308" s="14">
        <v>0.062</v>
      </c>
      <c r="EF308" s="14">
        <v>0.147</v>
      </c>
      <c r="EG308" s="14">
        <v>0.636</v>
      </c>
      <c r="EH308" s="14">
        <v>0.281</v>
      </c>
    </row>
    <row r="309">
      <c r="A309" s="9">
        <f t="shared" si="2"/>
        <v>307</v>
      </c>
      <c r="B309" s="25" t="s">
        <v>443</v>
      </c>
      <c r="C309" s="15">
        <v>4920000.0</v>
      </c>
      <c r="D309" s="15">
        <v>4780000.0</v>
      </c>
      <c r="E309" s="15">
        <v>4360000.0</v>
      </c>
      <c r="F309" s="15">
        <v>4150000.0</v>
      </c>
      <c r="G309" s="15">
        <v>3780000.0</v>
      </c>
      <c r="H309" s="15">
        <v>3490000.0</v>
      </c>
      <c r="I309" s="15">
        <v>3390000.0</v>
      </c>
      <c r="J309" s="15">
        <v>1890000.0</v>
      </c>
      <c r="K309" s="15">
        <v>1770000.0</v>
      </c>
      <c r="L309" s="15">
        <v>1670000.0</v>
      </c>
      <c r="M309" s="15">
        <v>1550000.0</v>
      </c>
      <c r="N309" s="15">
        <v>1470000.0</v>
      </c>
      <c r="O309" s="15">
        <v>1040000.0</v>
      </c>
      <c r="P309" s="15">
        <v>977900.0</v>
      </c>
      <c r="Q309" s="15">
        <v>933300.0</v>
      </c>
      <c r="R309" s="15">
        <v>820500.0</v>
      </c>
      <c r="S309" s="15">
        <v>799800.0</v>
      </c>
      <c r="T309" s="15">
        <v>93600.0</v>
      </c>
      <c r="U309" s="15">
        <v>89700.0</v>
      </c>
      <c r="V309" s="15">
        <v>70800.0</v>
      </c>
      <c r="W309" s="15">
        <v>63200.0</v>
      </c>
      <c r="X309" s="15">
        <v>64700.0</v>
      </c>
      <c r="Y309" s="15">
        <v>847800.0</v>
      </c>
      <c r="Z309" s="12"/>
      <c r="AA309" s="12"/>
      <c r="AB309" s="15">
        <v>724100.0</v>
      </c>
      <c r="AC309" s="15">
        <v>660600.0</v>
      </c>
      <c r="AD309" s="15">
        <v>773700.0</v>
      </c>
      <c r="AE309" s="15">
        <v>719500.0</v>
      </c>
      <c r="AF309" s="15">
        <v>692700.0</v>
      </c>
      <c r="AG309" s="15">
        <v>705900.0</v>
      </c>
      <c r="AH309" s="15">
        <v>635400.0</v>
      </c>
      <c r="AI309" s="15">
        <v>1020000.0</v>
      </c>
      <c r="AJ309" s="15">
        <v>927300.0</v>
      </c>
      <c r="AK309" s="15">
        <v>857200.0</v>
      </c>
      <c r="AL309" s="15">
        <v>834700.0</v>
      </c>
      <c r="AM309" s="15">
        <v>770300.0</v>
      </c>
      <c r="AN309" s="15">
        <v>615900.0</v>
      </c>
      <c r="AO309" s="15">
        <v>568600.0</v>
      </c>
      <c r="AP309" s="15">
        <v>743400.0</v>
      </c>
      <c r="AQ309" s="15">
        <v>459000.0</v>
      </c>
      <c r="AR309" s="15">
        <v>410400.0</v>
      </c>
      <c r="AS309" s="15">
        <v>864500.0</v>
      </c>
      <c r="AT309" s="15">
        <v>763600.0</v>
      </c>
      <c r="AU309" s="15">
        <v>681500.0</v>
      </c>
      <c r="AV309" s="15">
        <v>655300.0</v>
      </c>
      <c r="AW309" s="15">
        <v>606100.0</v>
      </c>
      <c r="AX309" s="15">
        <v>-73700.0</v>
      </c>
      <c r="AY309" s="15">
        <v>-60400.0</v>
      </c>
      <c r="AZ309" s="15">
        <v>-45000.0</v>
      </c>
      <c r="BA309" s="15">
        <v>-49800.0</v>
      </c>
      <c r="BB309" s="15">
        <v>-61800.0</v>
      </c>
      <c r="BC309" s="15">
        <v>-224100.0</v>
      </c>
      <c r="BD309" s="15">
        <v>-213300.0</v>
      </c>
      <c r="BE309" s="15">
        <v>-190400.0</v>
      </c>
      <c r="BF309" s="15">
        <v>-183000.0</v>
      </c>
      <c r="BG309" s="15">
        <v>-175300.0</v>
      </c>
      <c r="BH309" s="15">
        <v>155700.0</v>
      </c>
      <c r="BI309" s="15">
        <v>316700.0</v>
      </c>
      <c r="BJ309" s="15">
        <v>278900.0</v>
      </c>
      <c r="BK309" s="15">
        <v>187800.0</v>
      </c>
      <c r="BL309" s="15">
        <v>330000.0</v>
      </c>
      <c r="BM309" s="15">
        <v>356400.0</v>
      </c>
      <c r="BN309" s="15">
        <v>345300.0</v>
      </c>
      <c r="BO309" s="15">
        <v>345900.0</v>
      </c>
      <c r="BP309" s="15">
        <v>287000.0</v>
      </c>
      <c r="BQ309" s="15">
        <v>276200.0</v>
      </c>
      <c r="BR309" s="15">
        <v>417400.0</v>
      </c>
      <c r="BS309" s="15">
        <v>382800.0</v>
      </c>
      <c r="BT309" s="15">
        <v>330700.0</v>
      </c>
      <c r="BU309" s="15">
        <v>258200.0</v>
      </c>
      <c r="BV309" s="15">
        <v>274000.0</v>
      </c>
      <c r="BW309" s="15">
        <v>956400.0</v>
      </c>
      <c r="BX309" s="15">
        <v>1080000.0</v>
      </c>
      <c r="BY309" s="15">
        <v>1000000.0</v>
      </c>
      <c r="BZ309" s="15">
        <v>756800.0</v>
      </c>
      <c r="CA309" s="15">
        <v>906000.0</v>
      </c>
      <c r="CB309" s="15">
        <v>723700.0</v>
      </c>
      <c r="CC309" s="15">
        <v>598200.0</v>
      </c>
      <c r="CD309" s="15">
        <v>607700.0</v>
      </c>
      <c r="CE309" s="15">
        <v>588600.0</v>
      </c>
      <c r="CF309" s="15">
        <v>609600.0</v>
      </c>
      <c r="CG309" s="15">
        <v>2080000.0</v>
      </c>
      <c r="CH309" s="15">
        <v>1990000.0</v>
      </c>
      <c r="CI309" s="15">
        <v>1960000.0</v>
      </c>
      <c r="CJ309" s="15">
        <v>1440000.0</v>
      </c>
      <c r="CK309" s="15">
        <v>1350000.0</v>
      </c>
      <c r="CL309" s="15">
        <v>6660000.0</v>
      </c>
      <c r="CM309" s="15">
        <v>6070000.0</v>
      </c>
      <c r="CN309" s="15">
        <v>6010000.0</v>
      </c>
      <c r="CO309" s="15">
        <v>4350000.0</v>
      </c>
      <c r="CP309" s="15">
        <v>4260000.0</v>
      </c>
      <c r="CQ309" s="15">
        <v>473300.0</v>
      </c>
      <c r="CR309" s="15">
        <v>430200.0</v>
      </c>
      <c r="CS309" s="15">
        <v>398900.0</v>
      </c>
      <c r="CT309" s="15">
        <v>331600.0</v>
      </c>
      <c r="CU309" s="15">
        <v>293900.0</v>
      </c>
      <c r="CV309" s="15">
        <v>1090000.0</v>
      </c>
      <c r="CW309" s="15">
        <v>269300.0</v>
      </c>
      <c r="CX309" s="15">
        <v>1800.0</v>
      </c>
      <c r="CY309" s="15">
        <v>270900.0</v>
      </c>
      <c r="CZ309" s="15">
        <v>426800.0</v>
      </c>
      <c r="DA309" s="15">
        <v>357200.0</v>
      </c>
      <c r="DB309" s="15">
        <v>1090000.0</v>
      </c>
      <c r="DC309" s="15">
        <v>1330000.0</v>
      </c>
      <c r="DD309" s="15">
        <v>935000.0</v>
      </c>
      <c r="DE309" s="15">
        <v>1000000.0</v>
      </c>
      <c r="DF309" s="15">
        <v>3990000.0</v>
      </c>
      <c r="DG309" s="15">
        <v>3620000.0</v>
      </c>
      <c r="DH309" s="15">
        <v>3800000.0</v>
      </c>
      <c r="DI309" s="15">
        <v>2380000.0</v>
      </c>
      <c r="DJ309" s="15">
        <v>2230000.0</v>
      </c>
      <c r="DK309" s="15">
        <v>9700.0</v>
      </c>
      <c r="DL309" s="15">
        <v>8500.0</v>
      </c>
      <c r="DM309" s="15">
        <v>9300.0</v>
      </c>
      <c r="DN309" s="15">
        <v>8500.0</v>
      </c>
      <c r="DO309" s="15">
        <v>8400.0</v>
      </c>
      <c r="DP309" s="15">
        <v>1950000.0</v>
      </c>
      <c r="DQ309" s="15">
        <v>1510000.0</v>
      </c>
      <c r="DR309" s="15">
        <v>2100000.0</v>
      </c>
      <c r="DS309" s="15">
        <v>693400.0</v>
      </c>
      <c r="DT309" s="15">
        <v>692800.0</v>
      </c>
      <c r="DU309" s="13"/>
      <c r="DV309" s="12"/>
      <c r="DW309" s="12"/>
      <c r="DX309" s="13"/>
      <c r="DY309" s="13"/>
      <c r="DZ309" s="15">
        <v>2670000.0</v>
      </c>
      <c r="EA309" s="15">
        <v>2450000.0</v>
      </c>
      <c r="EB309" s="15">
        <v>2220000.0</v>
      </c>
      <c r="EC309" s="15">
        <v>1980000.0</v>
      </c>
      <c r="ED309" s="15">
        <v>2020000.0</v>
      </c>
      <c r="EE309" s="17">
        <v>0.015</v>
      </c>
      <c r="EF309" s="17">
        <v>0.057</v>
      </c>
      <c r="EG309" s="17">
        <v>0.222</v>
      </c>
      <c r="EH309" s="17">
        <v>0.096</v>
      </c>
    </row>
    <row r="310">
      <c r="A310" s="9">
        <f t="shared" si="2"/>
        <v>308</v>
      </c>
      <c r="B310" s="10" t="s">
        <v>444</v>
      </c>
      <c r="C310" s="15">
        <v>1520000.0</v>
      </c>
      <c r="D310" s="15">
        <v>1060000.0</v>
      </c>
      <c r="E310" s="15">
        <v>1330000.0</v>
      </c>
      <c r="F310" s="15">
        <v>1010000.0</v>
      </c>
      <c r="G310" s="15">
        <v>882600.0</v>
      </c>
      <c r="H310" s="15">
        <v>822400.0</v>
      </c>
      <c r="I310" s="15">
        <v>1210000.0</v>
      </c>
      <c r="J310" s="15">
        <v>343000.0</v>
      </c>
      <c r="K310" s="15">
        <v>289600.0</v>
      </c>
      <c r="L310" s="15">
        <v>252800.0</v>
      </c>
      <c r="M310" s="15">
        <v>228400.0</v>
      </c>
      <c r="N310" s="15">
        <v>289400.0</v>
      </c>
      <c r="O310" s="15">
        <v>119200.0</v>
      </c>
      <c r="P310" s="15">
        <v>90500.0</v>
      </c>
      <c r="Q310" s="15">
        <v>83100.0</v>
      </c>
      <c r="R310" s="15">
        <v>79400.0</v>
      </c>
      <c r="S310" s="15">
        <v>130190.0</v>
      </c>
      <c r="T310" s="15">
        <v>0.0</v>
      </c>
      <c r="U310" s="15">
        <v>0.0</v>
      </c>
      <c r="V310" s="15">
        <v>0.0</v>
      </c>
      <c r="W310" s="15">
        <v>0.0</v>
      </c>
      <c r="X310" s="15">
        <v>39400.0</v>
      </c>
      <c r="Y310" s="15">
        <v>215700.0</v>
      </c>
      <c r="Z310" s="15">
        <v>188800.0</v>
      </c>
      <c r="AA310" s="15">
        <v>125000.0</v>
      </c>
      <c r="AB310" s="15">
        <v>-2500.0</v>
      </c>
      <c r="AC310" s="15">
        <v>123610.0</v>
      </c>
      <c r="AD310" s="15">
        <v>196400.0</v>
      </c>
      <c r="AE310" s="15">
        <v>233900.0</v>
      </c>
      <c r="AF310" s="15">
        <v>102500.0</v>
      </c>
      <c r="AG310" s="15">
        <v>147400.0</v>
      </c>
      <c r="AH310" s="15">
        <v>112090.0</v>
      </c>
      <c r="AI310" s="15">
        <v>324800.0</v>
      </c>
      <c r="AJ310" s="15">
        <v>263100.0</v>
      </c>
      <c r="AK310" s="15">
        <v>241600.0</v>
      </c>
      <c r="AL310" s="15">
        <v>227000.0</v>
      </c>
      <c r="AM310" s="15">
        <v>268920.0</v>
      </c>
      <c r="AN310" s="15">
        <v>139900.0</v>
      </c>
      <c r="AO310" s="15">
        <v>182600.0</v>
      </c>
      <c r="AP310" s="15">
        <v>122300.0</v>
      </c>
      <c r="AQ310" s="15">
        <v>95700.0</v>
      </c>
      <c r="AR310" s="15">
        <v>64600.0</v>
      </c>
      <c r="AS310" s="15">
        <v>289600.0</v>
      </c>
      <c r="AT310" s="15">
        <v>197800.0</v>
      </c>
      <c r="AU310" s="15">
        <v>218200.0</v>
      </c>
      <c r="AV310" s="15">
        <v>226800.0</v>
      </c>
      <c r="AW310" s="15">
        <v>264530.0</v>
      </c>
      <c r="AX310" s="15">
        <v>-163300.0</v>
      </c>
      <c r="AY310" s="15">
        <v>-149400.0</v>
      </c>
      <c r="AZ310" s="15">
        <v>-116900.0</v>
      </c>
      <c r="BA310" s="15">
        <v>-54700.0</v>
      </c>
      <c r="BB310" s="15">
        <v>-45760.0</v>
      </c>
      <c r="BC310" s="15">
        <v>-22200.0</v>
      </c>
      <c r="BD310" s="15">
        <v>-23700.0</v>
      </c>
      <c r="BE310" s="15">
        <v>-21500.0</v>
      </c>
      <c r="BF310" s="15">
        <v>-19100.0</v>
      </c>
      <c r="BG310" s="15">
        <v>-17420.0</v>
      </c>
      <c r="BH310" s="15">
        <v>142500.0</v>
      </c>
      <c r="BI310" s="15">
        <v>173300.0</v>
      </c>
      <c r="BJ310" s="15">
        <v>82900.0</v>
      </c>
      <c r="BK310" s="15">
        <v>79600.0</v>
      </c>
      <c r="BL310" s="15">
        <v>104210.0</v>
      </c>
      <c r="BM310" s="15">
        <v>51800.0</v>
      </c>
      <c r="BN310" s="15">
        <v>45800.0</v>
      </c>
      <c r="BO310" s="15">
        <v>85200.0</v>
      </c>
      <c r="BP310" s="15">
        <v>77800.0</v>
      </c>
      <c r="BQ310" s="15">
        <v>68750.0</v>
      </c>
      <c r="BR310" s="15">
        <v>0.0</v>
      </c>
      <c r="BS310" s="15">
        <v>0.0</v>
      </c>
      <c r="BT310" s="15">
        <v>0.0</v>
      </c>
      <c r="BU310" s="15">
        <v>0.0</v>
      </c>
      <c r="BV310" s="15">
        <v>0.0</v>
      </c>
      <c r="BW310" s="15">
        <v>221200.0</v>
      </c>
      <c r="BX310" s="15">
        <v>241500.0</v>
      </c>
      <c r="BY310" s="15">
        <v>256100.0</v>
      </c>
      <c r="BZ310" s="15">
        <v>246000.0</v>
      </c>
      <c r="CA310" s="15">
        <v>222830.0</v>
      </c>
      <c r="CB310" s="15">
        <v>937300.0</v>
      </c>
      <c r="CC310" s="15">
        <v>757500.0</v>
      </c>
      <c r="CD310" s="15">
        <v>608000.0</v>
      </c>
      <c r="CE310" s="15">
        <v>560600.0</v>
      </c>
      <c r="CF310" s="15">
        <v>573170.0</v>
      </c>
      <c r="CG310" s="15">
        <v>367100.0</v>
      </c>
      <c r="CH310" s="15">
        <v>338000.0</v>
      </c>
      <c r="CI310" s="15">
        <v>317600.0</v>
      </c>
      <c r="CJ310" s="15">
        <v>301500.0</v>
      </c>
      <c r="CK310" s="15">
        <v>841720.0</v>
      </c>
      <c r="CL310" s="15">
        <v>2580000.0</v>
      </c>
      <c r="CM310" s="15">
        <v>1730000.0</v>
      </c>
      <c r="CN310" s="15">
        <v>2360000.0</v>
      </c>
      <c r="CO310" s="15">
        <v>2250000.0</v>
      </c>
      <c r="CP310" s="15">
        <v>2280000.0</v>
      </c>
      <c r="CQ310" s="15">
        <v>57800.0</v>
      </c>
      <c r="CR310" s="15">
        <v>47000.0</v>
      </c>
      <c r="CS310" s="15">
        <v>54100.0</v>
      </c>
      <c r="CT310" s="15">
        <v>49500.0</v>
      </c>
      <c r="CU310" s="15">
        <v>39120.0</v>
      </c>
      <c r="CV310" s="15">
        <v>301200.0</v>
      </c>
      <c r="CW310" s="15">
        <v>5000.0</v>
      </c>
      <c r="CX310" s="15">
        <v>0.0</v>
      </c>
      <c r="CY310" s="15">
        <v>0.0</v>
      </c>
      <c r="CZ310" s="15">
        <v>0.0</v>
      </c>
      <c r="DA310" s="15">
        <v>0.0</v>
      </c>
      <c r="DB310" s="15">
        <v>301200.0</v>
      </c>
      <c r="DC310" s="15">
        <v>256600.0</v>
      </c>
      <c r="DD310" s="15">
        <v>453200.0</v>
      </c>
      <c r="DE310" s="15">
        <v>468100.0</v>
      </c>
      <c r="DF310" s="15">
        <v>2060000.0</v>
      </c>
      <c r="DG310" s="15">
        <v>1250000.0</v>
      </c>
      <c r="DH310" s="15">
        <v>1720000.0</v>
      </c>
      <c r="DI310" s="15">
        <v>1570000.0</v>
      </c>
      <c r="DJ310" s="15">
        <v>1660000.0</v>
      </c>
      <c r="DK310" s="15">
        <v>634500.0</v>
      </c>
      <c r="DL310" s="15">
        <v>108100.0</v>
      </c>
      <c r="DM310" s="15">
        <v>171300.0</v>
      </c>
      <c r="DN310" s="15">
        <v>139100.0</v>
      </c>
      <c r="DO310" s="15">
        <v>129750.0</v>
      </c>
      <c r="DP310" s="15">
        <v>1490000.0</v>
      </c>
      <c r="DQ310" s="15">
        <v>880300.0</v>
      </c>
      <c r="DR310" s="15">
        <v>1130000.0</v>
      </c>
      <c r="DS310" s="15">
        <v>907500.0</v>
      </c>
      <c r="DT310" s="15">
        <v>765530.0</v>
      </c>
      <c r="DU310" s="16">
        <v>0.0</v>
      </c>
      <c r="DV310" s="15">
        <v>0.0</v>
      </c>
      <c r="DW310" s="15">
        <v>0.0</v>
      </c>
      <c r="DX310" s="16">
        <v>0.0</v>
      </c>
      <c r="DY310" s="16">
        <v>0.0</v>
      </c>
      <c r="DZ310" s="15">
        <v>508300.0</v>
      </c>
      <c r="EA310" s="15">
        <v>473300.0</v>
      </c>
      <c r="EB310" s="15">
        <v>640300.0</v>
      </c>
      <c r="EC310" s="15">
        <v>685000.0</v>
      </c>
      <c r="ED310" s="15">
        <v>617200.0</v>
      </c>
      <c r="EE310" s="17">
        <v>0.213</v>
      </c>
      <c r="EF310" s="17">
        <v>0.211</v>
      </c>
      <c r="EG310" s="17">
        <v>-0.688</v>
      </c>
      <c r="EH310" s="17">
        <v>1.849</v>
      </c>
    </row>
    <row r="311">
      <c r="A311" s="9">
        <f t="shared" si="2"/>
        <v>309</v>
      </c>
      <c r="B311" s="10" t="s">
        <v>445</v>
      </c>
      <c r="C311" s="11">
        <v>2270000.0</v>
      </c>
      <c r="D311" s="11">
        <v>2110000.0</v>
      </c>
      <c r="E311" s="11">
        <v>1940000.0</v>
      </c>
      <c r="F311" s="11">
        <v>1780000.0</v>
      </c>
      <c r="G311" s="11">
        <v>1670000.0</v>
      </c>
      <c r="H311" s="11">
        <v>1580000.0</v>
      </c>
      <c r="I311" s="11">
        <v>1540000.0</v>
      </c>
      <c r="J311" s="11">
        <v>572220.0</v>
      </c>
      <c r="K311" s="11">
        <v>516140.0</v>
      </c>
      <c r="L311" s="11">
        <v>480570.0</v>
      </c>
      <c r="M311" s="11">
        <v>426810.0</v>
      </c>
      <c r="N311" s="11">
        <v>422280.0</v>
      </c>
      <c r="O311" s="11">
        <v>300880.0</v>
      </c>
      <c r="P311" s="11">
        <v>270450.0</v>
      </c>
      <c r="Q311" s="11">
        <v>263030.0</v>
      </c>
      <c r="R311" s="11">
        <v>236210.0</v>
      </c>
      <c r="S311" s="11">
        <v>232490.0</v>
      </c>
      <c r="T311" s="12"/>
      <c r="U311" s="12"/>
      <c r="V311" s="12"/>
      <c r="W311" s="12"/>
      <c r="X311" s="12"/>
      <c r="Y311" s="11">
        <v>258250.0</v>
      </c>
      <c r="Z311" s="11">
        <v>-1550.0</v>
      </c>
      <c r="AA311" s="11">
        <v>126730.0</v>
      </c>
      <c r="AB311" s="11">
        <v>180810.0</v>
      </c>
      <c r="AC311" s="11">
        <v>184610.0</v>
      </c>
      <c r="AD311" s="11">
        <v>261610.0</v>
      </c>
      <c r="AE311" s="11">
        <v>239600.0</v>
      </c>
      <c r="AF311" s="11">
        <v>116920.0</v>
      </c>
      <c r="AG311" s="11">
        <v>177050.0</v>
      </c>
      <c r="AH311" s="11">
        <v>180130.0</v>
      </c>
      <c r="AI311" s="11">
        <v>316550.0</v>
      </c>
      <c r="AJ311" s="11">
        <v>284550.0</v>
      </c>
      <c r="AK311" s="11">
        <v>252030.0</v>
      </c>
      <c r="AL311" s="11">
        <v>220750.0</v>
      </c>
      <c r="AM311" s="11">
        <v>223290.0</v>
      </c>
      <c r="AN311" s="11">
        <v>219920.0</v>
      </c>
      <c r="AO311" s="11">
        <v>205540.0</v>
      </c>
      <c r="AP311" s="11">
        <v>98180.0</v>
      </c>
      <c r="AQ311" s="11">
        <v>108740.0</v>
      </c>
      <c r="AR311" s="11">
        <v>110270.0</v>
      </c>
      <c r="AS311" s="11">
        <v>298140.0</v>
      </c>
      <c r="AT311" s="11">
        <v>287140.0</v>
      </c>
      <c r="AU311" s="11">
        <v>162500.0</v>
      </c>
      <c r="AV311" s="11">
        <v>135390.0</v>
      </c>
      <c r="AW311" s="11">
        <v>171500.0</v>
      </c>
      <c r="AX311" s="11">
        <v>-53020.0</v>
      </c>
      <c r="AY311" s="11">
        <v>-52870.0</v>
      </c>
      <c r="AZ311" s="11">
        <v>-64300.0</v>
      </c>
      <c r="BA311" s="11">
        <v>-39770.0</v>
      </c>
      <c r="BB311" s="11">
        <v>-44140.0</v>
      </c>
      <c r="BC311" s="11">
        <v>-19790.0</v>
      </c>
      <c r="BD311" s="11">
        <v>-18660.0</v>
      </c>
      <c r="BE311" s="11">
        <v>-17370.0</v>
      </c>
      <c r="BF311" s="11">
        <v>-16440.0</v>
      </c>
      <c r="BG311" s="11">
        <v>-15610.0</v>
      </c>
      <c r="BH311" s="11">
        <v>6160.0</v>
      </c>
      <c r="BI311" s="11">
        <v>4830.0</v>
      </c>
      <c r="BJ311" s="11">
        <v>11120.0</v>
      </c>
      <c r="BK311" s="11">
        <v>15310.0</v>
      </c>
      <c r="BL311" s="11">
        <v>14730.0</v>
      </c>
      <c r="BM311" s="11">
        <v>143830.0</v>
      </c>
      <c r="BN311" s="11">
        <v>119500.0</v>
      </c>
      <c r="BO311" s="11">
        <v>113650.0</v>
      </c>
      <c r="BP311" s="11">
        <v>132020.0</v>
      </c>
      <c r="BQ311" s="11">
        <v>106260.0</v>
      </c>
      <c r="BR311" s="11">
        <v>7460.0</v>
      </c>
      <c r="BS311" s="11">
        <v>5710.0</v>
      </c>
      <c r="BT311" s="11">
        <v>5330.0</v>
      </c>
      <c r="BU311" s="11">
        <v>5760.0</v>
      </c>
      <c r="BV311" s="11">
        <v>6310.0</v>
      </c>
      <c r="BW311" s="11">
        <v>190670.0</v>
      </c>
      <c r="BX311" s="11">
        <v>159840.0</v>
      </c>
      <c r="BY311" s="11">
        <v>176050.0</v>
      </c>
      <c r="BZ311" s="11">
        <v>169900.0</v>
      </c>
      <c r="CA311" s="11">
        <v>150810.0</v>
      </c>
      <c r="CB311" s="11">
        <v>287420.0</v>
      </c>
      <c r="CC311" s="11">
        <v>162030.0</v>
      </c>
      <c r="CD311" s="11">
        <v>143030.0</v>
      </c>
      <c r="CE311" s="11">
        <v>121300.0</v>
      </c>
      <c r="CF311" s="11">
        <v>117370.0</v>
      </c>
      <c r="CG311" s="11">
        <v>577370.0</v>
      </c>
      <c r="CH311" s="11">
        <v>510570.0</v>
      </c>
      <c r="CI311" s="11">
        <v>476890.0</v>
      </c>
      <c r="CJ311" s="11">
        <v>472370.0</v>
      </c>
      <c r="CK311" s="11">
        <v>472320.0</v>
      </c>
      <c r="CL311" s="11">
        <v>1350000.0</v>
      </c>
      <c r="CM311" s="11">
        <v>1020000.0</v>
      </c>
      <c r="CN311" s="11">
        <v>920030.0</v>
      </c>
      <c r="CO311" s="11">
        <v>880060.0</v>
      </c>
      <c r="CP311" s="11">
        <v>852330.0</v>
      </c>
      <c r="CQ311" s="11">
        <v>41300.0</v>
      </c>
      <c r="CR311" s="11">
        <v>36350.0</v>
      </c>
      <c r="CS311" s="11">
        <v>48370.0</v>
      </c>
      <c r="CT311" s="11">
        <v>39590.0</v>
      </c>
      <c r="CU311" s="11">
        <v>43700.0</v>
      </c>
      <c r="CV311" s="11">
        <v>262220.0</v>
      </c>
      <c r="CW311" s="11">
        <v>49080.0</v>
      </c>
      <c r="CX311" s="11">
        <v>13800.0</v>
      </c>
      <c r="CY311" s="11"/>
      <c r="CZ311" s="11"/>
      <c r="DA311" s="12"/>
      <c r="DB311" s="11">
        <v>262220.0</v>
      </c>
      <c r="DC311" s="11">
        <v>191670.0</v>
      </c>
      <c r="DD311" s="11">
        <v>193520.0</v>
      </c>
      <c r="DE311" s="11">
        <v>171830.0</v>
      </c>
      <c r="DF311" s="11">
        <v>619850.0</v>
      </c>
      <c r="DG311" s="11">
        <v>425010.0</v>
      </c>
      <c r="DH311" s="11">
        <v>379670.0</v>
      </c>
      <c r="DI311" s="11">
        <v>355960.0</v>
      </c>
      <c r="DJ311" s="11">
        <v>339070.0</v>
      </c>
      <c r="DK311" s="11">
        <v>77450.0</v>
      </c>
      <c r="DL311" s="11">
        <v>65620.0</v>
      </c>
      <c r="DM311" s="11"/>
      <c r="DN311" s="12"/>
      <c r="DO311" s="13"/>
      <c r="DP311" s="11">
        <v>176660.0</v>
      </c>
      <c r="DQ311" s="11">
        <v>89200.0</v>
      </c>
      <c r="DR311" s="11">
        <v>91200.0</v>
      </c>
      <c r="DS311" s="11">
        <v>100000.0</v>
      </c>
      <c r="DT311" s="11">
        <v>83750.0</v>
      </c>
      <c r="DU311" s="13"/>
      <c r="DV311" s="12"/>
      <c r="DW311" s="12"/>
      <c r="DX311" s="12"/>
      <c r="DY311" s="13"/>
      <c r="DZ311" s="11">
        <v>726610.0</v>
      </c>
      <c r="EA311" s="11">
        <v>591330.0</v>
      </c>
      <c r="EB311" s="11">
        <v>540350.0</v>
      </c>
      <c r="EC311" s="11">
        <v>524100.0</v>
      </c>
      <c r="ED311" s="11">
        <v>513250.0</v>
      </c>
      <c r="EE311" s="14">
        <v>0.057</v>
      </c>
      <c r="EF311" s="14">
        <v>0.009</v>
      </c>
      <c r="EG311" s="14">
        <v>0.008</v>
      </c>
      <c r="EH311" s="14">
        <v>0.041</v>
      </c>
    </row>
    <row r="312">
      <c r="A312" s="9">
        <f t="shared" si="2"/>
        <v>310</v>
      </c>
      <c r="B312" s="25" t="s">
        <v>446</v>
      </c>
      <c r="C312" s="15">
        <v>1420000.0</v>
      </c>
      <c r="D312" s="15">
        <v>1160000.0</v>
      </c>
      <c r="E312" s="15">
        <v>1590000.0</v>
      </c>
      <c r="F312" s="15">
        <v>1440000.0</v>
      </c>
      <c r="G312" s="15">
        <v>1300000.0</v>
      </c>
      <c r="H312" s="15">
        <v>1190000.0</v>
      </c>
      <c r="I312" s="15">
        <v>1050000.0</v>
      </c>
      <c r="J312" s="15">
        <v>406350.0</v>
      </c>
      <c r="K312" s="15">
        <v>367050.0</v>
      </c>
      <c r="L312" s="15">
        <v>329380.0</v>
      </c>
      <c r="M312" s="15">
        <v>301220.0</v>
      </c>
      <c r="N312" s="15">
        <v>268710.0</v>
      </c>
      <c r="O312" s="15">
        <v>349710.0</v>
      </c>
      <c r="P312" s="15">
        <v>316840.0</v>
      </c>
      <c r="Q312" s="15">
        <v>288830.0</v>
      </c>
      <c r="R312" s="15">
        <v>264010.0</v>
      </c>
      <c r="S312" s="15">
        <v>227750.0</v>
      </c>
      <c r="T312" s="15"/>
      <c r="U312" s="15"/>
      <c r="V312" s="15"/>
      <c r="W312" s="15"/>
      <c r="X312" s="15"/>
      <c r="Y312" s="15">
        <v>50770.0</v>
      </c>
      <c r="Z312" s="15">
        <v>48760.0</v>
      </c>
      <c r="AA312" s="15">
        <v>41130.0</v>
      </c>
      <c r="AB312" s="15">
        <v>24930.0</v>
      </c>
      <c r="AC312" s="15">
        <v>-558.0</v>
      </c>
      <c r="AD312" s="15">
        <v>32400.0</v>
      </c>
      <c r="AE312" s="15">
        <v>27840.0</v>
      </c>
      <c r="AF312" s="15">
        <v>18410.0</v>
      </c>
      <c r="AG312" s="15">
        <v>5680.0</v>
      </c>
      <c r="AH312" s="15">
        <v>27710.0</v>
      </c>
      <c r="AI312" s="15">
        <v>82640.0</v>
      </c>
      <c r="AJ312" s="15">
        <v>72410.0</v>
      </c>
      <c r="AK312" s="15">
        <v>61100.0</v>
      </c>
      <c r="AL312" s="15">
        <v>55720.0</v>
      </c>
      <c r="AM312" s="15">
        <v>56370.0</v>
      </c>
      <c r="AN312" s="15">
        <v>24190.0</v>
      </c>
      <c r="AO312" s="15">
        <v>20400.0</v>
      </c>
      <c r="AP312" s="15">
        <v>14370.0</v>
      </c>
      <c r="AQ312" s="15">
        <v>3020.0</v>
      </c>
      <c r="AR312" s="15">
        <v>16210.0</v>
      </c>
      <c r="AS312" s="15">
        <v>45010.0</v>
      </c>
      <c r="AT312" s="15">
        <v>45080.0</v>
      </c>
      <c r="AU312" s="15">
        <v>31500.0</v>
      </c>
      <c r="AV312" s="15">
        <v>38910.0</v>
      </c>
      <c r="AW312" s="15">
        <v>37730.0</v>
      </c>
      <c r="AX312" s="15">
        <v>-16080.0</v>
      </c>
      <c r="AY312" s="15">
        <v>-19820.0</v>
      </c>
      <c r="AZ312" s="15">
        <v>-12310.0</v>
      </c>
      <c r="BA312" s="15">
        <v>-16620.0</v>
      </c>
      <c r="BB312" s="15">
        <v>-21660.0</v>
      </c>
      <c r="BC312" s="13"/>
      <c r="BD312" s="13"/>
      <c r="BE312" s="13"/>
      <c r="BF312" s="13"/>
      <c r="BG312" s="13"/>
      <c r="BH312" s="15">
        <v>140230.0</v>
      </c>
      <c r="BI312" s="15">
        <v>42410.0</v>
      </c>
      <c r="BJ312" s="15">
        <v>41500.0</v>
      </c>
      <c r="BK312" s="15">
        <v>32860.0</v>
      </c>
      <c r="BL312" s="15">
        <v>2450.0</v>
      </c>
      <c r="BM312" s="15">
        <v>175040.0</v>
      </c>
      <c r="BN312" s="15">
        <v>161760.0</v>
      </c>
      <c r="BO312" s="15">
        <v>142170.0</v>
      </c>
      <c r="BP312" s="15">
        <v>128030.0</v>
      </c>
      <c r="BQ312" s="15">
        <v>124140.0</v>
      </c>
      <c r="BR312" s="15">
        <v>124060.0</v>
      </c>
      <c r="BS312" s="15">
        <v>112610.0</v>
      </c>
      <c r="BT312" s="15">
        <v>102080.0</v>
      </c>
      <c r="BU312" s="15">
        <v>87500.0</v>
      </c>
      <c r="BV312" s="15">
        <v>92760.0</v>
      </c>
      <c r="BW312" s="15">
        <v>453160.0</v>
      </c>
      <c r="BX312" s="15">
        <v>328740.0</v>
      </c>
      <c r="BY312" s="15">
        <v>296840.0</v>
      </c>
      <c r="BZ312" s="15">
        <v>264490.0</v>
      </c>
      <c r="CA312" s="15">
        <v>228520.0</v>
      </c>
      <c r="CB312" s="15">
        <v>220500.0</v>
      </c>
      <c r="CC312" s="15">
        <v>72810.0</v>
      </c>
      <c r="CD312" s="15">
        <v>68380.0</v>
      </c>
      <c r="CE312" s="15">
        <v>62180.0</v>
      </c>
      <c r="CF312" s="15">
        <v>54280.0</v>
      </c>
      <c r="CG312" s="15">
        <v>197740.0</v>
      </c>
      <c r="CH312" s="15">
        <v>184280.0</v>
      </c>
      <c r="CI312" s="15">
        <v>173200.0</v>
      </c>
      <c r="CJ312" s="15">
        <v>163780.0</v>
      </c>
      <c r="CK312" s="15">
        <v>155820.0</v>
      </c>
      <c r="CL312" s="15">
        <v>1060000.0</v>
      </c>
      <c r="CM312" s="15">
        <v>732400.0</v>
      </c>
      <c r="CN312" s="15">
        <v>687750.0</v>
      </c>
      <c r="CO312" s="15">
        <v>633540.0</v>
      </c>
      <c r="CP312" s="15">
        <v>579800.0</v>
      </c>
      <c r="CQ312" s="15">
        <v>94100.0</v>
      </c>
      <c r="CR312" s="15">
        <v>87800.0</v>
      </c>
      <c r="CS312" s="15">
        <v>70020.0</v>
      </c>
      <c r="CT312" s="15">
        <v>65510.0</v>
      </c>
      <c r="CU312" s="15">
        <v>64890.0</v>
      </c>
      <c r="CV312" s="15">
        <v>150150.0</v>
      </c>
      <c r="CW312" s="15">
        <v>17450.0</v>
      </c>
      <c r="CX312" s="15"/>
      <c r="CY312" s="13"/>
      <c r="CZ312" s="13"/>
      <c r="DA312" s="15"/>
      <c r="DB312" s="15">
        <v>150150.0</v>
      </c>
      <c r="DC312" s="15">
        <v>125540.0</v>
      </c>
      <c r="DD312" s="15">
        <v>108270.0</v>
      </c>
      <c r="DE312" s="15">
        <v>107370.0</v>
      </c>
      <c r="DF312" s="15">
        <v>725070.0</v>
      </c>
      <c r="DG312" s="15">
        <v>423720.0</v>
      </c>
      <c r="DH312" s="15">
        <v>439150.0</v>
      </c>
      <c r="DI312" s="15">
        <v>439780.0</v>
      </c>
      <c r="DJ312" s="15">
        <v>391840.0</v>
      </c>
      <c r="DK312" s="15"/>
      <c r="DL312" s="15"/>
      <c r="DM312" s="15"/>
      <c r="DN312" s="15"/>
      <c r="DO312" s="15"/>
      <c r="DP312" s="15">
        <v>506680.0</v>
      </c>
      <c r="DQ312" s="15">
        <v>278170.0</v>
      </c>
      <c r="DR312" s="15">
        <v>314000.0</v>
      </c>
      <c r="DS312" s="15">
        <v>317730.0</v>
      </c>
      <c r="DT312" s="15">
        <v>267350.0</v>
      </c>
      <c r="DU312" s="13"/>
      <c r="DV312" s="12"/>
      <c r="DW312" s="12"/>
      <c r="DX312" s="13"/>
      <c r="DY312" s="13"/>
      <c r="DZ312" s="15">
        <v>335930.0</v>
      </c>
      <c r="EA312" s="15">
        <v>308680.0</v>
      </c>
      <c r="EB312" s="15">
        <v>248600.0</v>
      </c>
      <c r="EC312" s="15">
        <v>193760.0</v>
      </c>
      <c r="ED312" s="15">
        <v>187960.0</v>
      </c>
      <c r="EE312" s="17">
        <v>0.095</v>
      </c>
      <c r="EF312" s="17">
        <v>0.211</v>
      </c>
      <c r="EG312" s="17">
        <v>-0.083</v>
      </c>
      <c r="EH312" s="17">
        <v>-0.534</v>
      </c>
    </row>
    <row r="313">
      <c r="A313" s="9">
        <f t="shared" si="2"/>
        <v>311</v>
      </c>
      <c r="B313" s="10" t="s">
        <v>447</v>
      </c>
      <c r="C313" s="15">
        <v>1060000.0</v>
      </c>
      <c r="D313" s="15">
        <v>845690.0</v>
      </c>
      <c r="E313" s="15">
        <v>1110000.0</v>
      </c>
      <c r="F313" s="15">
        <v>1040000.0</v>
      </c>
      <c r="G313" s="15">
        <v>941300.0</v>
      </c>
      <c r="H313" s="15">
        <v>924640.0</v>
      </c>
      <c r="I313" s="15">
        <v>859880.0</v>
      </c>
      <c r="J313" s="15">
        <v>502410.0</v>
      </c>
      <c r="K313" s="15">
        <v>492710.0</v>
      </c>
      <c r="L313" s="15">
        <v>455220.0</v>
      </c>
      <c r="M313" s="15">
        <v>387220.0</v>
      </c>
      <c r="N313" s="15">
        <v>359570.0</v>
      </c>
      <c r="O313" s="15">
        <v>168830.0</v>
      </c>
      <c r="P313" s="15">
        <v>170030.0</v>
      </c>
      <c r="Q313" s="15">
        <v>165820.0</v>
      </c>
      <c r="R313" s="15">
        <v>143730.0</v>
      </c>
      <c r="S313" s="15">
        <v>134250.0</v>
      </c>
      <c r="T313" s="15">
        <v>0.0</v>
      </c>
      <c r="U313" s="15">
        <v>0.0</v>
      </c>
      <c r="V313" s="15">
        <v>0.0</v>
      </c>
      <c r="W313" s="15">
        <v>0.0</v>
      </c>
      <c r="X313" s="15">
        <v>0.0</v>
      </c>
      <c r="Y313" s="15">
        <v>321570.0</v>
      </c>
      <c r="Z313" s="15">
        <v>317090.0</v>
      </c>
      <c r="AA313" s="15">
        <v>3200.0</v>
      </c>
      <c r="AB313" s="15">
        <v>239990.0</v>
      </c>
      <c r="AC313" s="15">
        <v>224820.0</v>
      </c>
      <c r="AD313" s="15">
        <v>269930.0</v>
      </c>
      <c r="AE313" s="15">
        <v>273260.0</v>
      </c>
      <c r="AF313" s="15">
        <v>249220.0</v>
      </c>
      <c r="AG313" s="15">
        <v>199980.0</v>
      </c>
      <c r="AH313" s="15">
        <v>183990.0</v>
      </c>
      <c r="AI313" s="15">
        <v>369690.0</v>
      </c>
      <c r="AJ313" s="15">
        <v>356610.0</v>
      </c>
      <c r="AK313" s="15">
        <v>316690.0</v>
      </c>
      <c r="AL313" s="15">
        <v>255200.0</v>
      </c>
      <c r="AM313" s="15">
        <v>236860.0</v>
      </c>
      <c r="AN313" s="15">
        <v>221530.0</v>
      </c>
      <c r="AO313" s="15">
        <v>215110.0</v>
      </c>
      <c r="AP313" s="15">
        <v>121480.0</v>
      </c>
      <c r="AQ313" s="15">
        <v>138400.0</v>
      </c>
      <c r="AR313" s="15">
        <v>127140.0</v>
      </c>
      <c r="AS313" s="15">
        <v>280800.0</v>
      </c>
      <c r="AT313" s="15">
        <v>241740.0</v>
      </c>
      <c r="AU313" s="15">
        <v>261940.0</v>
      </c>
      <c r="AV313" s="15">
        <v>155740.0</v>
      </c>
      <c r="AW313" s="15">
        <v>160390.0</v>
      </c>
      <c r="AX313" s="15">
        <v>-64040.0</v>
      </c>
      <c r="AY313" s="15">
        <v>-49480.0</v>
      </c>
      <c r="AZ313" s="15">
        <v>-25950.0</v>
      </c>
      <c r="BA313" s="15">
        <v>-27770.0</v>
      </c>
      <c r="BB313" s="15">
        <v>-27770.0</v>
      </c>
      <c r="BC313" s="15">
        <v>-48090.0</v>
      </c>
      <c r="BD313" s="15">
        <v>-48720.0</v>
      </c>
      <c r="BE313" s="15">
        <v>-48650.0</v>
      </c>
      <c r="BF313" s="15">
        <v>-46180.0</v>
      </c>
      <c r="BG313" s="15">
        <v>-45210.0</v>
      </c>
      <c r="BH313" s="15">
        <v>33770.0</v>
      </c>
      <c r="BI313" s="15">
        <v>26640.0</v>
      </c>
      <c r="BJ313" s="15">
        <v>235340.0</v>
      </c>
      <c r="BK313" s="15">
        <v>202460.0</v>
      </c>
      <c r="BL313" s="15">
        <v>193440.0</v>
      </c>
      <c r="BM313" s="15">
        <v>178100.0</v>
      </c>
      <c r="BN313" s="15">
        <v>184900.0</v>
      </c>
      <c r="BO313" s="15">
        <v>139130.0</v>
      </c>
      <c r="BP313" s="15">
        <v>115530.0</v>
      </c>
      <c r="BQ313" s="15">
        <v>99950.0</v>
      </c>
      <c r="BR313" s="15">
        <v>0.0</v>
      </c>
      <c r="BS313" s="15">
        <v>0.0</v>
      </c>
      <c r="BT313" s="15">
        <v>0.0</v>
      </c>
      <c r="BU313" s="15">
        <v>0.0</v>
      </c>
      <c r="BV313" s="15">
        <v>0.0</v>
      </c>
      <c r="BW313" s="15">
        <v>236590.0</v>
      </c>
      <c r="BX313" s="15">
        <v>243780.0</v>
      </c>
      <c r="BY313" s="15">
        <v>400430.0</v>
      </c>
      <c r="BZ313" s="15">
        <v>344870.0</v>
      </c>
      <c r="CA313" s="15">
        <v>310950.0</v>
      </c>
      <c r="CB313" s="15">
        <v>375590.0</v>
      </c>
      <c r="CC313" s="15">
        <v>127540.0</v>
      </c>
      <c r="CD313" s="15">
        <v>83370.0</v>
      </c>
      <c r="CE313" s="15">
        <v>84060.0</v>
      </c>
      <c r="CF313" s="15">
        <v>98360.0</v>
      </c>
      <c r="CG313" s="15">
        <v>159200.0</v>
      </c>
      <c r="CH313" s="15">
        <v>169000.0</v>
      </c>
      <c r="CI313" s="15">
        <v>80760.0</v>
      </c>
      <c r="CJ313" s="15">
        <v>78910.0</v>
      </c>
      <c r="CK313" s="15">
        <v>79330.0</v>
      </c>
      <c r="CL313" s="15">
        <v>1390000.0</v>
      </c>
      <c r="CM313" s="15">
        <v>1140000.0</v>
      </c>
      <c r="CN313" s="15">
        <v>995190.0</v>
      </c>
      <c r="CO313" s="15">
        <v>852470.0</v>
      </c>
      <c r="CP313" s="15">
        <v>717010.0</v>
      </c>
      <c r="CQ313" s="15">
        <v>73450.0</v>
      </c>
      <c r="CR313" s="15">
        <v>73510.0</v>
      </c>
      <c r="CS313" s="15">
        <v>67840.0</v>
      </c>
      <c r="CT313" s="15">
        <v>48070.0</v>
      </c>
      <c r="CU313" s="15">
        <v>64430.0</v>
      </c>
      <c r="CV313" s="15">
        <v>325890.0</v>
      </c>
      <c r="CW313" s="15">
        <v>10100.0</v>
      </c>
      <c r="CX313" s="16">
        <v>0.0</v>
      </c>
      <c r="CY313" s="16">
        <v>0.0</v>
      </c>
      <c r="CZ313" s="16">
        <v>0.0</v>
      </c>
      <c r="DA313" s="15">
        <v>0.0</v>
      </c>
      <c r="DB313" s="15">
        <v>325890.0</v>
      </c>
      <c r="DC313" s="15">
        <v>318440.0</v>
      </c>
      <c r="DD313" s="15">
        <v>284650.0</v>
      </c>
      <c r="DE313" s="15">
        <v>263670.0</v>
      </c>
      <c r="DF313" s="15">
        <v>1410000.0</v>
      </c>
      <c r="DG313" s="15">
        <v>1320000.0</v>
      </c>
      <c r="DH313" s="15">
        <v>1250000.0</v>
      </c>
      <c r="DI313" s="15">
        <v>1160000.0</v>
      </c>
      <c r="DJ313" s="15">
        <v>1110000.0</v>
      </c>
      <c r="DK313" s="15">
        <v>103630.0</v>
      </c>
      <c r="DL313" s="15">
        <v>128410.0</v>
      </c>
      <c r="DM313" s="15">
        <v>155060.0</v>
      </c>
      <c r="DN313" s="15">
        <v>111810.0</v>
      </c>
      <c r="DO313" s="15">
        <v>84710.0</v>
      </c>
      <c r="DP313" s="15">
        <v>865370.0</v>
      </c>
      <c r="DQ313" s="15">
        <v>753510.0</v>
      </c>
      <c r="DR313" s="15">
        <v>725290.0</v>
      </c>
      <c r="DS313" s="15">
        <v>839410.0</v>
      </c>
      <c r="DT313" s="15">
        <v>812950.0</v>
      </c>
      <c r="DU313" s="16">
        <v>0.0</v>
      </c>
      <c r="DV313" s="15">
        <v>0.0</v>
      </c>
      <c r="DW313" s="15">
        <v>0.0</v>
      </c>
      <c r="DX313" s="16">
        <v>0.0</v>
      </c>
      <c r="DY313" s="16">
        <v>0.0</v>
      </c>
      <c r="DZ313" s="15">
        <v>-23510.0</v>
      </c>
      <c r="EA313" s="15">
        <v>-183770.0</v>
      </c>
      <c r="EB313" s="15">
        <v>-258600.0</v>
      </c>
      <c r="EC313" s="15">
        <v>-311350.0</v>
      </c>
      <c r="ED313" s="15">
        <v>-395900.0</v>
      </c>
      <c r="EE313" s="17">
        <v>0.467</v>
      </c>
      <c r="EF313" s="17">
        <v>0.286</v>
      </c>
      <c r="EG313" s="17">
        <v>0.086</v>
      </c>
      <c r="EH313" s="17">
        <v>0.069</v>
      </c>
    </row>
    <row r="314">
      <c r="A314" s="9">
        <f t="shared" si="2"/>
        <v>312</v>
      </c>
      <c r="B314" s="22" t="s">
        <v>448</v>
      </c>
      <c r="C314" s="11">
        <v>33480.0</v>
      </c>
      <c r="D314" s="11">
        <v>1960.0</v>
      </c>
      <c r="E314" s="12"/>
      <c r="F314" s="12"/>
      <c r="G314" s="12"/>
      <c r="H314" s="12"/>
      <c r="I314" s="12"/>
      <c r="J314" s="11">
        <v>-374.0</v>
      </c>
      <c r="K314" s="11">
        <v>-88.0</v>
      </c>
      <c r="L314" s="11">
        <v>-152.0</v>
      </c>
      <c r="M314" s="11">
        <v>-433.0</v>
      </c>
      <c r="N314" s="11">
        <v>-201.0</v>
      </c>
      <c r="O314" s="11">
        <v>37210.0</v>
      </c>
      <c r="P314" s="11">
        <v>32250.0</v>
      </c>
      <c r="Q314" s="11">
        <v>26940.0</v>
      </c>
      <c r="R314" s="11">
        <v>52700.0</v>
      </c>
      <c r="S314" s="11">
        <v>35090.0</v>
      </c>
      <c r="T314" s="11">
        <v>22460.0</v>
      </c>
      <c r="U314" s="11">
        <v>22360.0</v>
      </c>
      <c r="V314" s="11">
        <v>17950.0</v>
      </c>
      <c r="W314" s="11">
        <v>31320.0</v>
      </c>
      <c r="X314" s="11">
        <v>18840.0</v>
      </c>
      <c r="Y314" s="12"/>
      <c r="Z314" s="12"/>
      <c r="AA314" s="11">
        <v>-28130.0</v>
      </c>
      <c r="AB314" s="11">
        <v>-61310.0</v>
      </c>
      <c r="AC314" s="11">
        <v>-35450.0</v>
      </c>
      <c r="AD314" s="11">
        <v>-36040.0</v>
      </c>
      <c r="AE314" s="11">
        <v>-31290.0</v>
      </c>
      <c r="AF314" s="11">
        <v>-27420.0</v>
      </c>
      <c r="AG314" s="11">
        <v>-60760.0</v>
      </c>
      <c r="AH314" s="11">
        <v>-35750.0</v>
      </c>
      <c r="AI314" s="11">
        <v>-37210.0</v>
      </c>
      <c r="AJ314" s="11">
        <v>-32250.0</v>
      </c>
      <c r="AK314" s="11">
        <v>-26940.0</v>
      </c>
      <c r="AL314" s="11">
        <v>-52700.0</v>
      </c>
      <c r="AM314" s="11">
        <v>-35090.0</v>
      </c>
      <c r="AN314" s="11">
        <v>-36320.0</v>
      </c>
      <c r="AO314" s="11">
        <v>-31260.0</v>
      </c>
      <c r="AP314" s="11">
        <v>-26830.0</v>
      </c>
      <c r="AQ314" s="11">
        <v>-61110.0</v>
      </c>
      <c r="AR314" s="11">
        <v>-35910.0</v>
      </c>
      <c r="AS314" s="11">
        <v>-35010.0</v>
      </c>
      <c r="AT314" s="11">
        <v>-24090.0</v>
      </c>
      <c r="AU314" s="11">
        <v>-24420.0</v>
      </c>
      <c r="AV314" s="11">
        <v>-51960.0</v>
      </c>
      <c r="AW314" s="11">
        <v>-33300.0</v>
      </c>
      <c r="AX314" s="11">
        <v>-307.0</v>
      </c>
      <c r="AY314" s="11">
        <v>-6.0</v>
      </c>
      <c r="AZ314" s="11">
        <v>-23.0</v>
      </c>
      <c r="BA314" s="11">
        <v>-2960.0</v>
      </c>
      <c r="BB314" s="11">
        <v>-1390.0</v>
      </c>
      <c r="BC314" s="12"/>
      <c r="BD314" s="12"/>
      <c r="BE314" s="12"/>
      <c r="BF314" s="12"/>
      <c r="BG314" s="12"/>
      <c r="BH314" s="11">
        <v>92380.0</v>
      </c>
      <c r="BI314" s="11">
        <v>41660.0</v>
      </c>
      <c r="BJ314" s="11">
        <v>66940.0</v>
      </c>
      <c r="BK314" s="11">
        <v>92980.0</v>
      </c>
      <c r="BL314" s="11">
        <v>148750.0</v>
      </c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1">
        <v>96260.0</v>
      </c>
      <c r="BX314" s="11">
        <v>62190.0</v>
      </c>
      <c r="BY314" s="11">
        <v>68710.0</v>
      </c>
      <c r="BZ314" s="11">
        <v>95090.0</v>
      </c>
      <c r="CA314" s="11">
        <v>151090.0</v>
      </c>
      <c r="CB314" s="11">
        <v>1710.0</v>
      </c>
      <c r="CC314" s="11">
        <v>111.0</v>
      </c>
      <c r="CD314" s="11">
        <v>193.0</v>
      </c>
      <c r="CE314" s="11">
        <v>683.0</v>
      </c>
      <c r="CF314" s="11">
        <v>676.0</v>
      </c>
      <c r="CG314" s="12"/>
      <c r="CH314" s="12"/>
      <c r="CI314" s="12"/>
      <c r="CJ314" s="12"/>
      <c r="CK314" s="12"/>
      <c r="CL314" s="11">
        <v>98830.0</v>
      </c>
      <c r="CM314" s="11">
        <v>63260.0</v>
      </c>
      <c r="CN314" s="11">
        <v>69880.0</v>
      </c>
      <c r="CO314" s="11">
        <v>96760.0</v>
      </c>
      <c r="CP314" s="11">
        <v>153110.0</v>
      </c>
      <c r="CQ314" s="11">
        <v>3250.0</v>
      </c>
      <c r="CR314" s="11">
        <v>2030.0</v>
      </c>
      <c r="CS314" s="11">
        <v>1020.0</v>
      </c>
      <c r="CT314" s="12"/>
      <c r="CU314" s="12"/>
      <c r="CV314" s="11">
        <v>11380.0</v>
      </c>
      <c r="CW314" s="11">
        <v>1300.0</v>
      </c>
      <c r="CX314" s="12"/>
      <c r="CY314" s="12"/>
      <c r="CZ314" s="12"/>
      <c r="DA314" s="12"/>
      <c r="DB314" s="11">
        <v>11380.0</v>
      </c>
      <c r="DC314" s="11">
        <v>28630.0</v>
      </c>
      <c r="DD314" s="11">
        <v>6750.0</v>
      </c>
      <c r="DE314" s="11">
        <v>8400.0</v>
      </c>
      <c r="DF314" s="11">
        <v>13060.0</v>
      </c>
      <c r="DG314" s="11">
        <v>29130.0</v>
      </c>
      <c r="DH314" s="11">
        <v>7410.0</v>
      </c>
      <c r="DI314" s="11">
        <v>11030.0</v>
      </c>
      <c r="DJ314" s="11">
        <v>10290.0</v>
      </c>
      <c r="DK314" s="12"/>
      <c r="DL314" s="12"/>
      <c r="DM314" s="12"/>
      <c r="DN314" s="12"/>
      <c r="DO314" s="11">
        <v>1300.0</v>
      </c>
      <c r="DP314" s="11">
        <v>1040.0</v>
      </c>
      <c r="DQ314" s="12"/>
      <c r="DR314" s="12"/>
      <c r="DS314" s="11">
        <v>1700.0</v>
      </c>
      <c r="DT314" s="11">
        <v>3400.0</v>
      </c>
      <c r="DU314" s="13"/>
      <c r="DV314" s="12"/>
      <c r="DW314" s="12"/>
      <c r="DX314" s="13"/>
      <c r="DY314" s="13"/>
      <c r="DZ314" s="11">
        <v>85770.0</v>
      </c>
      <c r="EA314" s="11">
        <v>34120.0</v>
      </c>
      <c r="EB314" s="11">
        <v>62470.0</v>
      </c>
      <c r="EC314" s="11">
        <v>85730.0</v>
      </c>
      <c r="ED314" s="11">
        <v>142820.0</v>
      </c>
      <c r="EE314" s="23"/>
      <c r="EF314" s="14">
        <v>0.526</v>
      </c>
      <c r="EG314" s="14">
        <v>-0.316</v>
      </c>
      <c r="EH314" s="14">
        <v>-0.15</v>
      </c>
    </row>
    <row r="315">
      <c r="A315" s="9">
        <f t="shared" si="2"/>
        <v>313</v>
      </c>
      <c r="B315" s="22" t="s">
        <v>449</v>
      </c>
      <c r="C315" s="11">
        <v>479250.0</v>
      </c>
      <c r="D315" s="11">
        <v>494580.0</v>
      </c>
      <c r="E315" s="11">
        <v>1990000.0</v>
      </c>
      <c r="F315" s="11">
        <v>2060000.0</v>
      </c>
      <c r="G315" s="11">
        <v>2060000.0</v>
      </c>
      <c r="H315" s="11">
        <v>2470000.0</v>
      </c>
      <c r="I315" s="11">
        <v>3010000.0</v>
      </c>
      <c r="J315" s="11">
        <v>942450.0</v>
      </c>
      <c r="K315" s="11">
        <v>946660.0</v>
      </c>
      <c r="L315" s="11">
        <v>947320.0</v>
      </c>
      <c r="M315" s="11">
        <v>627940.0</v>
      </c>
      <c r="N315" s="11">
        <v>811090.0</v>
      </c>
      <c r="O315" s="11">
        <v>577520.0</v>
      </c>
      <c r="P315" s="11">
        <v>599130.0</v>
      </c>
      <c r="Q315" s="11">
        <v>582940.0</v>
      </c>
      <c r="R315" s="11">
        <v>692110.0</v>
      </c>
      <c r="S315" s="11">
        <v>777460.0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-11240.0</v>
      </c>
      <c r="Z315" s="11">
        <v>-23920.0</v>
      </c>
      <c r="AA315" s="11">
        <v>-47720.0</v>
      </c>
      <c r="AB315" s="11">
        <v>-114640.0</v>
      </c>
      <c r="AC315" s="11">
        <v>-112580.0</v>
      </c>
      <c r="AD315" s="11">
        <v>5030.0</v>
      </c>
      <c r="AE315" s="11">
        <v>-56860.0</v>
      </c>
      <c r="AF315" s="11">
        <v>-91530.0</v>
      </c>
      <c r="AG315" s="11">
        <v>-183170.0</v>
      </c>
      <c r="AH315" s="11">
        <v>-80710.0</v>
      </c>
      <c r="AI315" s="11">
        <v>82930.0</v>
      </c>
      <c r="AJ315" s="11">
        <v>51940.0</v>
      </c>
      <c r="AK315" s="11">
        <v>52070.0</v>
      </c>
      <c r="AL315" s="11">
        <v>31050.0</v>
      </c>
      <c r="AM315" s="11">
        <v>130880.0</v>
      </c>
      <c r="AN315" s="11">
        <v>-2020.0</v>
      </c>
      <c r="AO315" s="11">
        <v>-53980.0</v>
      </c>
      <c r="AP315" s="11">
        <v>-77960.0</v>
      </c>
      <c r="AQ315" s="11">
        <v>-169290.0</v>
      </c>
      <c r="AR315" s="11">
        <v>-84330.0</v>
      </c>
      <c r="AS315" s="11">
        <v>93200.0</v>
      </c>
      <c r="AT315" s="11">
        <v>5300.0</v>
      </c>
      <c r="AU315" s="11">
        <v>114210.0</v>
      </c>
      <c r="AV315" s="11">
        <v>49570.0</v>
      </c>
      <c r="AW315" s="11">
        <v>159850.0</v>
      </c>
      <c r="AX315" s="11">
        <v>-34930.0</v>
      </c>
      <c r="AY315" s="11">
        <v>-35780.0</v>
      </c>
      <c r="AZ315" s="11">
        <v>-22650.0</v>
      </c>
      <c r="BA315" s="11">
        <v>-55800.0</v>
      </c>
      <c r="BB315" s="11">
        <v>-137710.0</v>
      </c>
      <c r="BC315" s="24">
        <v>0.0</v>
      </c>
      <c r="BD315" s="24">
        <v>0.0</v>
      </c>
      <c r="BE315" s="24">
        <v>0.0</v>
      </c>
      <c r="BF315" s="24">
        <v>0.0</v>
      </c>
      <c r="BG315" s="24">
        <v>0.0</v>
      </c>
      <c r="BH315" s="11">
        <v>168610.0</v>
      </c>
      <c r="BI315" s="11">
        <v>117480.0</v>
      </c>
      <c r="BJ315" s="11">
        <v>186780.0</v>
      </c>
      <c r="BK315" s="11">
        <v>194610.0</v>
      </c>
      <c r="BL315" s="11">
        <v>191120.0</v>
      </c>
      <c r="BM315" s="11">
        <v>39380.0</v>
      </c>
      <c r="BN315" s="11">
        <v>36570.0</v>
      </c>
      <c r="BO315" s="11">
        <v>33650.0</v>
      </c>
      <c r="BP315" s="11">
        <v>33300.0</v>
      </c>
      <c r="BQ315" s="11">
        <v>33540.0</v>
      </c>
      <c r="BR315" s="11">
        <v>257180.0</v>
      </c>
      <c r="BS315" s="11">
        <v>282250.0</v>
      </c>
      <c r="BT315" s="11">
        <v>267530.0</v>
      </c>
      <c r="BU315" s="11">
        <v>268140.0</v>
      </c>
      <c r="BV315" s="11">
        <v>391530.0</v>
      </c>
      <c r="BW315" s="11">
        <v>559320.0</v>
      </c>
      <c r="BX315" s="11">
        <v>537910.0</v>
      </c>
      <c r="BY315" s="11">
        <v>621900.0</v>
      </c>
      <c r="BZ315" s="11">
        <v>655550.0</v>
      </c>
      <c r="CA315" s="11">
        <v>795990.0</v>
      </c>
      <c r="CB315" s="11">
        <v>229370.0</v>
      </c>
      <c r="CC315" s="11">
        <v>255950.0</v>
      </c>
      <c r="CD315" s="11">
        <v>305080.0</v>
      </c>
      <c r="CE315" s="11">
        <v>383180.0</v>
      </c>
      <c r="CF315" s="11">
        <v>459150.0</v>
      </c>
      <c r="CG315" s="11">
        <v>23440.0</v>
      </c>
      <c r="CH315" s="11">
        <v>23440.0</v>
      </c>
      <c r="CI315" s="11">
        <v>23440.0</v>
      </c>
      <c r="CJ315" s="11">
        <v>23440.0</v>
      </c>
      <c r="CK315" s="11">
        <v>66670.0</v>
      </c>
      <c r="CL315" s="11">
        <v>1020000.0</v>
      </c>
      <c r="CM315" s="11">
        <v>1020000.0</v>
      </c>
      <c r="CN315" s="11">
        <v>1160000.0</v>
      </c>
      <c r="CO315" s="11">
        <v>1280000.0</v>
      </c>
      <c r="CP315" s="11">
        <v>1610000.0</v>
      </c>
      <c r="CQ315" s="11">
        <v>111630.0</v>
      </c>
      <c r="CR315" s="11">
        <v>107880.0</v>
      </c>
      <c r="CS315" s="11">
        <v>126870.0</v>
      </c>
      <c r="CT315" s="11">
        <v>99520.0</v>
      </c>
      <c r="CU315" s="11">
        <v>140550.0</v>
      </c>
      <c r="CV315" s="11">
        <v>261980.0</v>
      </c>
      <c r="CW315" s="11">
        <v>0.0</v>
      </c>
      <c r="CX315" s="24">
        <v>0.0</v>
      </c>
      <c r="CY315" s="24">
        <v>0.0</v>
      </c>
      <c r="CZ315" s="24">
        <v>0.0</v>
      </c>
      <c r="DA315" s="11">
        <v>0.0</v>
      </c>
      <c r="DB315" s="11">
        <v>261980.0</v>
      </c>
      <c r="DC315" s="11">
        <v>261330.0</v>
      </c>
      <c r="DD315" s="11">
        <v>286310.0</v>
      </c>
      <c r="DE315" s="11">
        <v>272900.0</v>
      </c>
      <c r="DF315" s="11">
        <v>600980.0</v>
      </c>
      <c r="DG315" s="11">
        <v>608240.0</v>
      </c>
      <c r="DH315" s="11">
        <v>696720.0</v>
      </c>
      <c r="DI315" s="11">
        <v>813830.0</v>
      </c>
      <c r="DJ315" s="11">
        <v>882860.0</v>
      </c>
      <c r="DK315" s="11">
        <v>0.0</v>
      </c>
      <c r="DL315" s="11">
        <v>0.0</v>
      </c>
      <c r="DM315" s="11">
        <v>0.0</v>
      </c>
      <c r="DN315" s="11">
        <v>0.0</v>
      </c>
      <c r="DO315" s="24">
        <v>0.0</v>
      </c>
      <c r="DP315" s="11">
        <v>133640.0</v>
      </c>
      <c r="DQ315" s="11">
        <v>128350.0</v>
      </c>
      <c r="DR315" s="11">
        <v>171560.0</v>
      </c>
      <c r="DS315" s="11">
        <v>305640.0</v>
      </c>
      <c r="DT315" s="11">
        <v>306170.0</v>
      </c>
      <c r="DU315" s="24">
        <v>0.0</v>
      </c>
      <c r="DV315" s="11">
        <v>0.0</v>
      </c>
      <c r="DW315" s="11">
        <v>0.0</v>
      </c>
      <c r="DX315" s="24">
        <v>0.0</v>
      </c>
      <c r="DY315" s="24">
        <v>0.0</v>
      </c>
      <c r="DZ315" s="11">
        <v>416950.0</v>
      </c>
      <c r="EA315" s="11">
        <v>414420.0</v>
      </c>
      <c r="EB315" s="11">
        <v>464930.0</v>
      </c>
      <c r="EC315" s="11">
        <v>465870.0</v>
      </c>
      <c r="ED315" s="11">
        <v>730440.0</v>
      </c>
      <c r="EE315" s="14">
        <v>0.108</v>
      </c>
      <c r="EF315" s="14">
        <v>0.184</v>
      </c>
      <c r="EG315" s="14">
        <v>1.121</v>
      </c>
      <c r="EH315" s="14">
        <v>0.248</v>
      </c>
    </row>
    <row r="316">
      <c r="A316" s="9">
        <f t="shared" si="2"/>
        <v>314</v>
      </c>
      <c r="B316" s="10" t="s">
        <v>450</v>
      </c>
      <c r="C316" s="11">
        <v>1.594E7</v>
      </c>
      <c r="D316" s="11">
        <v>1.5E7</v>
      </c>
      <c r="E316" s="11">
        <v>1.531E7</v>
      </c>
      <c r="F316" s="11">
        <v>1.663E7</v>
      </c>
      <c r="G316" s="11">
        <v>1.487E7</v>
      </c>
      <c r="H316" s="11">
        <v>1.314E7</v>
      </c>
      <c r="I316" s="11">
        <v>1.348E7</v>
      </c>
      <c r="J316" s="11">
        <v>1290000.0</v>
      </c>
      <c r="K316" s="11">
        <v>1360000.0</v>
      </c>
      <c r="L316" s="11">
        <v>1190000.0</v>
      </c>
      <c r="M316" s="11">
        <v>1210000.0</v>
      </c>
      <c r="N316" s="11">
        <v>1220000.0</v>
      </c>
      <c r="O316" s="11">
        <v>497810.0</v>
      </c>
      <c r="P316" s="11">
        <v>449610.0</v>
      </c>
      <c r="Q316" s="11">
        <v>413400.0</v>
      </c>
      <c r="R316" s="11">
        <v>375060.0</v>
      </c>
      <c r="S316" s="11">
        <v>358760.0</v>
      </c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>
        <v>742260.0</v>
      </c>
      <c r="AE316" s="11">
        <v>880270.0</v>
      </c>
      <c r="AF316" s="11">
        <v>728460.0</v>
      </c>
      <c r="AG316" s="11">
        <v>811950.0</v>
      </c>
      <c r="AH316" s="11">
        <v>822780.0</v>
      </c>
      <c r="AI316" s="11">
        <v>890430.0</v>
      </c>
      <c r="AJ316" s="11">
        <v>1010000.0</v>
      </c>
      <c r="AK316" s="11">
        <v>868100.0</v>
      </c>
      <c r="AL316" s="11">
        <v>912200.0</v>
      </c>
      <c r="AM316" s="11">
        <v>924720.0</v>
      </c>
      <c r="AN316" s="11">
        <v>576970.0</v>
      </c>
      <c r="AO316" s="11">
        <v>664510.0</v>
      </c>
      <c r="AP316" s="11">
        <v>504890.0</v>
      </c>
      <c r="AQ316" s="11">
        <v>513380.0</v>
      </c>
      <c r="AR316" s="11">
        <v>509700.0</v>
      </c>
      <c r="AS316" s="11">
        <v>835420.0</v>
      </c>
      <c r="AT316" s="11">
        <v>792900.0</v>
      </c>
      <c r="AU316" s="11">
        <v>384000.0</v>
      </c>
      <c r="AV316" s="11">
        <v>529410.0</v>
      </c>
      <c r="AW316" s="11">
        <v>718340.0</v>
      </c>
      <c r="AX316" s="11">
        <v>-70470.0</v>
      </c>
      <c r="AY316" s="11">
        <v>-63870.0</v>
      </c>
      <c r="AZ316" s="11">
        <v>-57950.0</v>
      </c>
      <c r="BA316" s="11">
        <v>-91440.0</v>
      </c>
      <c r="BB316" s="11">
        <v>-44640.0</v>
      </c>
      <c r="BC316" s="11">
        <v>-277790.0</v>
      </c>
      <c r="BD316" s="11">
        <v>-265220.0</v>
      </c>
      <c r="BE316" s="11">
        <v>-258220.0</v>
      </c>
      <c r="BF316" s="11">
        <v>-245430.0</v>
      </c>
      <c r="BG316" s="11">
        <v>-235620.0</v>
      </c>
      <c r="BH316" s="11">
        <v>447860.0</v>
      </c>
      <c r="BI316" s="11">
        <v>378620.0</v>
      </c>
      <c r="BJ316" s="11">
        <v>333890.0</v>
      </c>
      <c r="BK316" s="11">
        <v>247670.0</v>
      </c>
      <c r="BL316" s="11">
        <v>168230.0</v>
      </c>
      <c r="BM316" s="11">
        <v>2110000.0</v>
      </c>
      <c r="BN316" s="11">
        <v>2320000.0</v>
      </c>
      <c r="BO316" s="11">
        <v>2110000.0</v>
      </c>
      <c r="BP316" s="11">
        <v>1710000.0</v>
      </c>
      <c r="BQ316" s="11">
        <v>1510000.0</v>
      </c>
      <c r="BR316" s="11"/>
      <c r="BS316" s="11"/>
      <c r="BT316" s="11"/>
      <c r="BU316" s="11"/>
      <c r="BV316" s="11"/>
      <c r="BW316" s="11">
        <v>2640000.0</v>
      </c>
      <c r="BX316" s="11">
        <v>2750000.0</v>
      </c>
      <c r="BY316" s="11">
        <v>2510000.0</v>
      </c>
      <c r="BZ316" s="11">
        <v>2010000.0</v>
      </c>
      <c r="CA316" s="11">
        <v>1730000.0</v>
      </c>
      <c r="CB316" s="11">
        <v>519280.0</v>
      </c>
      <c r="CC316" s="11">
        <v>228300.0</v>
      </c>
      <c r="CD316" s="11">
        <v>230330.0</v>
      </c>
      <c r="CE316" s="11">
        <v>232950.0</v>
      </c>
      <c r="CF316" s="11">
        <v>190870.0</v>
      </c>
      <c r="CG316" s="11">
        <v>1290000.0</v>
      </c>
      <c r="CH316" s="11">
        <v>1260000.0</v>
      </c>
      <c r="CI316" s="11">
        <v>1280000.0</v>
      </c>
      <c r="CJ316" s="11">
        <v>1230000.0</v>
      </c>
      <c r="CK316" s="11">
        <v>1110000.0</v>
      </c>
      <c r="CL316" s="11">
        <v>4640000.0</v>
      </c>
      <c r="CM316" s="11">
        <v>4430000.0</v>
      </c>
      <c r="CN316" s="11">
        <v>4240000.0</v>
      </c>
      <c r="CO316" s="11">
        <v>3690000.0</v>
      </c>
      <c r="CP316" s="11">
        <v>3180000.0</v>
      </c>
      <c r="CQ316" s="11">
        <v>1060000.0</v>
      </c>
      <c r="CR316" s="11">
        <v>1060000.0</v>
      </c>
      <c r="CS316" s="11">
        <v>1100000.0</v>
      </c>
      <c r="CT316" s="11">
        <v>921790.0</v>
      </c>
      <c r="CU316" s="11">
        <v>783880.0</v>
      </c>
      <c r="CV316" s="11">
        <v>1560000.0</v>
      </c>
      <c r="CW316" s="11">
        <v>61280.0</v>
      </c>
      <c r="CX316" s="11"/>
      <c r="CY316" s="11"/>
      <c r="CZ316" s="12"/>
      <c r="DA316" s="12"/>
      <c r="DB316" s="11">
        <v>1560000.0</v>
      </c>
      <c r="DC316" s="11">
        <v>1430000.0</v>
      </c>
      <c r="DD316" s="11">
        <v>1990000.0</v>
      </c>
      <c r="DE316" s="11">
        <v>1850000.0</v>
      </c>
      <c r="DF316" s="11">
        <v>2970000.0</v>
      </c>
      <c r="DG316" s="11">
        <v>2830000.0</v>
      </c>
      <c r="DH316" s="11">
        <v>2810000.0</v>
      </c>
      <c r="DI316" s="11">
        <v>2430000.0</v>
      </c>
      <c r="DJ316" s="11">
        <v>2030000.0</v>
      </c>
      <c r="DK316" s="11"/>
      <c r="DL316" s="11"/>
      <c r="DM316" s="11"/>
      <c r="DN316" s="12"/>
      <c r="DO316" s="12"/>
      <c r="DP316" s="11">
        <v>1350000.0</v>
      </c>
      <c r="DQ316" s="11">
        <v>1340000.0</v>
      </c>
      <c r="DR316" s="11">
        <v>750000.0</v>
      </c>
      <c r="DS316" s="11">
        <v>500000.0</v>
      </c>
      <c r="DT316" s="11">
        <v>500000.0</v>
      </c>
      <c r="DU316" s="13"/>
      <c r="DV316" s="12"/>
      <c r="DW316" s="12"/>
      <c r="DX316" s="12"/>
      <c r="DY316" s="12"/>
      <c r="DZ316" s="11">
        <v>1670000.0</v>
      </c>
      <c r="EA316" s="11">
        <v>1600000.0</v>
      </c>
      <c r="EB316" s="11">
        <v>1430000.0</v>
      </c>
      <c r="EC316" s="11">
        <v>1260000.0</v>
      </c>
      <c r="ED316" s="11">
        <v>1150000.0</v>
      </c>
      <c r="EE316" s="14">
        <v>0.049</v>
      </c>
      <c r="EF316" s="14">
        <v>0.12</v>
      </c>
      <c r="EG316" s="14">
        <v>0.767</v>
      </c>
      <c r="EH316" s="14">
        <v>0.076</v>
      </c>
    </row>
    <row r="317">
      <c r="A317" s="9">
        <f t="shared" si="2"/>
        <v>315</v>
      </c>
      <c r="B317" s="10" t="s">
        <v>451</v>
      </c>
      <c r="C317" s="11">
        <v>1810000.0</v>
      </c>
      <c r="D317" s="11">
        <v>1580000.0</v>
      </c>
      <c r="E317" s="11">
        <v>2040000.0</v>
      </c>
      <c r="F317" s="11">
        <v>2130000.0</v>
      </c>
      <c r="G317" s="11">
        <v>2280000.0</v>
      </c>
      <c r="H317" s="11">
        <v>2480000.0</v>
      </c>
      <c r="I317" s="11">
        <v>2660000.0</v>
      </c>
      <c r="J317" s="11">
        <v>714280.0</v>
      </c>
      <c r="K317" s="11">
        <v>787420.0</v>
      </c>
      <c r="L317" s="11">
        <v>870780.0</v>
      </c>
      <c r="M317" s="11">
        <v>946840.0</v>
      </c>
      <c r="N317" s="11">
        <v>1030000.0</v>
      </c>
      <c r="O317" s="11">
        <v>711950.0</v>
      </c>
      <c r="P317" s="11">
        <v>719750.0</v>
      </c>
      <c r="Q317" s="11">
        <v>719610.0</v>
      </c>
      <c r="R317" s="11">
        <v>772610.0</v>
      </c>
      <c r="S317" s="11">
        <v>877300.0</v>
      </c>
      <c r="T317" s="12"/>
      <c r="U317" s="12"/>
      <c r="V317" s="12"/>
      <c r="W317" s="12"/>
      <c r="X317" s="12"/>
      <c r="Y317" s="11">
        <v>-12070.0</v>
      </c>
      <c r="Z317" s="11">
        <v>43670.0</v>
      </c>
      <c r="AA317" s="11">
        <v>145170.0</v>
      </c>
      <c r="AB317" s="11">
        <v>-33530.0</v>
      </c>
      <c r="AC317" s="11">
        <v>-162660.0</v>
      </c>
      <c r="AD317" s="11">
        <v>-11950.0</v>
      </c>
      <c r="AE317" s="11">
        <v>43310.0</v>
      </c>
      <c r="AF317" s="11">
        <v>143600.0</v>
      </c>
      <c r="AG317" s="11">
        <v>138730.0</v>
      </c>
      <c r="AH317" s="11">
        <v>-14950.0</v>
      </c>
      <c r="AI317" s="11">
        <v>303330.0</v>
      </c>
      <c r="AJ317" s="11">
        <v>159000.0</v>
      </c>
      <c r="AK317" s="11">
        <v>247480.0</v>
      </c>
      <c r="AL317" s="11">
        <v>283480.0</v>
      </c>
      <c r="AM317" s="11">
        <v>268370.0</v>
      </c>
      <c r="AN317" s="11">
        <v>-12750.0</v>
      </c>
      <c r="AO317" s="11">
        <v>34730.0</v>
      </c>
      <c r="AP317" s="11">
        <v>98700.0</v>
      </c>
      <c r="AQ317" s="11">
        <v>89310.0</v>
      </c>
      <c r="AR317" s="11">
        <v>1950.0</v>
      </c>
      <c r="AS317" s="11">
        <v>261470.0</v>
      </c>
      <c r="AT317" s="11">
        <v>158070.0</v>
      </c>
      <c r="AU317" s="11">
        <v>166870.0</v>
      </c>
      <c r="AV317" s="11">
        <v>231310.0</v>
      </c>
      <c r="AW317" s="11">
        <v>196990.0</v>
      </c>
      <c r="AX317" s="11">
        <v>-33940.0</v>
      </c>
      <c r="AY317" s="11">
        <v>-54190.0</v>
      </c>
      <c r="AZ317" s="11">
        <v>-48530.0</v>
      </c>
      <c r="BA317" s="11">
        <v>-47840.0</v>
      </c>
      <c r="BB317" s="11">
        <v>-84840.0</v>
      </c>
      <c r="BC317" s="11">
        <v>-41180.0</v>
      </c>
      <c r="BD317" s="11">
        <v>-43210.0</v>
      </c>
      <c r="BE317" s="11">
        <v>-42520.0</v>
      </c>
      <c r="BF317" s="11">
        <v>-42250.0</v>
      </c>
      <c r="BG317" s="11">
        <v>-43730.0</v>
      </c>
      <c r="BH317" s="11">
        <v>127870.0</v>
      </c>
      <c r="BI317" s="11">
        <v>186120.0</v>
      </c>
      <c r="BJ317" s="11">
        <v>220130.0</v>
      </c>
      <c r="BK317" s="11">
        <v>192510.0</v>
      </c>
      <c r="BL317" s="11">
        <v>140150.0</v>
      </c>
      <c r="BM317" s="11">
        <v>19450.0</v>
      </c>
      <c r="BN317" s="11">
        <v>21390.0</v>
      </c>
      <c r="BO317" s="11">
        <v>8480.0</v>
      </c>
      <c r="BP317" s="11">
        <v>12910.0</v>
      </c>
      <c r="BQ317" s="11">
        <v>36640.0</v>
      </c>
      <c r="BR317" s="11">
        <v>246740.0</v>
      </c>
      <c r="BS317" s="11">
        <v>235220.0</v>
      </c>
      <c r="BT317" s="11">
        <v>233730.0</v>
      </c>
      <c r="BU317" s="11">
        <v>232360.0</v>
      </c>
      <c r="BV317" s="11">
        <v>233830.0</v>
      </c>
      <c r="BW317" s="11">
        <v>422800.0</v>
      </c>
      <c r="BX317" s="11">
        <v>485180.0</v>
      </c>
      <c r="BY317" s="11">
        <v>514530.0</v>
      </c>
      <c r="BZ317" s="11">
        <v>477630.0</v>
      </c>
      <c r="CA317" s="11">
        <v>465320.0</v>
      </c>
      <c r="CB317" s="11">
        <v>963780.0</v>
      </c>
      <c r="CC317" s="11">
        <v>370930.0</v>
      </c>
      <c r="CD317" s="11">
        <v>421040.0</v>
      </c>
      <c r="CE317" s="11">
        <v>477190.0</v>
      </c>
      <c r="CF317" s="11">
        <v>550950.0</v>
      </c>
      <c r="CG317" s="11">
        <v>96770.0</v>
      </c>
      <c r="CH317" s="11">
        <v>96770.0</v>
      </c>
      <c r="CI317" s="11">
        <v>96770.0</v>
      </c>
      <c r="CJ317" s="11">
        <v>96770.0</v>
      </c>
      <c r="CK317" s="11">
        <v>96770.0</v>
      </c>
      <c r="CL317" s="11">
        <v>1540000.0</v>
      </c>
      <c r="CM317" s="11">
        <v>1010000.0</v>
      </c>
      <c r="CN317" s="11">
        <v>1090000.0</v>
      </c>
      <c r="CO317" s="11">
        <v>1110000.0</v>
      </c>
      <c r="CP317" s="11">
        <v>1170000.0</v>
      </c>
      <c r="CQ317" s="11">
        <v>134200.0</v>
      </c>
      <c r="CR317" s="11">
        <v>143400.0</v>
      </c>
      <c r="CS317" s="11">
        <v>118250.0</v>
      </c>
      <c r="CT317" s="11">
        <v>116380.0</v>
      </c>
      <c r="CU317" s="11">
        <v>129340.0</v>
      </c>
      <c r="CV317" s="11">
        <v>405750.0</v>
      </c>
      <c r="CW317" s="11">
        <v>157040.0</v>
      </c>
      <c r="CX317" s="12"/>
      <c r="CY317" s="13"/>
      <c r="CZ317" s="13"/>
      <c r="DA317" s="12"/>
      <c r="DB317" s="11">
        <v>405750.0</v>
      </c>
      <c r="DC317" s="11">
        <v>275220.0</v>
      </c>
      <c r="DD317" s="11">
        <v>266970.0</v>
      </c>
      <c r="DE317" s="11">
        <v>302860.0</v>
      </c>
      <c r="DF317" s="11">
        <v>1010000.0</v>
      </c>
      <c r="DG317" s="11">
        <v>427070.0</v>
      </c>
      <c r="DH317" s="11">
        <v>431220.0</v>
      </c>
      <c r="DI317" s="11">
        <v>499820.0</v>
      </c>
      <c r="DJ317" s="11">
        <v>526260.0</v>
      </c>
      <c r="DK317" s="12"/>
      <c r="DL317" s="12"/>
      <c r="DM317" s="12"/>
      <c r="DN317" s="12"/>
      <c r="DO317" s="12"/>
      <c r="DP317" s="11">
        <v>598420.0</v>
      </c>
      <c r="DQ317" s="11">
        <v>57500.0</v>
      </c>
      <c r="DR317" s="11">
        <v>53600.0</v>
      </c>
      <c r="DS317" s="11">
        <v>68540.0</v>
      </c>
      <c r="DT317" s="11">
        <v>82220.0</v>
      </c>
      <c r="DU317" s="12"/>
      <c r="DV317" s="12"/>
      <c r="DW317" s="12"/>
      <c r="DX317" s="12"/>
      <c r="DY317" s="12"/>
      <c r="DZ317" s="11">
        <v>530090.0</v>
      </c>
      <c r="EA317" s="11">
        <v>579960.0</v>
      </c>
      <c r="EB317" s="11">
        <v>656380.0</v>
      </c>
      <c r="EC317" s="11">
        <v>609170.0</v>
      </c>
      <c r="ED317" s="11">
        <v>639790.0</v>
      </c>
      <c r="EE317" s="14">
        <v>0.051</v>
      </c>
      <c r="EF317" s="14">
        <v>0.116</v>
      </c>
      <c r="EG317" s="14">
        <v>-5.2</v>
      </c>
      <c r="EH317" s="14"/>
    </row>
    <row r="318">
      <c r="A318" s="9">
        <f t="shared" si="2"/>
        <v>316</v>
      </c>
      <c r="B318" s="10" t="s">
        <v>452</v>
      </c>
      <c r="C318" s="15">
        <v>409240.0</v>
      </c>
      <c r="D318" s="15">
        <v>330150.0</v>
      </c>
      <c r="E318" s="15">
        <v>426360.0</v>
      </c>
      <c r="F318" s="15">
        <v>398200.0</v>
      </c>
      <c r="G318" s="15">
        <v>369590.0</v>
      </c>
      <c r="H318" s="15">
        <v>330610.0</v>
      </c>
      <c r="I318" s="15">
        <v>287060.0</v>
      </c>
      <c r="J318" s="15">
        <v>50420.0</v>
      </c>
      <c r="K318" s="15">
        <v>44640.0</v>
      </c>
      <c r="L318" s="15">
        <v>49810.0</v>
      </c>
      <c r="M318" s="15">
        <v>51160.0</v>
      </c>
      <c r="N318" s="15">
        <v>45950.0</v>
      </c>
      <c r="O318" s="15">
        <v>29240.0</v>
      </c>
      <c r="P318" s="15">
        <v>24650.0</v>
      </c>
      <c r="Q318" s="15">
        <v>21420.0</v>
      </c>
      <c r="R318" s="15">
        <v>25300.0</v>
      </c>
      <c r="S318" s="15">
        <v>22840.0</v>
      </c>
      <c r="T318" s="15"/>
      <c r="U318" s="15"/>
      <c r="V318" s="15"/>
      <c r="W318" s="15"/>
      <c r="X318" s="15"/>
      <c r="Y318" s="15">
        <v>6390.0</v>
      </c>
      <c r="Z318" s="15">
        <v>7650.0</v>
      </c>
      <c r="AA318" s="15">
        <v>29750.0</v>
      </c>
      <c r="AB318" s="15">
        <v>24340.0</v>
      </c>
      <c r="AC318" s="15">
        <v>-4360.0</v>
      </c>
      <c r="AD318" s="15">
        <v>3310.0</v>
      </c>
      <c r="AE318" s="15">
        <v>3190.0</v>
      </c>
      <c r="AF318" s="15">
        <v>23460.0</v>
      </c>
      <c r="AG318" s="15">
        <v>24280.0</v>
      </c>
      <c r="AH318" s="15">
        <v>18640.0</v>
      </c>
      <c r="AI318" s="15">
        <v>42940.0</v>
      </c>
      <c r="AJ318" s="15">
        <v>39790.0</v>
      </c>
      <c r="AK318" s="15">
        <v>45950.0</v>
      </c>
      <c r="AL318" s="15">
        <v>40940.0</v>
      </c>
      <c r="AM318" s="15">
        <v>35940.0</v>
      </c>
      <c r="AN318" s="15">
        <v>6220.0</v>
      </c>
      <c r="AO318" s="15">
        <v>5540.0</v>
      </c>
      <c r="AP318" s="15">
        <v>28960.0</v>
      </c>
      <c r="AQ318" s="15">
        <v>17240.0</v>
      </c>
      <c r="AR318" s="15">
        <v>12900.0</v>
      </c>
      <c r="AS318" s="15">
        <v>44210.0</v>
      </c>
      <c r="AT318" s="15">
        <v>47880.0</v>
      </c>
      <c r="AU318" s="15">
        <v>44380.0</v>
      </c>
      <c r="AV318" s="15">
        <v>42640.0</v>
      </c>
      <c r="AW318" s="15">
        <v>45390.0</v>
      </c>
      <c r="AX318" s="15">
        <v>-33270.0</v>
      </c>
      <c r="AY318" s="15">
        <v>-44520.0</v>
      </c>
      <c r="AZ318" s="15">
        <v>-49640.0</v>
      </c>
      <c r="BA318" s="15">
        <v>-41890.0</v>
      </c>
      <c r="BB318" s="15">
        <v>-32000.0</v>
      </c>
      <c r="BC318" s="15"/>
      <c r="BD318" s="15"/>
      <c r="BE318" s="15"/>
      <c r="BF318" s="15"/>
      <c r="BG318" s="15"/>
      <c r="BH318" s="15">
        <v>10070.0</v>
      </c>
      <c r="BI318" s="15">
        <v>8200.0</v>
      </c>
      <c r="BJ318" s="15">
        <v>8790.0</v>
      </c>
      <c r="BK318" s="15">
        <v>13690.0</v>
      </c>
      <c r="BL318" s="15">
        <v>8530.0</v>
      </c>
      <c r="BM318" s="15">
        <v>1680.0</v>
      </c>
      <c r="BN318" s="15">
        <v>4250.0</v>
      </c>
      <c r="BO318" s="15">
        <v>10270.0</v>
      </c>
      <c r="BP318" s="15">
        <v>7340.0</v>
      </c>
      <c r="BQ318" s="15">
        <v>4860.0</v>
      </c>
      <c r="BR318" s="15">
        <v>1660.0</v>
      </c>
      <c r="BS318" s="15">
        <v>1540.0</v>
      </c>
      <c r="BT318" s="15">
        <v>1610.0</v>
      </c>
      <c r="BU318" s="15">
        <v>1450.0</v>
      </c>
      <c r="BV318" s="15">
        <v>1190.0</v>
      </c>
      <c r="BW318" s="15">
        <v>16780.0</v>
      </c>
      <c r="BX318" s="15">
        <v>17730.0</v>
      </c>
      <c r="BY318" s="15">
        <v>26590.0</v>
      </c>
      <c r="BZ318" s="15">
        <v>27690.0</v>
      </c>
      <c r="CA318" s="15">
        <v>17220.0</v>
      </c>
      <c r="CB318" s="15">
        <v>380050.0</v>
      </c>
      <c r="CC318" s="15">
        <v>210960.0</v>
      </c>
      <c r="CD318" s="15">
        <v>197260.0</v>
      </c>
      <c r="CE318" s="15">
        <v>165150.0</v>
      </c>
      <c r="CF318" s="15">
        <v>136490.0</v>
      </c>
      <c r="CG318" s="15">
        <v>24070.0</v>
      </c>
      <c r="CH318" s="15">
        <v>24070.0</v>
      </c>
      <c r="CI318" s="15">
        <v>24070.0</v>
      </c>
      <c r="CJ318" s="15">
        <v>24070.0</v>
      </c>
      <c r="CK318" s="15">
        <v>24070.0</v>
      </c>
      <c r="CL318" s="15">
        <v>515880.0</v>
      </c>
      <c r="CM318" s="15">
        <v>277080.0</v>
      </c>
      <c r="CN318" s="15">
        <v>271970.0</v>
      </c>
      <c r="CO318" s="15">
        <v>240730.0</v>
      </c>
      <c r="CP318" s="15">
        <v>201450.0</v>
      </c>
      <c r="CQ318" s="15">
        <v>4250.0</v>
      </c>
      <c r="CR318" s="15">
        <v>6460.0</v>
      </c>
      <c r="CS318" s="15">
        <v>6400.0</v>
      </c>
      <c r="CT318" s="15">
        <v>8010.0</v>
      </c>
      <c r="CU318" s="15">
        <v>7290.0</v>
      </c>
      <c r="CV318" s="15">
        <v>36200.0</v>
      </c>
      <c r="CW318" s="15">
        <v>10310.0</v>
      </c>
      <c r="CX318" s="15"/>
      <c r="CY318" s="15"/>
      <c r="CZ318" s="15"/>
      <c r="DA318" s="15"/>
      <c r="DB318" s="15">
        <v>36200.0</v>
      </c>
      <c r="DC318" s="15">
        <v>26640.0</v>
      </c>
      <c r="DD318" s="15">
        <v>25660.0</v>
      </c>
      <c r="DE318" s="15">
        <v>28110.0</v>
      </c>
      <c r="DF318" s="15">
        <v>320940.0</v>
      </c>
      <c r="DG318" s="15">
        <v>83230.0</v>
      </c>
      <c r="DH318" s="15">
        <v>83010.0</v>
      </c>
      <c r="DI318" s="15">
        <v>83660.0</v>
      </c>
      <c r="DJ318" s="15">
        <v>68390.0</v>
      </c>
      <c r="DK318" s="15"/>
      <c r="DL318" s="15"/>
      <c r="DM318" s="15"/>
      <c r="DN318" s="15"/>
      <c r="DO318" s="15"/>
      <c r="DP318" s="15">
        <v>214540.0</v>
      </c>
      <c r="DQ318" s="15"/>
      <c r="DR318" s="15"/>
      <c r="DS318" s="15"/>
      <c r="DT318" s="15"/>
      <c r="DU318" s="15"/>
      <c r="DV318" s="15"/>
      <c r="DW318" s="15"/>
      <c r="DX318" s="15"/>
      <c r="DY318" s="15"/>
      <c r="DZ318" s="15">
        <v>194940.0</v>
      </c>
      <c r="EA318" s="15">
        <v>193850.0</v>
      </c>
      <c r="EB318" s="15">
        <v>188960.0</v>
      </c>
      <c r="EC318" s="15">
        <v>157070.0</v>
      </c>
      <c r="ED318" s="15">
        <v>133060.0</v>
      </c>
      <c r="EE318" s="17">
        <v>0.135</v>
      </c>
      <c r="EF318" s="17">
        <v>0.2</v>
      </c>
      <c r="EG318" s="17">
        <v>-0.5</v>
      </c>
      <c r="EH318" s="17">
        <v>0.076</v>
      </c>
    </row>
    <row r="319">
      <c r="A319" s="9">
        <f t="shared" si="2"/>
        <v>317</v>
      </c>
      <c r="B319" s="25" t="s">
        <v>453</v>
      </c>
      <c r="C319" s="12">
        <v>119800.0</v>
      </c>
      <c r="D319" s="12">
        <v>44100.0</v>
      </c>
      <c r="E319" s="12">
        <v>53530.0</v>
      </c>
      <c r="F319" s="12">
        <v>67680.0</v>
      </c>
      <c r="G319" s="12">
        <v>90390.0</v>
      </c>
      <c r="H319" s="12">
        <v>104450.0</v>
      </c>
      <c r="I319" s="12">
        <v>105480.0</v>
      </c>
      <c r="J319" s="12">
        <v>23660.0</v>
      </c>
      <c r="K319" s="12">
        <v>30170.0</v>
      </c>
      <c r="L319" s="12">
        <v>31830.0</v>
      </c>
      <c r="M319" s="12">
        <v>29910.0</v>
      </c>
      <c r="N319" s="12">
        <v>31990.0</v>
      </c>
      <c r="O319" s="12">
        <v>29280.0</v>
      </c>
      <c r="P319" s="12">
        <v>29450.0</v>
      </c>
      <c r="Q319" s="12">
        <v>24690.0</v>
      </c>
      <c r="R319" s="12">
        <v>34160.0</v>
      </c>
      <c r="S319" s="12">
        <v>30500.0</v>
      </c>
      <c r="T319" s="12">
        <v>0.0</v>
      </c>
      <c r="U319" s="12">
        <v>0.0</v>
      </c>
      <c r="V319" s="12">
        <v>0.0</v>
      </c>
      <c r="W319" s="12">
        <v>0.0</v>
      </c>
      <c r="X319" s="12">
        <v>0.0</v>
      </c>
      <c r="Y319" s="12">
        <v>0.0</v>
      </c>
      <c r="Z319" s="12">
        <v>-3620.0</v>
      </c>
      <c r="AA319" s="12">
        <v>4020.0</v>
      </c>
      <c r="AB319" s="12">
        <v>-22120.0</v>
      </c>
      <c r="AC319" s="12">
        <v>-9280.0</v>
      </c>
      <c r="AD319" s="12">
        <v>-15970.0</v>
      </c>
      <c r="AE319" s="12">
        <v>-18090.0</v>
      </c>
      <c r="AF319" s="12">
        <v>-14950.0</v>
      </c>
      <c r="AG319" s="12">
        <v>-42160.0</v>
      </c>
      <c r="AH319" s="12">
        <v>-28980.0</v>
      </c>
      <c r="AI319" s="12">
        <v>8130.0</v>
      </c>
      <c r="AJ319" s="12">
        <v>18720.0</v>
      </c>
      <c r="AK319" s="12">
        <v>40580.0</v>
      </c>
      <c r="AL319" s="12">
        <v>38950.0</v>
      </c>
      <c r="AM319" s="12">
        <v>44880.0</v>
      </c>
      <c r="AN319" s="12">
        <v>-16230.0</v>
      </c>
      <c r="AO319" s="12">
        <v>-18450.0</v>
      </c>
      <c r="AP319" s="12">
        <v>-15130.0</v>
      </c>
      <c r="AQ319" s="12">
        <v>-41740.0</v>
      </c>
      <c r="AR319" s="12">
        <v>-28120.0</v>
      </c>
      <c r="AS319" s="12">
        <v>11090.0</v>
      </c>
      <c r="AT319" s="12">
        <v>22400.0</v>
      </c>
      <c r="AU319" s="12">
        <v>31700.0</v>
      </c>
      <c r="AV319" s="12">
        <v>25500.0</v>
      </c>
      <c r="AW319" s="12">
        <v>9210.0</v>
      </c>
      <c r="AX319" s="12">
        <v>-1970.0</v>
      </c>
      <c r="AY319" s="12">
        <v>0.0</v>
      </c>
      <c r="AZ319" s="12">
        <v>0.0</v>
      </c>
      <c r="BA319" s="12">
        <v>-1390.0</v>
      </c>
      <c r="BB319" s="12">
        <v>-2440.0</v>
      </c>
      <c r="BC319" s="13">
        <v>0.0</v>
      </c>
      <c r="BD319" s="13">
        <v>0.0</v>
      </c>
      <c r="BE319" s="13">
        <v>0.0</v>
      </c>
      <c r="BF319" s="13">
        <v>0.0</v>
      </c>
      <c r="BG319" s="13">
        <v>0.0</v>
      </c>
      <c r="BH319" s="12">
        <v>17870.0</v>
      </c>
      <c r="BI319" s="12">
        <v>17950.0</v>
      </c>
      <c r="BJ319" s="12">
        <v>12570.0</v>
      </c>
      <c r="BK319" s="12">
        <v>25480.0</v>
      </c>
      <c r="BL319" s="12">
        <v>19000.0</v>
      </c>
      <c r="BM319" s="12">
        <v>41190.0</v>
      </c>
      <c r="BN319" s="12">
        <v>49700.0</v>
      </c>
      <c r="BO319" s="12">
        <v>63660.0</v>
      </c>
      <c r="BP319" s="12">
        <v>63760.0</v>
      </c>
      <c r="BQ319" s="12">
        <v>70640.0</v>
      </c>
      <c r="BR319" s="12">
        <v>0.0</v>
      </c>
      <c r="BS319" s="12">
        <v>0.0</v>
      </c>
      <c r="BT319" s="12">
        <v>1140.0</v>
      </c>
      <c r="BU319" s="12">
        <v>2020.0</v>
      </c>
      <c r="BV319" s="12">
        <v>3210.0</v>
      </c>
      <c r="BW319" s="12">
        <v>64880.0</v>
      </c>
      <c r="BX319" s="12">
        <v>74170.0</v>
      </c>
      <c r="BY319" s="12">
        <v>86450.0</v>
      </c>
      <c r="BZ319" s="12">
        <v>101850.0</v>
      </c>
      <c r="CA319" s="12">
        <v>106940.0</v>
      </c>
      <c r="CB319" s="12">
        <v>14050.0</v>
      </c>
      <c r="CC319" s="12">
        <v>21480.0</v>
      </c>
      <c r="CD319" s="12">
        <v>33140.0</v>
      </c>
      <c r="CE319" s="12">
        <v>61740.0</v>
      </c>
      <c r="CF319" s="12">
        <v>98560.0</v>
      </c>
      <c r="CG319" s="12">
        <v>8700.0</v>
      </c>
      <c r="CH319" s="12">
        <v>8700.0</v>
      </c>
      <c r="CI319" s="12">
        <v>8700.0</v>
      </c>
      <c r="CJ319" s="12">
        <v>8700.0</v>
      </c>
      <c r="CK319" s="12">
        <v>26700.0</v>
      </c>
      <c r="CL319" s="12">
        <v>98840.0</v>
      </c>
      <c r="CM319" s="12">
        <v>121180.0</v>
      </c>
      <c r="CN319" s="12">
        <v>151330.0</v>
      </c>
      <c r="CO319" s="12">
        <v>209400.0</v>
      </c>
      <c r="CP319" s="12">
        <v>279710.0</v>
      </c>
      <c r="CQ319" s="12">
        <v>61000.0</v>
      </c>
      <c r="CR319" s="12">
        <v>60820.0</v>
      </c>
      <c r="CS319" s="12">
        <v>65470.0</v>
      </c>
      <c r="CT319" s="12">
        <v>58330.0</v>
      </c>
      <c r="CU319" s="12">
        <v>30900.0</v>
      </c>
      <c r="CV319" s="12">
        <v>113710.0</v>
      </c>
      <c r="CW319" s="12">
        <v>0.0</v>
      </c>
      <c r="CX319" s="13">
        <v>0.0</v>
      </c>
      <c r="CY319" s="13">
        <v>0.0</v>
      </c>
      <c r="CZ319" s="13">
        <v>0.0</v>
      </c>
      <c r="DA319" s="12">
        <v>0.0</v>
      </c>
      <c r="DB319" s="12">
        <v>113710.0</v>
      </c>
      <c r="DC319" s="12">
        <v>76330.0</v>
      </c>
      <c r="DD319" s="12">
        <v>101860.0</v>
      </c>
      <c r="DE319" s="12">
        <v>100830.0</v>
      </c>
      <c r="DF319" s="12">
        <v>135410.0</v>
      </c>
      <c r="DG319" s="12">
        <v>143490.0</v>
      </c>
      <c r="DH319" s="12">
        <v>222040.0</v>
      </c>
      <c r="DI319" s="12">
        <v>282430.0</v>
      </c>
      <c r="DJ319" s="12">
        <v>298840.0</v>
      </c>
      <c r="DK319" s="12">
        <v>1000.0</v>
      </c>
      <c r="DL319" s="12">
        <v>1000.0</v>
      </c>
      <c r="DM319" s="12">
        <v>1000.0</v>
      </c>
      <c r="DN319" s="12">
        <v>8980.0</v>
      </c>
      <c r="DO319" s="12">
        <v>6750.0</v>
      </c>
      <c r="DP319" s="12">
        <v>19130.0</v>
      </c>
      <c r="DQ319" s="12">
        <v>63010.0</v>
      </c>
      <c r="DR319" s="12">
        <v>114440.0</v>
      </c>
      <c r="DS319" s="12">
        <v>174060.0</v>
      </c>
      <c r="DT319" s="12">
        <v>150930.0</v>
      </c>
      <c r="DU319" s="12">
        <v>3560.0</v>
      </c>
      <c r="DV319" s="12">
        <v>3560.0</v>
      </c>
      <c r="DW319" s="12">
        <v>3560.0</v>
      </c>
      <c r="DX319" s="12">
        <v>3560.0</v>
      </c>
      <c r="DY319" s="12">
        <v>3560.0</v>
      </c>
      <c r="DZ319" s="12">
        <v>-35280.0</v>
      </c>
      <c r="EA319" s="12">
        <v>-21050.0</v>
      </c>
      <c r="EB319" s="12">
        <v>-69490.0</v>
      </c>
      <c r="EC319" s="12">
        <v>-71840.0</v>
      </c>
      <c r="ED319" s="12">
        <v>-18960.0</v>
      </c>
      <c r="EE319" s="17">
        <v>0.0</v>
      </c>
      <c r="EF319" s="17">
        <v>0.0</v>
      </c>
      <c r="EG319" s="17">
        <v>-1.667</v>
      </c>
      <c r="EH319" s="17">
        <v>-2.584</v>
      </c>
    </row>
    <row r="320">
      <c r="A320" s="9">
        <f t="shared" si="2"/>
        <v>318</v>
      </c>
      <c r="B320" s="10" t="s">
        <v>454</v>
      </c>
      <c r="C320" s="12">
        <v>531300.0</v>
      </c>
      <c r="D320" s="12"/>
      <c r="E320" s="12">
        <v>522800.0</v>
      </c>
      <c r="F320" s="12">
        <v>486700.0</v>
      </c>
      <c r="G320" s="12">
        <v>497300.0</v>
      </c>
      <c r="H320" s="12">
        <v>475200.0</v>
      </c>
      <c r="I320" s="12">
        <v>486400.0</v>
      </c>
      <c r="J320" s="12">
        <v>130400.0</v>
      </c>
      <c r="K320" s="12">
        <v>102800.0</v>
      </c>
      <c r="L320" s="12">
        <v>113000.0</v>
      </c>
      <c r="M320" s="12">
        <v>112900.0</v>
      </c>
      <c r="N320" s="12">
        <v>130100.0</v>
      </c>
      <c r="O320" s="12">
        <v>23800.0</v>
      </c>
      <c r="P320" s="12">
        <v>24500.0</v>
      </c>
      <c r="Q320" s="12">
        <v>22400.0</v>
      </c>
      <c r="R320" s="12">
        <v>23300.0</v>
      </c>
      <c r="S320" s="12">
        <v>20000.0</v>
      </c>
      <c r="T320" s="12">
        <v>0.0</v>
      </c>
      <c r="U320" s="12">
        <v>0.0</v>
      </c>
      <c r="V320" s="12">
        <v>0.0</v>
      </c>
      <c r="W320" s="12">
        <v>0.0</v>
      </c>
      <c r="X320" s="12">
        <v>0.0</v>
      </c>
      <c r="Y320" s="12">
        <v>0.0</v>
      </c>
      <c r="Z320" s="12">
        <v>105800.0</v>
      </c>
      <c r="AA320" s="12">
        <v>0.0</v>
      </c>
      <c r="AB320" s="12">
        <v>0.0</v>
      </c>
      <c r="AC320" s="12">
        <v>0.0</v>
      </c>
      <c r="AD320" s="15">
        <v>101600.0</v>
      </c>
      <c r="AE320" s="15">
        <v>103000.0</v>
      </c>
      <c r="AF320" s="15">
        <v>86400.0</v>
      </c>
      <c r="AG320" s="12">
        <v>86300.0</v>
      </c>
      <c r="AH320" s="12">
        <v>106200.0</v>
      </c>
      <c r="AI320" s="12">
        <v>133800.0</v>
      </c>
      <c r="AJ320" s="15">
        <v>107000.0</v>
      </c>
      <c r="AK320" s="15">
        <v>118100.0</v>
      </c>
      <c r="AL320" s="12">
        <v>115900.0</v>
      </c>
      <c r="AM320" s="12">
        <v>134100.0</v>
      </c>
      <c r="AN320" s="15">
        <v>48600.0</v>
      </c>
      <c r="AO320" s="15">
        <v>48900.0</v>
      </c>
      <c r="AP320" s="15">
        <v>40800.0</v>
      </c>
      <c r="AQ320" s="12">
        <v>40600.0</v>
      </c>
      <c r="AR320" s="12">
        <v>50500.0</v>
      </c>
      <c r="AS320" s="12">
        <v>103800.0</v>
      </c>
      <c r="AT320" s="12">
        <v>162200.0</v>
      </c>
      <c r="AU320" s="12">
        <v>79300.0</v>
      </c>
      <c r="AV320" s="12">
        <v>128300.0</v>
      </c>
      <c r="AW320" s="12">
        <v>150200.0</v>
      </c>
      <c r="AX320" s="15">
        <v>-65400.0</v>
      </c>
      <c r="AY320" s="15">
        <v>-39400.0</v>
      </c>
      <c r="AZ320" s="15">
        <v>-24700.0</v>
      </c>
      <c r="BA320" s="12">
        <v>-25300.0</v>
      </c>
      <c r="BB320" s="12">
        <v>-35700.0</v>
      </c>
      <c r="BC320" s="12">
        <v>-31200.0</v>
      </c>
      <c r="BD320" s="12">
        <v>-44600.0</v>
      </c>
      <c r="BE320" s="12">
        <v>-44500.0</v>
      </c>
      <c r="BF320" s="12">
        <v>-44200.0</v>
      </c>
      <c r="BG320" s="12">
        <v>-42400.0</v>
      </c>
      <c r="BH320" s="12">
        <v>14900.0</v>
      </c>
      <c r="BI320" s="12">
        <v>10200.0</v>
      </c>
      <c r="BJ320" s="12">
        <v>30200.0</v>
      </c>
      <c r="BK320" s="12">
        <v>19700.0</v>
      </c>
      <c r="BL320" s="12">
        <v>20400.0</v>
      </c>
      <c r="BM320" s="12">
        <v>131000.0</v>
      </c>
      <c r="BN320" s="12">
        <v>107000.0</v>
      </c>
      <c r="BO320" s="12">
        <v>132500.0</v>
      </c>
      <c r="BP320" s="12">
        <v>95000.0</v>
      </c>
      <c r="BQ320" s="12">
        <v>97900.0</v>
      </c>
      <c r="BR320" s="12">
        <v>24200.0</v>
      </c>
      <c r="BS320" s="12">
        <v>22300.0</v>
      </c>
      <c r="BT320" s="12">
        <v>19800.0</v>
      </c>
      <c r="BU320" s="12">
        <v>19000.0</v>
      </c>
      <c r="BV320" s="12">
        <v>26400.0</v>
      </c>
      <c r="BW320" s="12">
        <v>172300.0</v>
      </c>
      <c r="BX320" s="12">
        <v>141500.0</v>
      </c>
      <c r="BY320" s="12">
        <v>184300.0</v>
      </c>
      <c r="BZ320" s="12">
        <v>136000.0</v>
      </c>
      <c r="CA320" s="12">
        <v>146900.0</v>
      </c>
      <c r="CB320" s="12">
        <v>297700.0</v>
      </c>
      <c r="CC320" s="12">
        <v>266700.0</v>
      </c>
      <c r="CD320" s="12">
        <v>249300.0</v>
      </c>
      <c r="CE320" s="12">
        <v>256100.0</v>
      </c>
      <c r="CF320" s="12">
        <v>255200.0</v>
      </c>
      <c r="CG320" s="12">
        <v>0.0</v>
      </c>
      <c r="CH320" s="12">
        <v>0.0</v>
      </c>
      <c r="CI320" s="12">
        <v>0.0</v>
      </c>
      <c r="CJ320" s="12">
        <v>0.0</v>
      </c>
      <c r="CK320" s="12">
        <v>0.0</v>
      </c>
      <c r="CL320" s="12">
        <v>494300.0</v>
      </c>
      <c r="CM320" s="12">
        <v>434600.0</v>
      </c>
      <c r="CN320" s="12">
        <v>453200.0</v>
      </c>
      <c r="CO320" s="12">
        <v>413100.0</v>
      </c>
      <c r="CP320" s="12">
        <v>423200.0</v>
      </c>
      <c r="CQ320" s="12">
        <v>14200.0</v>
      </c>
      <c r="CR320" s="12">
        <v>20200.0</v>
      </c>
      <c r="CS320" s="12">
        <v>17500.0</v>
      </c>
      <c r="CT320" s="12">
        <v>19200.0</v>
      </c>
      <c r="CU320" s="12">
        <v>18000.0</v>
      </c>
      <c r="CV320" s="12">
        <v>56300.0</v>
      </c>
      <c r="CW320" s="12">
        <v>0.0</v>
      </c>
      <c r="CX320" s="12">
        <v>0.0</v>
      </c>
      <c r="CY320" s="12">
        <v>0.0</v>
      </c>
      <c r="CZ320" s="12">
        <v>0.0</v>
      </c>
      <c r="DA320" s="12">
        <v>0.0</v>
      </c>
      <c r="DB320" s="12">
        <v>56300.0</v>
      </c>
      <c r="DC320" s="12">
        <v>64600.0</v>
      </c>
      <c r="DD320" s="12">
        <v>56600.0</v>
      </c>
      <c r="DE320" s="12">
        <v>55500.0</v>
      </c>
      <c r="DF320" s="12">
        <v>194400.0</v>
      </c>
      <c r="DG320" s="12">
        <v>174500.0</v>
      </c>
      <c r="DH320" s="12">
        <v>205000.0</v>
      </c>
      <c r="DI320" s="12">
        <v>153900.0</v>
      </c>
      <c r="DJ320" s="12">
        <v>160000.0</v>
      </c>
      <c r="DK320" s="12">
        <v>0.0</v>
      </c>
      <c r="DL320" s="12">
        <v>0.0</v>
      </c>
      <c r="DM320" s="12">
        <v>0.0</v>
      </c>
      <c r="DN320" s="12">
        <v>0.0</v>
      </c>
      <c r="DO320" s="12">
        <v>0.0</v>
      </c>
      <c r="DP320" s="12">
        <v>129500.0</v>
      </c>
      <c r="DQ320" s="12">
        <v>99000.0</v>
      </c>
      <c r="DR320" s="12">
        <v>138000.0</v>
      </c>
      <c r="DS320" s="12">
        <v>89400.0</v>
      </c>
      <c r="DT320" s="12">
        <v>110000.0</v>
      </c>
      <c r="DU320" s="12">
        <v>0.0</v>
      </c>
      <c r="DV320" s="12">
        <v>0.0</v>
      </c>
      <c r="DW320" s="12">
        <v>0.0</v>
      </c>
      <c r="DX320" s="12">
        <v>0.0</v>
      </c>
      <c r="DY320" s="12">
        <v>0.0</v>
      </c>
      <c r="DZ320" s="12">
        <v>168400.0</v>
      </c>
      <c r="EA320" s="15">
        <v>150000.0</v>
      </c>
      <c r="EB320" s="15">
        <v>144600.0</v>
      </c>
      <c r="EC320" s="12">
        <v>149400.0</v>
      </c>
      <c r="ED320" s="12">
        <v>152000.0</v>
      </c>
      <c r="EE320" s="23"/>
      <c r="EF320" s="23">
        <v>0.0</v>
      </c>
      <c r="EG320" s="23">
        <v>0.089</v>
      </c>
      <c r="EH320" s="23">
        <v>0.132</v>
      </c>
    </row>
    <row r="321">
      <c r="A321" s="9">
        <f t="shared" si="2"/>
        <v>319</v>
      </c>
      <c r="B321" s="10" t="s">
        <v>455</v>
      </c>
      <c r="C321" s="11"/>
      <c r="D321" s="11"/>
      <c r="E321" s="11">
        <v>117330.0</v>
      </c>
      <c r="F321" s="11">
        <v>107550.0</v>
      </c>
      <c r="G321" s="11">
        <v>96110.0</v>
      </c>
      <c r="H321" s="11">
        <v>81500.0</v>
      </c>
      <c r="I321" s="11">
        <v>89070.0</v>
      </c>
      <c r="J321" s="11">
        <v>25530.0</v>
      </c>
      <c r="K321" s="11">
        <v>25110.0</v>
      </c>
      <c r="L321" s="11">
        <v>20130.0</v>
      </c>
      <c r="M321" s="11">
        <v>16630.0</v>
      </c>
      <c r="N321" s="11">
        <v>17510.0</v>
      </c>
      <c r="O321" s="11">
        <v>31900.0</v>
      </c>
      <c r="P321" s="11">
        <v>25980.0</v>
      </c>
      <c r="Q321" s="11">
        <v>36560.0</v>
      </c>
      <c r="R321" s="11">
        <v>20610.0</v>
      </c>
      <c r="S321" s="11">
        <v>17540.0</v>
      </c>
      <c r="T321" s="12"/>
      <c r="U321" s="12"/>
      <c r="V321" s="12"/>
      <c r="W321" s="12"/>
      <c r="X321" s="12"/>
      <c r="Y321" s="11">
        <v>-6600.0</v>
      </c>
      <c r="Z321" s="11">
        <v>-1200.0</v>
      </c>
      <c r="AA321" s="11">
        <v>-17660.0</v>
      </c>
      <c r="AB321" s="11">
        <v>-5960.0</v>
      </c>
      <c r="AC321" s="11">
        <v>587.0</v>
      </c>
      <c r="AD321" s="11">
        <v>-6440.0</v>
      </c>
      <c r="AE321" s="11">
        <v>-1180.0</v>
      </c>
      <c r="AF321" s="11">
        <v>-16980.0</v>
      </c>
      <c r="AG321" s="11">
        <v>-5560.0</v>
      </c>
      <c r="AH321" s="11">
        <v>544.0</v>
      </c>
      <c r="AI321" s="11">
        <v>-4290.0</v>
      </c>
      <c r="AJ321" s="11">
        <v>573.0</v>
      </c>
      <c r="AK321" s="11">
        <v>-15050.0</v>
      </c>
      <c r="AL321" s="11">
        <v>-2660.0</v>
      </c>
      <c r="AM321" s="11">
        <v>1430.0</v>
      </c>
      <c r="AN321" s="11">
        <v>-5810.0</v>
      </c>
      <c r="AO321" s="11">
        <v>-926.0</v>
      </c>
      <c r="AP321" s="11">
        <v>-17060.0</v>
      </c>
      <c r="AQ321" s="11">
        <v>-5640.0</v>
      </c>
      <c r="AR321" s="11">
        <v>447.0</v>
      </c>
      <c r="AS321" s="11">
        <v>-6910.0</v>
      </c>
      <c r="AT321" s="11">
        <v>-5600.0</v>
      </c>
      <c r="AU321" s="11">
        <v>-2070.0</v>
      </c>
      <c r="AV321" s="11">
        <v>1560.0</v>
      </c>
      <c r="AW321" s="11">
        <v>2590.0</v>
      </c>
      <c r="AX321" s="11">
        <v>-1530.0</v>
      </c>
      <c r="AY321" s="11">
        <v>-5480.0</v>
      </c>
      <c r="AZ321" s="11">
        <v>-2900.0</v>
      </c>
      <c r="BA321" s="11">
        <v>-140.0</v>
      </c>
      <c r="BB321" s="11">
        <v>-193.0</v>
      </c>
      <c r="BC321" s="12"/>
      <c r="BD321" s="12"/>
      <c r="BE321" s="12"/>
      <c r="BF321" s="12"/>
      <c r="BG321" s="12"/>
      <c r="BH321" s="11">
        <v>31140.0</v>
      </c>
      <c r="BI321" s="11">
        <v>24930.0</v>
      </c>
      <c r="BJ321" s="11">
        <v>31630.0</v>
      </c>
      <c r="BK321" s="11">
        <v>27880.0</v>
      </c>
      <c r="BL321" s="11">
        <v>20890.0</v>
      </c>
      <c r="BM321" s="11">
        <v>14900.0</v>
      </c>
      <c r="BN321" s="11">
        <v>13310.0</v>
      </c>
      <c r="BO321" s="11">
        <v>11700.0</v>
      </c>
      <c r="BP321" s="11">
        <v>11080.0</v>
      </c>
      <c r="BQ321" s="11">
        <v>9450.0</v>
      </c>
      <c r="BR321" s="11">
        <v>13420.0</v>
      </c>
      <c r="BS321" s="11">
        <v>15910.0</v>
      </c>
      <c r="BT321" s="11">
        <v>16880.0</v>
      </c>
      <c r="BU321" s="11">
        <v>15430.0</v>
      </c>
      <c r="BV321" s="11">
        <v>15030.0</v>
      </c>
      <c r="BW321" s="11">
        <v>60990.0</v>
      </c>
      <c r="BX321" s="11">
        <v>56200.0</v>
      </c>
      <c r="BY321" s="11">
        <v>62320.0</v>
      </c>
      <c r="BZ321" s="11">
        <v>55960.0</v>
      </c>
      <c r="CA321" s="11">
        <v>46880.0</v>
      </c>
      <c r="CB321" s="11">
        <v>30090.0</v>
      </c>
      <c r="CC321" s="11">
        <v>9550.0</v>
      </c>
      <c r="CD321" s="11">
        <v>3640.0</v>
      </c>
      <c r="CE321" s="11">
        <v>4980.0</v>
      </c>
      <c r="CF321" s="11">
        <v>7110.0</v>
      </c>
      <c r="CG321" s="11"/>
      <c r="CH321" s="11"/>
      <c r="CI321" s="11"/>
      <c r="CJ321" s="11"/>
      <c r="CK321" s="11"/>
      <c r="CL321" s="11">
        <v>99520.0</v>
      </c>
      <c r="CM321" s="11">
        <v>72730.0</v>
      </c>
      <c r="CN321" s="11">
        <v>73810.0</v>
      </c>
      <c r="CO321" s="11">
        <v>67170.0</v>
      </c>
      <c r="CP321" s="11">
        <v>62070.0</v>
      </c>
      <c r="CQ321" s="11">
        <v>21560.0</v>
      </c>
      <c r="CR321" s="11">
        <v>23110.0</v>
      </c>
      <c r="CS321" s="11">
        <v>25260.0</v>
      </c>
      <c r="CT321" s="11">
        <v>19440.0</v>
      </c>
      <c r="CU321" s="11">
        <v>16670.0</v>
      </c>
      <c r="CV321" s="11">
        <v>57440.0</v>
      </c>
      <c r="CW321" s="11"/>
      <c r="CX321" s="11">
        <v>25950.0</v>
      </c>
      <c r="CY321" s="11">
        <v>19180.0</v>
      </c>
      <c r="CZ321" s="11">
        <v>12690.0</v>
      </c>
      <c r="DA321" s="11">
        <v>17630.0</v>
      </c>
      <c r="DB321" s="11">
        <v>57440.0</v>
      </c>
      <c r="DC321" s="11">
        <v>55210.0</v>
      </c>
      <c r="DD321" s="11">
        <v>54810.0</v>
      </c>
      <c r="DE321" s="11">
        <v>40010.0</v>
      </c>
      <c r="DF321" s="11">
        <v>80740.0</v>
      </c>
      <c r="DG321" s="11">
        <v>55760.0</v>
      </c>
      <c r="DH321" s="11">
        <v>54950.0</v>
      </c>
      <c r="DI321" s="11">
        <v>40510.0</v>
      </c>
      <c r="DJ321" s="11">
        <v>42760.0</v>
      </c>
      <c r="DK321" s="11">
        <v>2540.0</v>
      </c>
      <c r="DL321" s="11">
        <v>24.0</v>
      </c>
      <c r="DM321" s="11">
        <v>41.0</v>
      </c>
      <c r="DN321" s="11">
        <v>46.0</v>
      </c>
      <c r="DO321" s="11">
        <v>109.0</v>
      </c>
      <c r="DP321" s="11">
        <v>23170.0</v>
      </c>
      <c r="DQ321" s="11"/>
      <c r="DR321" s="11"/>
      <c r="DS321" s="11"/>
      <c r="DT321" s="11"/>
      <c r="DU321" s="13"/>
      <c r="DV321" s="12"/>
      <c r="DW321" s="12"/>
      <c r="DX321" s="12"/>
      <c r="DY321" s="12"/>
      <c r="DZ321" s="11">
        <v>20590.0</v>
      </c>
      <c r="EA321" s="11">
        <v>18170.0</v>
      </c>
      <c r="EB321" s="11">
        <v>18860.0</v>
      </c>
      <c r="EC321" s="11">
        <v>26660.0</v>
      </c>
      <c r="ED321" s="11">
        <v>19320.0</v>
      </c>
      <c r="EE321" s="14"/>
      <c r="EF321" s="14"/>
      <c r="EG321" s="29" t="s">
        <v>155</v>
      </c>
      <c r="EH321" s="14"/>
    </row>
    <row r="322">
      <c r="A322" s="9">
        <f t="shared" si="2"/>
        <v>320</v>
      </c>
      <c r="B322" s="10" t="s">
        <v>456</v>
      </c>
      <c r="C322" s="11">
        <v>803760.0</v>
      </c>
      <c r="D322" s="11">
        <v>751180.0</v>
      </c>
      <c r="E322" s="11">
        <v>799970.0</v>
      </c>
      <c r="F322" s="11">
        <v>835750.0</v>
      </c>
      <c r="G322" s="11">
        <v>650850.0</v>
      </c>
      <c r="H322" s="11">
        <v>440470.0</v>
      </c>
      <c r="I322" s="11">
        <v>1050000.0</v>
      </c>
      <c r="J322" s="11">
        <v>147760.0</v>
      </c>
      <c r="K322" s="11">
        <v>169320.0</v>
      </c>
      <c r="L322" s="11">
        <v>141950.0</v>
      </c>
      <c r="M322" s="11">
        <v>102650.0</v>
      </c>
      <c r="N322" s="11">
        <v>180140.0</v>
      </c>
      <c r="O322" s="11">
        <v>105520.0</v>
      </c>
      <c r="P322" s="11">
        <v>102910.0</v>
      </c>
      <c r="Q322" s="11">
        <v>103110.0</v>
      </c>
      <c r="R322" s="11">
        <v>86360.0</v>
      </c>
      <c r="S322" s="11">
        <v>156610.0</v>
      </c>
      <c r="T322" s="12"/>
      <c r="U322" s="12"/>
      <c r="V322" s="12"/>
      <c r="W322" s="12"/>
      <c r="X322" s="12"/>
      <c r="Y322" s="11">
        <v>40000.0</v>
      </c>
      <c r="Z322" s="11">
        <v>54790.0</v>
      </c>
      <c r="AA322" s="11">
        <v>18910.0</v>
      </c>
      <c r="AB322" s="11">
        <v>-10050.0</v>
      </c>
      <c r="AC322" s="11">
        <v>-18460.0</v>
      </c>
      <c r="AD322" s="11">
        <v>49100.0</v>
      </c>
      <c r="AE322" s="11">
        <v>91690.0</v>
      </c>
      <c r="AF322" s="11">
        <v>35210.0</v>
      </c>
      <c r="AG322" s="11">
        <v>-92240.0</v>
      </c>
      <c r="AH322" s="11">
        <v>-30800.0</v>
      </c>
      <c r="AI322" s="11">
        <v>110820.0</v>
      </c>
      <c r="AJ322" s="11">
        <v>141000.0</v>
      </c>
      <c r="AK322" s="11">
        <v>113900.0</v>
      </c>
      <c r="AL322" s="11">
        <v>78850.0</v>
      </c>
      <c r="AM322" s="11">
        <v>149520.0</v>
      </c>
      <c r="AN322" s="11">
        <v>26770.0</v>
      </c>
      <c r="AO322" s="11">
        <v>58250.0</v>
      </c>
      <c r="AP322" s="11">
        <v>86180.0</v>
      </c>
      <c r="AQ322" s="11">
        <v>-96680.0</v>
      </c>
      <c r="AR322" s="11">
        <v>-68780.0</v>
      </c>
      <c r="AS322" s="11">
        <v>119270.0</v>
      </c>
      <c r="AT322" s="11">
        <v>49430.0</v>
      </c>
      <c r="AU322" s="11">
        <v>107580.0</v>
      </c>
      <c r="AV322" s="11">
        <v>39810.0</v>
      </c>
      <c r="AW322" s="11">
        <v>171160.0</v>
      </c>
      <c r="AX322" s="11">
        <v>-37790.0</v>
      </c>
      <c r="AY322" s="11">
        <v>-50270.0</v>
      </c>
      <c r="AZ322" s="11">
        <v>-114600.0</v>
      </c>
      <c r="BA322" s="11">
        <v>-252810.0</v>
      </c>
      <c r="BB322" s="11">
        <v>-295930.0</v>
      </c>
      <c r="BC322" s="11"/>
      <c r="BD322" s="11"/>
      <c r="BE322" s="11"/>
      <c r="BF322" s="11"/>
      <c r="BG322" s="11"/>
      <c r="BH322" s="11">
        <v>86380.0</v>
      </c>
      <c r="BI322" s="11">
        <v>177530.0</v>
      </c>
      <c r="BJ322" s="11">
        <v>284990.0</v>
      </c>
      <c r="BK322" s="11">
        <v>335020.0</v>
      </c>
      <c r="BL322" s="11">
        <v>668210.0</v>
      </c>
      <c r="BM322" s="11">
        <v>232900.0</v>
      </c>
      <c r="BN322" s="11">
        <v>210710.0</v>
      </c>
      <c r="BO322" s="11">
        <v>144340.0</v>
      </c>
      <c r="BP322" s="11">
        <v>144120.0</v>
      </c>
      <c r="BQ322" s="11">
        <v>186290.0</v>
      </c>
      <c r="BR322" s="11">
        <v>5260.0</v>
      </c>
      <c r="BS322" s="11">
        <v>4530.0</v>
      </c>
      <c r="BT322" s="11">
        <v>4380.0</v>
      </c>
      <c r="BU322" s="11">
        <v>2580.0</v>
      </c>
      <c r="BV322" s="11">
        <v>24770.0</v>
      </c>
      <c r="BW322" s="11">
        <v>331510.0</v>
      </c>
      <c r="BX322" s="11">
        <v>398150.0</v>
      </c>
      <c r="BY322" s="11">
        <v>440300.0</v>
      </c>
      <c r="BZ322" s="11">
        <v>762800.0</v>
      </c>
      <c r="CA322" s="11">
        <v>887900.0</v>
      </c>
      <c r="CB322" s="11">
        <v>962900.0</v>
      </c>
      <c r="CC322" s="11">
        <v>846510.0</v>
      </c>
      <c r="CD322" s="11">
        <v>877930.0</v>
      </c>
      <c r="CE322" s="11">
        <v>980010.0</v>
      </c>
      <c r="CF322" s="11">
        <v>1580000.0</v>
      </c>
      <c r="CG322" s="11">
        <v>32700.0</v>
      </c>
      <c r="CH322" s="11">
        <v>32710.0</v>
      </c>
      <c r="CI322" s="11">
        <v>32760.0</v>
      </c>
      <c r="CJ322" s="11">
        <v>32760.0</v>
      </c>
      <c r="CK322" s="11">
        <v>52340.0</v>
      </c>
      <c r="CL322" s="11">
        <v>1550000.0</v>
      </c>
      <c r="CM322" s="11">
        <v>1490000.0</v>
      </c>
      <c r="CN322" s="11">
        <v>1630000.0</v>
      </c>
      <c r="CO322" s="11">
        <v>2910000.0</v>
      </c>
      <c r="CP322" s="11">
        <v>3210000.0</v>
      </c>
      <c r="CQ322" s="11">
        <v>57600.0</v>
      </c>
      <c r="CR322" s="11">
        <v>59610.0</v>
      </c>
      <c r="CS322" s="11">
        <v>44010.0</v>
      </c>
      <c r="CT322" s="11">
        <v>59560.0</v>
      </c>
      <c r="CU322" s="11">
        <v>71950.0</v>
      </c>
      <c r="CV322" s="11">
        <v>209960.0</v>
      </c>
      <c r="CW322" s="11">
        <v>36010.0</v>
      </c>
      <c r="CX322" s="11"/>
      <c r="CY322" s="11"/>
      <c r="CZ322" s="11"/>
      <c r="DA322" s="11"/>
      <c r="DB322" s="11">
        <v>209960.0</v>
      </c>
      <c r="DC322" s="11">
        <v>123760.0</v>
      </c>
      <c r="DD322" s="11">
        <v>179190.0</v>
      </c>
      <c r="DE322" s="11">
        <v>369950.0</v>
      </c>
      <c r="DF322" s="11">
        <v>735740.0</v>
      </c>
      <c r="DG322" s="11">
        <v>637090.0</v>
      </c>
      <c r="DH322" s="11">
        <v>875110.0</v>
      </c>
      <c r="DI322" s="11">
        <v>1710000.0</v>
      </c>
      <c r="DJ322" s="11">
        <v>1820000.0</v>
      </c>
      <c r="DK322" s="11">
        <v>161310.0</v>
      </c>
      <c r="DL322" s="11">
        <v>165090.0</v>
      </c>
      <c r="DM322" s="11">
        <v>229080.0</v>
      </c>
      <c r="DN322" s="11">
        <v>255510.0</v>
      </c>
      <c r="DO322" s="11">
        <v>586510.0</v>
      </c>
      <c r="DP322" s="11">
        <v>363910.0</v>
      </c>
      <c r="DQ322" s="11">
        <v>346130.0</v>
      </c>
      <c r="DR322" s="11">
        <v>501510.0</v>
      </c>
      <c r="DS322" s="11">
        <v>631080.0</v>
      </c>
      <c r="DT322" s="11">
        <v>1040000.0</v>
      </c>
      <c r="DU322" s="13"/>
      <c r="DV322" s="12"/>
      <c r="DW322" s="12"/>
      <c r="DX322" s="12"/>
      <c r="DY322" s="12"/>
      <c r="DZ322" s="11">
        <v>811730.0</v>
      </c>
      <c r="EA322" s="11">
        <v>704150.0</v>
      </c>
      <c r="EB322" s="11">
        <v>623680.0</v>
      </c>
      <c r="EC322" s="11">
        <v>1060000.0</v>
      </c>
      <c r="ED322" s="11">
        <v>1270000.0</v>
      </c>
      <c r="EE322" s="14">
        <v>0.0</v>
      </c>
      <c r="EF322" s="14">
        <v>0.0</v>
      </c>
      <c r="EG322" s="14">
        <v>1.6</v>
      </c>
      <c r="EH322" s="14">
        <v>-0.173</v>
      </c>
    </row>
    <row r="323">
      <c r="A323" s="9">
        <f t="shared" si="2"/>
        <v>321</v>
      </c>
      <c r="B323" s="22" t="s">
        <v>457</v>
      </c>
      <c r="C323" s="11">
        <v>1030.0</v>
      </c>
      <c r="D323" s="11">
        <v>1500.0</v>
      </c>
      <c r="E323" s="11">
        <v>1710.0</v>
      </c>
      <c r="F323" s="11">
        <v>3510.0</v>
      </c>
      <c r="G323" s="11">
        <v>1730.0</v>
      </c>
      <c r="H323" s="11">
        <v>2570.0</v>
      </c>
      <c r="I323" s="11">
        <v>590.0</v>
      </c>
      <c r="J323" s="12"/>
      <c r="K323" s="12"/>
      <c r="L323" s="12"/>
      <c r="M323" s="12"/>
      <c r="N323" s="12"/>
      <c r="O323" s="11">
        <v>26560.0</v>
      </c>
      <c r="P323" s="11">
        <v>40250.0</v>
      </c>
      <c r="Q323" s="11">
        <v>24500.0</v>
      </c>
      <c r="R323" s="11">
        <v>24730.0</v>
      </c>
      <c r="S323" s="11">
        <v>13810.0</v>
      </c>
      <c r="T323" s="11">
        <v>19330.0</v>
      </c>
      <c r="U323" s="11">
        <v>33650.0</v>
      </c>
      <c r="V323" s="11">
        <v>19080.0</v>
      </c>
      <c r="W323" s="11">
        <v>20270.0</v>
      </c>
      <c r="X323" s="11">
        <v>11320.0</v>
      </c>
      <c r="Y323" s="12"/>
      <c r="Z323" s="12"/>
      <c r="AA323" s="12"/>
      <c r="AB323" s="12"/>
      <c r="AC323" s="11">
        <v>-438.0</v>
      </c>
      <c r="AD323" s="11">
        <v>-24710.0</v>
      </c>
      <c r="AE323" s="11">
        <v>-36370.0</v>
      </c>
      <c r="AF323" s="11">
        <v>-22680.0</v>
      </c>
      <c r="AG323" s="11">
        <v>-22460.0</v>
      </c>
      <c r="AH323" s="11">
        <v>-13890.0</v>
      </c>
      <c r="AI323" s="11">
        <v>-24850.0</v>
      </c>
      <c r="AJ323" s="12"/>
      <c r="AK323" s="11">
        <v>-22780.0</v>
      </c>
      <c r="AL323" s="11">
        <v>-22160.0</v>
      </c>
      <c r="AM323" s="11">
        <v>-13220.0</v>
      </c>
      <c r="AN323" s="11">
        <v>-24710.0</v>
      </c>
      <c r="AO323" s="11">
        <v>-36370.0</v>
      </c>
      <c r="AP323" s="11">
        <v>-22680.0</v>
      </c>
      <c r="AQ323" s="11">
        <v>-22460.0</v>
      </c>
      <c r="AR323" s="11">
        <v>-13890.0</v>
      </c>
      <c r="AS323" s="11">
        <v>-21370.0</v>
      </c>
      <c r="AT323" s="11">
        <v>-25810.0</v>
      </c>
      <c r="AU323" s="11">
        <v>-15460.0</v>
      </c>
      <c r="AV323" s="11">
        <v>-9950.0</v>
      </c>
      <c r="AW323" s="11">
        <v>-1110.0</v>
      </c>
      <c r="AX323" s="12"/>
      <c r="AY323" s="12"/>
      <c r="AZ323" s="11">
        <v>-400.0</v>
      </c>
      <c r="BA323" s="11">
        <v>-3160.0</v>
      </c>
      <c r="BB323" s="11">
        <v>-2530.0</v>
      </c>
      <c r="BC323" s="12"/>
      <c r="BD323" s="12"/>
      <c r="BE323" s="12"/>
      <c r="BF323" s="12"/>
      <c r="BG323" s="12"/>
      <c r="BH323" s="11">
        <v>26080.0</v>
      </c>
      <c r="BI323" s="11">
        <v>22000.0</v>
      </c>
      <c r="BJ323" s="11">
        <v>19230.0</v>
      </c>
      <c r="BK323" s="11">
        <v>35090.0</v>
      </c>
      <c r="BL323" s="11">
        <v>50420.0</v>
      </c>
      <c r="BM323" s="11">
        <v>26.0</v>
      </c>
      <c r="BN323" s="11">
        <v>1530.0</v>
      </c>
      <c r="BO323" s="11">
        <v>331.0</v>
      </c>
      <c r="BP323" s="11">
        <v>821.0</v>
      </c>
      <c r="BQ323" s="11">
        <v>65.0</v>
      </c>
      <c r="BR323" s="12"/>
      <c r="BS323" s="12"/>
      <c r="BT323" s="12"/>
      <c r="BU323" s="12"/>
      <c r="BV323" s="12"/>
      <c r="BW323" s="11">
        <v>26970.0</v>
      </c>
      <c r="BX323" s="11">
        <v>24900.0</v>
      </c>
      <c r="BY323" s="11">
        <v>21410.0</v>
      </c>
      <c r="BZ323" s="11">
        <v>35980.0</v>
      </c>
      <c r="CA323" s="11">
        <v>50650.0</v>
      </c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1">
        <v>26970.0</v>
      </c>
      <c r="CM323" s="11">
        <v>24900.0</v>
      </c>
      <c r="CN323" s="11">
        <v>21410.0</v>
      </c>
      <c r="CO323" s="11">
        <v>35980.0</v>
      </c>
      <c r="CP323" s="11">
        <v>50650.0</v>
      </c>
      <c r="CQ323" s="11">
        <v>3940.0</v>
      </c>
      <c r="CR323" s="11">
        <v>9750.0</v>
      </c>
      <c r="CS323" s="12"/>
      <c r="CT323" s="12"/>
      <c r="CU323" s="12"/>
      <c r="CV323" s="11">
        <v>8120.0</v>
      </c>
      <c r="CW323" s="12"/>
      <c r="CX323" s="12"/>
      <c r="CY323" s="12"/>
      <c r="CZ323" s="12"/>
      <c r="DA323" s="12"/>
      <c r="DB323" s="11">
        <v>8120.0</v>
      </c>
      <c r="DC323" s="11">
        <v>13090.0</v>
      </c>
      <c r="DD323" s="11">
        <v>6370.0</v>
      </c>
      <c r="DE323" s="11">
        <v>3670.0</v>
      </c>
      <c r="DF323" s="11">
        <v>8120.0</v>
      </c>
      <c r="DG323" s="11">
        <v>13090.0</v>
      </c>
      <c r="DH323" s="11">
        <v>6370.0</v>
      </c>
      <c r="DI323" s="11">
        <v>3670.0</v>
      </c>
      <c r="DJ323" s="11">
        <v>4260.0</v>
      </c>
      <c r="DK323" s="12"/>
      <c r="DL323" s="12"/>
      <c r="DM323" s="12"/>
      <c r="DN323" s="12"/>
      <c r="DO323" s="12"/>
      <c r="DP323" s="12"/>
      <c r="DQ323" s="12"/>
      <c r="DR323" s="12"/>
      <c r="DS323" s="12"/>
      <c r="DT323" s="11">
        <v>2470.0</v>
      </c>
      <c r="DU323" s="13"/>
      <c r="DV323" s="12"/>
      <c r="DW323" s="12"/>
      <c r="DX323" s="13"/>
      <c r="DY323" s="13"/>
      <c r="DZ323" s="11">
        <v>18850.0</v>
      </c>
      <c r="EA323" s="11">
        <v>11810.0</v>
      </c>
      <c r="EB323" s="11">
        <v>15040.0</v>
      </c>
      <c r="EC323" s="11">
        <v>32310.0</v>
      </c>
      <c r="ED323" s="11">
        <v>46400.0</v>
      </c>
      <c r="EE323" s="14">
        <v>0.6</v>
      </c>
      <c r="EF323" s="23"/>
      <c r="EG323" s="14">
        <v>0.0</v>
      </c>
      <c r="EH323" s="14">
        <v>0.091</v>
      </c>
    </row>
    <row r="324">
      <c r="A324" s="9">
        <f t="shared" si="2"/>
        <v>322</v>
      </c>
      <c r="B324" s="25" t="s">
        <v>458</v>
      </c>
      <c r="C324" s="15">
        <v>1.646E7</v>
      </c>
      <c r="D324" s="15">
        <v>1.6E7</v>
      </c>
      <c r="E324" s="15">
        <v>1.569E7</v>
      </c>
      <c r="F324" s="15">
        <v>1.554E7</v>
      </c>
      <c r="G324" s="15">
        <v>1.545E7</v>
      </c>
      <c r="H324" s="15">
        <v>1.52E7</v>
      </c>
      <c r="I324" s="15">
        <v>1.603E7</v>
      </c>
      <c r="J324" s="15">
        <v>9280000.0</v>
      </c>
      <c r="K324" s="15">
        <v>9210000.0</v>
      </c>
      <c r="L324" s="15">
        <v>9320000.0</v>
      </c>
      <c r="M324" s="15">
        <v>9130000.0</v>
      </c>
      <c r="N324" s="15">
        <v>9370000.0</v>
      </c>
      <c r="O324" s="15">
        <v>5520000.0</v>
      </c>
      <c r="P324" s="15">
        <v>5360000.0</v>
      </c>
      <c r="Q324" s="15">
        <v>5310000.0</v>
      </c>
      <c r="R324" s="15">
        <v>5170000.0</v>
      </c>
      <c r="S324" s="15">
        <v>5400000.0</v>
      </c>
      <c r="T324" s="15">
        <v>281000.0</v>
      </c>
      <c r="U324" s="15">
        <v>277000.0</v>
      </c>
      <c r="V324" s="15">
        <v>285000.0</v>
      </c>
      <c r="W324" s="15">
        <v>289000.0</v>
      </c>
      <c r="X324" s="15">
        <v>274000.0</v>
      </c>
      <c r="Y324" s="15">
        <v>3590000.0</v>
      </c>
      <c r="Z324" s="15">
        <v>3690000.0</v>
      </c>
      <c r="AA324" s="15">
        <v>-333000.0</v>
      </c>
      <c r="AB324" s="15">
        <v>3720000.0</v>
      </c>
      <c r="AC324" s="15">
        <v>-1400000.0</v>
      </c>
      <c r="AD324" s="15">
        <v>3300000.0</v>
      </c>
      <c r="AE324" s="15">
        <v>3460000.0</v>
      </c>
      <c r="AF324" s="15">
        <v>3490000.0</v>
      </c>
      <c r="AG324" s="15">
        <v>3740000.0</v>
      </c>
      <c r="AH324" s="15">
        <v>2760000.0</v>
      </c>
      <c r="AI324" s="15">
        <v>4280000.0</v>
      </c>
      <c r="AJ324" s="15">
        <v>4360000.0</v>
      </c>
      <c r="AK324" s="15">
        <v>4480000.0</v>
      </c>
      <c r="AL324" s="15">
        <v>4400000.0</v>
      </c>
      <c r="AM324" s="15">
        <v>4420000.0</v>
      </c>
      <c r="AN324" s="15">
        <v>2370000.0</v>
      </c>
      <c r="AO324" s="15">
        <v>2400000.0</v>
      </c>
      <c r="AP324" s="15">
        <v>2020000.0</v>
      </c>
      <c r="AQ324" s="15">
        <v>2440000.0</v>
      </c>
      <c r="AR324" s="15">
        <v>1380000.0</v>
      </c>
      <c r="AS324" s="15">
        <v>3130000.0</v>
      </c>
      <c r="AT324" s="15">
        <v>3060000.0</v>
      </c>
      <c r="AU324" s="15">
        <v>3050000.0</v>
      </c>
      <c r="AV324" s="15">
        <v>3140000.0</v>
      </c>
      <c r="AW324" s="15">
        <v>2950000.0</v>
      </c>
      <c r="AX324" s="15">
        <v>-335000.0</v>
      </c>
      <c r="AY324" s="15">
        <v>-436000.0</v>
      </c>
      <c r="AZ324" s="15">
        <v>-553000.0</v>
      </c>
      <c r="BA324" s="15">
        <v>-593000.0</v>
      </c>
      <c r="BB324" s="15">
        <v>-691000.0</v>
      </c>
      <c r="BC324" s="15">
        <v>-1470000.0</v>
      </c>
      <c r="BD324" s="15">
        <v>-1450000.0</v>
      </c>
      <c r="BE324" s="15">
        <v>-1410000.0</v>
      </c>
      <c r="BF324" s="15">
        <v>-1380000.0</v>
      </c>
      <c r="BG324" s="15">
        <v>-1360000.0</v>
      </c>
      <c r="BH324" s="15">
        <v>906000.0</v>
      </c>
      <c r="BI324" s="15">
        <v>736000.0</v>
      </c>
      <c r="BJ324" s="15">
        <v>1550000.0</v>
      </c>
      <c r="BK324" s="15">
        <v>1390000.0</v>
      </c>
      <c r="BL324" s="15">
        <v>1030000.0</v>
      </c>
      <c r="BM324" s="15">
        <v>1440000.0</v>
      </c>
      <c r="BN324" s="15">
        <v>1400000.0</v>
      </c>
      <c r="BO324" s="15">
        <v>1480000.0</v>
      </c>
      <c r="BP324" s="15">
        <v>1410000.0</v>
      </c>
      <c r="BQ324" s="15">
        <v>1430000.0</v>
      </c>
      <c r="BR324" s="15">
        <v>1400000.0</v>
      </c>
      <c r="BS324" s="15">
        <v>1250000.0</v>
      </c>
      <c r="BT324" s="15">
        <v>1220000.0</v>
      </c>
      <c r="BU324" s="15">
        <v>1170000.0</v>
      </c>
      <c r="BV324" s="15">
        <v>1180000.0</v>
      </c>
      <c r="BW324" s="15">
        <v>4180000.0</v>
      </c>
      <c r="BX324" s="15">
        <v>3790000.0</v>
      </c>
      <c r="BY324" s="15">
        <v>4640000.0</v>
      </c>
      <c r="BZ324" s="15">
        <v>4340000.0</v>
      </c>
      <c r="CA324" s="15">
        <v>4130000.0</v>
      </c>
      <c r="CB324" s="15">
        <v>4250000.0</v>
      </c>
      <c r="CC324" s="15">
        <v>3880000.0</v>
      </c>
      <c r="CD324" s="15">
        <v>4070000.0</v>
      </c>
      <c r="CE324" s="15">
        <v>3840000.0</v>
      </c>
      <c r="CF324" s="15">
        <v>3800000.0</v>
      </c>
      <c r="CG324" s="15">
        <v>3510000.0</v>
      </c>
      <c r="CH324" s="15">
        <v>2530000.0</v>
      </c>
      <c r="CI324" s="15">
        <v>2220000.0</v>
      </c>
      <c r="CJ324" s="15">
        <v>2110000.0</v>
      </c>
      <c r="CK324" s="15">
        <v>2100000.0</v>
      </c>
      <c r="CL324" s="15">
        <v>1.503E7</v>
      </c>
      <c r="CM324" s="15">
        <v>1.216E7</v>
      </c>
      <c r="CN324" s="15">
        <v>1.268E7</v>
      </c>
      <c r="CO324" s="15">
        <v>1.212E7</v>
      </c>
      <c r="CP324" s="15">
        <v>1.194E7</v>
      </c>
      <c r="CQ324" s="15">
        <v>1240000.0</v>
      </c>
      <c r="CR324" s="15">
        <v>1220000.0</v>
      </c>
      <c r="CS324" s="15">
        <v>1210000.0</v>
      </c>
      <c r="CT324" s="15">
        <v>1120000.0</v>
      </c>
      <c r="CU324" s="15">
        <v>1110000.0</v>
      </c>
      <c r="CV324" s="15">
        <v>4040000.0</v>
      </c>
      <c r="CW324" s="15">
        <v>405000.0</v>
      </c>
      <c r="CX324" s="15">
        <v>12000.0</v>
      </c>
      <c r="CY324" s="15">
        <v>11000.0</v>
      </c>
      <c r="CZ324" s="15">
        <v>13000.0</v>
      </c>
      <c r="DA324" s="15">
        <v>4000.0</v>
      </c>
      <c r="DB324" s="15">
        <v>4040000.0</v>
      </c>
      <c r="DC324" s="15">
        <v>3340000.0</v>
      </c>
      <c r="DD324" s="15">
        <v>3410000.0</v>
      </c>
      <c r="DE324" s="15">
        <v>3310000.0</v>
      </c>
      <c r="DF324" s="15">
        <v>1.448E7</v>
      </c>
      <c r="DG324" s="15">
        <v>1.196E7</v>
      </c>
      <c r="DH324" s="15">
        <v>1.243E7</v>
      </c>
      <c r="DI324" s="15">
        <v>1.211E7</v>
      </c>
      <c r="DJ324" s="15">
        <v>1.198E7</v>
      </c>
      <c r="DK324" s="15">
        <v>54000.0</v>
      </c>
      <c r="DL324" s="15">
        <v>46000.0</v>
      </c>
      <c r="DM324" s="15">
        <v>42000.0</v>
      </c>
      <c r="DN324" s="15">
        <v>42000.0</v>
      </c>
      <c r="DO324" s="15">
        <v>34000.0</v>
      </c>
      <c r="DP324" s="15">
        <v>7820000.0</v>
      </c>
      <c r="DQ324" s="15">
        <v>6350000.0</v>
      </c>
      <c r="DR324" s="15">
        <v>6570000.0</v>
      </c>
      <c r="DS324" s="15">
        <v>6520000.0</v>
      </c>
      <c r="DT324" s="15">
        <v>6250000.0</v>
      </c>
      <c r="DU324" s="12"/>
      <c r="DV324" s="12"/>
      <c r="DW324" s="12"/>
      <c r="DX324" s="12"/>
      <c r="DY324" s="12"/>
      <c r="DZ324" s="15">
        <v>117000.0</v>
      </c>
      <c r="EA324" s="15">
        <v>-102000.0</v>
      </c>
      <c r="EB324" s="15">
        <v>-60000.0</v>
      </c>
      <c r="EC324" s="15">
        <v>-243000.0</v>
      </c>
      <c r="ED324" s="15">
        <v>-299000.0</v>
      </c>
      <c r="EE324" s="17">
        <v>0.022</v>
      </c>
      <c r="EF324" s="17">
        <v>0.036</v>
      </c>
      <c r="EG324" s="17">
        <v>0.072</v>
      </c>
      <c r="EH324" s="17">
        <v>0.025</v>
      </c>
    </row>
    <row r="325">
      <c r="A325" s="9">
        <f t="shared" si="2"/>
        <v>323</v>
      </c>
      <c r="B325" s="10" t="s">
        <v>459</v>
      </c>
      <c r="C325" s="12"/>
      <c r="D325" s="12"/>
      <c r="E325" s="15">
        <v>42730.0</v>
      </c>
      <c r="F325" s="15">
        <v>43690.0</v>
      </c>
      <c r="G325" s="15">
        <v>70610.0</v>
      </c>
      <c r="H325" s="15">
        <v>48420.0</v>
      </c>
      <c r="I325" s="15">
        <v>29840.0</v>
      </c>
      <c r="J325" s="15">
        <v>-2930.0</v>
      </c>
      <c r="K325" s="15">
        <v>2010.0</v>
      </c>
      <c r="L325" s="15">
        <v>30940.0</v>
      </c>
      <c r="M325" s="15">
        <v>26410.0</v>
      </c>
      <c r="N325" s="15">
        <v>17390.0</v>
      </c>
      <c r="O325" s="15">
        <v>1010.0</v>
      </c>
      <c r="P325" s="15">
        <v>0.0</v>
      </c>
      <c r="Q325" s="15">
        <v>0.0</v>
      </c>
      <c r="R325" s="15">
        <v>3050.0</v>
      </c>
      <c r="S325" s="15">
        <v>0.0</v>
      </c>
      <c r="T325" s="15">
        <v>0.0</v>
      </c>
      <c r="U325" s="15">
        <v>0.0</v>
      </c>
      <c r="V325" s="15">
        <v>0.0</v>
      </c>
      <c r="W325" s="15">
        <v>0.0</v>
      </c>
      <c r="X325" s="15">
        <v>0.0</v>
      </c>
      <c r="Y325" s="15">
        <v>-4630.0</v>
      </c>
      <c r="Z325" s="15">
        <v>0.0</v>
      </c>
      <c r="AA325" s="15">
        <v>0.0</v>
      </c>
      <c r="AB325" s="15">
        <v>0.0</v>
      </c>
      <c r="AC325" s="15">
        <v>0.0</v>
      </c>
      <c r="AD325" s="15">
        <v>-4920.0</v>
      </c>
      <c r="AE325" s="15">
        <v>1610.0</v>
      </c>
      <c r="AF325" s="15">
        <v>27120.0</v>
      </c>
      <c r="AG325" s="15">
        <v>25140.0</v>
      </c>
      <c r="AH325" s="15">
        <v>18220.0</v>
      </c>
      <c r="AI325" s="15">
        <v>0.0</v>
      </c>
      <c r="AJ325" s="15">
        <v>0.0</v>
      </c>
      <c r="AK325" s="15">
        <v>31010.0</v>
      </c>
      <c r="AL325" s="15">
        <v>24450.0</v>
      </c>
      <c r="AM325" s="15">
        <v>18460.0</v>
      </c>
      <c r="AN325" s="15">
        <v>-4720.0</v>
      </c>
      <c r="AO325" s="15">
        <v>0.0</v>
      </c>
      <c r="AP325" s="15">
        <v>21940.0</v>
      </c>
      <c r="AQ325" s="15">
        <v>20340.0</v>
      </c>
      <c r="AR325" s="15">
        <v>14750.0</v>
      </c>
      <c r="AS325" s="15">
        <v>18360.0</v>
      </c>
      <c r="AT325" s="15">
        <v>-2640.0</v>
      </c>
      <c r="AU325" s="15">
        <v>0.0</v>
      </c>
      <c r="AV325" s="15">
        <v>10700.0</v>
      </c>
      <c r="AW325" s="15">
        <v>9700.0</v>
      </c>
      <c r="AX325" s="15">
        <v>-33420.0</v>
      </c>
      <c r="AY325" s="15">
        <v>0.0</v>
      </c>
      <c r="AZ325" s="15">
        <v>0.0</v>
      </c>
      <c r="BA325" s="15">
        <v>0.0</v>
      </c>
      <c r="BB325" s="15">
        <v>0.0</v>
      </c>
      <c r="BC325" s="16">
        <v>0.0</v>
      </c>
      <c r="BD325" s="16">
        <v>0.0</v>
      </c>
      <c r="BE325" s="16">
        <v>0.0</v>
      </c>
      <c r="BF325" s="15">
        <v>0.0</v>
      </c>
      <c r="BG325" s="16">
        <v>0.0</v>
      </c>
      <c r="BH325" s="15">
        <v>4810.0</v>
      </c>
      <c r="BI325" s="15">
        <v>13050.0</v>
      </c>
      <c r="BJ325" s="15">
        <v>16020.0</v>
      </c>
      <c r="BK325" s="15">
        <v>35900.0</v>
      </c>
      <c r="BL325" s="15">
        <v>25320.0</v>
      </c>
      <c r="BM325" s="15">
        <v>36350.0</v>
      </c>
      <c r="BN325" s="15">
        <v>50630.0</v>
      </c>
      <c r="BO325" s="15">
        <v>48740.0</v>
      </c>
      <c r="BP325" s="15">
        <v>26770.0</v>
      </c>
      <c r="BQ325" s="15">
        <v>17600.0</v>
      </c>
      <c r="BR325" s="15">
        <v>0.0</v>
      </c>
      <c r="BS325" s="15">
        <v>0.0</v>
      </c>
      <c r="BT325" s="15">
        <v>0.0</v>
      </c>
      <c r="BU325" s="15">
        <v>0.0</v>
      </c>
      <c r="BV325" s="15">
        <v>0.0</v>
      </c>
      <c r="BW325" s="15">
        <v>41220.0</v>
      </c>
      <c r="BX325" s="15">
        <v>64700.0</v>
      </c>
      <c r="BY325" s="15">
        <v>66180.0</v>
      </c>
      <c r="BZ325" s="15">
        <v>64500.0</v>
      </c>
      <c r="CA325" s="15">
        <v>42930.0</v>
      </c>
      <c r="CB325" s="15">
        <v>0.0</v>
      </c>
      <c r="CC325" s="15">
        <v>0.0</v>
      </c>
      <c r="CD325" s="15">
        <v>0.0</v>
      </c>
      <c r="CE325" s="15">
        <v>0.0</v>
      </c>
      <c r="CF325" s="15">
        <v>0.0</v>
      </c>
      <c r="CG325" s="15">
        <v>2530.0</v>
      </c>
      <c r="CH325" s="15">
        <v>2530.0</v>
      </c>
      <c r="CI325" s="15">
        <v>2530.0</v>
      </c>
      <c r="CJ325" s="15">
        <v>0.0</v>
      </c>
      <c r="CK325" s="15">
        <v>0.0</v>
      </c>
      <c r="CL325" s="15">
        <v>76130.0</v>
      </c>
      <c r="CM325" s="15">
        <v>68100.0</v>
      </c>
      <c r="CN325" s="15">
        <v>70100.0</v>
      </c>
      <c r="CO325" s="15">
        <v>65120.0</v>
      </c>
      <c r="CP325" s="15">
        <v>44350.0</v>
      </c>
      <c r="CQ325" s="15">
        <v>6150.0</v>
      </c>
      <c r="CR325" s="15">
        <v>4890.0</v>
      </c>
      <c r="CS325" s="15">
        <v>4990.0</v>
      </c>
      <c r="CT325" s="15">
        <v>3800.0</v>
      </c>
      <c r="CU325" s="15">
        <v>2690.0</v>
      </c>
      <c r="CV325" s="15">
        <v>16840.0</v>
      </c>
      <c r="CW325" s="15">
        <v>0.0</v>
      </c>
      <c r="CX325" s="15">
        <v>0.0</v>
      </c>
      <c r="CY325" s="15">
        <v>0.0</v>
      </c>
      <c r="CZ325" s="15">
        <v>0.0</v>
      </c>
      <c r="DA325" s="15">
        <v>0.0</v>
      </c>
      <c r="DB325" s="15">
        <v>16840.0</v>
      </c>
      <c r="DC325" s="15">
        <v>5300.0</v>
      </c>
      <c r="DD325" s="15">
        <v>8400.0</v>
      </c>
      <c r="DE325" s="15">
        <v>7150.0</v>
      </c>
      <c r="DF325" s="15">
        <v>17390.0</v>
      </c>
      <c r="DG325" s="15">
        <v>5520.0</v>
      </c>
      <c r="DH325" s="15">
        <v>8400.0</v>
      </c>
      <c r="DI325" s="15">
        <v>7360.0</v>
      </c>
      <c r="DJ325" s="15">
        <v>19620.0</v>
      </c>
      <c r="DK325" s="15">
        <v>0.0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0.0</v>
      </c>
      <c r="DQ325" s="15">
        <v>0.0</v>
      </c>
      <c r="DR325" s="15">
        <v>0.0</v>
      </c>
      <c r="DS325" s="15">
        <v>0.0</v>
      </c>
      <c r="DT325" s="15">
        <v>0.0</v>
      </c>
      <c r="DU325" s="16">
        <v>0.0</v>
      </c>
      <c r="DV325" s="15">
        <v>0.0</v>
      </c>
      <c r="DW325" s="15">
        <v>0.0</v>
      </c>
      <c r="DX325" s="16">
        <v>0.0</v>
      </c>
      <c r="DY325" s="15">
        <v>0.0</v>
      </c>
      <c r="DZ325" s="15">
        <v>58740.0</v>
      </c>
      <c r="EA325" s="15">
        <v>62580.0</v>
      </c>
      <c r="EB325" s="15">
        <v>61710.0</v>
      </c>
      <c r="EC325" s="15">
        <v>57770.0</v>
      </c>
      <c r="ED325" s="15">
        <v>24730.0</v>
      </c>
      <c r="EE325" s="23"/>
      <c r="EF325" s="23"/>
      <c r="EG325" s="23"/>
      <c r="EH325" s="23"/>
    </row>
    <row r="326">
      <c r="A326" s="9">
        <f t="shared" si="2"/>
        <v>324</v>
      </c>
      <c r="B326" s="22" t="s">
        <v>460</v>
      </c>
      <c r="C326" s="11">
        <v>3850.0</v>
      </c>
      <c r="D326" s="11">
        <v>4200.0</v>
      </c>
      <c r="E326" s="11">
        <v>3570.0</v>
      </c>
      <c r="F326" s="11">
        <v>9540.0</v>
      </c>
      <c r="G326" s="11">
        <v>12740.0</v>
      </c>
      <c r="H326" s="11">
        <v>6790.0</v>
      </c>
      <c r="I326" s="11">
        <v>5480.0</v>
      </c>
      <c r="J326" s="12"/>
      <c r="K326" s="12"/>
      <c r="L326" s="12"/>
      <c r="M326" s="12"/>
      <c r="N326" s="11">
        <v>1470.0</v>
      </c>
      <c r="O326" s="11">
        <v>53240.0</v>
      </c>
      <c r="P326" s="11">
        <v>82140.0</v>
      </c>
      <c r="Q326" s="11">
        <v>116760.0</v>
      </c>
      <c r="R326" s="11">
        <v>130660.0</v>
      </c>
      <c r="S326" s="11">
        <v>131010.0</v>
      </c>
      <c r="T326" s="11">
        <v>37810.0</v>
      </c>
      <c r="U326" s="11">
        <v>66450.0</v>
      </c>
      <c r="V326" s="11">
        <v>96170.0</v>
      </c>
      <c r="W326" s="11">
        <v>102030.0</v>
      </c>
      <c r="X326" s="11">
        <v>100170.0</v>
      </c>
      <c r="Y326" s="11">
        <v>-55030.0</v>
      </c>
      <c r="Z326" s="11">
        <v>-156440.0</v>
      </c>
      <c r="AA326" s="11">
        <v>-121530.0</v>
      </c>
      <c r="AB326" s="11">
        <v>-132920.0</v>
      </c>
      <c r="AC326" s="12"/>
      <c r="AD326" s="11">
        <v>-50880.0</v>
      </c>
      <c r="AE326" s="11">
        <v>-151950.0</v>
      </c>
      <c r="AF326" s="11">
        <v>-117310.0</v>
      </c>
      <c r="AG326" s="11">
        <v>-128530.0</v>
      </c>
      <c r="AH326" s="11">
        <v>-127200.0</v>
      </c>
      <c r="AI326" s="11">
        <v>-49670.0</v>
      </c>
      <c r="AJ326" s="11">
        <v>-72600.0</v>
      </c>
      <c r="AK326" s="11">
        <v>-104020.0</v>
      </c>
      <c r="AL326" s="11">
        <v>-123870.0</v>
      </c>
      <c r="AM326" s="11">
        <v>-125530.0</v>
      </c>
      <c r="AN326" s="11">
        <v>-50880.0</v>
      </c>
      <c r="AO326" s="11">
        <v>-151180.0</v>
      </c>
      <c r="AP326" s="11">
        <v>-93030.0</v>
      </c>
      <c r="AQ326" s="11">
        <v>-128530.0</v>
      </c>
      <c r="AR326" s="11">
        <v>-127200.0</v>
      </c>
      <c r="AS326" s="11">
        <v>-46420.0</v>
      </c>
      <c r="AT326" s="11">
        <v>-75240.0</v>
      </c>
      <c r="AU326" s="11">
        <v>-99930.0</v>
      </c>
      <c r="AV326" s="11">
        <v>-113040.0</v>
      </c>
      <c r="AW326" s="11">
        <v>-98890.0</v>
      </c>
      <c r="AX326" s="11">
        <v>-731.0</v>
      </c>
      <c r="AY326" s="11">
        <v>-813.0</v>
      </c>
      <c r="AZ326" s="11">
        <v>-1790.0</v>
      </c>
      <c r="BA326" s="11">
        <v>-2750.0</v>
      </c>
      <c r="BB326" s="11">
        <v>-4880.0</v>
      </c>
      <c r="BC326" s="12"/>
      <c r="BD326" s="12"/>
      <c r="BE326" s="12"/>
      <c r="BF326" s="12"/>
      <c r="BG326" s="12"/>
      <c r="BH326" s="11">
        <v>64180.0</v>
      </c>
      <c r="BI326" s="11">
        <v>93920.0</v>
      </c>
      <c r="BJ326" s="11">
        <v>139130.0</v>
      </c>
      <c r="BK326" s="11">
        <v>189180.0</v>
      </c>
      <c r="BL326" s="11">
        <v>289890.0</v>
      </c>
      <c r="BM326" s="11">
        <v>1220.0</v>
      </c>
      <c r="BN326" s="11">
        <v>3260.0</v>
      </c>
      <c r="BO326" s="11">
        <v>2180.0</v>
      </c>
      <c r="BP326" s="11">
        <v>2380.0</v>
      </c>
      <c r="BQ326" s="11">
        <v>970.0</v>
      </c>
      <c r="BR326" s="12"/>
      <c r="BS326" s="12"/>
      <c r="BT326" s="12"/>
      <c r="BU326" s="12"/>
      <c r="BV326" s="12"/>
      <c r="BW326" s="11">
        <v>66700.0</v>
      </c>
      <c r="BX326" s="11">
        <v>99080.0</v>
      </c>
      <c r="BY326" s="11">
        <v>144760.0</v>
      </c>
      <c r="BZ326" s="11">
        <v>195570.0</v>
      </c>
      <c r="CA326" s="11">
        <v>294940.0</v>
      </c>
      <c r="CB326" s="11">
        <v>7500.0</v>
      </c>
      <c r="CC326" s="11">
        <v>6110.0</v>
      </c>
      <c r="CD326" s="11">
        <v>10370.0</v>
      </c>
      <c r="CE326" s="11">
        <v>13190.0</v>
      </c>
      <c r="CF326" s="11">
        <v>11460.0</v>
      </c>
      <c r="CG326" s="12"/>
      <c r="CH326" s="12"/>
      <c r="CI326" s="11">
        <v>90980.0</v>
      </c>
      <c r="CJ326" s="11">
        <v>90980.0</v>
      </c>
      <c r="CK326" s="11">
        <v>8970.0</v>
      </c>
      <c r="CL326" s="11">
        <v>122930.0</v>
      </c>
      <c r="CM326" s="11">
        <v>155810.0</v>
      </c>
      <c r="CN326" s="11">
        <v>315620.0</v>
      </c>
      <c r="CO326" s="11">
        <v>383360.0</v>
      </c>
      <c r="CP326" s="11">
        <v>337580.0</v>
      </c>
      <c r="CQ326" s="11">
        <v>1170.0</v>
      </c>
      <c r="CR326" s="11">
        <v>1070.0</v>
      </c>
      <c r="CS326" s="11">
        <v>1720.0</v>
      </c>
      <c r="CT326" s="11">
        <v>1740.0</v>
      </c>
      <c r="CU326" s="11">
        <v>1510.0</v>
      </c>
      <c r="CV326" s="11">
        <v>11640.0</v>
      </c>
      <c r="CW326" s="11">
        <v>1940.0</v>
      </c>
      <c r="CX326" s="12"/>
      <c r="CY326" s="12"/>
      <c r="CZ326" s="12"/>
      <c r="DA326" s="12"/>
      <c r="DB326" s="11">
        <v>11640.0</v>
      </c>
      <c r="DC326" s="11">
        <v>12600.0</v>
      </c>
      <c r="DD326" s="11">
        <v>27740.0</v>
      </c>
      <c r="DE326" s="11">
        <v>35220.0</v>
      </c>
      <c r="DF326" s="11">
        <v>28910.0</v>
      </c>
      <c r="DG326" s="11">
        <v>31750.0</v>
      </c>
      <c r="DH326" s="11">
        <v>79260.0</v>
      </c>
      <c r="DI326" s="11">
        <v>117930.0</v>
      </c>
      <c r="DJ326" s="11">
        <v>47480.0</v>
      </c>
      <c r="DK326" s="12"/>
      <c r="DL326" s="12"/>
      <c r="DM326" s="12"/>
      <c r="DN326" s="12"/>
      <c r="DO326" s="12"/>
      <c r="DP326" s="11">
        <v>1710.0</v>
      </c>
      <c r="DQ326" s="12"/>
      <c r="DR326" s="12"/>
      <c r="DS326" s="12"/>
      <c r="DT326" s="12"/>
      <c r="DU326" s="13"/>
      <c r="DV326" s="12"/>
      <c r="DW326" s="12"/>
      <c r="DX326" s="13"/>
      <c r="DY326" s="13"/>
      <c r="DZ326" s="11">
        <v>94030.0</v>
      </c>
      <c r="EA326" s="11">
        <v>124060.0</v>
      </c>
      <c r="EB326" s="11">
        <v>236370.0</v>
      </c>
      <c r="EC326" s="11">
        <v>265430.0</v>
      </c>
      <c r="ED326" s="11">
        <v>290110.0</v>
      </c>
      <c r="EE326" s="14">
        <v>0.286</v>
      </c>
      <c r="EF326" s="14">
        <v>0.338</v>
      </c>
      <c r="EG326" s="14">
        <v>0.138</v>
      </c>
      <c r="EH326" s="14">
        <v>0.127</v>
      </c>
    </row>
    <row r="327">
      <c r="A327" s="9">
        <f t="shared" si="2"/>
        <v>325</v>
      </c>
      <c r="B327" s="10" t="s">
        <v>461</v>
      </c>
      <c r="C327" s="15">
        <v>7640000.0</v>
      </c>
      <c r="D327" s="15">
        <v>4800000.0</v>
      </c>
      <c r="E327" s="15">
        <v>1980000.0</v>
      </c>
      <c r="F327" s="15">
        <v>1910000.0</v>
      </c>
      <c r="G327" s="15">
        <v>1750000.0</v>
      </c>
      <c r="H327" s="15">
        <v>2020000.0</v>
      </c>
      <c r="I327" s="15">
        <v>2030000.0</v>
      </c>
      <c r="J327" s="15">
        <v>570700.0</v>
      </c>
      <c r="K327" s="15">
        <v>388700.0</v>
      </c>
      <c r="L327" s="15">
        <v>348300.0</v>
      </c>
      <c r="M327" s="15">
        <v>296700.0</v>
      </c>
      <c r="N327" s="15">
        <v>254300.0</v>
      </c>
      <c r="O327" s="15">
        <v>119400.0</v>
      </c>
      <c r="P327" s="15">
        <v>116800.0</v>
      </c>
      <c r="Q327" s="15">
        <v>102900.0</v>
      </c>
      <c r="R327" s="15">
        <v>117800.0</v>
      </c>
      <c r="S327" s="15">
        <v>110000.0</v>
      </c>
      <c r="T327" s="15">
        <v>0.0</v>
      </c>
      <c r="U327" s="15">
        <v>0.0</v>
      </c>
      <c r="V327" s="15">
        <v>0.0</v>
      </c>
      <c r="W327" s="15">
        <v>0.0</v>
      </c>
      <c r="X327" s="15">
        <v>0.0</v>
      </c>
      <c r="Y327" s="15">
        <v>411100.0</v>
      </c>
      <c r="Z327" s="15">
        <v>660800.0</v>
      </c>
      <c r="AA327" s="15">
        <v>-42400.0</v>
      </c>
      <c r="AB327" s="15">
        <v>425400.0</v>
      </c>
      <c r="AC327" s="15">
        <v>543000.0</v>
      </c>
      <c r="AD327" s="15">
        <v>312100.0</v>
      </c>
      <c r="AE327" s="15">
        <v>564700.0</v>
      </c>
      <c r="AF327" s="15">
        <v>108200.0</v>
      </c>
      <c r="AG327" s="15">
        <v>207000.0</v>
      </c>
      <c r="AH327" s="15">
        <v>313100.0</v>
      </c>
      <c r="AI327" s="15">
        <v>509400.0</v>
      </c>
      <c r="AJ327" s="15">
        <v>360900.0</v>
      </c>
      <c r="AK327" s="15">
        <v>333100.0</v>
      </c>
      <c r="AL327" s="15">
        <v>281900.0</v>
      </c>
      <c r="AM327" s="15">
        <v>278300.0</v>
      </c>
      <c r="AN327" s="15">
        <v>294500.0</v>
      </c>
      <c r="AO327" s="15">
        <v>1040000.0</v>
      </c>
      <c r="AP327" s="15">
        <v>364500.0</v>
      </c>
      <c r="AQ327" s="15">
        <v>194000.0</v>
      </c>
      <c r="AR327" s="15">
        <v>142800.0</v>
      </c>
      <c r="AS327" s="15">
        <v>562500.0</v>
      </c>
      <c r="AT327" s="15">
        <v>478500.0</v>
      </c>
      <c r="AU327" s="15">
        <v>338100.0</v>
      </c>
      <c r="AV327" s="15">
        <v>303000.0</v>
      </c>
      <c r="AW327" s="15">
        <v>22700.0</v>
      </c>
      <c r="AX327" s="15">
        <v>-656000.0</v>
      </c>
      <c r="AY327" s="15">
        <v>-296100.0</v>
      </c>
      <c r="AZ327" s="15">
        <v>-151700.0</v>
      </c>
      <c r="BA327" s="15">
        <v>-69100.0</v>
      </c>
      <c r="BB327" s="15">
        <v>-80800.0</v>
      </c>
      <c r="BC327" s="15">
        <v>-116300.0</v>
      </c>
      <c r="BD327" s="15">
        <v>-44200.0</v>
      </c>
      <c r="BE327" s="15">
        <v>-52900.0</v>
      </c>
      <c r="BF327" s="15">
        <v>-59900.0</v>
      </c>
      <c r="BG327" s="15">
        <v>-91800.0</v>
      </c>
      <c r="BH327" s="15">
        <v>359600.0</v>
      </c>
      <c r="BI327" s="15">
        <v>914700.0</v>
      </c>
      <c r="BJ327" s="15">
        <v>1020000.0</v>
      </c>
      <c r="BK327" s="15">
        <v>323400.0</v>
      </c>
      <c r="BL327" s="15">
        <v>285200.0</v>
      </c>
      <c r="BM327" s="15">
        <v>152600.0</v>
      </c>
      <c r="BN327" s="15">
        <v>344000.0</v>
      </c>
      <c r="BO327" s="15">
        <v>171600.0</v>
      </c>
      <c r="BP327" s="15">
        <v>177300.0</v>
      </c>
      <c r="BQ327" s="15">
        <v>212300.0</v>
      </c>
      <c r="BR327" s="15">
        <v>317400.0</v>
      </c>
      <c r="BS327" s="15">
        <v>181100.0</v>
      </c>
      <c r="BT327" s="15">
        <v>227200.0</v>
      </c>
      <c r="BU327" s="15">
        <v>269800.0</v>
      </c>
      <c r="BV327" s="15">
        <v>440000.0</v>
      </c>
      <c r="BW327" s="15">
        <v>897900.0</v>
      </c>
      <c r="BX327" s="15">
        <v>1480000.0</v>
      </c>
      <c r="BY327" s="15">
        <v>1540000.0</v>
      </c>
      <c r="BZ327" s="15">
        <v>824600.0</v>
      </c>
      <c r="CA327" s="15">
        <v>982700.0</v>
      </c>
      <c r="CB327" s="15">
        <v>1960000.0</v>
      </c>
      <c r="CC327" s="15">
        <v>1370000.0</v>
      </c>
      <c r="CD327" s="15">
        <v>1050000.0</v>
      </c>
      <c r="CE327" s="15">
        <v>984400.0</v>
      </c>
      <c r="CF327" s="15">
        <v>1060000.0</v>
      </c>
      <c r="CG327" s="15">
        <v>0.0</v>
      </c>
      <c r="CH327" s="15">
        <v>0.0</v>
      </c>
      <c r="CI327" s="15">
        <v>0.0</v>
      </c>
      <c r="CJ327" s="15">
        <v>2000.0</v>
      </c>
      <c r="CK327" s="15">
        <v>2000.0</v>
      </c>
      <c r="CL327" s="15">
        <v>3650000.0</v>
      </c>
      <c r="CM327" s="15">
        <v>4150000.0</v>
      </c>
      <c r="CN327" s="15">
        <v>2950000.0</v>
      </c>
      <c r="CO327" s="15">
        <v>1920000.0</v>
      </c>
      <c r="CP327" s="15">
        <v>2140000.0</v>
      </c>
      <c r="CQ327" s="15">
        <v>193200.0</v>
      </c>
      <c r="CR327" s="15">
        <v>186800.0</v>
      </c>
      <c r="CS327" s="15">
        <v>99500.0</v>
      </c>
      <c r="CT327" s="15">
        <v>107600.0</v>
      </c>
      <c r="CU327" s="15">
        <v>106300.0</v>
      </c>
      <c r="CV327" s="15">
        <v>409400.0</v>
      </c>
      <c r="CW327" s="15">
        <v>0.0</v>
      </c>
      <c r="CX327" s="15">
        <v>0.0</v>
      </c>
      <c r="CY327" s="15">
        <v>0.0</v>
      </c>
      <c r="CZ327" s="15">
        <v>0.0</v>
      </c>
      <c r="DA327" s="15">
        <v>0.0</v>
      </c>
      <c r="DB327" s="15">
        <v>409400.0</v>
      </c>
      <c r="DC327" s="15">
        <v>468200.0</v>
      </c>
      <c r="DD327" s="15">
        <v>452200.0</v>
      </c>
      <c r="DE327" s="15">
        <v>391100.0</v>
      </c>
      <c r="DF327" s="15">
        <v>3300000.0</v>
      </c>
      <c r="DG327" s="15">
        <v>3730000.0</v>
      </c>
      <c r="DH327" s="15">
        <v>3400000.0</v>
      </c>
      <c r="DI327" s="15">
        <v>3250000.0</v>
      </c>
      <c r="DJ327" s="15">
        <v>3950000.0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2110000.0</v>
      </c>
      <c r="DQ327" s="15">
        <v>2090000.0</v>
      </c>
      <c r="DR327" s="15">
        <v>2360000.0</v>
      </c>
      <c r="DS327" s="15">
        <v>2210000.0</v>
      </c>
      <c r="DT327" s="15">
        <v>2760000.0</v>
      </c>
      <c r="DU327" s="16">
        <v>0.0</v>
      </c>
      <c r="DV327" s="15">
        <v>0.0</v>
      </c>
      <c r="DW327" s="15">
        <v>0.0</v>
      </c>
      <c r="DX327" s="16">
        <v>0.0</v>
      </c>
      <c r="DY327" s="15">
        <v>731300.0</v>
      </c>
      <c r="DZ327" s="15">
        <v>357900.0</v>
      </c>
      <c r="EA327" s="15">
        <v>424200.0</v>
      </c>
      <c r="EB327" s="15">
        <v>-444300.0</v>
      </c>
      <c r="EC327" s="15">
        <v>-1460000.0</v>
      </c>
      <c r="ED327" s="15">
        <v>-1980000.0</v>
      </c>
      <c r="EE327" s="17">
        <v>0.081</v>
      </c>
      <c r="EF327" s="17">
        <v>0.223</v>
      </c>
      <c r="EG327" s="17">
        <v>-0.188</v>
      </c>
      <c r="EH327" s="17">
        <v>0.081</v>
      </c>
    </row>
    <row r="328">
      <c r="A328" s="9">
        <f t="shared" si="2"/>
        <v>326</v>
      </c>
      <c r="B328" s="22" t="s">
        <v>462</v>
      </c>
      <c r="C328" s="11">
        <v>66810.0</v>
      </c>
      <c r="D328" s="11">
        <v>82300.0</v>
      </c>
      <c r="E328" s="11">
        <v>13570.0</v>
      </c>
      <c r="F328" s="11">
        <v>10790.0</v>
      </c>
      <c r="G328" s="11">
        <v>22330.0</v>
      </c>
      <c r="H328" s="11">
        <v>40490.0</v>
      </c>
      <c r="I328" s="11">
        <v>50350.0</v>
      </c>
      <c r="J328" s="11">
        <v>3390.0</v>
      </c>
      <c r="K328" s="11">
        <v>8470.0</v>
      </c>
      <c r="L328" s="11">
        <v>18510.0</v>
      </c>
      <c r="M328" s="11">
        <v>36890.0</v>
      </c>
      <c r="N328" s="11">
        <v>47710.0</v>
      </c>
      <c r="O328" s="11">
        <v>120670.0</v>
      </c>
      <c r="P328" s="11">
        <v>104950.0</v>
      </c>
      <c r="Q328" s="11">
        <v>108420.0</v>
      </c>
      <c r="R328" s="11">
        <v>108130.0</v>
      </c>
      <c r="S328" s="11">
        <v>79490.0</v>
      </c>
      <c r="T328" s="11">
        <v>82240.0</v>
      </c>
      <c r="U328" s="11">
        <v>64900.0</v>
      </c>
      <c r="V328" s="11">
        <v>70240.0</v>
      </c>
      <c r="W328" s="11">
        <v>70900.0</v>
      </c>
      <c r="X328" s="11">
        <v>52250.0</v>
      </c>
      <c r="Y328" s="12"/>
      <c r="Z328" s="12"/>
      <c r="AA328" s="12"/>
      <c r="AB328" s="12"/>
      <c r="AC328" s="11">
        <v>-30530.0</v>
      </c>
      <c r="AD328" s="11">
        <v>-109910.0</v>
      </c>
      <c r="AE328" s="11">
        <v>-82130.0</v>
      </c>
      <c r="AF328" s="11">
        <v>-99310.0</v>
      </c>
      <c r="AG328" s="11">
        <v>-69850.0</v>
      </c>
      <c r="AH328" s="11">
        <v>-25410.0</v>
      </c>
      <c r="AI328" s="11">
        <v>-111130.0</v>
      </c>
      <c r="AJ328" s="11">
        <v>-94470.0</v>
      </c>
      <c r="AK328" s="11">
        <v>-86920.0</v>
      </c>
      <c r="AL328" s="11">
        <v>-69250.0</v>
      </c>
      <c r="AM328" s="11">
        <v>-29030.0</v>
      </c>
      <c r="AN328" s="11">
        <v>-91210.0</v>
      </c>
      <c r="AO328" s="11">
        <v>-66700.0</v>
      </c>
      <c r="AP328" s="11">
        <v>-88100.0</v>
      </c>
      <c r="AQ328" s="11">
        <v>-60780.0</v>
      </c>
      <c r="AR328" s="11">
        <v>-20540.0</v>
      </c>
      <c r="AS328" s="11">
        <v>-61780.0</v>
      </c>
      <c r="AT328" s="11">
        <v>-57760.0</v>
      </c>
      <c r="AU328" s="11">
        <v>-46390.0</v>
      </c>
      <c r="AV328" s="11">
        <v>-29560.0</v>
      </c>
      <c r="AW328" s="11">
        <v>3240.0</v>
      </c>
      <c r="AX328" s="11">
        <v>-11580.0</v>
      </c>
      <c r="AY328" s="11">
        <v>-4140.0</v>
      </c>
      <c r="AZ328" s="11">
        <v>-2350.0</v>
      </c>
      <c r="BA328" s="11">
        <v>-12680.0</v>
      </c>
      <c r="BB328" s="11">
        <v>-3980.0</v>
      </c>
      <c r="BC328" s="12"/>
      <c r="BD328" s="12"/>
      <c r="BE328" s="12"/>
      <c r="BF328" s="12"/>
      <c r="BG328" s="12"/>
      <c r="BH328" s="11">
        <v>321520.0</v>
      </c>
      <c r="BI328" s="11">
        <v>395300.0</v>
      </c>
      <c r="BJ328" s="11">
        <v>247320.0</v>
      </c>
      <c r="BK328" s="11">
        <v>276220.0</v>
      </c>
      <c r="BL328" s="11">
        <v>314240.0</v>
      </c>
      <c r="BM328" s="11">
        <v>13620.0</v>
      </c>
      <c r="BN328" s="11">
        <v>19300.0</v>
      </c>
      <c r="BO328" s="11">
        <v>12240.0</v>
      </c>
      <c r="BP328" s="11">
        <v>13240.0</v>
      </c>
      <c r="BQ328" s="11">
        <v>15600.0</v>
      </c>
      <c r="BR328" s="11">
        <v>2580.0</v>
      </c>
      <c r="BS328" s="11">
        <v>241.0</v>
      </c>
      <c r="BT328" s="11">
        <v>208.0</v>
      </c>
      <c r="BU328" s="11">
        <v>112.0</v>
      </c>
      <c r="BV328" s="11">
        <v>158.0</v>
      </c>
      <c r="BW328" s="11">
        <v>348790.0</v>
      </c>
      <c r="BX328" s="11">
        <v>426580.0</v>
      </c>
      <c r="BY328" s="11">
        <v>269170.0</v>
      </c>
      <c r="BZ328" s="11">
        <v>296460.0</v>
      </c>
      <c r="CA328" s="11">
        <v>334220.0</v>
      </c>
      <c r="CB328" s="11">
        <v>61760.0</v>
      </c>
      <c r="CC328" s="11">
        <v>8780.0</v>
      </c>
      <c r="CD328" s="11">
        <v>6020.0</v>
      </c>
      <c r="CE328" s="11">
        <v>16030.0</v>
      </c>
      <c r="CF328" s="11">
        <v>5040.0</v>
      </c>
      <c r="CG328" s="12"/>
      <c r="CH328" s="12"/>
      <c r="CI328" s="12"/>
      <c r="CJ328" s="12"/>
      <c r="CK328" s="12"/>
      <c r="CL328" s="11">
        <v>416450.0</v>
      </c>
      <c r="CM328" s="11">
        <v>438120.0</v>
      </c>
      <c r="CN328" s="11">
        <v>277220.0</v>
      </c>
      <c r="CO328" s="11">
        <v>314420.0</v>
      </c>
      <c r="CP328" s="11">
        <v>341060.0</v>
      </c>
      <c r="CQ328" s="11">
        <v>26070.0</v>
      </c>
      <c r="CR328" s="11">
        <v>13890.0</v>
      </c>
      <c r="CS328" s="11">
        <v>7880.0</v>
      </c>
      <c r="CT328" s="11">
        <v>9220.0</v>
      </c>
      <c r="CU328" s="11">
        <v>6610.0</v>
      </c>
      <c r="CV328" s="11">
        <v>55770.0</v>
      </c>
      <c r="CW328" s="12"/>
      <c r="CX328" s="12"/>
      <c r="CY328" s="12"/>
      <c r="CZ328" s="11">
        <v>1610.0</v>
      </c>
      <c r="DA328" s="12"/>
      <c r="DB328" s="11">
        <v>55770.0</v>
      </c>
      <c r="DC328" s="11">
        <v>41000.0</v>
      </c>
      <c r="DD328" s="11">
        <v>37850.0</v>
      </c>
      <c r="DE328" s="11">
        <v>53290.0</v>
      </c>
      <c r="DF328" s="11">
        <v>99780.0</v>
      </c>
      <c r="DG328" s="11">
        <v>44240.0</v>
      </c>
      <c r="DH328" s="11">
        <v>40720.0</v>
      </c>
      <c r="DI328" s="11">
        <v>53850.0</v>
      </c>
      <c r="DJ328" s="11">
        <v>77440.0</v>
      </c>
      <c r="DK328" s="11">
        <v>4910.0</v>
      </c>
      <c r="DL328" s="11">
        <v>1650.0</v>
      </c>
      <c r="DM328" s="11">
        <v>836.0</v>
      </c>
      <c r="DN328" s="11">
        <v>656.0</v>
      </c>
      <c r="DO328" s="11">
        <v>845.0</v>
      </c>
      <c r="DP328" s="11">
        <v>41460.0</v>
      </c>
      <c r="DQ328" s="11">
        <v>891.0</v>
      </c>
      <c r="DR328" s="11">
        <v>11.0</v>
      </c>
      <c r="DS328" s="11">
        <v>28.0</v>
      </c>
      <c r="DT328" s="11">
        <v>66.0</v>
      </c>
      <c r="DU328" s="12"/>
      <c r="DV328" s="12"/>
      <c r="DW328" s="12"/>
      <c r="DX328" s="13"/>
      <c r="DY328" s="13"/>
      <c r="DZ328" s="11">
        <v>280730.0</v>
      </c>
      <c r="EA328" s="11">
        <v>358050.0</v>
      </c>
      <c r="EB328" s="11">
        <v>220580.0</v>
      </c>
      <c r="EC328" s="11">
        <v>258800.0</v>
      </c>
      <c r="ED328" s="11">
        <v>262890.0</v>
      </c>
      <c r="EE328" s="14">
        <v>1.234</v>
      </c>
      <c r="EF328" s="14">
        <v>2.066</v>
      </c>
      <c r="EG328" s="14">
        <v>-0.027</v>
      </c>
      <c r="EH328" s="14">
        <v>0.52</v>
      </c>
    </row>
    <row r="329">
      <c r="A329" s="9">
        <f t="shared" si="2"/>
        <v>327</v>
      </c>
      <c r="B329" s="25" t="s">
        <v>463</v>
      </c>
      <c r="C329" s="12">
        <v>467330.0</v>
      </c>
      <c r="D329" s="12"/>
      <c r="E329" s="12">
        <v>466760.0</v>
      </c>
      <c r="F329" s="12">
        <v>443090.0</v>
      </c>
      <c r="G329" s="12">
        <v>403040.0</v>
      </c>
      <c r="H329" s="12">
        <v>396920.0</v>
      </c>
      <c r="I329" s="12">
        <v>424320.0</v>
      </c>
      <c r="J329" s="12">
        <v>28550.0</v>
      </c>
      <c r="K329" s="12">
        <v>39650.0</v>
      </c>
      <c r="L329" s="12">
        <v>36320.0</v>
      </c>
      <c r="M329" s="15">
        <v>19390.0</v>
      </c>
      <c r="N329" s="15">
        <v>5360.0</v>
      </c>
      <c r="O329" s="15">
        <v>27300.0</v>
      </c>
      <c r="P329" s="12">
        <v>21930.0</v>
      </c>
      <c r="Q329" s="12">
        <v>22400.0</v>
      </c>
      <c r="R329" s="12">
        <v>24700.0</v>
      </c>
      <c r="S329" s="12">
        <v>30680.0</v>
      </c>
      <c r="T329" s="12">
        <v>0.0</v>
      </c>
      <c r="U329" s="15">
        <v>0.0</v>
      </c>
      <c r="V329" s="15">
        <v>0.0</v>
      </c>
      <c r="W329" s="15">
        <v>0.0</v>
      </c>
      <c r="X329" s="12">
        <v>0.0</v>
      </c>
      <c r="Y329" s="12">
        <v>-6450.0</v>
      </c>
      <c r="Z329" s="12">
        <v>12520.0</v>
      </c>
      <c r="AA329" s="12">
        <v>-6980.0</v>
      </c>
      <c r="AB329" s="12">
        <v>31510.0</v>
      </c>
      <c r="AC329" s="12">
        <v>-26800.0</v>
      </c>
      <c r="AD329" s="12">
        <v>-19070.0</v>
      </c>
      <c r="AE329" s="12">
        <v>0.0</v>
      </c>
      <c r="AF329" s="12">
        <v>-5320.0</v>
      </c>
      <c r="AG329" s="12">
        <v>17810.0</v>
      </c>
      <c r="AH329" s="12">
        <v>6810.0</v>
      </c>
      <c r="AI329" s="12">
        <v>39450.0</v>
      </c>
      <c r="AJ329" s="12">
        <v>55160.0</v>
      </c>
      <c r="AK329" s="12">
        <v>54770.0</v>
      </c>
      <c r="AL329" s="12">
        <v>38420.0</v>
      </c>
      <c r="AM329" s="12">
        <v>22570.0</v>
      </c>
      <c r="AN329" s="12">
        <v>-18560.0</v>
      </c>
      <c r="AO329" s="12">
        <v>0.0</v>
      </c>
      <c r="AP329" s="12">
        <v>4370.0</v>
      </c>
      <c r="AQ329" s="12">
        <v>8040.0</v>
      </c>
      <c r="AR329" s="12">
        <v>21160.0</v>
      </c>
      <c r="AS329" s="12">
        <v>30590.0</v>
      </c>
      <c r="AT329" s="12">
        <v>64090.0</v>
      </c>
      <c r="AU329" s="12">
        <v>28200.0</v>
      </c>
      <c r="AV329" s="12">
        <v>21190.0</v>
      </c>
      <c r="AW329" s="12">
        <v>24870.0</v>
      </c>
      <c r="AX329" s="12">
        <v>-16180.0</v>
      </c>
      <c r="AY329" s="12">
        <v>-15880.0</v>
      </c>
      <c r="AZ329" s="12">
        <v>-22810.0</v>
      </c>
      <c r="BA329" s="12">
        <v>-19720.0</v>
      </c>
      <c r="BB329" s="12">
        <v>-30470.0</v>
      </c>
      <c r="BC329" s="12">
        <v>0.0</v>
      </c>
      <c r="BD329" s="12">
        <v>0.0</v>
      </c>
      <c r="BE329" s="12">
        <v>0.0</v>
      </c>
      <c r="BF329" s="12">
        <v>0.0</v>
      </c>
      <c r="BG329" s="12">
        <v>0.0</v>
      </c>
      <c r="BH329" s="12">
        <v>18810.0</v>
      </c>
      <c r="BI329" s="12">
        <v>48090.0</v>
      </c>
      <c r="BJ329" s="12">
        <v>33070.0</v>
      </c>
      <c r="BK329" s="12">
        <v>45600.0</v>
      </c>
      <c r="BL329" s="12">
        <v>76220.0</v>
      </c>
      <c r="BM329" s="12">
        <v>2980.0</v>
      </c>
      <c r="BN329" s="12">
        <v>3050.0</v>
      </c>
      <c r="BO329" s="12">
        <v>2220.0</v>
      </c>
      <c r="BP329" s="12">
        <v>1220.0</v>
      </c>
      <c r="BQ329" s="12">
        <v>1920.0</v>
      </c>
      <c r="BR329" s="12">
        <v>0.0</v>
      </c>
      <c r="BS329" s="12">
        <v>0.0</v>
      </c>
      <c r="BT329" s="12">
        <v>0.0</v>
      </c>
      <c r="BU329" s="12">
        <v>0.0</v>
      </c>
      <c r="BV329" s="12">
        <v>0.0</v>
      </c>
      <c r="BW329" s="12">
        <v>32800.0</v>
      </c>
      <c r="BX329" s="12">
        <v>61930.0</v>
      </c>
      <c r="BY329" s="12">
        <v>68150.0</v>
      </c>
      <c r="BZ329" s="12">
        <v>58830.0</v>
      </c>
      <c r="CA329" s="12">
        <v>100090.0</v>
      </c>
      <c r="CB329" s="12">
        <v>710260.0</v>
      </c>
      <c r="CC329" s="12">
        <v>157680.0</v>
      </c>
      <c r="CD329" s="12">
        <v>151500.0</v>
      </c>
      <c r="CE329" s="12">
        <v>170580.0</v>
      </c>
      <c r="CF329" s="12">
        <v>195340.0</v>
      </c>
      <c r="CG329" s="12">
        <v>32990.0</v>
      </c>
      <c r="CH329" s="12">
        <v>21880.0</v>
      </c>
      <c r="CI329" s="12">
        <v>6220.0</v>
      </c>
      <c r="CJ329" s="12">
        <v>1010.0</v>
      </c>
      <c r="CK329" s="12">
        <v>1030.0</v>
      </c>
      <c r="CL329" s="12">
        <v>794280.0</v>
      </c>
      <c r="CM329" s="12">
        <v>261450.0</v>
      </c>
      <c r="CN329" s="12">
        <v>236670.0</v>
      </c>
      <c r="CO329" s="12">
        <v>235880.0</v>
      </c>
      <c r="CP329" s="12">
        <v>303100.0</v>
      </c>
      <c r="CQ329" s="12">
        <v>4460.0</v>
      </c>
      <c r="CR329" s="12">
        <v>3670.0</v>
      </c>
      <c r="CS329" s="12">
        <v>2250.0</v>
      </c>
      <c r="CT329" s="12">
        <v>2480.0</v>
      </c>
      <c r="CU329" s="12">
        <v>2620.0</v>
      </c>
      <c r="CV329" s="12">
        <v>328010.0</v>
      </c>
      <c r="CW329" s="12">
        <v>74280.0</v>
      </c>
      <c r="CX329" s="12">
        <v>0.0</v>
      </c>
      <c r="CY329" s="12">
        <v>0.0</v>
      </c>
      <c r="CZ329" s="12">
        <v>0.0</v>
      </c>
      <c r="DA329" s="12">
        <v>0.0</v>
      </c>
      <c r="DB329" s="12">
        <v>328010.0</v>
      </c>
      <c r="DC329" s="12">
        <v>95110.0</v>
      </c>
      <c r="DD329" s="12">
        <v>62750.0</v>
      </c>
      <c r="DE329" s="12">
        <v>65160.0</v>
      </c>
      <c r="DF329" s="12">
        <v>882620.0</v>
      </c>
      <c r="DG329" s="12">
        <v>334150.0</v>
      </c>
      <c r="DH329" s="12">
        <v>314630.0</v>
      </c>
      <c r="DI329" s="12">
        <v>321550.0</v>
      </c>
      <c r="DJ329" s="12">
        <v>399350.0</v>
      </c>
      <c r="DK329" s="12">
        <v>2200.0</v>
      </c>
      <c r="DL329" s="12">
        <v>1970.0</v>
      </c>
      <c r="DM329" s="12">
        <v>0.0</v>
      </c>
      <c r="DN329" s="12">
        <v>0.0</v>
      </c>
      <c r="DO329" s="12">
        <v>0.0</v>
      </c>
      <c r="DP329" s="12">
        <v>542370.0</v>
      </c>
      <c r="DQ329" s="12">
        <v>183120.0</v>
      </c>
      <c r="DR329" s="12">
        <v>193950.0</v>
      </c>
      <c r="DS329" s="12">
        <v>194740.0</v>
      </c>
      <c r="DT329" s="12">
        <v>263930.0</v>
      </c>
      <c r="DU329" s="13">
        <v>0.0</v>
      </c>
      <c r="DV329" s="12">
        <v>0.0</v>
      </c>
      <c r="DW329" s="12">
        <v>0.0</v>
      </c>
      <c r="DX329" s="13">
        <v>0.0</v>
      </c>
      <c r="DY329" s="13">
        <v>0.0</v>
      </c>
      <c r="DZ329" s="12">
        <v>-87920.0</v>
      </c>
      <c r="EA329" s="12">
        <v>-72990.0</v>
      </c>
      <c r="EB329" s="12">
        <v>-77960.0</v>
      </c>
      <c r="EC329" s="12">
        <v>-85670.0</v>
      </c>
      <c r="ED329" s="12">
        <v>-96250.0</v>
      </c>
      <c r="EE329" s="17"/>
      <c r="EF329" s="17">
        <v>0.0</v>
      </c>
      <c r="EG329" s="17">
        <v>-3.0</v>
      </c>
      <c r="EH329" s="17">
        <v>-1.744</v>
      </c>
    </row>
    <row r="330">
      <c r="A330" s="9">
        <f t="shared" si="2"/>
        <v>328</v>
      </c>
      <c r="B330" s="22" t="s">
        <v>464</v>
      </c>
      <c r="C330" s="11">
        <v>260790.0</v>
      </c>
      <c r="D330" s="11">
        <v>175150.0</v>
      </c>
      <c r="E330" s="11">
        <v>143010.0</v>
      </c>
      <c r="F330" s="11">
        <v>95390.0</v>
      </c>
      <c r="G330" s="11">
        <v>55510.0</v>
      </c>
      <c r="H330" s="11">
        <v>78.0</v>
      </c>
      <c r="I330" s="12"/>
      <c r="J330" s="11">
        <v>108320.0</v>
      </c>
      <c r="K330" s="11">
        <v>73310.0</v>
      </c>
      <c r="L330" s="11">
        <v>43770.0</v>
      </c>
      <c r="M330" s="11">
        <v>-1130.0</v>
      </c>
      <c r="N330" s="11">
        <v>-761.0</v>
      </c>
      <c r="O330" s="11">
        <v>465920.0</v>
      </c>
      <c r="P330" s="11">
        <v>407130.0</v>
      </c>
      <c r="Q330" s="11">
        <v>281410.0</v>
      </c>
      <c r="R330" s="11">
        <v>290720.0</v>
      </c>
      <c r="S330" s="11">
        <v>299010.0</v>
      </c>
      <c r="T330" s="11">
        <v>283150.0</v>
      </c>
      <c r="U330" s="11">
        <v>231350.0</v>
      </c>
      <c r="V330" s="11">
        <v>142500.0</v>
      </c>
      <c r="W330" s="11">
        <v>251130.0</v>
      </c>
      <c r="X330" s="11">
        <v>269250.0</v>
      </c>
      <c r="Y330" s="11">
        <v>-385020.0</v>
      </c>
      <c r="Z330" s="11">
        <v>-361790.0</v>
      </c>
      <c r="AA330" s="11">
        <v>-343110.0</v>
      </c>
      <c r="AB330" s="11">
        <v>-372730.0</v>
      </c>
      <c r="AC330" s="11">
        <v>-376720.0</v>
      </c>
      <c r="AD330" s="11">
        <v>-398630.0</v>
      </c>
      <c r="AE330" s="11">
        <v>-367400.0</v>
      </c>
      <c r="AF330" s="11">
        <v>-349980.0</v>
      </c>
      <c r="AG330" s="11">
        <v>-381170.0</v>
      </c>
      <c r="AH330" s="11">
        <v>-381940.0</v>
      </c>
      <c r="AI330" s="11">
        <v>-359540.0</v>
      </c>
      <c r="AJ330" s="11">
        <v>-329210.0</v>
      </c>
      <c r="AK330" s="11">
        <v>-235130.0</v>
      </c>
      <c r="AL330" s="11">
        <v>-290710.0</v>
      </c>
      <c r="AM330" s="11">
        <v>-299010.0</v>
      </c>
      <c r="AN330" s="11">
        <v>-400420.0</v>
      </c>
      <c r="AO330" s="11">
        <v>-368010.0</v>
      </c>
      <c r="AP330" s="11">
        <v>-346400.0</v>
      </c>
      <c r="AQ330" s="11">
        <v>-349140.0</v>
      </c>
      <c r="AR330" s="11">
        <v>-352860.0</v>
      </c>
      <c r="AS330" s="11">
        <v>-323620.0</v>
      </c>
      <c r="AT330" s="11">
        <v>-366000.0</v>
      </c>
      <c r="AU330" s="11">
        <v>-260900.0</v>
      </c>
      <c r="AV330" s="11">
        <v>-266680.0</v>
      </c>
      <c r="AW330" s="11">
        <v>-253070.0</v>
      </c>
      <c r="AX330" s="11">
        <v>-19040.0</v>
      </c>
      <c r="AY330" s="11">
        <v>-64240.0</v>
      </c>
      <c r="AZ330" s="11">
        <v>-4100.0</v>
      </c>
      <c r="BA330" s="11">
        <v>-766.0</v>
      </c>
      <c r="BB330" s="11">
        <v>-3040.0</v>
      </c>
      <c r="BC330" s="12"/>
      <c r="BD330" s="12"/>
      <c r="BE330" s="12"/>
      <c r="BF330" s="12"/>
      <c r="BG330" s="12"/>
      <c r="BH330" s="11">
        <v>296660.0</v>
      </c>
      <c r="BI330" s="11">
        <v>520150.0</v>
      </c>
      <c r="BJ330" s="11">
        <v>563730.0</v>
      </c>
      <c r="BK330" s="11">
        <v>266180.0</v>
      </c>
      <c r="BL330" s="11">
        <v>528590.0</v>
      </c>
      <c r="BM330" s="11">
        <v>34660.0</v>
      </c>
      <c r="BN330" s="11">
        <v>15160.0</v>
      </c>
      <c r="BO330" s="11">
        <v>8210.0</v>
      </c>
      <c r="BP330" s="11">
        <v>3370.0</v>
      </c>
      <c r="BQ330" s="11">
        <v>5280.0</v>
      </c>
      <c r="BR330" s="11">
        <v>26520.0</v>
      </c>
      <c r="BS330" s="11">
        <v>27070.0</v>
      </c>
      <c r="BT330" s="11">
        <v>47970.0</v>
      </c>
      <c r="BU330" s="12"/>
      <c r="BV330" s="12"/>
      <c r="BW330" s="11">
        <v>366470.0</v>
      </c>
      <c r="BX330" s="11">
        <v>572300.0</v>
      </c>
      <c r="BY330" s="11">
        <v>626940.0</v>
      </c>
      <c r="BZ330" s="11">
        <v>279410.0</v>
      </c>
      <c r="CA330" s="11">
        <v>539700.0</v>
      </c>
      <c r="CB330" s="11">
        <v>43430.0</v>
      </c>
      <c r="CC330" s="11">
        <v>26520.0</v>
      </c>
      <c r="CD330" s="11">
        <v>4010.0</v>
      </c>
      <c r="CE330" s="11">
        <v>4440.0</v>
      </c>
      <c r="CF330" s="11">
        <v>4950.0</v>
      </c>
      <c r="CG330" s="11">
        <v>63070.0</v>
      </c>
      <c r="CH330" s="11">
        <v>63070.0</v>
      </c>
      <c r="CI330" s="11">
        <v>65220.0</v>
      </c>
      <c r="CJ330" s="11">
        <v>57190.0</v>
      </c>
      <c r="CK330" s="11">
        <v>59330.0</v>
      </c>
      <c r="CL330" s="11">
        <v>669600.0</v>
      </c>
      <c r="CM330" s="11">
        <v>865310.0</v>
      </c>
      <c r="CN330" s="11">
        <v>735230.0</v>
      </c>
      <c r="CO330" s="11">
        <v>364560.0</v>
      </c>
      <c r="CP330" s="11">
        <v>713390.0</v>
      </c>
      <c r="CQ330" s="11">
        <v>32240.0</v>
      </c>
      <c r="CR330" s="11">
        <v>28520.0</v>
      </c>
      <c r="CS330" s="11">
        <v>15150.0</v>
      </c>
      <c r="CT330" s="11">
        <v>10910.0</v>
      </c>
      <c r="CU330" s="11">
        <v>11260.0</v>
      </c>
      <c r="CV330" s="11">
        <v>133080.0</v>
      </c>
      <c r="CW330" s="11">
        <v>3120.0</v>
      </c>
      <c r="CX330" s="12"/>
      <c r="CY330" s="12"/>
      <c r="CZ330" s="12"/>
      <c r="DA330" s="12"/>
      <c r="DB330" s="11">
        <v>133080.0</v>
      </c>
      <c r="DC330" s="11">
        <v>125750.0</v>
      </c>
      <c r="DD330" s="11">
        <v>81520.0</v>
      </c>
      <c r="DE330" s="11">
        <v>65600.0</v>
      </c>
      <c r="DF330" s="11">
        <v>843860.0</v>
      </c>
      <c r="DG330" s="11">
        <v>718840.0</v>
      </c>
      <c r="DH330" s="11">
        <v>367590.0</v>
      </c>
      <c r="DI330" s="11">
        <v>368190.0</v>
      </c>
      <c r="DJ330" s="11">
        <v>412740.0</v>
      </c>
      <c r="DK330" s="12"/>
      <c r="DL330" s="12"/>
      <c r="DM330" s="12"/>
      <c r="DN330" s="12"/>
      <c r="DO330" s="12"/>
      <c r="DP330" s="11">
        <v>709220.0</v>
      </c>
      <c r="DQ330" s="11">
        <v>575470.0</v>
      </c>
      <c r="DR330" s="11">
        <v>282410.0</v>
      </c>
      <c r="DS330" s="11">
        <v>281130.0</v>
      </c>
      <c r="DT330" s="11">
        <v>279890.0</v>
      </c>
      <c r="DU330" s="13"/>
      <c r="DV330" s="12"/>
      <c r="DW330" s="12"/>
      <c r="DX330" s="13"/>
      <c r="DY330" s="13"/>
      <c r="DZ330" s="11">
        <v>-174260.0</v>
      </c>
      <c r="EA330" s="11">
        <v>146470.0</v>
      </c>
      <c r="EB330" s="11">
        <v>367640.0</v>
      </c>
      <c r="EC330" s="11">
        <v>-3630.0</v>
      </c>
      <c r="ED330" s="11">
        <v>300650.0</v>
      </c>
      <c r="EE330" s="14">
        <v>0.124</v>
      </c>
      <c r="EF330" s="14">
        <v>0.735</v>
      </c>
      <c r="EG330" s="14">
        <v>-0.106</v>
      </c>
      <c r="EH330" s="14">
        <v>-0.04</v>
      </c>
    </row>
    <row r="331">
      <c r="A331" s="9">
        <f t="shared" si="2"/>
        <v>329</v>
      </c>
      <c r="B331" s="25" t="s">
        <v>465</v>
      </c>
      <c r="C331" s="15">
        <v>7140000.0</v>
      </c>
      <c r="D331" s="15">
        <v>6940000.0</v>
      </c>
      <c r="E331" s="15">
        <v>6720000.0</v>
      </c>
      <c r="F331" s="15">
        <v>6210000.0</v>
      </c>
      <c r="G331" s="15">
        <v>6120000.0</v>
      </c>
      <c r="H331" s="15">
        <v>5970000.0</v>
      </c>
      <c r="I331" s="15">
        <v>5760000.0</v>
      </c>
      <c r="J331" s="15">
        <v>3060000.0</v>
      </c>
      <c r="K331" s="15">
        <v>2710000.0</v>
      </c>
      <c r="L331" s="15">
        <v>2660000.0</v>
      </c>
      <c r="M331" s="15">
        <v>2670000.0</v>
      </c>
      <c r="N331" s="15">
        <v>2600000.0</v>
      </c>
      <c r="O331" s="15">
        <v>1790000.0</v>
      </c>
      <c r="P331" s="15">
        <v>1600000.0</v>
      </c>
      <c r="Q331" s="15">
        <v>1540000.0</v>
      </c>
      <c r="R331" s="15">
        <v>1540000.0</v>
      </c>
      <c r="S331" s="15">
        <v>1530000.0</v>
      </c>
      <c r="T331" s="15">
        <v>145000.0</v>
      </c>
      <c r="U331" s="15">
        <v>136000.0</v>
      </c>
      <c r="V331" s="15">
        <v>132000.0</v>
      </c>
      <c r="W331" s="15">
        <v>135000.0</v>
      </c>
      <c r="X331" s="15">
        <v>141000.0</v>
      </c>
      <c r="Y331" s="12"/>
      <c r="Z331" s="12"/>
      <c r="AA331" s="15">
        <v>1120000.0</v>
      </c>
      <c r="AB331" s="15">
        <v>1100000.0</v>
      </c>
      <c r="AC331" s="15">
        <v>-10000.0</v>
      </c>
      <c r="AD331" s="15">
        <v>1190000.0</v>
      </c>
      <c r="AE331" s="15">
        <v>1020000.0</v>
      </c>
      <c r="AF331" s="15">
        <v>1050000.0</v>
      </c>
      <c r="AG331" s="15">
        <v>1030000.0</v>
      </c>
      <c r="AH331" s="15">
        <v>983000.0</v>
      </c>
      <c r="AI331" s="12"/>
      <c r="AJ331" s="15">
        <v>1290000.0</v>
      </c>
      <c r="AK331" s="15">
        <v>1290000.0</v>
      </c>
      <c r="AL331" s="15">
        <v>1290000.0</v>
      </c>
      <c r="AM331" s="15">
        <v>1230000.0</v>
      </c>
      <c r="AN331" s="15">
        <v>939000.0</v>
      </c>
      <c r="AO331" s="15">
        <v>820000.0</v>
      </c>
      <c r="AP331" s="15">
        <v>823000.0</v>
      </c>
      <c r="AQ331" s="15">
        <v>703000.0</v>
      </c>
      <c r="AR331" s="15">
        <v>648000.0</v>
      </c>
      <c r="AS331" s="12"/>
      <c r="AT331" s="15">
        <v>992000.0</v>
      </c>
      <c r="AU331" s="15">
        <v>974000.0</v>
      </c>
      <c r="AV331" s="15">
        <v>868000.0</v>
      </c>
      <c r="AW331" s="15">
        <v>778000.0</v>
      </c>
      <c r="AX331" s="12"/>
      <c r="AY331" s="15">
        <v>-206000.0</v>
      </c>
      <c r="AZ331" s="15">
        <v>-194000.0</v>
      </c>
      <c r="BA331" s="15">
        <v>-231000.0</v>
      </c>
      <c r="BB331" s="15">
        <v>-172000.0</v>
      </c>
      <c r="BC331" s="13"/>
      <c r="BD331" s="15">
        <v>-490000.0</v>
      </c>
      <c r="BE331" s="15">
        <v>-450000.0</v>
      </c>
      <c r="BF331" s="15">
        <v>-412000.0</v>
      </c>
      <c r="BG331" s="15">
        <v>-398000.0</v>
      </c>
      <c r="BH331" s="15">
        <v>871000.0</v>
      </c>
      <c r="BI331" s="15">
        <v>111000.0</v>
      </c>
      <c r="BJ331" s="15">
        <v>131000.0</v>
      </c>
      <c r="BK331" s="15">
        <v>421000.0</v>
      </c>
      <c r="BL331" s="15">
        <v>403000.0</v>
      </c>
      <c r="BM331" s="15">
        <v>648000.0</v>
      </c>
      <c r="BN331" s="15">
        <v>631000.0</v>
      </c>
      <c r="BO331" s="15">
        <v>600000.0</v>
      </c>
      <c r="BP331" s="15">
        <v>565000.0</v>
      </c>
      <c r="BQ331" s="15">
        <v>569000.0</v>
      </c>
      <c r="BR331" s="15">
        <v>454000.0</v>
      </c>
      <c r="BS331" s="15">
        <v>512000.0</v>
      </c>
      <c r="BT331" s="15">
        <v>506000.0</v>
      </c>
      <c r="BU331" s="15">
        <v>459000.0</v>
      </c>
      <c r="BV331" s="15">
        <v>443000.0</v>
      </c>
      <c r="BW331" s="15">
        <v>2020000.0</v>
      </c>
      <c r="BX331" s="15">
        <v>1310000.0</v>
      </c>
      <c r="BY331" s="15">
        <v>1310000.0</v>
      </c>
      <c r="BZ331" s="15">
        <v>1510000.0</v>
      </c>
      <c r="CA331" s="15">
        <v>1490000.0</v>
      </c>
      <c r="CB331" s="15">
        <v>1390000.0</v>
      </c>
      <c r="CC331" s="15">
        <v>1030000.0</v>
      </c>
      <c r="CD331" s="15">
        <v>996000.0</v>
      </c>
      <c r="CE331" s="15">
        <v>931000.0</v>
      </c>
      <c r="CF331" s="15">
        <v>906000.0</v>
      </c>
      <c r="CG331" s="15">
        <v>1580000.0</v>
      </c>
      <c r="CH331" s="15">
        <v>1590000.0</v>
      </c>
      <c r="CI331" s="15">
        <v>1600000.0</v>
      </c>
      <c r="CJ331" s="15">
        <v>1200000.0</v>
      </c>
      <c r="CK331" s="15">
        <v>1200000.0</v>
      </c>
      <c r="CL331" s="15">
        <v>6210000.0</v>
      </c>
      <c r="CM331" s="15">
        <v>5120000.0</v>
      </c>
      <c r="CN331" s="15">
        <v>5060000.0</v>
      </c>
      <c r="CO331" s="15">
        <v>4570000.0</v>
      </c>
      <c r="CP331" s="15">
        <v>4510000.0</v>
      </c>
      <c r="CQ331" s="15">
        <v>1330000.0</v>
      </c>
      <c r="CR331" s="15">
        <v>507000.0</v>
      </c>
      <c r="CS331" s="15">
        <v>507000.0</v>
      </c>
      <c r="CT331" s="15">
        <v>501000.0</v>
      </c>
      <c r="CU331" s="15">
        <v>490000.0</v>
      </c>
      <c r="CV331" s="15">
        <v>1420000.0</v>
      </c>
      <c r="CW331" s="15"/>
      <c r="CX331" s="15">
        <v>396000.0</v>
      </c>
      <c r="CY331" s="15">
        <v>199000.0</v>
      </c>
      <c r="CZ331" s="15">
        <v>404000.0</v>
      </c>
      <c r="DA331" s="15">
        <v>523000.0</v>
      </c>
      <c r="DB331" s="15">
        <v>1420000.0</v>
      </c>
      <c r="DC331" s="15">
        <v>1440000.0</v>
      </c>
      <c r="DD331" s="15">
        <v>1200000.0</v>
      </c>
      <c r="DE331" s="15">
        <v>1810000.0</v>
      </c>
      <c r="DF331" s="15">
        <v>5310000.0</v>
      </c>
      <c r="DG331" s="15">
        <v>4560000.0</v>
      </c>
      <c r="DH331" s="15">
        <v>4330000.0</v>
      </c>
      <c r="DI331" s="15">
        <v>4030000.0</v>
      </c>
      <c r="DJ331" s="15">
        <v>4210000.0</v>
      </c>
      <c r="DK331" s="15"/>
      <c r="DL331" s="15">
        <v>57000.0</v>
      </c>
      <c r="DM331" s="15">
        <v>55000.0</v>
      </c>
      <c r="DN331" s="15">
        <v>58000.0</v>
      </c>
      <c r="DO331" s="15">
        <v>59000.0</v>
      </c>
      <c r="DP331" s="15">
        <v>3060000.0</v>
      </c>
      <c r="DQ331" s="15">
        <v>2290000.0</v>
      </c>
      <c r="DR331" s="15">
        <v>2280000.0</v>
      </c>
      <c r="DS331" s="15">
        <v>1390000.0</v>
      </c>
      <c r="DT331" s="15">
        <v>1790000.0</v>
      </c>
      <c r="DU331" s="13"/>
      <c r="DV331" s="12"/>
      <c r="DW331" s="12"/>
      <c r="DX331" s="13"/>
      <c r="DY331" s="13"/>
      <c r="DZ331" s="15">
        <v>908000.0</v>
      </c>
      <c r="EA331" s="15">
        <v>559000.0</v>
      </c>
      <c r="EB331" s="15">
        <v>726000.0</v>
      </c>
      <c r="EC331" s="15">
        <v>542000.0</v>
      </c>
      <c r="ED331" s="15">
        <v>297000.0</v>
      </c>
      <c r="EE331" s="17">
        <v>0.068</v>
      </c>
      <c r="EF331" s="17">
        <v>0.097</v>
      </c>
      <c r="EG331" s="17">
        <v>0.211</v>
      </c>
      <c r="EH331" s="17">
        <v>0.123</v>
      </c>
    </row>
    <row r="332">
      <c r="A332" s="9">
        <f t="shared" si="2"/>
        <v>330</v>
      </c>
      <c r="B332" s="10" t="s">
        <v>466</v>
      </c>
      <c r="C332" s="15">
        <v>43000.0</v>
      </c>
      <c r="D332" s="15">
        <v>12220.0</v>
      </c>
      <c r="E332" s="15">
        <v>7300.0</v>
      </c>
      <c r="F332" s="15">
        <v>236.0</v>
      </c>
      <c r="G332" s="15">
        <v>508.0</v>
      </c>
      <c r="H332" s="15">
        <v>399.0</v>
      </c>
      <c r="I332" s="15">
        <v>1270.0</v>
      </c>
      <c r="J332" s="15">
        <v>-1900.0</v>
      </c>
      <c r="K332" s="12"/>
      <c r="L332" s="12"/>
      <c r="M332" s="15">
        <v>27.0</v>
      </c>
      <c r="N332" s="15">
        <v>521.0</v>
      </c>
      <c r="O332" s="15">
        <v>37690.0</v>
      </c>
      <c r="P332" s="15">
        <v>27270.0</v>
      </c>
      <c r="Q332" s="15">
        <v>25750.0</v>
      </c>
      <c r="R332" s="15">
        <v>12140.0</v>
      </c>
      <c r="S332" s="15">
        <v>6340.0</v>
      </c>
      <c r="T332" s="15">
        <v>12210.0</v>
      </c>
      <c r="U332" s="15">
        <v>9850.0</v>
      </c>
      <c r="V332" s="15">
        <v>11560.0</v>
      </c>
      <c r="W332" s="15">
        <v>5640.0</v>
      </c>
      <c r="X332" s="15">
        <v>2770.0</v>
      </c>
      <c r="Y332" s="12"/>
      <c r="Z332" s="12"/>
      <c r="AA332" s="12"/>
      <c r="AB332" s="12"/>
      <c r="AC332" s="12"/>
      <c r="AD332" s="15">
        <v>-39610.0</v>
      </c>
      <c r="AE332" s="15">
        <v>-27900.0</v>
      </c>
      <c r="AF332" s="15">
        <v>-25980.0</v>
      </c>
      <c r="AG332" s="15">
        <v>-12090.0</v>
      </c>
      <c r="AH332" s="15">
        <v>-5890.0</v>
      </c>
      <c r="AI332" s="15">
        <v>-37990.0</v>
      </c>
      <c r="AJ332" s="15">
        <v>-27030.0</v>
      </c>
      <c r="AK332" s="15">
        <v>-25240.0</v>
      </c>
      <c r="AL332" s="15">
        <v>-11760.0</v>
      </c>
      <c r="AM332" s="15">
        <v>-5670.0</v>
      </c>
      <c r="AN332" s="15">
        <v>-39610.0</v>
      </c>
      <c r="AO332" s="15">
        <v>-27900.0</v>
      </c>
      <c r="AP332" s="15">
        <v>-25980.0</v>
      </c>
      <c r="AQ332" s="15">
        <v>-12090.0</v>
      </c>
      <c r="AR332" s="15">
        <v>-5890.0</v>
      </c>
      <c r="AS332" s="15">
        <v>-31950.0</v>
      </c>
      <c r="AT332" s="15">
        <v>-20250.0</v>
      </c>
      <c r="AU332" s="15">
        <v>-12790.0</v>
      </c>
      <c r="AV332" s="15">
        <v>-9240.0</v>
      </c>
      <c r="AW332" s="15">
        <v>-6690.0</v>
      </c>
      <c r="AX332" s="15">
        <v>-2970.0</v>
      </c>
      <c r="AY332" s="15">
        <v>-1850.0</v>
      </c>
      <c r="AZ332" s="15">
        <v>-779.0</v>
      </c>
      <c r="BA332" s="15">
        <v>-10420.0</v>
      </c>
      <c r="BB332" s="15">
        <v>-665.0</v>
      </c>
      <c r="BC332" s="12"/>
      <c r="BD332" s="12"/>
      <c r="BE332" s="12"/>
      <c r="BF332" s="12"/>
      <c r="BG332" s="15">
        <v>-110.0</v>
      </c>
      <c r="BH332" s="15">
        <v>59000.0</v>
      </c>
      <c r="BI332" s="15">
        <v>94180.0</v>
      </c>
      <c r="BJ332" s="15">
        <v>56660.0</v>
      </c>
      <c r="BK332" s="15">
        <v>5030.0</v>
      </c>
      <c r="BL332" s="15">
        <v>24690.0</v>
      </c>
      <c r="BM332" s="15">
        <v>1120.0</v>
      </c>
      <c r="BN332" s="15">
        <v>46.0</v>
      </c>
      <c r="BO332" s="15">
        <v>167.0</v>
      </c>
      <c r="BP332" s="15">
        <v>157.0</v>
      </c>
      <c r="BQ332" s="15">
        <v>334.0</v>
      </c>
      <c r="BR332" s="15">
        <v>2590.0</v>
      </c>
      <c r="BS332" s="12"/>
      <c r="BT332" s="12"/>
      <c r="BU332" s="12"/>
      <c r="BV332" s="12"/>
      <c r="BW332" s="15">
        <v>63520.0</v>
      </c>
      <c r="BX332" s="15">
        <v>95520.0</v>
      </c>
      <c r="BY332" s="15">
        <v>57460.0</v>
      </c>
      <c r="BZ332" s="15">
        <v>5470.0</v>
      </c>
      <c r="CA332" s="15">
        <v>25030.0</v>
      </c>
      <c r="CB332" s="15">
        <v>23210.0</v>
      </c>
      <c r="CC332" s="15">
        <v>21850.0</v>
      </c>
      <c r="CD332" s="15">
        <v>14350.0</v>
      </c>
      <c r="CE332" s="15">
        <v>10990.0</v>
      </c>
      <c r="CF332" s="15">
        <v>915.0</v>
      </c>
      <c r="CG332" s="12"/>
      <c r="CH332" s="12"/>
      <c r="CI332" s="12"/>
      <c r="CJ332" s="12"/>
      <c r="CK332" s="12"/>
      <c r="CL332" s="15">
        <v>88100.0</v>
      </c>
      <c r="CM332" s="15">
        <v>118790.0</v>
      </c>
      <c r="CN332" s="15">
        <v>72170.0</v>
      </c>
      <c r="CO332" s="15">
        <v>16620.0</v>
      </c>
      <c r="CP332" s="15">
        <v>26000.0</v>
      </c>
      <c r="CQ332" s="15">
        <v>1080.0</v>
      </c>
      <c r="CR332" s="15">
        <v>818.0</v>
      </c>
      <c r="CS332" s="15">
        <v>1020.0</v>
      </c>
      <c r="CT332" s="15">
        <v>357.0</v>
      </c>
      <c r="CU332" s="15">
        <v>304.0</v>
      </c>
      <c r="CV332" s="15">
        <v>7200.0</v>
      </c>
      <c r="CW332" s="12"/>
      <c r="CX332" s="15">
        <v>1910.0</v>
      </c>
      <c r="CY332" s="15">
        <v>1350.0</v>
      </c>
      <c r="CZ332" s="15">
        <v>1710.0</v>
      </c>
      <c r="DA332" s="15">
        <v>80.0</v>
      </c>
      <c r="DB332" s="15">
        <v>7200.0</v>
      </c>
      <c r="DC332" s="15">
        <v>7000.0</v>
      </c>
      <c r="DD332" s="15">
        <v>4250.0</v>
      </c>
      <c r="DE332" s="15">
        <v>2870.0</v>
      </c>
      <c r="DF332" s="15">
        <v>25590.0</v>
      </c>
      <c r="DG332" s="15">
        <v>25390.0</v>
      </c>
      <c r="DH332" s="15">
        <v>14690.0</v>
      </c>
      <c r="DI332" s="15">
        <v>3500.0</v>
      </c>
      <c r="DJ332" s="15">
        <v>1740.0</v>
      </c>
      <c r="DK332" s="15">
        <v>1040.0</v>
      </c>
      <c r="DL332" s="15">
        <v>1110.0</v>
      </c>
      <c r="DM332" s="12"/>
      <c r="DN332" s="12"/>
      <c r="DO332" s="12"/>
      <c r="DP332" s="15">
        <v>18240.0</v>
      </c>
      <c r="DQ332" s="15">
        <v>18230.0</v>
      </c>
      <c r="DR332" s="15">
        <v>10150.0</v>
      </c>
      <c r="DS332" s="12"/>
      <c r="DT332" s="12"/>
      <c r="DU332" s="12"/>
      <c r="DV332" s="12"/>
      <c r="DW332" s="12"/>
      <c r="DX332" s="12"/>
      <c r="DY332" s="12"/>
      <c r="DZ332" s="15">
        <v>62510.0</v>
      </c>
      <c r="EA332" s="15">
        <v>93400.0</v>
      </c>
      <c r="EB332" s="15">
        <v>57480.0</v>
      </c>
      <c r="EC332" s="15">
        <v>13120.0</v>
      </c>
      <c r="ED332" s="15">
        <v>24260.0</v>
      </c>
      <c r="EE332" s="17">
        <v>0.416</v>
      </c>
      <c r="EF332" s="17">
        <v>0.772</v>
      </c>
      <c r="EG332" s="17">
        <v>-0.063</v>
      </c>
      <c r="EH332" s="17">
        <v>-0.072</v>
      </c>
    </row>
    <row r="333">
      <c r="A333" s="9">
        <f t="shared" si="2"/>
        <v>331</v>
      </c>
      <c r="B333" s="10" t="s">
        <v>467</v>
      </c>
      <c r="C333" s="15">
        <v>5450000.0</v>
      </c>
      <c r="D333" s="15">
        <v>5430000.0</v>
      </c>
      <c r="E333" s="15">
        <v>5830000.0</v>
      </c>
      <c r="F333" s="15">
        <v>4640000.0</v>
      </c>
      <c r="G333" s="15">
        <v>3840000.0</v>
      </c>
      <c r="H333" s="15">
        <v>4180000.0</v>
      </c>
      <c r="I333" s="15">
        <v>5990000.0</v>
      </c>
      <c r="J333" s="15">
        <v>801770.0</v>
      </c>
      <c r="K333" s="15">
        <v>615170.0</v>
      </c>
      <c r="L333" s="15">
        <v>530500.0</v>
      </c>
      <c r="M333" s="15">
        <v>592750.0</v>
      </c>
      <c r="N333" s="15">
        <v>664410.0</v>
      </c>
      <c r="O333" s="15">
        <v>462730.0</v>
      </c>
      <c r="P333" s="15">
        <v>396660.0</v>
      </c>
      <c r="Q333" s="15">
        <v>365490.0</v>
      </c>
      <c r="R333" s="15">
        <v>386020.0</v>
      </c>
      <c r="S333" s="15">
        <v>397880.0</v>
      </c>
      <c r="T333" s="15">
        <v>0.0</v>
      </c>
      <c r="U333" s="15">
        <v>0.0</v>
      </c>
      <c r="V333" s="15">
        <v>0.0</v>
      </c>
      <c r="W333" s="15">
        <v>0.0</v>
      </c>
      <c r="X333" s="15">
        <v>0.0</v>
      </c>
      <c r="Y333" s="15">
        <v>339830.0</v>
      </c>
      <c r="Z333" s="15">
        <v>204540.0</v>
      </c>
      <c r="AA333" s="15">
        <v>-56440.0</v>
      </c>
      <c r="AB333" s="15">
        <v>-63750.0</v>
      </c>
      <c r="AC333" s="15">
        <v>5920.0</v>
      </c>
      <c r="AD333" s="15">
        <v>268460.0</v>
      </c>
      <c r="AE333" s="15">
        <v>165380.0</v>
      </c>
      <c r="AF333" s="15">
        <v>65450.0</v>
      </c>
      <c r="AG333" s="15">
        <v>68710.0</v>
      </c>
      <c r="AH333" s="15">
        <v>145980.0</v>
      </c>
      <c r="AI333" s="15">
        <v>497720.0</v>
      </c>
      <c r="AJ333" s="15">
        <v>350170.0</v>
      </c>
      <c r="AK333" s="15">
        <v>290090.0</v>
      </c>
      <c r="AL333" s="15">
        <v>333670.0</v>
      </c>
      <c r="AM333" s="15">
        <v>399310.0</v>
      </c>
      <c r="AN333" s="15">
        <v>198780.0</v>
      </c>
      <c r="AO333" s="15">
        <v>135240.0</v>
      </c>
      <c r="AP333" s="15">
        <v>50180.0</v>
      </c>
      <c r="AQ333" s="15">
        <v>57900.0</v>
      </c>
      <c r="AR333" s="15">
        <v>99130.0</v>
      </c>
      <c r="AS333" s="15">
        <v>37000.0</v>
      </c>
      <c r="AT333" s="15">
        <v>158680.0</v>
      </c>
      <c r="AU333" s="15">
        <v>174470.0</v>
      </c>
      <c r="AV333" s="15">
        <v>586870.0</v>
      </c>
      <c r="AW333" s="15">
        <v>313460.0</v>
      </c>
      <c r="AX333" s="15">
        <v>-138840.0</v>
      </c>
      <c r="AY333" s="15">
        <v>-174660.0</v>
      </c>
      <c r="AZ333" s="15">
        <v>-213120.0</v>
      </c>
      <c r="BA333" s="15">
        <v>-163330.0</v>
      </c>
      <c r="BB333" s="15">
        <v>-119580.0</v>
      </c>
      <c r="BC333" s="15">
        <v>-56540.0</v>
      </c>
      <c r="BD333" s="15">
        <v>-56080.0</v>
      </c>
      <c r="BE333" s="15">
        <v>-55510.0</v>
      </c>
      <c r="BF333" s="15">
        <v>-55340.0</v>
      </c>
      <c r="BG333" s="15">
        <v>-55950.0</v>
      </c>
      <c r="BH333" s="15">
        <v>192460.0</v>
      </c>
      <c r="BI333" s="15">
        <v>622470.0</v>
      </c>
      <c r="BJ333" s="15">
        <v>252600.0</v>
      </c>
      <c r="BK333" s="15">
        <v>517540.0</v>
      </c>
      <c r="BL333" s="15">
        <v>485320.0</v>
      </c>
      <c r="BM333" s="15">
        <v>1020000.0</v>
      </c>
      <c r="BN333" s="15">
        <v>749480.0</v>
      </c>
      <c r="BO333" s="15">
        <v>561410.0</v>
      </c>
      <c r="BP333" s="15">
        <v>689380.0</v>
      </c>
      <c r="BQ333" s="15">
        <v>900620.0</v>
      </c>
      <c r="BR333" s="15">
        <v>692370.0</v>
      </c>
      <c r="BS333" s="15">
        <v>589010.0</v>
      </c>
      <c r="BT333" s="15">
        <v>462650.0</v>
      </c>
      <c r="BU333" s="15">
        <v>540010.0</v>
      </c>
      <c r="BV333" s="15">
        <v>880480.0</v>
      </c>
      <c r="BW333" s="15">
        <v>2080000.0</v>
      </c>
      <c r="BX333" s="15">
        <v>2080000.0</v>
      </c>
      <c r="BY333" s="15">
        <v>1710000.0</v>
      </c>
      <c r="BZ333" s="15">
        <v>2050000.0</v>
      </c>
      <c r="CA333" s="15">
        <v>2380000.0</v>
      </c>
      <c r="CB333" s="15">
        <v>1500000.0</v>
      </c>
      <c r="CC333" s="15">
        <v>1080000.0</v>
      </c>
      <c r="CD333" s="15">
        <v>1050000.0</v>
      </c>
      <c r="CE333" s="15">
        <v>895050.0</v>
      </c>
      <c r="CF333" s="15">
        <v>883650.0</v>
      </c>
      <c r="CG333" s="15">
        <v>64140.0</v>
      </c>
      <c r="CH333" s="15">
        <v>64310.0</v>
      </c>
      <c r="CI333" s="15">
        <v>64920.0</v>
      </c>
      <c r="CJ333" s="15">
        <v>66370.0</v>
      </c>
      <c r="CK333" s="15">
        <v>66380.0</v>
      </c>
      <c r="CL333" s="15">
        <v>3760000.0</v>
      </c>
      <c r="CM333" s="15">
        <v>3330000.0</v>
      </c>
      <c r="CN333" s="15">
        <v>2980000.0</v>
      </c>
      <c r="CO333" s="15">
        <v>3130000.0</v>
      </c>
      <c r="CP333" s="15">
        <v>3440000.0</v>
      </c>
      <c r="CQ333" s="15">
        <v>288010.0</v>
      </c>
      <c r="CR333" s="15">
        <v>261260.0</v>
      </c>
      <c r="CS333" s="15">
        <v>226460.0</v>
      </c>
      <c r="CT333" s="15">
        <v>207880.0</v>
      </c>
      <c r="CU333" s="15">
        <v>302460.0</v>
      </c>
      <c r="CV333" s="15">
        <v>694590.0</v>
      </c>
      <c r="CW333" s="15">
        <v>3930.0</v>
      </c>
      <c r="CX333" s="16">
        <v>0.0</v>
      </c>
      <c r="CY333" s="16">
        <v>0.0</v>
      </c>
      <c r="CZ333" s="16">
        <v>0.0</v>
      </c>
      <c r="DA333" s="15">
        <v>20090.0</v>
      </c>
      <c r="DB333" s="15">
        <v>694590.0</v>
      </c>
      <c r="DC333" s="15">
        <v>541940.0</v>
      </c>
      <c r="DD333" s="15">
        <v>608440.0</v>
      </c>
      <c r="DE333" s="15">
        <v>821120.0</v>
      </c>
      <c r="DF333" s="15">
        <v>2130000.0</v>
      </c>
      <c r="DG333" s="15">
        <v>1830000.0</v>
      </c>
      <c r="DH333" s="15">
        <v>1570000.0</v>
      </c>
      <c r="DI333" s="15">
        <v>1760000.0</v>
      </c>
      <c r="DJ333" s="15">
        <v>2060000.0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1230000.0</v>
      </c>
      <c r="DQ333" s="15">
        <v>1140000.0</v>
      </c>
      <c r="DR333" s="15">
        <v>805580.0</v>
      </c>
      <c r="DS333" s="15">
        <v>757950.0</v>
      </c>
      <c r="DT333" s="15">
        <v>1270000.0</v>
      </c>
      <c r="DU333" s="16">
        <v>0.0</v>
      </c>
      <c r="DV333" s="15">
        <v>0.0</v>
      </c>
      <c r="DW333" s="15">
        <v>0.0</v>
      </c>
      <c r="DX333" s="16">
        <v>0.0</v>
      </c>
      <c r="DY333" s="16">
        <v>0.0</v>
      </c>
      <c r="DZ333" s="15">
        <v>1620000.0</v>
      </c>
      <c r="EA333" s="15">
        <v>1490000.0</v>
      </c>
      <c r="EB333" s="15">
        <v>1400000.0</v>
      </c>
      <c r="EC333" s="15">
        <v>1370000.0</v>
      </c>
      <c r="ED333" s="15">
        <v>1380000.0</v>
      </c>
      <c r="EE333" s="17">
        <v>0.02</v>
      </c>
      <c r="EF333" s="17">
        <v>0.127</v>
      </c>
      <c r="EG333" s="17">
        <v>0.439</v>
      </c>
      <c r="EH333" s="17">
        <v>0.24</v>
      </c>
    </row>
    <row r="334">
      <c r="A334" s="9">
        <f t="shared" si="2"/>
        <v>332</v>
      </c>
      <c r="B334" s="10" t="s">
        <v>468</v>
      </c>
      <c r="C334" s="11">
        <v>693380.0</v>
      </c>
      <c r="D334" s="11">
        <v>619480.0</v>
      </c>
      <c r="E334" s="11">
        <v>809160.0</v>
      </c>
      <c r="F334" s="11">
        <v>876280.0</v>
      </c>
      <c r="G334" s="11">
        <v>839420.0</v>
      </c>
      <c r="H334" s="11">
        <v>637120.0</v>
      </c>
      <c r="I334" s="11">
        <v>597100.0</v>
      </c>
      <c r="J334" s="11">
        <v>269820.0</v>
      </c>
      <c r="K334" s="11">
        <v>290120.0</v>
      </c>
      <c r="L334" s="11">
        <v>269510.0</v>
      </c>
      <c r="M334" s="11">
        <v>184880.0</v>
      </c>
      <c r="N334" s="11">
        <v>184480.0</v>
      </c>
      <c r="O334" s="11">
        <v>180240.0</v>
      </c>
      <c r="P334" s="11">
        <v>194980.0</v>
      </c>
      <c r="Q334" s="11">
        <v>191130.0</v>
      </c>
      <c r="R334" s="11">
        <v>156560.0</v>
      </c>
      <c r="S334" s="11">
        <v>133620.0</v>
      </c>
      <c r="T334" s="11">
        <v>11310.0</v>
      </c>
      <c r="U334" s="11">
        <v>13490.0</v>
      </c>
      <c r="V334" s="11">
        <v>13620.0</v>
      </c>
      <c r="W334" s="11">
        <v>10380.0</v>
      </c>
      <c r="X334" s="11">
        <v>7390.0</v>
      </c>
      <c r="Y334" s="11">
        <v>89830.0</v>
      </c>
      <c r="Z334" s="11">
        <v>95150.0</v>
      </c>
      <c r="AA334" s="11">
        <v>-10060.0</v>
      </c>
      <c r="AB334" s="11">
        <v>23650.0</v>
      </c>
      <c r="AC334" s="11">
        <v>-8440.0</v>
      </c>
      <c r="AD334" s="11">
        <v>77160.0</v>
      </c>
      <c r="AE334" s="11">
        <v>52900.0</v>
      </c>
      <c r="AF334" s="11">
        <v>49690.0</v>
      </c>
      <c r="AG334" s="11">
        <v>13030.0</v>
      </c>
      <c r="AH334" s="11">
        <v>31620.0</v>
      </c>
      <c r="AI334" s="11">
        <v>126630.0</v>
      </c>
      <c r="AJ334" s="11">
        <v>127810.0</v>
      </c>
      <c r="AK334" s="11">
        <v>114510.0</v>
      </c>
      <c r="AL334" s="11">
        <v>53480.0</v>
      </c>
      <c r="AM334" s="11">
        <v>71390.0</v>
      </c>
      <c r="AN334" s="11">
        <v>59670.0</v>
      </c>
      <c r="AO334" s="11">
        <v>42580.0</v>
      </c>
      <c r="AP334" s="11">
        <v>22070.0</v>
      </c>
      <c r="AQ334" s="11">
        <v>8980.0</v>
      </c>
      <c r="AR334" s="11">
        <v>19580.0</v>
      </c>
      <c r="AS334" s="11">
        <v>106800.0</v>
      </c>
      <c r="AT334" s="11">
        <v>79500.0</v>
      </c>
      <c r="AU334" s="11">
        <v>69660.0</v>
      </c>
      <c r="AV334" s="11">
        <v>60450.0</v>
      </c>
      <c r="AW334" s="11">
        <v>52650.0</v>
      </c>
      <c r="AX334" s="11">
        <v>-9430.0</v>
      </c>
      <c r="AY334" s="11">
        <v>-12290.0</v>
      </c>
      <c r="AZ334" s="11">
        <v>-14520.0</v>
      </c>
      <c r="BA334" s="11">
        <v>-14370.0</v>
      </c>
      <c r="BB334" s="11">
        <v>-22320.0</v>
      </c>
      <c r="BC334" s="11">
        <v>-5670.0</v>
      </c>
      <c r="BD334" s="11">
        <v>-4650.0</v>
      </c>
      <c r="BE334" s="11">
        <v>-3660.0</v>
      </c>
      <c r="BF334" s="11">
        <v>-3330.0</v>
      </c>
      <c r="BG334" s="11">
        <v>-3210.0</v>
      </c>
      <c r="BH334" s="11">
        <v>114450.0</v>
      </c>
      <c r="BI334" s="11">
        <v>71090.0</v>
      </c>
      <c r="BJ334" s="11">
        <v>63320.0</v>
      </c>
      <c r="BK334" s="11">
        <v>77890.0</v>
      </c>
      <c r="BL334" s="11">
        <v>51600.0</v>
      </c>
      <c r="BM334" s="11">
        <v>123740.0</v>
      </c>
      <c r="BN334" s="11">
        <v>129160.0</v>
      </c>
      <c r="BO334" s="11">
        <v>127810.0</v>
      </c>
      <c r="BP334" s="11">
        <v>111570.0</v>
      </c>
      <c r="BQ334" s="11">
        <v>83810.0</v>
      </c>
      <c r="BR334" s="11">
        <v>127370.0</v>
      </c>
      <c r="BS334" s="11">
        <v>146260.0</v>
      </c>
      <c r="BT334" s="11">
        <v>152890.0</v>
      </c>
      <c r="BU334" s="11">
        <v>130640.0</v>
      </c>
      <c r="BV334" s="11">
        <v>118050.0</v>
      </c>
      <c r="BW334" s="11">
        <v>382750.0</v>
      </c>
      <c r="BX334" s="11">
        <v>362590.0</v>
      </c>
      <c r="BY334" s="11">
        <v>360300.0</v>
      </c>
      <c r="BZ334" s="11">
        <v>340950.0</v>
      </c>
      <c r="CA334" s="11">
        <v>272730.0</v>
      </c>
      <c r="CB334" s="11">
        <v>117600.0</v>
      </c>
      <c r="CC334" s="11">
        <v>87300.0</v>
      </c>
      <c r="CD334" s="11">
        <v>113080.0</v>
      </c>
      <c r="CE334" s="11">
        <v>113030.0</v>
      </c>
      <c r="CF334" s="11">
        <v>104790.0</v>
      </c>
      <c r="CG334" s="11">
        <v>319680.0</v>
      </c>
      <c r="CH334" s="11">
        <v>322820.0</v>
      </c>
      <c r="CI334" s="11">
        <v>347430.0</v>
      </c>
      <c r="CJ334" s="11">
        <v>319300.0</v>
      </c>
      <c r="CK334" s="11">
        <v>170720.0</v>
      </c>
      <c r="CL334" s="11">
        <v>1090000.0</v>
      </c>
      <c r="CM334" s="11">
        <v>1060000.0</v>
      </c>
      <c r="CN334" s="11">
        <v>1140000.0</v>
      </c>
      <c r="CO334" s="11">
        <v>1110000.0</v>
      </c>
      <c r="CP334" s="11">
        <v>773040.0</v>
      </c>
      <c r="CQ334" s="11">
        <v>57290.0</v>
      </c>
      <c r="CR334" s="11">
        <v>46970.0</v>
      </c>
      <c r="CS334" s="11">
        <v>46970.0</v>
      </c>
      <c r="CT334" s="11">
        <v>40990.0</v>
      </c>
      <c r="CU334" s="11">
        <v>36060.0</v>
      </c>
      <c r="CV334" s="11">
        <v>155320.0</v>
      </c>
      <c r="CW334" s="11">
        <v>6920.0</v>
      </c>
      <c r="CX334" s="11"/>
      <c r="CY334" s="11"/>
      <c r="CZ334" s="13"/>
      <c r="DA334" s="12"/>
      <c r="DB334" s="11">
        <v>155320.0</v>
      </c>
      <c r="DC334" s="11">
        <v>211280.0</v>
      </c>
      <c r="DD334" s="11">
        <v>207000.0</v>
      </c>
      <c r="DE334" s="11">
        <v>190960.0</v>
      </c>
      <c r="DF334" s="11">
        <v>629690.0</v>
      </c>
      <c r="DG334" s="11">
        <v>630410.0</v>
      </c>
      <c r="DH334" s="11">
        <v>734220.0</v>
      </c>
      <c r="DI334" s="11">
        <v>772490.0</v>
      </c>
      <c r="DJ334" s="11">
        <v>486740.0</v>
      </c>
      <c r="DK334" s="11">
        <v>10970.0</v>
      </c>
      <c r="DL334" s="11">
        <v>261100.0</v>
      </c>
      <c r="DM334" s="11">
        <v>260970.0</v>
      </c>
      <c r="DN334" s="11">
        <v>7980.0</v>
      </c>
      <c r="DO334" s="11">
        <v>18190.0</v>
      </c>
      <c r="DP334" s="11">
        <v>278490.0</v>
      </c>
      <c r="DQ334" s="11">
        <v>235320.0</v>
      </c>
      <c r="DR334" s="11">
        <v>303250.0</v>
      </c>
      <c r="DS334" s="11">
        <v>368750.0</v>
      </c>
      <c r="DT334" s="11">
        <v>224580.0</v>
      </c>
      <c r="DU334" s="13"/>
      <c r="DV334" s="12"/>
      <c r="DW334" s="12"/>
      <c r="DX334" s="13"/>
      <c r="DY334" s="13"/>
      <c r="DZ334" s="11">
        <v>463590.0</v>
      </c>
      <c r="EA334" s="11">
        <v>431160.0</v>
      </c>
      <c r="EB334" s="11">
        <v>408230.0</v>
      </c>
      <c r="EC334" s="11">
        <v>341350.0</v>
      </c>
      <c r="ED334" s="11">
        <v>286310.0</v>
      </c>
      <c r="EE334" s="14">
        <v>0.127</v>
      </c>
      <c r="EF334" s="14">
        <v>0.166</v>
      </c>
      <c r="EG334" s="14">
        <v>0.261</v>
      </c>
      <c r="EH334" s="14">
        <v>0.118</v>
      </c>
    </row>
    <row r="335">
      <c r="A335" s="9">
        <f t="shared" si="2"/>
        <v>333</v>
      </c>
      <c r="B335" s="10" t="s">
        <v>469</v>
      </c>
      <c r="C335" s="12"/>
      <c r="D335" s="12"/>
      <c r="E335" s="15">
        <v>1.0894E8</v>
      </c>
      <c r="F335" s="15">
        <v>9.451E7</v>
      </c>
      <c r="G335" s="15">
        <v>8.503E7</v>
      </c>
      <c r="H335" s="15">
        <v>8.04E7</v>
      </c>
      <c r="I335" s="15">
        <v>7.451E7</v>
      </c>
      <c r="J335" s="15">
        <v>6.155E7</v>
      </c>
      <c r="K335" s="15">
        <v>5.38E7</v>
      </c>
      <c r="L335" s="15">
        <v>4.954E7</v>
      </c>
      <c r="M335" s="15">
        <v>4.638E7</v>
      </c>
      <c r="N335" s="15">
        <v>4.33E7</v>
      </c>
      <c r="O335" s="15">
        <v>4.042E7</v>
      </c>
      <c r="P335" s="15">
        <v>3.479E7</v>
      </c>
      <c r="Q335" s="15">
        <v>3.197E7</v>
      </c>
      <c r="R335" s="15">
        <v>2.946E7</v>
      </c>
      <c r="S335" s="15">
        <v>2.71E7</v>
      </c>
      <c r="T335" s="15">
        <v>0.0</v>
      </c>
      <c r="U335" s="15">
        <v>0.0</v>
      </c>
      <c r="V335" s="15">
        <v>0.0</v>
      </c>
      <c r="W335" s="15">
        <v>0.0</v>
      </c>
      <c r="X335" s="15">
        <v>0.0</v>
      </c>
      <c r="Y335" s="15">
        <v>0.0</v>
      </c>
      <c r="Z335" s="15">
        <v>1.867E7</v>
      </c>
      <c r="AA335" s="15">
        <v>0.0</v>
      </c>
      <c r="AB335" s="15">
        <v>1.682E7</v>
      </c>
      <c r="AC335" s="15">
        <v>1.59E7</v>
      </c>
      <c r="AD335" s="15">
        <v>1.7E7</v>
      </c>
      <c r="AE335" s="15">
        <v>1.524E7</v>
      </c>
      <c r="AF335" s="15">
        <v>1.535E7</v>
      </c>
      <c r="AG335" s="15">
        <v>1.435E7</v>
      </c>
      <c r="AH335" s="15">
        <v>1.337E7</v>
      </c>
      <c r="AI335" s="15">
        <v>3.408E7</v>
      </c>
      <c r="AJ335" s="15">
        <v>3.002E7</v>
      </c>
      <c r="AK335" s="15">
        <v>2.771E7</v>
      </c>
      <c r="AL335" s="15">
        <v>2.648E7</v>
      </c>
      <c r="AM335" s="15">
        <v>2.486E7</v>
      </c>
      <c r="AN335" s="15">
        <v>1.306E7</v>
      </c>
      <c r="AO335" s="15">
        <v>1.173E7</v>
      </c>
      <c r="AP335" s="15">
        <v>2.274E7</v>
      </c>
      <c r="AQ335" s="15">
        <v>8700000.0</v>
      </c>
      <c r="AR335" s="15">
        <v>8160000.0</v>
      </c>
      <c r="AS335" s="15">
        <v>2.57E7</v>
      </c>
      <c r="AT335" s="15">
        <v>2.43E7</v>
      </c>
      <c r="AU335" s="15">
        <v>2.126E7</v>
      </c>
      <c r="AV335" s="15">
        <v>1.924E7</v>
      </c>
      <c r="AW335" s="15">
        <v>1.878E7</v>
      </c>
      <c r="AX335" s="15">
        <v>-1.248E7</v>
      </c>
      <c r="AY335" s="15">
        <v>-1.185E7</v>
      </c>
      <c r="AZ335" s="15">
        <v>-1.157E7</v>
      </c>
      <c r="BA335" s="15">
        <v>-1.125E7</v>
      </c>
      <c r="BB335" s="15">
        <v>-1.005E7</v>
      </c>
      <c r="BC335" s="15">
        <v>-3740000.0</v>
      </c>
      <c r="BD335" s="15">
        <v>-3350000.0</v>
      </c>
      <c r="BE335" s="15">
        <v>-2880000.0</v>
      </c>
      <c r="BF335" s="15">
        <v>-2600000.0</v>
      </c>
      <c r="BG335" s="15">
        <v>-2440000.0</v>
      </c>
      <c r="BH335" s="15">
        <v>5540000.0</v>
      </c>
      <c r="BI335" s="15">
        <v>3860000.0</v>
      </c>
      <c r="BJ335" s="15">
        <v>3490000.0</v>
      </c>
      <c r="BK335" s="15">
        <v>3300000.0</v>
      </c>
      <c r="BL335" s="15">
        <v>2400000.0</v>
      </c>
      <c r="BM335" s="15">
        <v>1.129E7</v>
      </c>
      <c r="BN335" s="15">
        <v>1.11E7</v>
      </c>
      <c r="BO335" s="15">
        <v>8830000.0</v>
      </c>
      <c r="BP335" s="15">
        <v>7960000.0</v>
      </c>
      <c r="BQ335" s="15">
        <v>6900000.0</v>
      </c>
      <c r="BR335" s="15">
        <v>3880000.0</v>
      </c>
      <c r="BS335" s="15">
        <v>3750000.0</v>
      </c>
      <c r="BT335" s="15">
        <v>1610000.0</v>
      </c>
      <c r="BU335" s="15">
        <v>1250000.0</v>
      </c>
      <c r="BV335" s="15">
        <v>1210000.0</v>
      </c>
      <c r="BW335" s="15">
        <v>2.539E7</v>
      </c>
      <c r="BX335" s="15">
        <v>2.185E7</v>
      </c>
      <c r="BY335" s="15">
        <v>1.634E7</v>
      </c>
      <c r="BZ335" s="15">
        <v>1.636E7</v>
      </c>
      <c r="CA335" s="15">
        <v>1.23E7</v>
      </c>
      <c r="CB335" s="15">
        <v>5.236E7</v>
      </c>
      <c r="CC335" s="15">
        <v>4.444E7</v>
      </c>
      <c r="CD335" s="15">
        <v>3.847E7</v>
      </c>
      <c r="CE335" s="15">
        <v>3.625E7</v>
      </c>
      <c r="CF335" s="15">
        <v>3.367E7</v>
      </c>
      <c r="CG335" s="15">
        <v>6.873E7</v>
      </c>
      <c r="CH335" s="15">
        <v>6.615E7</v>
      </c>
      <c r="CI335" s="15">
        <v>3.678E7</v>
      </c>
      <c r="CJ335" s="15">
        <v>3.598E7</v>
      </c>
      <c r="CK335" s="15">
        <v>3.295E7</v>
      </c>
      <c r="CL335" s="15">
        <v>2.6341E8</v>
      </c>
      <c r="CM335" s="15">
        <v>2.5168E8</v>
      </c>
      <c r="CN335" s="15">
        <v>1.8746E8</v>
      </c>
      <c r="CO335" s="15">
        <v>1.805E8</v>
      </c>
      <c r="CP335" s="15">
        <v>1.7059E8</v>
      </c>
      <c r="CQ335" s="15">
        <v>1.083E7</v>
      </c>
      <c r="CR335" s="15">
        <v>8490000.0</v>
      </c>
      <c r="CS335" s="15">
        <v>6910000.0</v>
      </c>
      <c r="CT335" s="15">
        <v>6920000.0</v>
      </c>
      <c r="CU335" s="15">
        <v>6220000.0</v>
      </c>
      <c r="CV335" s="15">
        <v>3.029E7</v>
      </c>
      <c r="CW335" s="15">
        <v>715000.0</v>
      </c>
      <c r="CX335" s="16">
        <v>0.0</v>
      </c>
      <c r="CY335" s="15">
        <v>0.0</v>
      </c>
      <c r="CZ335" s="16">
        <v>0.0</v>
      </c>
      <c r="DA335" s="15">
        <v>0.0</v>
      </c>
      <c r="DB335" s="15">
        <v>3.029E7</v>
      </c>
      <c r="DC335" s="15">
        <v>2.76E7</v>
      </c>
      <c r="DD335" s="15">
        <v>2.199E7</v>
      </c>
      <c r="DE335" s="15">
        <v>2.154E7</v>
      </c>
      <c r="DF335" s="15">
        <v>1.7817E8</v>
      </c>
      <c r="DG335" s="15">
        <v>1.7787E8</v>
      </c>
      <c r="DH335" s="15">
        <v>1.1665E8</v>
      </c>
      <c r="DI335" s="15">
        <v>1.2288E8</v>
      </c>
      <c r="DJ335" s="15">
        <v>1.1539E8</v>
      </c>
      <c r="DK335" s="15">
        <v>7730000.0</v>
      </c>
      <c r="DL335" s="15">
        <v>7930000.0</v>
      </c>
      <c r="DM335" s="15">
        <v>7010000.0</v>
      </c>
      <c r="DN335" s="15">
        <v>5250000.0</v>
      </c>
      <c r="DO335" s="15">
        <v>3220000.0</v>
      </c>
      <c r="DP335" s="15">
        <v>1.0441E8</v>
      </c>
      <c r="DQ335" s="15">
        <v>1.0735E8</v>
      </c>
      <c r="DR335" s="15">
        <v>5.942E7</v>
      </c>
      <c r="DS335" s="15">
        <v>5.557E7</v>
      </c>
      <c r="DT335" s="15">
        <v>4.899E7</v>
      </c>
      <c r="DU335" s="16">
        <v>0.0</v>
      </c>
      <c r="DV335" s="15">
        <v>0.0</v>
      </c>
      <c r="DW335" s="15">
        <v>0.0</v>
      </c>
      <c r="DX335" s="15">
        <v>0.0</v>
      </c>
      <c r="DY335" s="16">
        <v>0.0</v>
      </c>
      <c r="DZ335" s="15">
        <v>8.273E7</v>
      </c>
      <c r="EA335" s="15">
        <v>7.161E7</v>
      </c>
      <c r="EB335" s="15">
        <v>6.862E7</v>
      </c>
      <c r="EC335" s="15">
        <v>5.394E7</v>
      </c>
      <c r="ED335" s="15">
        <v>5.227E7</v>
      </c>
      <c r="EE335" s="23"/>
      <c r="EF335" s="23"/>
      <c r="EG335" s="23"/>
      <c r="EH335" s="23"/>
    </row>
    <row r="336">
      <c r="A336" s="9">
        <f t="shared" si="2"/>
        <v>334</v>
      </c>
      <c r="B336" s="10" t="s">
        <v>470</v>
      </c>
      <c r="C336" s="15">
        <v>6910000.0</v>
      </c>
      <c r="D336" s="15">
        <v>5970000.0</v>
      </c>
      <c r="E336" s="15">
        <v>5590000.0</v>
      </c>
      <c r="F336" s="15">
        <v>4860000.0</v>
      </c>
      <c r="G336" s="15">
        <v>4480000.0</v>
      </c>
      <c r="H336" s="15">
        <v>3900000.0</v>
      </c>
      <c r="I336" s="15">
        <v>4500000.0</v>
      </c>
      <c r="J336" s="15">
        <v>929710.0</v>
      </c>
      <c r="K336" s="15">
        <v>709010.0</v>
      </c>
      <c r="L336" s="15">
        <v>592870.0</v>
      </c>
      <c r="M336" s="15">
        <v>351850.0</v>
      </c>
      <c r="N336" s="15">
        <v>1040000.0</v>
      </c>
      <c r="O336" s="15">
        <v>442480.0</v>
      </c>
      <c r="P336" s="15">
        <v>319120.0</v>
      </c>
      <c r="Q336" s="15">
        <v>296390.0</v>
      </c>
      <c r="R336" s="15">
        <v>293990.0</v>
      </c>
      <c r="S336" s="15">
        <v>266570.0</v>
      </c>
      <c r="T336" s="15"/>
      <c r="U336" s="15"/>
      <c r="V336" s="15"/>
      <c r="W336" s="15"/>
      <c r="X336" s="15"/>
      <c r="Y336" s="15">
        <v>473060.0</v>
      </c>
      <c r="Z336" s="15">
        <v>-56340.0</v>
      </c>
      <c r="AA336" s="12"/>
      <c r="AB336" s="15">
        <v>41050.0</v>
      </c>
      <c r="AC336" s="15">
        <v>769860.0</v>
      </c>
      <c r="AD336" s="15">
        <v>458290.0</v>
      </c>
      <c r="AE336" s="15">
        <v>268440.0</v>
      </c>
      <c r="AF336" s="15">
        <v>275740.0</v>
      </c>
      <c r="AG336" s="15">
        <v>38740.0</v>
      </c>
      <c r="AH336" s="15">
        <v>769870.0</v>
      </c>
      <c r="AI336" s="15">
        <v>863960.0</v>
      </c>
      <c r="AJ336" s="15">
        <v>591870.0</v>
      </c>
      <c r="AK336" s="15">
        <v>459830.0</v>
      </c>
      <c r="AL336" s="15">
        <v>204230.0</v>
      </c>
      <c r="AM336" s="15">
        <v>907720.0</v>
      </c>
      <c r="AN336" s="15">
        <v>350160.0</v>
      </c>
      <c r="AO336" s="15">
        <v>176550.0</v>
      </c>
      <c r="AP336" s="15">
        <v>176250.0</v>
      </c>
      <c r="AQ336" s="15">
        <v>22940.0</v>
      </c>
      <c r="AR336" s="15">
        <v>475600.0</v>
      </c>
      <c r="AS336" s="15">
        <v>873190.0</v>
      </c>
      <c r="AT336" s="15">
        <v>621550.0</v>
      </c>
      <c r="AU336" s="15">
        <v>468220.0</v>
      </c>
      <c r="AV336" s="15">
        <v>349240.0</v>
      </c>
      <c r="AW336" s="15">
        <v>683320.0</v>
      </c>
      <c r="AX336" s="15">
        <v>-333910.0</v>
      </c>
      <c r="AY336" s="15">
        <v>-287390.0</v>
      </c>
      <c r="AZ336" s="15">
        <v>-216780.0</v>
      </c>
      <c r="BA336" s="15">
        <v>-258840.0</v>
      </c>
      <c r="BB336" s="15">
        <v>-257420.0</v>
      </c>
      <c r="BC336" s="15"/>
      <c r="BD336" s="15"/>
      <c r="BE336" s="15"/>
      <c r="BF336" s="15"/>
      <c r="BG336" s="15"/>
      <c r="BH336" s="15">
        <v>880780.0</v>
      </c>
      <c r="BI336" s="15">
        <v>676800.0</v>
      </c>
      <c r="BJ336" s="15">
        <v>508950.0</v>
      </c>
      <c r="BK336" s="15">
        <v>417720.0</v>
      </c>
      <c r="BL336" s="15">
        <v>663200.0</v>
      </c>
      <c r="BM336" s="15">
        <v>108250.0</v>
      </c>
      <c r="BN336" s="15">
        <v>62310.0</v>
      </c>
      <c r="BO336" s="15">
        <v>49810.0</v>
      </c>
      <c r="BP336" s="15">
        <v>45560.0</v>
      </c>
      <c r="BQ336" s="15">
        <v>96440.0</v>
      </c>
      <c r="BR336" s="15">
        <v>26100.0</v>
      </c>
      <c r="BS336" s="15">
        <v>21560.0</v>
      </c>
      <c r="BT336" s="15">
        <v>19860.0</v>
      </c>
      <c r="BU336" s="15">
        <v>15020.0</v>
      </c>
      <c r="BV336" s="15">
        <v>15040.0</v>
      </c>
      <c r="BW336" s="15">
        <v>1070000.0</v>
      </c>
      <c r="BX336" s="15">
        <v>814790.0</v>
      </c>
      <c r="BY336" s="15">
        <v>629540.0</v>
      </c>
      <c r="BZ336" s="15">
        <v>522370.0</v>
      </c>
      <c r="CA336" s="15">
        <v>814650.0</v>
      </c>
      <c r="CB336" s="15">
        <v>3960000.0</v>
      </c>
      <c r="CC336" s="15">
        <v>1380000.0</v>
      </c>
      <c r="CD336" s="15">
        <v>1340000.0</v>
      </c>
      <c r="CE336" s="15">
        <v>1300000.0</v>
      </c>
      <c r="CF336" s="15">
        <v>1220000.0</v>
      </c>
      <c r="CG336" s="15">
        <v>21940.0</v>
      </c>
      <c r="CH336" s="15">
        <v>21940.0</v>
      </c>
      <c r="CI336" s="15">
        <v>21940.0</v>
      </c>
      <c r="CJ336" s="15">
        <v>21940.0</v>
      </c>
      <c r="CK336" s="15">
        <v>21940.0</v>
      </c>
      <c r="CL336" s="15">
        <v>5920000.0</v>
      </c>
      <c r="CM336" s="15">
        <v>2400000.0</v>
      </c>
      <c r="CN336" s="15">
        <v>2190000.0</v>
      </c>
      <c r="CO336" s="15">
        <v>2220000.0</v>
      </c>
      <c r="CP336" s="15">
        <v>2890000.0</v>
      </c>
      <c r="CQ336" s="15">
        <v>115820.0</v>
      </c>
      <c r="CR336" s="15">
        <v>113070.0</v>
      </c>
      <c r="CS336" s="15">
        <v>82030.0</v>
      </c>
      <c r="CT336" s="15">
        <v>78360.0</v>
      </c>
      <c r="CU336" s="15">
        <v>85710.0</v>
      </c>
      <c r="CV336" s="15">
        <v>666590.0</v>
      </c>
      <c r="CW336" s="15">
        <v>173140.0</v>
      </c>
      <c r="CX336" s="15"/>
      <c r="CY336" s="15"/>
      <c r="CZ336" s="15"/>
      <c r="DA336" s="15"/>
      <c r="DB336" s="15">
        <v>666590.0</v>
      </c>
      <c r="DC336" s="15">
        <v>449990.0</v>
      </c>
      <c r="DD336" s="15">
        <v>323890.0</v>
      </c>
      <c r="DE336" s="15">
        <v>281790.0</v>
      </c>
      <c r="DF336" s="15">
        <v>4240000.0</v>
      </c>
      <c r="DG336" s="15">
        <v>962320.0</v>
      </c>
      <c r="DH336" s="15">
        <v>827870.0</v>
      </c>
      <c r="DI336" s="15">
        <v>817170.0</v>
      </c>
      <c r="DJ336" s="15">
        <v>766910.0</v>
      </c>
      <c r="DK336" s="15">
        <v>40670.0</v>
      </c>
      <c r="DL336" s="15">
        <v>30200.0</v>
      </c>
      <c r="DM336" s="15">
        <v>29600.0</v>
      </c>
      <c r="DN336" s="15">
        <v>171390.0</v>
      </c>
      <c r="DO336" s="15">
        <v>663840.0</v>
      </c>
      <c r="DP336" s="15">
        <v>2680000.0</v>
      </c>
      <c r="DQ336" s="15"/>
      <c r="DR336" s="15"/>
      <c r="DS336" s="15"/>
      <c r="DT336" s="15"/>
      <c r="DU336" s="15"/>
      <c r="DV336" s="15"/>
      <c r="DW336" s="15"/>
      <c r="DX336" s="15"/>
      <c r="DY336" s="15"/>
      <c r="DZ336" s="15">
        <v>1680000.0</v>
      </c>
      <c r="EA336" s="15">
        <v>1440000.0</v>
      </c>
      <c r="EB336" s="15">
        <v>1360000.0</v>
      </c>
      <c r="EC336" s="15">
        <v>1400000.0</v>
      </c>
      <c r="ED336" s="15">
        <v>2130000.0</v>
      </c>
      <c r="EE336" s="31">
        <v>0.039</v>
      </c>
      <c r="EF336" s="31">
        <v>0.12</v>
      </c>
      <c r="EG336" s="31">
        <v>0.143</v>
      </c>
      <c r="EH336" s="31">
        <v>0.107</v>
      </c>
    </row>
    <row r="337">
      <c r="A337" s="9">
        <f t="shared" si="2"/>
        <v>335</v>
      </c>
      <c r="B337" s="25" t="s">
        <v>471</v>
      </c>
      <c r="C337" s="15">
        <v>1580000.0</v>
      </c>
      <c r="D337" s="15">
        <v>1500000.0</v>
      </c>
      <c r="E337" s="15">
        <v>1490000.0</v>
      </c>
      <c r="F337" s="15">
        <v>1490000.0</v>
      </c>
      <c r="G337" s="15">
        <v>1360000.0</v>
      </c>
      <c r="H337" s="15">
        <v>1140000.0</v>
      </c>
      <c r="I337" s="15">
        <v>1100000.0</v>
      </c>
      <c r="J337" s="15">
        <v>335900.0</v>
      </c>
      <c r="K337" s="15">
        <v>294100.0</v>
      </c>
      <c r="L337" s="15">
        <v>327200.0</v>
      </c>
      <c r="M337" s="15">
        <v>302200.0</v>
      </c>
      <c r="N337" s="15">
        <v>333200.0</v>
      </c>
      <c r="O337" s="15">
        <v>173200.0</v>
      </c>
      <c r="P337" s="15">
        <v>158500.0</v>
      </c>
      <c r="Q337" s="15">
        <v>167400.0</v>
      </c>
      <c r="R337" s="15">
        <v>120000.0</v>
      </c>
      <c r="S337" s="15">
        <v>108700.0</v>
      </c>
      <c r="T337" s="15"/>
      <c r="U337" s="15"/>
      <c r="V337" s="15"/>
      <c r="W337" s="15"/>
      <c r="X337" s="15"/>
      <c r="Y337" s="12"/>
      <c r="Z337" s="15">
        <v>129500.0</v>
      </c>
      <c r="AA337" s="15">
        <v>150100.0</v>
      </c>
      <c r="AB337" s="15">
        <v>236500.0</v>
      </c>
      <c r="AC337" s="12"/>
      <c r="AD337" s="15">
        <v>84600.0</v>
      </c>
      <c r="AE337" s="15">
        <v>77600.0</v>
      </c>
      <c r="AF337" s="15">
        <v>102700.0</v>
      </c>
      <c r="AG337" s="15">
        <v>197300.0</v>
      </c>
      <c r="AH337" s="15">
        <v>214500.0</v>
      </c>
      <c r="AI337" s="15">
        <v>300600.0</v>
      </c>
      <c r="AJ337" s="15">
        <v>272500.0</v>
      </c>
      <c r="AK337" s="15">
        <v>282000.0</v>
      </c>
      <c r="AL337" s="15">
        <v>272500.0</v>
      </c>
      <c r="AM337" s="15">
        <v>302800.0</v>
      </c>
      <c r="AN337" s="15">
        <v>61400.0</v>
      </c>
      <c r="AO337" s="15">
        <v>68300.0</v>
      </c>
      <c r="AP337" s="15">
        <v>42200.0</v>
      </c>
      <c r="AQ337" s="15">
        <v>161900.0</v>
      </c>
      <c r="AR337" s="15">
        <v>158200.0</v>
      </c>
      <c r="AS337" s="15">
        <v>159600.0</v>
      </c>
      <c r="AT337" s="15">
        <v>190700.0</v>
      </c>
      <c r="AU337" s="15">
        <v>146900.0</v>
      </c>
      <c r="AV337" s="15">
        <v>167300.0</v>
      </c>
      <c r="AW337" s="15">
        <v>137900.0</v>
      </c>
      <c r="AX337" s="15">
        <v>-98100.0</v>
      </c>
      <c r="AY337" s="15">
        <v>-96800.0</v>
      </c>
      <c r="AZ337" s="15">
        <v>-114100.0</v>
      </c>
      <c r="BA337" s="15">
        <v>-182200.0</v>
      </c>
      <c r="BB337" s="15">
        <v>-217600.0</v>
      </c>
      <c r="BC337" s="15">
        <v>-98100.0</v>
      </c>
      <c r="BD337" s="15">
        <v>-97700.0</v>
      </c>
      <c r="BE337" s="15">
        <v>-97500.0</v>
      </c>
      <c r="BF337" s="15">
        <v>-94100.0</v>
      </c>
      <c r="BG337" s="15">
        <v>-89400.0</v>
      </c>
      <c r="BH337" s="15">
        <v>34700.0</v>
      </c>
      <c r="BI337" s="15">
        <v>27000.0</v>
      </c>
      <c r="BJ337" s="15">
        <v>36600.0</v>
      </c>
      <c r="BK337" s="15">
        <v>77400.0</v>
      </c>
      <c r="BL337" s="15">
        <v>58400.0</v>
      </c>
      <c r="BM337" s="15">
        <v>400700.0</v>
      </c>
      <c r="BN337" s="15">
        <v>311600.0</v>
      </c>
      <c r="BO337" s="15">
        <v>344500.0</v>
      </c>
      <c r="BP337" s="15">
        <v>320900.0</v>
      </c>
      <c r="BQ337" s="15">
        <v>147800.0</v>
      </c>
      <c r="BR337" s="15">
        <v>311500.0</v>
      </c>
      <c r="BS337" s="15">
        <v>266600.0</v>
      </c>
      <c r="BT337" s="15">
        <v>289900.0</v>
      </c>
      <c r="BU337" s="15">
        <v>280600.0</v>
      </c>
      <c r="BV337" s="15">
        <v>275300.0</v>
      </c>
      <c r="BW337" s="15">
        <v>785000.0</v>
      </c>
      <c r="BX337" s="15">
        <v>721200.0</v>
      </c>
      <c r="BY337" s="15">
        <v>737500.0</v>
      </c>
      <c r="BZ337" s="15">
        <v>715000.0</v>
      </c>
      <c r="CA337" s="15">
        <v>512300.0</v>
      </c>
      <c r="CB337" s="15">
        <v>1080000.0</v>
      </c>
      <c r="CC337" s="15">
        <v>1050000.0</v>
      </c>
      <c r="CD337" s="15">
        <v>1140000.0</v>
      </c>
      <c r="CE337" s="15">
        <v>1090000.0</v>
      </c>
      <c r="CF337" s="15">
        <v>800700.0</v>
      </c>
      <c r="CG337" s="15">
        <v>343000.0</v>
      </c>
      <c r="CH337" s="15">
        <v>350800.0</v>
      </c>
      <c r="CI337" s="15">
        <v>405000.0</v>
      </c>
      <c r="CJ337" s="15">
        <v>412200.0</v>
      </c>
      <c r="CK337" s="15">
        <v>58100.0</v>
      </c>
      <c r="CL337" s="15">
        <v>2450000.0</v>
      </c>
      <c r="CM337" s="15">
        <v>2380000.0</v>
      </c>
      <c r="CN337" s="15">
        <v>2580000.0</v>
      </c>
      <c r="CO337" s="15">
        <v>2490000.0</v>
      </c>
      <c r="CP337" s="15">
        <v>1640000.0</v>
      </c>
      <c r="CQ337" s="15">
        <v>126200.0</v>
      </c>
      <c r="CR337" s="15">
        <v>111300.0</v>
      </c>
      <c r="CS337" s="15">
        <v>123500.0</v>
      </c>
      <c r="CT337" s="15">
        <v>100800.0</v>
      </c>
      <c r="CU337" s="15">
        <v>80700.0</v>
      </c>
      <c r="CV337" s="15">
        <v>295900.0</v>
      </c>
      <c r="CW337" s="15">
        <v>12800.0</v>
      </c>
      <c r="CX337" s="15"/>
      <c r="CY337" s="13"/>
      <c r="CZ337" s="13"/>
      <c r="DA337" s="12"/>
      <c r="DB337" s="15">
        <v>295900.0</v>
      </c>
      <c r="DC337" s="15">
        <v>283300.0</v>
      </c>
      <c r="DD337" s="15">
        <v>268000.0</v>
      </c>
      <c r="DE337" s="15">
        <v>372000.0</v>
      </c>
      <c r="DF337" s="15">
        <v>1920000.0</v>
      </c>
      <c r="DG337" s="15">
        <v>1840000.0</v>
      </c>
      <c r="DH337" s="15">
        <v>1890000.0</v>
      </c>
      <c r="DI337" s="15">
        <v>1770000.0</v>
      </c>
      <c r="DJ337" s="15">
        <v>1000000.0</v>
      </c>
      <c r="DK337" s="15">
        <v>25000.0</v>
      </c>
      <c r="DL337" s="15">
        <v>28600.0</v>
      </c>
      <c r="DM337" s="15">
        <v>26800.0</v>
      </c>
      <c r="DN337" s="15">
        <v>26700.0</v>
      </c>
      <c r="DO337" s="15">
        <v>118000.0</v>
      </c>
      <c r="DP337" s="15">
        <v>1410000.0</v>
      </c>
      <c r="DQ337" s="15">
        <v>1320000.0</v>
      </c>
      <c r="DR337" s="15">
        <v>1330000.0</v>
      </c>
      <c r="DS337" s="15">
        <v>1190000.0</v>
      </c>
      <c r="DT337" s="15">
        <v>718000.0</v>
      </c>
      <c r="DU337" s="13"/>
      <c r="DV337" s="12"/>
      <c r="DW337" s="15"/>
      <c r="DX337" s="15"/>
      <c r="DY337" s="13"/>
      <c r="DZ337" s="15">
        <v>529600.0</v>
      </c>
      <c r="EA337" s="15">
        <v>540200.0</v>
      </c>
      <c r="EB337" s="15">
        <v>694600.0</v>
      </c>
      <c r="EC337" s="15">
        <v>717100.0</v>
      </c>
      <c r="ED337" s="15">
        <v>639700.0</v>
      </c>
      <c r="EE337" s="23">
        <v>0.06</v>
      </c>
      <c r="EF337" s="23">
        <v>0.127</v>
      </c>
      <c r="EG337" s="23">
        <v>0.333</v>
      </c>
      <c r="EH337" s="23">
        <v>-0.338</v>
      </c>
    </row>
    <row r="338">
      <c r="A338" s="9">
        <f t="shared" si="2"/>
        <v>336</v>
      </c>
      <c r="B338" s="10" t="s">
        <v>472</v>
      </c>
      <c r="C338" s="11">
        <v>528740.0</v>
      </c>
      <c r="D338" s="11">
        <v>473470.0</v>
      </c>
      <c r="E338" s="11">
        <v>478110.0</v>
      </c>
      <c r="F338" s="11">
        <v>380400.0</v>
      </c>
      <c r="G338" s="11">
        <v>412430.0</v>
      </c>
      <c r="H338" s="11">
        <v>468190.0</v>
      </c>
      <c r="I338" s="11">
        <v>490380.0</v>
      </c>
      <c r="J338" s="11">
        <v>229030.0</v>
      </c>
      <c r="K338" s="11">
        <v>248270.0</v>
      </c>
      <c r="L338" s="11">
        <v>198820.0</v>
      </c>
      <c r="M338" s="11">
        <v>248230.0</v>
      </c>
      <c r="N338" s="11">
        <v>257610.0</v>
      </c>
      <c r="O338" s="11">
        <v>30750.0</v>
      </c>
      <c r="P338" s="11">
        <v>17910.0</v>
      </c>
      <c r="Q338" s="11">
        <v>36640.0</v>
      </c>
      <c r="R338" s="11">
        <v>40130.0</v>
      </c>
      <c r="S338" s="11">
        <v>41260.0</v>
      </c>
      <c r="T338" s="12"/>
      <c r="U338" s="12"/>
      <c r="V338" s="12"/>
      <c r="W338" s="12"/>
      <c r="X338" s="12"/>
      <c r="Y338" s="11">
        <v>194680.0</v>
      </c>
      <c r="Z338" s="11">
        <v>229800.0</v>
      </c>
      <c r="AA338" s="11">
        <v>145520.0</v>
      </c>
      <c r="AB338" s="11">
        <v>182670.0</v>
      </c>
      <c r="AC338" s="11">
        <v>188770.0</v>
      </c>
      <c r="AD338" s="11">
        <v>87630.0</v>
      </c>
      <c r="AE338" s="11">
        <v>55190.0</v>
      </c>
      <c r="AF338" s="11">
        <v>69500.0</v>
      </c>
      <c r="AG338" s="11">
        <v>81780.0</v>
      </c>
      <c r="AH338" s="11">
        <v>144290.0</v>
      </c>
      <c r="AI338" s="11">
        <v>320690.0</v>
      </c>
      <c r="AJ338" s="11">
        <v>333900.0</v>
      </c>
      <c r="AK338" s="11">
        <v>266250.0</v>
      </c>
      <c r="AL338" s="11">
        <v>316880.0</v>
      </c>
      <c r="AM338" s="11">
        <v>325420.0</v>
      </c>
      <c r="AN338" s="11">
        <v>99000.0</v>
      </c>
      <c r="AO338" s="11">
        <v>67240.0</v>
      </c>
      <c r="AP338" s="11">
        <v>72880.0</v>
      </c>
      <c r="AQ338" s="11">
        <v>81700.0</v>
      </c>
      <c r="AR338" s="11">
        <v>143760.0</v>
      </c>
      <c r="AS338" s="11">
        <v>271030.0</v>
      </c>
      <c r="AT338" s="11">
        <v>139810.0</v>
      </c>
      <c r="AU338" s="11">
        <v>193750.0</v>
      </c>
      <c r="AV338" s="11">
        <v>222650.0</v>
      </c>
      <c r="AW338" s="11">
        <v>244660.0</v>
      </c>
      <c r="AX338" s="11">
        <v>-61980.0</v>
      </c>
      <c r="AY338" s="11">
        <v>-142990.0</v>
      </c>
      <c r="AZ338" s="11">
        <v>-64230.0</v>
      </c>
      <c r="BA338" s="11">
        <v>-2790.0</v>
      </c>
      <c r="BB338" s="11">
        <v>-2760.0</v>
      </c>
      <c r="BC338" s="11">
        <v>-58660.0</v>
      </c>
      <c r="BD338" s="11">
        <v>-49140.0</v>
      </c>
      <c r="BE338" s="11">
        <v>-37760.0</v>
      </c>
      <c r="BF338" s="11">
        <v>-75000.0</v>
      </c>
      <c r="BG338" s="11">
        <v>-102290.0</v>
      </c>
      <c r="BH338" s="11">
        <v>155840.0</v>
      </c>
      <c r="BI338" s="11">
        <v>119310.0</v>
      </c>
      <c r="BJ338" s="11">
        <v>186340.0</v>
      </c>
      <c r="BK338" s="11">
        <v>171780.0</v>
      </c>
      <c r="BL338" s="11">
        <v>114460.0</v>
      </c>
      <c r="BM338" s="11">
        <v>16770.0</v>
      </c>
      <c r="BN338" s="11">
        <v>16780.0</v>
      </c>
      <c r="BO338" s="11">
        <v>8870.0</v>
      </c>
      <c r="BP338" s="11">
        <v>7710.0</v>
      </c>
      <c r="BQ338" s="11">
        <v>11490.0</v>
      </c>
      <c r="BR338" s="11">
        <v>10550.0</v>
      </c>
      <c r="BS338" s="11">
        <v>11020.0</v>
      </c>
      <c r="BT338" s="11">
        <v>9660.0</v>
      </c>
      <c r="BU338" s="11">
        <v>11420.0</v>
      </c>
      <c r="BV338" s="11">
        <v>10580.0</v>
      </c>
      <c r="BW338" s="11">
        <v>197240.0</v>
      </c>
      <c r="BX338" s="11">
        <v>170580.0</v>
      </c>
      <c r="BY338" s="11">
        <v>226640.0</v>
      </c>
      <c r="BZ338" s="11">
        <v>209830.0</v>
      </c>
      <c r="CA338" s="11">
        <v>145060.0</v>
      </c>
      <c r="CB338" s="11">
        <v>2620000.0</v>
      </c>
      <c r="CC338" s="11">
        <v>2610000.0</v>
      </c>
      <c r="CD338" s="11">
        <v>2000000.0</v>
      </c>
      <c r="CE338" s="11">
        <v>2070000.0</v>
      </c>
      <c r="CF338" s="11">
        <v>2250000.0</v>
      </c>
      <c r="CG338" s="12"/>
      <c r="CH338" s="12"/>
      <c r="CI338" s="12"/>
      <c r="CJ338" s="12"/>
      <c r="CK338" s="12"/>
      <c r="CL338" s="11">
        <v>3010000.0</v>
      </c>
      <c r="CM338" s="11">
        <v>3050000.0</v>
      </c>
      <c r="CN338" s="11">
        <v>2490000.0</v>
      </c>
      <c r="CO338" s="11">
        <v>2560000.0</v>
      </c>
      <c r="CP338" s="11">
        <v>2640000.0</v>
      </c>
      <c r="CQ338" s="11">
        <v>6220.0</v>
      </c>
      <c r="CR338" s="11">
        <v>8590.0</v>
      </c>
      <c r="CS338" s="11">
        <v>6310.0</v>
      </c>
      <c r="CT338" s="11">
        <v>3850.0</v>
      </c>
      <c r="CU338" s="11">
        <v>4050.0</v>
      </c>
      <c r="CV338" s="11">
        <v>266530.0</v>
      </c>
      <c r="CW338" s="12"/>
      <c r="CX338" s="12"/>
      <c r="CY338" s="12"/>
      <c r="CZ338" s="12"/>
      <c r="DA338" s="12"/>
      <c r="DB338" s="11">
        <v>266530.0</v>
      </c>
      <c r="DC338" s="11">
        <v>224670.0</v>
      </c>
      <c r="DD338" s="11">
        <v>276710.0</v>
      </c>
      <c r="DE338" s="11">
        <v>279990.0</v>
      </c>
      <c r="DF338" s="11">
        <v>1600000.0</v>
      </c>
      <c r="DG338" s="11">
        <v>1690000.0</v>
      </c>
      <c r="DH338" s="11">
        <v>1270000.0</v>
      </c>
      <c r="DI338" s="11">
        <v>1480000.0</v>
      </c>
      <c r="DJ338" s="11">
        <v>1680000.0</v>
      </c>
      <c r="DK338" s="11">
        <v>152320.0</v>
      </c>
      <c r="DL338" s="11">
        <v>181990.0</v>
      </c>
      <c r="DM338" s="11">
        <v>198920.0</v>
      </c>
      <c r="DN338" s="11">
        <v>192670.0</v>
      </c>
      <c r="DO338" s="11">
        <v>166640.0</v>
      </c>
      <c r="DP338" s="11">
        <v>1330000.0</v>
      </c>
      <c r="DQ338" s="11">
        <v>1460000.0</v>
      </c>
      <c r="DR338" s="11">
        <v>983990.0</v>
      </c>
      <c r="DS338" s="11">
        <v>1190000.0</v>
      </c>
      <c r="DT338" s="11">
        <v>1360000.0</v>
      </c>
      <c r="DU338" s="13"/>
      <c r="DV338" s="12"/>
      <c r="DW338" s="12"/>
      <c r="DX338" s="12"/>
      <c r="DY338" s="12"/>
      <c r="DZ338" s="11">
        <v>1410000.0</v>
      </c>
      <c r="EA338" s="11">
        <v>1360000.0</v>
      </c>
      <c r="EB338" s="11">
        <v>1220000.0</v>
      </c>
      <c r="EC338" s="11">
        <v>1070000.0</v>
      </c>
      <c r="ED338" s="11">
        <v>963510.0</v>
      </c>
      <c r="EE338" s="14">
        <v>0.012</v>
      </c>
      <c r="EF338" s="14">
        <v>0.115</v>
      </c>
      <c r="EG338" s="14">
        <v>0.238</v>
      </c>
      <c r="EH338" s="14">
        <v>0.206</v>
      </c>
    </row>
    <row r="339">
      <c r="A339" s="9">
        <f t="shared" si="2"/>
        <v>337</v>
      </c>
      <c r="B339" s="22" t="s">
        <v>473</v>
      </c>
      <c r="C339" s="11">
        <v>36670.0</v>
      </c>
      <c r="D339" s="11">
        <v>4560.0</v>
      </c>
      <c r="E339" s="11">
        <v>12520.0</v>
      </c>
      <c r="F339" s="11">
        <v>7220.0</v>
      </c>
      <c r="G339" s="11">
        <v>4490.0</v>
      </c>
      <c r="H339" s="11">
        <v>5700.0</v>
      </c>
      <c r="I339" s="11">
        <v>10760.0</v>
      </c>
      <c r="J339" s="12"/>
      <c r="K339" s="12"/>
      <c r="L339" s="12"/>
      <c r="M339" s="12"/>
      <c r="N339" s="12"/>
      <c r="O339" s="11">
        <v>57260.0</v>
      </c>
      <c r="P339" s="11">
        <v>77960.0</v>
      </c>
      <c r="Q339" s="11">
        <v>75510.0</v>
      </c>
      <c r="R339" s="11">
        <v>82590.0</v>
      </c>
      <c r="S339" s="11">
        <v>128360.0</v>
      </c>
      <c r="T339" s="11">
        <v>38490.0</v>
      </c>
      <c r="U339" s="11">
        <v>55240.0</v>
      </c>
      <c r="V339" s="11">
        <v>49450.0</v>
      </c>
      <c r="W339" s="11">
        <v>58650.0</v>
      </c>
      <c r="X339" s="11">
        <v>97190.0</v>
      </c>
      <c r="Y339" s="11">
        <v>-116230.0</v>
      </c>
      <c r="Z339" s="11">
        <v>-71950.0</v>
      </c>
      <c r="AA339" s="11">
        <v>-73260.0</v>
      </c>
      <c r="AB339" s="12"/>
      <c r="AC339" s="12"/>
      <c r="AD339" s="11">
        <v>-112580.0</v>
      </c>
      <c r="AE339" s="11">
        <v>-69470.0</v>
      </c>
      <c r="AF339" s="11">
        <v>-70980.0</v>
      </c>
      <c r="AG339" s="11">
        <v>-76390.0</v>
      </c>
      <c r="AH339" s="11">
        <v>-117370.0</v>
      </c>
      <c r="AI339" s="11">
        <v>-44740.0</v>
      </c>
      <c r="AJ339" s="11">
        <v>-70750.0</v>
      </c>
      <c r="AK339" s="11">
        <v>-71010.0</v>
      </c>
      <c r="AL339" s="11">
        <v>-76890.0</v>
      </c>
      <c r="AM339" s="11">
        <v>-117590.0</v>
      </c>
      <c r="AN339" s="11">
        <v>-112580.0</v>
      </c>
      <c r="AO339" s="11">
        <v>-69470.0</v>
      </c>
      <c r="AP339" s="11">
        <v>-70980.0</v>
      </c>
      <c r="AQ339" s="11">
        <v>-76390.0</v>
      </c>
      <c r="AR339" s="11">
        <v>-117370.0</v>
      </c>
      <c r="AS339" s="11">
        <v>-75180.0</v>
      </c>
      <c r="AT339" s="11">
        <v>-54130.0</v>
      </c>
      <c r="AU339" s="11">
        <v>-50130.0</v>
      </c>
      <c r="AV339" s="11">
        <v>-63820.0</v>
      </c>
      <c r="AW339" s="11">
        <v>-100230.0</v>
      </c>
      <c r="AX339" s="11">
        <v>-158.0</v>
      </c>
      <c r="AY339" s="11">
        <v>-181.0</v>
      </c>
      <c r="AZ339" s="11">
        <v>-151.0</v>
      </c>
      <c r="BA339" s="11">
        <v>-841.0</v>
      </c>
      <c r="BB339" s="11">
        <v>-2210.0</v>
      </c>
      <c r="BC339" s="12"/>
      <c r="BD339" s="12"/>
      <c r="BE339" s="12"/>
      <c r="BF339" s="12"/>
      <c r="BG339" s="12"/>
      <c r="BH339" s="11">
        <v>113480.0</v>
      </c>
      <c r="BI339" s="11">
        <v>186530.0</v>
      </c>
      <c r="BJ339" s="11">
        <v>151520.0</v>
      </c>
      <c r="BK339" s="11">
        <v>232020.0</v>
      </c>
      <c r="BL339" s="11">
        <v>220330.0</v>
      </c>
      <c r="BM339" s="11">
        <v>1560.0</v>
      </c>
      <c r="BN339" s="11">
        <v>589.0</v>
      </c>
      <c r="BO339" s="11">
        <v>2280.0</v>
      </c>
      <c r="BP339" s="11">
        <v>2370.0</v>
      </c>
      <c r="BQ339" s="11">
        <v>3100.0</v>
      </c>
      <c r="BR339" s="12"/>
      <c r="BS339" s="12"/>
      <c r="BT339" s="12"/>
      <c r="BU339" s="12"/>
      <c r="BV339" s="12"/>
      <c r="BW339" s="11">
        <v>118090.0</v>
      </c>
      <c r="BX339" s="11">
        <v>189460.0</v>
      </c>
      <c r="BY339" s="11">
        <v>156530.0</v>
      </c>
      <c r="BZ339" s="11">
        <v>236470.0</v>
      </c>
      <c r="CA339" s="11">
        <v>228840.0</v>
      </c>
      <c r="CB339" s="11">
        <v>1250.0</v>
      </c>
      <c r="CC339" s="11">
        <v>1210.0</v>
      </c>
      <c r="CD339" s="11">
        <v>1890.0</v>
      </c>
      <c r="CE339" s="11">
        <v>2840.0</v>
      </c>
      <c r="CF339" s="11">
        <v>3050.0</v>
      </c>
      <c r="CG339" s="12"/>
      <c r="CH339" s="12"/>
      <c r="CI339" s="12"/>
      <c r="CJ339" s="12"/>
      <c r="CK339" s="12"/>
      <c r="CL339" s="11">
        <v>119380.0</v>
      </c>
      <c r="CM339" s="11">
        <v>190710.0</v>
      </c>
      <c r="CN339" s="11">
        <v>235230.0</v>
      </c>
      <c r="CO339" s="11">
        <v>286770.0</v>
      </c>
      <c r="CP339" s="11">
        <v>355990.0</v>
      </c>
      <c r="CQ339" s="11">
        <v>2400.0</v>
      </c>
      <c r="CR339" s="11">
        <v>4690.0</v>
      </c>
      <c r="CS339" s="11">
        <v>3810.0</v>
      </c>
      <c r="CT339" s="11">
        <v>3890.0</v>
      </c>
      <c r="CU339" s="11">
        <v>10460.0</v>
      </c>
      <c r="CV339" s="11">
        <v>9230.0</v>
      </c>
      <c r="CW339" s="11">
        <v>656.0</v>
      </c>
      <c r="CX339" s="12"/>
      <c r="CY339" s="12"/>
      <c r="CZ339" s="12"/>
      <c r="DA339" s="12"/>
      <c r="DB339" s="11">
        <v>9230.0</v>
      </c>
      <c r="DC339" s="11">
        <v>12970.0</v>
      </c>
      <c r="DD339" s="11">
        <v>13200.0</v>
      </c>
      <c r="DE339" s="11">
        <v>10110.0</v>
      </c>
      <c r="DF339" s="11">
        <v>9420.0</v>
      </c>
      <c r="DG339" s="11">
        <v>13110.0</v>
      </c>
      <c r="DH339" s="11">
        <v>13420.0</v>
      </c>
      <c r="DI339" s="11">
        <v>10550.0</v>
      </c>
      <c r="DJ339" s="11">
        <v>20530.0</v>
      </c>
      <c r="DK339" s="12"/>
      <c r="DL339" s="12"/>
      <c r="DM339" s="11">
        <v>76730.0</v>
      </c>
      <c r="DN339" s="11">
        <v>47410.0</v>
      </c>
      <c r="DO339" s="11">
        <v>124040.0</v>
      </c>
      <c r="DP339" s="11">
        <v>196.0</v>
      </c>
      <c r="DQ339" s="12"/>
      <c r="DR339" s="12"/>
      <c r="DS339" s="12"/>
      <c r="DT339" s="12"/>
      <c r="DU339" s="13"/>
      <c r="DV339" s="12"/>
      <c r="DW339" s="12"/>
      <c r="DX339" s="13"/>
      <c r="DY339" s="13"/>
      <c r="DZ339" s="11">
        <v>109950.0</v>
      </c>
      <c r="EA339" s="11">
        <v>177600.0</v>
      </c>
      <c r="EB339" s="11">
        <v>221810.0</v>
      </c>
      <c r="EC339" s="11">
        <v>276220.0</v>
      </c>
      <c r="ED339" s="11">
        <v>335460.0</v>
      </c>
      <c r="EE339" s="14">
        <v>0.667</v>
      </c>
      <c r="EF339" s="14">
        <v>1.364</v>
      </c>
      <c r="EG339" s="14">
        <v>0.059</v>
      </c>
      <c r="EH339" s="14">
        <v>-1.039</v>
      </c>
    </row>
    <row r="340">
      <c r="A340" s="9">
        <f t="shared" si="2"/>
        <v>338</v>
      </c>
      <c r="B340" s="22" t="s">
        <v>474</v>
      </c>
      <c r="C340" s="11">
        <v>9690.0</v>
      </c>
      <c r="D340" s="11">
        <v>6390.0</v>
      </c>
      <c r="E340" s="11">
        <v>1080.0</v>
      </c>
      <c r="F340" s="11">
        <v>10510.0</v>
      </c>
      <c r="G340" s="11">
        <v>143890.0</v>
      </c>
      <c r="H340" s="11">
        <v>174.0</v>
      </c>
      <c r="I340" s="11">
        <v>66730.0</v>
      </c>
      <c r="J340" s="12"/>
      <c r="K340" s="12"/>
      <c r="L340" s="12"/>
      <c r="M340" s="12"/>
      <c r="N340" s="12"/>
      <c r="O340" s="11">
        <v>78200.0</v>
      </c>
      <c r="P340" s="11">
        <v>64840.0</v>
      </c>
      <c r="Q340" s="11">
        <v>50230.0</v>
      </c>
      <c r="R340" s="11">
        <v>50450.0</v>
      </c>
      <c r="S340" s="11">
        <v>41160.0</v>
      </c>
      <c r="T340" s="11">
        <v>58460.0</v>
      </c>
      <c r="U340" s="11">
        <v>43150.0</v>
      </c>
      <c r="V340" s="11">
        <v>30220.0</v>
      </c>
      <c r="W340" s="11">
        <v>36980.0</v>
      </c>
      <c r="X340" s="11">
        <v>28890.0</v>
      </c>
      <c r="Y340" s="11">
        <v>-81170.0</v>
      </c>
      <c r="Z340" s="11">
        <v>-58510.0</v>
      </c>
      <c r="AA340" s="11">
        <v>91220.0</v>
      </c>
      <c r="AB340" s="12"/>
      <c r="AC340" s="12"/>
      <c r="AD340" s="11">
        <v>-78170.0</v>
      </c>
      <c r="AE340" s="11">
        <v>-55710.0</v>
      </c>
      <c r="AF340" s="11">
        <v>95340.0</v>
      </c>
      <c r="AG340" s="11">
        <v>-50720.0</v>
      </c>
      <c r="AH340" s="11">
        <v>24600.0</v>
      </c>
      <c r="AI340" s="11">
        <v>-77130.0</v>
      </c>
      <c r="AJ340" s="11">
        <v>-54340.0</v>
      </c>
      <c r="AK340" s="11">
        <v>93660.0</v>
      </c>
      <c r="AL340" s="11">
        <v>-50270.0</v>
      </c>
      <c r="AM340" s="11">
        <v>25570.0</v>
      </c>
      <c r="AN340" s="11">
        <v>-78170.0</v>
      </c>
      <c r="AO340" s="11">
        <v>-56020.0</v>
      </c>
      <c r="AP340" s="11">
        <v>95200.0</v>
      </c>
      <c r="AQ340" s="11">
        <v>-50720.0</v>
      </c>
      <c r="AR340" s="11">
        <v>24170.0</v>
      </c>
      <c r="AS340" s="11">
        <v>-48160.0</v>
      </c>
      <c r="AT340" s="11">
        <v>-48030.0</v>
      </c>
      <c r="AU340" s="11">
        <v>102930.0</v>
      </c>
      <c r="AV340" s="11">
        <v>-45340.0</v>
      </c>
      <c r="AW340" s="11">
        <v>23060.0</v>
      </c>
      <c r="AX340" s="11">
        <v>-685.0</v>
      </c>
      <c r="AY340" s="11">
        <v>-2870.0</v>
      </c>
      <c r="AZ340" s="11">
        <v>-947.0</v>
      </c>
      <c r="BA340" s="11">
        <v>-770.0</v>
      </c>
      <c r="BB340" s="11">
        <v>-868.0</v>
      </c>
      <c r="BC340" s="12"/>
      <c r="BD340" s="12"/>
      <c r="BE340" s="12"/>
      <c r="BF340" s="12"/>
      <c r="BG340" s="12"/>
      <c r="BH340" s="11">
        <v>111810.0</v>
      </c>
      <c r="BI340" s="11">
        <v>160840.0</v>
      </c>
      <c r="BJ340" s="11">
        <v>203170.0</v>
      </c>
      <c r="BK340" s="11">
        <v>96190.0</v>
      </c>
      <c r="BL340" s="11">
        <v>142190.0</v>
      </c>
      <c r="BM340" s="11">
        <v>332.0</v>
      </c>
      <c r="BN340" s="11">
        <v>16570.0</v>
      </c>
      <c r="BO340" s="11">
        <v>783.0</v>
      </c>
      <c r="BP340" s="11">
        <v>191.0</v>
      </c>
      <c r="BQ340" s="11">
        <v>251.0</v>
      </c>
      <c r="BR340" s="12"/>
      <c r="BS340" s="12"/>
      <c r="BT340" s="12"/>
      <c r="BU340" s="12"/>
      <c r="BV340" s="12"/>
      <c r="BW340" s="11">
        <v>116710.0</v>
      </c>
      <c r="BX340" s="11">
        <v>180150.0</v>
      </c>
      <c r="BY340" s="11">
        <v>205730.0</v>
      </c>
      <c r="BZ340" s="11">
        <v>97730.0</v>
      </c>
      <c r="CA340" s="11">
        <v>144110.0</v>
      </c>
      <c r="CB340" s="11">
        <v>17010.0</v>
      </c>
      <c r="CC340" s="11">
        <v>8920.0</v>
      </c>
      <c r="CD340" s="11">
        <v>2170.0</v>
      </c>
      <c r="CE340" s="11">
        <v>2200.0</v>
      </c>
      <c r="CF340" s="11">
        <v>2350.0</v>
      </c>
      <c r="CG340" s="12"/>
      <c r="CH340" s="12"/>
      <c r="CI340" s="12"/>
      <c r="CJ340" s="12"/>
      <c r="CK340" s="12"/>
      <c r="CL340" s="11">
        <v>137470.0</v>
      </c>
      <c r="CM340" s="11">
        <v>192550.0</v>
      </c>
      <c r="CN340" s="11">
        <v>211740.0</v>
      </c>
      <c r="CO340" s="11">
        <v>100400.0</v>
      </c>
      <c r="CP340" s="11">
        <v>146930.0</v>
      </c>
      <c r="CQ340" s="11">
        <v>881.0</v>
      </c>
      <c r="CR340" s="11">
        <v>1280.0</v>
      </c>
      <c r="CS340" s="11">
        <v>658.0</v>
      </c>
      <c r="CT340" s="11">
        <v>545.0</v>
      </c>
      <c r="CU340" s="11">
        <v>501.0</v>
      </c>
      <c r="CV340" s="11">
        <v>17270.0</v>
      </c>
      <c r="CW340" s="11">
        <v>268.0</v>
      </c>
      <c r="CX340" s="12"/>
      <c r="CY340" s="12"/>
      <c r="CZ340" s="12"/>
      <c r="DA340" s="12"/>
      <c r="DB340" s="11">
        <v>17270.0</v>
      </c>
      <c r="DC340" s="11">
        <v>8750.0</v>
      </c>
      <c r="DD340" s="11">
        <v>6450.0</v>
      </c>
      <c r="DE340" s="11">
        <v>5570.0</v>
      </c>
      <c r="DF340" s="11">
        <v>36010.0</v>
      </c>
      <c r="DG340" s="11">
        <v>24810.0</v>
      </c>
      <c r="DH340" s="11">
        <v>15300.0</v>
      </c>
      <c r="DI340" s="11">
        <v>14800.0</v>
      </c>
      <c r="DJ340" s="11">
        <v>16300.0</v>
      </c>
      <c r="DK340" s="11">
        <v>1160.0</v>
      </c>
      <c r="DL340" s="11">
        <v>1160.0</v>
      </c>
      <c r="DM340" s="11">
        <v>1560.0</v>
      </c>
      <c r="DN340" s="11">
        <v>400.0</v>
      </c>
      <c r="DO340" s="24">
        <v>400.0</v>
      </c>
      <c r="DP340" s="11">
        <v>16000.0</v>
      </c>
      <c r="DQ340" s="12"/>
      <c r="DR340" s="12"/>
      <c r="DS340" s="12"/>
      <c r="DT340" s="12"/>
      <c r="DU340" s="13"/>
      <c r="DV340" s="12"/>
      <c r="DW340" s="12"/>
      <c r="DX340" s="13"/>
      <c r="DY340" s="13"/>
      <c r="DZ340" s="11">
        <v>101460.0</v>
      </c>
      <c r="EA340" s="11">
        <v>167740.0</v>
      </c>
      <c r="EB340" s="11">
        <v>196430.0</v>
      </c>
      <c r="EC340" s="11">
        <v>85590.0</v>
      </c>
      <c r="ED340" s="11">
        <v>130640.0</v>
      </c>
      <c r="EE340" s="14">
        <v>0.0</v>
      </c>
      <c r="EF340" s="23"/>
      <c r="EG340" s="14">
        <v>0.406</v>
      </c>
      <c r="EH340" s="14">
        <v>0.138</v>
      </c>
    </row>
    <row r="341">
      <c r="A341" s="9">
        <f t="shared" si="2"/>
        <v>339</v>
      </c>
      <c r="B341" s="10" t="s">
        <v>475</v>
      </c>
      <c r="C341" s="11">
        <v>1.147E7</v>
      </c>
      <c r="D341" s="11">
        <v>1.045E7</v>
      </c>
      <c r="E341" s="11">
        <v>1.492E7</v>
      </c>
      <c r="F341" s="11">
        <v>1.432E7</v>
      </c>
      <c r="G341" s="11">
        <v>1.304E7</v>
      </c>
      <c r="H341" s="11">
        <v>1.204E7</v>
      </c>
      <c r="I341" s="11">
        <v>1.261E7</v>
      </c>
      <c r="J341" s="11">
        <v>6530000.0</v>
      </c>
      <c r="K341" s="11">
        <v>6430000.0</v>
      </c>
      <c r="L341" s="11">
        <v>6090000.0</v>
      </c>
      <c r="M341" s="11">
        <v>6050000.0</v>
      </c>
      <c r="N341" s="11">
        <v>6030000.0</v>
      </c>
      <c r="O341" s="11">
        <v>936000.0</v>
      </c>
      <c r="P341" s="11">
        <v>936000.0</v>
      </c>
      <c r="Q341" s="11">
        <v>850000.0</v>
      </c>
      <c r="R341" s="11">
        <v>738000.0</v>
      </c>
      <c r="S341" s="11">
        <v>767000.0</v>
      </c>
      <c r="T341" s="11"/>
      <c r="U341" s="11"/>
      <c r="V341" s="11"/>
      <c r="W341" s="11"/>
      <c r="X341" s="11"/>
      <c r="Y341" s="11">
        <v>5520000.0</v>
      </c>
      <c r="Z341" s="11">
        <v>5650000.0</v>
      </c>
      <c r="AA341" s="11">
        <v>-72000.0</v>
      </c>
      <c r="AB341" s="11">
        <v>5310000.0</v>
      </c>
      <c r="AC341" s="11">
        <v>5330000.0</v>
      </c>
      <c r="AD341" s="11">
        <v>5430000.0</v>
      </c>
      <c r="AE341" s="11">
        <v>5680000.0</v>
      </c>
      <c r="AF341" s="11">
        <v>5090000.0</v>
      </c>
      <c r="AG341" s="11">
        <v>4930000.0</v>
      </c>
      <c r="AH341" s="11">
        <v>4870000.0</v>
      </c>
      <c r="AI341" s="11">
        <v>7160000.0</v>
      </c>
      <c r="AJ341" s="11">
        <v>6820000.0</v>
      </c>
      <c r="AK341" s="11">
        <v>6520000.0</v>
      </c>
      <c r="AL341" s="11">
        <v>6540000.0</v>
      </c>
      <c r="AM341" s="11">
        <v>6420000.0</v>
      </c>
      <c r="AN341" s="11">
        <v>4220000.0</v>
      </c>
      <c r="AO341" s="11">
        <v>4330000.0</v>
      </c>
      <c r="AP341" s="11">
        <v>5480000.0</v>
      </c>
      <c r="AQ341" s="11">
        <v>3640000.0</v>
      </c>
      <c r="AR341" s="11">
        <v>3540000.0</v>
      </c>
      <c r="AS341" s="11">
        <v>5920000.0</v>
      </c>
      <c r="AT341" s="11">
        <v>5920000.0</v>
      </c>
      <c r="AU341" s="11">
        <v>5520000.0</v>
      </c>
      <c r="AV341" s="11">
        <v>5200000.0</v>
      </c>
      <c r="AW341" s="11">
        <v>5140000.0</v>
      </c>
      <c r="AX341" s="11">
        <v>-3870000.0</v>
      </c>
      <c r="AY341" s="11">
        <v>-3530000.0</v>
      </c>
      <c r="AZ341" s="11">
        <v>-2670000.0</v>
      </c>
      <c r="BA341" s="11">
        <v>-2700000.0</v>
      </c>
      <c r="BB341" s="11">
        <v>-2710000.0</v>
      </c>
      <c r="BC341" s="11">
        <v>-1540000.0</v>
      </c>
      <c r="BD341" s="11">
        <v>-1330000.0</v>
      </c>
      <c r="BE341" s="11">
        <v>-1240000.0</v>
      </c>
      <c r="BF341" s="11">
        <v>-1160000.0</v>
      </c>
      <c r="BG341" s="11">
        <v>-996000.0</v>
      </c>
      <c r="BH341" s="11">
        <v>588000.0</v>
      </c>
      <c r="BI341" s="11">
        <v>759000.0</v>
      </c>
      <c r="BJ341" s="11">
        <v>553000.0</v>
      </c>
      <c r="BK341" s="11">
        <v>672000.0</v>
      </c>
      <c r="BL341" s="11">
        <v>676000.0</v>
      </c>
      <c r="BM341" s="11">
        <v>1210000.0</v>
      </c>
      <c r="BN341" s="11">
        <v>1170000.0</v>
      </c>
      <c r="BO341" s="11">
        <v>984000.0</v>
      </c>
      <c r="BP341" s="11">
        <v>875000.0</v>
      </c>
      <c r="BQ341" s="11">
        <v>878000.0</v>
      </c>
      <c r="BR341" s="11">
        <v>611000.0</v>
      </c>
      <c r="BS341" s="11">
        <v>557000.0</v>
      </c>
      <c r="BT341" s="11">
        <v>424000.0</v>
      </c>
      <c r="BU341" s="11">
        <v>363000.0</v>
      </c>
      <c r="BV341" s="11">
        <v>355000.0</v>
      </c>
      <c r="BW341" s="11">
        <v>2830000.0</v>
      </c>
      <c r="BX341" s="11">
        <v>2730000.0</v>
      </c>
      <c r="BY341" s="11">
        <v>2190000.0</v>
      </c>
      <c r="BZ341" s="11">
        <v>2110000.0</v>
      </c>
      <c r="CA341" s="11">
        <v>2150000.0</v>
      </c>
      <c r="CB341" s="11">
        <v>4.019E7</v>
      </c>
      <c r="CC341" s="11">
        <v>3.777E7</v>
      </c>
      <c r="CD341" s="11">
        <v>3.419E7</v>
      </c>
      <c r="CE341" s="11">
        <v>3.376E7</v>
      </c>
      <c r="CF341" s="11">
        <v>3.262E7</v>
      </c>
      <c r="CG341" s="11">
        <v>77000.0</v>
      </c>
      <c r="CH341" s="11"/>
      <c r="CI341" s="11"/>
      <c r="CJ341" s="11"/>
      <c r="CK341" s="11"/>
      <c r="CL341" s="11">
        <v>4.452E7</v>
      </c>
      <c r="CM341" s="11">
        <v>4.168E7</v>
      </c>
      <c r="CN341" s="11">
        <v>3.81E7</v>
      </c>
      <c r="CO341" s="11">
        <v>3.758E7</v>
      </c>
      <c r="CP341" s="11">
        <v>3.702E7</v>
      </c>
      <c r="CQ341" s="11">
        <v>866000.0</v>
      </c>
      <c r="CR341" s="11">
        <v>982000.0</v>
      </c>
      <c r="CS341" s="11">
        <v>738000.0</v>
      </c>
      <c r="CT341" s="11">
        <v>484000.0</v>
      </c>
      <c r="CU341" s="11">
        <v>391000.0</v>
      </c>
      <c r="CV341" s="11">
        <v>4290000.0</v>
      </c>
      <c r="CW341" s="11">
        <v>122000.0</v>
      </c>
      <c r="CX341" s="12"/>
      <c r="CY341" s="13"/>
      <c r="CZ341" s="13"/>
      <c r="DA341" s="12"/>
      <c r="DB341" s="11">
        <v>4290000.0</v>
      </c>
      <c r="DC341" s="11">
        <v>3500000.0</v>
      </c>
      <c r="DD341" s="11">
        <v>3980000.0</v>
      </c>
      <c r="DE341" s="11">
        <v>3010000.0</v>
      </c>
      <c r="DF341" s="11">
        <v>2.648E7</v>
      </c>
      <c r="DG341" s="11">
        <v>2.404E7</v>
      </c>
      <c r="DH341" s="11">
        <v>2.145E7</v>
      </c>
      <c r="DI341" s="11">
        <v>2.274E7</v>
      </c>
      <c r="DJ341" s="11">
        <v>2.207E7</v>
      </c>
      <c r="DK341" s="11">
        <v>84000.0</v>
      </c>
      <c r="DL341" s="11">
        <v>70000.0</v>
      </c>
      <c r="DM341" s="11">
        <v>73000.0</v>
      </c>
      <c r="DN341" s="11">
        <v>68000.0</v>
      </c>
      <c r="DO341" s="11">
        <v>69000.0</v>
      </c>
      <c r="DP341" s="11">
        <v>1.225E7</v>
      </c>
      <c r="DQ341" s="11">
        <v>1.139E7</v>
      </c>
      <c r="DR341" s="11">
        <v>8750000.0</v>
      </c>
      <c r="DS341" s="11">
        <v>9450000.0</v>
      </c>
      <c r="DT341" s="11">
        <v>8990000.0</v>
      </c>
      <c r="DU341" s="13"/>
      <c r="DV341" s="12"/>
      <c r="DW341" s="12"/>
      <c r="DX341" s="12"/>
      <c r="DY341" s="12"/>
      <c r="DZ341" s="11">
        <v>1.804E7</v>
      </c>
      <c r="EA341" s="11">
        <v>1.764E7</v>
      </c>
      <c r="EB341" s="11">
        <v>1.666E7</v>
      </c>
      <c r="EC341" s="11">
        <v>1.484E7</v>
      </c>
      <c r="ED341" s="11">
        <v>1.495E7</v>
      </c>
      <c r="EE341" s="14">
        <v>0.043</v>
      </c>
      <c r="EF341" s="14">
        <v>0.108</v>
      </c>
      <c r="EG341" s="14">
        <v>0.032</v>
      </c>
      <c r="EH341" s="14">
        <v>0.059</v>
      </c>
    </row>
    <row r="342">
      <c r="A342" s="9">
        <f t="shared" si="2"/>
        <v>340</v>
      </c>
      <c r="B342" s="10" t="s">
        <v>476</v>
      </c>
      <c r="C342" s="15">
        <v>2790000.0</v>
      </c>
      <c r="D342" s="15">
        <v>1460000.0</v>
      </c>
      <c r="E342" s="15">
        <v>3280000.0</v>
      </c>
      <c r="F342" s="15">
        <v>3220000.0</v>
      </c>
      <c r="G342" s="15">
        <v>2990000.0</v>
      </c>
      <c r="H342" s="15">
        <v>2920000.0</v>
      </c>
      <c r="I342" s="15">
        <v>2850000.0</v>
      </c>
      <c r="J342" s="15">
        <v>580780.0</v>
      </c>
      <c r="K342" s="15">
        <v>624600.0</v>
      </c>
      <c r="L342" s="15">
        <v>583460.0</v>
      </c>
      <c r="M342" s="15">
        <v>589590.0</v>
      </c>
      <c r="N342" s="15">
        <v>596830.0</v>
      </c>
      <c r="O342" s="15">
        <v>173380.0</v>
      </c>
      <c r="P342" s="15">
        <v>165170.0</v>
      </c>
      <c r="Q342" s="15">
        <v>153280.0</v>
      </c>
      <c r="R342" s="15">
        <v>143360.0</v>
      </c>
      <c r="S342" s="15">
        <v>156740.0</v>
      </c>
      <c r="T342" s="15">
        <v>0.0</v>
      </c>
      <c r="U342" s="15">
        <v>0.0</v>
      </c>
      <c r="V342" s="15">
        <v>0.0</v>
      </c>
      <c r="W342" s="15">
        <v>0.0</v>
      </c>
      <c r="X342" s="15">
        <v>0.0</v>
      </c>
      <c r="Y342" s="15">
        <v>350400.0</v>
      </c>
      <c r="Z342" s="15">
        <v>-33860.0</v>
      </c>
      <c r="AA342" s="15">
        <v>414570.0</v>
      </c>
      <c r="AB342" s="15">
        <v>429950.0</v>
      </c>
      <c r="AC342" s="15">
        <v>430370.0</v>
      </c>
      <c r="AD342" s="15">
        <v>273760.0</v>
      </c>
      <c r="AE342" s="15">
        <v>310730.0</v>
      </c>
      <c r="AF342" s="15">
        <v>345380.0</v>
      </c>
      <c r="AG342" s="15">
        <v>360650.0</v>
      </c>
      <c r="AH342" s="15">
        <v>347670.0</v>
      </c>
      <c r="AI342" s="15">
        <v>668550.0</v>
      </c>
      <c r="AJ342" s="15">
        <v>720590.0</v>
      </c>
      <c r="AK342" s="15">
        <v>667690.0</v>
      </c>
      <c r="AL342" s="15">
        <v>655300.0</v>
      </c>
      <c r="AM342" s="15">
        <v>629300.0</v>
      </c>
      <c r="AN342" s="15">
        <v>190210.0</v>
      </c>
      <c r="AO342" s="15">
        <v>212660.0</v>
      </c>
      <c r="AP342" s="15">
        <v>262830.0</v>
      </c>
      <c r="AQ342" s="15">
        <v>253900.0</v>
      </c>
      <c r="AR342" s="15">
        <v>215560.0</v>
      </c>
      <c r="AS342" s="15">
        <v>562000.0</v>
      </c>
      <c r="AT342" s="15">
        <v>550990.0</v>
      </c>
      <c r="AU342" s="15">
        <v>528480.0</v>
      </c>
      <c r="AV342" s="15">
        <v>451830.0</v>
      </c>
      <c r="AW342" s="15">
        <v>455870.0</v>
      </c>
      <c r="AX342" s="15">
        <v>-303630.0</v>
      </c>
      <c r="AY342" s="15">
        <v>-346070.0</v>
      </c>
      <c r="AZ342" s="15">
        <v>-380860.0</v>
      </c>
      <c r="BA342" s="15">
        <v>-326910.0</v>
      </c>
      <c r="BB342" s="15">
        <v>-331730.0</v>
      </c>
      <c r="BC342" s="15">
        <v>-159280.0</v>
      </c>
      <c r="BD342" s="15">
        <v>-149490.0</v>
      </c>
      <c r="BE342" s="15">
        <v>-135080.0</v>
      </c>
      <c r="BF342" s="15">
        <v>-125490.0</v>
      </c>
      <c r="BG342" s="15">
        <v>-115860.0</v>
      </c>
      <c r="BH342" s="15">
        <v>488310.0</v>
      </c>
      <c r="BI342" s="15">
        <v>426220.0</v>
      </c>
      <c r="BJ342" s="15">
        <v>522550.0</v>
      </c>
      <c r="BK342" s="15">
        <v>561240.0</v>
      </c>
      <c r="BL342" s="15">
        <v>588540.0</v>
      </c>
      <c r="BM342" s="15">
        <v>87800.0</v>
      </c>
      <c r="BN342" s="15">
        <v>98370.0</v>
      </c>
      <c r="BO342" s="15">
        <v>100980.0</v>
      </c>
      <c r="BP342" s="15">
        <v>82360.0</v>
      </c>
      <c r="BQ342" s="15">
        <v>97160.0</v>
      </c>
      <c r="BR342" s="15">
        <v>21690.0</v>
      </c>
      <c r="BS342" s="15">
        <v>19320.0</v>
      </c>
      <c r="BT342" s="15">
        <v>17510.0</v>
      </c>
      <c r="BU342" s="15">
        <v>16960.0</v>
      </c>
      <c r="BV342" s="15">
        <v>15950.0</v>
      </c>
      <c r="BW342" s="15">
        <v>634990.0</v>
      </c>
      <c r="BX342" s="15">
        <v>559030.0</v>
      </c>
      <c r="BY342" s="15">
        <v>657570.0</v>
      </c>
      <c r="BZ342" s="15">
        <v>676320.0</v>
      </c>
      <c r="CA342" s="15">
        <v>715150.0</v>
      </c>
      <c r="CB342" s="15">
        <v>3120000.0</v>
      </c>
      <c r="CC342" s="15">
        <v>1830000.0</v>
      </c>
      <c r="CD342" s="15">
        <v>1830000.0</v>
      </c>
      <c r="CE342" s="15">
        <v>1700000.0</v>
      </c>
      <c r="CF342" s="15">
        <v>1510000.0</v>
      </c>
      <c r="CG342" s="15">
        <v>1280000.0</v>
      </c>
      <c r="CH342" s="15">
        <v>1280000.0</v>
      </c>
      <c r="CI342" s="15">
        <v>1280000.0</v>
      </c>
      <c r="CJ342" s="15">
        <v>1260000.0</v>
      </c>
      <c r="CK342" s="15">
        <v>1250000.0</v>
      </c>
      <c r="CL342" s="15">
        <v>5830000.0</v>
      </c>
      <c r="CM342" s="15">
        <v>4480000.0</v>
      </c>
      <c r="CN342" s="15">
        <v>4470000.0</v>
      </c>
      <c r="CO342" s="15">
        <v>4310000.0</v>
      </c>
      <c r="CP342" s="15">
        <v>4130000.0</v>
      </c>
      <c r="CQ342" s="15">
        <v>91610.0</v>
      </c>
      <c r="CR342" s="15">
        <v>104640.0</v>
      </c>
      <c r="CS342" s="15">
        <v>109980.0</v>
      </c>
      <c r="CT342" s="15">
        <v>110170.0</v>
      </c>
      <c r="CU342" s="15">
        <v>108840.0</v>
      </c>
      <c r="CV342" s="15">
        <v>708800.0</v>
      </c>
      <c r="CW342" s="15">
        <v>217410.0</v>
      </c>
      <c r="CX342" s="15">
        <v>0.0</v>
      </c>
      <c r="CY342" s="16">
        <v>0.0</v>
      </c>
      <c r="CZ342" s="16">
        <v>0.0</v>
      </c>
      <c r="DA342" s="15">
        <v>0.0</v>
      </c>
      <c r="DB342" s="15">
        <v>708800.0</v>
      </c>
      <c r="DC342" s="15">
        <v>474690.0</v>
      </c>
      <c r="DD342" s="15">
        <v>468910.0</v>
      </c>
      <c r="DE342" s="15">
        <v>443230.0</v>
      </c>
      <c r="DF342" s="15">
        <v>4380000.0</v>
      </c>
      <c r="DG342" s="15">
        <v>3070000.0</v>
      </c>
      <c r="DH342" s="15">
        <v>3070000.0</v>
      </c>
      <c r="DI342" s="15">
        <v>3030000.0</v>
      </c>
      <c r="DJ342" s="15">
        <v>3020000.0</v>
      </c>
      <c r="DK342" s="15">
        <v>421080.0</v>
      </c>
      <c r="DL342" s="15">
        <v>432360.0</v>
      </c>
      <c r="DM342" s="15">
        <v>320600.0</v>
      </c>
      <c r="DN342" s="15">
        <v>288310.0</v>
      </c>
      <c r="DO342" s="15">
        <v>278730.0</v>
      </c>
      <c r="DP342" s="15">
        <v>3140000.0</v>
      </c>
      <c r="DQ342" s="15">
        <v>2010000.0</v>
      </c>
      <c r="DR342" s="15">
        <v>2030000.0</v>
      </c>
      <c r="DS342" s="15">
        <v>2020000.0</v>
      </c>
      <c r="DT342" s="15">
        <v>1980000.0</v>
      </c>
      <c r="DU342" s="16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1440000.0</v>
      </c>
      <c r="EA342" s="15">
        <v>1400000.0</v>
      </c>
      <c r="EB342" s="15">
        <v>1390000.0</v>
      </c>
      <c r="EC342" s="15">
        <v>1260000.0</v>
      </c>
      <c r="ED342" s="15">
        <v>1100000.0</v>
      </c>
      <c r="EE342" s="17">
        <v>0.39</v>
      </c>
      <c r="EF342" s="17">
        <v>0.348</v>
      </c>
      <c r="EG342" s="17">
        <v>-1.833</v>
      </c>
      <c r="EH342" s="17">
        <v>-0.667</v>
      </c>
    </row>
    <row r="343">
      <c r="A343" s="9">
        <f t="shared" si="2"/>
        <v>341</v>
      </c>
      <c r="B343" s="22" t="s">
        <v>477</v>
      </c>
      <c r="C343" s="11">
        <v>1020000.0</v>
      </c>
      <c r="D343" s="11">
        <v>839220.0</v>
      </c>
      <c r="E343" s="11">
        <v>947130.0</v>
      </c>
      <c r="F343" s="11">
        <v>858720.0</v>
      </c>
      <c r="G343" s="11">
        <v>795670.0</v>
      </c>
      <c r="H343" s="11">
        <v>764700.0</v>
      </c>
      <c r="I343" s="11">
        <v>729570.0</v>
      </c>
      <c r="J343" s="11">
        <v>488000.0</v>
      </c>
      <c r="K343" s="11">
        <v>468200.0</v>
      </c>
      <c r="L343" s="11">
        <v>434530.0</v>
      </c>
      <c r="M343" s="11">
        <v>417120.0</v>
      </c>
      <c r="N343" s="11">
        <v>400120.0</v>
      </c>
      <c r="O343" s="11">
        <v>399010.0</v>
      </c>
      <c r="P343" s="11">
        <v>381820.0</v>
      </c>
      <c r="Q343" s="11">
        <v>361340.0</v>
      </c>
      <c r="R343" s="11">
        <v>345070.0</v>
      </c>
      <c r="S343" s="11">
        <v>314730.0</v>
      </c>
      <c r="T343" s="11">
        <v>45460.0</v>
      </c>
      <c r="U343" s="11">
        <v>28480.0</v>
      </c>
      <c r="V343" s="11">
        <v>32310.0</v>
      </c>
      <c r="W343" s="11">
        <v>32250.0</v>
      </c>
      <c r="X343" s="11">
        <v>27440.0</v>
      </c>
      <c r="Y343" s="11">
        <v>66600.0</v>
      </c>
      <c r="Z343" s="11">
        <v>70290.0</v>
      </c>
      <c r="AA343" s="11">
        <v>47820.0</v>
      </c>
      <c r="AB343" s="11">
        <v>38600.0</v>
      </c>
      <c r="AC343" s="11">
        <v>-24210.0</v>
      </c>
      <c r="AD343" s="11">
        <v>31230.0</v>
      </c>
      <c r="AE343" s="11">
        <v>50650.0</v>
      </c>
      <c r="AF343" s="11">
        <v>28730.0</v>
      </c>
      <c r="AG343" s="11">
        <v>19380.0</v>
      </c>
      <c r="AH343" s="11">
        <v>45140.0</v>
      </c>
      <c r="AI343" s="11">
        <v>139980.0</v>
      </c>
      <c r="AJ343" s="11">
        <v>148180.0</v>
      </c>
      <c r="AK343" s="11">
        <v>131730.0</v>
      </c>
      <c r="AL343" s="11">
        <v>127360.0</v>
      </c>
      <c r="AM343" s="11">
        <v>129270.0</v>
      </c>
      <c r="AN343" s="11">
        <v>28620.0</v>
      </c>
      <c r="AO343" s="11">
        <v>40850.0</v>
      </c>
      <c r="AP343" s="11">
        <v>55490.0</v>
      </c>
      <c r="AQ343" s="11">
        <v>14660.0</v>
      </c>
      <c r="AR343" s="11">
        <v>30500.0</v>
      </c>
      <c r="AS343" s="11">
        <v>95130.0</v>
      </c>
      <c r="AT343" s="11">
        <v>74700.0</v>
      </c>
      <c r="AU343" s="11">
        <v>65570.0</v>
      </c>
      <c r="AV343" s="11">
        <v>38220.0</v>
      </c>
      <c r="AW343" s="11">
        <v>48070.0</v>
      </c>
      <c r="AX343" s="11">
        <v>-20070.0</v>
      </c>
      <c r="AY343" s="11">
        <v>-16510.0</v>
      </c>
      <c r="AZ343" s="11">
        <v>-12840.0</v>
      </c>
      <c r="BA343" s="11">
        <v>-14750.0</v>
      </c>
      <c r="BB343" s="11">
        <v>-15010.0</v>
      </c>
      <c r="BC343" s="11">
        <v>-22600.0</v>
      </c>
      <c r="BD343" s="11">
        <v>-22440.0</v>
      </c>
      <c r="BE343" s="11">
        <v>-22310.0</v>
      </c>
      <c r="BF343" s="11">
        <v>-22210.0</v>
      </c>
      <c r="BG343" s="11">
        <v>-22110.0</v>
      </c>
      <c r="BH343" s="11">
        <v>25860.0</v>
      </c>
      <c r="BI343" s="11">
        <v>17510.0</v>
      </c>
      <c r="BJ343" s="11">
        <v>32620.0</v>
      </c>
      <c r="BK343" s="11">
        <v>27430.0</v>
      </c>
      <c r="BL343" s="11">
        <v>72500.0</v>
      </c>
      <c r="BM343" s="11">
        <v>189100.0</v>
      </c>
      <c r="BN343" s="11">
        <v>181550.0</v>
      </c>
      <c r="BO343" s="11">
        <v>167040.0</v>
      </c>
      <c r="BP343" s="11">
        <v>148240.0</v>
      </c>
      <c r="BQ343" s="11">
        <v>133860.0</v>
      </c>
      <c r="BR343" s="11">
        <v>164620.0</v>
      </c>
      <c r="BS343" s="11">
        <v>154600.0</v>
      </c>
      <c r="BT343" s="11">
        <v>141440.0</v>
      </c>
      <c r="BU343" s="11">
        <v>135870.0</v>
      </c>
      <c r="BV343" s="11">
        <v>133360.0</v>
      </c>
      <c r="BW343" s="11">
        <v>397360.0</v>
      </c>
      <c r="BX343" s="11">
        <v>374350.0</v>
      </c>
      <c r="BY343" s="11">
        <v>356780.0</v>
      </c>
      <c r="BZ343" s="11">
        <v>330510.0</v>
      </c>
      <c r="CA343" s="11">
        <v>359800.0</v>
      </c>
      <c r="CB343" s="11">
        <v>141980.0</v>
      </c>
      <c r="CC343" s="11">
        <v>113250.0</v>
      </c>
      <c r="CD343" s="11">
        <v>116230.0</v>
      </c>
      <c r="CE343" s="11">
        <v>122030.0</v>
      </c>
      <c r="CF343" s="11">
        <v>125450.0</v>
      </c>
      <c r="CG343" s="11">
        <v>618040.0</v>
      </c>
      <c r="CH343" s="11">
        <v>400440.0</v>
      </c>
      <c r="CI343" s="11">
        <v>401950.0</v>
      </c>
      <c r="CJ343" s="11">
        <v>397660.0</v>
      </c>
      <c r="CK343" s="11">
        <v>260650.0</v>
      </c>
      <c r="CL343" s="11">
        <v>1780000.0</v>
      </c>
      <c r="CM343" s="11">
        <v>1370000.0</v>
      </c>
      <c r="CN343" s="11">
        <v>1360000.0</v>
      </c>
      <c r="CO343" s="11">
        <v>1330000.0</v>
      </c>
      <c r="CP343" s="11">
        <v>1100000.0</v>
      </c>
      <c r="CQ343" s="11">
        <v>55970.0</v>
      </c>
      <c r="CR343" s="11">
        <v>53500.0</v>
      </c>
      <c r="CS343" s="11">
        <v>42040.0</v>
      </c>
      <c r="CT343" s="11">
        <v>41650.0</v>
      </c>
      <c r="CU343" s="11">
        <v>34720.0</v>
      </c>
      <c r="CV343" s="11">
        <v>188090.0</v>
      </c>
      <c r="CW343" s="11">
        <v>7270.0</v>
      </c>
      <c r="CX343" s="12"/>
      <c r="CY343" s="12"/>
      <c r="CZ343" s="12"/>
      <c r="DA343" s="12"/>
      <c r="DB343" s="11">
        <v>188090.0</v>
      </c>
      <c r="DC343" s="11">
        <v>160940.0</v>
      </c>
      <c r="DD343" s="11">
        <v>150000.0</v>
      </c>
      <c r="DE343" s="11">
        <v>113950.0</v>
      </c>
      <c r="DF343" s="11">
        <v>1060000.0</v>
      </c>
      <c r="DG343" s="11">
        <v>706870.0</v>
      </c>
      <c r="DH343" s="11">
        <v>726530.0</v>
      </c>
      <c r="DI343" s="11">
        <v>748410.0</v>
      </c>
      <c r="DJ343" s="11">
        <v>516630.0</v>
      </c>
      <c r="DK343" s="12"/>
      <c r="DL343" s="12"/>
      <c r="DM343" s="12"/>
      <c r="DN343" s="12"/>
      <c r="DO343" s="12"/>
      <c r="DP343" s="11">
        <v>772310.0</v>
      </c>
      <c r="DQ343" s="11">
        <v>438560.0</v>
      </c>
      <c r="DR343" s="11">
        <v>471740.0</v>
      </c>
      <c r="DS343" s="11">
        <v>488290.0</v>
      </c>
      <c r="DT343" s="11">
        <v>269470.0</v>
      </c>
      <c r="DU343" s="13"/>
      <c r="DV343" s="12"/>
      <c r="DW343" s="12"/>
      <c r="DX343" s="13"/>
      <c r="DY343" s="13"/>
      <c r="DZ343" s="11">
        <v>710470.0</v>
      </c>
      <c r="EA343" s="11">
        <v>662270.0</v>
      </c>
      <c r="EB343" s="11">
        <v>631430.0</v>
      </c>
      <c r="EC343" s="11">
        <v>580580.0</v>
      </c>
      <c r="ED343" s="11">
        <v>585070.0</v>
      </c>
      <c r="EE343" s="14">
        <v>0.063</v>
      </c>
      <c r="EF343" s="14">
        <v>0.094</v>
      </c>
      <c r="EG343" s="14">
        <v>0.926</v>
      </c>
      <c r="EH343" s="14">
        <v>0.288</v>
      </c>
    </row>
    <row r="344">
      <c r="A344" s="9">
        <f t="shared" si="2"/>
        <v>342</v>
      </c>
      <c r="B344" s="22" t="s">
        <v>478</v>
      </c>
      <c r="C344" s="12"/>
      <c r="D344" s="12"/>
      <c r="E344" s="12"/>
      <c r="F344" s="12"/>
      <c r="G344" s="12"/>
      <c r="H344" s="12"/>
      <c r="I344" s="12"/>
      <c r="J344" s="11">
        <v>-758.0</v>
      </c>
      <c r="K344" s="11">
        <v>-562.0</v>
      </c>
      <c r="L344" s="11">
        <v>-474.0</v>
      </c>
      <c r="M344" s="11">
        <v>-203.0</v>
      </c>
      <c r="N344" s="12"/>
      <c r="O344" s="11">
        <v>85300.0</v>
      </c>
      <c r="P344" s="11">
        <v>60680.0</v>
      </c>
      <c r="Q344" s="11">
        <v>38610.0</v>
      </c>
      <c r="R344" s="11">
        <v>33460.0</v>
      </c>
      <c r="S344" s="12"/>
      <c r="T344" s="11">
        <v>65700.0</v>
      </c>
      <c r="U344" s="11">
        <v>48770.0</v>
      </c>
      <c r="V344" s="11">
        <v>32620.0</v>
      </c>
      <c r="W344" s="11">
        <v>27880.0</v>
      </c>
      <c r="X344" s="12"/>
      <c r="Y344" s="12"/>
      <c r="Z344" s="12"/>
      <c r="AA344" s="11">
        <v>-34650.0</v>
      </c>
      <c r="AB344" s="11">
        <v>-33240.0</v>
      </c>
      <c r="AC344" s="12"/>
      <c r="AD344" s="11">
        <v>-85530.0</v>
      </c>
      <c r="AE344" s="11">
        <v>-59930.0</v>
      </c>
      <c r="AF344" s="11">
        <v>-35380.0</v>
      </c>
      <c r="AG344" s="11">
        <v>-34530.0</v>
      </c>
      <c r="AH344" s="12"/>
      <c r="AI344" s="11">
        <v>-85300.0</v>
      </c>
      <c r="AJ344" s="11">
        <v>-60680.0</v>
      </c>
      <c r="AK344" s="11">
        <v>-38610.0</v>
      </c>
      <c r="AL344" s="11">
        <v>-33460.0</v>
      </c>
      <c r="AM344" s="12"/>
      <c r="AN344" s="11">
        <v>-85550.0</v>
      </c>
      <c r="AO344" s="11">
        <v>-59930.0</v>
      </c>
      <c r="AP344" s="11">
        <v>-35380.0</v>
      </c>
      <c r="AQ344" s="11">
        <v>-34530.0</v>
      </c>
      <c r="AR344" s="12"/>
      <c r="AS344" s="11">
        <v>-69090.0</v>
      </c>
      <c r="AT344" s="11">
        <v>-48820.0</v>
      </c>
      <c r="AU344" s="11">
        <v>-37590.0</v>
      </c>
      <c r="AV344" s="11">
        <v>-32780.0</v>
      </c>
      <c r="AW344" s="12"/>
      <c r="AX344" s="11">
        <v>-699.0</v>
      </c>
      <c r="AY344" s="11">
        <v>-476.0</v>
      </c>
      <c r="AZ344" s="11">
        <v>-582.0</v>
      </c>
      <c r="BA344" s="11">
        <v>-948.0</v>
      </c>
      <c r="BB344" s="12"/>
      <c r="BC344" s="12"/>
      <c r="BD344" s="12"/>
      <c r="BE344" s="12"/>
      <c r="BF344" s="12"/>
      <c r="BG344" s="12"/>
      <c r="BH344" s="11">
        <v>383930.0</v>
      </c>
      <c r="BI344" s="11">
        <v>114590.0</v>
      </c>
      <c r="BJ344" s="11">
        <v>16400.0</v>
      </c>
      <c r="BK344" s="11">
        <v>36920.0</v>
      </c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1">
        <v>386990.0</v>
      </c>
      <c r="BX344" s="11">
        <v>117300.0</v>
      </c>
      <c r="BY344" s="11">
        <v>17720.0</v>
      </c>
      <c r="BZ344" s="11">
        <v>37440.0</v>
      </c>
      <c r="CA344" s="12"/>
      <c r="CB344" s="11">
        <v>11720.0</v>
      </c>
      <c r="CC344" s="11">
        <v>1210.0</v>
      </c>
      <c r="CD344" s="11">
        <v>1120.0</v>
      </c>
      <c r="CE344" s="11">
        <v>1030.0</v>
      </c>
      <c r="CF344" s="12"/>
      <c r="CG344" s="12"/>
      <c r="CH344" s="12"/>
      <c r="CI344" s="12"/>
      <c r="CJ344" s="12"/>
      <c r="CK344" s="12"/>
      <c r="CL344" s="11">
        <v>399130.0</v>
      </c>
      <c r="CM344" s="11">
        <v>118940.0</v>
      </c>
      <c r="CN344" s="11">
        <v>19100.0</v>
      </c>
      <c r="CO344" s="11">
        <v>38700.0</v>
      </c>
      <c r="CP344" s="12"/>
      <c r="CQ344" s="11">
        <v>7280.0</v>
      </c>
      <c r="CR344" s="11">
        <v>5720.0</v>
      </c>
      <c r="CS344" s="12"/>
      <c r="CT344" s="12"/>
      <c r="CU344" s="12"/>
      <c r="CV344" s="11">
        <v>22760.0</v>
      </c>
      <c r="CW344" s="11">
        <v>2560.0</v>
      </c>
      <c r="CX344" s="12"/>
      <c r="CY344" s="12"/>
      <c r="CZ344" s="12"/>
      <c r="DA344" s="12"/>
      <c r="DB344" s="11">
        <v>22760.0</v>
      </c>
      <c r="DC344" s="11">
        <v>14660.0</v>
      </c>
      <c r="DD344" s="11">
        <v>11130.0</v>
      </c>
      <c r="DE344" s="11">
        <v>12050.0</v>
      </c>
      <c r="DF344" s="11">
        <v>61550.0</v>
      </c>
      <c r="DG344" s="11">
        <v>14780.0</v>
      </c>
      <c r="DH344" s="11">
        <v>11710.0</v>
      </c>
      <c r="DI344" s="11">
        <v>21380.0</v>
      </c>
      <c r="DJ344" s="12"/>
      <c r="DK344" s="11">
        <v>425.0</v>
      </c>
      <c r="DL344" s="11">
        <v>425.0</v>
      </c>
      <c r="DM344" s="11">
        <v>242.0</v>
      </c>
      <c r="DN344" s="11">
        <v>242.0</v>
      </c>
      <c r="DO344" s="12"/>
      <c r="DP344" s="11">
        <v>38400.0</v>
      </c>
      <c r="DQ344" s="12"/>
      <c r="DR344" s="11">
        <v>254.0</v>
      </c>
      <c r="DS344" s="11">
        <v>8770.0</v>
      </c>
      <c r="DT344" s="12"/>
      <c r="DU344" s="13"/>
      <c r="DV344" s="12"/>
      <c r="DW344" s="11">
        <v>173230.0</v>
      </c>
      <c r="DX344" s="11">
        <v>149000.0</v>
      </c>
      <c r="DY344" s="13"/>
      <c r="DZ344" s="11">
        <v>337580.0</v>
      </c>
      <c r="EA344" s="11">
        <v>104160.0</v>
      </c>
      <c r="EB344" s="11">
        <v>7400.0</v>
      </c>
      <c r="EC344" s="11">
        <v>17330.0</v>
      </c>
      <c r="ED344" s="12"/>
      <c r="EE344" s="23"/>
      <c r="EF344" s="23"/>
      <c r="EG344" s="14">
        <v>-0.111</v>
      </c>
      <c r="EH344" s="14">
        <v>-0.021</v>
      </c>
    </row>
    <row r="345">
      <c r="A345" s="9">
        <f t="shared" si="2"/>
        <v>343</v>
      </c>
      <c r="B345" s="22" t="s">
        <v>479</v>
      </c>
      <c r="C345" s="11">
        <v>84830.0</v>
      </c>
      <c r="D345" s="11">
        <v>64570.0</v>
      </c>
      <c r="E345" s="11">
        <v>54600.0</v>
      </c>
      <c r="F345" s="11">
        <v>47750.0</v>
      </c>
      <c r="G345" s="11">
        <v>35740.0</v>
      </c>
      <c r="H345" s="11">
        <v>30610.0</v>
      </c>
      <c r="I345" s="12"/>
      <c r="J345" s="11">
        <v>25490.0</v>
      </c>
      <c r="K345" s="11">
        <v>24230.0</v>
      </c>
      <c r="L345" s="11">
        <v>18890.0</v>
      </c>
      <c r="M345" s="11">
        <v>16390.0</v>
      </c>
      <c r="N345" s="12"/>
      <c r="O345" s="11">
        <v>47850.0</v>
      </c>
      <c r="P345" s="11">
        <v>39140.0</v>
      </c>
      <c r="Q345" s="11">
        <v>24990.0</v>
      </c>
      <c r="R345" s="11">
        <v>22970.0</v>
      </c>
      <c r="S345" s="12"/>
      <c r="T345" s="11">
        <v>10730.0</v>
      </c>
      <c r="U345" s="11">
        <v>7430.0</v>
      </c>
      <c r="V345" s="11">
        <v>7210.0</v>
      </c>
      <c r="W345" s="11">
        <v>6510.0</v>
      </c>
      <c r="X345" s="12"/>
      <c r="Y345" s="12"/>
      <c r="Z345" s="12"/>
      <c r="AA345" s="12"/>
      <c r="AB345" s="11">
        <v>-6300.0</v>
      </c>
      <c r="AC345" s="12"/>
      <c r="AD345" s="11">
        <v>-23170.0</v>
      </c>
      <c r="AE345" s="11">
        <v>-13740.0</v>
      </c>
      <c r="AF345" s="11">
        <v>-6160.0</v>
      </c>
      <c r="AG345" s="11">
        <v>-6380.0</v>
      </c>
      <c r="AH345" s="12"/>
      <c r="AI345" s="11">
        <v>-16240.0</v>
      </c>
      <c r="AJ345" s="11">
        <v>-8440.0</v>
      </c>
      <c r="AK345" s="11">
        <v>-2450.0</v>
      </c>
      <c r="AL345" s="11">
        <v>-3970.0</v>
      </c>
      <c r="AM345" s="12"/>
      <c r="AN345" s="11">
        <v>-23140.0</v>
      </c>
      <c r="AO345" s="11">
        <v>-12930.0</v>
      </c>
      <c r="AP345" s="11">
        <v>-6050.0</v>
      </c>
      <c r="AQ345" s="11">
        <v>-5790.0</v>
      </c>
      <c r="AR345" s="12"/>
      <c r="AS345" s="11">
        <v>-10960.0</v>
      </c>
      <c r="AT345" s="11">
        <v>-6630.0</v>
      </c>
      <c r="AU345" s="11">
        <v>-6020.0</v>
      </c>
      <c r="AV345" s="11">
        <v>619.0</v>
      </c>
      <c r="AW345" s="12"/>
      <c r="AX345" s="11">
        <v>-8880.0</v>
      </c>
      <c r="AY345" s="11">
        <v>-13880.0</v>
      </c>
      <c r="AZ345" s="11">
        <v>-20340.0</v>
      </c>
      <c r="BA345" s="11">
        <v>-12680.0</v>
      </c>
      <c r="BB345" s="12"/>
      <c r="BC345" s="12"/>
      <c r="BD345" s="12"/>
      <c r="BE345" s="12"/>
      <c r="BF345" s="12"/>
      <c r="BG345" s="12"/>
      <c r="BH345" s="11">
        <v>46130.0</v>
      </c>
      <c r="BI345" s="11">
        <v>10540.0</v>
      </c>
      <c r="BJ345" s="11">
        <v>3790.0</v>
      </c>
      <c r="BK345" s="11">
        <v>1020.0</v>
      </c>
      <c r="BL345" s="12"/>
      <c r="BM345" s="11">
        <v>20560.0</v>
      </c>
      <c r="BN345" s="11">
        <v>14530.0</v>
      </c>
      <c r="BO345" s="11">
        <v>10450.0</v>
      </c>
      <c r="BP345" s="11">
        <v>6840.0</v>
      </c>
      <c r="BQ345" s="12"/>
      <c r="BR345" s="11">
        <v>2030.0</v>
      </c>
      <c r="BS345" s="11">
        <v>1540.0</v>
      </c>
      <c r="BT345" s="11">
        <v>935.0</v>
      </c>
      <c r="BU345" s="11">
        <v>387.0</v>
      </c>
      <c r="BV345" s="12"/>
      <c r="BW345" s="11">
        <v>76450.0</v>
      </c>
      <c r="BX345" s="11">
        <v>32880.0</v>
      </c>
      <c r="BY345" s="11">
        <v>16140.0</v>
      </c>
      <c r="BZ345" s="11">
        <v>9070.0</v>
      </c>
      <c r="CA345" s="12"/>
      <c r="CB345" s="11">
        <v>37390.0</v>
      </c>
      <c r="CC345" s="11">
        <v>44710.0</v>
      </c>
      <c r="CD345" s="11">
        <v>40630.0</v>
      </c>
      <c r="CE345" s="11">
        <v>21370.0</v>
      </c>
      <c r="CF345" s="12"/>
      <c r="CG345" s="12"/>
      <c r="CH345" s="12"/>
      <c r="CI345" s="12"/>
      <c r="CJ345" s="12"/>
      <c r="CK345" s="12"/>
      <c r="CL345" s="11">
        <v>131900.0</v>
      </c>
      <c r="CM345" s="11">
        <v>87650.0</v>
      </c>
      <c r="CN345" s="11">
        <v>66630.0</v>
      </c>
      <c r="CO345" s="11">
        <v>38190.0</v>
      </c>
      <c r="CP345" s="12"/>
      <c r="CQ345" s="11">
        <v>9600.0</v>
      </c>
      <c r="CR345" s="11">
        <v>6210.0</v>
      </c>
      <c r="CS345" s="11">
        <v>6350.0</v>
      </c>
      <c r="CT345" s="11">
        <v>6350.0</v>
      </c>
      <c r="CU345" s="12"/>
      <c r="CV345" s="11">
        <v>32550.0</v>
      </c>
      <c r="CW345" s="11">
        <v>4140.0</v>
      </c>
      <c r="CX345" s="11">
        <v>4230.0</v>
      </c>
      <c r="CY345" s="11">
        <v>16620.0</v>
      </c>
      <c r="CZ345" s="11">
        <v>13350.0</v>
      </c>
      <c r="DA345" s="12"/>
      <c r="DB345" s="11">
        <v>32550.0</v>
      </c>
      <c r="DC345" s="11">
        <v>27760.0</v>
      </c>
      <c r="DD345" s="11">
        <v>28590.0</v>
      </c>
      <c r="DE345" s="11">
        <v>25200.0</v>
      </c>
      <c r="DF345" s="11">
        <v>65770.0</v>
      </c>
      <c r="DG345" s="11">
        <v>57330.0</v>
      </c>
      <c r="DH345" s="11">
        <v>46990.0</v>
      </c>
      <c r="DI345" s="11">
        <v>35310.0</v>
      </c>
      <c r="DJ345" s="12"/>
      <c r="DK345" s="12"/>
      <c r="DL345" s="12"/>
      <c r="DM345" s="12"/>
      <c r="DN345" s="12"/>
      <c r="DO345" s="12"/>
      <c r="DP345" s="11">
        <v>22050.0</v>
      </c>
      <c r="DQ345" s="11">
        <v>16720.0</v>
      </c>
      <c r="DR345" s="11">
        <v>4620.0</v>
      </c>
      <c r="DS345" s="11">
        <v>5680.0</v>
      </c>
      <c r="DT345" s="12"/>
      <c r="DU345" s="13"/>
      <c r="DV345" s="12"/>
      <c r="DW345" s="12"/>
      <c r="DX345" s="13"/>
      <c r="DY345" s="13"/>
      <c r="DZ345" s="11">
        <v>67190.0</v>
      </c>
      <c r="EA345" s="11">
        <v>31190.0</v>
      </c>
      <c r="EB345" s="11">
        <v>20100.0</v>
      </c>
      <c r="EC345" s="11">
        <v>3170.0</v>
      </c>
      <c r="ED345" s="12"/>
      <c r="EE345" s="14">
        <v>0.127</v>
      </c>
      <c r="EF345" s="14">
        <v>0.123</v>
      </c>
      <c r="EG345" s="14">
        <v>-0.308</v>
      </c>
      <c r="EH345" s="23"/>
    </row>
    <row r="346">
      <c r="A346" s="9">
        <f t="shared" si="2"/>
        <v>344</v>
      </c>
      <c r="B346" s="10" t="s">
        <v>480</v>
      </c>
      <c r="C346" s="15">
        <v>351100.0</v>
      </c>
      <c r="D346" s="15">
        <v>243080.0</v>
      </c>
      <c r="E346" s="15">
        <v>218230.0</v>
      </c>
      <c r="F346" s="15">
        <v>168940.0</v>
      </c>
      <c r="G346" s="15">
        <v>154070.0</v>
      </c>
      <c r="H346" s="15">
        <v>139230.0</v>
      </c>
      <c r="I346" s="15">
        <v>130370.0</v>
      </c>
      <c r="J346" s="15">
        <v>94250.0</v>
      </c>
      <c r="K346" s="15">
        <v>69630.0</v>
      </c>
      <c r="L346" s="15">
        <v>65140.0</v>
      </c>
      <c r="M346" s="15">
        <v>60470.0</v>
      </c>
      <c r="N346" s="15">
        <v>55180.0</v>
      </c>
      <c r="O346" s="15">
        <v>77580.0</v>
      </c>
      <c r="P346" s="15">
        <v>60190.0</v>
      </c>
      <c r="Q346" s="15">
        <v>50430.0</v>
      </c>
      <c r="R346" s="15">
        <v>44310.0</v>
      </c>
      <c r="S346" s="15">
        <v>0.0</v>
      </c>
      <c r="T346" s="15">
        <v>0.0</v>
      </c>
      <c r="U346" s="15">
        <v>0.0</v>
      </c>
      <c r="V346" s="15">
        <v>0.0</v>
      </c>
      <c r="W346" s="15">
        <v>0.0</v>
      </c>
      <c r="X346" s="15">
        <v>0.0</v>
      </c>
      <c r="Y346" s="15">
        <v>-4510.0</v>
      </c>
      <c r="Z346" s="15">
        <v>10390.0</v>
      </c>
      <c r="AA346" s="15">
        <v>14140.0</v>
      </c>
      <c r="AB346" s="15">
        <v>0.0</v>
      </c>
      <c r="AC346" s="15">
        <v>0.0</v>
      </c>
      <c r="AD346" s="15">
        <v>-11970.0</v>
      </c>
      <c r="AE346" s="15">
        <v>5920.0</v>
      </c>
      <c r="AF346" s="15">
        <v>12450.0</v>
      </c>
      <c r="AG346" s="15">
        <v>15600.0</v>
      </c>
      <c r="AH346" s="15">
        <v>14650.0</v>
      </c>
      <c r="AI346" s="15">
        <v>33410.0</v>
      </c>
      <c r="AJ346" s="15">
        <v>18840.0</v>
      </c>
      <c r="AK346" s="15">
        <v>23660.0</v>
      </c>
      <c r="AL346" s="15">
        <v>24510.0</v>
      </c>
      <c r="AM346" s="15">
        <v>0.0</v>
      </c>
      <c r="AN346" s="15">
        <v>-19160.0</v>
      </c>
      <c r="AO346" s="15">
        <v>3390.0</v>
      </c>
      <c r="AP346" s="15">
        <v>6260.0</v>
      </c>
      <c r="AQ346" s="15">
        <v>9220.0</v>
      </c>
      <c r="AR346" s="15">
        <v>0.0</v>
      </c>
      <c r="AS346" s="15">
        <v>18780.0</v>
      </c>
      <c r="AT346" s="15">
        <v>22330.0</v>
      </c>
      <c r="AU346" s="15">
        <v>19450.0</v>
      </c>
      <c r="AV346" s="15">
        <v>22300.0</v>
      </c>
      <c r="AW346" s="15">
        <v>0.0</v>
      </c>
      <c r="AX346" s="15">
        <v>-24040.0</v>
      </c>
      <c r="AY346" s="15">
        <v>-56770.0</v>
      </c>
      <c r="AZ346" s="15">
        <v>-11530.0</v>
      </c>
      <c r="BA346" s="15">
        <v>-7100.0</v>
      </c>
      <c r="BB346" s="15">
        <v>0.0</v>
      </c>
      <c r="BC346" s="16">
        <v>0.0</v>
      </c>
      <c r="BD346" s="16">
        <v>0.0</v>
      </c>
      <c r="BE346" s="16">
        <v>0.0</v>
      </c>
      <c r="BF346" s="16">
        <v>0.0</v>
      </c>
      <c r="BG346" s="16">
        <v>0.0</v>
      </c>
      <c r="BH346" s="15">
        <v>54750.0</v>
      </c>
      <c r="BI346" s="15">
        <v>45580.0</v>
      </c>
      <c r="BJ346" s="15">
        <v>75700.0</v>
      </c>
      <c r="BK346" s="15">
        <v>38840.0</v>
      </c>
      <c r="BL346" s="15">
        <v>29370.0</v>
      </c>
      <c r="BM346" s="15">
        <v>11370.0</v>
      </c>
      <c r="BN346" s="15">
        <v>6040.0</v>
      </c>
      <c r="BO346" s="15">
        <v>6280.0</v>
      </c>
      <c r="BP346" s="15">
        <v>4710.0</v>
      </c>
      <c r="BQ346" s="15">
        <v>2620.0</v>
      </c>
      <c r="BR346" s="15">
        <v>2050.0</v>
      </c>
      <c r="BS346" s="15">
        <v>0.0</v>
      </c>
      <c r="BT346" s="15">
        <v>0.0</v>
      </c>
      <c r="BU346" s="15">
        <v>0.0</v>
      </c>
      <c r="BV346" s="15">
        <v>0.0</v>
      </c>
      <c r="BW346" s="15">
        <v>79370.0</v>
      </c>
      <c r="BX346" s="15">
        <v>54970.0</v>
      </c>
      <c r="BY346" s="15">
        <v>84320.0</v>
      </c>
      <c r="BZ346" s="15">
        <v>45950.0</v>
      </c>
      <c r="CA346" s="15">
        <v>33880.0</v>
      </c>
      <c r="CB346" s="15">
        <v>540970.0</v>
      </c>
      <c r="CC346" s="15">
        <v>187020.0</v>
      </c>
      <c r="CD346" s="15">
        <v>152780.0</v>
      </c>
      <c r="CE346" s="15">
        <v>140760.0</v>
      </c>
      <c r="CF346" s="15">
        <v>131580.0</v>
      </c>
      <c r="CG346" s="15">
        <v>32940.0</v>
      </c>
      <c r="CH346" s="15">
        <v>13990.0</v>
      </c>
      <c r="CI346" s="15">
        <v>15160.0</v>
      </c>
      <c r="CJ346" s="15">
        <v>13390.0</v>
      </c>
      <c r="CK346" s="15">
        <v>10170.0</v>
      </c>
      <c r="CL346" s="15">
        <v>726900.0</v>
      </c>
      <c r="CM346" s="15">
        <v>278830.0</v>
      </c>
      <c r="CN346" s="15">
        <v>274880.0</v>
      </c>
      <c r="CO346" s="15">
        <v>222100.0</v>
      </c>
      <c r="CP346" s="15">
        <v>186420.0</v>
      </c>
      <c r="CQ346" s="15">
        <v>5200.0</v>
      </c>
      <c r="CR346" s="15">
        <v>3300.0</v>
      </c>
      <c r="CS346" s="15">
        <v>4770.0</v>
      </c>
      <c r="CT346" s="15">
        <v>1860.0</v>
      </c>
      <c r="CU346" s="15">
        <v>2690.0</v>
      </c>
      <c r="CV346" s="15">
        <v>56570.0</v>
      </c>
      <c r="CW346" s="15">
        <v>4240.0</v>
      </c>
      <c r="CX346" s="15">
        <v>0.0</v>
      </c>
      <c r="CY346" s="15">
        <v>0.0</v>
      </c>
      <c r="CZ346" s="16">
        <v>0.0</v>
      </c>
      <c r="DA346" s="15">
        <v>0.0</v>
      </c>
      <c r="DB346" s="15">
        <v>56570.0</v>
      </c>
      <c r="DC346" s="15">
        <v>50020.0</v>
      </c>
      <c r="DD346" s="15">
        <v>34440.0</v>
      </c>
      <c r="DE346" s="15">
        <v>28610.0</v>
      </c>
      <c r="DF346" s="15">
        <v>554830.0</v>
      </c>
      <c r="DG346" s="15">
        <v>95440.0</v>
      </c>
      <c r="DH346" s="15">
        <v>87560.0</v>
      </c>
      <c r="DI346" s="15">
        <v>83520.0</v>
      </c>
      <c r="DJ346" s="15">
        <v>0.0</v>
      </c>
      <c r="DK346" s="15">
        <v>1890.0</v>
      </c>
      <c r="DL346" s="15">
        <v>2440.0</v>
      </c>
      <c r="DM346" s="15">
        <v>1740.0</v>
      </c>
      <c r="DN346" s="15">
        <v>1180.0</v>
      </c>
      <c r="DO346" s="15">
        <v>0.0</v>
      </c>
      <c r="DP346" s="15">
        <v>494570.0</v>
      </c>
      <c r="DQ346" s="15">
        <v>42040.0</v>
      </c>
      <c r="DR346" s="15">
        <v>51020.0</v>
      </c>
      <c r="DS346" s="15">
        <v>50030.0</v>
      </c>
      <c r="DT346" s="15">
        <v>32400.0</v>
      </c>
      <c r="DU346" s="16">
        <v>0.0</v>
      </c>
      <c r="DV346" s="15">
        <v>0.0</v>
      </c>
      <c r="DW346" s="15">
        <v>0.0</v>
      </c>
      <c r="DX346" s="16">
        <v>0.0</v>
      </c>
      <c r="DY346" s="16">
        <v>0.0</v>
      </c>
      <c r="DZ346" s="15">
        <v>163310.0</v>
      </c>
      <c r="EA346" s="15">
        <v>176320.0</v>
      </c>
      <c r="EB346" s="15">
        <v>179900.0</v>
      </c>
      <c r="EC346" s="15">
        <v>132200.0</v>
      </c>
      <c r="ED346" s="15">
        <v>122050.0</v>
      </c>
      <c r="EE346" s="17">
        <v>0.439</v>
      </c>
      <c r="EF346" s="17">
        <v>0.3</v>
      </c>
      <c r="EG346" s="17">
        <v>-156.0</v>
      </c>
      <c r="EH346" s="17">
        <v>-44.016</v>
      </c>
    </row>
    <row r="347">
      <c r="A347" s="9">
        <f t="shared" si="2"/>
        <v>345</v>
      </c>
      <c r="B347" s="10" t="s">
        <v>481</v>
      </c>
      <c r="C347" s="15">
        <v>1560000.0</v>
      </c>
      <c r="D347" s="15">
        <v>1430000.0</v>
      </c>
      <c r="E347" s="15">
        <v>1550000.0</v>
      </c>
      <c r="F347" s="15">
        <v>1750000.0</v>
      </c>
      <c r="G347" s="15">
        <v>1200000.0</v>
      </c>
      <c r="H347" s="15">
        <v>848500.0</v>
      </c>
      <c r="I347" s="15">
        <v>2110000.0</v>
      </c>
      <c r="J347" s="15">
        <v>479510.0</v>
      </c>
      <c r="K347" s="15">
        <v>753610.0</v>
      </c>
      <c r="L347" s="15">
        <v>181250.0</v>
      </c>
      <c r="M347" s="15">
        <v>-130510.0</v>
      </c>
      <c r="N347" s="15">
        <v>335840.0</v>
      </c>
      <c r="O347" s="15">
        <v>143550.0</v>
      </c>
      <c r="P347" s="15">
        <v>134810.0</v>
      </c>
      <c r="Q347" s="15">
        <v>93210.0</v>
      </c>
      <c r="R347" s="15">
        <v>104840.0</v>
      </c>
      <c r="S347" s="15">
        <v>223930.0</v>
      </c>
      <c r="T347" s="15">
        <v>0.0</v>
      </c>
      <c r="U347" s="15">
        <v>0.0</v>
      </c>
      <c r="V347" s="15">
        <v>0.0</v>
      </c>
      <c r="W347" s="15">
        <v>0.0</v>
      </c>
      <c r="X347" s="15">
        <v>0.0</v>
      </c>
      <c r="Y347" s="15">
        <v>108580.0</v>
      </c>
      <c r="Z347" s="15">
        <v>1140000.0</v>
      </c>
      <c r="AA347" s="15">
        <v>83780.0</v>
      </c>
      <c r="AB347" s="15">
        <v>-456710.0</v>
      </c>
      <c r="AC347" s="15">
        <v>-835170.0</v>
      </c>
      <c r="AD347" s="15">
        <v>59680.0</v>
      </c>
      <c r="AE347" s="15">
        <v>1100000.0</v>
      </c>
      <c r="AF347" s="15">
        <v>118580.0</v>
      </c>
      <c r="AG347" s="15">
        <v>-585350.0</v>
      </c>
      <c r="AH347" s="15">
        <v>-475710.0</v>
      </c>
      <c r="AI347" s="15">
        <v>766160.0</v>
      </c>
      <c r="AJ347" s="15">
        <v>1040000.0</v>
      </c>
      <c r="AK347" s="15">
        <v>391700.0</v>
      </c>
      <c r="AL347" s="15">
        <v>97840.0</v>
      </c>
      <c r="AM347" s="15">
        <v>629290.0</v>
      </c>
      <c r="AN347" s="15">
        <v>-80730.0</v>
      </c>
      <c r="AO347" s="15">
        <v>796530.0</v>
      </c>
      <c r="AP347" s="15">
        <v>295040.0</v>
      </c>
      <c r="AQ347" s="15">
        <v>-550950.0</v>
      </c>
      <c r="AR347" s="15">
        <v>-360680.0</v>
      </c>
      <c r="AS347" s="15">
        <v>980560.0</v>
      </c>
      <c r="AT347" s="15">
        <v>895070.0</v>
      </c>
      <c r="AU347" s="15">
        <v>691560.0</v>
      </c>
      <c r="AV347" s="15">
        <v>538000.0</v>
      </c>
      <c r="AW347" s="15">
        <v>505850.0</v>
      </c>
      <c r="AX347" s="15">
        <v>-1190000.0</v>
      </c>
      <c r="AY347" s="15">
        <v>-1120000.0</v>
      </c>
      <c r="AZ347" s="15">
        <v>-632850.0</v>
      </c>
      <c r="BA347" s="15">
        <v>-172740.0</v>
      </c>
      <c r="BB347" s="15">
        <v>-982930.0</v>
      </c>
      <c r="BC347" s="16">
        <v>0.0</v>
      </c>
      <c r="BD347" s="15">
        <v>0.0</v>
      </c>
      <c r="BE347" s="15">
        <v>0.0</v>
      </c>
      <c r="BF347" s="15">
        <v>-2290.0</v>
      </c>
      <c r="BG347" s="15">
        <v>-33280.0</v>
      </c>
      <c r="BH347" s="15">
        <v>16280.0</v>
      </c>
      <c r="BI347" s="15">
        <v>17200.0</v>
      </c>
      <c r="BJ347" s="15">
        <v>509170.0</v>
      </c>
      <c r="BK347" s="15">
        <v>46300.0</v>
      </c>
      <c r="BL347" s="15">
        <v>72570.0</v>
      </c>
      <c r="BM347" s="15">
        <v>209580.0</v>
      </c>
      <c r="BN347" s="15">
        <v>412980.0</v>
      </c>
      <c r="BO347" s="15">
        <v>237250.0</v>
      </c>
      <c r="BP347" s="15">
        <v>290140.0</v>
      </c>
      <c r="BQ347" s="15">
        <v>287010.0</v>
      </c>
      <c r="BR347" s="15">
        <v>6980.0</v>
      </c>
      <c r="BS347" s="15">
        <v>9720.0</v>
      </c>
      <c r="BT347" s="15">
        <v>10740.0</v>
      </c>
      <c r="BU347" s="15">
        <v>15300.0</v>
      </c>
      <c r="BV347" s="15">
        <v>66790.0</v>
      </c>
      <c r="BW347" s="15">
        <v>498100.0</v>
      </c>
      <c r="BX347" s="15">
        <v>501690.0</v>
      </c>
      <c r="BY347" s="15">
        <v>852500.0</v>
      </c>
      <c r="BZ347" s="15">
        <v>626140.0</v>
      </c>
      <c r="CA347" s="15">
        <v>804760.0</v>
      </c>
      <c r="CB347" s="15">
        <v>2640000.0</v>
      </c>
      <c r="CC347" s="15">
        <v>2820000.0</v>
      </c>
      <c r="CD347" s="15">
        <v>1940000.0</v>
      </c>
      <c r="CE347" s="15">
        <v>2390000.0</v>
      </c>
      <c r="CF347" s="15">
        <v>9670000.0</v>
      </c>
      <c r="CG347" s="15">
        <v>796360.0</v>
      </c>
      <c r="CH347" s="15">
        <v>796360.0</v>
      </c>
      <c r="CI347" s="15">
        <v>0.0</v>
      </c>
      <c r="CJ347" s="15">
        <v>0.0</v>
      </c>
      <c r="CK347" s="15">
        <v>0.0</v>
      </c>
      <c r="CL347" s="15">
        <v>9060000.0</v>
      </c>
      <c r="CM347" s="15">
        <v>8960000.0</v>
      </c>
      <c r="CN347" s="15">
        <v>7300000.0</v>
      </c>
      <c r="CO347" s="15">
        <v>9540000.0</v>
      </c>
      <c r="CP347" s="15">
        <v>1.196E7</v>
      </c>
      <c r="CQ347" s="15">
        <v>202550.0</v>
      </c>
      <c r="CR347" s="15">
        <v>229810.0</v>
      </c>
      <c r="CS347" s="15">
        <v>211160.0</v>
      </c>
      <c r="CT347" s="15">
        <v>157100.0</v>
      </c>
      <c r="CU347" s="15">
        <v>250610.0</v>
      </c>
      <c r="CV347" s="15">
        <v>528940.0</v>
      </c>
      <c r="CW347" s="15">
        <v>61670.0</v>
      </c>
      <c r="CX347" s="16">
        <v>0.0</v>
      </c>
      <c r="CY347" s="16">
        <v>0.0</v>
      </c>
      <c r="CZ347" s="16">
        <v>0.0</v>
      </c>
      <c r="DA347" s="15">
        <v>952000.0</v>
      </c>
      <c r="DB347" s="15">
        <v>528940.0</v>
      </c>
      <c r="DC347" s="15">
        <v>522980.0</v>
      </c>
      <c r="DD347" s="15">
        <v>441680.0</v>
      </c>
      <c r="DE347" s="15">
        <v>940010.0</v>
      </c>
      <c r="DF347" s="15">
        <v>4100000.0</v>
      </c>
      <c r="DG347" s="15">
        <v>3880000.0</v>
      </c>
      <c r="DH347" s="15">
        <v>3400000.0</v>
      </c>
      <c r="DI347" s="15">
        <v>5600000.0</v>
      </c>
      <c r="DJ347" s="15">
        <v>7100000.0</v>
      </c>
      <c r="DK347" s="15">
        <v>330810.0</v>
      </c>
      <c r="DL347" s="15">
        <v>231760.0</v>
      </c>
      <c r="DM347" s="15">
        <v>281430.0</v>
      </c>
      <c r="DN347" s="15">
        <v>256160.0</v>
      </c>
      <c r="DO347" s="15">
        <v>282960.0</v>
      </c>
      <c r="DP347" s="15">
        <v>2870000.0</v>
      </c>
      <c r="DQ347" s="15">
        <v>2390000.0</v>
      </c>
      <c r="DR347" s="15">
        <v>2210000.0</v>
      </c>
      <c r="DS347" s="15">
        <v>2450000.0</v>
      </c>
      <c r="DT347" s="15">
        <v>2740000.0</v>
      </c>
      <c r="DU347" s="16">
        <v>0.0</v>
      </c>
      <c r="DV347" s="15">
        <v>0.0</v>
      </c>
      <c r="DW347" s="15">
        <v>0.0</v>
      </c>
      <c r="DX347" s="16">
        <v>0.0</v>
      </c>
      <c r="DY347" s="16">
        <v>0.0</v>
      </c>
      <c r="DZ347" s="15">
        <v>4160000.0</v>
      </c>
      <c r="EA347" s="15">
        <v>4330000.0</v>
      </c>
      <c r="EB347" s="15">
        <v>3900000.0</v>
      </c>
      <c r="EC347" s="15">
        <v>3800000.0</v>
      </c>
      <c r="ED347" s="15">
        <v>4700000.0</v>
      </c>
      <c r="EE347" s="17">
        <v>0.133</v>
      </c>
      <c r="EF347" s="17">
        <v>0.077</v>
      </c>
      <c r="EG347" s="17">
        <v>3.692</v>
      </c>
      <c r="EH347" s="17">
        <v>4.632</v>
      </c>
    </row>
    <row r="348">
      <c r="A348" s="9">
        <f t="shared" si="2"/>
        <v>346</v>
      </c>
      <c r="B348" s="22" t="s">
        <v>482</v>
      </c>
      <c r="C348" s="11">
        <v>1460000.0</v>
      </c>
      <c r="D348" s="11">
        <v>1220000.0</v>
      </c>
      <c r="E348" s="11">
        <v>1430000.0</v>
      </c>
      <c r="F348" s="11">
        <v>1900000.0</v>
      </c>
      <c r="G348" s="11">
        <v>1720000.0</v>
      </c>
      <c r="H348" s="11">
        <v>857440.0</v>
      </c>
      <c r="I348" s="11">
        <v>802250.0</v>
      </c>
      <c r="J348" s="11">
        <v>472710.0</v>
      </c>
      <c r="K348" s="11">
        <v>871940.0</v>
      </c>
      <c r="L348" s="11">
        <v>766070.0</v>
      </c>
      <c r="M348" s="11">
        <v>400000.0</v>
      </c>
      <c r="N348" s="11">
        <v>356170.0</v>
      </c>
      <c r="O348" s="11">
        <v>389610.0</v>
      </c>
      <c r="P348" s="11">
        <v>425620.0</v>
      </c>
      <c r="Q348" s="11">
        <v>393650.0</v>
      </c>
      <c r="R348" s="11">
        <v>241140.0</v>
      </c>
      <c r="S348" s="11">
        <v>231280.0</v>
      </c>
      <c r="T348" s="11">
        <v>117350.0</v>
      </c>
      <c r="U348" s="11">
        <v>132590.0</v>
      </c>
      <c r="V348" s="11">
        <v>119170.0</v>
      </c>
      <c r="W348" s="11">
        <v>81800.0</v>
      </c>
      <c r="X348" s="11">
        <v>81460.0</v>
      </c>
      <c r="Y348" s="11">
        <v>77300.0</v>
      </c>
      <c r="Z348" s="11">
        <v>387520.0</v>
      </c>
      <c r="AA348" s="11">
        <v>343300.0</v>
      </c>
      <c r="AB348" s="11">
        <v>117090.0</v>
      </c>
      <c r="AC348" s="11">
        <v>97830.0</v>
      </c>
      <c r="AD348" s="11">
        <v>60050.0</v>
      </c>
      <c r="AE348" s="11">
        <v>361560.0</v>
      </c>
      <c r="AF348" s="11">
        <v>302060.0</v>
      </c>
      <c r="AG348" s="11">
        <v>122900.0</v>
      </c>
      <c r="AH348" s="11">
        <v>99570.0</v>
      </c>
      <c r="AI348" s="11">
        <v>199480.0</v>
      </c>
      <c r="AJ348" s="11">
        <v>507760.0</v>
      </c>
      <c r="AK348" s="11">
        <v>444840.0</v>
      </c>
      <c r="AL348" s="11">
        <v>171830.0</v>
      </c>
      <c r="AM348" s="11">
        <v>136020.0</v>
      </c>
      <c r="AN348" s="11">
        <v>53830.0</v>
      </c>
      <c r="AO348" s="11">
        <v>247360.0</v>
      </c>
      <c r="AP348" s="11">
        <v>208640.0</v>
      </c>
      <c r="AQ348" s="11">
        <v>87500.0</v>
      </c>
      <c r="AR348" s="11">
        <v>76410.0</v>
      </c>
      <c r="AS348" s="11">
        <v>181400.0</v>
      </c>
      <c r="AT348" s="11">
        <v>236110.0</v>
      </c>
      <c r="AU348" s="11">
        <v>384120.0</v>
      </c>
      <c r="AV348" s="11">
        <v>105300.0</v>
      </c>
      <c r="AW348" s="11">
        <v>124460.0</v>
      </c>
      <c r="AX348" s="11">
        <v>-83280.0</v>
      </c>
      <c r="AY348" s="11">
        <v>-90760.0</v>
      </c>
      <c r="AZ348" s="11">
        <v>-63770.0</v>
      </c>
      <c r="BA348" s="11">
        <v>-49330.0</v>
      </c>
      <c r="BB348" s="11">
        <v>-22160.0</v>
      </c>
      <c r="BC348" s="12"/>
      <c r="BD348" s="12"/>
      <c r="BE348" s="12"/>
      <c r="BF348" s="12"/>
      <c r="BG348" s="12"/>
      <c r="BH348" s="11">
        <v>306750.0</v>
      </c>
      <c r="BI348" s="11">
        <v>311470.0</v>
      </c>
      <c r="BJ348" s="11">
        <v>476670.0</v>
      </c>
      <c r="BK348" s="11">
        <v>399950.0</v>
      </c>
      <c r="BL348" s="11">
        <v>325520.0</v>
      </c>
      <c r="BM348" s="11">
        <v>278760.0</v>
      </c>
      <c r="BN348" s="11">
        <v>372140.0</v>
      </c>
      <c r="BO348" s="11">
        <v>321000.0</v>
      </c>
      <c r="BP348" s="11">
        <v>176250.0</v>
      </c>
      <c r="BQ348" s="11">
        <v>142260.0</v>
      </c>
      <c r="BR348" s="11">
        <v>442530.0</v>
      </c>
      <c r="BS348" s="11">
        <v>486740.0</v>
      </c>
      <c r="BT348" s="11">
        <v>414810.0</v>
      </c>
      <c r="BU348" s="11">
        <v>212900.0</v>
      </c>
      <c r="BV348" s="11">
        <v>156610.0</v>
      </c>
      <c r="BW348" s="11">
        <v>1090000.0</v>
      </c>
      <c r="BX348" s="11">
        <v>1240000.0</v>
      </c>
      <c r="BY348" s="11">
        <v>1310000.0</v>
      </c>
      <c r="BZ348" s="11">
        <v>815640.0</v>
      </c>
      <c r="CA348" s="11">
        <v>680800.0</v>
      </c>
      <c r="CB348" s="11">
        <v>323430.0</v>
      </c>
      <c r="CC348" s="11">
        <v>311790.0</v>
      </c>
      <c r="CD348" s="11">
        <v>278850.0</v>
      </c>
      <c r="CE348" s="11">
        <v>127440.0</v>
      </c>
      <c r="CF348" s="11">
        <v>102450.0</v>
      </c>
      <c r="CG348" s="11">
        <v>427100.0</v>
      </c>
      <c r="CH348" s="11">
        <v>442940.0</v>
      </c>
      <c r="CI348" s="11">
        <v>417690.0</v>
      </c>
      <c r="CJ348" s="11">
        <v>101460.0</v>
      </c>
      <c r="CK348" s="11">
        <v>101820.0</v>
      </c>
      <c r="CL348" s="11">
        <v>2080000.0</v>
      </c>
      <c r="CM348" s="11">
        <v>2260000.0</v>
      </c>
      <c r="CN348" s="11">
        <v>2340000.0</v>
      </c>
      <c r="CO348" s="11">
        <v>1160000.0</v>
      </c>
      <c r="CP348" s="11">
        <v>968950.0</v>
      </c>
      <c r="CQ348" s="11">
        <v>51530.0</v>
      </c>
      <c r="CR348" s="11">
        <v>70290.0</v>
      </c>
      <c r="CS348" s="11">
        <v>75860.0</v>
      </c>
      <c r="CT348" s="11">
        <v>45180.0</v>
      </c>
      <c r="CU348" s="11">
        <v>33380.0</v>
      </c>
      <c r="CV348" s="11">
        <v>240310.0</v>
      </c>
      <c r="CW348" s="11">
        <v>10000.0</v>
      </c>
      <c r="CX348" s="12"/>
      <c r="CY348" s="11">
        <v>5080.0</v>
      </c>
      <c r="CZ348" s="11">
        <v>20000.0</v>
      </c>
      <c r="DA348" s="12"/>
      <c r="DB348" s="11">
        <v>240310.0</v>
      </c>
      <c r="DC348" s="11">
        <v>372840.0</v>
      </c>
      <c r="DD348" s="11">
        <v>419150.0</v>
      </c>
      <c r="DE348" s="11">
        <v>201490.0</v>
      </c>
      <c r="DF348" s="11">
        <v>798430.0</v>
      </c>
      <c r="DG348" s="11">
        <v>945510.0</v>
      </c>
      <c r="DH348" s="11">
        <v>1170000.0</v>
      </c>
      <c r="DI348" s="11">
        <v>250320.0</v>
      </c>
      <c r="DJ348" s="11">
        <v>172530.0</v>
      </c>
      <c r="DK348" s="11">
        <v>15440.0</v>
      </c>
      <c r="DL348" s="11">
        <v>12690.0</v>
      </c>
      <c r="DM348" s="11">
        <v>12920.0</v>
      </c>
      <c r="DN348" s="12"/>
      <c r="DO348" s="12"/>
      <c r="DP348" s="11">
        <v>392240.0</v>
      </c>
      <c r="DQ348" s="11">
        <v>420710.0</v>
      </c>
      <c r="DR348" s="11">
        <v>589000.0</v>
      </c>
      <c r="DS348" s="12"/>
      <c r="DT348" s="12"/>
      <c r="DU348" s="13"/>
      <c r="DV348" s="12"/>
      <c r="DW348" s="12"/>
      <c r="DX348" s="13"/>
      <c r="DY348" s="13"/>
      <c r="DZ348" s="11">
        <v>1280000.0</v>
      </c>
      <c r="EA348" s="11">
        <v>1310000.0</v>
      </c>
      <c r="EB348" s="11">
        <v>1160000.0</v>
      </c>
      <c r="EC348" s="11">
        <v>910830.0</v>
      </c>
      <c r="ED348" s="11">
        <v>796420.0</v>
      </c>
      <c r="EE348" s="14">
        <v>0.016</v>
      </c>
      <c r="EF348" s="14">
        <v>0.137</v>
      </c>
      <c r="EG348" s="14">
        <v>1.476</v>
      </c>
      <c r="EH348" s="14">
        <v>0.423</v>
      </c>
    </row>
    <row r="349">
      <c r="A349" s="9">
        <f t="shared" si="2"/>
        <v>347</v>
      </c>
      <c r="B349" s="10" t="s">
        <v>483</v>
      </c>
      <c r="C349" s="15">
        <v>670090.0</v>
      </c>
      <c r="D349" s="15">
        <v>552380.0</v>
      </c>
      <c r="E349" s="15">
        <v>583330.0</v>
      </c>
      <c r="F349" s="15">
        <v>451770.0</v>
      </c>
      <c r="G349" s="15">
        <v>352700.0</v>
      </c>
      <c r="H349" s="15">
        <v>282080.0</v>
      </c>
      <c r="I349" s="15">
        <v>269650.0</v>
      </c>
      <c r="J349" s="15">
        <v>193370.0</v>
      </c>
      <c r="K349" s="15">
        <v>161160.0</v>
      </c>
      <c r="L349" s="15">
        <v>139200.0</v>
      </c>
      <c r="M349" s="15">
        <v>94830.0</v>
      </c>
      <c r="N349" s="15">
        <v>89040.0</v>
      </c>
      <c r="O349" s="15">
        <v>229080.0</v>
      </c>
      <c r="P349" s="15">
        <v>142730.0</v>
      </c>
      <c r="Q349" s="15">
        <v>99650.0</v>
      </c>
      <c r="R349" s="15">
        <v>88560.0</v>
      </c>
      <c r="S349" s="15">
        <v>84680.0</v>
      </c>
      <c r="T349" s="15">
        <v>86150.0</v>
      </c>
      <c r="U349" s="15">
        <v>56430.0</v>
      </c>
      <c r="V349" s="15">
        <v>40740.0</v>
      </c>
      <c r="W349" s="15">
        <v>34840.0</v>
      </c>
      <c r="X349" s="15">
        <v>33110.0</v>
      </c>
      <c r="Y349" s="15">
        <v>-52330.0</v>
      </c>
      <c r="Z349" s="15">
        <v>-29780.0</v>
      </c>
      <c r="AA349" s="15">
        <v>-1820.0</v>
      </c>
      <c r="AB349" s="15">
        <v>3070.0</v>
      </c>
      <c r="AC349" s="15">
        <v>3360.0</v>
      </c>
      <c r="AD349" s="15">
        <v>-72080.0</v>
      </c>
      <c r="AE349" s="15">
        <v>-31910.0</v>
      </c>
      <c r="AF349" s="15">
        <v>35370.0</v>
      </c>
      <c r="AG349" s="15">
        <v>6010.0</v>
      </c>
      <c r="AH349" s="15">
        <v>8000.0</v>
      </c>
      <c r="AI349" s="15">
        <v>23160.0</v>
      </c>
      <c r="AJ349" s="15">
        <v>44480.0</v>
      </c>
      <c r="AK349" s="15">
        <v>48740.0</v>
      </c>
      <c r="AL349" s="15">
        <v>16680.0</v>
      </c>
      <c r="AM349" s="15">
        <v>15630.0</v>
      </c>
      <c r="AN349" s="15">
        <v>-69000.0</v>
      </c>
      <c r="AO349" s="15">
        <v>-32300.0</v>
      </c>
      <c r="AP349" s="15">
        <v>33120.0</v>
      </c>
      <c r="AQ349" s="15">
        <v>3260.0</v>
      </c>
      <c r="AR349" s="15">
        <v>5790.0</v>
      </c>
      <c r="AS349" s="15">
        <v>23350.0</v>
      </c>
      <c r="AT349" s="15">
        <v>34440.0</v>
      </c>
      <c r="AU349" s="15">
        <v>39750.0</v>
      </c>
      <c r="AV349" s="15">
        <v>24550.0</v>
      </c>
      <c r="AW349" s="15">
        <v>21480.0</v>
      </c>
      <c r="AX349" s="15">
        <v>-18000.0</v>
      </c>
      <c r="AY349" s="15">
        <v>-4970.0</v>
      </c>
      <c r="AZ349" s="15">
        <v>-6090.0</v>
      </c>
      <c r="BA349" s="15">
        <v>-3450.0</v>
      </c>
      <c r="BB349" s="15">
        <v>-6590.0</v>
      </c>
      <c r="BC349" s="15">
        <v>-9830.0</v>
      </c>
      <c r="BD349" s="15">
        <v>-6950.0</v>
      </c>
      <c r="BE349" s="15">
        <v>-6580.0</v>
      </c>
      <c r="BF349" s="15">
        <v>-6350.0</v>
      </c>
      <c r="BG349" s="15">
        <v>-6220.0</v>
      </c>
      <c r="BH349" s="15">
        <v>156100.0</v>
      </c>
      <c r="BI349" s="15">
        <v>165020.0</v>
      </c>
      <c r="BJ349" s="15">
        <v>155620.0</v>
      </c>
      <c r="BK349" s="15">
        <v>128040.0</v>
      </c>
      <c r="BL349" s="15">
        <v>117020.0</v>
      </c>
      <c r="BM349" s="15">
        <v>127920.0</v>
      </c>
      <c r="BN349" s="15">
        <v>149280.0</v>
      </c>
      <c r="BO349" s="15">
        <v>71130.0</v>
      </c>
      <c r="BP349" s="15">
        <v>63020.0</v>
      </c>
      <c r="BQ349" s="15">
        <v>59830.0</v>
      </c>
      <c r="BR349" s="15">
        <v>130710.0</v>
      </c>
      <c r="BS349" s="15">
        <v>139310.0</v>
      </c>
      <c r="BT349" s="15">
        <v>62090.0</v>
      </c>
      <c r="BU349" s="15">
        <v>45500.0</v>
      </c>
      <c r="BV349" s="15">
        <v>51350.0</v>
      </c>
      <c r="BW349" s="15">
        <v>439700.0</v>
      </c>
      <c r="BX349" s="15">
        <v>485240.0</v>
      </c>
      <c r="BY349" s="15">
        <v>297440.0</v>
      </c>
      <c r="BZ349" s="15">
        <v>245150.0</v>
      </c>
      <c r="CA349" s="15">
        <v>234460.0</v>
      </c>
      <c r="CB349" s="15">
        <v>104180.0</v>
      </c>
      <c r="CC349" s="15">
        <v>74330.0</v>
      </c>
      <c r="CD349" s="15">
        <v>34170.0</v>
      </c>
      <c r="CE349" s="15">
        <v>18230.0</v>
      </c>
      <c r="CF349" s="15">
        <v>19000.0</v>
      </c>
      <c r="CG349" s="15">
        <v>238670.0</v>
      </c>
      <c r="CH349" s="15">
        <v>242130.0</v>
      </c>
      <c r="CI349" s="15">
        <v>65610.0</v>
      </c>
      <c r="CJ349" s="15">
        <v>58850.0</v>
      </c>
      <c r="CK349" s="15">
        <v>60260.0</v>
      </c>
      <c r="CL349" s="15">
        <v>1080000.0</v>
      </c>
      <c r="CM349" s="15">
        <v>1130000.0</v>
      </c>
      <c r="CN349" s="15">
        <v>420460.0</v>
      </c>
      <c r="CO349" s="15">
        <v>345510.0</v>
      </c>
      <c r="CP349" s="15">
        <v>345350.0</v>
      </c>
      <c r="CQ349" s="15">
        <v>48700.0</v>
      </c>
      <c r="CR349" s="15">
        <v>48120.0</v>
      </c>
      <c r="CS349" s="15">
        <v>37560.0</v>
      </c>
      <c r="CT349" s="15">
        <v>31440.0</v>
      </c>
      <c r="CU349" s="15">
        <v>27290.0</v>
      </c>
      <c r="CV349" s="15">
        <v>148890.0</v>
      </c>
      <c r="CW349" s="15">
        <v>8650.0</v>
      </c>
      <c r="CX349" s="15">
        <v>3120.0</v>
      </c>
      <c r="CY349" s="15">
        <v>3110.0</v>
      </c>
      <c r="CZ349" s="16">
        <v>0.0</v>
      </c>
      <c r="DA349" s="15">
        <v>0.0</v>
      </c>
      <c r="DB349" s="15">
        <v>148890.0</v>
      </c>
      <c r="DC349" s="15">
        <v>160590.0</v>
      </c>
      <c r="DD349" s="15">
        <v>85270.0</v>
      </c>
      <c r="DE349" s="15">
        <v>68690.0</v>
      </c>
      <c r="DF349" s="15">
        <v>594640.0</v>
      </c>
      <c r="DG349" s="15">
        <v>588060.0</v>
      </c>
      <c r="DH349" s="15">
        <v>131370.0</v>
      </c>
      <c r="DI349" s="15">
        <v>110040.0</v>
      </c>
      <c r="DJ349" s="15">
        <v>107210.0</v>
      </c>
      <c r="DK349" s="15">
        <v>0.0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375400.0</v>
      </c>
      <c r="DQ349" s="15">
        <v>346040.0</v>
      </c>
      <c r="DR349" s="15">
        <v>4580.0</v>
      </c>
      <c r="DS349" s="15">
        <v>0.0</v>
      </c>
      <c r="DT349" s="15">
        <v>0.0</v>
      </c>
      <c r="DU349" s="16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483070.0</v>
      </c>
      <c r="EA349" s="15">
        <v>546240.0</v>
      </c>
      <c r="EB349" s="15">
        <v>289090.0</v>
      </c>
      <c r="EC349" s="15">
        <v>235470.0</v>
      </c>
      <c r="ED349" s="15">
        <v>238140.0</v>
      </c>
      <c r="EE349" s="17">
        <v>0.049</v>
      </c>
      <c r="EF349" s="17">
        <v>0.199</v>
      </c>
      <c r="EG349" s="17">
        <v>1.0</v>
      </c>
      <c r="EH349" s="17">
        <v>0.222</v>
      </c>
    </row>
    <row r="350">
      <c r="A350" s="9">
        <f t="shared" si="2"/>
        <v>348</v>
      </c>
      <c r="B350" s="10" t="s">
        <v>484</v>
      </c>
      <c r="C350" s="15"/>
      <c r="D350" s="15"/>
      <c r="E350" s="15">
        <v>4830000.0</v>
      </c>
      <c r="F350" s="15">
        <v>4630000.0</v>
      </c>
      <c r="G350" s="15">
        <v>4290000.0</v>
      </c>
      <c r="H350" s="15">
        <v>3160000.0</v>
      </c>
      <c r="I350" s="15">
        <v>2310000.0</v>
      </c>
      <c r="J350" s="15">
        <v>1660000.0</v>
      </c>
      <c r="K350" s="15">
        <v>1570000.0</v>
      </c>
      <c r="L350" s="15">
        <v>1500000.0</v>
      </c>
      <c r="M350" s="15">
        <v>1210000.0</v>
      </c>
      <c r="N350" s="15">
        <v>903390.0</v>
      </c>
      <c r="O350" s="15">
        <v>1490000.0</v>
      </c>
      <c r="P350" s="15">
        <v>1490000.0</v>
      </c>
      <c r="Q350" s="15">
        <v>1400000.0</v>
      </c>
      <c r="R350" s="15">
        <v>1080000.0</v>
      </c>
      <c r="S350" s="15">
        <v>796000.0</v>
      </c>
      <c r="T350" s="15"/>
      <c r="U350" s="15"/>
      <c r="V350" s="15"/>
      <c r="W350" s="15"/>
      <c r="X350" s="15"/>
      <c r="Y350" s="15">
        <v>87970.0</v>
      </c>
      <c r="Z350" s="15">
        <v>29150.0</v>
      </c>
      <c r="AA350" s="15">
        <v>-6900.0</v>
      </c>
      <c r="AB350" s="15">
        <v>129780.0</v>
      </c>
      <c r="AC350" s="15">
        <v>-12820.0</v>
      </c>
      <c r="AD350" s="15">
        <v>34230.0</v>
      </c>
      <c r="AE350" s="15">
        <v>-13290.0</v>
      </c>
      <c r="AF350" s="15">
        <v>63010.0</v>
      </c>
      <c r="AG350" s="15">
        <v>92710.0</v>
      </c>
      <c r="AH350" s="15">
        <v>99120.0</v>
      </c>
      <c r="AI350" s="15">
        <v>350530.0</v>
      </c>
      <c r="AJ350" s="15">
        <v>259900.0</v>
      </c>
      <c r="AK350" s="15">
        <v>274020.0</v>
      </c>
      <c r="AL350" s="15">
        <v>245870.0</v>
      </c>
      <c r="AM350" s="15">
        <v>188290.0</v>
      </c>
      <c r="AN350" s="15">
        <v>11380.0</v>
      </c>
      <c r="AO350" s="15">
        <v>-19930.0</v>
      </c>
      <c r="AP350" s="15">
        <v>96540.0</v>
      </c>
      <c r="AQ350" s="15">
        <v>50150.0</v>
      </c>
      <c r="AR350" s="15">
        <v>59000.0</v>
      </c>
      <c r="AS350" s="15">
        <v>290370.0</v>
      </c>
      <c r="AT350" s="15">
        <v>168880.0</v>
      </c>
      <c r="AU350" s="15">
        <v>307820.0</v>
      </c>
      <c r="AV350" s="15">
        <v>162000.0</v>
      </c>
      <c r="AW350" s="15">
        <v>108290.0</v>
      </c>
      <c r="AX350" s="15">
        <v>-176030.0</v>
      </c>
      <c r="AY350" s="15">
        <v>-138240.0</v>
      </c>
      <c r="AZ350" s="15">
        <v>-176600.0</v>
      </c>
      <c r="BA350" s="15">
        <v>-172590.0</v>
      </c>
      <c r="BB350" s="15">
        <v>-163890.0</v>
      </c>
      <c r="BC350" s="15">
        <v>-9370.0</v>
      </c>
      <c r="BD350" s="15">
        <v>-9350.0</v>
      </c>
      <c r="BE350" s="15">
        <v>-9330.0</v>
      </c>
      <c r="BF350" s="15">
        <v>-9310.0</v>
      </c>
      <c r="BG350" s="15">
        <v>-9290.0</v>
      </c>
      <c r="BH350" s="15">
        <v>9610.0</v>
      </c>
      <c r="BI350" s="15">
        <v>13550.0</v>
      </c>
      <c r="BJ350" s="15">
        <v>21320.0</v>
      </c>
      <c r="BK350" s="15">
        <v>21850.0</v>
      </c>
      <c r="BL350" s="15">
        <v>55500.0</v>
      </c>
      <c r="BM350" s="15">
        <v>529630.0</v>
      </c>
      <c r="BN350" s="15">
        <v>509790.0</v>
      </c>
      <c r="BO350" s="15">
        <v>529300.0</v>
      </c>
      <c r="BP350" s="15">
        <v>364570.0</v>
      </c>
      <c r="BQ350" s="15">
        <v>236620.0</v>
      </c>
      <c r="BR350" s="15">
        <v>225930.0</v>
      </c>
      <c r="BS350" s="15">
        <v>210030.0</v>
      </c>
      <c r="BT350" s="15">
        <v>183620.0</v>
      </c>
      <c r="BU350" s="15">
        <v>143550.0</v>
      </c>
      <c r="BV350" s="15">
        <v>89460.0</v>
      </c>
      <c r="BW350" s="15">
        <v>830280.0</v>
      </c>
      <c r="BX350" s="15">
        <v>797420.0</v>
      </c>
      <c r="BY350" s="15">
        <v>794540.0</v>
      </c>
      <c r="BZ350" s="15">
        <v>593810.0</v>
      </c>
      <c r="CA350" s="15">
        <v>434920.0</v>
      </c>
      <c r="CB350" s="15">
        <v>1130000.0</v>
      </c>
      <c r="CC350" s="15">
        <v>1010000.0</v>
      </c>
      <c r="CD350" s="15">
        <v>1060000.0</v>
      </c>
      <c r="CE350" s="15">
        <v>846540.0</v>
      </c>
      <c r="CF350" s="15">
        <v>565970.0</v>
      </c>
      <c r="CG350" s="15">
        <v>165900.0</v>
      </c>
      <c r="CH350" s="15">
        <v>165900.0</v>
      </c>
      <c r="CI350" s="15">
        <v>169320.0</v>
      </c>
      <c r="CJ350" s="15">
        <v>144590.0</v>
      </c>
      <c r="CK350" s="15">
        <v>117950.0</v>
      </c>
      <c r="CL350" s="15">
        <v>3370000.0</v>
      </c>
      <c r="CM350" s="15">
        <v>3210000.0</v>
      </c>
      <c r="CN350" s="15">
        <v>3270000.0</v>
      </c>
      <c r="CO350" s="15">
        <v>2680000.0</v>
      </c>
      <c r="CP350" s="15">
        <v>2030000.0</v>
      </c>
      <c r="CQ350" s="15">
        <v>316370.0</v>
      </c>
      <c r="CR350" s="15">
        <v>264470.0</v>
      </c>
      <c r="CS350" s="15">
        <v>368090.0</v>
      </c>
      <c r="CT350" s="15">
        <v>251980.0</v>
      </c>
      <c r="CU350" s="15">
        <v>162000.0</v>
      </c>
      <c r="CV350" s="15">
        <v>622200.0</v>
      </c>
      <c r="CW350" s="15">
        <v>15020.0</v>
      </c>
      <c r="CX350" s="15"/>
      <c r="CY350" s="15"/>
      <c r="CZ350" s="15"/>
      <c r="DA350" s="12"/>
      <c r="DB350" s="15">
        <v>622200.0</v>
      </c>
      <c r="DC350" s="15">
        <v>601740.0</v>
      </c>
      <c r="DD350" s="15">
        <v>639450.0</v>
      </c>
      <c r="DE350" s="15">
        <v>457910.0</v>
      </c>
      <c r="DF350" s="15">
        <v>2920000.0</v>
      </c>
      <c r="DG350" s="15">
        <v>2760000.0</v>
      </c>
      <c r="DH350" s="15">
        <v>2810000.0</v>
      </c>
      <c r="DI350" s="15">
        <v>2320000.0</v>
      </c>
      <c r="DJ350" s="15">
        <v>1700000.0</v>
      </c>
      <c r="DK350" s="15">
        <v>41900.0</v>
      </c>
      <c r="DL350" s="15"/>
      <c r="DM350" s="12"/>
      <c r="DN350" s="15">
        <v>21600.0</v>
      </c>
      <c r="DO350" s="15"/>
      <c r="DP350" s="15">
        <v>1150000.0</v>
      </c>
      <c r="DQ350" s="15">
        <v>1130000.0</v>
      </c>
      <c r="DR350" s="15">
        <v>1120000.0</v>
      </c>
      <c r="DS350" s="15">
        <v>948450.0</v>
      </c>
      <c r="DT350" s="15">
        <v>668350.0</v>
      </c>
      <c r="DU350" s="13"/>
      <c r="DV350" s="12"/>
      <c r="DW350" s="12"/>
      <c r="DX350" s="13"/>
      <c r="DY350" s="15"/>
      <c r="DZ350" s="15">
        <v>346950.0</v>
      </c>
      <c r="EA350" s="15">
        <v>358190.0</v>
      </c>
      <c r="EB350" s="15">
        <v>366700.0</v>
      </c>
      <c r="EC350" s="15">
        <v>277130.0</v>
      </c>
      <c r="ED350" s="15">
        <v>243060.0</v>
      </c>
      <c r="EE350" s="17"/>
      <c r="EF350" s="17"/>
      <c r="EG350" s="17">
        <v>2.31</v>
      </c>
      <c r="EH350" s="17">
        <v>1.027</v>
      </c>
    </row>
    <row r="351">
      <c r="A351" s="9">
        <f t="shared" si="2"/>
        <v>349</v>
      </c>
      <c r="B351" s="22" t="s">
        <v>485</v>
      </c>
      <c r="C351" s="11">
        <v>344150.0</v>
      </c>
      <c r="D351" s="11">
        <v>310250.0</v>
      </c>
      <c r="E351" s="11">
        <v>296700.0</v>
      </c>
      <c r="F351" s="11">
        <v>280410.0</v>
      </c>
      <c r="G351" s="11">
        <v>28480.0</v>
      </c>
      <c r="H351" s="11">
        <v>1710.0</v>
      </c>
      <c r="I351" s="12"/>
      <c r="J351" s="11">
        <v>103040.0</v>
      </c>
      <c r="K351" s="11">
        <v>114740.0</v>
      </c>
      <c r="L351" s="11">
        <v>25880.0</v>
      </c>
      <c r="M351" s="11">
        <v>843.0</v>
      </c>
      <c r="N351" s="11">
        <v>-171.0</v>
      </c>
      <c r="O351" s="11">
        <v>126790.0</v>
      </c>
      <c r="P351" s="11">
        <v>135420.0</v>
      </c>
      <c r="Q351" s="11">
        <v>99480.0</v>
      </c>
      <c r="R351" s="11">
        <v>94930.0</v>
      </c>
      <c r="S351" s="11">
        <v>26740.0</v>
      </c>
      <c r="T351" s="11">
        <v>10340.0</v>
      </c>
      <c r="U351" s="11">
        <v>8660.0</v>
      </c>
      <c r="V351" s="11">
        <v>8570.0</v>
      </c>
      <c r="W351" s="11">
        <v>14950.0</v>
      </c>
      <c r="X351" s="11">
        <v>7980.0</v>
      </c>
      <c r="Y351" s="12"/>
      <c r="Z351" s="12"/>
      <c r="AA351" s="11">
        <v>-75450.0</v>
      </c>
      <c r="AB351" s="12"/>
      <c r="AC351" s="11">
        <v>-26820.0</v>
      </c>
      <c r="AD351" s="11">
        <v>-22720.0</v>
      </c>
      <c r="AE351" s="11">
        <v>-39130.0</v>
      </c>
      <c r="AF351" s="11">
        <v>-74870.0</v>
      </c>
      <c r="AG351" s="11">
        <v>-94180.0</v>
      </c>
      <c r="AH351" s="11">
        <v>-27260.0</v>
      </c>
      <c r="AI351" s="11">
        <v>-7950.0</v>
      </c>
      <c r="AJ351" s="11">
        <v>90220.0</v>
      </c>
      <c r="AK351" s="11">
        <v>-73010.0</v>
      </c>
      <c r="AL351" s="11">
        <v>-93430.0</v>
      </c>
      <c r="AM351" s="11">
        <v>-26740.0</v>
      </c>
      <c r="AN351" s="11">
        <v>-22720.0</v>
      </c>
      <c r="AO351" s="11">
        <v>-39130.0</v>
      </c>
      <c r="AP351" s="11">
        <v>-74870.0</v>
      </c>
      <c r="AQ351" s="11">
        <v>-94180.0</v>
      </c>
      <c r="AR351" s="11">
        <v>-27260.0</v>
      </c>
      <c r="AS351" s="11">
        <v>27780.0</v>
      </c>
      <c r="AT351" s="11">
        <v>169390.0</v>
      </c>
      <c r="AU351" s="11">
        <v>-67020.0</v>
      </c>
      <c r="AV351" s="11">
        <v>-75050.0</v>
      </c>
      <c r="AW351" s="11">
        <v>-21570.0</v>
      </c>
      <c r="AX351" s="11">
        <v>-6440.0</v>
      </c>
      <c r="AY351" s="11">
        <v>-24350.0</v>
      </c>
      <c r="AZ351" s="11">
        <v>-990.0</v>
      </c>
      <c r="BA351" s="11">
        <v>-2980.0</v>
      </c>
      <c r="BB351" s="11">
        <v>-362.0</v>
      </c>
      <c r="BC351" s="12"/>
      <c r="BD351" s="12"/>
      <c r="BE351" s="12"/>
      <c r="BF351" s="12"/>
      <c r="BG351" s="12"/>
      <c r="BH351" s="11">
        <v>170020.0</v>
      </c>
      <c r="BI351" s="11">
        <v>146630.0</v>
      </c>
      <c r="BJ351" s="11">
        <v>118700.0</v>
      </c>
      <c r="BK351" s="11">
        <v>153230.0</v>
      </c>
      <c r="BL351" s="11">
        <v>95700.0</v>
      </c>
      <c r="BM351" s="11">
        <v>72950.0</v>
      </c>
      <c r="BN351" s="11">
        <v>77950.0</v>
      </c>
      <c r="BO351" s="11">
        <v>9970.0</v>
      </c>
      <c r="BP351" s="11">
        <v>2130.0</v>
      </c>
      <c r="BQ351" s="12"/>
      <c r="BR351" s="11">
        <v>9640.0</v>
      </c>
      <c r="BS351" s="11">
        <v>7820.0</v>
      </c>
      <c r="BT351" s="11">
        <v>1810.0</v>
      </c>
      <c r="BU351" s="11">
        <v>1320.0</v>
      </c>
      <c r="BV351" s="12"/>
      <c r="BW351" s="11">
        <v>255720.0</v>
      </c>
      <c r="BX351" s="11">
        <v>237510.0</v>
      </c>
      <c r="BY351" s="11">
        <v>133480.0</v>
      </c>
      <c r="BZ351" s="11">
        <v>158580.0</v>
      </c>
      <c r="CA351" s="11">
        <v>96530.0</v>
      </c>
      <c r="CB351" s="11">
        <v>20900.0</v>
      </c>
      <c r="CC351" s="11">
        <v>9270.0</v>
      </c>
      <c r="CD351" s="11">
        <v>1830.0</v>
      </c>
      <c r="CE351" s="11">
        <v>1040.0</v>
      </c>
      <c r="CF351" s="11">
        <v>738.0</v>
      </c>
      <c r="CG351" s="12"/>
      <c r="CH351" s="12"/>
      <c r="CI351" s="12"/>
      <c r="CJ351" s="12"/>
      <c r="CK351" s="12"/>
      <c r="CL351" s="11">
        <v>306300.0</v>
      </c>
      <c r="CM351" s="11">
        <v>291250.0</v>
      </c>
      <c r="CN351" s="11">
        <v>135570.0</v>
      </c>
      <c r="CO351" s="11">
        <v>162020.0</v>
      </c>
      <c r="CP351" s="11">
        <v>97720.0</v>
      </c>
      <c r="CQ351" s="11">
        <v>6250.0</v>
      </c>
      <c r="CR351" s="11">
        <v>12150.0</v>
      </c>
      <c r="CS351" s="11">
        <v>5680.0</v>
      </c>
      <c r="CT351" s="11">
        <v>9110.0</v>
      </c>
      <c r="CU351" s="12"/>
      <c r="CV351" s="11">
        <v>201770.0</v>
      </c>
      <c r="CW351" s="11">
        <v>656.0</v>
      </c>
      <c r="CX351" s="12"/>
      <c r="CY351" s="12"/>
      <c r="CZ351" s="12"/>
      <c r="DA351" s="12"/>
      <c r="DB351" s="11">
        <v>201770.0</v>
      </c>
      <c r="DC351" s="11">
        <v>189130.0</v>
      </c>
      <c r="DD351" s="11">
        <v>31490.0</v>
      </c>
      <c r="DE351" s="11">
        <v>25600.0</v>
      </c>
      <c r="DF351" s="11">
        <v>218870.0</v>
      </c>
      <c r="DG351" s="11">
        <v>199660.0</v>
      </c>
      <c r="DH351" s="11">
        <v>31490.0</v>
      </c>
      <c r="DI351" s="11">
        <v>27110.0</v>
      </c>
      <c r="DJ351" s="11">
        <v>12650.0</v>
      </c>
      <c r="DK351" s="12"/>
      <c r="DL351" s="12"/>
      <c r="DM351" s="11">
        <v>97.0</v>
      </c>
      <c r="DN351" s="24">
        <v>97.0</v>
      </c>
      <c r="DO351" s="11">
        <v>97.0</v>
      </c>
      <c r="DP351" s="11">
        <v>17110.0</v>
      </c>
      <c r="DQ351" s="11">
        <v>9860.0</v>
      </c>
      <c r="DR351" s="12"/>
      <c r="DS351" s="11">
        <v>1480.0</v>
      </c>
      <c r="DT351" s="11">
        <v>4150.0</v>
      </c>
      <c r="DU351" s="13"/>
      <c r="DV351" s="12"/>
      <c r="DW351" s="12"/>
      <c r="DX351" s="13"/>
      <c r="DY351" s="13"/>
      <c r="DZ351" s="11">
        <v>87430.0</v>
      </c>
      <c r="EA351" s="11">
        <v>91590.0</v>
      </c>
      <c r="EB351" s="11">
        <v>104080.0</v>
      </c>
      <c r="EC351" s="11">
        <v>134910.0</v>
      </c>
      <c r="ED351" s="11">
        <v>85070.0</v>
      </c>
      <c r="EE351" s="14">
        <v>0.026</v>
      </c>
      <c r="EF351" s="14">
        <v>0.172</v>
      </c>
      <c r="EG351" s="14">
        <v>0.15</v>
      </c>
      <c r="EH351" s="14">
        <v>-0.181</v>
      </c>
    </row>
    <row r="352">
      <c r="A352" s="9">
        <f t="shared" si="2"/>
        <v>350</v>
      </c>
      <c r="B352" s="10" t="s">
        <v>486</v>
      </c>
      <c r="C352" s="11">
        <v>2970000.0</v>
      </c>
      <c r="D352" s="11">
        <v>2540000.0</v>
      </c>
      <c r="E352" s="11">
        <v>3040000.0</v>
      </c>
      <c r="F352" s="11">
        <v>2800000.0</v>
      </c>
      <c r="G352" s="11">
        <v>2470000.0</v>
      </c>
      <c r="H352" s="11">
        <v>2380000.0</v>
      </c>
      <c r="I352" s="11">
        <v>2330000.0</v>
      </c>
      <c r="J352" s="11">
        <v>1440000.0</v>
      </c>
      <c r="K352" s="11">
        <v>1330000.0</v>
      </c>
      <c r="L352" s="11">
        <v>1100000.0</v>
      </c>
      <c r="M352" s="11">
        <v>939840.0</v>
      </c>
      <c r="N352" s="11">
        <v>892470.0</v>
      </c>
      <c r="O352" s="11">
        <v>1080000.0</v>
      </c>
      <c r="P352" s="11">
        <v>991580.0</v>
      </c>
      <c r="Q352" s="11">
        <v>850390.0</v>
      </c>
      <c r="R352" s="11">
        <v>686070.0</v>
      </c>
      <c r="S352" s="11">
        <v>657800.0</v>
      </c>
      <c r="T352" s="11"/>
      <c r="U352" s="11"/>
      <c r="V352" s="11"/>
      <c r="W352" s="11"/>
      <c r="X352" s="11"/>
      <c r="Y352" s="11">
        <v>370000.0</v>
      </c>
      <c r="Z352" s="11">
        <v>346070.0</v>
      </c>
      <c r="AA352" s="11">
        <v>243790.0</v>
      </c>
      <c r="AB352" s="11">
        <v>249640.0</v>
      </c>
      <c r="AC352" s="11">
        <v>228540.0</v>
      </c>
      <c r="AD352" s="11">
        <v>405430.0</v>
      </c>
      <c r="AE352" s="11">
        <v>360720.0</v>
      </c>
      <c r="AF352" s="11">
        <v>266730.0</v>
      </c>
      <c r="AG352" s="11">
        <v>256900.0</v>
      </c>
      <c r="AH352" s="11">
        <v>247320.0</v>
      </c>
      <c r="AI352" s="11">
        <v>488980.0</v>
      </c>
      <c r="AJ352" s="11">
        <v>396010.0</v>
      </c>
      <c r="AK352" s="11">
        <v>306230.0</v>
      </c>
      <c r="AL352" s="11">
        <v>424480.0</v>
      </c>
      <c r="AM352" s="11">
        <v>401130.0</v>
      </c>
      <c r="AN352" s="11">
        <v>330490.0</v>
      </c>
      <c r="AO352" s="11">
        <v>268260.0</v>
      </c>
      <c r="AP352" s="11">
        <v>105120.0</v>
      </c>
      <c r="AQ352" s="11">
        <v>191900.0</v>
      </c>
      <c r="AR352" s="11">
        <v>174340.0</v>
      </c>
      <c r="AS352" s="11">
        <v>285450.0</v>
      </c>
      <c r="AT352" s="11">
        <v>289570.0</v>
      </c>
      <c r="AU352" s="11">
        <v>341130.0</v>
      </c>
      <c r="AV352" s="11">
        <v>275170.0</v>
      </c>
      <c r="AW352" s="11">
        <v>95110.0</v>
      </c>
      <c r="AX352" s="11">
        <v>-123520.0</v>
      </c>
      <c r="AY352" s="11">
        <v>-65620.0</v>
      </c>
      <c r="AZ352" s="11">
        <v>-53350.0</v>
      </c>
      <c r="BA352" s="11">
        <v>-49990.0</v>
      </c>
      <c r="BB352" s="11">
        <v>-69920.0</v>
      </c>
      <c r="BC352" s="11">
        <v>-65130.0</v>
      </c>
      <c r="BD352" s="11">
        <v>-62660.0</v>
      </c>
      <c r="BE352" s="11">
        <v>-50910.0</v>
      </c>
      <c r="BF352" s="11">
        <v>-48120.0</v>
      </c>
      <c r="BG352" s="11">
        <v>-43550.0</v>
      </c>
      <c r="BH352" s="11">
        <v>687680.0</v>
      </c>
      <c r="BI352" s="11">
        <v>714600.0</v>
      </c>
      <c r="BJ352" s="11">
        <v>768150.0</v>
      </c>
      <c r="BK352" s="11">
        <v>551860.0</v>
      </c>
      <c r="BL352" s="11">
        <v>370400.0</v>
      </c>
      <c r="BM352" s="11">
        <v>488230.0</v>
      </c>
      <c r="BN352" s="11">
        <v>449380.0</v>
      </c>
      <c r="BO352" s="11">
        <v>364860.0</v>
      </c>
      <c r="BP352" s="11">
        <v>333680.0</v>
      </c>
      <c r="BQ352" s="11">
        <v>371950.0</v>
      </c>
      <c r="BR352" s="11">
        <v>605970.0</v>
      </c>
      <c r="BS352" s="11">
        <v>521830.0</v>
      </c>
      <c r="BT352" s="11">
        <v>457930.0</v>
      </c>
      <c r="BU352" s="11">
        <v>488000.0</v>
      </c>
      <c r="BV352" s="11">
        <v>473640.0</v>
      </c>
      <c r="BW352" s="11">
        <v>1880000.0</v>
      </c>
      <c r="BX352" s="11">
        <v>1770000.0</v>
      </c>
      <c r="BY352" s="11">
        <v>1650000.0</v>
      </c>
      <c r="BZ352" s="11">
        <v>1410000.0</v>
      </c>
      <c r="CA352" s="11">
        <v>1250000.0</v>
      </c>
      <c r="CB352" s="11">
        <v>741150.0</v>
      </c>
      <c r="CC352" s="11">
        <v>291600.0</v>
      </c>
      <c r="CD352" s="11">
        <v>281390.0</v>
      </c>
      <c r="CE352" s="11">
        <v>279650.0</v>
      </c>
      <c r="CF352" s="11">
        <v>291690.0</v>
      </c>
      <c r="CG352" s="11">
        <v>68590.0</v>
      </c>
      <c r="CH352" s="11">
        <v>68590.0</v>
      </c>
      <c r="CI352" s="11">
        <v>68590.0</v>
      </c>
      <c r="CJ352" s="11">
        <v>68590.0</v>
      </c>
      <c r="CK352" s="11">
        <v>68590.0</v>
      </c>
      <c r="CL352" s="11">
        <v>2930000.0</v>
      </c>
      <c r="CM352" s="11">
        <v>2370000.0</v>
      </c>
      <c r="CN352" s="11">
        <v>2210000.0</v>
      </c>
      <c r="CO352" s="11">
        <v>2010000.0</v>
      </c>
      <c r="CP352" s="11">
        <v>1850000.0</v>
      </c>
      <c r="CQ352" s="11">
        <v>255370.0</v>
      </c>
      <c r="CR352" s="11">
        <v>274440.0</v>
      </c>
      <c r="CS352" s="11">
        <v>252300.0</v>
      </c>
      <c r="CT352" s="11">
        <v>215050.0</v>
      </c>
      <c r="CU352" s="11">
        <v>217230.0</v>
      </c>
      <c r="CV352" s="11">
        <v>630920.0</v>
      </c>
      <c r="CW352" s="11">
        <v>64020.0</v>
      </c>
      <c r="CX352" s="12"/>
      <c r="CY352" s="12"/>
      <c r="CZ352" s="12"/>
      <c r="DA352" s="11">
        <v>1940.0</v>
      </c>
      <c r="DB352" s="11">
        <v>630920.0</v>
      </c>
      <c r="DC352" s="11">
        <v>572880.0</v>
      </c>
      <c r="DD352" s="11">
        <v>453640.0</v>
      </c>
      <c r="DE352" s="11">
        <v>362850.0</v>
      </c>
      <c r="DF352" s="11">
        <v>1080000.0</v>
      </c>
      <c r="DG352" s="11">
        <v>678410.0</v>
      </c>
      <c r="DH352" s="11">
        <v>560640.0</v>
      </c>
      <c r="DI352" s="11">
        <v>432380.0</v>
      </c>
      <c r="DJ352" s="11">
        <v>430340.0</v>
      </c>
      <c r="DK352" s="11">
        <v>4160.0</v>
      </c>
      <c r="DL352" s="11">
        <v>9920.0</v>
      </c>
      <c r="DM352" s="12"/>
      <c r="DN352" s="12"/>
      <c r="DO352" s="11">
        <v>6890.0</v>
      </c>
      <c r="DP352" s="11">
        <v>371510.0</v>
      </c>
      <c r="DQ352" s="11"/>
      <c r="DR352" s="11"/>
      <c r="DS352" s="11">
        <v>14050.0</v>
      </c>
      <c r="DT352" s="11">
        <v>15030.0</v>
      </c>
      <c r="DU352" s="12"/>
      <c r="DV352" s="12"/>
      <c r="DW352" s="12"/>
      <c r="DX352" s="12"/>
      <c r="DY352" s="12"/>
      <c r="DZ352" s="11">
        <v>1850000.0</v>
      </c>
      <c r="EA352" s="11">
        <v>1670000.0</v>
      </c>
      <c r="EB352" s="11">
        <v>1620000.0</v>
      </c>
      <c r="EC352" s="11">
        <v>1560000.0</v>
      </c>
      <c r="ED352" s="11">
        <v>1400000.0</v>
      </c>
      <c r="EE352" s="14">
        <v>0.091</v>
      </c>
      <c r="EF352" s="14">
        <v>0.131</v>
      </c>
      <c r="EG352" s="14">
        <v>0.038</v>
      </c>
      <c r="EH352" s="14">
        <v>-0.205</v>
      </c>
    </row>
    <row r="353">
      <c r="A353" s="9">
        <f t="shared" si="2"/>
        <v>351</v>
      </c>
      <c r="B353" s="32" t="s">
        <v>487</v>
      </c>
      <c r="C353" s="11">
        <v>1520000.0</v>
      </c>
      <c r="D353" s="11">
        <v>1440000.0</v>
      </c>
      <c r="E353" s="11">
        <v>1540000.0</v>
      </c>
      <c r="F353" s="11">
        <v>1550000.0</v>
      </c>
      <c r="G353" s="11">
        <v>1520000.0</v>
      </c>
      <c r="H353" s="11">
        <v>1600000.0</v>
      </c>
      <c r="I353" s="11">
        <v>1610000.0</v>
      </c>
      <c r="J353" s="11">
        <v>845900.0</v>
      </c>
      <c r="K353" s="11">
        <v>847680.0</v>
      </c>
      <c r="L353" s="11">
        <v>795690.0</v>
      </c>
      <c r="M353" s="11">
        <v>773770.0</v>
      </c>
      <c r="N353" s="11">
        <v>780050.0</v>
      </c>
      <c r="O353" s="11">
        <v>708240.0</v>
      </c>
      <c r="P353" s="11">
        <v>678640.0</v>
      </c>
      <c r="Q353" s="11">
        <v>667290.0</v>
      </c>
      <c r="R353" s="11">
        <v>703190.0</v>
      </c>
      <c r="S353" s="11">
        <v>658290.0</v>
      </c>
      <c r="T353" s="12"/>
      <c r="U353" s="12"/>
      <c r="V353" s="12"/>
      <c r="W353" s="12"/>
      <c r="X353" s="12"/>
      <c r="Y353" s="11">
        <v>133430.0</v>
      </c>
      <c r="Z353" s="11">
        <v>159480.0</v>
      </c>
      <c r="AA353" s="11">
        <v>111790.0</v>
      </c>
      <c r="AB353" s="11">
        <v>64100.0</v>
      </c>
      <c r="AC353" s="11">
        <v>112350.0</v>
      </c>
      <c r="AD353" s="11">
        <v>74320.0</v>
      </c>
      <c r="AE353" s="11">
        <v>96780.0</v>
      </c>
      <c r="AF353" s="11">
        <v>31630.0</v>
      </c>
      <c r="AG353" s="11">
        <v>-34520.0</v>
      </c>
      <c r="AH353" s="11">
        <v>49240.0</v>
      </c>
      <c r="AI353" s="11">
        <v>202080.0</v>
      </c>
      <c r="AJ353" s="11">
        <v>200620.0</v>
      </c>
      <c r="AK353" s="11">
        <v>158030.0</v>
      </c>
      <c r="AL353" s="11">
        <v>99320.0</v>
      </c>
      <c r="AM353" s="11">
        <v>141310.0</v>
      </c>
      <c r="AN353" s="11">
        <v>56000.0</v>
      </c>
      <c r="AO353" s="11">
        <v>73850.0</v>
      </c>
      <c r="AP353" s="11">
        <v>6460.0</v>
      </c>
      <c r="AQ353" s="11">
        <v>-25560.0</v>
      </c>
      <c r="AR353" s="11">
        <v>30860.0</v>
      </c>
      <c r="AS353" s="11">
        <v>115880.0</v>
      </c>
      <c r="AT353" s="11">
        <v>151800.0</v>
      </c>
      <c r="AU353" s="11">
        <v>51360.0</v>
      </c>
      <c r="AV353" s="11">
        <v>205130.0</v>
      </c>
      <c r="AW353" s="11">
        <v>-174120.0</v>
      </c>
      <c r="AX353" s="11">
        <v>-57550.0</v>
      </c>
      <c r="AY353" s="11">
        <v>-32810.0</v>
      </c>
      <c r="AZ353" s="11">
        <v>-16920.0</v>
      </c>
      <c r="BA353" s="11">
        <v>-46560.0</v>
      </c>
      <c r="BB353" s="11">
        <v>-63410.0</v>
      </c>
      <c r="BC353" s="11"/>
      <c r="BD353" s="11"/>
      <c r="BE353" s="11"/>
      <c r="BF353" s="11"/>
      <c r="BG353" s="11"/>
      <c r="BH353" s="11">
        <v>80860.0</v>
      </c>
      <c r="BI353" s="11">
        <v>64940.0</v>
      </c>
      <c r="BJ353" s="11">
        <v>96160.0</v>
      </c>
      <c r="BK353" s="11">
        <v>134260.0</v>
      </c>
      <c r="BL353" s="11">
        <v>90830.0</v>
      </c>
      <c r="BM353" s="11">
        <v>746810.0</v>
      </c>
      <c r="BN353" s="11">
        <v>720250.0</v>
      </c>
      <c r="BO353" s="11">
        <v>740370.0</v>
      </c>
      <c r="BP353" s="11">
        <v>773600.0</v>
      </c>
      <c r="BQ353" s="11">
        <v>850110.0</v>
      </c>
      <c r="BR353" s="11">
        <v>219760.0</v>
      </c>
      <c r="BS353" s="11">
        <v>220030.0</v>
      </c>
      <c r="BT353" s="11">
        <v>211890.0</v>
      </c>
      <c r="BU353" s="11">
        <v>164860.0</v>
      </c>
      <c r="BV353" s="11">
        <v>201970.0</v>
      </c>
      <c r="BW353" s="11">
        <v>1060000.0</v>
      </c>
      <c r="BX353" s="11">
        <v>1010000.0</v>
      </c>
      <c r="BY353" s="11">
        <v>1080000.0</v>
      </c>
      <c r="BZ353" s="11">
        <v>1090000.0</v>
      </c>
      <c r="CA353" s="11">
        <v>1160000.0</v>
      </c>
      <c r="CB353" s="11">
        <v>415490.0</v>
      </c>
      <c r="CC353" s="11">
        <v>148980.0</v>
      </c>
      <c r="CD353" s="11">
        <v>143150.0</v>
      </c>
      <c r="CE353" s="11">
        <v>159200.0</v>
      </c>
      <c r="CF353" s="11">
        <v>151480.0</v>
      </c>
      <c r="CG353" s="11"/>
      <c r="CH353" s="11"/>
      <c r="CI353" s="11"/>
      <c r="CJ353" s="11"/>
      <c r="CK353" s="11"/>
      <c r="CL353" s="11">
        <v>2260000.0</v>
      </c>
      <c r="CM353" s="11">
        <v>1900000.0</v>
      </c>
      <c r="CN353" s="11">
        <v>1920000.0</v>
      </c>
      <c r="CO353" s="11">
        <v>1960000.0</v>
      </c>
      <c r="CP353" s="11">
        <v>2040000.0</v>
      </c>
      <c r="CQ353" s="11">
        <v>48550.0</v>
      </c>
      <c r="CR353" s="11">
        <v>71120.0</v>
      </c>
      <c r="CS353" s="11">
        <v>71620.0</v>
      </c>
      <c r="CT353" s="11">
        <v>101610.0</v>
      </c>
      <c r="CU353" s="11">
        <v>86800.0</v>
      </c>
      <c r="CV353" s="11">
        <v>162270.0</v>
      </c>
      <c r="CW353" s="11">
        <v>35390.0</v>
      </c>
      <c r="CX353" s="12"/>
      <c r="CY353" s="12"/>
      <c r="CZ353" s="12"/>
      <c r="DA353" s="12"/>
      <c r="DB353" s="11">
        <v>162270.0</v>
      </c>
      <c r="DC353" s="11">
        <v>237570.0</v>
      </c>
      <c r="DD353" s="11">
        <v>164110.0</v>
      </c>
      <c r="DE353" s="11">
        <v>167380.0</v>
      </c>
      <c r="DF353" s="11">
        <v>1630000.0</v>
      </c>
      <c r="DG353" s="11">
        <v>1280000.0</v>
      </c>
      <c r="DH353" s="11">
        <v>1380000.0</v>
      </c>
      <c r="DI353" s="11">
        <v>1440000.0</v>
      </c>
      <c r="DJ353" s="11">
        <v>1500000.0</v>
      </c>
      <c r="DK353" s="11"/>
      <c r="DL353" s="11"/>
      <c r="DM353" s="11"/>
      <c r="DN353" s="11"/>
      <c r="DO353" s="11"/>
      <c r="DP353" s="11">
        <v>1350000.0</v>
      </c>
      <c r="DQ353" s="11">
        <v>901220.0</v>
      </c>
      <c r="DR353" s="11">
        <v>1090000.0</v>
      </c>
      <c r="DS353" s="11">
        <v>1140000.0</v>
      </c>
      <c r="DT353" s="11">
        <v>1250000.0</v>
      </c>
      <c r="DU353" s="12"/>
      <c r="DV353" s="12"/>
      <c r="DW353" s="12"/>
      <c r="DX353" s="12"/>
      <c r="DY353" s="12"/>
      <c r="DZ353" s="11">
        <v>627180.0</v>
      </c>
      <c r="EA353" s="11">
        <v>619980.0</v>
      </c>
      <c r="EB353" s="11">
        <v>535070.0</v>
      </c>
      <c r="EC353" s="11">
        <v>517790.0</v>
      </c>
      <c r="ED353" s="11">
        <v>538280.0</v>
      </c>
      <c r="EE353" s="14">
        <v>0.083</v>
      </c>
      <c r="EF353" s="14">
        <v>0.099</v>
      </c>
      <c r="EG353" s="14">
        <v>-4.906</v>
      </c>
      <c r="EH353" s="14">
        <v>-1.247</v>
      </c>
    </row>
    <row r="354">
      <c r="A354" s="9">
        <f t="shared" si="2"/>
        <v>352</v>
      </c>
      <c r="B354" s="25" t="s">
        <v>488</v>
      </c>
      <c r="C354" s="12"/>
      <c r="D354" s="12"/>
      <c r="E354" s="12">
        <v>4080.0</v>
      </c>
      <c r="F354" s="12">
        <v>0.0</v>
      </c>
      <c r="G354" s="12">
        <v>0.0</v>
      </c>
      <c r="H354" s="12">
        <v>0.0</v>
      </c>
      <c r="I354" s="12">
        <v>0.0</v>
      </c>
      <c r="J354" s="12">
        <v>-4670.0</v>
      </c>
      <c r="K354" s="12">
        <v>0.0</v>
      </c>
      <c r="L354" s="12">
        <v>0.0</v>
      </c>
      <c r="M354" s="12">
        <v>0.0</v>
      </c>
      <c r="N354" s="12">
        <v>0.0</v>
      </c>
      <c r="O354" s="12">
        <v>8460.0</v>
      </c>
      <c r="P354" s="12">
        <v>13150.0</v>
      </c>
      <c r="Q354" s="12">
        <v>1810.0</v>
      </c>
      <c r="R354" s="12">
        <v>0.0</v>
      </c>
      <c r="S354" s="12">
        <v>0.0</v>
      </c>
      <c r="T354" s="12">
        <v>1120.0</v>
      </c>
      <c r="U354" s="15">
        <v>2710.0</v>
      </c>
      <c r="V354" s="15">
        <v>0.0</v>
      </c>
      <c r="W354" s="15">
        <v>0.0</v>
      </c>
      <c r="X354" s="15">
        <v>0.0</v>
      </c>
      <c r="Y354" s="12">
        <v>0.0</v>
      </c>
      <c r="Z354" s="12">
        <v>0.0</v>
      </c>
      <c r="AA354" s="12">
        <v>-2850.0</v>
      </c>
      <c r="AB354" s="12">
        <v>0.0</v>
      </c>
      <c r="AC354" s="12">
        <v>0.0</v>
      </c>
      <c r="AD354" s="12">
        <v>-13150.0</v>
      </c>
      <c r="AE354" s="12">
        <v>-13160.0</v>
      </c>
      <c r="AF354" s="12">
        <v>-2870.0</v>
      </c>
      <c r="AG354" s="12">
        <v>-1210.0</v>
      </c>
      <c r="AH354" s="12">
        <v>0.0</v>
      </c>
      <c r="AI354" s="12">
        <v>-13080.0</v>
      </c>
      <c r="AJ354" s="12">
        <v>-12960.0</v>
      </c>
      <c r="AK354" s="12">
        <v>-1770.0</v>
      </c>
      <c r="AL354" s="12">
        <v>-1070.0</v>
      </c>
      <c r="AM354" s="12">
        <v>0.0</v>
      </c>
      <c r="AN354" s="12">
        <v>-12290.0</v>
      </c>
      <c r="AO354" s="12">
        <v>-12600.0</v>
      </c>
      <c r="AP354" s="12">
        <v>-2870.0</v>
      </c>
      <c r="AQ354" s="12">
        <v>-1210.0</v>
      </c>
      <c r="AR354" s="12">
        <v>0.0</v>
      </c>
      <c r="AS354" s="12">
        <v>-10160.0</v>
      </c>
      <c r="AT354" s="12">
        <v>-5210.0</v>
      </c>
      <c r="AU354" s="12">
        <v>-1500.0</v>
      </c>
      <c r="AV354" s="12">
        <v>-1020.0</v>
      </c>
      <c r="AW354" s="12">
        <v>0.0</v>
      </c>
      <c r="AX354" s="12">
        <v>-6680.0</v>
      </c>
      <c r="AY354" s="12">
        <v>-7810.0</v>
      </c>
      <c r="AZ354" s="12">
        <v>0.0</v>
      </c>
      <c r="BA354" s="12">
        <v>0.0</v>
      </c>
      <c r="BB354" s="12">
        <v>0.0</v>
      </c>
      <c r="BC354" s="13">
        <v>0.0</v>
      </c>
      <c r="BD354" s="12">
        <v>0.0</v>
      </c>
      <c r="BE354" s="13">
        <v>0.0</v>
      </c>
      <c r="BF354" s="13">
        <v>0.0</v>
      </c>
      <c r="BG354" s="13">
        <v>0.0</v>
      </c>
      <c r="BH354" s="12">
        <v>0.0</v>
      </c>
      <c r="BI354" s="12">
        <v>2750.0</v>
      </c>
      <c r="BJ354" s="12">
        <v>0.0</v>
      </c>
      <c r="BK354" s="12">
        <v>0.0</v>
      </c>
      <c r="BL354" s="12">
        <v>0.0</v>
      </c>
      <c r="BM354" s="12">
        <v>0.0</v>
      </c>
      <c r="BN354" s="12">
        <v>0.0</v>
      </c>
      <c r="BO354" s="12">
        <v>0.0</v>
      </c>
      <c r="BP354" s="12">
        <v>0.0</v>
      </c>
      <c r="BQ354" s="12">
        <v>0.0</v>
      </c>
      <c r="BR354" s="12">
        <v>2120.0</v>
      </c>
      <c r="BS354" s="12">
        <v>0.0</v>
      </c>
      <c r="BT354" s="12">
        <v>0.0</v>
      </c>
      <c r="BU354" s="12">
        <v>0.0</v>
      </c>
      <c r="BV354" s="12">
        <v>0.0</v>
      </c>
      <c r="BW354" s="12">
        <v>3870.0</v>
      </c>
      <c r="BX354" s="12">
        <v>3060.0</v>
      </c>
      <c r="BY354" s="12">
        <v>0.0</v>
      </c>
      <c r="BZ354" s="12">
        <v>0.0</v>
      </c>
      <c r="CA354" s="12">
        <v>0.0</v>
      </c>
      <c r="CB354" s="12">
        <v>17200.0</v>
      </c>
      <c r="CC354" s="12">
        <v>10070.0</v>
      </c>
      <c r="CD354" s="12">
        <v>0.0</v>
      </c>
      <c r="CE354" s="12">
        <v>0.0</v>
      </c>
      <c r="CF354" s="12">
        <v>0.0</v>
      </c>
      <c r="CG354" s="12">
        <v>0.0</v>
      </c>
      <c r="CH354" s="12">
        <v>0.0</v>
      </c>
      <c r="CI354" s="12">
        <v>0.0</v>
      </c>
      <c r="CJ354" s="12">
        <v>0.0</v>
      </c>
      <c r="CK354" s="12">
        <v>0.0</v>
      </c>
      <c r="CL354" s="12">
        <v>21060.0</v>
      </c>
      <c r="CM354" s="12">
        <v>13130.0</v>
      </c>
      <c r="CN354" s="12">
        <v>1670.0</v>
      </c>
      <c r="CO354" s="12">
        <v>1430.0</v>
      </c>
      <c r="CP354" s="12">
        <v>0.0</v>
      </c>
      <c r="CQ354" s="12">
        <v>2930.0</v>
      </c>
      <c r="CR354" s="12">
        <v>1100.0</v>
      </c>
      <c r="CS354" s="12">
        <v>0.0</v>
      </c>
      <c r="CT354" s="12">
        <v>0.0</v>
      </c>
      <c r="CU354" s="12">
        <v>0.0</v>
      </c>
      <c r="CV354" s="12">
        <v>4780.0</v>
      </c>
      <c r="CW354" s="12">
        <v>0.0</v>
      </c>
      <c r="CX354" s="13">
        <v>0.0</v>
      </c>
      <c r="CY354" s="13">
        <v>0.0</v>
      </c>
      <c r="CZ354" s="13">
        <v>0.0</v>
      </c>
      <c r="DA354" s="12">
        <v>0.0</v>
      </c>
      <c r="DB354" s="12">
        <v>4780.0</v>
      </c>
      <c r="DC354" s="12">
        <v>2240.0</v>
      </c>
      <c r="DD354" s="12">
        <v>0.0</v>
      </c>
      <c r="DE354" s="12">
        <v>0.0</v>
      </c>
      <c r="DF354" s="12">
        <v>4780.0</v>
      </c>
      <c r="DG354" s="12">
        <v>2240.0</v>
      </c>
      <c r="DH354" s="12">
        <v>0.0</v>
      </c>
      <c r="DI354" s="12">
        <v>0.0</v>
      </c>
      <c r="DJ354" s="12">
        <v>0.0</v>
      </c>
      <c r="DK354" s="12">
        <v>0.0</v>
      </c>
      <c r="DL354" s="12">
        <v>0.0</v>
      </c>
      <c r="DM354" s="12">
        <v>0.0</v>
      </c>
      <c r="DN354" s="12">
        <v>0.0</v>
      </c>
      <c r="DO354" s="12">
        <v>0.0</v>
      </c>
      <c r="DP354" s="12">
        <v>0.0</v>
      </c>
      <c r="DQ354" s="12">
        <v>0.0</v>
      </c>
      <c r="DR354" s="12">
        <v>0.0</v>
      </c>
      <c r="DS354" s="12">
        <v>0.0</v>
      </c>
      <c r="DT354" s="12">
        <v>0.0</v>
      </c>
      <c r="DU354" s="13">
        <v>0.0</v>
      </c>
      <c r="DV354" s="12">
        <v>0.0</v>
      </c>
      <c r="DW354" s="12">
        <v>0.0</v>
      </c>
      <c r="DX354" s="13">
        <v>0.0</v>
      </c>
      <c r="DY354" s="13">
        <v>0.0</v>
      </c>
      <c r="DZ354" s="12">
        <v>17780.0</v>
      </c>
      <c r="EA354" s="12">
        <v>11430.0</v>
      </c>
      <c r="EB354" s="12">
        <v>1420.0</v>
      </c>
      <c r="EC354" s="12">
        <v>1060.0</v>
      </c>
      <c r="ED354" s="12">
        <v>0.0</v>
      </c>
      <c r="EE354" s="17"/>
      <c r="EF354" s="17"/>
      <c r="EG354" s="17"/>
      <c r="EH354" s="17"/>
    </row>
    <row r="355">
      <c r="A355" s="9">
        <f t="shared" si="2"/>
        <v>353</v>
      </c>
      <c r="B355" s="10" t="s">
        <v>489</v>
      </c>
      <c r="C355" s="15">
        <v>1.712E7</v>
      </c>
      <c r="D355" s="15">
        <v>1.658E7</v>
      </c>
      <c r="E355" s="15">
        <v>1.667E7</v>
      </c>
      <c r="F355" s="15">
        <v>1.64E7</v>
      </c>
      <c r="G355" s="15">
        <v>1.569E7</v>
      </c>
      <c r="H355" s="15">
        <v>1.453E7</v>
      </c>
      <c r="I355" s="15">
        <v>1.107E7</v>
      </c>
      <c r="J355" s="15">
        <v>942000.0</v>
      </c>
      <c r="K355" s="15">
        <v>857500.0</v>
      </c>
      <c r="L355" s="15">
        <v>783200.0</v>
      </c>
      <c r="M355" s="15">
        <v>752500.0</v>
      </c>
      <c r="N355" s="15">
        <v>653900.0</v>
      </c>
      <c r="O355" s="15">
        <v>821600.0</v>
      </c>
      <c r="P355" s="15">
        <v>780000.0</v>
      </c>
      <c r="Q355" s="15">
        <v>726600.0</v>
      </c>
      <c r="R355" s="15">
        <v>639300.0</v>
      </c>
      <c r="S355" s="15">
        <v>546800.0</v>
      </c>
      <c r="T355" s="15"/>
      <c r="U355" s="15"/>
      <c r="V355" s="15"/>
      <c r="W355" s="15"/>
      <c r="X355" s="15"/>
      <c r="Y355" s="12"/>
      <c r="Z355" s="15">
        <v>71800.0</v>
      </c>
      <c r="AA355" s="15">
        <v>-1800.0</v>
      </c>
      <c r="AB355" s="15">
        <v>-2200.0</v>
      </c>
      <c r="AC355" s="15">
        <v>86700.0</v>
      </c>
      <c r="AD355" s="15">
        <v>77400.0</v>
      </c>
      <c r="AE355" s="15">
        <v>59900.0</v>
      </c>
      <c r="AF355" s="15">
        <v>28400.0</v>
      </c>
      <c r="AG355" s="15">
        <v>85500.0</v>
      </c>
      <c r="AH355" s="15">
        <v>82900.0</v>
      </c>
      <c r="AI355" s="15">
        <v>153500.0</v>
      </c>
      <c r="AJ355" s="15">
        <v>137000.0</v>
      </c>
      <c r="AK355" s="15">
        <v>111000.0</v>
      </c>
      <c r="AL355" s="15">
        <v>135200.0</v>
      </c>
      <c r="AM355" s="15">
        <v>126400.0</v>
      </c>
      <c r="AN355" s="15">
        <v>57700.0</v>
      </c>
      <c r="AO355" s="15">
        <v>45500.0</v>
      </c>
      <c r="AP355" s="15">
        <v>33500.0</v>
      </c>
      <c r="AQ355" s="15">
        <v>54200.0</v>
      </c>
      <c r="AR355" s="15">
        <v>51500.0</v>
      </c>
      <c r="AS355" s="15">
        <v>89700.0</v>
      </c>
      <c r="AT355" s="15">
        <v>211200.0</v>
      </c>
      <c r="AU355" s="15">
        <v>93600.0</v>
      </c>
      <c r="AV355" s="15">
        <v>-98000.0</v>
      </c>
      <c r="AW355" s="15">
        <v>77200.0</v>
      </c>
      <c r="AX355" s="15">
        <v>-28800.0</v>
      </c>
      <c r="AY355" s="15">
        <v>-22100.0</v>
      </c>
      <c r="AZ355" s="15">
        <v>-52600.0</v>
      </c>
      <c r="BA355" s="15">
        <v>-62000.0</v>
      </c>
      <c r="BB355" s="15">
        <v>-39000.0</v>
      </c>
      <c r="BC355" s="15">
        <v>-20700.0</v>
      </c>
      <c r="BD355" s="15">
        <v>-18900.0</v>
      </c>
      <c r="BE355" s="15">
        <v>-17200.0</v>
      </c>
      <c r="BF355" s="15">
        <v>-15500.0</v>
      </c>
      <c r="BG355" s="15">
        <v>-12800.0</v>
      </c>
      <c r="BH355" s="15">
        <v>14100.0</v>
      </c>
      <c r="BI355" s="15">
        <v>27300.0</v>
      </c>
      <c r="BJ355" s="15">
        <v>41600.0</v>
      </c>
      <c r="BK355" s="15">
        <v>41700.0</v>
      </c>
      <c r="BL355" s="15">
        <v>21000.0</v>
      </c>
      <c r="BM355" s="15">
        <v>499100.0</v>
      </c>
      <c r="BN355" s="15">
        <v>492900.0</v>
      </c>
      <c r="BO355" s="15">
        <v>536700.0</v>
      </c>
      <c r="BP355" s="15">
        <v>472400.0</v>
      </c>
      <c r="BQ355" s="15">
        <v>342100.0</v>
      </c>
      <c r="BR355" s="15">
        <v>670900.0</v>
      </c>
      <c r="BS355" s="15">
        <v>689000.0</v>
      </c>
      <c r="BT355" s="15">
        <v>689100.0</v>
      </c>
      <c r="BU355" s="15">
        <v>596600.0</v>
      </c>
      <c r="BV355" s="15">
        <v>407400.0</v>
      </c>
      <c r="BW355" s="15">
        <v>1290000.0</v>
      </c>
      <c r="BX355" s="15">
        <v>1280000.0</v>
      </c>
      <c r="BY355" s="15">
        <v>1370000.0</v>
      </c>
      <c r="BZ355" s="15">
        <v>1190000.0</v>
      </c>
      <c r="CA355" s="15">
        <v>837300.0</v>
      </c>
      <c r="CB355" s="15">
        <v>449700.0</v>
      </c>
      <c r="CC355" s="15">
        <v>229000.0</v>
      </c>
      <c r="CD355" s="15">
        <v>249000.0</v>
      </c>
      <c r="CE355" s="15">
        <v>194700.0</v>
      </c>
      <c r="CF355" s="15">
        <v>159500.0</v>
      </c>
      <c r="CG355" s="15">
        <v>72800.0</v>
      </c>
      <c r="CH355" s="15">
        <v>72800.0</v>
      </c>
      <c r="CI355" s="15">
        <v>72800.0</v>
      </c>
      <c r="CJ355" s="15">
        <v>36000.0</v>
      </c>
      <c r="CK355" s="15">
        <v>22900.0</v>
      </c>
      <c r="CL355" s="15">
        <v>1990000.0</v>
      </c>
      <c r="CM355" s="15">
        <v>1680000.0</v>
      </c>
      <c r="CN355" s="15">
        <v>1800000.0</v>
      </c>
      <c r="CO355" s="15">
        <v>1520000.0</v>
      </c>
      <c r="CP355" s="15">
        <v>1080000.0</v>
      </c>
      <c r="CQ355" s="15">
        <v>216100.0</v>
      </c>
      <c r="CR355" s="15">
        <v>199800.0</v>
      </c>
      <c r="CS355" s="15">
        <v>169900.0</v>
      </c>
      <c r="CT355" s="15">
        <v>157100.0</v>
      </c>
      <c r="CU355" s="15">
        <v>129600.0</v>
      </c>
      <c r="CV355" s="15">
        <v>686700.0</v>
      </c>
      <c r="CW355" s="15">
        <v>39500.0</v>
      </c>
      <c r="CX355" s="15">
        <v>49400.0</v>
      </c>
      <c r="CY355" s="15">
        <v>45300.0</v>
      </c>
      <c r="CZ355" s="15"/>
      <c r="DA355" s="15">
        <v>29200.0</v>
      </c>
      <c r="DB355" s="15">
        <v>686700.0</v>
      </c>
      <c r="DC355" s="15">
        <v>681000.0</v>
      </c>
      <c r="DD355" s="15">
        <v>644500.0</v>
      </c>
      <c r="DE355" s="15">
        <v>548700.0</v>
      </c>
      <c r="DF355" s="15">
        <v>1400000.0</v>
      </c>
      <c r="DG355" s="15">
        <v>1120000.0</v>
      </c>
      <c r="DH355" s="15">
        <v>1240000.0</v>
      </c>
      <c r="DI355" s="15">
        <v>987500.0</v>
      </c>
      <c r="DJ355" s="15">
        <v>583300.0</v>
      </c>
      <c r="DK355" s="15"/>
      <c r="DL355" s="15"/>
      <c r="DM355" s="15"/>
      <c r="DN355" s="15"/>
      <c r="DO355" s="15"/>
      <c r="DP355" s="15">
        <v>555500.0</v>
      </c>
      <c r="DQ355" s="15">
        <v>346200.0</v>
      </c>
      <c r="DR355" s="15">
        <v>512900.0</v>
      </c>
      <c r="DS355" s="15">
        <v>347700.0</v>
      </c>
      <c r="DT355" s="15">
        <v>60400.0</v>
      </c>
      <c r="DU355" s="15"/>
      <c r="DV355" s="15"/>
      <c r="DW355" s="15"/>
      <c r="DX355" s="15"/>
      <c r="DY355" s="15"/>
      <c r="DZ355" s="15">
        <v>591900.0</v>
      </c>
      <c r="EA355" s="15">
        <v>567000.0</v>
      </c>
      <c r="EB355" s="15">
        <v>555200.0</v>
      </c>
      <c r="EC355" s="15">
        <v>529800.0</v>
      </c>
      <c r="ED355" s="15">
        <v>494000.0</v>
      </c>
      <c r="EE355" s="31">
        <v>0.025</v>
      </c>
      <c r="EF355" s="31">
        <v>0.036</v>
      </c>
      <c r="EG355" s="31">
        <v>0.467</v>
      </c>
      <c r="EH355" s="31">
        <v>0.221</v>
      </c>
    </row>
    <row r="356">
      <c r="A356" s="9">
        <f t="shared" si="2"/>
        <v>354</v>
      </c>
      <c r="B356" s="22" t="s">
        <v>490</v>
      </c>
      <c r="C356" s="11">
        <v>360970.0</v>
      </c>
      <c r="D356" s="11">
        <v>366220.0</v>
      </c>
      <c r="E356" s="11">
        <v>306490.0</v>
      </c>
      <c r="F356" s="11">
        <v>251250.0</v>
      </c>
      <c r="G356" s="11">
        <v>159200.0</v>
      </c>
      <c r="H356" s="11">
        <v>81320.0</v>
      </c>
      <c r="I356" s="11">
        <v>50290.0</v>
      </c>
      <c r="J356" s="11">
        <v>300980.0</v>
      </c>
      <c r="K356" s="11">
        <v>246030.0</v>
      </c>
      <c r="L356" s="11">
        <v>155650.0</v>
      </c>
      <c r="M356" s="11">
        <v>79260.0</v>
      </c>
      <c r="N356" s="11">
        <v>48930.0</v>
      </c>
      <c r="O356" s="11">
        <v>189380.0</v>
      </c>
      <c r="P356" s="11">
        <v>156540.0</v>
      </c>
      <c r="Q356" s="11">
        <v>102790.0</v>
      </c>
      <c r="R356" s="11">
        <v>69080.0</v>
      </c>
      <c r="S356" s="11">
        <v>52370.0</v>
      </c>
      <c r="T356" s="11">
        <v>89020.0</v>
      </c>
      <c r="U356" s="11">
        <v>75250.0</v>
      </c>
      <c r="V356" s="11">
        <v>40380.0</v>
      </c>
      <c r="W356" s="11">
        <v>23840.0</v>
      </c>
      <c r="X356" s="11">
        <v>15420.0</v>
      </c>
      <c r="Y356" s="12"/>
      <c r="Z356" s="12"/>
      <c r="AA356" s="12"/>
      <c r="AB356" s="12"/>
      <c r="AC356" s="12"/>
      <c r="AD356" s="11">
        <v>116680.0</v>
      </c>
      <c r="AE356" s="11">
        <v>92150.0</v>
      </c>
      <c r="AF356" s="11">
        <v>52810.0</v>
      </c>
      <c r="AG356" s="11">
        <v>8140.0</v>
      </c>
      <c r="AH356" s="11">
        <v>-6410.0</v>
      </c>
      <c r="AI356" s="11">
        <v>113780.0</v>
      </c>
      <c r="AJ356" s="11">
        <v>89730.0</v>
      </c>
      <c r="AK356" s="11">
        <v>52960.0</v>
      </c>
      <c r="AL356" s="11">
        <v>10270.0</v>
      </c>
      <c r="AM356" s="11">
        <v>-3290.0</v>
      </c>
      <c r="AN356" s="11">
        <v>94180.0</v>
      </c>
      <c r="AO356" s="11">
        <v>75410.0</v>
      </c>
      <c r="AP356" s="11">
        <v>129120.0</v>
      </c>
      <c r="AQ356" s="11">
        <v>8140.0</v>
      </c>
      <c r="AR356" s="11">
        <v>-6410.0</v>
      </c>
      <c r="AS356" s="11">
        <v>137570.0</v>
      </c>
      <c r="AT356" s="11">
        <v>115670.0</v>
      </c>
      <c r="AU356" s="11">
        <v>60940.0</v>
      </c>
      <c r="AV356" s="11">
        <v>18390.0</v>
      </c>
      <c r="AW356" s="11">
        <v>3130.0</v>
      </c>
      <c r="AX356" s="11">
        <v>-1090.0</v>
      </c>
      <c r="AY356" s="11">
        <v>-298.0</v>
      </c>
      <c r="AZ356" s="11">
        <v>-419.0</v>
      </c>
      <c r="BA356" s="11">
        <v>-194.0</v>
      </c>
      <c r="BB356" s="11">
        <v>-17.0</v>
      </c>
      <c r="BC356" s="12"/>
      <c r="BD356" s="12"/>
      <c r="BE356" s="12"/>
      <c r="BF356" s="12"/>
      <c r="BG356" s="12"/>
      <c r="BH356" s="11">
        <v>275960.0</v>
      </c>
      <c r="BI356" s="11">
        <v>206760.0</v>
      </c>
      <c r="BJ356" s="11">
        <v>88740.0</v>
      </c>
      <c r="BK356" s="11">
        <v>51540.0</v>
      </c>
      <c r="BL356" s="11">
        <v>40440.0</v>
      </c>
      <c r="BM356" s="11">
        <v>19930.0</v>
      </c>
      <c r="BN356" s="11">
        <v>17590.0</v>
      </c>
      <c r="BO356" s="11">
        <v>28200.0</v>
      </c>
      <c r="BP356" s="11">
        <v>9860.0</v>
      </c>
      <c r="BQ356" s="11">
        <v>6220.0</v>
      </c>
      <c r="BR356" s="11">
        <v>5420.0</v>
      </c>
      <c r="BS356" s="11">
        <v>4730.0</v>
      </c>
      <c r="BT356" s="11">
        <v>4580.0</v>
      </c>
      <c r="BU356" s="11">
        <v>2330.0</v>
      </c>
      <c r="BV356" s="11">
        <v>1680.0</v>
      </c>
      <c r="BW356" s="11">
        <v>307360.0</v>
      </c>
      <c r="BX356" s="11">
        <v>236820.0</v>
      </c>
      <c r="BY356" s="11">
        <v>124190.0</v>
      </c>
      <c r="BZ356" s="11">
        <v>65690.0</v>
      </c>
      <c r="CA356" s="11">
        <v>48980.0</v>
      </c>
      <c r="CB356" s="11">
        <v>4500.0</v>
      </c>
      <c r="CC356" s="11">
        <v>655.0</v>
      </c>
      <c r="CD356" s="11">
        <v>518.0</v>
      </c>
      <c r="CE356" s="11">
        <v>205.0</v>
      </c>
      <c r="CF356" s="11">
        <v>98.0</v>
      </c>
      <c r="CG356" s="12"/>
      <c r="CH356" s="12"/>
      <c r="CI356" s="12"/>
      <c r="CJ356" s="12"/>
      <c r="CK356" s="12"/>
      <c r="CL356" s="11">
        <v>412310.0</v>
      </c>
      <c r="CM356" s="11">
        <v>311690.0</v>
      </c>
      <c r="CN356" s="11">
        <v>220540.0</v>
      </c>
      <c r="CO356" s="11">
        <v>68750.0</v>
      </c>
      <c r="CP356" s="11">
        <v>51900.0</v>
      </c>
      <c r="CQ356" s="11">
        <v>7540.0</v>
      </c>
      <c r="CR356" s="11">
        <v>8270.0</v>
      </c>
      <c r="CS356" s="11">
        <v>8580.0</v>
      </c>
      <c r="CT356" s="11">
        <v>2290.0</v>
      </c>
      <c r="CU356" s="11">
        <v>1330.0</v>
      </c>
      <c r="CV356" s="11">
        <v>38840.0</v>
      </c>
      <c r="CW356" s="11">
        <v>1560.0</v>
      </c>
      <c r="CX356" s="12"/>
      <c r="CY356" s="12"/>
      <c r="CZ356" s="12"/>
      <c r="DA356" s="12"/>
      <c r="DB356" s="11">
        <v>38840.0</v>
      </c>
      <c r="DC356" s="11">
        <v>35570.0</v>
      </c>
      <c r="DD356" s="11">
        <v>29570.0</v>
      </c>
      <c r="DE356" s="11">
        <v>27370.0</v>
      </c>
      <c r="DF356" s="11">
        <v>41130.0</v>
      </c>
      <c r="DG356" s="11">
        <v>35810.0</v>
      </c>
      <c r="DH356" s="11">
        <v>29570.0</v>
      </c>
      <c r="DI356" s="11">
        <v>27370.0</v>
      </c>
      <c r="DJ356" s="11">
        <v>33400.0</v>
      </c>
      <c r="DK356" s="11">
        <v>39350.0</v>
      </c>
      <c r="DL356" s="12"/>
      <c r="DM356" s="11">
        <v>15280.0</v>
      </c>
      <c r="DN356" s="12"/>
      <c r="DO356" s="12"/>
      <c r="DP356" s="11">
        <v>1900.0</v>
      </c>
      <c r="DQ356" s="12"/>
      <c r="DR356" s="12"/>
      <c r="DS356" s="12"/>
      <c r="DT356" s="11">
        <v>12530.0</v>
      </c>
      <c r="DU356" s="13"/>
      <c r="DV356" s="12"/>
      <c r="DW356" s="12"/>
      <c r="DX356" s="13"/>
      <c r="DY356" s="13"/>
      <c r="DZ356" s="11">
        <v>371180.0</v>
      </c>
      <c r="EA356" s="11">
        <v>275880.0</v>
      </c>
      <c r="EB356" s="11">
        <v>190970.0</v>
      </c>
      <c r="EC356" s="11">
        <v>41380.0</v>
      </c>
      <c r="ED356" s="11">
        <v>18500.0</v>
      </c>
      <c r="EE356" s="14">
        <v>0.031</v>
      </c>
      <c r="EF356" s="14">
        <v>0.671</v>
      </c>
      <c r="EG356" s="14">
        <v>0.045</v>
      </c>
      <c r="EH356" s="14">
        <v>0.06</v>
      </c>
    </row>
    <row r="357">
      <c r="A357" s="9">
        <f t="shared" si="2"/>
        <v>355</v>
      </c>
      <c r="B357" s="10" t="s">
        <v>491</v>
      </c>
      <c r="C357" s="11">
        <v>1.7555E8</v>
      </c>
      <c r="D357" s="11">
        <v>1.65E8</v>
      </c>
      <c r="E357" s="11">
        <v>1.527E8</v>
      </c>
      <c r="F357" s="11">
        <v>1.4158E8</v>
      </c>
      <c r="G357" s="11">
        <v>1.2903E8</v>
      </c>
      <c r="H357" s="11">
        <v>1.1872E8</v>
      </c>
      <c r="I357" s="11">
        <v>1.162E8</v>
      </c>
      <c r="J357" s="11">
        <v>1.982E7</v>
      </c>
      <c r="K357" s="11">
        <v>1.842E7</v>
      </c>
      <c r="L357" s="11">
        <v>1.714E7</v>
      </c>
      <c r="M357" s="11">
        <v>1.582E7</v>
      </c>
      <c r="N357" s="11">
        <v>1.513E7</v>
      </c>
      <c r="O357" s="11">
        <v>1.499E7</v>
      </c>
      <c r="P357" s="11">
        <v>1.388E7</v>
      </c>
      <c r="Q357" s="11">
        <v>1.295E7</v>
      </c>
      <c r="R357" s="11">
        <v>1.207E7</v>
      </c>
      <c r="S357" s="11">
        <v>1.145E7</v>
      </c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>
        <v>4770000.0</v>
      </c>
      <c r="AE357" s="11">
        <v>4440000.0</v>
      </c>
      <c r="AF357" s="11">
        <v>4040000.0</v>
      </c>
      <c r="AG357" s="11">
        <v>3620000.0</v>
      </c>
      <c r="AH357" s="11">
        <v>3600000.0</v>
      </c>
      <c r="AI357" s="11">
        <v>6320000.0</v>
      </c>
      <c r="AJ357" s="11">
        <v>5990000.0</v>
      </c>
      <c r="AK357" s="11">
        <v>5560000.0</v>
      </c>
      <c r="AL357" s="11">
        <v>5010000.0</v>
      </c>
      <c r="AM357" s="11">
        <v>4820000.0</v>
      </c>
      <c r="AN357" s="11">
        <v>3660000.0</v>
      </c>
      <c r="AO357" s="11">
        <v>3130000.0</v>
      </c>
      <c r="AP357" s="11">
        <v>2680000.0</v>
      </c>
      <c r="AQ357" s="11">
        <v>2350000.0</v>
      </c>
      <c r="AR357" s="11">
        <v>2380000.0</v>
      </c>
      <c r="AS357" s="11">
        <v>6360000.0</v>
      </c>
      <c r="AT357" s="11">
        <v>5770000.0</v>
      </c>
      <c r="AU357" s="11">
        <v>6730000.0</v>
      </c>
      <c r="AV357" s="11">
        <v>3290000.0</v>
      </c>
      <c r="AW357" s="11">
        <v>4290000.0</v>
      </c>
      <c r="AX357" s="11">
        <v>-3000000.0</v>
      </c>
      <c r="AY357" s="11">
        <v>-2970000.0</v>
      </c>
      <c r="AZ357" s="11">
        <v>-2500000.0</v>
      </c>
      <c r="BA357" s="11">
        <v>-2650000.0</v>
      </c>
      <c r="BB357" s="11">
        <v>-2390000.0</v>
      </c>
      <c r="BC357" s="11">
        <v>-1040000.0</v>
      </c>
      <c r="BD357" s="11">
        <v>-689000.0</v>
      </c>
      <c r="BE357" s="11">
        <v>-3900000.0</v>
      </c>
      <c r="BF357" s="11">
        <v>-746000.0</v>
      </c>
      <c r="BG357" s="11">
        <v>-2870000.0</v>
      </c>
      <c r="BH357" s="11">
        <v>9440000.0</v>
      </c>
      <c r="BI357" s="11">
        <v>7260000.0</v>
      </c>
      <c r="BJ357" s="11">
        <v>5780000.0</v>
      </c>
      <c r="BK357" s="11">
        <v>4730000.0</v>
      </c>
      <c r="BL357" s="11">
        <v>6420000.0</v>
      </c>
      <c r="BM357" s="11">
        <v>1540000.0</v>
      </c>
      <c r="BN357" s="11">
        <v>1670000.0</v>
      </c>
      <c r="BO357" s="11">
        <v>1430000.0</v>
      </c>
      <c r="BP357" s="11">
        <v>1250000.0</v>
      </c>
      <c r="BQ357" s="11">
        <v>1220000.0</v>
      </c>
      <c r="BR357" s="11">
        <v>1.14E7</v>
      </c>
      <c r="BS357" s="11">
        <v>1.104E7</v>
      </c>
      <c r="BT357" s="11">
        <v>9830000.0</v>
      </c>
      <c r="BU357" s="11">
        <v>8970000.0</v>
      </c>
      <c r="BV357" s="11">
        <v>8910000.0</v>
      </c>
      <c r="BW357" s="11">
        <v>2.349E7</v>
      </c>
      <c r="BX357" s="11">
        <v>2.029E7</v>
      </c>
      <c r="BY357" s="11">
        <v>1.732E7</v>
      </c>
      <c r="BZ357" s="11">
        <v>1.522E7</v>
      </c>
      <c r="CA357" s="11">
        <v>1.73E7</v>
      </c>
      <c r="CB357" s="11">
        <v>2.089E7</v>
      </c>
      <c r="CC357" s="11">
        <v>1.968E7</v>
      </c>
      <c r="CD357" s="11">
        <v>1.816E7</v>
      </c>
      <c r="CE357" s="11">
        <v>1.704E7</v>
      </c>
      <c r="CF357" s="11">
        <v>1.54E7</v>
      </c>
      <c r="CG357" s="11"/>
      <c r="CH357" s="11"/>
      <c r="CI357" s="11"/>
      <c r="CJ357" s="11"/>
      <c r="CK357" s="11"/>
      <c r="CL357" s="11">
        <v>4.54E7</v>
      </c>
      <c r="CM357" s="11">
        <v>4.083E7</v>
      </c>
      <c r="CN357" s="11">
        <v>3.635E7</v>
      </c>
      <c r="CO357" s="11">
        <v>3.316E7</v>
      </c>
      <c r="CP357" s="11">
        <v>3.344E7</v>
      </c>
      <c r="CQ357" s="11">
        <v>1.168E7</v>
      </c>
      <c r="CR357" s="11">
        <v>1.124E7</v>
      </c>
      <c r="CS357" s="11">
        <v>9610000.0</v>
      </c>
      <c r="CT357" s="11">
        <v>7610000.0</v>
      </c>
      <c r="CU357" s="11">
        <v>9010000.0</v>
      </c>
      <c r="CV357" s="11">
        <v>2.324E7</v>
      </c>
      <c r="CW357" s="11"/>
      <c r="CX357" s="12"/>
      <c r="CY357" s="12"/>
      <c r="CZ357" s="12"/>
      <c r="DA357" s="12"/>
      <c r="DB357" s="11">
        <v>2.324E7</v>
      </c>
      <c r="DC357" s="11">
        <v>1.993E7</v>
      </c>
      <c r="DD357" s="11">
        <v>1.75E7</v>
      </c>
      <c r="DE357" s="11">
        <v>1.558E7</v>
      </c>
      <c r="DF357" s="11">
        <v>2.982E7</v>
      </c>
      <c r="DG357" s="11">
        <v>2.773E7</v>
      </c>
      <c r="DH357" s="11">
        <v>2.527E7</v>
      </c>
      <c r="DI357" s="11">
        <v>2.083E7</v>
      </c>
      <c r="DJ357" s="11">
        <v>2.26E7</v>
      </c>
      <c r="DK357" s="11"/>
      <c r="DL357" s="11"/>
      <c r="DM357" s="11"/>
      <c r="DN357" s="11"/>
      <c r="DO357" s="11"/>
      <c r="DP357" s="11">
        <v>5520000.0</v>
      </c>
      <c r="DQ357" s="11">
        <v>6880000.0</v>
      </c>
      <c r="DR357" s="11">
        <v>6950000.0</v>
      </c>
      <c r="DS357" s="11">
        <v>4430000.0</v>
      </c>
      <c r="DT357" s="11">
        <v>5150000.0</v>
      </c>
      <c r="DU357" s="12"/>
      <c r="DV357" s="12"/>
      <c r="DW357" s="12"/>
      <c r="DX357" s="12"/>
      <c r="DY357" s="12"/>
      <c r="DZ357" s="11">
        <v>1.524E7</v>
      </c>
      <c r="EA357" s="11">
        <v>1.28E7</v>
      </c>
      <c r="EB357" s="11">
        <v>1.078E7</v>
      </c>
      <c r="EC357" s="11">
        <v>1.208E7</v>
      </c>
      <c r="ED357" s="11">
        <v>1.062E7</v>
      </c>
      <c r="EE357" s="33">
        <v>0.043</v>
      </c>
      <c r="EF357" s="33">
        <v>0.097</v>
      </c>
      <c r="EG357" s="33">
        <v>-0.031</v>
      </c>
      <c r="EH357" s="33">
        <v>0.015</v>
      </c>
    </row>
    <row r="358">
      <c r="A358" s="9">
        <f t="shared" si="2"/>
        <v>356</v>
      </c>
      <c r="B358" s="25" t="s">
        <v>492</v>
      </c>
      <c r="C358" s="15">
        <v>7340000.0</v>
      </c>
      <c r="D358" s="15">
        <v>7100000.0</v>
      </c>
      <c r="E358" s="15">
        <v>8650000.0</v>
      </c>
      <c r="F358" s="15">
        <v>9400000.0</v>
      </c>
      <c r="G358" s="15">
        <v>7650000.0</v>
      </c>
      <c r="H358" s="15">
        <v>4340000.0</v>
      </c>
      <c r="I358" s="15">
        <v>4390000.0</v>
      </c>
      <c r="J358" s="15">
        <v>5000000.0</v>
      </c>
      <c r="K358" s="15">
        <v>5490000.0</v>
      </c>
      <c r="L358" s="15">
        <v>4260000.0</v>
      </c>
      <c r="M358" s="15">
        <v>2450000.0</v>
      </c>
      <c r="N358" s="15">
        <v>2490000.0</v>
      </c>
      <c r="O358" s="15">
        <v>4400000.0</v>
      </c>
      <c r="P358" s="15">
        <v>4850000.0</v>
      </c>
      <c r="Q358" s="15">
        <v>3910000.0</v>
      </c>
      <c r="R358" s="15">
        <v>1940000.0</v>
      </c>
      <c r="S358" s="15">
        <v>1980000.0</v>
      </c>
      <c r="T358" s="15">
        <v>162800.0</v>
      </c>
      <c r="U358" s="15">
        <v>174600.0</v>
      </c>
      <c r="V358" s="15">
        <v>139200.0</v>
      </c>
      <c r="W358" s="15">
        <v>47700.0</v>
      </c>
      <c r="X358" s="15">
        <v>47400.0</v>
      </c>
      <c r="Y358" s="15">
        <v>-3470000.0</v>
      </c>
      <c r="Z358" s="15">
        <v>-451500.0</v>
      </c>
      <c r="AA358" s="15">
        <v>-448000.0</v>
      </c>
      <c r="AB358" s="15">
        <v>-329900.0</v>
      </c>
      <c r="AC358" s="15">
        <v>252600.0</v>
      </c>
      <c r="AD358" s="15">
        <v>-3780000.0</v>
      </c>
      <c r="AE358" s="15">
        <v>-152500.0</v>
      </c>
      <c r="AF358" s="15">
        <v>-658000.0</v>
      </c>
      <c r="AG358" s="15">
        <v>138800.0</v>
      </c>
      <c r="AH358" s="15">
        <v>233300.0</v>
      </c>
      <c r="AI358" s="15">
        <v>1330000.0</v>
      </c>
      <c r="AJ358" s="15">
        <v>1380000.0</v>
      </c>
      <c r="AK358" s="15">
        <v>896400.0</v>
      </c>
      <c r="AL358" s="15">
        <v>742200.0</v>
      </c>
      <c r="AM358" s="15">
        <v>735900.0</v>
      </c>
      <c r="AN358" s="15">
        <v>-3780000.0</v>
      </c>
      <c r="AO358" s="15">
        <v>-168800.0</v>
      </c>
      <c r="AP358" s="15">
        <v>-422200.0</v>
      </c>
      <c r="AQ358" s="15">
        <v>156900.0</v>
      </c>
      <c r="AR358" s="15">
        <v>232500.0</v>
      </c>
      <c r="AS358" s="15">
        <v>639600.0</v>
      </c>
      <c r="AT358" s="15">
        <v>413700.0</v>
      </c>
      <c r="AU358" s="15">
        <v>757500.0</v>
      </c>
      <c r="AV358" s="15">
        <v>501400.0</v>
      </c>
      <c r="AW358" s="15">
        <v>526300.0</v>
      </c>
      <c r="AX358" s="15">
        <v>-426600.0</v>
      </c>
      <c r="AY358" s="15">
        <v>-446400.0</v>
      </c>
      <c r="AZ358" s="15">
        <v>-432300.0</v>
      </c>
      <c r="BA358" s="15">
        <v>-150100.0</v>
      </c>
      <c r="BB358" s="15">
        <v>-200900.0</v>
      </c>
      <c r="BC358" s="15">
        <v>-346200.0</v>
      </c>
      <c r="BD358" s="15">
        <v>-375800.0</v>
      </c>
      <c r="BE358" s="15">
        <v>-372600.0</v>
      </c>
      <c r="BF358" s="15">
        <v>-89000.0</v>
      </c>
      <c r="BG358" s="15">
        <v>-71000.0</v>
      </c>
      <c r="BH358" s="15">
        <v>380400.0</v>
      </c>
      <c r="BI358" s="15">
        <v>362200.0</v>
      </c>
      <c r="BJ358" s="15">
        <v>570700.0</v>
      </c>
      <c r="BK358" s="15">
        <v>372400.0</v>
      </c>
      <c r="BL358" s="15">
        <v>341300.0</v>
      </c>
      <c r="BM358" s="15">
        <v>1160000.0</v>
      </c>
      <c r="BN358" s="15">
        <v>1540000.0</v>
      </c>
      <c r="BO358" s="15">
        <v>1470000.0</v>
      </c>
      <c r="BP358" s="15">
        <v>682900.0</v>
      </c>
      <c r="BQ358" s="15">
        <v>679600.0</v>
      </c>
      <c r="BR358" s="15">
        <v>1150000.0</v>
      </c>
      <c r="BS358" s="15">
        <v>1150000.0</v>
      </c>
      <c r="BT358" s="15">
        <v>1050000.0</v>
      </c>
      <c r="BU358" s="15">
        <v>565800.0</v>
      </c>
      <c r="BV358" s="15">
        <v>557800.0</v>
      </c>
      <c r="BW358" s="15">
        <v>3270000.0</v>
      </c>
      <c r="BX358" s="15">
        <v>3650000.0</v>
      </c>
      <c r="BY358" s="15">
        <v>3580000.0</v>
      </c>
      <c r="BZ358" s="15">
        <v>1940000.0</v>
      </c>
      <c r="CA358" s="15">
        <v>1860000.0</v>
      </c>
      <c r="CB358" s="15">
        <v>1600000.0</v>
      </c>
      <c r="CC358" s="15">
        <v>1680000.0</v>
      </c>
      <c r="CD358" s="15">
        <v>1630000.0</v>
      </c>
      <c r="CE358" s="15">
        <v>638600.0</v>
      </c>
      <c r="CF358" s="15">
        <v>500200.0</v>
      </c>
      <c r="CG358" s="15">
        <v>5070000.0</v>
      </c>
      <c r="CH358" s="15">
        <v>8610000.0</v>
      </c>
      <c r="CI358" s="15">
        <v>8560000.0</v>
      </c>
      <c r="CJ358" s="15">
        <v>2210000.0</v>
      </c>
      <c r="CK358" s="15">
        <v>1530000.0</v>
      </c>
      <c r="CL358" s="15">
        <v>1.767E7</v>
      </c>
      <c r="CM358" s="15">
        <v>2.263E7</v>
      </c>
      <c r="CN358" s="15">
        <v>2.255E7</v>
      </c>
      <c r="CO358" s="15">
        <v>7040000.0</v>
      </c>
      <c r="CP358" s="15">
        <v>6020000.0</v>
      </c>
      <c r="CQ358" s="15">
        <v>1730000.0</v>
      </c>
      <c r="CR358" s="15">
        <v>1930000.0</v>
      </c>
      <c r="CS358" s="15">
        <v>1730000.0</v>
      </c>
      <c r="CT358" s="15">
        <v>921400.0</v>
      </c>
      <c r="CU358" s="15">
        <v>748400.0</v>
      </c>
      <c r="CV358" s="15">
        <v>3480000.0</v>
      </c>
      <c r="CW358" s="15">
        <v>4200.0</v>
      </c>
      <c r="CX358" s="15">
        <v>9200.0</v>
      </c>
      <c r="CY358" s="15">
        <v>3200.0</v>
      </c>
      <c r="CZ358" s="15">
        <v>19800.0</v>
      </c>
      <c r="DA358" s="15">
        <v>22100.0</v>
      </c>
      <c r="DB358" s="15">
        <v>3480000.0</v>
      </c>
      <c r="DC358" s="15">
        <v>4040000.0</v>
      </c>
      <c r="DD358" s="15">
        <v>3800000.0</v>
      </c>
      <c r="DE358" s="15">
        <v>1860000.0</v>
      </c>
      <c r="DF358" s="15">
        <v>1.262E7</v>
      </c>
      <c r="DG358" s="15">
        <v>1.311E7</v>
      </c>
      <c r="DH358" s="15">
        <v>1.268E7</v>
      </c>
      <c r="DI358" s="15">
        <v>6600000.0</v>
      </c>
      <c r="DJ358" s="15">
        <v>4950000.0</v>
      </c>
      <c r="DK358" s="15"/>
      <c r="DL358" s="15"/>
      <c r="DM358" s="15"/>
      <c r="DN358" s="12"/>
      <c r="DO358" s="15"/>
      <c r="DP358" s="15">
        <v>7470000.0</v>
      </c>
      <c r="DQ358" s="15">
        <v>7310000.0</v>
      </c>
      <c r="DR358" s="15">
        <v>6930000.0</v>
      </c>
      <c r="DS358" s="15">
        <v>3940000.0</v>
      </c>
      <c r="DT358" s="15">
        <v>2610000.0</v>
      </c>
      <c r="DU358" s="13">
        <v>100.0</v>
      </c>
      <c r="DV358" s="12"/>
      <c r="DW358" s="12"/>
      <c r="DX358" s="15"/>
      <c r="DY358" s="15"/>
      <c r="DZ358" s="15">
        <v>4590000.0</v>
      </c>
      <c r="EA358" s="15">
        <v>8850000.0</v>
      </c>
      <c r="EB358" s="15">
        <v>9310000.0</v>
      </c>
      <c r="EC358" s="15">
        <v>360200.0</v>
      </c>
      <c r="ED358" s="15">
        <v>969800.0</v>
      </c>
      <c r="EE358" s="17">
        <v>0.097</v>
      </c>
      <c r="EF358" s="17">
        <v>0.06</v>
      </c>
      <c r="EG358" s="23" t="s">
        <v>155</v>
      </c>
      <c r="EH358" s="17"/>
    </row>
    <row r="359">
      <c r="A359" s="9">
        <f t="shared" si="2"/>
        <v>357</v>
      </c>
      <c r="B359" s="10" t="s">
        <v>493</v>
      </c>
      <c r="C359" s="11">
        <v>6190000.0</v>
      </c>
      <c r="D359" s="11">
        <v>5810000.0</v>
      </c>
      <c r="E359" s="11">
        <v>7790000.0</v>
      </c>
      <c r="F359" s="11">
        <v>7320000.0</v>
      </c>
      <c r="G359" s="11">
        <v>6550000.0</v>
      </c>
      <c r="H359" s="11">
        <v>6230000.0</v>
      </c>
      <c r="I359" s="11">
        <v>6710000.0</v>
      </c>
      <c r="J359" s="11">
        <v>3240000.0</v>
      </c>
      <c r="K359" s="11">
        <v>2930000.0</v>
      </c>
      <c r="L359" s="11">
        <v>2660000.0</v>
      </c>
      <c r="M359" s="11">
        <v>2740000.0</v>
      </c>
      <c r="N359" s="11">
        <v>2770000.0</v>
      </c>
      <c r="O359" s="11">
        <v>137000.0</v>
      </c>
      <c r="P359" s="11">
        <v>130000.0</v>
      </c>
      <c r="Q359" s="11">
        <v>142000.0</v>
      </c>
      <c r="R359" s="11">
        <v>180000.0</v>
      </c>
      <c r="S359" s="11">
        <v>181000.0</v>
      </c>
      <c r="T359" s="11"/>
      <c r="U359" s="11"/>
      <c r="V359" s="11"/>
      <c r="W359" s="11"/>
      <c r="X359" s="11"/>
      <c r="Y359" s="11">
        <v>3090000.0</v>
      </c>
      <c r="Z359" s="12"/>
      <c r="AA359" s="11">
        <v>-3000.0</v>
      </c>
      <c r="AB359" s="11">
        <v>2460000.0</v>
      </c>
      <c r="AC359" s="11">
        <v>2570000.0</v>
      </c>
      <c r="AD359" s="11">
        <v>3150000.0</v>
      </c>
      <c r="AE359" s="11">
        <v>2590000.0</v>
      </c>
      <c r="AF359" s="11">
        <v>2500000.0</v>
      </c>
      <c r="AG359" s="11">
        <v>2150000.0</v>
      </c>
      <c r="AH359" s="11">
        <v>1960000.0</v>
      </c>
      <c r="AI359" s="11">
        <v>3820000.0</v>
      </c>
      <c r="AJ359" s="11">
        <v>3500000.0</v>
      </c>
      <c r="AK359" s="11">
        <v>3190000.0</v>
      </c>
      <c r="AL359" s="11">
        <v>3200000.0</v>
      </c>
      <c r="AM359" s="11">
        <v>3180000.0</v>
      </c>
      <c r="AN359" s="11">
        <v>2440000.0</v>
      </c>
      <c r="AO359" s="11">
        <v>1950000.0</v>
      </c>
      <c r="AP359" s="11">
        <v>2410000.0</v>
      </c>
      <c r="AQ359" s="11">
        <v>1600000.0</v>
      </c>
      <c r="AR359" s="11">
        <v>1350000.0</v>
      </c>
      <c r="AS359" s="11">
        <v>2990000.0</v>
      </c>
      <c r="AT359" s="11">
        <v>2710000.0</v>
      </c>
      <c r="AU359" s="11">
        <v>2180000.0</v>
      </c>
      <c r="AV359" s="11">
        <v>2090000.0</v>
      </c>
      <c r="AW359" s="11">
        <v>2460000.0</v>
      </c>
      <c r="AX359" s="11">
        <v>-1650000.0</v>
      </c>
      <c r="AY359" s="11">
        <v>-1550000.0</v>
      </c>
      <c r="AZ359" s="11">
        <v>-1340000.0</v>
      </c>
      <c r="BA359" s="11">
        <v>-1180000.0</v>
      </c>
      <c r="BB359" s="11">
        <v>-1520000.0</v>
      </c>
      <c r="BC359" s="11">
        <v>-412000.0</v>
      </c>
      <c r="BD359" s="11">
        <v>-348000.0</v>
      </c>
      <c r="BE359" s="11">
        <v>-310000.0</v>
      </c>
      <c r="BF359" s="11">
        <v>-255000.0</v>
      </c>
      <c r="BG359" s="11">
        <v>-226000.0</v>
      </c>
      <c r="BH359" s="11">
        <v>133000.0</v>
      </c>
      <c r="BI359" s="11">
        <v>61000.0</v>
      </c>
      <c r="BJ359" s="11">
        <v>338000.0</v>
      </c>
      <c r="BK359" s="11">
        <v>164000.0</v>
      </c>
      <c r="BL359" s="11">
        <v>650000.0</v>
      </c>
      <c r="BM359" s="11">
        <v>805000.0</v>
      </c>
      <c r="BN359" s="11">
        <v>815000.0</v>
      </c>
      <c r="BO359" s="11">
        <v>687000.0</v>
      </c>
      <c r="BP359" s="11">
        <v>591000.0</v>
      </c>
      <c r="BQ359" s="11">
        <v>645000.0</v>
      </c>
      <c r="BR359" s="11">
        <v>182000.0</v>
      </c>
      <c r="BS359" s="11">
        <v>173000.0</v>
      </c>
      <c r="BT359" s="11">
        <v>152000.0</v>
      </c>
      <c r="BU359" s="11">
        <v>184000.0</v>
      </c>
      <c r="BV359" s="11">
        <v>188000.0</v>
      </c>
      <c r="BW359" s="11">
        <v>1210000.0</v>
      </c>
      <c r="BX359" s="11">
        <v>1120000.0</v>
      </c>
      <c r="BY359" s="11">
        <v>1270000.0</v>
      </c>
      <c r="BZ359" s="11">
        <v>1010000.0</v>
      </c>
      <c r="CA359" s="11">
        <v>1540000.0</v>
      </c>
      <c r="CB359" s="11">
        <v>1.951E7</v>
      </c>
      <c r="CC359" s="11">
        <v>1.842E7</v>
      </c>
      <c r="CD359" s="11">
        <v>1.702E7</v>
      </c>
      <c r="CE359" s="11">
        <v>1.669E7</v>
      </c>
      <c r="CF359" s="11">
        <v>1.627E7</v>
      </c>
      <c r="CG359" s="11">
        <v>194000.0</v>
      </c>
      <c r="CH359" s="11">
        <v>194000.0</v>
      </c>
      <c r="CI359" s="11">
        <v>178000.0</v>
      </c>
      <c r="CJ359" s="11">
        <v>191000.0</v>
      </c>
      <c r="CK359" s="11">
        <v>198000.0</v>
      </c>
      <c r="CL359" s="11">
        <v>2.256E7</v>
      </c>
      <c r="CM359" s="11">
        <v>2.147E7</v>
      </c>
      <c r="CN359" s="11">
        <v>2.026E7</v>
      </c>
      <c r="CO359" s="11">
        <v>1.948E7</v>
      </c>
      <c r="CP359" s="11">
        <v>1.985E7</v>
      </c>
      <c r="CQ359" s="11">
        <v>453000.0</v>
      </c>
      <c r="CR359" s="11">
        <v>474000.0</v>
      </c>
      <c r="CS359" s="11">
        <v>402000.0</v>
      </c>
      <c r="CT359" s="11">
        <v>352000.0</v>
      </c>
      <c r="CU359" s="11">
        <v>339000.0</v>
      </c>
      <c r="CV359" s="11">
        <v>2290000.0</v>
      </c>
      <c r="CW359" s="11">
        <v>69000.0</v>
      </c>
      <c r="CX359" s="12"/>
      <c r="CY359" s="12"/>
      <c r="CZ359" s="12"/>
      <c r="DA359" s="12"/>
      <c r="DB359" s="11">
        <v>2290000.0</v>
      </c>
      <c r="DC359" s="11">
        <v>1960000.0</v>
      </c>
      <c r="DD359" s="11">
        <v>1980000.0</v>
      </c>
      <c r="DE359" s="11">
        <v>1350000.0</v>
      </c>
      <c r="DF359" s="11">
        <v>1.55E7</v>
      </c>
      <c r="DG359" s="11">
        <v>1.483E7</v>
      </c>
      <c r="DH359" s="11">
        <v>1.383E7</v>
      </c>
      <c r="DI359" s="11">
        <v>1.485E7</v>
      </c>
      <c r="DJ359" s="11">
        <v>1.505E7</v>
      </c>
      <c r="DK359" s="11">
        <v>341000.0</v>
      </c>
      <c r="DL359" s="11">
        <v>203000.0</v>
      </c>
      <c r="DM359" s="11">
        <v>182000.0</v>
      </c>
      <c r="DN359" s="11">
        <v>194000.0</v>
      </c>
      <c r="DO359" s="11">
        <v>152000.0</v>
      </c>
      <c r="DP359" s="11">
        <v>8440000.0</v>
      </c>
      <c r="DQ359" s="11">
        <v>8190000.0</v>
      </c>
      <c r="DR359" s="11">
        <v>7410000.0</v>
      </c>
      <c r="DS359" s="11">
        <v>8660000.0</v>
      </c>
      <c r="DT359" s="11">
        <v>8930000.0</v>
      </c>
      <c r="DU359" s="13"/>
      <c r="DV359" s="12"/>
      <c r="DW359" s="12"/>
      <c r="DX359" s="12"/>
      <c r="DY359" s="12"/>
      <c r="DZ359" s="11">
        <v>7070000.0</v>
      </c>
      <c r="EA359" s="11">
        <v>6640000.0</v>
      </c>
      <c r="EB359" s="11">
        <v>6440000.0</v>
      </c>
      <c r="EC359" s="11">
        <v>4630000.0</v>
      </c>
      <c r="ED359" s="11">
        <v>4800000.0</v>
      </c>
      <c r="EE359" s="14">
        <v>0.062</v>
      </c>
      <c r="EF359" s="14">
        <v>0.099</v>
      </c>
      <c r="EG359" s="14">
        <v>0.081</v>
      </c>
      <c r="EH359" s="14">
        <v>0.052</v>
      </c>
    </row>
    <row r="360">
      <c r="A360" s="9">
        <f t="shared" si="2"/>
        <v>358</v>
      </c>
      <c r="B360" s="10" t="s">
        <v>494</v>
      </c>
      <c r="C360" s="11">
        <v>1600000.0</v>
      </c>
      <c r="D360" s="11">
        <v>878530.0</v>
      </c>
      <c r="E360" s="11">
        <v>2710000.0</v>
      </c>
      <c r="F360" s="11">
        <v>2680000.0</v>
      </c>
      <c r="G360" s="11">
        <v>2520000.0</v>
      </c>
      <c r="H360" s="11">
        <v>2220000.0</v>
      </c>
      <c r="I360" s="11">
        <v>2250000.0</v>
      </c>
      <c r="J360" s="11">
        <v>764210.0</v>
      </c>
      <c r="K360" s="11">
        <v>682080.0</v>
      </c>
      <c r="L360" s="11">
        <v>720370.0</v>
      </c>
      <c r="M360" s="11">
        <v>562340.0</v>
      </c>
      <c r="N360" s="11">
        <v>543550.0</v>
      </c>
      <c r="O360" s="11">
        <v>328710.0</v>
      </c>
      <c r="P360" s="11">
        <v>333900.0</v>
      </c>
      <c r="Q360" s="11">
        <v>296340.0</v>
      </c>
      <c r="R360" s="11">
        <v>286200.0</v>
      </c>
      <c r="S360" s="11">
        <v>176610.0</v>
      </c>
      <c r="T360" s="11"/>
      <c r="U360" s="11"/>
      <c r="V360" s="11"/>
      <c r="W360" s="11"/>
      <c r="X360" s="11"/>
      <c r="Y360" s="11">
        <v>346150.0</v>
      </c>
      <c r="Z360" s="11">
        <v>-188620.0</v>
      </c>
      <c r="AA360" s="11">
        <v>2800.0</v>
      </c>
      <c r="AB360" s="11">
        <v>111640.0</v>
      </c>
      <c r="AC360" s="11">
        <v>254520.0</v>
      </c>
      <c r="AD360" s="11">
        <v>293440.0</v>
      </c>
      <c r="AE360" s="11">
        <v>122730.0</v>
      </c>
      <c r="AF360" s="11">
        <v>413360.0</v>
      </c>
      <c r="AG360" s="11">
        <v>372820.0</v>
      </c>
      <c r="AH360" s="11">
        <v>-192220.0</v>
      </c>
      <c r="AI360" s="11">
        <v>717580.0</v>
      </c>
      <c r="AJ360" s="11">
        <v>624750.0</v>
      </c>
      <c r="AK360" s="11">
        <v>591350.0</v>
      </c>
      <c r="AL360" s="11">
        <v>435410.0</v>
      </c>
      <c r="AM360" s="11">
        <v>400980.0</v>
      </c>
      <c r="AN360" s="11">
        <v>247000.0</v>
      </c>
      <c r="AO360" s="11">
        <v>88200.0</v>
      </c>
      <c r="AP360" s="11">
        <v>364050.0</v>
      </c>
      <c r="AQ360" s="11">
        <v>334540.0</v>
      </c>
      <c r="AR360" s="11">
        <v>-224970.0</v>
      </c>
      <c r="AS360" s="11">
        <v>784880.0</v>
      </c>
      <c r="AT360" s="11">
        <v>543010.0</v>
      </c>
      <c r="AU360" s="11">
        <v>727330.0</v>
      </c>
      <c r="AV360" s="11">
        <v>530360.0</v>
      </c>
      <c r="AW360" s="11">
        <v>328670.0</v>
      </c>
      <c r="AX360" s="11">
        <v>-163290.0</v>
      </c>
      <c r="AY360" s="11">
        <v>-365910.0</v>
      </c>
      <c r="AZ360" s="11">
        <v>-319940.0</v>
      </c>
      <c r="BA360" s="11">
        <v>-150300.0</v>
      </c>
      <c r="BB360" s="11">
        <v>-184270.0</v>
      </c>
      <c r="BC360" s="11">
        <v>-110440.0</v>
      </c>
      <c r="BD360" s="11">
        <v>-147600.0</v>
      </c>
      <c r="BE360" s="11">
        <v>-106790.0</v>
      </c>
      <c r="BF360" s="11">
        <v>-86120.0</v>
      </c>
      <c r="BG360" s="11">
        <v>-147590.0</v>
      </c>
      <c r="BH360" s="11">
        <v>851140.0</v>
      </c>
      <c r="BI360" s="11">
        <v>722360.0</v>
      </c>
      <c r="BJ360" s="11">
        <v>943900.0</v>
      </c>
      <c r="BK360" s="11">
        <v>814690.0</v>
      </c>
      <c r="BL360" s="11">
        <v>684950.0</v>
      </c>
      <c r="BM360" s="11">
        <v>142620.0</v>
      </c>
      <c r="BN360" s="11">
        <v>128590.0</v>
      </c>
      <c r="BO360" s="11">
        <v>126080.0</v>
      </c>
      <c r="BP360" s="11">
        <v>120880.0</v>
      </c>
      <c r="BQ360" s="11">
        <v>111040.0</v>
      </c>
      <c r="BR360" s="11">
        <v>69100.0</v>
      </c>
      <c r="BS360" s="11">
        <v>86530.0</v>
      </c>
      <c r="BT360" s="11">
        <v>101720.0</v>
      </c>
      <c r="BU360" s="11">
        <v>74500.0</v>
      </c>
      <c r="BV360" s="11">
        <v>62250.0</v>
      </c>
      <c r="BW360" s="11">
        <v>1230000.0</v>
      </c>
      <c r="BX360" s="11">
        <v>1060000.0</v>
      </c>
      <c r="BY360" s="11">
        <v>1200000.0</v>
      </c>
      <c r="BZ360" s="11">
        <v>1070000.0</v>
      </c>
      <c r="CA360" s="11">
        <v>907590.0</v>
      </c>
      <c r="CB360" s="11">
        <v>2820000.0</v>
      </c>
      <c r="CC360" s="11">
        <v>3060000.0</v>
      </c>
      <c r="CD360" s="11">
        <v>2620000.0</v>
      </c>
      <c r="CE360" s="11">
        <v>2620000.0</v>
      </c>
      <c r="CF360" s="11">
        <v>2650000.0</v>
      </c>
      <c r="CG360" s="11">
        <v>20380.0</v>
      </c>
      <c r="CH360" s="11">
        <v>20380.0</v>
      </c>
      <c r="CI360" s="11">
        <v>20380.0</v>
      </c>
      <c r="CJ360" s="11">
        <v>20380.0</v>
      </c>
      <c r="CK360" s="11">
        <v>20380.0</v>
      </c>
      <c r="CL360" s="11">
        <v>4360000.0</v>
      </c>
      <c r="CM360" s="11">
        <v>4440000.0</v>
      </c>
      <c r="CN360" s="11">
        <v>4040000.0</v>
      </c>
      <c r="CO360" s="11">
        <v>3850000.0</v>
      </c>
      <c r="CP360" s="11">
        <v>3720000.0</v>
      </c>
      <c r="CQ360" s="11">
        <v>133420.0</v>
      </c>
      <c r="CR360" s="11">
        <v>139640.0</v>
      </c>
      <c r="CS360" s="11">
        <v>129430.0</v>
      </c>
      <c r="CT360" s="11">
        <v>112860.0</v>
      </c>
      <c r="CU360" s="11">
        <v>100350.0</v>
      </c>
      <c r="CV360" s="11">
        <v>997630.0</v>
      </c>
      <c r="CW360" s="11"/>
      <c r="CX360" s="12"/>
      <c r="CY360" s="13"/>
      <c r="CZ360" s="13"/>
      <c r="DA360" s="12"/>
      <c r="DB360" s="11">
        <v>997630.0</v>
      </c>
      <c r="DC360" s="11">
        <v>1150000.0</v>
      </c>
      <c r="DD360" s="11">
        <v>1060000.0</v>
      </c>
      <c r="DE360" s="11">
        <v>862680.0</v>
      </c>
      <c r="DF360" s="11">
        <v>2420000.0</v>
      </c>
      <c r="DG360" s="11">
        <v>2650000.0</v>
      </c>
      <c r="DH360" s="11">
        <v>2150000.0</v>
      </c>
      <c r="DI360" s="11">
        <v>2010000.0</v>
      </c>
      <c r="DJ360" s="11">
        <v>2130000.0</v>
      </c>
      <c r="DK360" s="11">
        <v>134350.0</v>
      </c>
      <c r="DL360" s="11">
        <v>138850.0</v>
      </c>
      <c r="DM360" s="11">
        <v>78340.0</v>
      </c>
      <c r="DN360" s="11">
        <v>20440.0</v>
      </c>
      <c r="DO360" s="11">
        <v>46160.0</v>
      </c>
      <c r="DP360" s="11">
        <v>1150000.0</v>
      </c>
      <c r="DQ360" s="11">
        <v>1250000.0</v>
      </c>
      <c r="DR360" s="11">
        <v>876120.0</v>
      </c>
      <c r="DS360" s="11">
        <v>961410.0</v>
      </c>
      <c r="DT360" s="11">
        <v>1060000.0</v>
      </c>
      <c r="DU360" s="13"/>
      <c r="DV360" s="12"/>
      <c r="DW360" s="12"/>
      <c r="DX360" s="12"/>
      <c r="DY360" s="12"/>
      <c r="DZ360" s="11">
        <v>1930000.0</v>
      </c>
      <c r="EA360" s="11">
        <v>1800000.0</v>
      </c>
      <c r="EB360" s="11">
        <v>1900000.0</v>
      </c>
      <c r="EC360" s="11">
        <v>1840000.0</v>
      </c>
      <c r="ED360" s="11">
        <v>1590000.0</v>
      </c>
      <c r="EE360" s="14">
        <v>0.426</v>
      </c>
      <c r="EF360" s="14">
        <v>0.5</v>
      </c>
      <c r="EG360" s="14">
        <v>0.242</v>
      </c>
      <c r="EH360" s="14">
        <v>0.102</v>
      </c>
    </row>
    <row r="361">
      <c r="A361" s="9">
        <f t="shared" si="2"/>
        <v>359</v>
      </c>
      <c r="B361" s="10" t="s">
        <v>495</v>
      </c>
      <c r="C361" s="11">
        <v>403150.0</v>
      </c>
      <c r="D361" s="11">
        <v>354580.0</v>
      </c>
      <c r="E361" s="11">
        <v>1390000.0</v>
      </c>
      <c r="F361" s="11">
        <v>1260000.0</v>
      </c>
      <c r="G361" s="11">
        <v>1220000.0</v>
      </c>
      <c r="H361" s="11">
        <v>1240000.0</v>
      </c>
      <c r="I361" s="11">
        <v>1230000.0</v>
      </c>
      <c r="J361" s="11">
        <v>471550.0</v>
      </c>
      <c r="K361" s="11">
        <v>454450.0</v>
      </c>
      <c r="L361" s="11">
        <v>471660.0</v>
      </c>
      <c r="M361" s="11">
        <v>481260.0</v>
      </c>
      <c r="N361" s="11">
        <v>522230.0</v>
      </c>
      <c r="O361" s="11">
        <v>190230.0</v>
      </c>
      <c r="P361" s="11">
        <v>206470.0</v>
      </c>
      <c r="Q361" s="11">
        <v>213410.0</v>
      </c>
      <c r="R361" s="11">
        <v>211250.0</v>
      </c>
      <c r="S361" s="11">
        <v>205100.0</v>
      </c>
      <c r="T361" s="11"/>
      <c r="U361" s="11"/>
      <c r="V361" s="11"/>
      <c r="W361" s="11"/>
      <c r="X361" s="11"/>
      <c r="Y361" s="11">
        <v>275730.0</v>
      </c>
      <c r="Z361" s="11">
        <v>209230.0</v>
      </c>
      <c r="AA361" s="11">
        <v>-58920.0</v>
      </c>
      <c r="AB361" s="11">
        <v>245730.0</v>
      </c>
      <c r="AC361" s="11"/>
      <c r="AD361" s="11">
        <v>194350.0</v>
      </c>
      <c r="AE361" s="11">
        <v>116140.0</v>
      </c>
      <c r="AF361" s="11">
        <v>128420.0</v>
      </c>
      <c r="AG361" s="11">
        <v>198110.0</v>
      </c>
      <c r="AH361" s="11">
        <v>297910.0</v>
      </c>
      <c r="AI361" s="11">
        <v>408170.0</v>
      </c>
      <c r="AJ361" s="11">
        <v>377390.0</v>
      </c>
      <c r="AK361" s="11">
        <v>383250.0</v>
      </c>
      <c r="AL361" s="11">
        <v>390630.0</v>
      </c>
      <c r="AM361" s="11">
        <v>377220.0</v>
      </c>
      <c r="AN361" s="11">
        <v>132050.0</v>
      </c>
      <c r="AO361" s="11">
        <v>76700.0</v>
      </c>
      <c r="AP361" s="11">
        <v>94540.0</v>
      </c>
      <c r="AQ361" s="11">
        <v>122760.0</v>
      </c>
      <c r="AR361" s="11">
        <v>215530.0</v>
      </c>
      <c r="AS361" s="11">
        <v>191660.0</v>
      </c>
      <c r="AT361" s="11">
        <v>199970.0</v>
      </c>
      <c r="AU361" s="11">
        <v>223700.0</v>
      </c>
      <c r="AV361" s="11">
        <v>241680.0</v>
      </c>
      <c r="AW361" s="11">
        <v>275640.0</v>
      </c>
      <c r="AX361" s="11">
        <v>-83020.0</v>
      </c>
      <c r="AY361" s="11">
        <v>-111270.0</v>
      </c>
      <c r="AZ361" s="11">
        <v>-77690.0</v>
      </c>
      <c r="BA361" s="11">
        <v>-137070.0</v>
      </c>
      <c r="BB361" s="11">
        <v>-483370.0</v>
      </c>
      <c r="BC361" s="11">
        <v>-120650.0</v>
      </c>
      <c r="BD361" s="11">
        <v>-171790.0</v>
      </c>
      <c r="BE361" s="11">
        <v>-124990.0</v>
      </c>
      <c r="BF361" s="11">
        <v>-154400.0</v>
      </c>
      <c r="BG361" s="11">
        <v>-162170.0</v>
      </c>
      <c r="BH361" s="11">
        <v>68270.0</v>
      </c>
      <c r="BI361" s="11">
        <v>49070.0</v>
      </c>
      <c r="BJ361" s="11">
        <v>49220.0</v>
      </c>
      <c r="BK361" s="11">
        <v>80570.0</v>
      </c>
      <c r="BL361" s="11">
        <v>160200.0</v>
      </c>
      <c r="BM361" s="11">
        <v>150720.0</v>
      </c>
      <c r="BN361" s="11">
        <v>99390.0</v>
      </c>
      <c r="BO361" s="11">
        <v>99450.0</v>
      </c>
      <c r="BP361" s="11">
        <v>127310.0</v>
      </c>
      <c r="BQ361" s="11">
        <v>108710.0</v>
      </c>
      <c r="BR361" s="11">
        <v>519000.0</v>
      </c>
      <c r="BS361" s="11">
        <v>424780.0</v>
      </c>
      <c r="BT361" s="11">
        <v>373020.0</v>
      </c>
      <c r="BU361" s="11">
        <v>346540.0</v>
      </c>
      <c r="BV361" s="11">
        <v>307480.0</v>
      </c>
      <c r="BW361" s="11">
        <v>748330.0</v>
      </c>
      <c r="BX361" s="11">
        <v>616090.0</v>
      </c>
      <c r="BY361" s="11">
        <v>553360.0</v>
      </c>
      <c r="BZ361" s="11">
        <v>562330.0</v>
      </c>
      <c r="CA361" s="11">
        <v>628480.0</v>
      </c>
      <c r="CB361" s="11">
        <v>2100000.0</v>
      </c>
      <c r="CC361" s="11">
        <v>2150000.0</v>
      </c>
      <c r="CD361" s="11">
        <v>2210000.0</v>
      </c>
      <c r="CE361" s="11">
        <v>2270000.0</v>
      </c>
      <c r="CF361" s="11">
        <v>2490000.0</v>
      </c>
      <c r="CG361" s="11">
        <v>4460.0</v>
      </c>
      <c r="CH361" s="11">
        <v>6330.0</v>
      </c>
      <c r="CI361" s="11"/>
      <c r="CJ361" s="11"/>
      <c r="CK361" s="11"/>
      <c r="CL361" s="11">
        <v>2930000.0</v>
      </c>
      <c r="CM361" s="11">
        <v>2860000.0</v>
      </c>
      <c r="CN361" s="11">
        <v>2810000.0</v>
      </c>
      <c r="CO361" s="11">
        <v>3320000.0</v>
      </c>
      <c r="CP361" s="11">
        <v>3410000.0</v>
      </c>
      <c r="CQ361" s="11">
        <v>84890.0</v>
      </c>
      <c r="CR361" s="11">
        <v>69570.0</v>
      </c>
      <c r="CS361" s="11">
        <v>76480.0</v>
      </c>
      <c r="CT361" s="11">
        <v>64100.0</v>
      </c>
      <c r="CU361" s="11">
        <v>86070.0</v>
      </c>
      <c r="CV361" s="11">
        <v>352680.0</v>
      </c>
      <c r="CW361" s="11">
        <v>98770.0</v>
      </c>
      <c r="CX361" s="11">
        <v>60820.0</v>
      </c>
      <c r="CY361" s="13"/>
      <c r="CZ361" s="13"/>
      <c r="DA361" s="12"/>
      <c r="DB361" s="11">
        <v>352680.0</v>
      </c>
      <c r="DC361" s="11">
        <v>258600.0</v>
      </c>
      <c r="DD361" s="11">
        <v>205000.0</v>
      </c>
      <c r="DE361" s="11">
        <v>177950.0</v>
      </c>
      <c r="DF361" s="11">
        <v>1510000.0</v>
      </c>
      <c r="DG361" s="11">
        <v>1410000.0</v>
      </c>
      <c r="DH361" s="11">
        <v>1310000.0</v>
      </c>
      <c r="DI361" s="11">
        <v>1340000.0</v>
      </c>
      <c r="DJ361" s="11">
        <v>1370000.0</v>
      </c>
      <c r="DK361" s="11">
        <v>18220.0</v>
      </c>
      <c r="DL361" s="11">
        <v>39150.0</v>
      </c>
      <c r="DM361" s="11">
        <v>21700.0</v>
      </c>
      <c r="DN361" s="11">
        <v>70570.0</v>
      </c>
      <c r="DO361" s="11">
        <v>125210.0</v>
      </c>
      <c r="DP361" s="11">
        <v>1000000.0</v>
      </c>
      <c r="DQ361" s="11">
        <v>1020000.0</v>
      </c>
      <c r="DR361" s="11">
        <v>965290.0</v>
      </c>
      <c r="DS361" s="11">
        <v>998150.0</v>
      </c>
      <c r="DT361" s="11">
        <v>1010000.0</v>
      </c>
      <c r="DU361" s="11"/>
      <c r="DV361" s="12"/>
      <c r="DW361" s="12"/>
      <c r="DX361" s="13"/>
      <c r="DY361" s="13"/>
      <c r="DZ361" s="11">
        <v>1420000.0</v>
      </c>
      <c r="EA361" s="11">
        <v>1450000.0</v>
      </c>
      <c r="EB361" s="11">
        <v>1510000.0</v>
      </c>
      <c r="EC361" s="11">
        <v>1870000.0</v>
      </c>
      <c r="ED361" s="11">
        <v>1940000.0</v>
      </c>
      <c r="EE361" s="14">
        <v>0.265</v>
      </c>
      <c r="EF361" s="14">
        <v>0.102</v>
      </c>
      <c r="EG361" s="14">
        <v>-7.0</v>
      </c>
      <c r="EH361" s="14">
        <v>-1.837</v>
      </c>
    </row>
    <row r="362">
      <c r="A362" s="9">
        <f t="shared" si="2"/>
        <v>360</v>
      </c>
      <c r="B362" s="10" t="s">
        <v>496</v>
      </c>
      <c r="C362" s="15">
        <v>8200000.0</v>
      </c>
      <c r="D362" s="15">
        <v>8620000.0</v>
      </c>
      <c r="E362" s="15">
        <v>8110000.0</v>
      </c>
      <c r="F362" s="15">
        <v>6620000.0</v>
      </c>
      <c r="G362" s="15">
        <v>7890000.0</v>
      </c>
      <c r="H362" s="15">
        <v>7960000.0</v>
      </c>
      <c r="I362" s="15">
        <v>8080000.0</v>
      </c>
      <c r="J362" s="15">
        <v>2670000.0</v>
      </c>
      <c r="K362" s="15">
        <v>2400000.0</v>
      </c>
      <c r="L362" s="15">
        <v>3040000.0</v>
      </c>
      <c r="M362" s="15">
        <v>2760000.0</v>
      </c>
      <c r="N362" s="15">
        <v>2800000.0</v>
      </c>
      <c r="O362" s="15">
        <v>1470000.0</v>
      </c>
      <c r="P362" s="15">
        <v>1280000.0</v>
      </c>
      <c r="Q362" s="15">
        <v>1370000.0</v>
      </c>
      <c r="R362" s="15">
        <v>1620000.0</v>
      </c>
      <c r="S362" s="15">
        <v>1570000.0</v>
      </c>
      <c r="T362" s="15">
        <v>88000.0</v>
      </c>
      <c r="U362" s="15">
        <v>91000.0</v>
      </c>
      <c r="V362" s="15">
        <v>98000.0</v>
      </c>
      <c r="W362" s="15">
        <v>124000.0</v>
      </c>
      <c r="X362" s="15">
        <v>113000.0</v>
      </c>
      <c r="Y362" s="15">
        <v>1050000.0</v>
      </c>
      <c r="Z362" s="15">
        <v>-309000.0</v>
      </c>
      <c r="AA362" s="15">
        <v>1430000.0</v>
      </c>
      <c r="AB362" s="15">
        <v>943000.0</v>
      </c>
      <c r="AC362" s="15">
        <v>1090000.0</v>
      </c>
      <c r="AD362" s="15">
        <v>625000.0</v>
      </c>
      <c r="AE362" s="15">
        <v>830000.0</v>
      </c>
      <c r="AF362" s="15">
        <v>1290000.0</v>
      </c>
      <c r="AG362" s="15">
        <v>849000.0</v>
      </c>
      <c r="AH362" s="15">
        <v>990000.0</v>
      </c>
      <c r="AI362" s="15">
        <v>1560000.0</v>
      </c>
      <c r="AJ362" s="15">
        <v>1400000.0</v>
      </c>
      <c r="AK362" s="15">
        <v>1990000.0</v>
      </c>
      <c r="AL362" s="15">
        <v>1450000.0</v>
      </c>
      <c r="AM362" s="15">
        <v>1480000.0</v>
      </c>
      <c r="AN362" s="15">
        <v>474000.0</v>
      </c>
      <c r="AO362" s="15">
        <v>724000.0</v>
      </c>
      <c r="AP362" s="15">
        <v>887000.0</v>
      </c>
      <c r="AQ362" s="15">
        <v>563000.0</v>
      </c>
      <c r="AR362" s="15">
        <v>691000.0</v>
      </c>
      <c r="AS362" s="15">
        <v>1400000.0</v>
      </c>
      <c r="AT362" s="15">
        <v>1310000.0</v>
      </c>
      <c r="AU362" s="15">
        <v>1290000.0</v>
      </c>
      <c r="AV362" s="15">
        <v>1460000.0</v>
      </c>
      <c r="AW362" s="15">
        <v>1180000.0</v>
      </c>
      <c r="AX362" s="15">
        <v>-384000.0</v>
      </c>
      <c r="AY362" s="15">
        <v>-407000.0</v>
      </c>
      <c r="AZ362" s="15">
        <v>-338000.0</v>
      </c>
      <c r="BA362" s="15">
        <v>-341000.0</v>
      </c>
      <c r="BB362" s="15">
        <v>-380000.0</v>
      </c>
      <c r="BC362" s="15">
        <v>-423000.0</v>
      </c>
      <c r="BD362" s="15">
        <v>-426000.0</v>
      </c>
      <c r="BE362" s="15">
        <v>-420000.0</v>
      </c>
      <c r="BF362" s="15">
        <v>-390000.0</v>
      </c>
      <c r="BG362" s="15">
        <v>-394000.0</v>
      </c>
      <c r="BH362" s="15">
        <v>31000.0</v>
      </c>
      <c r="BI362" s="15">
        <v>49000.0</v>
      </c>
      <c r="BJ362" s="15">
        <v>328000.0</v>
      </c>
      <c r="BK362" s="15">
        <v>301000.0</v>
      </c>
      <c r="BL362" s="15">
        <v>285000.0</v>
      </c>
      <c r="BM362" s="15">
        <v>574000.0</v>
      </c>
      <c r="BN362" s="15">
        <v>563000.0</v>
      </c>
      <c r="BO362" s="15">
        <v>605000.0</v>
      </c>
      <c r="BP362" s="15">
        <v>626000.0</v>
      </c>
      <c r="BQ362" s="15">
        <v>647000.0</v>
      </c>
      <c r="BR362" s="15">
        <v>863000.0</v>
      </c>
      <c r="BS362" s="15">
        <v>887000.0</v>
      </c>
      <c r="BT362" s="15">
        <v>902000.0</v>
      </c>
      <c r="BU362" s="15">
        <v>940000.0</v>
      </c>
      <c r="BV362" s="15">
        <v>993000.0</v>
      </c>
      <c r="BW362" s="15">
        <v>1970000.0</v>
      </c>
      <c r="BX362" s="15">
        <v>2300000.0</v>
      </c>
      <c r="BY362" s="15">
        <v>1900000.0</v>
      </c>
      <c r="BZ362" s="15">
        <v>1910000.0</v>
      </c>
      <c r="CA362" s="15">
        <v>2090000.0</v>
      </c>
      <c r="CB362" s="15">
        <v>2460000.0</v>
      </c>
      <c r="CC362" s="15">
        <v>2470000.0</v>
      </c>
      <c r="CD362" s="15">
        <v>2450000.0</v>
      </c>
      <c r="CE362" s="15">
        <v>2410000.0</v>
      </c>
      <c r="CF362" s="15">
        <v>2350000.0</v>
      </c>
      <c r="CG362" s="15">
        <v>4020000.0</v>
      </c>
      <c r="CH362" s="15">
        <v>3860000.0</v>
      </c>
      <c r="CI362" s="15">
        <v>2120000.0</v>
      </c>
      <c r="CJ362" s="15">
        <v>2260000.0</v>
      </c>
      <c r="CK362" s="15">
        <v>2340000.0</v>
      </c>
      <c r="CL362" s="15">
        <v>1.315E7</v>
      </c>
      <c r="CM362" s="15">
        <v>1.453E7</v>
      </c>
      <c r="CN362" s="15">
        <v>7730000.0</v>
      </c>
      <c r="CO362" s="15">
        <v>7840000.0</v>
      </c>
      <c r="CP362" s="15">
        <v>8090000.0</v>
      </c>
      <c r="CQ362" s="15">
        <v>814000.0</v>
      </c>
      <c r="CR362" s="15">
        <v>705000.0</v>
      </c>
      <c r="CS362" s="15">
        <v>666000.0</v>
      </c>
      <c r="CT362" s="15">
        <v>610000.0</v>
      </c>
      <c r="CU362" s="15">
        <v>544000.0</v>
      </c>
      <c r="CV362" s="15">
        <v>3390000.0</v>
      </c>
      <c r="CW362" s="15">
        <v>870000.0</v>
      </c>
      <c r="CX362" s="15">
        <v>1140000.0</v>
      </c>
      <c r="CY362" s="15">
        <v>1040000.0</v>
      </c>
      <c r="CZ362" s="15">
        <v>775000.0</v>
      </c>
      <c r="DA362" s="15">
        <v>1540000.0</v>
      </c>
      <c r="DB362" s="15">
        <v>3390000.0</v>
      </c>
      <c r="DC362" s="15">
        <v>3590000.0</v>
      </c>
      <c r="DD362" s="15">
        <v>2400000.0</v>
      </c>
      <c r="DE362" s="15">
        <v>2560000.0</v>
      </c>
      <c r="DF362" s="15">
        <v>1.204E7</v>
      </c>
      <c r="DG362" s="15">
        <v>1.316E7</v>
      </c>
      <c r="DH362" s="15">
        <v>6080000.0</v>
      </c>
      <c r="DI362" s="15">
        <v>6300000.0</v>
      </c>
      <c r="DJ362" s="15">
        <v>6710000.0</v>
      </c>
      <c r="DK362" s="15">
        <v>77000.0</v>
      </c>
      <c r="DL362" s="15">
        <v>92000.0</v>
      </c>
      <c r="DM362" s="15">
        <v>69000.0</v>
      </c>
      <c r="DN362" s="15">
        <v>47000.0</v>
      </c>
      <c r="DO362" s="15">
        <v>22000.0</v>
      </c>
      <c r="DP362" s="15">
        <v>7100000.0</v>
      </c>
      <c r="DQ362" s="15">
        <v>7990000.0</v>
      </c>
      <c r="DR362" s="15">
        <v>2500000.0</v>
      </c>
      <c r="DS362" s="15">
        <v>2310000.0</v>
      </c>
      <c r="DT362" s="15">
        <v>2550000.0</v>
      </c>
      <c r="DU362" s="15"/>
      <c r="DV362" s="15"/>
      <c r="DW362" s="15"/>
      <c r="DX362" s="15"/>
      <c r="DY362" s="15"/>
      <c r="DZ362" s="15">
        <v>1100000.0</v>
      </c>
      <c r="EA362" s="15">
        <v>1360000.0</v>
      </c>
      <c r="EB362" s="15">
        <v>1640000.0</v>
      </c>
      <c r="EC362" s="15">
        <v>1530000.0</v>
      </c>
      <c r="ED362" s="15">
        <v>1380000.0</v>
      </c>
      <c r="EE362" s="31">
        <v>0.012</v>
      </c>
      <c r="EF362" s="31">
        <v>0.055</v>
      </c>
      <c r="EG362" s="31">
        <v>0.107</v>
      </c>
      <c r="EH362" s="31">
        <v>0.129</v>
      </c>
    </row>
    <row r="363">
      <c r="A363" s="9">
        <f t="shared" si="2"/>
        <v>361</v>
      </c>
      <c r="B363" s="25" t="s">
        <v>497</v>
      </c>
      <c r="C363" s="12"/>
      <c r="D363" s="12"/>
      <c r="E363" s="12">
        <v>59230.0</v>
      </c>
      <c r="F363" s="12">
        <v>59140.0</v>
      </c>
      <c r="G363" s="12">
        <v>56950.0</v>
      </c>
      <c r="H363" s="12">
        <v>52460.0</v>
      </c>
      <c r="I363" s="12">
        <v>52260.0</v>
      </c>
      <c r="J363" s="12">
        <v>17580.0</v>
      </c>
      <c r="K363" s="12">
        <v>19020.0</v>
      </c>
      <c r="L363" s="12">
        <v>18110.0</v>
      </c>
      <c r="M363" s="12">
        <v>15030.0</v>
      </c>
      <c r="N363" s="12">
        <v>16000.0</v>
      </c>
      <c r="O363" s="12">
        <v>13890.0</v>
      </c>
      <c r="P363" s="12">
        <v>13650.0</v>
      </c>
      <c r="Q363" s="12">
        <v>13720.0</v>
      </c>
      <c r="R363" s="12">
        <v>13230.0</v>
      </c>
      <c r="S363" s="12">
        <v>12890.0</v>
      </c>
      <c r="T363" s="12">
        <v>0.0</v>
      </c>
      <c r="U363" s="12">
        <v>0.0</v>
      </c>
      <c r="V363" s="12">
        <v>0.0</v>
      </c>
      <c r="W363" s="12">
        <v>0.0</v>
      </c>
      <c r="X363" s="12">
        <v>0.0</v>
      </c>
      <c r="Y363" s="12">
        <v>3890.0</v>
      </c>
      <c r="Z363" s="12">
        <v>5400.0</v>
      </c>
      <c r="AA363" s="12">
        <v>0.0</v>
      </c>
      <c r="AB363" s="12">
        <v>3270.0</v>
      </c>
      <c r="AC363" s="12">
        <v>3610.0</v>
      </c>
      <c r="AD363" s="12">
        <v>3960.0</v>
      </c>
      <c r="AE363" s="12">
        <v>7710.0</v>
      </c>
      <c r="AF363" s="12">
        <v>4570.0</v>
      </c>
      <c r="AG363" s="12">
        <v>7120.0</v>
      </c>
      <c r="AH363" s="12">
        <v>4620.0</v>
      </c>
      <c r="AI363" s="12">
        <v>6370.0</v>
      </c>
      <c r="AJ363" s="12">
        <v>7940.0</v>
      </c>
      <c r="AK363" s="12">
        <v>6910.0</v>
      </c>
      <c r="AL363" s="12">
        <v>4360.0</v>
      </c>
      <c r="AM363" s="12">
        <v>5410.0</v>
      </c>
      <c r="AN363" s="12">
        <v>2720.0</v>
      </c>
      <c r="AO363" s="12">
        <v>5720.0</v>
      </c>
      <c r="AP363" s="12">
        <v>4090.0</v>
      </c>
      <c r="AQ363" s="12">
        <v>4200.0</v>
      </c>
      <c r="AR363" s="12">
        <v>2730.0</v>
      </c>
      <c r="AS363" s="12">
        <v>6770.0</v>
      </c>
      <c r="AT363" s="12">
        <v>6330.0</v>
      </c>
      <c r="AU363" s="12">
        <v>8230.0</v>
      </c>
      <c r="AV363" s="12">
        <v>5370.0</v>
      </c>
      <c r="AW363" s="12">
        <v>4920.0</v>
      </c>
      <c r="AX363" s="12">
        <v>-15170.0</v>
      </c>
      <c r="AY363" s="12">
        <v>-5500.0</v>
      </c>
      <c r="AZ363" s="12">
        <v>-3780.0</v>
      </c>
      <c r="BA363" s="12">
        <v>-4430.0</v>
      </c>
      <c r="BB363" s="12">
        <v>-4340.0</v>
      </c>
      <c r="BC363" s="12">
        <v>-1280.0</v>
      </c>
      <c r="BD363" s="12">
        <v>-1210.0</v>
      </c>
      <c r="BE363" s="12">
        <v>0.0</v>
      </c>
      <c r="BF363" s="12">
        <v>-1290.0</v>
      </c>
      <c r="BG363" s="12">
        <v>-1060.0</v>
      </c>
      <c r="BH363" s="12">
        <v>2770.0</v>
      </c>
      <c r="BI363" s="12">
        <v>10160.0</v>
      </c>
      <c r="BJ363" s="12">
        <v>12230.0</v>
      </c>
      <c r="BK363" s="12">
        <v>8490.0</v>
      </c>
      <c r="BL363" s="12">
        <v>10040.0</v>
      </c>
      <c r="BM363" s="12">
        <v>0.0</v>
      </c>
      <c r="BN363" s="12">
        <v>1720.0</v>
      </c>
      <c r="BO363" s="12">
        <v>2330.0</v>
      </c>
      <c r="BP363" s="12">
        <v>2870.0</v>
      </c>
      <c r="BQ363" s="12">
        <v>0.0</v>
      </c>
      <c r="BR363" s="12">
        <v>0.0</v>
      </c>
      <c r="BS363" s="12">
        <v>0.0</v>
      </c>
      <c r="BT363" s="12">
        <v>0.0</v>
      </c>
      <c r="BU363" s="12">
        <v>0.0</v>
      </c>
      <c r="BV363" s="12">
        <v>0.0</v>
      </c>
      <c r="BW363" s="12">
        <v>3960.0</v>
      </c>
      <c r="BX363" s="12">
        <v>12810.0</v>
      </c>
      <c r="BY363" s="12">
        <v>15410.0</v>
      </c>
      <c r="BZ363" s="12">
        <v>12080.0</v>
      </c>
      <c r="CA363" s="12">
        <v>11200.0</v>
      </c>
      <c r="CB363" s="12">
        <v>43910.0</v>
      </c>
      <c r="CC363" s="12">
        <v>38130.0</v>
      </c>
      <c r="CD363" s="12">
        <v>36960.0</v>
      </c>
      <c r="CE363" s="12">
        <v>35380.0</v>
      </c>
      <c r="CF363" s="12">
        <v>34120.0</v>
      </c>
      <c r="CG363" s="12">
        <v>0.0</v>
      </c>
      <c r="CH363" s="12">
        <v>0.0</v>
      </c>
      <c r="CI363" s="12">
        <v>0.0</v>
      </c>
      <c r="CJ363" s="12">
        <v>0.0</v>
      </c>
      <c r="CK363" s="12">
        <v>0.0</v>
      </c>
      <c r="CL363" s="12">
        <v>65410.0</v>
      </c>
      <c r="CM363" s="12">
        <v>61430.0</v>
      </c>
      <c r="CN363" s="12">
        <v>54540.0</v>
      </c>
      <c r="CO363" s="12">
        <v>49620.0</v>
      </c>
      <c r="CP363" s="12">
        <v>45340.0</v>
      </c>
      <c r="CQ363" s="12">
        <v>3500.0</v>
      </c>
      <c r="CR363" s="12">
        <v>3590.0</v>
      </c>
      <c r="CS363" s="12">
        <v>2850.0</v>
      </c>
      <c r="CT363" s="12">
        <v>3160.0</v>
      </c>
      <c r="CU363" s="12">
        <v>2710.0</v>
      </c>
      <c r="CV363" s="12">
        <v>11480.0</v>
      </c>
      <c r="CW363" s="12">
        <v>0.0</v>
      </c>
      <c r="CX363" s="13">
        <v>0.0</v>
      </c>
      <c r="CY363" s="13">
        <v>0.0</v>
      </c>
      <c r="CZ363" s="13">
        <v>0.0</v>
      </c>
      <c r="DA363" s="12">
        <v>0.0</v>
      </c>
      <c r="DB363" s="12">
        <v>11480.0</v>
      </c>
      <c r="DC363" s="12">
        <v>10620.0</v>
      </c>
      <c r="DD363" s="12">
        <v>10820.0</v>
      </c>
      <c r="DE363" s="12">
        <v>8720.0</v>
      </c>
      <c r="DF363" s="12">
        <v>16000.0</v>
      </c>
      <c r="DG363" s="12">
        <v>14690.0</v>
      </c>
      <c r="DH363" s="12">
        <v>13820.0</v>
      </c>
      <c r="DI363" s="12">
        <v>13070.0</v>
      </c>
      <c r="DJ363" s="12">
        <v>12240.0</v>
      </c>
      <c r="DK363" s="12">
        <v>4260.0</v>
      </c>
      <c r="DL363" s="12">
        <v>4250.0</v>
      </c>
      <c r="DM363" s="12">
        <v>0.0</v>
      </c>
      <c r="DN363" s="12">
        <v>0.0</v>
      </c>
      <c r="DO363" s="12">
        <v>0.0</v>
      </c>
      <c r="DP363" s="12">
        <v>0.0</v>
      </c>
      <c r="DQ363" s="12">
        <v>0.0</v>
      </c>
      <c r="DR363" s="12">
        <v>0.0</v>
      </c>
      <c r="DS363" s="12">
        <v>0.0</v>
      </c>
      <c r="DT363" s="12">
        <v>2590.0</v>
      </c>
      <c r="DU363" s="13">
        <v>0.0</v>
      </c>
      <c r="DV363" s="12">
        <v>0.0</v>
      </c>
      <c r="DW363" s="12">
        <v>0.0</v>
      </c>
      <c r="DX363" s="13">
        <v>0.0</v>
      </c>
      <c r="DY363" s="13">
        <v>0.0</v>
      </c>
      <c r="DZ363" s="12">
        <v>49420.0</v>
      </c>
      <c r="EA363" s="12">
        <v>46730.0</v>
      </c>
      <c r="EB363" s="12">
        <v>40720.0</v>
      </c>
      <c r="EC363" s="12">
        <v>36550.0</v>
      </c>
      <c r="ED363" s="12">
        <v>33100.0</v>
      </c>
      <c r="EE363" s="17"/>
      <c r="EF363" s="17"/>
      <c r="EG363" s="23" t="s">
        <v>155</v>
      </c>
      <c r="EH363" s="17"/>
    </row>
    <row r="364">
      <c r="A364" s="9">
        <f t="shared" si="2"/>
        <v>362</v>
      </c>
      <c r="B364" s="10" t="s">
        <v>498</v>
      </c>
      <c r="C364" s="11">
        <v>131020.0</v>
      </c>
      <c r="D364" s="11">
        <v>136020.0</v>
      </c>
      <c r="E364" s="11">
        <v>122750.0</v>
      </c>
      <c r="F364" s="11">
        <v>131980.0</v>
      </c>
      <c r="G364" s="11">
        <v>264320.0</v>
      </c>
      <c r="H364" s="11">
        <v>256160.0</v>
      </c>
      <c r="I364" s="11">
        <v>235210.0</v>
      </c>
      <c r="J364" s="11">
        <v>45630.0</v>
      </c>
      <c r="K364" s="11">
        <v>45020.0</v>
      </c>
      <c r="L364" s="11">
        <v>73810.0</v>
      </c>
      <c r="M364" s="11">
        <v>81940.0</v>
      </c>
      <c r="N364" s="11">
        <v>80410.0</v>
      </c>
      <c r="O364" s="11">
        <v>5500.0</v>
      </c>
      <c r="P364" s="11">
        <v>5710.0</v>
      </c>
      <c r="Q364" s="11">
        <v>6230.0</v>
      </c>
      <c r="R364" s="11">
        <v>6250.0</v>
      </c>
      <c r="S364" s="11">
        <v>6610.0</v>
      </c>
      <c r="T364" s="12"/>
      <c r="U364" s="12"/>
      <c r="V364" s="12"/>
      <c r="W364" s="12"/>
      <c r="X364" s="12"/>
      <c r="Y364" s="12"/>
      <c r="Z364" s="11">
        <v>-28810.0</v>
      </c>
      <c r="AA364" s="11">
        <v>64300.0</v>
      </c>
      <c r="AB364" s="12"/>
      <c r="AC364" s="12"/>
      <c r="AD364" s="11">
        <v>24420.0</v>
      </c>
      <c r="AE364" s="11">
        <v>-7610.0</v>
      </c>
      <c r="AF364" s="11">
        <v>38480.0</v>
      </c>
      <c r="AG364" s="11">
        <v>52490.0</v>
      </c>
      <c r="AH364" s="11">
        <v>55410.0</v>
      </c>
      <c r="AI364" s="11">
        <v>83770.0</v>
      </c>
      <c r="AJ364" s="11">
        <v>86500.0</v>
      </c>
      <c r="AK364" s="11">
        <v>156780.0</v>
      </c>
      <c r="AL364" s="11">
        <v>162130.0</v>
      </c>
      <c r="AM364" s="11">
        <v>152290.0</v>
      </c>
      <c r="AN364" s="11">
        <v>24190.0</v>
      </c>
      <c r="AO364" s="11">
        <v>-7260.0</v>
      </c>
      <c r="AP364" s="11">
        <v>37830.0</v>
      </c>
      <c r="AQ364" s="11">
        <v>51390.0</v>
      </c>
      <c r="AR364" s="11">
        <v>54520.0</v>
      </c>
      <c r="AS364" s="11">
        <v>53390.0</v>
      </c>
      <c r="AT364" s="11">
        <v>97820.0</v>
      </c>
      <c r="AU364" s="11">
        <v>121980.0</v>
      </c>
      <c r="AV364" s="11">
        <v>155060.0</v>
      </c>
      <c r="AW364" s="11">
        <v>134210.0</v>
      </c>
      <c r="AX364" s="11">
        <v>-6520.0</v>
      </c>
      <c r="AY364" s="11">
        <v>-2430.0</v>
      </c>
      <c r="AZ364" s="11">
        <v>-2040.0</v>
      </c>
      <c r="BA364" s="11">
        <v>-90780.0</v>
      </c>
      <c r="BB364" s="11">
        <v>-207940.0</v>
      </c>
      <c r="BC364" s="11">
        <v>-28330.0</v>
      </c>
      <c r="BD364" s="11">
        <v>-51820.0</v>
      </c>
      <c r="BE364" s="11">
        <v>-50850.0</v>
      </c>
      <c r="BF364" s="11">
        <v>-67060.0</v>
      </c>
      <c r="BG364" s="11">
        <v>-120550.0</v>
      </c>
      <c r="BH364" s="11">
        <v>57960.0</v>
      </c>
      <c r="BI364" s="11">
        <v>21200.0</v>
      </c>
      <c r="BJ364" s="11">
        <v>63300.0</v>
      </c>
      <c r="BK364" s="11">
        <v>106680.0</v>
      </c>
      <c r="BL364" s="11">
        <v>90190.0</v>
      </c>
      <c r="BM364" s="11">
        <v>3780.0</v>
      </c>
      <c r="BN364" s="11">
        <v>16130.0</v>
      </c>
      <c r="BO364" s="11">
        <v>4770.0</v>
      </c>
      <c r="BP364" s="11">
        <v>2500.0</v>
      </c>
      <c r="BQ364" s="11">
        <v>2680.0</v>
      </c>
      <c r="BR364" s="11">
        <v>1470.0</v>
      </c>
      <c r="BS364" s="11">
        <v>1520.0</v>
      </c>
      <c r="BT364" s="11">
        <v>5320.0</v>
      </c>
      <c r="BU364" s="11">
        <v>4760.0</v>
      </c>
      <c r="BV364" s="11">
        <v>4410.0</v>
      </c>
      <c r="BW364" s="11">
        <v>65950.0</v>
      </c>
      <c r="BX364" s="11">
        <v>64560.0</v>
      </c>
      <c r="BY364" s="11">
        <v>105460.0</v>
      </c>
      <c r="BZ364" s="11">
        <v>117880.0</v>
      </c>
      <c r="CA364" s="11">
        <v>99820.0</v>
      </c>
      <c r="CB364" s="11">
        <v>576890.0</v>
      </c>
      <c r="CC364" s="11">
        <v>586100.0</v>
      </c>
      <c r="CD364" s="11">
        <v>1270000.0</v>
      </c>
      <c r="CE364" s="11">
        <v>1370000.0</v>
      </c>
      <c r="CF364" s="11">
        <v>1330000.0</v>
      </c>
      <c r="CG364" s="11"/>
      <c r="CH364" s="11"/>
      <c r="CI364" s="11"/>
      <c r="CJ364" s="11"/>
      <c r="CK364" s="11"/>
      <c r="CL364" s="11">
        <v>703460.0</v>
      </c>
      <c r="CM364" s="11">
        <v>1390000.0</v>
      </c>
      <c r="CN364" s="11">
        <v>1470000.0</v>
      </c>
      <c r="CO364" s="11">
        <v>1600000.0</v>
      </c>
      <c r="CP364" s="11">
        <v>1560000.0</v>
      </c>
      <c r="CQ364" s="11">
        <v>12500.0</v>
      </c>
      <c r="CR364" s="11">
        <v>14350.0</v>
      </c>
      <c r="CS364" s="11">
        <v>9630.0</v>
      </c>
      <c r="CT364" s="11">
        <v>8690.0</v>
      </c>
      <c r="CU364" s="11">
        <v>8430.0</v>
      </c>
      <c r="CV364" s="11">
        <v>64740.0</v>
      </c>
      <c r="CW364" s="11"/>
      <c r="CX364" s="12"/>
      <c r="CY364" s="12"/>
      <c r="CZ364" s="12"/>
      <c r="DA364" s="12"/>
      <c r="DB364" s="11">
        <v>64740.0</v>
      </c>
      <c r="DC364" s="11">
        <v>115160.0</v>
      </c>
      <c r="DD364" s="11">
        <v>123070.0</v>
      </c>
      <c r="DE364" s="11">
        <v>92200.0</v>
      </c>
      <c r="DF364" s="11">
        <v>296730.0</v>
      </c>
      <c r="DG364" s="11">
        <v>503930.0</v>
      </c>
      <c r="DH364" s="11">
        <v>532810.0</v>
      </c>
      <c r="DI364" s="11">
        <v>670850.0</v>
      </c>
      <c r="DJ364" s="11">
        <v>618060.0</v>
      </c>
      <c r="DK364" s="11">
        <v>5500.0</v>
      </c>
      <c r="DL364" s="11">
        <v>17000.0</v>
      </c>
      <c r="DM364" s="11">
        <v>18000.0</v>
      </c>
      <c r="DN364" s="11">
        <v>18000.0</v>
      </c>
      <c r="DO364" s="11">
        <v>17000.0</v>
      </c>
      <c r="DP364" s="11">
        <v>231990.0</v>
      </c>
      <c r="DQ364" s="11">
        <v>253930.0</v>
      </c>
      <c r="DR364" s="11">
        <v>403820.0</v>
      </c>
      <c r="DS364" s="11">
        <v>562620.0</v>
      </c>
      <c r="DT364" s="11">
        <v>555890.0</v>
      </c>
      <c r="DU364" s="13"/>
      <c r="DV364" s="11">
        <v>110510.0</v>
      </c>
      <c r="DW364" s="11">
        <v>110510.0</v>
      </c>
      <c r="DX364" s="11">
        <v>110510.0</v>
      </c>
      <c r="DY364" s="11">
        <v>110580.0</v>
      </c>
      <c r="DZ364" s="11">
        <v>398170.0</v>
      </c>
      <c r="EA364" s="11">
        <v>865880.0</v>
      </c>
      <c r="EB364" s="11">
        <v>916980.0</v>
      </c>
      <c r="EC364" s="11">
        <v>911070.0</v>
      </c>
      <c r="ED364" s="11">
        <v>920820.0</v>
      </c>
      <c r="EE364" s="14">
        <v>0.026</v>
      </c>
      <c r="EF364" s="14">
        <v>0.057</v>
      </c>
      <c r="EG364" s="14">
        <v>-0.08</v>
      </c>
      <c r="EH364" s="14">
        <v>-0.12</v>
      </c>
    </row>
    <row r="365">
      <c r="A365" s="9">
        <f t="shared" si="2"/>
        <v>363</v>
      </c>
      <c r="B365" s="10" t="s">
        <v>499</v>
      </c>
      <c r="C365" s="11">
        <v>2280000.0</v>
      </c>
      <c r="D365" s="11">
        <v>2110000.0</v>
      </c>
      <c r="E365" s="11">
        <v>2040000.0</v>
      </c>
      <c r="F365" s="11">
        <v>1810000.0</v>
      </c>
      <c r="G365" s="11">
        <v>1450000.0</v>
      </c>
      <c r="H365" s="11">
        <v>1270000.0</v>
      </c>
      <c r="I365" s="11">
        <v>1150000.0</v>
      </c>
      <c r="J365" s="11">
        <v>876610.0</v>
      </c>
      <c r="K365" s="11">
        <v>809600.0</v>
      </c>
      <c r="L365" s="11">
        <v>614980.0</v>
      </c>
      <c r="M365" s="11">
        <v>529670.0</v>
      </c>
      <c r="N365" s="11">
        <v>471700.0</v>
      </c>
      <c r="O365" s="11">
        <v>160140.0</v>
      </c>
      <c r="P365" s="11">
        <v>155520.0</v>
      </c>
      <c r="Q365" s="11">
        <v>132420.0</v>
      </c>
      <c r="R365" s="11">
        <v>123200.0</v>
      </c>
      <c r="S365" s="11">
        <v>126710.0</v>
      </c>
      <c r="T365" s="12"/>
      <c r="U365" s="12"/>
      <c r="V365" s="12"/>
      <c r="W365" s="12"/>
      <c r="X365" s="12"/>
      <c r="Y365" s="12"/>
      <c r="Z365" s="11">
        <v>584350.0</v>
      </c>
      <c r="AA365" s="11">
        <v>461300.0</v>
      </c>
      <c r="AB365" s="12"/>
      <c r="AC365" s="11">
        <v>344400.0</v>
      </c>
      <c r="AD365" s="11">
        <v>704950.0</v>
      </c>
      <c r="AE365" s="11">
        <v>562510.0</v>
      </c>
      <c r="AF365" s="11">
        <v>440100.0</v>
      </c>
      <c r="AG365" s="11">
        <v>395870.0</v>
      </c>
      <c r="AH365" s="11">
        <v>332070.0</v>
      </c>
      <c r="AI365" s="11">
        <v>801370.0</v>
      </c>
      <c r="AJ365" s="11">
        <v>732670.0</v>
      </c>
      <c r="AK365" s="11">
        <v>539560.0</v>
      </c>
      <c r="AL365" s="11">
        <v>455050.0</v>
      </c>
      <c r="AM365" s="11">
        <v>391690.0</v>
      </c>
      <c r="AN365" s="11">
        <v>591690.0</v>
      </c>
      <c r="AO365" s="11">
        <v>417870.0</v>
      </c>
      <c r="AP365" s="11">
        <v>394230.0</v>
      </c>
      <c r="AQ365" s="11">
        <v>270360.0</v>
      </c>
      <c r="AR365" s="11">
        <v>219780.0</v>
      </c>
      <c r="AS365" s="11">
        <v>646650.0</v>
      </c>
      <c r="AT365" s="11">
        <v>535070.0</v>
      </c>
      <c r="AU365" s="11">
        <v>492060.0</v>
      </c>
      <c r="AV365" s="11">
        <v>332500.0</v>
      </c>
      <c r="AW365" s="11">
        <v>265080.0</v>
      </c>
      <c r="AX365" s="11">
        <v>-373880.0</v>
      </c>
      <c r="AY365" s="11">
        <v>-287910.0</v>
      </c>
      <c r="AZ365" s="11">
        <v>-172180.0</v>
      </c>
      <c r="BA365" s="11">
        <v>-173920.0</v>
      </c>
      <c r="BB365" s="11">
        <v>-79150.0</v>
      </c>
      <c r="BC365" s="12"/>
      <c r="BD365" s="12"/>
      <c r="BE365" s="12"/>
      <c r="BF365" s="12"/>
      <c r="BG365" s="12"/>
      <c r="BH365" s="11">
        <v>186320.0</v>
      </c>
      <c r="BI365" s="11">
        <v>274520.0</v>
      </c>
      <c r="BJ365" s="11">
        <v>210100.0</v>
      </c>
      <c r="BK365" s="11">
        <v>155850.0</v>
      </c>
      <c r="BL365" s="11">
        <v>456010.0</v>
      </c>
      <c r="BM365" s="11">
        <v>386790.0</v>
      </c>
      <c r="BN365" s="11">
        <v>366910.0</v>
      </c>
      <c r="BO365" s="11">
        <v>318260.0</v>
      </c>
      <c r="BP365" s="11">
        <v>285020.0</v>
      </c>
      <c r="BQ365" s="11">
        <v>221790.0</v>
      </c>
      <c r="BR365" s="11">
        <v>20940.0</v>
      </c>
      <c r="BS365" s="11">
        <v>16730.0</v>
      </c>
      <c r="BT365" s="11">
        <v>10160.0</v>
      </c>
      <c r="BU365" s="11">
        <v>10390.0</v>
      </c>
      <c r="BV365" s="11">
        <v>8610.0</v>
      </c>
      <c r="BW365" s="11">
        <v>610620.0</v>
      </c>
      <c r="BX365" s="11">
        <v>674830.0</v>
      </c>
      <c r="BY365" s="11">
        <v>556140.0</v>
      </c>
      <c r="BZ365" s="11">
        <v>470710.0</v>
      </c>
      <c r="CA365" s="11">
        <v>709630.0</v>
      </c>
      <c r="CB365" s="11">
        <v>1430000.0</v>
      </c>
      <c r="CC365" s="11">
        <v>1160000.0</v>
      </c>
      <c r="CD365" s="11">
        <v>944060.0</v>
      </c>
      <c r="CE365" s="11">
        <v>816790.0</v>
      </c>
      <c r="CF365" s="11">
        <v>700400.0</v>
      </c>
      <c r="CG365" s="11">
        <v>333320.0</v>
      </c>
      <c r="CH365" s="11">
        <v>337240.0</v>
      </c>
      <c r="CI365" s="11">
        <v>340240.0</v>
      </c>
      <c r="CJ365" s="11">
        <v>260200.0</v>
      </c>
      <c r="CK365" s="11">
        <v>271850.0</v>
      </c>
      <c r="CL365" s="11">
        <v>2550000.0</v>
      </c>
      <c r="CM365" s="11">
        <v>2310000.0</v>
      </c>
      <c r="CN365" s="11">
        <v>1980000.0</v>
      </c>
      <c r="CO365" s="11">
        <v>1650000.0</v>
      </c>
      <c r="CP365" s="11">
        <v>1800000.0</v>
      </c>
      <c r="CQ365" s="11">
        <v>113950.0</v>
      </c>
      <c r="CR365" s="11">
        <v>133720.0</v>
      </c>
      <c r="CS365" s="11">
        <v>71160.0</v>
      </c>
      <c r="CT365" s="11">
        <v>76950.0</v>
      </c>
      <c r="CU365" s="11">
        <v>57520.0</v>
      </c>
      <c r="CV365" s="11">
        <v>282000.0</v>
      </c>
      <c r="CW365" s="12"/>
      <c r="CX365" s="12"/>
      <c r="CY365" s="12"/>
      <c r="CZ365" s="12"/>
      <c r="DA365" s="12"/>
      <c r="DB365" s="11">
        <v>282000.0</v>
      </c>
      <c r="DC365" s="11">
        <v>277260.0</v>
      </c>
      <c r="DD365" s="11">
        <v>302150.0</v>
      </c>
      <c r="DE365" s="11">
        <v>278780.0</v>
      </c>
      <c r="DF365" s="11">
        <v>769240.0</v>
      </c>
      <c r="DG365" s="11">
        <v>726600.0</v>
      </c>
      <c r="DH365" s="11">
        <v>883900.0</v>
      </c>
      <c r="DI365" s="11">
        <v>875360.0</v>
      </c>
      <c r="DJ365" s="11">
        <v>835490.0</v>
      </c>
      <c r="DK365" s="12"/>
      <c r="DL365" s="12"/>
      <c r="DM365" s="12"/>
      <c r="DN365" s="12"/>
      <c r="DO365" s="12"/>
      <c r="DP365" s="11">
        <v>400090.0</v>
      </c>
      <c r="DQ365" s="11">
        <v>398750.0</v>
      </c>
      <c r="DR365" s="11">
        <v>550880.0</v>
      </c>
      <c r="DS365" s="11">
        <v>564340.0</v>
      </c>
      <c r="DT365" s="11">
        <v>592140.0</v>
      </c>
      <c r="DU365" s="13"/>
      <c r="DV365" s="12"/>
      <c r="DW365" s="12"/>
      <c r="DX365" s="12"/>
      <c r="DY365" s="12"/>
      <c r="DZ365" s="11">
        <v>1780000.0</v>
      </c>
      <c r="EA365" s="11">
        <v>1580000.0</v>
      </c>
      <c r="EB365" s="11">
        <v>1100000.0</v>
      </c>
      <c r="EC365" s="11">
        <v>774460.0</v>
      </c>
      <c r="ED365" s="11">
        <v>964460.0</v>
      </c>
      <c r="EE365" s="14">
        <v>0.057</v>
      </c>
      <c r="EF365" s="14">
        <v>0.118</v>
      </c>
      <c r="EG365" s="14">
        <v>-0.094</v>
      </c>
      <c r="EH365" s="14">
        <v>0.007</v>
      </c>
    </row>
    <row r="366">
      <c r="A366" s="9">
        <f t="shared" si="2"/>
        <v>364</v>
      </c>
      <c r="B366" s="22" t="s">
        <v>500</v>
      </c>
      <c r="C366" s="11">
        <v>151910.0</v>
      </c>
      <c r="D366" s="11">
        <v>126570.0</v>
      </c>
      <c r="E366" s="11">
        <v>102310.0</v>
      </c>
      <c r="F366" s="11">
        <v>500.0</v>
      </c>
      <c r="G366" s="12"/>
      <c r="H366" s="12"/>
      <c r="I366" s="12"/>
      <c r="J366" s="11">
        <v>87550.0</v>
      </c>
      <c r="K366" s="12"/>
      <c r="L366" s="11">
        <v>-46.0</v>
      </c>
      <c r="M366" s="11">
        <v>-43.0</v>
      </c>
      <c r="N366" s="11">
        <v>-34.0</v>
      </c>
      <c r="O366" s="11">
        <v>55720.0</v>
      </c>
      <c r="P366" s="11">
        <v>35760.0</v>
      </c>
      <c r="Q366" s="11">
        <v>18630.0</v>
      </c>
      <c r="R366" s="11">
        <v>18640.0</v>
      </c>
      <c r="S366" s="11">
        <v>20360.0</v>
      </c>
      <c r="T366" s="11">
        <v>18840.0</v>
      </c>
      <c r="U366" s="11">
        <v>19920.0</v>
      </c>
      <c r="V366" s="11">
        <v>11380.0</v>
      </c>
      <c r="W366" s="11">
        <v>11370.0</v>
      </c>
      <c r="X366" s="11">
        <v>11800.0</v>
      </c>
      <c r="Y366" s="11">
        <v>31920.0</v>
      </c>
      <c r="Z366" s="11">
        <v>-35320.0</v>
      </c>
      <c r="AA366" s="11">
        <v>-18840.0</v>
      </c>
      <c r="AB366" s="11">
        <v>-18390.0</v>
      </c>
      <c r="AC366" s="11">
        <v>-20330.0</v>
      </c>
      <c r="AD366" s="11">
        <v>33410.0</v>
      </c>
      <c r="AE366" s="11">
        <v>-34000.0</v>
      </c>
      <c r="AF366" s="11">
        <v>-18410.0</v>
      </c>
      <c r="AG366" s="11">
        <v>-18070.0</v>
      </c>
      <c r="AH366" s="11">
        <v>-20230.0</v>
      </c>
      <c r="AI366" s="11">
        <v>32120.0</v>
      </c>
      <c r="AJ366" s="11">
        <v>-35260.0</v>
      </c>
      <c r="AK366" s="11">
        <v>-18630.0</v>
      </c>
      <c r="AL366" s="11">
        <v>-18640.0</v>
      </c>
      <c r="AM366" s="11">
        <v>-20360.0</v>
      </c>
      <c r="AN366" s="11">
        <v>31880.0</v>
      </c>
      <c r="AO366" s="11">
        <v>-34000.0</v>
      </c>
      <c r="AP366" s="11">
        <v>-18410.0</v>
      </c>
      <c r="AQ366" s="11">
        <v>-18070.0</v>
      </c>
      <c r="AR366" s="11">
        <v>-20230.0</v>
      </c>
      <c r="AS366" s="11">
        <v>34890.0</v>
      </c>
      <c r="AT366" s="11">
        <v>-25700.0</v>
      </c>
      <c r="AU366" s="11">
        <v>-13740.0</v>
      </c>
      <c r="AV366" s="11">
        <v>-17960.0</v>
      </c>
      <c r="AW366" s="11">
        <v>-18020.0</v>
      </c>
      <c r="AX366" s="11">
        <v>-19.0</v>
      </c>
      <c r="AY366" s="11">
        <v>-92.0</v>
      </c>
      <c r="AZ366" s="12"/>
      <c r="BA366" s="11">
        <v>-96.0</v>
      </c>
      <c r="BB366" s="11">
        <v>-23.0</v>
      </c>
      <c r="BC366" s="12"/>
      <c r="BD366" s="12"/>
      <c r="BE366" s="12"/>
      <c r="BF366" s="12"/>
      <c r="BG366" s="12"/>
      <c r="BH366" s="11">
        <v>94520.0</v>
      </c>
      <c r="BI366" s="11">
        <v>53480.0</v>
      </c>
      <c r="BJ366" s="11">
        <v>84010.0</v>
      </c>
      <c r="BK366" s="11">
        <v>40410.0</v>
      </c>
      <c r="BL366" s="11">
        <v>58400.0</v>
      </c>
      <c r="BM366" s="11">
        <v>10540.0</v>
      </c>
      <c r="BN366" s="12"/>
      <c r="BO366" s="12"/>
      <c r="BP366" s="12"/>
      <c r="BQ366" s="12"/>
      <c r="BR366" s="11">
        <v>1960.0</v>
      </c>
      <c r="BS366" s="11">
        <v>56.0</v>
      </c>
      <c r="BT366" s="12"/>
      <c r="BU366" s="12"/>
      <c r="BV366" s="12"/>
      <c r="BW366" s="11">
        <v>111360.0</v>
      </c>
      <c r="BX366" s="11">
        <v>55190.0</v>
      </c>
      <c r="BY366" s="11">
        <v>85190.0</v>
      </c>
      <c r="BZ366" s="11">
        <v>41450.0</v>
      </c>
      <c r="CA366" s="11">
        <v>59900.0</v>
      </c>
      <c r="CB366" s="11">
        <v>1000.0</v>
      </c>
      <c r="CC366" s="11">
        <v>245.0</v>
      </c>
      <c r="CD366" s="11">
        <v>191.0</v>
      </c>
      <c r="CE366" s="11">
        <v>244.0</v>
      </c>
      <c r="CF366" s="11">
        <v>192.0</v>
      </c>
      <c r="CG366" s="12"/>
      <c r="CH366" s="12"/>
      <c r="CI366" s="12"/>
      <c r="CJ366" s="12"/>
      <c r="CK366" s="12"/>
      <c r="CL366" s="11">
        <v>112380.0</v>
      </c>
      <c r="CM366" s="11">
        <v>60450.0</v>
      </c>
      <c r="CN366" s="11">
        <v>85390.0</v>
      </c>
      <c r="CO366" s="11">
        <v>41710.0</v>
      </c>
      <c r="CP366" s="11">
        <v>60100.0</v>
      </c>
      <c r="CQ366" s="11">
        <v>4120.0</v>
      </c>
      <c r="CR366" s="11">
        <v>2340.0</v>
      </c>
      <c r="CS366" s="12"/>
      <c r="CT366" s="12"/>
      <c r="CU366" s="12"/>
      <c r="CV366" s="11">
        <v>24100.0</v>
      </c>
      <c r="CW366" s="11">
        <v>301.0</v>
      </c>
      <c r="CX366" s="12"/>
      <c r="CY366" s="12"/>
      <c r="CZ366" s="12"/>
      <c r="DA366" s="12"/>
      <c r="DB366" s="11">
        <v>24100.0</v>
      </c>
      <c r="DC366" s="11">
        <v>9510.0</v>
      </c>
      <c r="DD366" s="11">
        <v>4270.0</v>
      </c>
      <c r="DE366" s="11">
        <v>2090.0</v>
      </c>
      <c r="DF366" s="11">
        <v>24750.0</v>
      </c>
      <c r="DG366" s="11">
        <v>9670.0</v>
      </c>
      <c r="DH366" s="11">
        <v>4420.0</v>
      </c>
      <c r="DI366" s="11">
        <v>2400.0</v>
      </c>
      <c r="DJ366" s="11">
        <v>4630.0</v>
      </c>
      <c r="DK366" s="12"/>
      <c r="DL366" s="11">
        <v>5010.0</v>
      </c>
      <c r="DM366" s="12"/>
      <c r="DN366" s="12"/>
      <c r="DO366" s="12"/>
      <c r="DP366" s="11">
        <v>648.0</v>
      </c>
      <c r="DQ366" s="12"/>
      <c r="DR366" s="12"/>
      <c r="DS366" s="12"/>
      <c r="DT366" s="12"/>
      <c r="DU366" s="13"/>
      <c r="DV366" s="12"/>
      <c r="DW366" s="12"/>
      <c r="DX366" s="13"/>
      <c r="DY366" s="13"/>
      <c r="DZ366" s="11">
        <v>87630.0</v>
      </c>
      <c r="EA366" s="11">
        <v>50780.0</v>
      </c>
      <c r="EB366" s="11">
        <v>80960.0</v>
      </c>
      <c r="EC366" s="11">
        <v>39310.0</v>
      </c>
      <c r="ED366" s="11">
        <v>55480.0</v>
      </c>
      <c r="EE366" s="14">
        <v>0.127</v>
      </c>
      <c r="EF366" s="14">
        <v>0.33</v>
      </c>
      <c r="EG366" s="14">
        <v>0.125</v>
      </c>
      <c r="EH366" s="14">
        <v>0.055</v>
      </c>
    </row>
    <row r="367">
      <c r="A367" s="9">
        <f t="shared" si="2"/>
        <v>365</v>
      </c>
      <c r="B367" s="22" t="s">
        <v>501</v>
      </c>
      <c r="C367" s="11">
        <v>9980.0</v>
      </c>
      <c r="D367" s="11">
        <v>5320.0</v>
      </c>
      <c r="E367" s="11">
        <v>36140.0</v>
      </c>
      <c r="F367" s="11">
        <v>4820.0</v>
      </c>
      <c r="G367" s="11">
        <v>2440.0</v>
      </c>
      <c r="H367" s="11">
        <v>1910.0</v>
      </c>
      <c r="I367" s="11">
        <v>648.0</v>
      </c>
      <c r="J367" s="12"/>
      <c r="K367" s="12"/>
      <c r="L367" s="12"/>
      <c r="M367" s="12"/>
      <c r="N367" s="12"/>
      <c r="O367" s="11">
        <v>116600.0</v>
      </c>
      <c r="P367" s="11">
        <v>61080.0</v>
      </c>
      <c r="Q367" s="11">
        <v>34750.0</v>
      </c>
      <c r="R367" s="11">
        <v>21810.0</v>
      </c>
      <c r="S367" s="11">
        <v>9460.0</v>
      </c>
      <c r="T367" s="11">
        <v>94190.0</v>
      </c>
      <c r="U367" s="11">
        <v>48610.0</v>
      </c>
      <c r="V367" s="11">
        <v>26040.0</v>
      </c>
      <c r="W367" s="11">
        <v>15440.0</v>
      </c>
      <c r="X367" s="11">
        <v>5890.0</v>
      </c>
      <c r="Y367" s="12"/>
      <c r="Z367" s="11">
        <v>-56940.0</v>
      </c>
      <c r="AA367" s="12"/>
      <c r="AB367" s="12"/>
      <c r="AC367" s="12"/>
      <c r="AD367" s="11">
        <v>-76040.0</v>
      </c>
      <c r="AE367" s="11">
        <v>-55670.0</v>
      </c>
      <c r="AF367" s="11">
        <v>-32420.0</v>
      </c>
      <c r="AG367" s="11">
        <v>-20000.0</v>
      </c>
      <c r="AH367" s="11">
        <v>-8850.0</v>
      </c>
      <c r="AI367" s="11">
        <v>-80460.0</v>
      </c>
      <c r="AJ367" s="11">
        <v>-56250.0</v>
      </c>
      <c r="AK367" s="11">
        <v>-32310.0</v>
      </c>
      <c r="AL367" s="11">
        <v>-19900.0</v>
      </c>
      <c r="AM367" s="11">
        <v>-8810.0</v>
      </c>
      <c r="AN367" s="11">
        <v>-71450.0</v>
      </c>
      <c r="AO367" s="11">
        <v>-55670.0</v>
      </c>
      <c r="AP367" s="11">
        <v>-32420.0</v>
      </c>
      <c r="AQ367" s="11">
        <v>-20000.0</v>
      </c>
      <c r="AR367" s="11">
        <v>-8850.0</v>
      </c>
      <c r="AS367" s="11">
        <v>-46690.0</v>
      </c>
      <c r="AT367" s="11">
        <v>-30070.0</v>
      </c>
      <c r="AU367" s="11">
        <v>-27800.0</v>
      </c>
      <c r="AV367" s="11">
        <v>-13570.0</v>
      </c>
      <c r="AW367" s="11">
        <v>-4620.0</v>
      </c>
      <c r="AX367" s="11">
        <v>-2740.0</v>
      </c>
      <c r="AY367" s="11">
        <v>-2300.0</v>
      </c>
      <c r="AZ367" s="11">
        <v>-707.0</v>
      </c>
      <c r="BA367" s="11">
        <v>-353.0</v>
      </c>
      <c r="BB367" s="11">
        <v>-114.0</v>
      </c>
      <c r="BC367" s="12"/>
      <c r="BD367" s="12"/>
      <c r="BE367" s="12"/>
      <c r="BF367" s="12"/>
      <c r="BG367" s="12"/>
      <c r="BH367" s="11">
        <v>31750.0</v>
      </c>
      <c r="BI367" s="11">
        <v>41750.0</v>
      </c>
      <c r="BJ367" s="11">
        <v>62700.0</v>
      </c>
      <c r="BK367" s="11">
        <v>15140.0</v>
      </c>
      <c r="BL367" s="11">
        <v>12340.0</v>
      </c>
      <c r="BM367" s="11">
        <v>2680.0</v>
      </c>
      <c r="BN367" s="12"/>
      <c r="BO367" s="12"/>
      <c r="BP367" s="11">
        <v>1330.0</v>
      </c>
      <c r="BQ367" s="12"/>
      <c r="BR367" s="12"/>
      <c r="BS367" s="12"/>
      <c r="BT367" s="12"/>
      <c r="BU367" s="12"/>
      <c r="BV367" s="12"/>
      <c r="BW367" s="11">
        <v>38150.0</v>
      </c>
      <c r="BX367" s="11">
        <v>44240.0</v>
      </c>
      <c r="BY367" s="11">
        <v>65500.0</v>
      </c>
      <c r="BZ367" s="11">
        <v>17400.0</v>
      </c>
      <c r="CA367" s="11">
        <v>12710.0</v>
      </c>
      <c r="CB367" s="11">
        <v>10900.0</v>
      </c>
      <c r="CC367" s="11">
        <v>2710.0</v>
      </c>
      <c r="CD367" s="11">
        <v>1430.0</v>
      </c>
      <c r="CE367" s="11">
        <v>435.0</v>
      </c>
      <c r="CF367" s="11">
        <v>124.0</v>
      </c>
      <c r="CG367" s="12"/>
      <c r="CH367" s="12"/>
      <c r="CI367" s="12"/>
      <c r="CJ367" s="12"/>
      <c r="CK367" s="12"/>
      <c r="CL367" s="11">
        <v>49140.0</v>
      </c>
      <c r="CM367" s="11">
        <v>46990.0</v>
      </c>
      <c r="CN367" s="11">
        <v>66980.0</v>
      </c>
      <c r="CO367" s="11">
        <v>17890.0</v>
      </c>
      <c r="CP367" s="11">
        <v>12880.0</v>
      </c>
      <c r="CQ367" s="11">
        <v>11090.0</v>
      </c>
      <c r="CR367" s="11">
        <v>6350.0</v>
      </c>
      <c r="CS367" s="11">
        <v>3130.0</v>
      </c>
      <c r="CT367" s="11">
        <v>3420.0</v>
      </c>
      <c r="CU367" s="11">
        <v>1310.0</v>
      </c>
      <c r="CV367" s="11">
        <v>34890.0</v>
      </c>
      <c r="CW367" s="11">
        <v>596.0</v>
      </c>
      <c r="CX367" s="12"/>
      <c r="CY367" s="12"/>
      <c r="CZ367" s="12"/>
      <c r="DA367" s="12"/>
      <c r="DB367" s="11">
        <v>34890.0</v>
      </c>
      <c r="DC367" s="11">
        <v>18090.0</v>
      </c>
      <c r="DD367" s="11">
        <v>8200.0</v>
      </c>
      <c r="DE367" s="11">
        <v>8900.0</v>
      </c>
      <c r="DF367" s="11">
        <v>42980.0</v>
      </c>
      <c r="DG367" s="11">
        <v>19470.0</v>
      </c>
      <c r="DH367" s="11">
        <v>9190.0</v>
      </c>
      <c r="DI367" s="11">
        <v>8970.0</v>
      </c>
      <c r="DJ367" s="11">
        <v>3890.0</v>
      </c>
      <c r="DK367" s="12"/>
      <c r="DL367" s="12"/>
      <c r="DM367" s="12"/>
      <c r="DN367" s="11">
        <v>50.0</v>
      </c>
      <c r="DO367" s="11">
        <v>36.0</v>
      </c>
      <c r="DP367" s="11">
        <v>8100.0</v>
      </c>
      <c r="DQ367" s="12"/>
      <c r="DR367" s="11">
        <v>0.0</v>
      </c>
      <c r="DS367" s="11">
        <v>5.0</v>
      </c>
      <c r="DT367" s="12"/>
      <c r="DU367" s="13"/>
      <c r="DV367" s="12"/>
      <c r="DW367" s="12"/>
      <c r="DX367" s="13"/>
      <c r="DY367" s="13"/>
      <c r="DZ367" s="11">
        <v>6160.0</v>
      </c>
      <c r="EA367" s="11">
        <v>27520.0</v>
      </c>
      <c r="EB367" s="11">
        <v>57780.0</v>
      </c>
      <c r="EC367" s="11">
        <v>8920.0</v>
      </c>
      <c r="ED367" s="11">
        <v>8990.0</v>
      </c>
      <c r="EE367" s="14">
        <v>1.703</v>
      </c>
      <c r="EF367" s="23"/>
      <c r="EG367" s="14">
        <v>-0.333</v>
      </c>
      <c r="EH367" s="14">
        <v>-0.097</v>
      </c>
    </row>
    <row r="368">
      <c r="A368" s="9">
        <f t="shared" si="2"/>
        <v>366</v>
      </c>
      <c r="B368" s="10" t="s">
        <v>502</v>
      </c>
      <c r="C368" s="15">
        <v>924790.0</v>
      </c>
      <c r="D368" s="15">
        <v>896980.0</v>
      </c>
      <c r="E368" s="15">
        <v>1080000.0</v>
      </c>
      <c r="F368" s="15">
        <v>924900.0</v>
      </c>
      <c r="G368" s="15">
        <v>1470000.0</v>
      </c>
      <c r="H368" s="15">
        <v>1620000.0</v>
      </c>
      <c r="I368" s="15">
        <v>1660000.0</v>
      </c>
      <c r="J368" s="15">
        <v>375400.0</v>
      </c>
      <c r="K368" s="15">
        <v>300200.0</v>
      </c>
      <c r="L368" s="15">
        <v>439100.0</v>
      </c>
      <c r="M368" s="15">
        <v>478210.0</v>
      </c>
      <c r="N368" s="15">
        <v>495550.0</v>
      </c>
      <c r="O368" s="15">
        <v>358600.0</v>
      </c>
      <c r="P368" s="15">
        <v>293800.0</v>
      </c>
      <c r="Q368" s="15">
        <v>435720.0</v>
      </c>
      <c r="R368" s="15">
        <v>448560.0</v>
      </c>
      <c r="S368" s="15">
        <v>470260.0</v>
      </c>
      <c r="T368" s="15">
        <v>157900.0</v>
      </c>
      <c r="U368" s="15">
        <v>127300.0</v>
      </c>
      <c r="V368" s="15">
        <v>158550.0</v>
      </c>
      <c r="W368" s="15">
        <v>168850.0</v>
      </c>
      <c r="X368" s="15">
        <v>182800.0</v>
      </c>
      <c r="Y368" s="15">
        <v>-26900.0</v>
      </c>
      <c r="Z368" s="15">
        <v>-15000.0</v>
      </c>
      <c r="AA368" s="15">
        <v>-16150.0</v>
      </c>
      <c r="AB368" s="15">
        <v>-9060.0</v>
      </c>
      <c r="AC368" s="15">
        <v>-67510.0</v>
      </c>
      <c r="AD368" s="15">
        <v>-45200.0</v>
      </c>
      <c r="AE368" s="15">
        <v>-17600.0</v>
      </c>
      <c r="AF368" s="15">
        <v>-4660.0</v>
      </c>
      <c r="AG368" s="15">
        <v>-23510.0</v>
      </c>
      <c r="AH368" s="15">
        <v>-82900.0</v>
      </c>
      <c r="AI368" s="15">
        <v>137900.0</v>
      </c>
      <c r="AJ368" s="15">
        <v>113500.0</v>
      </c>
      <c r="AK368" s="15">
        <v>121860.0</v>
      </c>
      <c r="AL368" s="15">
        <v>168930.0</v>
      </c>
      <c r="AM368" s="15">
        <v>188330.0</v>
      </c>
      <c r="AN368" s="15">
        <v>-57900.0</v>
      </c>
      <c r="AO368" s="15">
        <v>-16500.0</v>
      </c>
      <c r="AP368" s="15">
        <v>-98120.0</v>
      </c>
      <c r="AQ368" s="15">
        <v>-21540.0</v>
      </c>
      <c r="AR368" s="15">
        <v>-64050.0</v>
      </c>
      <c r="AS368" s="15">
        <v>202300.0</v>
      </c>
      <c r="AT368" s="15">
        <v>173500.0</v>
      </c>
      <c r="AU368" s="15">
        <v>215900.0</v>
      </c>
      <c r="AV368" s="15">
        <v>203320.0</v>
      </c>
      <c r="AW368" s="15">
        <v>181250.0</v>
      </c>
      <c r="AX368" s="15">
        <v>-153000.0</v>
      </c>
      <c r="AY368" s="15">
        <v>-195800.0</v>
      </c>
      <c r="AZ368" s="15">
        <v>-99330.0</v>
      </c>
      <c r="BA368" s="15">
        <v>-134460.0</v>
      </c>
      <c r="BB368" s="15">
        <v>-225650.0</v>
      </c>
      <c r="BC368" s="15">
        <v>0.0</v>
      </c>
      <c r="BD368" s="15">
        <v>0.0</v>
      </c>
      <c r="BE368" s="15">
        <v>0.0</v>
      </c>
      <c r="BF368" s="15">
        <v>0.0</v>
      </c>
      <c r="BG368" s="15">
        <v>0.0</v>
      </c>
      <c r="BH368" s="15">
        <v>1050000.0</v>
      </c>
      <c r="BI368" s="15">
        <v>387100.0</v>
      </c>
      <c r="BJ368" s="15">
        <v>610940.0</v>
      </c>
      <c r="BK368" s="15">
        <v>605310.0</v>
      </c>
      <c r="BL368" s="15">
        <v>713190.0</v>
      </c>
      <c r="BM368" s="15">
        <v>129100.0</v>
      </c>
      <c r="BN368" s="15">
        <v>88700.0</v>
      </c>
      <c r="BO368" s="15">
        <v>156430.0</v>
      </c>
      <c r="BP368" s="15">
        <v>171920.0</v>
      </c>
      <c r="BQ368" s="15">
        <v>186160.0</v>
      </c>
      <c r="BR368" s="15">
        <v>187400.0</v>
      </c>
      <c r="BS368" s="15">
        <v>151600.0</v>
      </c>
      <c r="BT368" s="15">
        <v>284390.0</v>
      </c>
      <c r="BU368" s="15">
        <v>303540.0</v>
      </c>
      <c r="BV368" s="15">
        <v>280580.0</v>
      </c>
      <c r="BW368" s="15">
        <v>1410000.0</v>
      </c>
      <c r="BX368" s="15">
        <v>890400.0</v>
      </c>
      <c r="BY368" s="15">
        <v>1100000.0</v>
      </c>
      <c r="BZ368" s="15">
        <v>1160000.0</v>
      </c>
      <c r="CA368" s="15">
        <v>1310000.0</v>
      </c>
      <c r="CB368" s="15">
        <v>625200.0</v>
      </c>
      <c r="CC368" s="15">
        <v>589100.0</v>
      </c>
      <c r="CD368" s="15">
        <v>581260.0</v>
      </c>
      <c r="CE368" s="15">
        <v>599720.0</v>
      </c>
      <c r="CF368" s="15">
        <v>635070.0</v>
      </c>
      <c r="CG368" s="15">
        <v>530000.0</v>
      </c>
      <c r="CH368" s="15">
        <v>530000.0</v>
      </c>
      <c r="CI368" s="15">
        <v>618830.0</v>
      </c>
      <c r="CJ368" s="15">
        <v>618830.0</v>
      </c>
      <c r="CK368" s="15">
        <v>616350.0</v>
      </c>
      <c r="CL368" s="15">
        <v>2820000.0</v>
      </c>
      <c r="CM368" s="15">
        <v>2640000.0</v>
      </c>
      <c r="CN368" s="15">
        <v>2650000.0</v>
      </c>
      <c r="CO368" s="15">
        <v>2770000.0</v>
      </c>
      <c r="CP368" s="15">
        <v>2950000.0</v>
      </c>
      <c r="CQ368" s="15">
        <v>90700.0</v>
      </c>
      <c r="CR368" s="15">
        <v>68400.0</v>
      </c>
      <c r="CS368" s="15">
        <v>133190.0</v>
      </c>
      <c r="CT368" s="15">
        <v>132290.0</v>
      </c>
      <c r="CU368" s="15">
        <v>163130.0</v>
      </c>
      <c r="CV368" s="15">
        <v>268200.0</v>
      </c>
      <c r="CW368" s="15">
        <v>0.0</v>
      </c>
      <c r="CX368" s="15">
        <v>0.0</v>
      </c>
      <c r="CY368" s="16">
        <v>0.0</v>
      </c>
      <c r="CZ368" s="16">
        <v>0.0</v>
      </c>
      <c r="DA368" s="15">
        <v>0.0</v>
      </c>
      <c r="DB368" s="15">
        <v>268200.0</v>
      </c>
      <c r="DC368" s="15">
        <v>248600.0</v>
      </c>
      <c r="DD368" s="15">
        <v>212020.0</v>
      </c>
      <c r="DE368" s="15">
        <v>223000.0</v>
      </c>
      <c r="DF368" s="15">
        <v>775700.0</v>
      </c>
      <c r="DG368" s="15">
        <v>565700.0</v>
      </c>
      <c r="DH368" s="15">
        <v>427060.0</v>
      </c>
      <c r="DI368" s="15">
        <v>398240.0</v>
      </c>
      <c r="DJ368" s="15">
        <v>488040.0</v>
      </c>
      <c r="DK368" s="15">
        <v>39500.0</v>
      </c>
      <c r="DL368" s="15">
        <v>57500.0</v>
      </c>
      <c r="DM368" s="15">
        <v>50370.0</v>
      </c>
      <c r="DN368" s="15">
        <v>40180.0</v>
      </c>
      <c r="DO368" s="15">
        <v>57600.0</v>
      </c>
      <c r="DP368" s="15">
        <v>469100.0</v>
      </c>
      <c r="DQ368" s="15">
        <v>292000.0</v>
      </c>
      <c r="DR368" s="15">
        <v>145000.0</v>
      </c>
      <c r="DS368" s="15">
        <v>160000.0</v>
      </c>
      <c r="DT368" s="15">
        <v>200000.0</v>
      </c>
      <c r="DU368" s="16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2040000.0</v>
      </c>
      <c r="EA368" s="15">
        <v>2070000.0</v>
      </c>
      <c r="EB368" s="15">
        <v>2220000.0</v>
      </c>
      <c r="EC368" s="15">
        <v>2370000.0</v>
      </c>
      <c r="ED368" s="15">
        <v>2470000.0</v>
      </c>
      <c r="EE368" s="17">
        <v>0.022</v>
      </c>
      <c r="EF368" s="17">
        <v>0.289</v>
      </c>
      <c r="EG368" s="17">
        <v>0.067</v>
      </c>
      <c r="EH368" s="17">
        <v>0.114</v>
      </c>
    </row>
    <row r="369">
      <c r="A369" s="9">
        <f t="shared" si="2"/>
        <v>367</v>
      </c>
      <c r="B369" s="10" t="s">
        <v>503</v>
      </c>
      <c r="C369" s="11">
        <v>3.074E7</v>
      </c>
      <c r="D369" s="11">
        <v>2.877E7</v>
      </c>
      <c r="E369" s="11">
        <v>2.205E7</v>
      </c>
      <c r="F369" s="11">
        <v>2.056E7</v>
      </c>
      <c r="G369" s="11">
        <v>2.209E7</v>
      </c>
      <c r="H369" s="11">
        <v>2.032E7</v>
      </c>
      <c r="I369" s="11">
        <v>1.715E7</v>
      </c>
      <c r="J369" s="11">
        <v>7020000.0</v>
      </c>
      <c r="K369" s="11">
        <v>6640000.0</v>
      </c>
      <c r="L369" s="11">
        <v>7080000.0</v>
      </c>
      <c r="M369" s="11">
        <v>6550000.0</v>
      </c>
      <c r="N369" s="11">
        <v>5110000.0</v>
      </c>
      <c r="O369" s="11">
        <v>4830000.0</v>
      </c>
      <c r="P369" s="11">
        <v>4750000.0</v>
      </c>
      <c r="Q369" s="11">
        <v>5250000.0</v>
      </c>
      <c r="R369" s="11">
        <v>4970000.0</v>
      </c>
      <c r="S369" s="11">
        <v>4000000.0</v>
      </c>
      <c r="T369" s="12"/>
      <c r="U369" s="12"/>
      <c r="V369" s="12"/>
      <c r="W369" s="12"/>
      <c r="X369" s="12"/>
      <c r="Y369" s="11">
        <v>2170000.0</v>
      </c>
      <c r="Z369" s="11">
        <v>-76090.0</v>
      </c>
      <c r="AA369" s="11">
        <v>1820000.0</v>
      </c>
      <c r="AB369" s="11">
        <v>-18860.0</v>
      </c>
      <c r="AC369" s="11">
        <v>894220.0</v>
      </c>
      <c r="AD369" s="11">
        <v>1800000.0</v>
      </c>
      <c r="AE369" s="11">
        <v>1500000.0</v>
      </c>
      <c r="AF369" s="11">
        <v>1580000.0</v>
      </c>
      <c r="AG369" s="11">
        <v>1290000.0</v>
      </c>
      <c r="AH369" s="11">
        <v>717840.0</v>
      </c>
      <c r="AI369" s="11">
        <v>3510000.0</v>
      </c>
      <c r="AJ369" s="11">
        <v>2860000.0</v>
      </c>
      <c r="AK369" s="11">
        <v>2770000.0</v>
      </c>
      <c r="AL369" s="11">
        <v>2450000.0</v>
      </c>
      <c r="AM369" s="11">
        <v>1770000.0</v>
      </c>
      <c r="AN369" s="11">
        <v>1420000.0</v>
      </c>
      <c r="AO369" s="11">
        <v>1190000.0</v>
      </c>
      <c r="AP369" s="11">
        <v>1570000.0</v>
      </c>
      <c r="AQ369" s="11">
        <v>952640.0</v>
      </c>
      <c r="AR369" s="11">
        <v>525500.0</v>
      </c>
      <c r="AS369" s="11">
        <v>3090000.0</v>
      </c>
      <c r="AT369" s="11">
        <v>1750000.0</v>
      </c>
      <c r="AU369" s="11">
        <v>1950000.0</v>
      </c>
      <c r="AV369" s="11">
        <v>1960000.0</v>
      </c>
      <c r="AW369" s="11">
        <v>1680000.0</v>
      </c>
      <c r="AX369" s="11">
        <v>-1080000.0</v>
      </c>
      <c r="AY369" s="11">
        <v>-991820.0</v>
      </c>
      <c r="AZ369" s="11">
        <v>-914380.0</v>
      </c>
      <c r="BA369" s="11">
        <v>-699320.0</v>
      </c>
      <c r="BB369" s="11">
        <v>-640180.0</v>
      </c>
      <c r="BC369" s="11">
        <v>-512360.0</v>
      </c>
      <c r="BD369" s="11">
        <v>-460960.0</v>
      </c>
      <c r="BE369" s="11">
        <v>-410770.0</v>
      </c>
      <c r="BF369" s="11">
        <v>-288580.0</v>
      </c>
      <c r="BG369" s="11">
        <v>-275090.0</v>
      </c>
      <c r="BH369" s="11">
        <v>3180000.0</v>
      </c>
      <c r="BI369" s="11">
        <v>2110000.0</v>
      </c>
      <c r="BJ369" s="11">
        <v>1910000.0</v>
      </c>
      <c r="BK369" s="11">
        <v>2110000.0</v>
      </c>
      <c r="BL369" s="11">
        <v>1870000.0</v>
      </c>
      <c r="BM369" s="11">
        <v>3210000.0</v>
      </c>
      <c r="BN369" s="11">
        <v>3670000.0</v>
      </c>
      <c r="BO369" s="11">
        <v>3370000.0</v>
      </c>
      <c r="BP369" s="11">
        <v>3400000.0</v>
      </c>
      <c r="BQ369" s="11">
        <v>2930000.0</v>
      </c>
      <c r="BR369" s="11">
        <v>2320000.0</v>
      </c>
      <c r="BS369" s="11">
        <v>2750000.0</v>
      </c>
      <c r="BT369" s="11">
        <v>2410000.0</v>
      </c>
      <c r="BU369" s="11">
        <v>2510000.0</v>
      </c>
      <c r="BV369" s="11">
        <v>2120000.0</v>
      </c>
      <c r="BW369" s="11">
        <v>8720000.0</v>
      </c>
      <c r="BX369" s="11">
        <v>8540000.0</v>
      </c>
      <c r="BY369" s="11">
        <v>8670000.0</v>
      </c>
      <c r="BZ369" s="11">
        <v>8020000.0</v>
      </c>
      <c r="CA369" s="11">
        <v>6930000.0</v>
      </c>
      <c r="CB369" s="11">
        <v>1.476E7</v>
      </c>
      <c r="CC369" s="11">
        <v>1.415E7</v>
      </c>
      <c r="CD369" s="11">
        <v>1.162E7</v>
      </c>
      <c r="CE369" s="11">
        <v>1.083E7</v>
      </c>
      <c r="CF369" s="11">
        <v>9630000.0</v>
      </c>
      <c r="CG369" s="11">
        <v>6860000.0</v>
      </c>
      <c r="CH369" s="11">
        <v>7280000.0</v>
      </c>
      <c r="CI369" s="11">
        <v>6130000.0</v>
      </c>
      <c r="CJ369" s="11">
        <v>6310000.0</v>
      </c>
      <c r="CK369" s="11">
        <v>5460000.0</v>
      </c>
      <c r="CL369" s="11">
        <v>3.161E7</v>
      </c>
      <c r="CM369" s="11">
        <v>3.157E7</v>
      </c>
      <c r="CN369" s="11">
        <v>2.808E7</v>
      </c>
      <c r="CO369" s="11">
        <v>2.697E7</v>
      </c>
      <c r="CP369" s="11">
        <v>2.359E7</v>
      </c>
      <c r="CQ369" s="11">
        <v>1870000.0</v>
      </c>
      <c r="CR369" s="11">
        <v>2200000.0</v>
      </c>
      <c r="CS369" s="11">
        <v>2050000.0</v>
      </c>
      <c r="CT369" s="11">
        <v>2160000.0</v>
      </c>
      <c r="CU369" s="11">
        <v>1860000.0</v>
      </c>
      <c r="CV369" s="11">
        <v>5410000.0</v>
      </c>
      <c r="CW369" s="11">
        <v>690570.0</v>
      </c>
      <c r="CX369" s="11">
        <v>554700.0</v>
      </c>
      <c r="CY369" s="11">
        <v>277840.0</v>
      </c>
      <c r="CZ369" s="11">
        <v>233030.0</v>
      </c>
      <c r="DA369" s="11">
        <v>555720.0</v>
      </c>
      <c r="DB369" s="11">
        <v>5410000.0</v>
      </c>
      <c r="DC369" s="11">
        <v>5460000.0</v>
      </c>
      <c r="DD369" s="11">
        <v>5350000.0</v>
      </c>
      <c r="DE369" s="11">
        <v>5030000.0</v>
      </c>
      <c r="DF369" s="11">
        <v>1.68E7</v>
      </c>
      <c r="DG369" s="11">
        <v>1.671E7</v>
      </c>
      <c r="DH369" s="11">
        <v>1.479E7</v>
      </c>
      <c r="DI369" s="11">
        <v>1.464E7</v>
      </c>
      <c r="DJ369" s="11">
        <v>1.361E7</v>
      </c>
      <c r="DK369" s="11">
        <v>659220.0</v>
      </c>
      <c r="DL369" s="11">
        <v>1090000.0</v>
      </c>
      <c r="DM369" s="11">
        <v>1160000.0</v>
      </c>
      <c r="DN369" s="11">
        <v>1180000.0</v>
      </c>
      <c r="DO369" s="11">
        <v>1050000.0</v>
      </c>
      <c r="DP369" s="11">
        <v>8000000.0</v>
      </c>
      <c r="DQ369" s="11">
        <v>7810000.0</v>
      </c>
      <c r="DR369" s="11">
        <v>6800000.0</v>
      </c>
      <c r="DS369" s="11">
        <v>6410000.0</v>
      </c>
      <c r="DT369" s="11">
        <v>6240000.0</v>
      </c>
      <c r="DU369" s="11">
        <v>847.0</v>
      </c>
      <c r="DV369" s="11">
        <v>898.0</v>
      </c>
      <c r="DW369" s="11">
        <v>888.0</v>
      </c>
      <c r="DX369" s="11">
        <v>854.0</v>
      </c>
      <c r="DY369" s="11">
        <v>737.0</v>
      </c>
      <c r="DZ369" s="11">
        <v>1.435E7</v>
      </c>
      <c r="EA369" s="11">
        <v>1.439E7</v>
      </c>
      <c r="EB369" s="11">
        <v>1.286E7</v>
      </c>
      <c r="EC369" s="11">
        <v>1.186E7</v>
      </c>
      <c r="ED369" s="11">
        <v>9590000.0</v>
      </c>
      <c r="EE369" s="14">
        <v>0.0</v>
      </c>
      <c r="EF369" s="14">
        <v>0.0</v>
      </c>
      <c r="EG369" s="29" t="s">
        <v>155</v>
      </c>
      <c r="EH369" s="14"/>
    </row>
    <row r="370">
      <c r="A370" s="9">
        <f t="shared" si="2"/>
        <v>368</v>
      </c>
      <c r="B370" s="32" t="s">
        <v>504</v>
      </c>
      <c r="C370" s="11">
        <v>3480000.0</v>
      </c>
      <c r="D370" s="11">
        <v>3150000.0</v>
      </c>
      <c r="E370" s="11">
        <v>3520000.0</v>
      </c>
      <c r="F370" s="11">
        <v>3460000.0</v>
      </c>
      <c r="G370" s="11">
        <v>3400000.0</v>
      </c>
      <c r="H370" s="11">
        <v>3200000.0</v>
      </c>
      <c r="I370" s="11">
        <v>3010000.0</v>
      </c>
      <c r="J370" s="11">
        <v>1510000.0</v>
      </c>
      <c r="K370" s="11">
        <v>1500000.0</v>
      </c>
      <c r="L370" s="11">
        <v>1480000.0</v>
      </c>
      <c r="M370" s="11">
        <v>1380000.0</v>
      </c>
      <c r="N370" s="11">
        <v>1250000.0</v>
      </c>
      <c r="O370" s="11">
        <v>1140000.0</v>
      </c>
      <c r="P370" s="11">
        <v>1140000.0</v>
      </c>
      <c r="Q370" s="11">
        <v>1100000.0</v>
      </c>
      <c r="R370" s="11">
        <v>991310.0</v>
      </c>
      <c r="S370" s="11">
        <v>901110.0</v>
      </c>
      <c r="T370" s="11"/>
      <c r="U370" s="11"/>
      <c r="V370" s="11"/>
      <c r="W370" s="11"/>
      <c r="X370" s="11"/>
      <c r="Y370" s="11">
        <v>329410.0</v>
      </c>
      <c r="Z370" s="11">
        <v>352500.0</v>
      </c>
      <c r="AA370" s="11">
        <v>-2500.0</v>
      </c>
      <c r="AB370" s="11">
        <v>383740.0</v>
      </c>
      <c r="AC370" s="11">
        <v>350890.0</v>
      </c>
      <c r="AD370" s="11">
        <v>327950.0</v>
      </c>
      <c r="AE370" s="11">
        <v>355980.0</v>
      </c>
      <c r="AF370" s="11">
        <v>391070.0</v>
      </c>
      <c r="AG370" s="11">
        <v>396070.0</v>
      </c>
      <c r="AH370" s="11">
        <v>368190.0</v>
      </c>
      <c r="AI370" s="11">
        <v>465590.0</v>
      </c>
      <c r="AJ370" s="11">
        <v>447060.0</v>
      </c>
      <c r="AK370" s="11">
        <v>463340.0</v>
      </c>
      <c r="AL370" s="11">
        <v>459540.0</v>
      </c>
      <c r="AM370" s="11">
        <v>419080.0</v>
      </c>
      <c r="AN370" s="11">
        <v>261370.0</v>
      </c>
      <c r="AO370" s="11">
        <v>279920.0</v>
      </c>
      <c r="AP370" s="11">
        <v>300440.0</v>
      </c>
      <c r="AQ370" s="11">
        <v>256060.0</v>
      </c>
      <c r="AR370" s="11">
        <v>235640.0</v>
      </c>
      <c r="AS370" s="11">
        <v>387220.0</v>
      </c>
      <c r="AT370" s="11">
        <v>356200.0</v>
      </c>
      <c r="AU370" s="11">
        <v>329620.0</v>
      </c>
      <c r="AV370" s="11">
        <v>369230.0</v>
      </c>
      <c r="AW370" s="11">
        <v>307990.0</v>
      </c>
      <c r="AX370" s="11">
        <v>-61420.0</v>
      </c>
      <c r="AY370" s="11">
        <v>-63780.0</v>
      </c>
      <c r="AZ370" s="11">
        <v>-69470.0</v>
      </c>
      <c r="BA370" s="11">
        <v>-88560.0</v>
      </c>
      <c r="BB370" s="11">
        <v>-103500.0</v>
      </c>
      <c r="BC370" s="11">
        <v>-89590.0</v>
      </c>
      <c r="BD370" s="11">
        <v>-83720.0</v>
      </c>
      <c r="BE370" s="11">
        <v>-70910.0</v>
      </c>
      <c r="BF370" s="11">
        <v>-66360.0</v>
      </c>
      <c r="BG370" s="11">
        <v>-46030.0</v>
      </c>
      <c r="BH370" s="11">
        <v>214310.0</v>
      </c>
      <c r="BI370" s="11">
        <v>170080.0</v>
      </c>
      <c r="BJ370" s="11">
        <v>178490.0</v>
      </c>
      <c r="BK370" s="11">
        <v>299360.0</v>
      </c>
      <c r="BL370" s="11">
        <v>381210.0</v>
      </c>
      <c r="BM370" s="11">
        <v>251010.0</v>
      </c>
      <c r="BN370" s="11">
        <v>258260.0</v>
      </c>
      <c r="BO370" s="11">
        <v>240560.0</v>
      </c>
      <c r="BP370" s="11">
        <v>202470.0</v>
      </c>
      <c r="BQ370" s="11">
        <v>207570.0</v>
      </c>
      <c r="BR370" s="11">
        <v>593990.0</v>
      </c>
      <c r="BS370" s="11">
        <v>574230.0</v>
      </c>
      <c r="BT370" s="11">
        <v>548720.0</v>
      </c>
      <c r="BU370" s="11">
        <v>487590.0</v>
      </c>
      <c r="BV370" s="11">
        <v>469930.0</v>
      </c>
      <c r="BW370" s="11">
        <v>1110000.0</v>
      </c>
      <c r="BX370" s="11">
        <v>1040000.0</v>
      </c>
      <c r="BY370" s="11">
        <v>1020000.0</v>
      </c>
      <c r="BZ370" s="11">
        <v>1060000.0</v>
      </c>
      <c r="CA370" s="11">
        <v>1130000.0</v>
      </c>
      <c r="CB370" s="11">
        <v>1010000.0</v>
      </c>
      <c r="CC370" s="11">
        <v>350440.0</v>
      </c>
      <c r="CD370" s="11">
        <v>377920.0</v>
      </c>
      <c r="CE370" s="11">
        <v>385870.0</v>
      </c>
      <c r="CF370" s="11">
        <v>371700.0</v>
      </c>
      <c r="CG370" s="11">
        <v>229030.0</v>
      </c>
      <c r="CH370" s="11">
        <v>227100.0</v>
      </c>
      <c r="CI370" s="11">
        <v>230420.0</v>
      </c>
      <c r="CJ370" s="11">
        <v>176010.0</v>
      </c>
      <c r="CK370" s="11">
        <v>174870.0</v>
      </c>
      <c r="CL370" s="11">
        <v>2750000.0</v>
      </c>
      <c r="CM370" s="11">
        <v>2060000.0</v>
      </c>
      <c r="CN370" s="11">
        <v>2070000.0</v>
      </c>
      <c r="CO370" s="11">
        <v>1950000.0</v>
      </c>
      <c r="CP370" s="11">
        <v>2010000.0</v>
      </c>
      <c r="CQ370" s="11">
        <v>183640.0</v>
      </c>
      <c r="CR370" s="11">
        <v>199080.0</v>
      </c>
      <c r="CS370" s="11">
        <v>182110.0</v>
      </c>
      <c r="CT370" s="11">
        <v>158430.0</v>
      </c>
      <c r="CU370" s="11">
        <v>157650.0</v>
      </c>
      <c r="CV370" s="11">
        <v>475500.0</v>
      </c>
      <c r="CW370" s="11">
        <v>160230.0</v>
      </c>
      <c r="CX370" s="12"/>
      <c r="CY370" s="12"/>
      <c r="CZ370" s="12"/>
      <c r="DA370" s="12"/>
      <c r="DB370" s="11">
        <v>475500.0</v>
      </c>
      <c r="DC370" s="11">
        <v>327420.0</v>
      </c>
      <c r="DD370" s="11">
        <v>331250.0</v>
      </c>
      <c r="DE370" s="11">
        <v>277610.0</v>
      </c>
      <c r="DF370" s="11">
        <v>1870000.0</v>
      </c>
      <c r="DG370" s="11">
        <v>1190000.0</v>
      </c>
      <c r="DH370" s="11">
        <v>1210000.0</v>
      </c>
      <c r="DI370" s="11">
        <v>1160000.0</v>
      </c>
      <c r="DJ370" s="11">
        <v>1130000.0</v>
      </c>
      <c r="DK370" s="11">
        <v>19700.0</v>
      </c>
      <c r="DL370" s="11">
        <v>15700.0</v>
      </c>
      <c r="DM370" s="11">
        <v>16700.0</v>
      </c>
      <c r="DN370" s="11"/>
      <c r="DO370" s="11"/>
      <c r="DP370" s="11">
        <v>1260000.0</v>
      </c>
      <c r="DQ370" s="11">
        <v>593260.0</v>
      </c>
      <c r="DR370" s="11">
        <v>617310.0</v>
      </c>
      <c r="DS370" s="11">
        <v>580380.0</v>
      </c>
      <c r="DT370" s="11">
        <v>584430.0</v>
      </c>
      <c r="DU370" s="12"/>
      <c r="DV370" s="12"/>
      <c r="DW370" s="12"/>
      <c r="DX370" s="12"/>
      <c r="DY370" s="12"/>
      <c r="DZ370" s="11">
        <v>880130.0</v>
      </c>
      <c r="EA370" s="11">
        <v>869430.0</v>
      </c>
      <c r="EB370" s="11">
        <v>857420.0</v>
      </c>
      <c r="EC370" s="11">
        <v>788120.0</v>
      </c>
      <c r="ED370" s="11">
        <v>875050.0</v>
      </c>
      <c r="EE370" s="33">
        <v>0.073</v>
      </c>
      <c r="EF370" s="33">
        <v>0.106</v>
      </c>
      <c r="EG370" s="33">
        <v>3.16</v>
      </c>
      <c r="EH370" s="33">
        <v>-0.286</v>
      </c>
    </row>
    <row r="371">
      <c r="A371" s="9">
        <f t="shared" si="2"/>
        <v>369</v>
      </c>
      <c r="B371" s="32" t="s">
        <v>505</v>
      </c>
      <c r="C371" s="11">
        <v>765040.0</v>
      </c>
      <c r="D371" s="11">
        <v>748630.0</v>
      </c>
      <c r="E371" s="11">
        <v>744610.0</v>
      </c>
      <c r="F371" s="11">
        <v>669120.0</v>
      </c>
      <c r="G371" s="11">
        <v>612200.0</v>
      </c>
      <c r="H371" s="11">
        <v>587750.0</v>
      </c>
      <c r="I371" s="11">
        <v>567910.0</v>
      </c>
      <c r="J371" s="11">
        <v>352300.0</v>
      </c>
      <c r="K371" s="11">
        <v>321260.0</v>
      </c>
      <c r="L371" s="11">
        <v>292680.0</v>
      </c>
      <c r="M371" s="11">
        <v>278550.0</v>
      </c>
      <c r="N371" s="11">
        <v>258810.0</v>
      </c>
      <c r="O371" s="11">
        <v>280010.0</v>
      </c>
      <c r="P371" s="11">
        <v>253610.0</v>
      </c>
      <c r="Q371" s="11">
        <v>248080.0</v>
      </c>
      <c r="R371" s="11">
        <v>241040.0</v>
      </c>
      <c r="S371" s="11">
        <v>236640.0</v>
      </c>
      <c r="T371" s="11"/>
      <c r="U371" s="11"/>
      <c r="V371" s="11"/>
      <c r="W371" s="11"/>
      <c r="X371" s="11"/>
      <c r="Y371" s="11"/>
      <c r="Z371" s="12"/>
      <c r="AA371" s="12"/>
      <c r="AB371" s="12"/>
      <c r="AC371" s="12"/>
      <c r="AD371" s="11">
        <v>64350.0</v>
      </c>
      <c r="AE371" s="11">
        <v>59850.0</v>
      </c>
      <c r="AF371" s="11">
        <v>38910.0</v>
      </c>
      <c r="AG371" s="11">
        <v>32240.0</v>
      </c>
      <c r="AH371" s="11">
        <v>18500.0</v>
      </c>
      <c r="AI371" s="11">
        <v>76130.0</v>
      </c>
      <c r="AJ371" s="11">
        <v>71610.0</v>
      </c>
      <c r="AK371" s="11">
        <v>48850.0</v>
      </c>
      <c r="AL371" s="11">
        <v>41790.0</v>
      </c>
      <c r="AM371" s="11">
        <v>26380.0</v>
      </c>
      <c r="AN371" s="11">
        <v>51340.0</v>
      </c>
      <c r="AO371" s="11">
        <v>47630.0</v>
      </c>
      <c r="AP371" s="11">
        <v>36510.0</v>
      </c>
      <c r="AQ371" s="11">
        <v>20210.0</v>
      </c>
      <c r="AR371" s="11">
        <v>11600.0</v>
      </c>
      <c r="AS371" s="11">
        <v>20920.0</v>
      </c>
      <c r="AT371" s="11">
        <v>24900.0</v>
      </c>
      <c r="AU371" s="11">
        <v>9990.0</v>
      </c>
      <c r="AV371" s="11">
        <v>7330.0</v>
      </c>
      <c r="AW371" s="11">
        <v>14290.0</v>
      </c>
      <c r="AX371" s="11">
        <v>-5420.0</v>
      </c>
      <c r="AY371" s="11">
        <v>-4030.0</v>
      </c>
      <c r="AZ371" s="11">
        <v>-2260.0</v>
      </c>
      <c r="BA371" s="11">
        <v>-1590.0</v>
      </c>
      <c r="BB371" s="11">
        <v>-4530.0</v>
      </c>
      <c r="BC371" s="11">
        <v>-40.0</v>
      </c>
      <c r="BD371" s="11">
        <v>-40.0</v>
      </c>
      <c r="BE371" s="11">
        <v>-40.0</v>
      </c>
      <c r="BF371" s="11">
        <v>-40.0</v>
      </c>
      <c r="BG371" s="11">
        <v>-40.0</v>
      </c>
      <c r="BH371" s="11">
        <v>59560.0</v>
      </c>
      <c r="BI371" s="11">
        <v>1750.0</v>
      </c>
      <c r="BJ371" s="11">
        <v>1020.0</v>
      </c>
      <c r="BK371" s="11">
        <v>434.0</v>
      </c>
      <c r="BL371" s="11">
        <v>602.0</v>
      </c>
      <c r="BM371" s="11">
        <v>469240.0</v>
      </c>
      <c r="BN371" s="11">
        <v>419780.0</v>
      </c>
      <c r="BO371" s="11">
        <v>387260.0</v>
      </c>
      <c r="BP371" s="11">
        <v>359260.0</v>
      </c>
      <c r="BQ371" s="11">
        <v>337400.0</v>
      </c>
      <c r="BR371" s="11">
        <v>36410.0</v>
      </c>
      <c r="BS371" s="11">
        <v>37480.0</v>
      </c>
      <c r="BT371" s="11">
        <v>33610.0</v>
      </c>
      <c r="BU371" s="11">
        <v>30130.0</v>
      </c>
      <c r="BV371" s="11">
        <v>29880.0</v>
      </c>
      <c r="BW371" s="11">
        <v>569650.0</v>
      </c>
      <c r="BX371" s="11">
        <v>463650.0</v>
      </c>
      <c r="BY371" s="11">
        <v>426640.0</v>
      </c>
      <c r="BZ371" s="11">
        <v>393760.0</v>
      </c>
      <c r="CA371" s="11">
        <v>371190.0</v>
      </c>
      <c r="CB371" s="11">
        <v>90850.0</v>
      </c>
      <c r="CC371" s="11">
        <v>28540.0</v>
      </c>
      <c r="CD371" s="11">
        <v>28590.0</v>
      </c>
      <c r="CE371" s="11">
        <v>30140.0</v>
      </c>
      <c r="CF371" s="11">
        <v>34760.0</v>
      </c>
      <c r="CG371" s="11">
        <v>6820.0</v>
      </c>
      <c r="CH371" s="11">
        <v>355.0</v>
      </c>
      <c r="CI371" s="11">
        <v>355.0</v>
      </c>
      <c r="CJ371" s="11">
        <v>355.0</v>
      </c>
      <c r="CK371" s="11">
        <v>355.0</v>
      </c>
      <c r="CL371" s="11">
        <v>673850.0</v>
      </c>
      <c r="CM371" s="11">
        <v>497610.0</v>
      </c>
      <c r="CN371" s="11">
        <v>460850.0</v>
      </c>
      <c r="CO371" s="11">
        <v>432000.0</v>
      </c>
      <c r="CP371" s="11">
        <v>414040.0</v>
      </c>
      <c r="CQ371" s="11">
        <v>13120.0</v>
      </c>
      <c r="CR371" s="11">
        <v>13660.0</v>
      </c>
      <c r="CS371" s="11">
        <v>13610.0</v>
      </c>
      <c r="CT371" s="11">
        <v>11220.0</v>
      </c>
      <c r="CU371" s="11">
        <v>12310.0</v>
      </c>
      <c r="CV371" s="11">
        <v>80160.0</v>
      </c>
      <c r="CW371" s="11">
        <v>6830.0</v>
      </c>
      <c r="CX371" s="11">
        <v>1270.0</v>
      </c>
      <c r="CY371" s="11">
        <v>506.0</v>
      </c>
      <c r="CZ371" s="11">
        <v>669.0</v>
      </c>
      <c r="DA371" s="12"/>
      <c r="DB371" s="11">
        <v>80160.0</v>
      </c>
      <c r="DC371" s="11">
        <v>64950.0</v>
      </c>
      <c r="DD371" s="11">
        <v>60110.0</v>
      </c>
      <c r="DE371" s="11">
        <v>53990.0</v>
      </c>
      <c r="DF371" s="11">
        <v>370690.0</v>
      </c>
      <c r="DG371" s="11">
        <v>236700.0</v>
      </c>
      <c r="DH371" s="11">
        <v>229920.0</v>
      </c>
      <c r="DI371" s="11">
        <v>198590.0</v>
      </c>
      <c r="DJ371" s="11">
        <v>185230.0</v>
      </c>
      <c r="DK371" s="12"/>
      <c r="DL371" s="12"/>
      <c r="DM371" s="12"/>
      <c r="DN371" s="12"/>
      <c r="DO371" s="12"/>
      <c r="DP371" s="11">
        <v>271020.0</v>
      </c>
      <c r="DQ371" s="11">
        <v>152420.0</v>
      </c>
      <c r="DR371" s="11">
        <v>151980.0</v>
      </c>
      <c r="DS371" s="11">
        <v>117940.0</v>
      </c>
      <c r="DT371" s="11">
        <v>108200.0</v>
      </c>
      <c r="DU371" s="11">
        <v>400.0</v>
      </c>
      <c r="DV371" s="11">
        <v>400.0</v>
      </c>
      <c r="DW371" s="11">
        <v>400.0</v>
      </c>
      <c r="DX371" s="11">
        <v>400.0</v>
      </c>
      <c r="DY371" s="12"/>
      <c r="DZ371" s="11">
        <v>303060.0</v>
      </c>
      <c r="EA371" s="11">
        <v>260810.0</v>
      </c>
      <c r="EB371" s="11">
        <v>230840.0</v>
      </c>
      <c r="EC371" s="11">
        <v>233310.0</v>
      </c>
      <c r="ED371" s="11">
        <v>228720.0</v>
      </c>
      <c r="EE371" s="33">
        <v>0.2</v>
      </c>
      <c r="EF371" s="33">
        <v>0.127</v>
      </c>
      <c r="EG371" s="33">
        <v>0.952</v>
      </c>
      <c r="EH371" s="33">
        <v>0.304</v>
      </c>
    </row>
    <row r="372">
      <c r="A372" s="9">
        <f t="shared" si="2"/>
        <v>370</v>
      </c>
      <c r="B372" s="22" t="s">
        <v>506</v>
      </c>
      <c r="C372" s="12"/>
      <c r="D372" s="12"/>
      <c r="E372" s="12"/>
      <c r="F372" s="12"/>
      <c r="G372" s="12"/>
      <c r="H372" s="12"/>
      <c r="I372" s="12"/>
      <c r="J372" s="11">
        <v>-1110.0</v>
      </c>
      <c r="K372" s="11">
        <v>-471.0</v>
      </c>
      <c r="L372" s="12"/>
      <c r="M372" s="12"/>
      <c r="N372" s="12"/>
      <c r="O372" s="11">
        <v>53910.0</v>
      </c>
      <c r="P372" s="11">
        <v>30670.0</v>
      </c>
      <c r="Q372" s="11">
        <v>11170.0</v>
      </c>
      <c r="R372" s="11">
        <v>6630.0</v>
      </c>
      <c r="S372" s="12"/>
      <c r="T372" s="11">
        <v>41510.0</v>
      </c>
      <c r="U372" s="11">
        <v>24480.0</v>
      </c>
      <c r="V372" s="11">
        <v>9230.0</v>
      </c>
      <c r="W372" s="11">
        <v>5100.0</v>
      </c>
      <c r="X372" s="12"/>
      <c r="Y372" s="12"/>
      <c r="Z372" s="12"/>
      <c r="AA372" s="12"/>
      <c r="AB372" s="12"/>
      <c r="AC372" s="12"/>
      <c r="AD372" s="11">
        <v>-50420.0</v>
      </c>
      <c r="AE372" s="11">
        <v>-27120.0</v>
      </c>
      <c r="AF372" s="11">
        <v>-9160.0</v>
      </c>
      <c r="AG372" s="11">
        <v>-6020.0</v>
      </c>
      <c r="AH372" s="12"/>
      <c r="AI372" s="11">
        <v>-53910.0</v>
      </c>
      <c r="AJ372" s="11">
        <v>-30670.0</v>
      </c>
      <c r="AK372" s="11">
        <v>-11040.0</v>
      </c>
      <c r="AL372" s="11">
        <v>-6540.0</v>
      </c>
      <c r="AM372" s="12"/>
      <c r="AN372" s="11">
        <v>-50420.0</v>
      </c>
      <c r="AO372" s="11">
        <v>-27120.0</v>
      </c>
      <c r="AP372" s="11">
        <v>-9160.0</v>
      </c>
      <c r="AQ372" s="11">
        <v>-6020.0</v>
      </c>
      <c r="AR372" s="12"/>
      <c r="AS372" s="11">
        <v>-45770.0</v>
      </c>
      <c r="AT372" s="11">
        <v>-19460.0</v>
      </c>
      <c r="AU372" s="11">
        <v>-9480.0</v>
      </c>
      <c r="AV372" s="11">
        <v>-5470.0</v>
      </c>
      <c r="AW372" s="12"/>
      <c r="AX372" s="11">
        <v>-492.0</v>
      </c>
      <c r="AY372" s="11">
        <v>-1060.0</v>
      </c>
      <c r="AZ372" s="11">
        <v>-304.0</v>
      </c>
      <c r="BA372" s="11">
        <v>-190.0</v>
      </c>
      <c r="BB372" s="12"/>
      <c r="BC372" s="12"/>
      <c r="BD372" s="12"/>
      <c r="BE372" s="12"/>
      <c r="BF372" s="12"/>
      <c r="BG372" s="12"/>
      <c r="BH372" s="11">
        <v>118390.0</v>
      </c>
      <c r="BI372" s="11">
        <v>163880.0</v>
      </c>
      <c r="BJ372" s="11">
        <v>14190.0</v>
      </c>
      <c r="BK372" s="11">
        <v>12150.0</v>
      </c>
      <c r="BL372" s="12"/>
      <c r="BM372" s="11">
        <v>1380.0</v>
      </c>
      <c r="BN372" s="11">
        <v>1580.0</v>
      </c>
      <c r="BO372" s="11">
        <v>734.0</v>
      </c>
      <c r="BP372" s="11">
        <v>72.0</v>
      </c>
      <c r="BQ372" s="12"/>
      <c r="BR372" s="12"/>
      <c r="BS372" s="12"/>
      <c r="BT372" s="12"/>
      <c r="BU372" s="12"/>
      <c r="BV372" s="12"/>
      <c r="BW372" s="11">
        <v>123340.0</v>
      </c>
      <c r="BX372" s="11">
        <v>166680.0</v>
      </c>
      <c r="BY372" s="11">
        <v>15170.0</v>
      </c>
      <c r="BZ372" s="11">
        <v>12370.0</v>
      </c>
      <c r="CA372" s="12"/>
      <c r="CB372" s="11">
        <v>6460.0</v>
      </c>
      <c r="CC372" s="11">
        <v>4230.0</v>
      </c>
      <c r="CD372" s="11">
        <v>400.0</v>
      </c>
      <c r="CE372" s="11">
        <v>224.0</v>
      </c>
      <c r="CF372" s="12"/>
      <c r="CG372" s="12"/>
      <c r="CH372" s="12"/>
      <c r="CI372" s="12"/>
      <c r="CJ372" s="12"/>
      <c r="CK372" s="12"/>
      <c r="CL372" s="11">
        <v>130380.0</v>
      </c>
      <c r="CM372" s="11">
        <v>171420.0</v>
      </c>
      <c r="CN372" s="11">
        <v>15600.0</v>
      </c>
      <c r="CO372" s="11">
        <v>12600.0</v>
      </c>
      <c r="CP372" s="12"/>
      <c r="CQ372" s="11">
        <v>2700.0</v>
      </c>
      <c r="CR372" s="11">
        <v>1460.0</v>
      </c>
      <c r="CS372" s="11">
        <v>403.0</v>
      </c>
      <c r="CT372" s="11">
        <v>340.0</v>
      </c>
      <c r="CU372" s="12"/>
      <c r="CV372" s="11">
        <v>8340.0</v>
      </c>
      <c r="CW372" s="11">
        <v>724.0</v>
      </c>
      <c r="CX372" s="12"/>
      <c r="CY372" s="12"/>
      <c r="CZ372" s="12"/>
      <c r="DA372" s="12"/>
      <c r="DB372" s="11">
        <v>8340.0</v>
      </c>
      <c r="DC372" s="11">
        <v>7930.0</v>
      </c>
      <c r="DD372" s="11">
        <v>897.0</v>
      </c>
      <c r="DE372" s="11">
        <v>890.0</v>
      </c>
      <c r="DF372" s="11">
        <v>13240.0</v>
      </c>
      <c r="DG372" s="11">
        <v>11190.0</v>
      </c>
      <c r="DH372" s="11">
        <v>920.0</v>
      </c>
      <c r="DI372" s="11">
        <v>1060.0</v>
      </c>
      <c r="DJ372" s="12"/>
      <c r="DK372" s="11">
        <v>500.0</v>
      </c>
      <c r="DL372" s="11">
        <v>500.0</v>
      </c>
      <c r="DM372" s="12"/>
      <c r="DN372" s="12"/>
      <c r="DO372" s="12"/>
      <c r="DP372" s="11">
        <v>4850.0</v>
      </c>
      <c r="DQ372" s="12"/>
      <c r="DR372" s="12"/>
      <c r="DS372" s="11">
        <v>163.0</v>
      </c>
      <c r="DT372" s="12"/>
      <c r="DU372" s="13"/>
      <c r="DV372" s="12"/>
      <c r="DW372" s="11">
        <v>29700.0</v>
      </c>
      <c r="DX372" s="11">
        <v>17740.0</v>
      </c>
      <c r="DY372" s="13"/>
      <c r="DZ372" s="11">
        <v>117140.0</v>
      </c>
      <c r="EA372" s="11">
        <v>160230.0</v>
      </c>
      <c r="EB372" s="11">
        <v>14680.0</v>
      </c>
      <c r="EC372" s="11">
        <v>11540.0</v>
      </c>
      <c r="ED372" s="12"/>
      <c r="EE372" s="23"/>
      <c r="EF372" s="23"/>
      <c r="EG372" s="14">
        <v>0.07</v>
      </c>
      <c r="EH372" s="14">
        <v>0.002</v>
      </c>
    </row>
    <row r="373">
      <c r="A373" s="9">
        <f t="shared" si="2"/>
        <v>371</v>
      </c>
      <c r="B373" s="10" t="s">
        <v>507</v>
      </c>
      <c r="C373" s="11">
        <v>1380000.0</v>
      </c>
      <c r="D373" s="11">
        <v>1190000.0</v>
      </c>
      <c r="E373" s="11">
        <v>1230000.0</v>
      </c>
      <c r="F373" s="11">
        <v>1090000.0</v>
      </c>
      <c r="G373" s="11">
        <v>1020000.0</v>
      </c>
      <c r="H373" s="11">
        <v>1040000.0</v>
      </c>
      <c r="I373" s="11">
        <v>1090000.0</v>
      </c>
      <c r="J373" s="11">
        <v>597950.0</v>
      </c>
      <c r="K373" s="11">
        <v>536220.0</v>
      </c>
      <c r="L373" s="11">
        <v>490920.0</v>
      </c>
      <c r="M373" s="11">
        <v>473020.0</v>
      </c>
      <c r="N373" s="11">
        <v>482410.0</v>
      </c>
      <c r="O373" s="11">
        <v>469500.0</v>
      </c>
      <c r="P373" s="11">
        <v>466290.0</v>
      </c>
      <c r="Q373" s="11">
        <v>452100.0</v>
      </c>
      <c r="R373" s="11">
        <v>476030.0</v>
      </c>
      <c r="S373" s="11">
        <v>530700.0</v>
      </c>
      <c r="T373" s="11">
        <v>11800.0</v>
      </c>
      <c r="U373" s="11">
        <v>14100.0</v>
      </c>
      <c r="V373" s="11">
        <v>13400.0</v>
      </c>
      <c r="W373" s="11">
        <v>11900.0</v>
      </c>
      <c r="X373" s="11">
        <v>14000.0</v>
      </c>
      <c r="Y373" s="12"/>
      <c r="Z373" s="11">
        <v>67740.0</v>
      </c>
      <c r="AA373" s="11">
        <v>16540.0</v>
      </c>
      <c r="AB373" s="11">
        <v>-6150.0</v>
      </c>
      <c r="AC373" s="11">
        <v>-72320.0</v>
      </c>
      <c r="AD373" s="11">
        <v>119320.0</v>
      </c>
      <c r="AE373" s="11">
        <v>65160.0</v>
      </c>
      <c r="AF373" s="11">
        <v>18180.0</v>
      </c>
      <c r="AG373" s="11">
        <v>-7210.0</v>
      </c>
      <c r="AH373" s="11">
        <v>-74740.0</v>
      </c>
      <c r="AI373" s="11">
        <v>152660.0</v>
      </c>
      <c r="AJ373" s="11">
        <v>99180.0</v>
      </c>
      <c r="AK373" s="11">
        <v>71950.0</v>
      </c>
      <c r="AL373" s="11">
        <v>31030.0</v>
      </c>
      <c r="AM373" s="11">
        <v>-12300.0</v>
      </c>
      <c r="AN373" s="11">
        <v>119500.0</v>
      </c>
      <c r="AO373" s="11">
        <v>50440.0</v>
      </c>
      <c r="AP373" s="11">
        <v>10240.0</v>
      </c>
      <c r="AQ373" s="11">
        <v>-16490.0</v>
      </c>
      <c r="AR373" s="11">
        <v>-83200.0</v>
      </c>
      <c r="AS373" s="11">
        <v>154270.0</v>
      </c>
      <c r="AT373" s="11">
        <v>114160.0</v>
      </c>
      <c r="AU373" s="11">
        <v>98260.0</v>
      </c>
      <c r="AV373" s="11">
        <v>39750.0</v>
      </c>
      <c r="AW373" s="11">
        <v>9700.0</v>
      </c>
      <c r="AX373" s="11">
        <v>-36580.0</v>
      </c>
      <c r="AY373" s="11">
        <v>-11980.0</v>
      </c>
      <c r="AZ373" s="11">
        <v>-13120.0</v>
      </c>
      <c r="BA373" s="11">
        <v>-22190.0</v>
      </c>
      <c r="BB373" s="11">
        <v>-18490.0</v>
      </c>
      <c r="BC373" s="11">
        <v>-2990.0</v>
      </c>
      <c r="BD373" s="11">
        <v>-21020.0</v>
      </c>
      <c r="BE373" s="11">
        <v>-12000.0</v>
      </c>
      <c r="BF373" s="11">
        <v>-12000.0</v>
      </c>
      <c r="BG373" s="11">
        <v>-11900.0</v>
      </c>
      <c r="BH373" s="11">
        <v>109750.0</v>
      </c>
      <c r="BI373" s="11">
        <v>125310.0</v>
      </c>
      <c r="BJ373" s="11">
        <v>174270.0</v>
      </c>
      <c r="BK373" s="11">
        <v>150100.0</v>
      </c>
      <c r="BL373" s="11">
        <v>143340.0</v>
      </c>
      <c r="BM373" s="11">
        <v>118250.0</v>
      </c>
      <c r="BN373" s="11">
        <v>108370.0</v>
      </c>
      <c r="BO373" s="11">
        <v>97830.0</v>
      </c>
      <c r="BP373" s="11">
        <v>95930.0</v>
      </c>
      <c r="BQ373" s="11">
        <v>108080.0</v>
      </c>
      <c r="BR373" s="11">
        <v>172030.0</v>
      </c>
      <c r="BS373" s="11">
        <v>124490.0</v>
      </c>
      <c r="BT373" s="11">
        <v>130350.0</v>
      </c>
      <c r="BU373" s="11">
        <v>147030.0</v>
      </c>
      <c r="BV373" s="11">
        <v>168190.0</v>
      </c>
      <c r="BW373" s="11">
        <v>425380.0</v>
      </c>
      <c r="BX373" s="11">
        <v>380300.0</v>
      </c>
      <c r="BY373" s="11">
        <v>425050.0</v>
      </c>
      <c r="BZ373" s="11">
        <v>425480.0</v>
      </c>
      <c r="CA373" s="11">
        <v>445950.0</v>
      </c>
      <c r="CB373" s="11">
        <v>229630.0</v>
      </c>
      <c r="CC373" s="11">
        <v>22210.0</v>
      </c>
      <c r="CD373" s="11">
        <v>35030.0</v>
      </c>
      <c r="CE373" s="11">
        <v>44090.0</v>
      </c>
      <c r="CF373" s="11">
        <v>47900.0</v>
      </c>
      <c r="CG373" s="11">
        <v>1580.0</v>
      </c>
      <c r="CH373" s="11">
        <v>1610.0</v>
      </c>
      <c r="CI373" s="11">
        <v>1690.0</v>
      </c>
      <c r="CJ373" s="11">
        <v>1480.0</v>
      </c>
      <c r="CK373" s="11">
        <v>1970.0</v>
      </c>
      <c r="CL373" s="11">
        <v>738800.0</v>
      </c>
      <c r="CM373" s="11">
        <v>468900.0</v>
      </c>
      <c r="CN373" s="11">
        <v>543700.0</v>
      </c>
      <c r="CO373" s="11">
        <v>566390.0</v>
      </c>
      <c r="CP373" s="11">
        <v>608020.0</v>
      </c>
      <c r="CQ373" s="11">
        <v>95750.0</v>
      </c>
      <c r="CR373" s="11">
        <v>77230.0</v>
      </c>
      <c r="CS373" s="11">
        <v>66380.0</v>
      </c>
      <c r="CT373" s="11">
        <v>61930.0</v>
      </c>
      <c r="CU373" s="11">
        <v>63340.0</v>
      </c>
      <c r="CV373" s="11">
        <v>257220.0</v>
      </c>
      <c r="CW373" s="11">
        <v>48590.0</v>
      </c>
      <c r="CX373" s="12"/>
      <c r="CY373" s="12"/>
      <c r="CZ373" s="12"/>
      <c r="DA373" s="12"/>
      <c r="DB373" s="11">
        <v>257220.0</v>
      </c>
      <c r="DC373" s="11">
        <v>184490.0</v>
      </c>
      <c r="DD373" s="11">
        <v>157020.0</v>
      </c>
      <c r="DE373" s="11">
        <v>149140.0</v>
      </c>
      <c r="DF373" s="11">
        <v>606900.0</v>
      </c>
      <c r="DG373" s="11">
        <v>318590.0</v>
      </c>
      <c r="DH373" s="11">
        <v>175400.0</v>
      </c>
      <c r="DI373" s="11">
        <v>167110.0</v>
      </c>
      <c r="DJ373" s="11">
        <v>186390.0</v>
      </c>
      <c r="DK373" s="11">
        <v>2290.0</v>
      </c>
      <c r="DL373" s="11">
        <v>2220.0</v>
      </c>
      <c r="DM373" s="11">
        <v>2780.0</v>
      </c>
      <c r="DN373" s="11">
        <v>2550.0</v>
      </c>
      <c r="DO373" s="11"/>
      <c r="DP373" s="11">
        <v>345150.0</v>
      </c>
      <c r="DQ373" s="11">
        <v>120000.0</v>
      </c>
      <c r="DR373" s="11">
        <v>30.0</v>
      </c>
      <c r="DS373" s="11">
        <v>40.0</v>
      </c>
      <c r="DT373" s="11">
        <v>1630.0</v>
      </c>
      <c r="DU373" s="13"/>
      <c r="DV373" s="12"/>
      <c r="DW373" s="11">
        <v>182430.0</v>
      </c>
      <c r="DX373" s="11">
        <v>178900.0</v>
      </c>
      <c r="DY373" s="11">
        <v>175660.0</v>
      </c>
      <c r="DZ373" s="11">
        <v>131910.0</v>
      </c>
      <c r="EA373" s="11">
        <v>150310.0</v>
      </c>
      <c r="EB373" s="11">
        <v>368300.0</v>
      </c>
      <c r="EC373" s="11">
        <v>399280.0</v>
      </c>
      <c r="ED373" s="11">
        <v>421630.0</v>
      </c>
      <c r="EE373" s="14">
        <v>0.017</v>
      </c>
      <c r="EF373" s="14">
        <v>0.181</v>
      </c>
      <c r="EG373" s="14">
        <v>6.214</v>
      </c>
      <c r="EH373" s="14">
        <v>1.716</v>
      </c>
    </row>
    <row r="374">
      <c r="A374" s="9">
        <f t="shared" si="2"/>
        <v>372</v>
      </c>
      <c r="B374" s="10" t="s">
        <v>508</v>
      </c>
      <c r="C374" s="15">
        <v>2060000.0</v>
      </c>
      <c r="D374" s="15">
        <v>2240000.0</v>
      </c>
      <c r="E374" s="15">
        <v>2380000.0</v>
      </c>
      <c r="F374" s="15">
        <v>2160000.0</v>
      </c>
      <c r="G374" s="15">
        <v>1800000.0</v>
      </c>
      <c r="H374" s="15">
        <v>1810000.0</v>
      </c>
      <c r="I374" s="15">
        <v>2220000.0</v>
      </c>
      <c r="J374" s="15">
        <v>450600.0</v>
      </c>
      <c r="K374" s="15">
        <v>398800.0</v>
      </c>
      <c r="L374" s="15">
        <v>321500.0</v>
      </c>
      <c r="M374" s="15">
        <v>315100.0</v>
      </c>
      <c r="N374" s="15">
        <v>355400.0</v>
      </c>
      <c r="O374" s="15">
        <v>225500.0</v>
      </c>
      <c r="P374" s="15">
        <v>212300.0</v>
      </c>
      <c r="Q374" s="15">
        <v>200800.0</v>
      </c>
      <c r="R374" s="15">
        <v>190100.0</v>
      </c>
      <c r="S374" s="15">
        <v>196400.0</v>
      </c>
      <c r="T374" s="15">
        <v>23300.0</v>
      </c>
      <c r="U374" s="15">
        <v>19300.0</v>
      </c>
      <c r="V374" s="15">
        <v>16900.0</v>
      </c>
      <c r="W374" s="15">
        <v>16300.0</v>
      </c>
      <c r="X374" s="15">
        <v>18700.0</v>
      </c>
      <c r="Y374" s="15">
        <v>236100.0</v>
      </c>
      <c r="Z374" s="15">
        <v>1500.0</v>
      </c>
      <c r="AA374" s="15">
        <v>124200.0</v>
      </c>
      <c r="AB374" s="15">
        <v>96600.0</v>
      </c>
      <c r="AC374" s="15">
        <v>-25900.0</v>
      </c>
      <c r="AD374" s="15">
        <v>216000.0</v>
      </c>
      <c r="AE374" s="15">
        <v>160200.0</v>
      </c>
      <c r="AF374" s="15">
        <v>70200.0</v>
      </c>
      <c r="AG374" s="15">
        <v>21500.0</v>
      </c>
      <c r="AH374" s="15">
        <v>89100.0</v>
      </c>
      <c r="AI374" s="15">
        <v>346600.0</v>
      </c>
      <c r="AJ374" s="15">
        <v>303100.0</v>
      </c>
      <c r="AK374" s="15">
        <v>238500.0</v>
      </c>
      <c r="AL374" s="15">
        <v>244300.0</v>
      </c>
      <c r="AM374" s="15">
        <v>281300.0</v>
      </c>
      <c r="AN374" s="15">
        <v>165100.0</v>
      </c>
      <c r="AO374" s="15">
        <v>186800.0</v>
      </c>
      <c r="AP374" s="15">
        <v>46700.0</v>
      </c>
      <c r="AQ374" s="15">
        <v>11200.0</v>
      </c>
      <c r="AR374" s="15">
        <v>58600.0</v>
      </c>
      <c r="AS374" s="15">
        <v>232400.0</v>
      </c>
      <c r="AT374" s="15">
        <v>209200.0</v>
      </c>
      <c r="AU374" s="15">
        <v>129300.0</v>
      </c>
      <c r="AV374" s="15">
        <v>256900.0</v>
      </c>
      <c r="AW374" s="15">
        <v>282600.0</v>
      </c>
      <c r="AX374" s="15">
        <v>-180300.0</v>
      </c>
      <c r="AY374" s="15">
        <v>-135000.0</v>
      </c>
      <c r="AZ374" s="15">
        <v>-98500.0</v>
      </c>
      <c r="BA374" s="15">
        <v>-95200.0</v>
      </c>
      <c r="BB374" s="15">
        <v>-170500.0</v>
      </c>
      <c r="BC374" s="15">
        <v>-38600.0</v>
      </c>
      <c r="BD374" s="15">
        <v>-34400.0</v>
      </c>
      <c r="BE374" s="15">
        <v>-34100.0</v>
      </c>
      <c r="BF374" s="15">
        <v>-34800.0</v>
      </c>
      <c r="BG374" s="15">
        <v>-37900.0</v>
      </c>
      <c r="BH374" s="15">
        <v>27000.0</v>
      </c>
      <c r="BI374" s="15">
        <v>56200.0</v>
      </c>
      <c r="BJ374" s="15">
        <v>66300.0</v>
      </c>
      <c r="BK374" s="15">
        <v>82000.0</v>
      </c>
      <c r="BL374" s="15">
        <v>70000.0</v>
      </c>
      <c r="BM374" s="15">
        <v>384100.0</v>
      </c>
      <c r="BN374" s="15">
        <v>378500.0</v>
      </c>
      <c r="BO374" s="15">
        <v>290400.0</v>
      </c>
      <c r="BP374" s="15">
        <v>253600.0</v>
      </c>
      <c r="BQ374" s="15">
        <v>304100.0</v>
      </c>
      <c r="BR374" s="15">
        <v>787700.0</v>
      </c>
      <c r="BS374" s="15">
        <v>689200.0</v>
      </c>
      <c r="BT374" s="15">
        <v>690400.0</v>
      </c>
      <c r="BU374" s="15">
        <v>628700.0</v>
      </c>
      <c r="BV374" s="15">
        <v>655800.0</v>
      </c>
      <c r="BW374" s="15">
        <v>1240000.0</v>
      </c>
      <c r="BX374" s="15">
        <v>1180000.0</v>
      </c>
      <c r="BY374" s="15">
        <v>1090000.0</v>
      </c>
      <c r="BZ374" s="15">
        <v>1010000.0</v>
      </c>
      <c r="CA374" s="15">
        <v>1070000.0</v>
      </c>
      <c r="CB374" s="15">
        <v>1370000.0</v>
      </c>
      <c r="CC374" s="15">
        <v>1310000.0</v>
      </c>
      <c r="CD374" s="15">
        <v>1320000.0</v>
      </c>
      <c r="CE374" s="15">
        <v>1350000.0</v>
      </c>
      <c r="CF374" s="15">
        <v>1400000.0</v>
      </c>
      <c r="CG374" s="15">
        <v>326400.0</v>
      </c>
      <c r="CH374" s="15">
        <v>268700.0</v>
      </c>
      <c r="CI374" s="15">
        <v>263400.0</v>
      </c>
      <c r="CJ374" s="15">
        <v>244800.0</v>
      </c>
      <c r="CK374" s="15">
        <v>257400.0</v>
      </c>
      <c r="CL374" s="15">
        <v>3190000.0</v>
      </c>
      <c r="CM374" s="15">
        <v>3010000.0</v>
      </c>
      <c r="CN374" s="15">
        <v>2880000.0</v>
      </c>
      <c r="CO374" s="15">
        <v>2790000.0</v>
      </c>
      <c r="CP374" s="15">
        <v>2900000.0</v>
      </c>
      <c r="CQ374" s="15">
        <v>238700.0</v>
      </c>
      <c r="CR374" s="15">
        <v>214700.0</v>
      </c>
      <c r="CS374" s="15">
        <v>201100.0</v>
      </c>
      <c r="CT374" s="15">
        <v>159600.0</v>
      </c>
      <c r="CU374" s="15">
        <v>169500.0</v>
      </c>
      <c r="CV374" s="15">
        <v>416000.0</v>
      </c>
      <c r="CW374" s="15">
        <v>19700.0</v>
      </c>
      <c r="CX374" s="15">
        <v>0.0</v>
      </c>
      <c r="CY374" s="15">
        <v>0.0</v>
      </c>
      <c r="CZ374" s="15">
        <v>0.0</v>
      </c>
      <c r="DA374" s="15">
        <v>0.0</v>
      </c>
      <c r="DB374" s="15">
        <v>416000.0</v>
      </c>
      <c r="DC374" s="15">
        <v>363300.0</v>
      </c>
      <c r="DD374" s="15">
        <v>396000.0</v>
      </c>
      <c r="DE374" s="15">
        <v>298800.0</v>
      </c>
      <c r="DF374" s="15">
        <v>1670000.0</v>
      </c>
      <c r="DG374" s="15">
        <v>1520000.0</v>
      </c>
      <c r="DH374" s="15">
        <v>1680000.0</v>
      </c>
      <c r="DI374" s="15">
        <v>1690000.0</v>
      </c>
      <c r="DJ374" s="15">
        <v>1580000.0</v>
      </c>
      <c r="DK374" s="15">
        <v>7800.0</v>
      </c>
      <c r="DL374" s="15">
        <v>19400.0</v>
      </c>
      <c r="DM374" s="15">
        <v>7300.0</v>
      </c>
      <c r="DN374" s="15">
        <v>9700.0</v>
      </c>
      <c r="DO374" s="15">
        <v>2700.0</v>
      </c>
      <c r="DP374" s="15">
        <v>550600.0</v>
      </c>
      <c r="DQ374" s="15">
        <v>545700.0</v>
      </c>
      <c r="DR374" s="15">
        <v>550000.0</v>
      </c>
      <c r="DS374" s="15">
        <v>611300.0</v>
      </c>
      <c r="DT374" s="15">
        <v>603800.0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1520000.0</v>
      </c>
      <c r="EA374" s="15">
        <v>1490000.0</v>
      </c>
      <c r="EB374" s="15">
        <v>1200000.0</v>
      </c>
      <c r="EC374" s="15">
        <v>1100000.0</v>
      </c>
      <c r="ED374" s="15">
        <v>1330000.0</v>
      </c>
      <c r="EE374" s="17">
        <v>0.049</v>
      </c>
      <c r="EF374" s="17">
        <v>0.316</v>
      </c>
      <c r="EG374" s="17">
        <v>0.065</v>
      </c>
      <c r="EH374" s="17">
        <v>0.01</v>
      </c>
    </row>
    <row r="375">
      <c r="A375" s="9">
        <f t="shared" si="2"/>
        <v>373</v>
      </c>
      <c r="B375" s="22" t="s">
        <v>509</v>
      </c>
      <c r="C375" s="11">
        <v>18470.0</v>
      </c>
      <c r="D375" s="11">
        <v>4880.0</v>
      </c>
      <c r="E375" s="11">
        <v>289590.0</v>
      </c>
      <c r="F375" s="11">
        <v>3120.0</v>
      </c>
      <c r="G375" s="11">
        <v>41000.0</v>
      </c>
      <c r="H375" s="11">
        <v>5160.0</v>
      </c>
      <c r="I375" s="11">
        <v>247.0</v>
      </c>
      <c r="J375" s="12"/>
      <c r="K375" s="12"/>
      <c r="L375" s="12"/>
      <c r="M375" s="12"/>
      <c r="N375" s="12"/>
      <c r="O375" s="11">
        <v>238130.0</v>
      </c>
      <c r="P375" s="11">
        <v>158550.0</v>
      </c>
      <c r="Q375" s="11">
        <v>102620.0</v>
      </c>
      <c r="R375" s="11">
        <v>70290.0</v>
      </c>
      <c r="S375" s="11">
        <v>25850.0</v>
      </c>
      <c r="T375" s="11">
        <v>174640.0</v>
      </c>
      <c r="U375" s="11">
        <v>113770.0</v>
      </c>
      <c r="V375" s="11">
        <v>69800.0</v>
      </c>
      <c r="W375" s="11">
        <v>42240.0</v>
      </c>
      <c r="X375" s="11">
        <v>12570.0</v>
      </c>
      <c r="Y375" s="12"/>
      <c r="Z375" s="12"/>
      <c r="AA375" s="12"/>
      <c r="AB375" s="11">
        <v>-56650.0</v>
      </c>
      <c r="AC375" s="12"/>
      <c r="AD375" s="11">
        <v>67310.0</v>
      </c>
      <c r="AE375" s="11">
        <v>-164430.0</v>
      </c>
      <c r="AF375" s="11">
        <v>-66610.0</v>
      </c>
      <c r="AG375" s="11">
        <v>-22720.0</v>
      </c>
      <c r="AH375" s="11">
        <v>-25820.0</v>
      </c>
      <c r="AI375" s="11">
        <v>51470.0</v>
      </c>
      <c r="AJ375" s="11">
        <v>-155420.0</v>
      </c>
      <c r="AK375" s="11">
        <v>-61620.0</v>
      </c>
      <c r="AL375" s="11">
        <v>-67130.0</v>
      </c>
      <c r="AM375" s="11">
        <v>-25600.0</v>
      </c>
      <c r="AN375" s="11">
        <v>66860.0</v>
      </c>
      <c r="AO375" s="11">
        <v>-164980.0</v>
      </c>
      <c r="AP375" s="11">
        <v>-68360.0</v>
      </c>
      <c r="AQ375" s="11">
        <v>-23180.0</v>
      </c>
      <c r="AR375" s="11">
        <v>-25500.0</v>
      </c>
      <c r="AS375" s="11">
        <v>56680.0</v>
      </c>
      <c r="AT375" s="11">
        <v>-96240.0</v>
      </c>
      <c r="AU375" s="11">
        <v>-70090.0</v>
      </c>
      <c r="AV375" s="11">
        <v>-55310.0</v>
      </c>
      <c r="AW375" s="11">
        <v>59430.0</v>
      </c>
      <c r="AX375" s="11">
        <v>-6680.0</v>
      </c>
      <c r="AY375" s="11">
        <v>-2770.0</v>
      </c>
      <c r="AZ375" s="11">
        <v>-7810.0</v>
      </c>
      <c r="BA375" s="11">
        <v>-3020.0</v>
      </c>
      <c r="BB375" s="11">
        <v>-1150.0</v>
      </c>
      <c r="BC375" s="12"/>
      <c r="BD375" s="12"/>
      <c r="BE375" s="12"/>
      <c r="BF375" s="12"/>
      <c r="BG375" s="12"/>
      <c r="BH375" s="11">
        <v>943770.0</v>
      </c>
      <c r="BI375" s="11">
        <v>456650.0</v>
      </c>
      <c r="BJ375" s="11">
        <v>239760.0</v>
      </c>
      <c r="BK375" s="11">
        <v>315520.0</v>
      </c>
      <c r="BL375" s="11">
        <v>155960.0</v>
      </c>
      <c r="BM375" s="11">
        <v>4200.0</v>
      </c>
      <c r="BN375" s="11">
        <v>88.0</v>
      </c>
      <c r="BO375" s="11">
        <v>2630.0</v>
      </c>
      <c r="BP375" s="11">
        <v>3160.0</v>
      </c>
      <c r="BQ375" s="11">
        <v>339.0</v>
      </c>
      <c r="BR375" s="12"/>
      <c r="BS375" s="12"/>
      <c r="BT375" s="12"/>
      <c r="BU375" s="12"/>
      <c r="BV375" s="12"/>
      <c r="BW375" s="11">
        <v>962550.0</v>
      </c>
      <c r="BX375" s="11">
        <v>466400.0</v>
      </c>
      <c r="BY375" s="11">
        <v>248390.0</v>
      </c>
      <c r="BZ375" s="11">
        <v>320190.0</v>
      </c>
      <c r="CA375" s="11">
        <v>156840.0</v>
      </c>
      <c r="CB375" s="11">
        <v>72830.0</v>
      </c>
      <c r="CC375" s="11">
        <v>18500.0</v>
      </c>
      <c r="CD375" s="11">
        <v>18860.0</v>
      </c>
      <c r="CE375" s="11">
        <v>21030.0</v>
      </c>
      <c r="CF375" s="11">
        <v>1330.0</v>
      </c>
      <c r="CG375" s="12"/>
      <c r="CH375" s="12"/>
      <c r="CI375" s="12"/>
      <c r="CJ375" s="12"/>
      <c r="CK375" s="12"/>
      <c r="CL375" s="11">
        <v>1070000.0</v>
      </c>
      <c r="CM375" s="11">
        <v>489020.0</v>
      </c>
      <c r="CN375" s="11">
        <v>271350.0</v>
      </c>
      <c r="CO375" s="11">
        <v>344960.0</v>
      </c>
      <c r="CP375" s="11">
        <v>159420.0</v>
      </c>
      <c r="CQ375" s="11">
        <v>5940.0</v>
      </c>
      <c r="CR375" s="11">
        <v>5070.0</v>
      </c>
      <c r="CS375" s="11">
        <v>1640.0</v>
      </c>
      <c r="CT375" s="11">
        <v>4570.0</v>
      </c>
      <c r="CU375" s="12"/>
      <c r="CV375" s="11">
        <v>57110.0</v>
      </c>
      <c r="CW375" s="11">
        <v>8490.0</v>
      </c>
      <c r="CX375" s="12"/>
      <c r="CY375" s="12"/>
      <c r="CZ375" s="12"/>
      <c r="DA375" s="12"/>
      <c r="DB375" s="11">
        <v>57110.0</v>
      </c>
      <c r="DC375" s="11">
        <v>27750.0</v>
      </c>
      <c r="DD375" s="11">
        <v>14510.0</v>
      </c>
      <c r="DE375" s="11">
        <v>22000.0</v>
      </c>
      <c r="DF375" s="11">
        <v>127330.0</v>
      </c>
      <c r="DG375" s="11">
        <v>96820.0</v>
      </c>
      <c r="DH375" s="11">
        <v>83510.0</v>
      </c>
      <c r="DI375" s="11">
        <v>112120.0</v>
      </c>
      <c r="DJ375" s="11">
        <v>124030.0</v>
      </c>
      <c r="DK375" s="11">
        <v>5040.0</v>
      </c>
      <c r="DL375" s="11">
        <v>3160.0</v>
      </c>
      <c r="DM375" s="11">
        <v>3150.0</v>
      </c>
      <c r="DN375" s="11">
        <v>3150.0</v>
      </c>
      <c r="DO375" s="24">
        <v>700.0</v>
      </c>
      <c r="DP375" s="11">
        <v>44050.0</v>
      </c>
      <c r="DQ375" s="12"/>
      <c r="DR375" s="12"/>
      <c r="DS375" s="12"/>
      <c r="DT375" s="11">
        <v>38240.0</v>
      </c>
      <c r="DU375" s="13"/>
      <c r="DV375" s="12"/>
      <c r="DW375" s="12"/>
      <c r="DX375" s="13"/>
      <c r="DY375" s="11">
        <v>64520.0</v>
      </c>
      <c r="DZ375" s="11">
        <v>939430.0</v>
      </c>
      <c r="EA375" s="11">
        <v>392200.0</v>
      </c>
      <c r="EB375" s="11">
        <v>187830.0</v>
      </c>
      <c r="EC375" s="11">
        <v>232850.0</v>
      </c>
      <c r="ED375" s="11">
        <v>35420.0</v>
      </c>
      <c r="EE375" s="23"/>
      <c r="EF375" s="23"/>
      <c r="EG375" s="14">
        <v>-0.368</v>
      </c>
      <c r="EH375" s="14">
        <v>1.218</v>
      </c>
    </row>
    <row r="376">
      <c r="A376" s="9">
        <f t="shared" si="2"/>
        <v>374</v>
      </c>
      <c r="B376" s="22" t="s">
        <v>510</v>
      </c>
      <c r="C376" s="12"/>
      <c r="D376" s="12"/>
      <c r="E376" s="12"/>
      <c r="F376" s="12"/>
      <c r="G376" s="12"/>
      <c r="H376" s="12"/>
      <c r="I376" s="12"/>
      <c r="J376" s="11">
        <v>-188.0</v>
      </c>
      <c r="K376" s="11">
        <v>-51.0</v>
      </c>
      <c r="L376" s="11">
        <v>-45.0</v>
      </c>
      <c r="M376" s="12"/>
      <c r="N376" s="12"/>
      <c r="O376" s="11">
        <v>38980.0</v>
      </c>
      <c r="P376" s="11">
        <v>12070.0</v>
      </c>
      <c r="Q376" s="11">
        <v>10330.0</v>
      </c>
      <c r="R376" s="12"/>
      <c r="S376" s="12"/>
      <c r="T376" s="11">
        <v>30210.0</v>
      </c>
      <c r="U376" s="11">
        <v>10090.0</v>
      </c>
      <c r="V376" s="11">
        <v>9100.0</v>
      </c>
      <c r="W376" s="12"/>
      <c r="X376" s="12"/>
      <c r="Y376" s="12"/>
      <c r="Z376" s="11">
        <v>-12330.0</v>
      </c>
      <c r="AA376" s="11">
        <v>-10590.0</v>
      </c>
      <c r="AB376" s="12"/>
      <c r="AC376" s="12"/>
      <c r="AD376" s="11">
        <v>-36980.0</v>
      </c>
      <c r="AE376" s="11">
        <v>-12480.0</v>
      </c>
      <c r="AF376" s="11">
        <v>-12240.0</v>
      </c>
      <c r="AG376" s="12"/>
      <c r="AH376" s="12"/>
      <c r="AI376" s="11">
        <v>-38980.0</v>
      </c>
      <c r="AJ376" s="11">
        <v>-12070.0</v>
      </c>
      <c r="AK376" s="11">
        <v>-10330.0</v>
      </c>
      <c r="AL376" s="12"/>
      <c r="AM376" s="12"/>
      <c r="AN376" s="11">
        <v>-36980.0</v>
      </c>
      <c r="AO376" s="11">
        <v>-12480.0</v>
      </c>
      <c r="AP376" s="11">
        <v>-12240.0</v>
      </c>
      <c r="AQ376" s="12"/>
      <c r="AR376" s="12"/>
      <c r="AS376" s="11">
        <v>-33280.0</v>
      </c>
      <c r="AT376" s="11">
        <v>-11700.0</v>
      </c>
      <c r="AU376" s="11">
        <v>-9830.0</v>
      </c>
      <c r="AV376" s="12"/>
      <c r="AW376" s="12"/>
      <c r="AX376" s="11">
        <v>-55.0</v>
      </c>
      <c r="AY376" s="11">
        <v>-212.0</v>
      </c>
      <c r="AZ376" s="11">
        <v>-77.0</v>
      </c>
      <c r="BA376" s="12"/>
      <c r="BB376" s="12"/>
      <c r="BC376" s="12"/>
      <c r="BD376" s="12"/>
      <c r="BE376" s="12"/>
      <c r="BF376" s="12"/>
      <c r="BG376" s="12"/>
      <c r="BH376" s="11">
        <v>99860.0</v>
      </c>
      <c r="BI376" s="11">
        <v>71720.0</v>
      </c>
      <c r="BJ376" s="11">
        <v>7390.0</v>
      </c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1">
        <v>106060.0</v>
      </c>
      <c r="BX376" s="11">
        <v>72550.0</v>
      </c>
      <c r="BY376" s="11">
        <v>7540.0</v>
      </c>
      <c r="BZ376" s="12"/>
      <c r="CA376" s="12"/>
      <c r="CB376" s="11">
        <v>1330.0</v>
      </c>
      <c r="CC376" s="11">
        <v>283.0</v>
      </c>
      <c r="CD376" s="11">
        <v>122.0</v>
      </c>
      <c r="CE376" s="12"/>
      <c r="CF376" s="12"/>
      <c r="CG376" s="12"/>
      <c r="CH376" s="12"/>
      <c r="CI376" s="12"/>
      <c r="CJ376" s="12"/>
      <c r="CK376" s="12"/>
      <c r="CL376" s="11">
        <v>124370.0</v>
      </c>
      <c r="CM376" s="11">
        <v>72880.0</v>
      </c>
      <c r="CN376" s="11">
        <v>7720.0</v>
      </c>
      <c r="CO376" s="12"/>
      <c r="CP376" s="12"/>
      <c r="CQ376" s="12"/>
      <c r="CR376" s="11">
        <v>495.0</v>
      </c>
      <c r="CS376" s="11">
        <v>517.0</v>
      </c>
      <c r="CT376" s="12"/>
      <c r="CU376" s="12"/>
      <c r="CV376" s="11">
        <v>8890.0</v>
      </c>
      <c r="CW376" s="12"/>
      <c r="CX376" s="12"/>
      <c r="CY376" s="12"/>
      <c r="CZ376" s="12"/>
      <c r="DA376" s="12"/>
      <c r="DB376" s="11">
        <v>8890.0</v>
      </c>
      <c r="DC376" s="11">
        <v>1460.0</v>
      </c>
      <c r="DD376" s="11">
        <v>1760.0</v>
      </c>
      <c r="DE376" s="12"/>
      <c r="DF376" s="11">
        <v>8890.0</v>
      </c>
      <c r="DG376" s="11">
        <v>1460.0</v>
      </c>
      <c r="DH376" s="11">
        <v>10820.0</v>
      </c>
      <c r="DI376" s="12"/>
      <c r="DJ376" s="12"/>
      <c r="DK376" s="11">
        <v>16760.0</v>
      </c>
      <c r="DL376" s="12"/>
      <c r="DM376" s="12"/>
      <c r="DN376" s="12"/>
      <c r="DO376" s="12"/>
      <c r="DP376" s="12"/>
      <c r="DQ376" s="12"/>
      <c r="DR376" s="11">
        <v>7170.0</v>
      </c>
      <c r="DS376" s="12"/>
      <c r="DT376" s="12"/>
      <c r="DU376" s="13"/>
      <c r="DV376" s="11">
        <v>104050.0</v>
      </c>
      <c r="DW376" s="11">
        <v>17180.0</v>
      </c>
      <c r="DX376" s="13"/>
      <c r="DY376" s="13"/>
      <c r="DZ376" s="11">
        <v>115480.0</v>
      </c>
      <c r="EA376" s="11">
        <v>71420.0</v>
      </c>
      <c r="EB376" s="11">
        <v>-3100.0</v>
      </c>
      <c r="EC376" s="12"/>
      <c r="ED376" s="12"/>
      <c r="EE376" s="23"/>
      <c r="EF376" s="23"/>
      <c r="EG376" s="14">
        <v>0.032</v>
      </c>
      <c r="EH376" s="14">
        <v>-0.057</v>
      </c>
    </row>
    <row r="377">
      <c r="A377" s="9">
        <f t="shared" si="2"/>
        <v>375</v>
      </c>
      <c r="B377" s="10" t="s">
        <v>511</v>
      </c>
      <c r="C377" s="15">
        <v>1330000.0</v>
      </c>
      <c r="D377" s="15">
        <v>1190000.0</v>
      </c>
      <c r="E377" s="15">
        <v>1280000.0</v>
      </c>
      <c r="F377" s="15">
        <v>1190000.0</v>
      </c>
      <c r="G377" s="15">
        <v>1530000.0</v>
      </c>
      <c r="H377" s="15">
        <v>1540000.0</v>
      </c>
      <c r="I377" s="15">
        <v>1170000.0</v>
      </c>
      <c r="J377" s="15">
        <v>674170.0</v>
      </c>
      <c r="K377" s="15">
        <v>597500.0</v>
      </c>
      <c r="L377" s="15">
        <v>760720.0</v>
      </c>
      <c r="M377" s="15">
        <v>757820.0</v>
      </c>
      <c r="N377" s="15">
        <v>554840.0</v>
      </c>
      <c r="O377" s="15">
        <v>478760.0</v>
      </c>
      <c r="P377" s="15">
        <v>501640.0</v>
      </c>
      <c r="Q377" s="15">
        <v>498230.0</v>
      </c>
      <c r="R377" s="15">
        <v>430500.0</v>
      </c>
      <c r="S377" s="15">
        <v>385830.0</v>
      </c>
      <c r="T377" s="15">
        <v>347650.0</v>
      </c>
      <c r="U377" s="15">
        <v>375140.0</v>
      </c>
      <c r="V377" s="15">
        <v>366420.0</v>
      </c>
      <c r="W377" s="15">
        <v>303240.0</v>
      </c>
      <c r="X377" s="15">
        <v>268750.0</v>
      </c>
      <c r="Y377" s="15">
        <v>169250.0</v>
      </c>
      <c r="Z377" s="15">
        <v>82090.0</v>
      </c>
      <c r="AA377" s="15">
        <v>262460.0</v>
      </c>
      <c r="AB377" s="15">
        <v>317050.0</v>
      </c>
      <c r="AC377" s="15">
        <v>179310.0</v>
      </c>
      <c r="AD377" s="15">
        <v>181270.0</v>
      </c>
      <c r="AE377" s="15">
        <v>93740.0</v>
      </c>
      <c r="AF377" s="15">
        <v>265100.0</v>
      </c>
      <c r="AG377" s="15">
        <v>315050.0</v>
      </c>
      <c r="AH377" s="15">
        <v>175990.0</v>
      </c>
      <c r="AI377" s="15">
        <v>255610.0</v>
      </c>
      <c r="AJ377" s="15">
        <v>175680.0</v>
      </c>
      <c r="AK377" s="15">
        <v>343890.0</v>
      </c>
      <c r="AL377" s="15">
        <v>390740.0</v>
      </c>
      <c r="AM377" s="15">
        <v>227070.0</v>
      </c>
      <c r="AN377" s="15">
        <v>159500.0</v>
      </c>
      <c r="AO377" s="15">
        <v>89990.0</v>
      </c>
      <c r="AP377" s="15">
        <v>162000.0</v>
      </c>
      <c r="AQ377" s="15">
        <v>261210.0</v>
      </c>
      <c r="AR377" s="15">
        <v>123630.0</v>
      </c>
      <c r="AS377" s="15">
        <v>295820.0</v>
      </c>
      <c r="AT377" s="15">
        <v>206690.0</v>
      </c>
      <c r="AU377" s="15">
        <v>318710.0</v>
      </c>
      <c r="AV377" s="15">
        <v>369750.0</v>
      </c>
      <c r="AW377" s="15">
        <v>155280.0</v>
      </c>
      <c r="AX377" s="15">
        <v>-21580.0</v>
      </c>
      <c r="AY377" s="15">
        <v>-35760.0</v>
      </c>
      <c r="AZ377" s="15">
        <v>-84500.0</v>
      </c>
      <c r="BA377" s="15">
        <v>-51300.0</v>
      </c>
      <c r="BB377" s="15">
        <v>-46090.0</v>
      </c>
      <c r="BC377" s="15">
        <v>0.0</v>
      </c>
      <c r="BD377" s="15">
        <v>0.0</v>
      </c>
      <c r="BE377" s="15">
        <v>0.0</v>
      </c>
      <c r="BF377" s="15">
        <v>0.0</v>
      </c>
      <c r="BG377" s="15">
        <v>0.0</v>
      </c>
      <c r="BH377" s="15">
        <v>314130.0</v>
      </c>
      <c r="BI377" s="15">
        <v>286360.0</v>
      </c>
      <c r="BJ377" s="15">
        <v>262000.0</v>
      </c>
      <c r="BK377" s="15">
        <v>450980.0</v>
      </c>
      <c r="BL377" s="15">
        <v>229380.0</v>
      </c>
      <c r="BM377" s="15">
        <v>154000.0</v>
      </c>
      <c r="BN377" s="15">
        <v>120660.0</v>
      </c>
      <c r="BO377" s="15">
        <v>100800.0</v>
      </c>
      <c r="BP377" s="15">
        <v>119970.0</v>
      </c>
      <c r="BQ377" s="15">
        <v>88530.0</v>
      </c>
      <c r="BR377" s="15">
        <v>146730.0</v>
      </c>
      <c r="BS377" s="15">
        <v>164730.0</v>
      </c>
      <c r="BT377" s="15">
        <v>205760.0</v>
      </c>
      <c r="BU377" s="15">
        <v>167900.0</v>
      </c>
      <c r="BV377" s="15">
        <v>142020.0</v>
      </c>
      <c r="BW377" s="15">
        <v>650200.0</v>
      </c>
      <c r="BX377" s="15">
        <v>624980.0</v>
      </c>
      <c r="BY377" s="15">
        <v>613670.0</v>
      </c>
      <c r="BZ377" s="15">
        <v>775930.0</v>
      </c>
      <c r="CA377" s="15">
        <v>506130.0</v>
      </c>
      <c r="CB377" s="15">
        <v>299520.0</v>
      </c>
      <c r="CC377" s="15">
        <v>186190.0</v>
      </c>
      <c r="CD377" s="15">
        <v>191150.0</v>
      </c>
      <c r="CE377" s="15">
        <v>168140.0</v>
      </c>
      <c r="CF377" s="15">
        <v>162660.0</v>
      </c>
      <c r="CG377" s="15">
        <v>287090.0</v>
      </c>
      <c r="CH377" s="15">
        <v>286240.0</v>
      </c>
      <c r="CI377" s="15">
        <v>288720.0</v>
      </c>
      <c r="CJ377" s="15">
        <v>286770.0</v>
      </c>
      <c r="CK377" s="15">
        <v>287520.0</v>
      </c>
      <c r="CL377" s="15">
        <v>1590000.0</v>
      </c>
      <c r="CM377" s="15">
        <v>1350000.0</v>
      </c>
      <c r="CN377" s="15">
        <v>1430000.0</v>
      </c>
      <c r="CO377" s="15">
        <v>1410000.0</v>
      </c>
      <c r="CP377" s="15">
        <v>1180000.0</v>
      </c>
      <c r="CQ377" s="15">
        <v>78410.0</v>
      </c>
      <c r="CR377" s="15">
        <v>48400.0</v>
      </c>
      <c r="CS377" s="15">
        <v>69850.0</v>
      </c>
      <c r="CT377" s="15">
        <v>73810.0</v>
      </c>
      <c r="CU377" s="15">
        <v>71620.0</v>
      </c>
      <c r="CV377" s="15">
        <v>158640.0</v>
      </c>
      <c r="CW377" s="15">
        <v>13580.0</v>
      </c>
      <c r="CX377" s="15">
        <v>0.0</v>
      </c>
      <c r="CY377" s="16">
        <v>0.0</v>
      </c>
      <c r="CZ377" s="16">
        <v>0.0</v>
      </c>
      <c r="DA377" s="15">
        <v>0.0</v>
      </c>
      <c r="DB377" s="15">
        <v>158640.0</v>
      </c>
      <c r="DC377" s="15">
        <v>115540.0</v>
      </c>
      <c r="DD377" s="15">
        <v>140210.0</v>
      </c>
      <c r="DE377" s="15">
        <v>144080.0</v>
      </c>
      <c r="DF377" s="15">
        <v>362900.0</v>
      </c>
      <c r="DG377" s="15">
        <v>212400.0</v>
      </c>
      <c r="DH377" s="15">
        <v>268390.0</v>
      </c>
      <c r="DI377" s="15">
        <v>261780.0</v>
      </c>
      <c r="DJ377" s="15">
        <v>322400.0</v>
      </c>
      <c r="DK377" s="15">
        <v>283570.0</v>
      </c>
      <c r="DL377" s="15">
        <v>158970.0</v>
      </c>
      <c r="DM377" s="15">
        <v>172500.0</v>
      </c>
      <c r="DN377" s="15">
        <v>0.0</v>
      </c>
      <c r="DO377" s="15">
        <v>20630.0</v>
      </c>
      <c r="DP377" s="15">
        <v>129310.0</v>
      </c>
      <c r="DQ377" s="15">
        <v>0.0</v>
      </c>
      <c r="DR377" s="15">
        <v>0.0</v>
      </c>
      <c r="DS377" s="15">
        <v>60000.0</v>
      </c>
      <c r="DT377" s="15">
        <v>160440.0</v>
      </c>
      <c r="DU377" s="16">
        <v>0.0</v>
      </c>
      <c r="DV377" s="15">
        <v>0.0</v>
      </c>
      <c r="DW377" s="15">
        <v>0.0</v>
      </c>
      <c r="DX377" s="15">
        <v>0.0</v>
      </c>
      <c r="DY377" s="15">
        <v>0.0</v>
      </c>
      <c r="DZ377" s="15">
        <v>1230000.0</v>
      </c>
      <c r="EA377" s="15">
        <v>1140000.0</v>
      </c>
      <c r="EB377" s="15">
        <v>1160000.0</v>
      </c>
      <c r="EC377" s="15">
        <v>1150000.0</v>
      </c>
      <c r="ED377" s="15">
        <v>859480.0</v>
      </c>
      <c r="EE377" s="17">
        <v>0.084</v>
      </c>
      <c r="EF377" s="17">
        <v>0.188</v>
      </c>
      <c r="EG377" s="17">
        <v>0.388</v>
      </c>
      <c r="EH377" s="17">
        <v>0.655</v>
      </c>
    </row>
    <row r="378">
      <c r="A378" s="9">
        <f t="shared" si="2"/>
        <v>376</v>
      </c>
      <c r="B378" s="10" t="s">
        <v>512</v>
      </c>
      <c r="C378" s="12"/>
      <c r="D378" s="12"/>
      <c r="E378" s="11">
        <v>592230.0</v>
      </c>
      <c r="F378" s="11">
        <v>595740.0</v>
      </c>
      <c r="G378" s="11">
        <v>558350.0</v>
      </c>
      <c r="H378" s="11">
        <v>518690.0</v>
      </c>
      <c r="I378" s="11">
        <v>503580.0</v>
      </c>
      <c r="J378" s="11">
        <v>103410.0</v>
      </c>
      <c r="K378" s="11">
        <v>124810.0</v>
      </c>
      <c r="L378" s="11">
        <v>107250.0</v>
      </c>
      <c r="M378" s="11">
        <v>104790.0</v>
      </c>
      <c r="N378" s="11">
        <v>104540.0</v>
      </c>
      <c r="O378" s="11">
        <v>42690.0</v>
      </c>
      <c r="P378" s="11">
        <v>63300.0</v>
      </c>
      <c r="Q378" s="11">
        <v>58180.0</v>
      </c>
      <c r="R378" s="11">
        <v>57240.0</v>
      </c>
      <c r="S378" s="11">
        <v>58480.0</v>
      </c>
      <c r="T378" s="12"/>
      <c r="U378" s="12"/>
      <c r="V378" s="12"/>
      <c r="W378" s="12"/>
      <c r="X378" s="12"/>
      <c r="Y378" s="12"/>
      <c r="Z378" s="12"/>
      <c r="AA378" s="11">
        <v>47900.0</v>
      </c>
      <c r="AB378" s="12"/>
      <c r="AC378" s="12"/>
      <c r="AD378" s="11">
        <v>60710.0</v>
      </c>
      <c r="AE378" s="11">
        <v>61510.0</v>
      </c>
      <c r="AF378" s="11">
        <v>47900.0</v>
      </c>
      <c r="AG378" s="11">
        <v>47550.0</v>
      </c>
      <c r="AH378" s="11">
        <v>46060.0</v>
      </c>
      <c r="AI378" s="11">
        <v>83230.0</v>
      </c>
      <c r="AJ378" s="11">
        <v>84500.0</v>
      </c>
      <c r="AK378" s="11">
        <v>70850.0</v>
      </c>
      <c r="AL378" s="11">
        <v>68520.0</v>
      </c>
      <c r="AM378" s="11">
        <v>66010.0</v>
      </c>
      <c r="AN378" s="11">
        <v>47380.0</v>
      </c>
      <c r="AO378" s="11">
        <v>46700.0</v>
      </c>
      <c r="AP378" s="11">
        <v>35700.0</v>
      </c>
      <c r="AQ378" s="11">
        <v>29480.0</v>
      </c>
      <c r="AR378" s="11">
        <v>28530.0</v>
      </c>
      <c r="AS378" s="11">
        <v>86400.0</v>
      </c>
      <c r="AT378" s="11">
        <v>78640.0</v>
      </c>
      <c r="AU378" s="11">
        <v>62150.0</v>
      </c>
      <c r="AV378" s="11">
        <v>52050.0</v>
      </c>
      <c r="AW378" s="11">
        <v>51310.0</v>
      </c>
      <c r="AX378" s="11">
        <v>-32360.0</v>
      </c>
      <c r="AY378" s="11">
        <v>-15270.0</v>
      </c>
      <c r="AZ378" s="11">
        <v>-27690.0</v>
      </c>
      <c r="BA378" s="11">
        <v>-31040.0</v>
      </c>
      <c r="BB378" s="11">
        <v>-16760.0</v>
      </c>
      <c r="BC378" s="13"/>
      <c r="BD378" s="13"/>
      <c r="BE378" s="13"/>
      <c r="BF378" s="13"/>
      <c r="BG378" s="13"/>
      <c r="BH378" s="11">
        <v>83220.0</v>
      </c>
      <c r="BI378" s="11">
        <v>91710.0</v>
      </c>
      <c r="BJ378" s="11">
        <v>55770.0</v>
      </c>
      <c r="BK378" s="11">
        <v>28610.0</v>
      </c>
      <c r="BL378" s="11">
        <v>32780.0</v>
      </c>
      <c r="BM378" s="11">
        <v>65770.0</v>
      </c>
      <c r="BN378" s="11">
        <v>71340.0</v>
      </c>
      <c r="BO378" s="11">
        <v>64940.0</v>
      </c>
      <c r="BP378" s="11">
        <v>62840.0</v>
      </c>
      <c r="BQ378" s="11">
        <v>59750.0</v>
      </c>
      <c r="BR378" s="12"/>
      <c r="BS378" s="12"/>
      <c r="BT378" s="12"/>
      <c r="BU378" s="12"/>
      <c r="BV378" s="12"/>
      <c r="BW378" s="11">
        <v>208990.0</v>
      </c>
      <c r="BX378" s="11">
        <v>215490.0</v>
      </c>
      <c r="BY378" s="11">
        <v>163320.0</v>
      </c>
      <c r="BZ378" s="11">
        <v>128870.0</v>
      </c>
      <c r="CA378" s="11">
        <v>123110.0</v>
      </c>
      <c r="CB378" s="11">
        <v>166570.0</v>
      </c>
      <c r="CC378" s="11">
        <v>61980.0</v>
      </c>
      <c r="CD378" s="11">
        <v>69360.0</v>
      </c>
      <c r="CE378" s="11">
        <v>63040.0</v>
      </c>
      <c r="CF378" s="11">
        <v>53270.0</v>
      </c>
      <c r="CG378" s="11">
        <v>36810.0</v>
      </c>
      <c r="CH378" s="11">
        <v>36810.0</v>
      </c>
      <c r="CI378" s="11">
        <v>36810.0</v>
      </c>
      <c r="CJ378" s="11">
        <v>36810.0</v>
      </c>
      <c r="CK378" s="11">
        <v>36810.0</v>
      </c>
      <c r="CL378" s="11">
        <v>450950.0</v>
      </c>
      <c r="CM378" s="11">
        <v>330150.0</v>
      </c>
      <c r="CN378" s="11">
        <v>284940.0</v>
      </c>
      <c r="CO378" s="11">
        <v>250660.0</v>
      </c>
      <c r="CP378" s="11">
        <v>234500.0</v>
      </c>
      <c r="CQ378" s="11">
        <v>15150.0</v>
      </c>
      <c r="CR378" s="11">
        <v>9930.0</v>
      </c>
      <c r="CS378" s="11">
        <v>11790.0</v>
      </c>
      <c r="CT378" s="11">
        <v>13870.0</v>
      </c>
      <c r="CU378" s="11">
        <v>11190.0</v>
      </c>
      <c r="CV378" s="11">
        <v>133690.0</v>
      </c>
      <c r="CW378" s="11">
        <v>13220.0</v>
      </c>
      <c r="CX378" s="13"/>
      <c r="CY378" s="13"/>
      <c r="CZ378" s="13"/>
      <c r="DA378" s="12"/>
      <c r="DB378" s="11">
        <v>133690.0</v>
      </c>
      <c r="DC378" s="11">
        <v>116920.0</v>
      </c>
      <c r="DD378" s="11">
        <v>97990.0</v>
      </c>
      <c r="DE378" s="11">
        <v>90050.0</v>
      </c>
      <c r="DF378" s="11">
        <v>261240.0</v>
      </c>
      <c r="DG378" s="11">
        <v>135340.0</v>
      </c>
      <c r="DH378" s="11">
        <v>113760.0</v>
      </c>
      <c r="DI378" s="11">
        <v>112010.0</v>
      </c>
      <c r="DJ378" s="11">
        <v>102560.0</v>
      </c>
      <c r="DK378" s="12"/>
      <c r="DL378" s="11">
        <v>200.0</v>
      </c>
      <c r="DM378" s="11">
        <v>1080.0</v>
      </c>
      <c r="DN378" s="11">
        <v>1970.0</v>
      </c>
      <c r="DO378" s="12"/>
      <c r="DP378" s="11">
        <v>85100.0</v>
      </c>
      <c r="DQ378" s="12"/>
      <c r="DR378" s="12"/>
      <c r="DS378" s="12"/>
      <c r="DT378" s="12"/>
      <c r="DU378" s="13"/>
      <c r="DV378" s="12"/>
      <c r="DW378" s="12"/>
      <c r="DX378" s="13"/>
      <c r="DY378" s="13"/>
      <c r="DZ378" s="11">
        <v>189710.0</v>
      </c>
      <c r="EA378" s="11">
        <v>194810.0</v>
      </c>
      <c r="EB378" s="11">
        <v>171180.0</v>
      </c>
      <c r="EC378" s="11">
        <v>138650.0</v>
      </c>
      <c r="ED378" s="11">
        <v>131950.0</v>
      </c>
      <c r="EE378" s="23"/>
      <c r="EF378" s="23"/>
      <c r="EG378" s="29" t="s">
        <v>155</v>
      </c>
      <c r="EH378" s="23"/>
    </row>
    <row r="379">
      <c r="A379" s="9">
        <f t="shared" si="2"/>
        <v>377</v>
      </c>
      <c r="B379" s="22" t="s">
        <v>513</v>
      </c>
      <c r="C379" s="12"/>
      <c r="D379" s="12"/>
      <c r="E379" s="12"/>
      <c r="F379" s="12"/>
      <c r="G379" s="12"/>
      <c r="H379" s="12"/>
      <c r="I379" s="12"/>
      <c r="J379" s="11">
        <v>-743.0</v>
      </c>
      <c r="K379" s="11">
        <v>-847.0</v>
      </c>
      <c r="L379" s="11">
        <v>-842.0</v>
      </c>
      <c r="M379" s="11">
        <v>-594.0</v>
      </c>
      <c r="N379" s="11">
        <v>-148.0</v>
      </c>
      <c r="O379" s="11">
        <v>48110.0</v>
      </c>
      <c r="P379" s="11">
        <v>48380.0</v>
      </c>
      <c r="Q379" s="11">
        <v>55680.0</v>
      </c>
      <c r="R379" s="11">
        <v>36380.0</v>
      </c>
      <c r="S379" s="11">
        <v>13620.0</v>
      </c>
      <c r="T379" s="11">
        <v>37980.0</v>
      </c>
      <c r="U379" s="11">
        <v>38590.0</v>
      </c>
      <c r="V379" s="11">
        <v>46310.0</v>
      </c>
      <c r="W379" s="11">
        <v>29360.0</v>
      </c>
      <c r="X379" s="11">
        <v>11350.0</v>
      </c>
      <c r="Y379" s="12"/>
      <c r="Z379" s="12"/>
      <c r="AA379" s="12"/>
      <c r="AB379" s="12"/>
      <c r="AC379" s="11">
        <v>-31370.0</v>
      </c>
      <c r="AD379" s="11">
        <v>-46670.0</v>
      </c>
      <c r="AE379" s="11">
        <v>-46940.0</v>
      </c>
      <c r="AF379" s="11">
        <v>-55660.0</v>
      </c>
      <c r="AG379" s="11">
        <v>-36380.0</v>
      </c>
      <c r="AH379" s="11">
        <v>-31340.0</v>
      </c>
      <c r="AI379" s="11">
        <v>-48110.0</v>
      </c>
      <c r="AJ379" s="11">
        <v>-48380.0</v>
      </c>
      <c r="AK379" s="11">
        <v>-55680.0</v>
      </c>
      <c r="AL379" s="11">
        <v>-36380.0</v>
      </c>
      <c r="AM379" s="11">
        <v>-13620.0</v>
      </c>
      <c r="AN379" s="11">
        <v>-46670.0</v>
      </c>
      <c r="AO379" s="11">
        <v>-46940.0</v>
      </c>
      <c r="AP379" s="11">
        <v>-55660.0</v>
      </c>
      <c r="AQ379" s="11">
        <v>-36380.0</v>
      </c>
      <c r="AR379" s="11">
        <v>-31340.0</v>
      </c>
      <c r="AS379" s="11">
        <v>-36550.0</v>
      </c>
      <c r="AT379" s="11">
        <v>-40990.0</v>
      </c>
      <c r="AU379" s="11">
        <v>-46210.0</v>
      </c>
      <c r="AV379" s="11">
        <v>-27860.0</v>
      </c>
      <c r="AW379" s="11">
        <v>-11330.0</v>
      </c>
      <c r="AX379" s="11">
        <v>-25.0</v>
      </c>
      <c r="AY379" s="11">
        <v>-355.0</v>
      </c>
      <c r="AZ379" s="11">
        <v>-266.0</v>
      </c>
      <c r="BA379" s="11">
        <v>-2200.0</v>
      </c>
      <c r="BB379" s="11">
        <v>-1750.0</v>
      </c>
      <c r="BC379" s="12"/>
      <c r="BD379" s="12"/>
      <c r="BE379" s="12"/>
      <c r="BF379" s="12"/>
      <c r="BG379" s="12"/>
      <c r="BH379" s="11">
        <v>77980.0</v>
      </c>
      <c r="BI379" s="11">
        <v>114600.0</v>
      </c>
      <c r="BJ379" s="11">
        <v>90060.0</v>
      </c>
      <c r="BK379" s="11">
        <v>134900.0</v>
      </c>
      <c r="BL379" s="11">
        <v>94390.0</v>
      </c>
      <c r="BM379" s="11">
        <v>329.0</v>
      </c>
      <c r="BN379" s="11">
        <v>337.0</v>
      </c>
      <c r="BO379" s="11">
        <v>132.0</v>
      </c>
      <c r="BP379" s="11">
        <v>365.0</v>
      </c>
      <c r="BQ379" s="12"/>
      <c r="BR379" s="12"/>
      <c r="BS379" s="12"/>
      <c r="BT379" s="12"/>
      <c r="BU379" s="12"/>
      <c r="BV379" s="12"/>
      <c r="BW379" s="11">
        <v>79340.0</v>
      </c>
      <c r="BX379" s="11">
        <v>115590.0</v>
      </c>
      <c r="BY379" s="11">
        <v>91230.0</v>
      </c>
      <c r="BZ379" s="11">
        <v>136030.0</v>
      </c>
      <c r="CA379" s="11">
        <v>95660.0</v>
      </c>
      <c r="CB379" s="11">
        <v>3790.0</v>
      </c>
      <c r="CC379" s="11">
        <v>2180.0</v>
      </c>
      <c r="CD379" s="11">
        <v>2670.0</v>
      </c>
      <c r="CE379" s="11">
        <v>3250.0</v>
      </c>
      <c r="CF379" s="11">
        <v>1850.0</v>
      </c>
      <c r="CG379" s="12"/>
      <c r="CH379" s="12"/>
      <c r="CI379" s="12"/>
      <c r="CJ379" s="12"/>
      <c r="CK379" s="12"/>
      <c r="CL379" s="11">
        <v>83650.0</v>
      </c>
      <c r="CM379" s="11">
        <v>118230.0</v>
      </c>
      <c r="CN379" s="11">
        <v>94780.0</v>
      </c>
      <c r="CO379" s="11">
        <v>140150.0</v>
      </c>
      <c r="CP379" s="11">
        <v>98460.0</v>
      </c>
      <c r="CQ379" s="11">
        <v>2450.0</v>
      </c>
      <c r="CR379" s="11">
        <v>2000.0</v>
      </c>
      <c r="CS379" s="11">
        <v>3450.0</v>
      </c>
      <c r="CT379" s="12"/>
      <c r="CU379" s="12"/>
      <c r="CV379" s="11">
        <v>10230.0</v>
      </c>
      <c r="CW379" s="11">
        <v>878.0</v>
      </c>
      <c r="CX379" s="12"/>
      <c r="CY379" s="12"/>
      <c r="CZ379" s="12"/>
      <c r="DA379" s="12"/>
      <c r="DB379" s="11">
        <v>10230.0</v>
      </c>
      <c r="DC379" s="11">
        <v>7030.0</v>
      </c>
      <c r="DD379" s="11">
        <v>8970.0</v>
      </c>
      <c r="DE379" s="11">
        <v>5940.0</v>
      </c>
      <c r="DF379" s="11">
        <v>12540.0</v>
      </c>
      <c r="DG379" s="11">
        <v>7900.0</v>
      </c>
      <c r="DH379" s="11">
        <v>9940.0</v>
      </c>
      <c r="DI379" s="11">
        <v>7350.0</v>
      </c>
      <c r="DJ379" s="11">
        <v>3780.0</v>
      </c>
      <c r="DK379" s="12"/>
      <c r="DL379" s="12"/>
      <c r="DM379" s="12"/>
      <c r="DN379" s="12"/>
      <c r="DO379" s="12"/>
      <c r="DP379" s="11">
        <v>2310.0</v>
      </c>
      <c r="DQ379" s="12"/>
      <c r="DR379" s="12"/>
      <c r="DS379" s="12"/>
      <c r="DT379" s="12"/>
      <c r="DU379" s="13"/>
      <c r="DV379" s="12"/>
      <c r="DW379" s="12"/>
      <c r="DX379" s="13"/>
      <c r="DY379" s="11">
        <v>125780.0</v>
      </c>
      <c r="DZ379" s="11">
        <v>71110.0</v>
      </c>
      <c r="EA379" s="11">
        <v>110340.0</v>
      </c>
      <c r="EB379" s="11">
        <v>84840.0</v>
      </c>
      <c r="EC379" s="11">
        <v>132800.0</v>
      </c>
      <c r="ED379" s="11">
        <v>94680.0</v>
      </c>
      <c r="EE379" s="23"/>
      <c r="EF379" s="23"/>
      <c r="EG379" s="14">
        <v>-0.286</v>
      </c>
      <c r="EH379" s="14">
        <v>-0.11</v>
      </c>
    </row>
    <row r="380">
      <c r="A380" s="9">
        <f t="shared" si="2"/>
        <v>378</v>
      </c>
      <c r="B380" s="22" t="s">
        <v>514</v>
      </c>
      <c r="C380" s="11">
        <v>43430.0</v>
      </c>
      <c r="D380" s="11">
        <v>37470.0</v>
      </c>
      <c r="E380" s="11">
        <v>32120.0</v>
      </c>
      <c r="F380" s="11">
        <v>27070.0</v>
      </c>
      <c r="G380" s="11">
        <v>20240.0</v>
      </c>
      <c r="H380" s="11">
        <v>15410.0</v>
      </c>
      <c r="I380" s="11">
        <v>11180.0</v>
      </c>
      <c r="J380" s="11">
        <v>15240.0</v>
      </c>
      <c r="K380" s="11">
        <v>12800.0</v>
      </c>
      <c r="L380" s="11">
        <v>9690.0</v>
      </c>
      <c r="M380" s="11">
        <v>5710.0</v>
      </c>
      <c r="N380" s="11">
        <v>2500.0</v>
      </c>
      <c r="O380" s="11">
        <v>16710.0</v>
      </c>
      <c r="P380" s="11">
        <v>12530.0</v>
      </c>
      <c r="Q380" s="11">
        <v>11040.0</v>
      </c>
      <c r="R380" s="11">
        <v>12520.0</v>
      </c>
      <c r="S380" s="11">
        <v>12810.0</v>
      </c>
      <c r="T380" s="11">
        <v>5850.0</v>
      </c>
      <c r="U380" s="11">
        <v>4800.0</v>
      </c>
      <c r="V380" s="11">
        <v>4400.0</v>
      </c>
      <c r="W380" s="11">
        <v>4290.0</v>
      </c>
      <c r="X380" s="11">
        <v>4190.0</v>
      </c>
      <c r="Y380" s="11">
        <v>-1800.0</v>
      </c>
      <c r="Z380" s="12"/>
      <c r="AA380" s="12"/>
      <c r="AB380" s="12"/>
      <c r="AC380" s="12"/>
      <c r="AD380" s="11">
        <v>-1850.0</v>
      </c>
      <c r="AE380" s="11">
        <v>231.0</v>
      </c>
      <c r="AF380" s="11">
        <v>-1440.0</v>
      </c>
      <c r="AG380" s="11">
        <v>-6870.0</v>
      </c>
      <c r="AH380" s="11">
        <v>-10350.0</v>
      </c>
      <c r="AI380" s="11">
        <v>-240.0</v>
      </c>
      <c r="AJ380" s="11">
        <v>876.0</v>
      </c>
      <c r="AK380" s="11">
        <v>-994.0</v>
      </c>
      <c r="AL380" s="11">
        <v>-6640.0</v>
      </c>
      <c r="AM380" s="11">
        <v>-10160.0</v>
      </c>
      <c r="AN380" s="11">
        <v>-1980.0</v>
      </c>
      <c r="AO380" s="11">
        <v>128.0</v>
      </c>
      <c r="AP380" s="11">
        <v>-1480.0</v>
      </c>
      <c r="AQ380" s="11">
        <v>-6880.0</v>
      </c>
      <c r="AR380" s="11">
        <v>-10450.0</v>
      </c>
      <c r="AS380" s="11">
        <v>3140.0</v>
      </c>
      <c r="AT380" s="11">
        <v>1860.0</v>
      </c>
      <c r="AU380" s="11">
        <v>-1230.0</v>
      </c>
      <c r="AV380" s="11">
        <v>-2840.0</v>
      </c>
      <c r="AW380" s="11">
        <v>-6470.0</v>
      </c>
      <c r="AX380" s="11">
        <v>-2220.0</v>
      </c>
      <c r="AY380" s="11">
        <v>-834.0</v>
      </c>
      <c r="AZ380" s="11">
        <v>-1230.0</v>
      </c>
      <c r="BA380" s="11">
        <v>-766.0</v>
      </c>
      <c r="BB380" s="11">
        <v>-322.0</v>
      </c>
      <c r="BC380" s="12"/>
      <c r="BD380" s="12"/>
      <c r="BE380" s="12"/>
      <c r="BF380" s="12"/>
      <c r="BG380" s="12"/>
      <c r="BH380" s="11">
        <v>8340.0</v>
      </c>
      <c r="BI380" s="11">
        <v>3240.0</v>
      </c>
      <c r="BJ380" s="11">
        <v>856.0</v>
      </c>
      <c r="BK380" s="11">
        <v>3300.0</v>
      </c>
      <c r="BL380" s="11">
        <v>2590.0</v>
      </c>
      <c r="BM380" s="11">
        <v>4770.0</v>
      </c>
      <c r="BN380" s="11">
        <v>4380.0</v>
      </c>
      <c r="BO380" s="11">
        <v>3920.0</v>
      </c>
      <c r="BP380" s="11">
        <v>2270.0</v>
      </c>
      <c r="BQ380" s="11">
        <v>1310.0</v>
      </c>
      <c r="BR380" s="12"/>
      <c r="BS380" s="12"/>
      <c r="BT380" s="12"/>
      <c r="BU380" s="12"/>
      <c r="BV380" s="12"/>
      <c r="BW380" s="11">
        <v>13500.0</v>
      </c>
      <c r="BX380" s="11">
        <v>7920.0</v>
      </c>
      <c r="BY380" s="11">
        <v>5060.0</v>
      </c>
      <c r="BZ380" s="11">
        <v>5870.0</v>
      </c>
      <c r="CA380" s="11">
        <v>4340.0</v>
      </c>
      <c r="CB380" s="11">
        <v>6790.0</v>
      </c>
      <c r="CC380" s="11">
        <v>2550.0</v>
      </c>
      <c r="CD380" s="11">
        <v>2080.0</v>
      </c>
      <c r="CE380" s="11">
        <v>1220.0</v>
      </c>
      <c r="CF380" s="11">
        <v>618.0</v>
      </c>
      <c r="CG380" s="11">
        <v>335.0</v>
      </c>
      <c r="CH380" s="11">
        <v>669.0</v>
      </c>
      <c r="CI380" s="11">
        <v>669.0</v>
      </c>
      <c r="CJ380" s="11">
        <v>669.0</v>
      </c>
      <c r="CK380" s="11">
        <v>669.0</v>
      </c>
      <c r="CL380" s="11">
        <v>20750.0</v>
      </c>
      <c r="CM380" s="11">
        <v>11270.0</v>
      </c>
      <c r="CN380" s="11">
        <v>8080.0</v>
      </c>
      <c r="CO380" s="11">
        <v>8010.0</v>
      </c>
      <c r="CP380" s="11">
        <v>5780.0</v>
      </c>
      <c r="CQ380" s="11">
        <v>3140.0</v>
      </c>
      <c r="CR380" s="11">
        <v>2810.0</v>
      </c>
      <c r="CS380" s="11">
        <v>2150.0</v>
      </c>
      <c r="CT380" s="11">
        <v>1850.0</v>
      </c>
      <c r="CU380" s="11">
        <v>1900.0</v>
      </c>
      <c r="CV380" s="11">
        <v>12090.0</v>
      </c>
      <c r="CW380" s="12"/>
      <c r="CX380" s="12"/>
      <c r="CY380" s="12"/>
      <c r="CZ380" s="12"/>
      <c r="DA380" s="12"/>
      <c r="DB380" s="11">
        <v>12090.0</v>
      </c>
      <c r="DC380" s="11">
        <v>8030.0</v>
      </c>
      <c r="DD380" s="11">
        <v>7450.0</v>
      </c>
      <c r="DE380" s="11">
        <v>7450.0</v>
      </c>
      <c r="DF380" s="11">
        <v>15430.0</v>
      </c>
      <c r="DG380" s="11">
        <v>9030.0</v>
      </c>
      <c r="DH380" s="11">
        <v>8080.0</v>
      </c>
      <c r="DI380" s="11">
        <v>7610.0</v>
      </c>
      <c r="DJ380" s="11">
        <v>5540.0</v>
      </c>
      <c r="DK380" s="12"/>
      <c r="DL380" s="12"/>
      <c r="DM380" s="11">
        <v>150.0</v>
      </c>
      <c r="DN380" s="11">
        <v>150.0</v>
      </c>
      <c r="DO380" s="24">
        <v>150.0</v>
      </c>
      <c r="DP380" s="11">
        <v>3170.0</v>
      </c>
      <c r="DQ380" s="12"/>
      <c r="DR380" s="11">
        <v>16.0</v>
      </c>
      <c r="DS380" s="11">
        <v>38.0</v>
      </c>
      <c r="DT380" s="11">
        <v>59.0</v>
      </c>
      <c r="DU380" s="13"/>
      <c r="DV380" s="12"/>
      <c r="DW380" s="12"/>
      <c r="DX380" s="13"/>
      <c r="DY380" s="13"/>
      <c r="DZ380" s="11">
        <v>5320.0</v>
      </c>
      <c r="EA380" s="11">
        <v>2240.0</v>
      </c>
      <c r="EB380" s="11">
        <v>3.0</v>
      </c>
      <c r="EC380" s="11">
        <v>400.0</v>
      </c>
      <c r="ED380" s="11">
        <v>238.0</v>
      </c>
      <c r="EE380" s="14">
        <v>0.016</v>
      </c>
      <c r="EF380" s="14">
        <v>0.064</v>
      </c>
      <c r="EG380" s="14">
        <v>-15.0</v>
      </c>
      <c r="EH380" s="14">
        <v>-4.125</v>
      </c>
    </row>
    <row r="381">
      <c r="A381" s="9">
        <f t="shared" si="2"/>
        <v>379</v>
      </c>
      <c r="B381" s="10" t="s">
        <v>515</v>
      </c>
      <c r="C381" s="15">
        <v>4170000.0</v>
      </c>
      <c r="D381" s="15">
        <v>3560000.0</v>
      </c>
      <c r="E381" s="15">
        <v>3200000.0</v>
      </c>
      <c r="F381" s="15">
        <v>3740000.0</v>
      </c>
      <c r="G381" s="15">
        <v>3390000.0</v>
      </c>
      <c r="H381" s="15">
        <v>2850000.0</v>
      </c>
      <c r="I381" s="15">
        <v>3470000.0</v>
      </c>
      <c r="J381" s="15">
        <v>718500.0</v>
      </c>
      <c r="K381" s="15">
        <v>775080.0</v>
      </c>
      <c r="L381" s="15">
        <v>637600.0</v>
      </c>
      <c r="M381" s="15">
        <v>417190.0</v>
      </c>
      <c r="N381" s="15">
        <v>576770.0</v>
      </c>
      <c r="O381" s="15">
        <v>470150.0</v>
      </c>
      <c r="P381" s="15">
        <v>454970.0</v>
      </c>
      <c r="Q381" s="15">
        <v>415810.0</v>
      </c>
      <c r="R381" s="15">
        <v>366560.0</v>
      </c>
      <c r="S381" s="15">
        <v>334790.0</v>
      </c>
      <c r="T381" s="15">
        <v>47050.0</v>
      </c>
      <c r="U381" s="15">
        <v>44190.0</v>
      </c>
      <c r="V381" s="15">
        <v>28780.0</v>
      </c>
      <c r="W381" s="15">
        <v>17410.0</v>
      </c>
      <c r="X381" s="15">
        <v>17060.0</v>
      </c>
      <c r="Y381" s="15">
        <v>226130.0</v>
      </c>
      <c r="Z381" s="15">
        <v>300880.0</v>
      </c>
      <c r="AA381" s="15">
        <v>236760.0</v>
      </c>
      <c r="AB381" s="15">
        <v>80730.0</v>
      </c>
      <c r="AC381" s="15">
        <v>-12200.0</v>
      </c>
      <c r="AD381" s="15">
        <v>179670.0</v>
      </c>
      <c r="AE381" s="15">
        <v>298490.0</v>
      </c>
      <c r="AF381" s="15">
        <v>134520.0</v>
      </c>
      <c r="AG381" s="15">
        <v>87660.0</v>
      </c>
      <c r="AH381" s="15">
        <v>223470.0</v>
      </c>
      <c r="AI381" s="15">
        <v>426970.0</v>
      </c>
      <c r="AJ381" s="15">
        <v>449370.0</v>
      </c>
      <c r="AK381" s="15">
        <v>321060.0</v>
      </c>
      <c r="AL381" s="15">
        <v>146470.0</v>
      </c>
      <c r="AM381" s="15">
        <v>336200.0</v>
      </c>
      <c r="AN381" s="15">
        <v>171590.0</v>
      </c>
      <c r="AO381" s="15">
        <v>237070.0</v>
      </c>
      <c r="AP381" s="15">
        <v>99570.0</v>
      </c>
      <c r="AQ381" s="15">
        <v>65250.0</v>
      </c>
      <c r="AR381" s="15">
        <v>171860.0</v>
      </c>
      <c r="AS381" s="15">
        <v>429860.0</v>
      </c>
      <c r="AT381" s="15">
        <v>390240.0</v>
      </c>
      <c r="AU381" s="15">
        <v>-35530.0</v>
      </c>
      <c r="AV381" s="15">
        <v>-136710.0</v>
      </c>
      <c r="AW381" s="15">
        <v>297210.0</v>
      </c>
      <c r="AX381" s="15">
        <v>-291180.0</v>
      </c>
      <c r="AY381" s="15">
        <v>-316280.0</v>
      </c>
      <c r="AZ381" s="15">
        <v>-310680.0</v>
      </c>
      <c r="BA381" s="15">
        <v>-1110000.0</v>
      </c>
      <c r="BB381" s="15">
        <v>-642770.0</v>
      </c>
      <c r="BC381" s="15">
        <v>0.0</v>
      </c>
      <c r="BD381" s="15">
        <v>0.0</v>
      </c>
      <c r="BE381" s="15">
        <v>0.0</v>
      </c>
      <c r="BF381" s="15">
        <v>0.0</v>
      </c>
      <c r="BG381" s="15">
        <v>0.0</v>
      </c>
      <c r="BH381" s="15">
        <v>1200000.0</v>
      </c>
      <c r="BI381" s="15">
        <v>925270.0</v>
      </c>
      <c r="BJ381" s="15">
        <v>1200000.0</v>
      </c>
      <c r="BK381" s="15">
        <v>1010000.0</v>
      </c>
      <c r="BL381" s="15">
        <v>1090000.0</v>
      </c>
      <c r="BM381" s="15">
        <v>592220.0</v>
      </c>
      <c r="BN381" s="15">
        <v>622230.0</v>
      </c>
      <c r="BO381" s="15">
        <v>479950.0</v>
      </c>
      <c r="BP381" s="15">
        <v>478440.0</v>
      </c>
      <c r="BQ381" s="15">
        <v>584200.0</v>
      </c>
      <c r="BR381" s="15">
        <v>602050.0</v>
      </c>
      <c r="BS381" s="15">
        <v>299030.0</v>
      </c>
      <c r="BT381" s="15">
        <v>407490.0</v>
      </c>
      <c r="BU381" s="15">
        <v>324680.0</v>
      </c>
      <c r="BV381" s="15">
        <v>366380.0</v>
      </c>
      <c r="BW381" s="15">
        <v>2650000.0</v>
      </c>
      <c r="BX381" s="15">
        <v>3070000.0</v>
      </c>
      <c r="BY381" s="15">
        <v>4090000.0</v>
      </c>
      <c r="BZ381" s="15">
        <v>2470000.0</v>
      </c>
      <c r="CA381" s="15">
        <v>2150000.0</v>
      </c>
      <c r="CB381" s="15">
        <v>1140000.0</v>
      </c>
      <c r="CC381" s="15">
        <v>939880.0</v>
      </c>
      <c r="CD381" s="15">
        <v>811200.0</v>
      </c>
      <c r="CE381" s="15">
        <v>574410.0</v>
      </c>
      <c r="CF381" s="15">
        <v>1530000.0</v>
      </c>
      <c r="CG381" s="15">
        <v>0.0</v>
      </c>
      <c r="CH381" s="15">
        <v>1010.0</v>
      </c>
      <c r="CI381" s="15">
        <v>6250.0</v>
      </c>
      <c r="CJ381" s="15">
        <v>7620.0</v>
      </c>
      <c r="CK381" s="15">
        <v>7610.0</v>
      </c>
      <c r="CL381" s="15">
        <v>5470000.0</v>
      </c>
      <c r="CM381" s="15">
        <v>4890000.0</v>
      </c>
      <c r="CN381" s="15">
        <v>5890000.0</v>
      </c>
      <c r="CO381" s="15">
        <v>5410000.0</v>
      </c>
      <c r="CP381" s="15">
        <v>4410000.0</v>
      </c>
      <c r="CQ381" s="15">
        <v>585600.0</v>
      </c>
      <c r="CR381" s="15">
        <v>379460.0</v>
      </c>
      <c r="CS381" s="15">
        <v>402960.0</v>
      </c>
      <c r="CT381" s="15">
        <v>440120.0</v>
      </c>
      <c r="CU381" s="15">
        <v>512510.0</v>
      </c>
      <c r="CV381" s="15">
        <v>3090000.0</v>
      </c>
      <c r="CW381" s="15">
        <v>1500000.0</v>
      </c>
      <c r="CX381" s="15">
        <v>1530000.0</v>
      </c>
      <c r="CY381" s="15">
        <v>2530000.0</v>
      </c>
      <c r="CZ381" s="15">
        <v>1790000.0</v>
      </c>
      <c r="DA381" s="15">
        <v>1490000.0</v>
      </c>
      <c r="DB381" s="15">
        <v>3090000.0</v>
      </c>
      <c r="DC381" s="15">
        <v>2950000.0</v>
      </c>
      <c r="DD381" s="15">
        <v>4110000.0</v>
      </c>
      <c r="DE381" s="15">
        <v>3720000.0</v>
      </c>
      <c r="DF381" s="15">
        <v>4040000.0</v>
      </c>
      <c r="DG381" s="15">
        <v>3620000.0</v>
      </c>
      <c r="DH381" s="15">
        <v>4830000.0</v>
      </c>
      <c r="DI381" s="15">
        <v>4510000.0</v>
      </c>
      <c r="DJ381" s="15">
        <v>3580000.0</v>
      </c>
      <c r="DK381" s="15">
        <v>162760.0</v>
      </c>
      <c r="DL381" s="15">
        <v>145030.0</v>
      </c>
      <c r="DM381" s="15">
        <v>435820.0</v>
      </c>
      <c r="DN381" s="15">
        <v>393050.0</v>
      </c>
      <c r="DO381" s="15">
        <v>236100.0</v>
      </c>
      <c r="DP381" s="15">
        <v>716770.0</v>
      </c>
      <c r="DQ381" s="15">
        <v>471450.0</v>
      </c>
      <c r="DR381" s="15">
        <v>530820.0</v>
      </c>
      <c r="DS381" s="15">
        <v>619020.0</v>
      </c>
      <c r="DT381" s="15">
        <v>753250.0</v>
      </c>
      <c r="DU381" s="16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1390000.0</v>
      </c>
      <c r="EA381" s="15">
        <v>1230000.0</v>
      </c>
      <c r="EB381" s="15">
        <v>1030000.0</v>
      </c>
      <c r="EC381" s="15">
        <v>884680.0</v>
      </c>
      <c r="ED381" s="15">
        <v>818970.0</v>
      </c>
      <c r="EE381" s="17">
        <v>0.399</v>
      </c>
      <c r="EF381" s="17">
        <v>0.499</v>
      </c>
      <c r="EG381" s="17">
        <v>1.14</v>
      </c>
      <c r="EH381" s="17">
        <v>1.324</v>
      </c>
    </row>
    <row r="382">
      <c r="A382" s="9">
        <f t="shared" si="2"/>
        <v>380</v>
      </c>
      <c r="B382" s="10" t="s">
        <v>516</v>
      </c>
      <c r="C382" s="11">
        <v>524540.0</v>
      </c>
      <c r="D382" s="11">
        <v>465360.0</v>
      </c>
      <c r="E382" s="11">
        <v>545970.0</v>
      </c>
      <c r="F382" s="11">
        <v>575870.0</v>
      </c>
      <c r="G382" s="11">
        <v>588150.0</v>
      </c>
      <c r="H382" s="11">
        <v>538540.0</v>
      </c>
      <c r="I382" s="11">
        <v>499520.0</v>
      </c>
      <c r="J382" s="11">
        <v>147310.0</v>
      </c>
      <c r="K382" s="11">
        <v>164660.0</v>
      </c>
      <c r="L382" s="11">
        <v>196080.0</v>
      </c>
      <c r="M382" s="11">
        <v>212380.0</v>
      </c>
      <c r="N382" s="11">
        <v>201590.0</v>
      </c>
      <c r="O382" s="11">
        <v>111990.0</v>
      </c>
      <c r="P382" s="11">
        <v>121400.0</v>
      </c>
      <c r="Q382" s="11">
        <v>131880.0</v>
      </c>
      <c r="R382" s="11">
        <v>113810.0</v>
      </c>
      <c r="S382" s="11">
        <v>99190.0</v>
      </c>
      <c r="T382" s="11">
        <v>4190.0</v>
      </c>
      <c r="U382" s="11">
        <v>3600.0</v>
      </c>
      <c r="V382" s="11">
        <v>4160.0</v>
      </c>
      <c r="W382" s="11">
        <v>3290.0</v>
      </c>
      <c r="X382" s="11">
        <v>3050.0</v>
      </c>
      <c r="Y382" s="11">
        <v>23000.0</v>
      </c>
      <c r="Z382" s="11">
        <v>34170.0</v>
      </c>
      <c r="AA382" s="11">
        <v>37160.0</v>
      </c>
      <c r="AB382" s="11">
        <v>94090.0</v>
      </c>
      <c r="AC382" s="11">
        <v>98810.0</v>
      </c>
      <c r="AD382" s="11">
        <v>19110.0</v>
      </c>
      <c r="AE382" s="11">
        <v>29130.0</v>
      </c>
      <c r="AF382" s="11">
        <v>34960.0</v>
      </c>
      <c r="AG382" s="11">
        <v>89490.0</v>
      </c>
      <c r="AH382" s="11">
        <v>93300.0</v>
      </c>
      <c r="AI382" s="11">
        <v>63910.0</v>
      </c>
      <c r="AJ382" s="11">
        <v>71850.0</v>
      </c>
      <c r="AK382" s="11">
        <v>94120.0</v>
      </c>
      <c r="AL382" s="11">
        <v>126820.0</v>
      </c>
      <c r="AM382" s="11">
        <v>124740.0</v>
      </c>
      <c r="AN382" s="11">
        <v>12860.0</v>
      </c>
      <c r="AO382" s="11">
        <v>24410.0</v>
      </c>
      <c r="AP382" s="11">
        <v>25070.0</v>
      </c>
      <c r="AQ382" s="11">
        <v>72350.0</v>
      </c>
      <c r="AR382" s="11">
        <v>77770.0</v>
      </c>
      <c r="AS382" s="11">
        <v>80450.0</v>
      </c>
      <c r="AT382" s="11">
        <v>14690.0</v>
      </c>
      <c r="AU382" s="11">
        <v>61020.0</v>
      </c>
      <c r="AV382" s="11">
        <v>101520.0</v>
      </c>
      <c r="AW382" s="11">
        <v>85660.0</v>
      </c>
      <c r="AX382" s="11">
        <v>-23590.0</v>
      </c>
      <c r="AY382" s="11">
        <v>-20960.0</v>
      </c>
      <c r="AZ382" s="11">
        <v>-22680.0</v>
      </c>
      <c r="BA382" s="11">
        <v>-22940.0</v>
      </c>
      <c r="BB382" s="11">
        <v>-76500.0</v>
      </c>
      <c r="BC382" s="11">
        <v>-5160.0</v>
      </c>
      <c r="BD382" s="11">
        <v>-20270.0</v>
      </c>
      <c r="BE382" s="13"/>
      <c r="BF382" s="13"/>
      <c r="BG382" s="13"/>
      <c r="BH382" s="11">
        <v>139370.0</v>
      </c>
      <c r="BI382" s="11">
        <v>93560.0</v>
      </c>
      <c r="BJ382" s="11">
        <v>138710.0</v>
      </c>
      <c r="BK382" s="11">
        <v>106270.0</v>
      </c>
      <c r="BL382" s="11">
        <v>62810.0</v>
      </c>
      <c r="BM382" s="11">
        <v>104160.0</v>
      </c>
      <c r="BN382" s="11">
        <v>94210.0</v>
      </c>
      <c r="BO382" s="11">
        <v>100360.0</v>
      </c>
      <c r="BP382" s="11">
        <v>85220.0</v>
      </c>
      <c r="BQ382" s="11">
        <v>75430.0</v>
      </c>
      <c r="BR382" s="11">
        <v>127000.0</v>
      </c>
      <c r="BS382" s="11">
        <v>159820.0</v>
      </c>
      <c r="BT382" s="11">
        <v>136040.0</v>
      </c>
      <c r="BU382" s="11">
        <v>104310.0</v>
      </c>
      <c r="BV382" s="11">
        <v>98460.0</v>
      </c>
      <c r="BW382" s="11">
        <v>374410.0</v>
      </c>
      <c r="BX382" s="11">
        <v>350100.0</v>
      </c>
      <c r="BY382" s="11">
        <v>377970.0</v>
      </c>
      <c r="BZ382" s="11">
        <v>310300.0</v>
      </c>
      <c r="CA382" s="11">
        <v>249700.0</v>
      </c>
      <c r="CB382" s="11">
        <v>276820.0</v>
      </c>
      <c r="CC382" s="11">
        <v>213340.0</v>
      </c>
      <c r="CD382" s="11">
        <v>216650.0</v>
      </c>
      <c r="CE382" s="11">
        <v>222820.0</v>
      </c>
      <c r="CF382" s="11">
        <v>225440.0</v>
      </c>
      <c r="CG382" s="11">
        <v>35220.0</v>
      </c>
      <c r="CH382" s="11">
        <v>35280.0</v>
      </c>
      <c r="CI382" s="11">
        <v>37030.0</v>
      </c>
      <c r="CJ382" s="11">
        <v>35660.0</v>
      </c>
      <c r="CK382" s="11">
        <v>35820.0</v>
      </c>
      <c r="CL382" s="11">
        <v>712020.0</v>
      </c>
      <c r="CM382" s="11">
        <v>626030.0</v>
      </c>
      <c r="CN382" s="11">
        <v>652990.0</v>
      </c>
      <c r="CO382" s="11">
        <v>584700.0</v>
      </c>
      <c r="CP382" s="11">
        <v>529740.0</v>
      </c>
      <c r="CQ382" s="11">
        <v>53070.0</v>
      </c>
      <c r="CR382" s="11">
        <v>55790.0</v>
      </c>
      <c r="CS382" s="11">
        <v>64020.0</v>
      </c>
      <c r="CT382" s="11">
        <v>48630.0</v>
      </c>
      <c r="CU382" s="11">
        <v>46380.0</v>
      </c>
      <c r="CV382" s="11">
        <v>126370.0</v>
      </c>
      <c r="CW382" s="11">
        <v>11330.0</v>
      </c>
      <c r="CX382" s="11">
        <v>7570.0</v>
      </c>
      <c r="CY382" s="11">
        <v>7650.0</v>
      </c>
      <c r="CZ382" s="11">
        <v>11640.0</v>
      </c>
      <c r="DA382" s="11">
        <v>6490.0</v>
      </c>
      <c r="DB382" s="11">
        <v>126370.0</v>
      </c>
      <c r="DC382" s="11">
        <v>111280.0</v>
      </c>
      <c r="DD382" s="11">
        <v>127460.0</v>
      </c>
      <c r="DE382" s="11">
        <v>93340.0</v>
      </c>
      <c r="DF382" s="11">
        <v>234290.0</v>
      </c>
      <c r="DG382" s="11">
        <v>159530.0</v>
      </c>
      <c r="DH382" s="11">
        <v>166610.0</v>
      </c>
      <c r="DI382" s="11">
        <v>134110.0</v>
      </c>
      <c r="DJ382" s="11">
        <v>120680.0</v>
      </c>
      <c r="DK382" s="11"/>
      <c r="DL382" s="11"/>
      <c r="DM382" s="11"/>
      <c r="DN382" s="11"/>
      <c r="DO382" s="11"/>
      <c r="DP382" s="11">
        <v>72550.0</v>
      </c>
      <c r="DQ382" s="11">
        <v>7090.0</v>
      </c>
      <c r="DR382" s="11">
        <v>8340.0</v>
      </c>
      <c r="DS382" s="11">
        <v>8070.0</v>
      </c>
      <c r="DT382" s="11">
        <v>8470.0</v>
      </c>
      <c r="DU382" s="13"/>
      <c r="DV382" s="12"/>
      <c r="DW382" s="12"/>
      <c r="DX382" s="13"/>
      <c r="DY382" s="13"/>
      <c r="DZ382" s="11">
        <v>477720.0</v>
      </c>
      <c r="EA382" s="11">
        <v>466500.0</v>
      </c>
      <c r="EB382" s="11">
        <v>469900.0</v>
      </c>
      <c r="EC382" s="11">
        <v>437650.0</v>
      </c>
      <c r="ED382" s="11">
        <v>400220.0</v>
      </c>
      <c r="EE382" s="14">
        <v>0.0</v>
      </c>
      <c r="EF382" s="14">
        <v>0.0</v>
      </c>
      <c r="EG382" s="14">
        <v>0.444</v>
      </c>
      <c r="EH382" s="14">
        <v>0.029</v>
      </c>
    </row>
    <row r="383">
      <c r="A383" s="9">
        <f t="shared" si="2"/>
        <v>381</v>
      </c>
      <c r="B383" s="22" t="s">
        <v>517</v>
      </c>
      <c r="C383" s="11">
        <v>83260.0</v>
      </c>
      <c r="D383" s="11">
        <v>62660.0</v>
      </c>
      <c r="E383" s="11">
        <v>51870.0</v>
      </c>
      <c r="F383" s="11">
        <v>22790.0</v>
      </c>
      <c r="G383" s="11">
        <v>13750.0</v>
      </c>
      <c r="H383" s="12"/>
      <c r="I383" s="12"/>
      <c r="J383" s="11">
        <v>44470.0</v>
      </c>
      <c r="K383" s="11">
        <v>17330.0</v>
      </c>
      <c r="L383" s="11">
        <v>8710.0</v>
      </c>
      <c r="M383" s="12"/>
      <c r="N383" s="12"/>
      <c r="O383" s="11">
        <v>37150.0</v>
      </c>
      <c r="P383" s="11">
        <v>21170.0</v>
      </c>
      <c r="Q383" s="11">
        <v>19610.0</v>
      </c>
      <c r="R383" s="12"/>
      <c r="S383" s="12"/>
      <c r="T383" s="11">
        <v>7370.0</v>
      </c>
      <c r="U383" s="11">
        <v>4820.0</v>
      </c>
      <c r="V383" s="11">
        <v>4430.0</v>
      </c>
      <c r="W383" s="12"/>
      <c r="X383" s="12"/>
      <c r="Y383" s="11">
        <v>9610.0</v>
      </c>
      <c r="Z383" s="12"/>
      <c r="AA383" s="12"/>
      <c r="AB383" s="12"/>
      <c r="AC383" s="12"/>
      <c r="AD383" s="11">
        <v>5350.0</v>
      </c>
      <c r="AE383" s="11">
        <v>-6360.0</v>
      </c>
      <c r="AF383" s="11">
        <v>-12360.0</v>
      </c>
      <c r="AG383" s="12"/>
      <c r="AH383" s="12"/>
      <c r="AI383" s="11">
        <v>7690.0</v>
      </c>
      <c r="AJ383" s="11">
        <v>-3510.0</v>
      </c>
      <c r="AK383" s="11">
        <v>-10590.0</v>
      </c>
      <c r="AL383" s="12"/>
      <c r="AM383" s="12"/>
      <c r="AN383" s="11">
        <v>5280.0</v>
      </c>
      <c r="AO383" s="11">
        <v>-6370.0</v>
      </c>
      <c r="AP383" s="11">
        <v>-12370.0</v>
      </c>
      <c r="AQ383" s="12"/>
      <c r="AR383" s="12"/>
      <c r="AS383" s="11">
        <v>7020.0</v>
      </c>
      <c r="AT383" s="11">
        <v>-12290.0</v>
      </c>
      <c r="AU383" s="11">
        <v>-12230.0</v>
      </c>
      <c r="AV383" s="12"/>
      <c r="AW383" s="12"/>
      <c r="AX383" s="11">
        <v>-937.0</v>
      </c>
      <c r="AY383" s="11">
        <v>-277.0</v>
      </c>
      <c r="AZ383" s="11">
        <v>-495.0</v>
      </c>
      <c r="BA383" s="12"/>
      <c r="BB383" s="12"/>
      <c r="BC383" s="12"/>
      <c r="BD383" s="12"/>
      <c r="BE383" s="12"/>
      <c r="BF383" s="12"/>
      <c r="BG383" s="12"/>
      <c r="BH383" s="11">
        <v>98850.0</v>
      </c>
      <c r="BI383" s="11">
        <v>4480.0</v>
      </c>
      <c r="BJ383" s="11">
        <v>1210.0</v>
      </c>
      <c r="BK383" s="12"/>
      <c r="BL383" s="12"/>
      <c r="BM383" s="11">
        <v>14650.0</v>
      </c>
      <c r="BN383" s="11">
        <v>12090.0</v>
      </c>
      <c r="BO383" s="11">
        <v>4650.0</v>
      </c>
      <c r="BP383" s="12"/>
      <c r="BQ383" s="12"/>
      <c r="BR383" s="11">
        <v>1240.0</v>
      </c>
      <c r="BS383" s="11">
        <v>882.0</v>
      </c>
      <c r="BT383" s="11">
        <v>305.0</v>
      </c>
      <c r="BU383" s="12"/>
      <c r="BV383" s="12"/>
      <c r="BW383" s="11">
        <v>116680.0</v>
      </c>
      <c r="BX383" s="11">
        <v>18130.0</v>
      </c>
      <c r="BY383" s="11">
        <v>6680.0</v>
      </c>
      <c r="BZ383" s="12"/>
      <c r="CA383" s="12"/>
      <c r="CB383" s="11">
        <v>2060.0</v>
      </c>
      <c r="CC383" s="11">
        <v>1530.0</v>
      </c>
      <c r="CD383" s="11">
        <v>1470.0</v>
      </c>
      <c r="CE383" s="12"/>
      <c r="CF383" s="12"/>
      <c r="CG383" s="12"/>
      <c r="CH383" s="12"/>
      <c r="CI383" s="12"/>
      <c r="CJ383" s="12"/>
      <c r="CK383" s="12"/>
      <c r="CL383" s="11">
        <v>119750.0</v>
      </c>
      <c r="CM383" s="11">
        <v>22400.0</v>
      </c>
      <c r="CN383" s="11">
        <v>9820.0</v>
      </c>
      <c r="CO383" s="12"/>
      <c r="CP383" s="12"/>
      <c r="CQ383" s="11">
        <v>1870.0</v>
      </c>
      <c r="CR383" s="11">
        <v>1450.0</v>
      </c>
      <c r="CS383" s="11">
        <v>1120.0</v>
      </c>
      <c r="CT383" s="12"/>
      <c r="CU383" s="12"/>
      <c r="CV383" s="11">
        <v>15290.0</v>
      </c>
      <c r="CW383" s="12"/>
      <c r="CX383" s="12"/>
      <c r="CY383" s="12"/>
      <c r="CZ383" s="12"/>
      <c r="DA383" s="12"/>
      <c r="DB383" s="11">
        <v>15290.0</v>
      </c>
      <c r="DC383" s="11">
        <v>6740.0</v>
      </c>
      <c r="DD383" s="11">
        <v>5220.0</v>
      </c>
      <c r="DE383" s="12"/>
      <c r="DF383" s="11">
        <v>34630.0</v>
      </c>
      <c r="DG383" s="11">
        <v>33980.0</v>
      </c>
      <c r="DH383" s="11">
        <v>25590.0</v>
      </c>
      <c r="DI383" s="12"/>
      <c r="DJ383" s="12"/>
      <c r="DK383" s="12"/>
      <c r="DL383" s="12"/>
      <c r="DM383" s="12"/>
      <c r="DN383" s="12"/>
      <c r="DO383" s="12"/>
      <c r="DP383" s="11">
        <v>19290.0</v>
      </c>
      <c r="DQ383" s="11">
        <v>26000.0</v>
      </c>
      <c r="DR383" s="11">
        <v>19100.0</v>
      </c>
      <c r="DS383" s="12"/>
      <c r="DT383" s="12"/>
      <c r="DU383" s="13"/>
      <c r="DV383" s="11">
        <v>45000.0</v>
      </c>
      <c r="DW383" s="11">
        <v>34540.0</v>
      </c>
      <c r="DX383" s="13"/>
      <c r="DY383" s="13"/>
      <c r="DZ383" s="11">
        <v>85110.0</v>
      </c>
      <c r="EA383" s="11">
        <v>-11570.0</v>
      </c>
      <c r="EB383" s="11">
        <v>-15770.0</v>
      </c>
      <c r="EC383" s="12"/>
      <c r="ED383" s="12"/>
      <c r="EE383" s="14">
        <v>0.082</v>
      </c>
      <c r="EF383" s="14">
        <v>0.276</v>
      </c>
      <c r="EG383" s="14">
        <v>0.8</v>
      </c>
      <c r="EH383" s="14">
        <v>1.179</v>
      </c>
    </row>
    <row r="384">
      <c r="A384" s="9">
        <f t="shared" si="2"/>
        <v>382</v>
      </c>
      <c r="B384" s="10" t="s">
        <v>518</v>
      </c>
      <c r="C384" s="15">
        <v>5260000.0</v>
      </c>
      <c r="D384" s="15">
        <v>5040000.0</v>
      </c>
      <c r="E384" s="15">
        <v>6610000.0</v>
      </c>
      <c r="F384" s="15">
        <v>6710000.0</v>
      </c>
      <c r="G384" s="15">
        <v>5910000.0</v>
      </c>
      <c r="H384" s="15">
        <v>5250000.0</v>
      </c>
      <c r="I384" s="15">
        <v>5710000.0</v>
      </c>
      <c r="J384" s="15">
        <v>652520.0</v>
      </c>
      <c r="K384" s="15">
        <v>619370.0</v>
      </c>
      <c r="L384" s="15">
        <v>595550.0</v>
      </c>
      <c r="M384" s="15">
        <v>561950.0</v>
      </c>
      <c r="N384" s="15">
        <v>490140.0</v>
      </c>
      <c r="O384" s="15">
        <v>335770.0</v>
      </c>
      <c r="P384" s="15">
        <v>323250.0</v>
      </c>
      <c r="Q384" s="15">
        <v>307930.0</v>
      </c>
      <c r="R384" s="15">
        <v>307520.0</v>
      </c>
      <c r="S384" s="15">
        <v>301630.0</v>
      </c>
      <c r="T384" s="15">
        <v>47010.0</v>
      </c>
      <c r="U384" s="15">
        <v>42470.0</v>
      </c>
      <c r="V384" s="15">
        <v>37220.0</v>
      </c>
      <c r="W384" s="15">
        <v>35400.0</v>
      </c>
      <c r="X384" s="15">
        <v>38810.0</v>
      </c>
      <c r="Y384" s="15">
        <v>358160.0</v>
      </c>
      <c r="Z384" s="15">
        <v>228870.0</v>
      </c>
      <c r="AA384" s="15">
        <v>342890.0</v>
      </c>
      <c r="AB384" s="15">
        <v>352880.0</v>
      </c>
      <c r="AC384" s="15">
        <v>-286100.0</v>
      </c>
      <c r="AD384" s="15">
        <v>89540.0</v>
      </c>
      <c r="AE384" s="15">
        <v>300840.0</v>
      </c>
      <c r="AF384" s="15">
        <v>87980.0</v>
      </c>
      <c r="AG384" s="15">
        <v>87390.0</v>
      </c>
      <c r="AH384" s="15">
        <v>-644280.0</v>
      </c>
      <c r="AI384" s="15">
        <v>603280.0</v>
      </c>
      <c r="AJ384" s="15">
        <v>528530.0</v>
      </c>
      <c r="AK384" s="15">
        <v>480500.0</v>
      </c>
      <c r="AL384" s="15">
        <v>425890.0</v>
      </c>
      <c r="AM384" s="15">
        <v>338220.0</v>
      </c>
      <c r="AN384" s="15">
        <v>66040.0</v>
      </c>
      <c r="AO384" s="15">
        <v>221790.0</v>
      </c>
      <c r="AP384" s="15">
        <v>-34970.0</v>
      </c>
      <c r="AQ384" s="15">
        <v>-4420.0</v>
      </c>
      <c r="AR384" s="15">
        <v>-614340.0</v>
      </c>
      <c r="AS384" s="15">
        <v>500300.0</v>
      </c>
      <c r="AT384" s="15">
        <v>77860.0</v>
      </c>
      <c r="AU384" s="15">
        <v>180470.0</v>
      </c>
      <c r="AV384" s="15">
        <v>97350.0</v>
      </c>
      <c r="AW384" s="15">
        <v>408080.0</v>
      </c>
      <c r="AX384" s="15">
        <v>-303320.0</v>
      </c>
      <c r="AY384" s="15">
        <v>-326790.0</v>
      </c>
      <c r="AZ384" s="15">
        <v>-311310.0</v>
      </c>
      <c r="BA384" s="15">
        <v>-392700.0</v>
      </c>
      <c r="BB384" s="15">
        <v>-388120.0</v>
      </c>
      <c r="BC384" s="15">
        <v>0.0</v>
      </c>
      <c r="BD384" s="15">
        <v>0.0</v>
      </c>
      <c r="BE384" s="15">
        <v>0.0</v>
      </c>
      <c r="BF384" s="15">
        <v>0.0</v>
      </c>
      <c r="BG384" s="15">
        <v>0.0</v>
      </c>
      <c r="BH384" s="15">
        <v>206540.0</v>
      </c>
      <c r="BI384" s="15">
        <v>213770.0</v>
      </c>
      <c r="BJ384" s="15">
        <v>403470.0</v>
      </c>
      <c r="BK384" s="15">
        <v>419790.0</v>
      </c>
      <c r="BL384" s="15">
        <v>561620.0</v>
      </c>
      <c r="BM384" s="15">
        <v>523090.0</v>
      </c>
      <c r="BN384" s="15">
        <v>659600.0</v>
      </c>
      <c r="BO384" s="15">
        <v>482720.0</v>
      </c>
      <c r="BP384" s="15">
        <v>419790.0</v>
      </c>
      <c r="BQ384" s="15">
        <v>400840.0</v>
      </c>
      <c r="BR384" s="15">
        <v>752080.0</v>
      </c>
      <c r="BS384" s="15">
        <v>754480.0</v>
      </c>
      <c r="BT384" s="15">
        <v>772110.0</v>
      </c>
      <c r="BU384" s="15">
        <v>623360.0</v>
      </c>
      <c r="BV384" s="15">
        <v>588770.0</v>
      </c>
      <c r="BW384" s="15">
        <v>1520000.0</v>
      </c>
      <c r="BX384" s="15">
        <v>1650000.0</v>
      </c>
      <c r="BY384" s="15">
        <v>1680000.0</v>
      </c>
      <c r="BZ384" s="15">
        <v>1490000.0</v>
      </c>
      <c r="CA384" s="15">
        <v>1570000.0</v>
      </c>
      <c r="CB384" s="15">
        <v>2310000.0</v>
      </c>
      <c r="CC384" s="15">
        <v>1900000.0</v>
      </c>
      <c r="CD384" s="15">
        <v>1820000.0</v>
      </c>
      <c r="CE384" s="15">
        <v>1560000.0</v>
      </c>
      <c r="CF384" s="15">
        <v>1360000.0</v>
      </c>
      <c r="CG384" s="15">
        <v>510740.0</v>
      </c>
      <c r="CH384" s="15">
        <v>482410.0</v>
      </c>
      <c r="CI384" s="15">
        <v>483920.0</v>
      </c>
      <c r="CJ384" s="15">
        <v>482020.0</v>
      </c>
      <c r="CK384" s="15">
        <v>481230.0</v>
      </c>
      <c r="CL384" s="15">
        <v>4700000.0</v>
      </c>
      <c r="CM384" s="15">
        <v>4460000.0</v>
      </c>
      <c r="CN384" s="15">
        <v>4460000.0</v>
      </c>
      <c r="CO384" s="15">
        <v>3990000.0</v>
      </c>
      <c r="CP384" s="15">
        <v>3940000.0</v>
      </c>
      <c r="CQ384" s="15">
        <v>798100.0</v>
      </c>
      <c r="CR384" s="15">
        <v>783060.0</v>
      </c>
      <c r="CS384" s="15">
        <v>860970.0</v>
      </c>
      <c r="CT384" s="15">
        <v>661330.0</v>
      </c>
      <c r="CU384" s="15">
        <v>713700.0</v>
      </c>
      <c r="CV384" s="15">
        <v>1430000.0</v>
      </c>
      <c r="CW384" s="15">
        <v>225620.0</v>
      </c>
      <c r="CX384" s="15">
        <v>65160.0</v>
      </c>
      <c r="CY384" s="15">
        <v>127280.0</v>
      </c>
      <c r="CZ384" s="16">
        <v>0.0</v>
      </c>
      <c r="DA384" s="15">
        <v>0.0</v>
      </c>
      <c r="DB384" s="15">
        <v>1430000.0</v>
      </c>
      <c r="DC384" s="15">
        <v>1300000.0</v>
      </c>
      <c r="DD384" s="15">
        <v>1330000.0</v>
      </c>
      <c r="DE384" s="15">
        <v>1090000.0</v>
      </c>
      <c r="DF384" s="15">
        <v>4790000.0</v>
      </c>
      <c r="DG384" s="15">
        <v>4590000.0</v>
      </c>
      <c r="DH384" s="15">
        <v>4840000.0</v>
      </c>
      <c r="DI384" s="15">
        <v>4600000.0</v>
      </c>
      <c r="DJ384" s="15">
        <v>4530000.0</v>
      </c>
      <c r="DK384" s="15">
        <v>8980.0</v>
      </c>
      <c r="DL384" s="15">
        <v>85740.0</v>
      </c>
      <c r="DM384" s="15">
        <v>37220.0</v>
      </c>
      <c r="DN384" s="15">
        <v>78050.0</v>
      </c>
      <c r="DO384" s="15">
        <v>84730.0</v>
      </c>
      <c r="DP384" s="15">
        <v>2420000.0</v>
      </c>
      <c r="DQ384" s="15">
        <v>2390000.0</v>
      </c>
      <c r="DR384" s="15">
        <v>2430000.0</v>
      </c>
      <c r="DS384" s="15">
        <v>2490000.0</v>
      </c>
      <c r="DT384" s="15">
        <v>2240000.0</v>
      </c>
      <c r="DU384" s="16">
        <v>0.0</v>
      </c>
      <c r="DV384" s="15">
        <v>0.0</v>
      </c>
      <c r="DW384" s="15">
        <v>0.0</v>
      </c>
      <c r="DX384" s="16">
        <v>0.0</v>
      </c>
      <c r="DY384" s="16">
        <v>0.0</v>
      </c>
      <c r="DZ384" s="15">
        <v>-107760.0</v>
      </c>
      <c r="EA384" s="15">
        <v>-139460.0</v>
      </c>
      <c r="EB384" s="15">
        <v>-392660.0</v>
      </c>
      <c r="EC384" s="15">
        <v>-610700.0</v>
      </c>
      <c r="ED384" s="15">
        <v>-598550.0</v>
      </c>
      <c r="EE384" s="17">
        <v>0.325</v>
      </c>
      <c r="EF384" s="17">
        <v>0.321</v>
      </c>
      <c r="EG384" s="17">
        <v>-2.048</v>
      </c>
      <c r="EH384" s="17">
        <v>-0.665</v>
      </c>
    </row>
    <row r="385">
      <c r="A385" s="9">
        <f t="shared" si="2"/>
        <v>383</v>
      </c>
      <c r="B385" s="10" t="s">
        <v>519</v>
      </c>
      <c r="C385" s="11">
        <v>1.124E7</v>
      </c>
      <c r="D385" s="11">
        <v>1.047E7</v>
      </c>
      <c r="E385" s="11">
        <v>1.194E7</v>
      </c>
      <c r="F385" s="11">
        <v>1.225E7</v>
      </c>
      <c r="G385" s="11">
        <v>1.141E7</v>
      </c>
      <c r="H385" s="11">
        <v>1.107E7</v>
      </c>
      <c r="I385" s="11">
        <v>1.181E7</v>
      </c>
      <c r="J385" s="11">
        <v>4850000.0</v>
      </c>
      <c r="K385" s="11">
        <v>4740000.0</v>
      </c>
      <c r="L385" s="11">
        <v>3860000.0</v>
      </c>
      <c r="M385" s="11">
        <v>3370000.0</v>
      </c>
      <c r="N385" s="11">
        <v>3730000.0</v>
      </c>
      <c r="O385" s="11"/>
      <c r="P385" s="11"/>
      <c r="Q385" s="11"/>
      <c r="R385" s="11"/>
      <c r="S385" s="11"/>
      <c r="T385" s="12"/>
      <c r="U385" s="12"/>
      <c r="V385" s="12"/>
      <c r="W385" s="12"/>
      <c r="X385" s="12"/>
      <c r="Y385" s="11">
        <v>4710000.0</v>
      </c>
      <c r="Z385" s="11">
        <v>4620000.0</v>
      </c>
      <c r="AA385" s="11">
        <v>-350000.0</v>
      </c>
      <c r="AB385" s="11">
        <v>3160000.0</v>
      </c>
      <c r="AC385" s="11">
        <v>21000.0</v>
      </c>
      <c r="AD385" s="11">
        <v>4320000.0</v>
      </c>
      <c r="AE385" s="11">
        <v>4300000.0</v>
      </c>
      <c r="AF385" s="11">
        <v>3140000.0</v>
      </c>
      <c r="AG385" s="11">
        <v>2740000.0</v>
      </c>
      <c r="AH385" s="11">
        <v>3140000.0</v>
      </c>
      <c r="AI385" s="11">
        <v>6090000.0</v>
      </c>
      <c r="AJ385" s="11">
        <v>5970000.0</v>
      </c>
      <c r="AK385" s="11">
        <v>5060000.0</v>
      </c>
      <c r="AL385" s="11">
        <v>4580000.0</v>
      </c>
      <c r="AM385" s="11">
        <v>4790000.0</v>
      </c>
      <c r="AN385" s="11">
        <v>3330000.0</v>
      </c>
      <c r="AO385" s="11">
        <v>3310000.0</v>
      </c>
      <c r="AP385" s="11">
        <v>5470000.0</v>
      </c>
      <c r="AQ385" s="11">
        <v>1710000.0</v>
      </c>
      <c r="AR385" s="11">
        <v>1970000.0</v>
      </c>
      <c r="AS385" s="11">
        <v>4850000.0</v>
      </c>
      <c r="AT385" s="11">
        <v>4640000.0</v>
      </c>
      <c r="AU385" s="11">
        <v>3470000.0</v>
      </c>
      <c r="AV385" s="11">
        <v>3040000.0</v>
      </c>
      <c r="AW385" s="11">
        <v>3370000.0</v>
      </c>
      <c r="AX385" s="11">
        <v>-1660000.0</v>
      </c>
      <c r="AY385" s="11">
        <v>-1750000.0</v>
      </c>
      <c r="AZ385" s="11">
        <v>-2040000.0</v>
      </c>
      <c r="BA385" s="11">
        <v>-2400000.0</v>
      </c>
      <c r="BB385" s="11">
        <v>-2560000.0</v>
      </c>
      <c r="BC385" s="11">
        <v>-763000.0</v>
      </c>
      <c r="BD385" s="11">
        <v>-751000.0</v>
      </c>
      <c r="BE385" s="11">
        <v>-708000.0</v>
      </c>
      <c r="BF385" s="11">
        <v>-680000.0</v>
      </c>
      <c r="BG385" s="11">
        <v>-686000.0</v>
      </c>
      <c r="BH385" s="11">
        <v>1950000.0</v>
      </c>
      <c r="BI385" s="11">
        <v>1110000.0</v>
      </c>
      <c r="BJ385" s="11">
        <v>419000.0</v>
      </c>
      <c r="BK385" s="11">
        <v>1020000.0</v>
      </c>
      <c r="BL385" s="11">
        <v>1440000.0</v>
      </c>
      <c r="BM385" s="11">
        <v>986000.0</v>
      </c>
      <c r="BN385" s="11">
        <v>1010000.0</v>
      </c>
      <c r="BO385" s="11">
        <v>970000.0</v>
      </c>
      <c r="BP385" s="11">
        <v>938000.0</v>
      </c>
      <c r="BQ385" s="11">
        <v>982000.0</v>
      </c>
      <c r="BR385" s="11">
        <v>261000.0</v>
      </c>
      <c r="BS385" s="11">
        <v>263000.0</v>
      </c>
      <c r="BT385" s="11">
        <v>372000.0</v>
      </c>
      <c r="BU385" s="11">
        <v>407000.0</v>
      </c>
      <c r="BV385" s="11">
        <v>350000.0</v>
      </c>
      <c r="BW385" s="11">
        <v>3280000.0</v>
      </c>
      <c r="BX385" s="11">
        <v>2570000.0</v>
      </c>
      <c r="BY385" s="11">
        <v>1920000.0</v>
      </c>
      <c r="BZ385" s="11">
        <v>2490000.0</v>
      </c>
      <c r="CA385" s="11">
        <v>2840000.0</v>
      </c>
      <c r="CB385" s="11">
        <v>3.27E7</v>
      </c>
      <c r="CC385" s="11">
        <v>3.2E7</v>
      </c>
      <c r="CD385" s="11">
        <v>3.176E7</v>
      </c>
      <c r="CE385" s="11">
        <v>3.115E7</v>
      </c>
      <c r="CF385" s="11">
        <v>3.017E7</v>
      </c>
      <c r="CG385" s="11"/>
      <c r="CH385" s="11"/>
      <c r="CI385" s="11"/>
      <c r="CJ385" s="11">
        <v>63000.0</v>
      </c>
      <c r="CK385" s="11">
        <v>63000.0</v>
      </c>
      <c r="CL385" s="11">
        <v>3.888E7</v>
      </c>
      <c r="CM385" s="11">
        <v>3.748E7</v>
      </c>
      <c r="CN385" s="11">
        <v>3.662E7</v>
      </c>
      <c r="CO385" s="11">
        <v>3.604E7</v>
      </c>
      <c r="CP385" s="11">
        <v>3.547E7</v>
      </c>
      <c r="CQ385" s="11">
        <v>1040000.0</v>
      </c>
      <c r="CR385" s="11">
        <v>949000.0</v>
      </c>
      <c r="CS385" s="11">
        <v>847000.0</v>
      </c>
      <c r="CT385" s="11">
        <v>806000.0</v>
      </c>
      <c r="CU385" s="11">
        <v>764000.0</v>
      </c>
      <c r="CV385" s="11">
        <v>2150000.0</v>
      </c>
      <c r="CW385" s="11">
        <v>57000.0</v>
      </c>
      <c r="CX385" s="12"/>
      <c r="CY385" s="12"/>
      <c r="CZ385" s="12"/>
      <c r="DA385" s="12"/>
      <c r="DB385" s="11">
        <v>2150000.0</v>
      </c>
      <c r="DC385" s="11">
        <v>1920000.0</v>
      </c>
      <c r="DD385" s="11">
        <v>1890000.0</v>
      </c>
      <c r="DE385" s="11">
        <v>2040000.0</v>
      </c>
      <c r="DF385" s="11">
        <v>2.702E7</v>
      </c>
      <c r="DG385" s="11">
        <v>2.49E7</v>
      </c>
      <c r="DH385" s="11">
        <v>2.19E7</v>
      </c>
      <c r="DI385" s="11">
        <v>2.434E7</v>
      </c>
      <c r="DJ385" s="11">
        <v>2.38E7</v>
      </c>
      <c r="DK385" s="11">
        <v>1970000.0</v>
      </c>
      <c r="DL385" s="11">
        <v>1870000.0</v>
      </c>
      <c r="DM385" s="11">
        <v>1760000.0</v>
      </c>
      <c r="DN385" s="11">
        <v>1540000.0</v>
      </c>
      <c r="DO385" s="11">
        <v>1500000.0</v>
      </c>
      <c r="DP385" s="11">
        <v>1.649E7</v>
      </c>
      <c r="DQ385" s="11">
        <v>1.474E7</v>
      </c>
      <c r="DR385" s="11">
        <v>1.179E7</v>
      </c>
      <c r="DS385" s="11">
        <v>1.096E7</v>
      </c>
      <c r="DT385" s="11">
        <v>1.052E7</v>
      </c>
      <c r="DU385" s="13"/>
      <c r="DV385" s="12"/>
      <c r="DW385" s="12"/>
      <c r="DX385" s="12"/>
      <c r="DY385" s="12"/>
      <c r="DZ385" s="11">
        <v>1.185E7</v>
      </c>
      <c r="EA385" s="11">
        <v>1.256E7</v>
      </c>
      <c r="EB385" s="11">
        <v>1.471E7</v>
      </c>
      <c r="EC385" s="11">
        <v>1.168E7</v>
      </c>
      <c r="ED385" s="11">
        <v>1.165E7</v>
      </c>
      <c r="EE385" s="14">
        <v>0.048</v>
      </c>
      <c r="EF385" s="14">
        <v>0.079</v>
      </c>
      <c r="EG385" s="14">
        <v>0.016</v>
      </c>
      <c r="EH385" s="14">
        <v>0.045</v>
      </c>
    </row>
    <row r="386">
      <c r="A386" s="9">
        <f t="shared" si="2"/>
        <v>384</v>
      </c>
      <c r="B386" s="25" t="s">
        <v>520</v>
      </c>
      <c r="C386" s="15">
        <v>2600000.0</v>
      </c>
      <c r="D386" s="15">
        <v>2390000.0</v>
      </c>
      <c r="E386" s="15">
        <v>2750000.0</v>
      </c>
      <c r="F386" s="15">
        <v>2810000.0</v>
      </c>
      <c r="G386" s="15">
        <v>2850000.0</v>
      </c>
      <c r="H386" s="15">
        <v>2920000.0</v>
      </c>
      <c r="I386" s="15">
        <v>2960000.0</v>
      </c>
      <c r="J386" s="15">
        <v>542540.0</v>
      </c>
      <c r="K386" s="15">
        <v>527400.0</v>
      </c>
      <c r="L386" s="15">
        <v>633620.0</v>
      </c>
      <c r="M386" s="15">
        <v>773230.0</v>
      </c>
      <c r="N386" s="15">
        <v>734600.0</v>
      </c>
      <c r="O386" s="15">
        <v>319950.0</v>
      </c>
      <c r="P386" s="15">
        <v>308230.0</v>
      </c>
      <c r="Q386" s="15">
        <v>302020.0</v>
      </c>
      <c r="R386" s="15">
        <v>311240.0</v>
      </c>
      <c r="S386" s="15">
        <v>314760.0</v>
      </c>
      <c r="T386" s="15">
        <v>69930.0</v>
      </c>
      <c r="U386" s="15">
        <v>64010.0</v>
      </c>
      <c r="V386" s="15">
        <v>59870.0</v>
      </c>
      <c r="W386" s="15">
        <v>55530.0</v>
      </c>
      <c r="X386" s="15">
        <v>51790.0</v>
      </c>
      <c r="Y386" s="15">
        <v>170790.0</v>
      </c>
      <c r="Z386" s="15">
        <v>168260.0</v>
      </c>
      <c r="AA386" s="15">
        <v>-29430.0</v>
      </c>
      <c r="AB386" s="15">
        <v>384130.0</v>
      </c>
      <c r="AC386" s="15">
        <v>341070.0</v>
      </c>
      <c r="AD386" s="15">
        <v>109670.0</v>
      </c>
      <c r="AE386" s="15">
        <v>114060.0</v>
      </c>
      <c r="AF386" s="15">
        <v>243930.0</v>
      </c>
      <c r="AG386" s="15">
        <v>367090.0</v>
      </c>
      <c r="AH386" s="15">
        <v>334030.0</v>
      </c>
      <c r="AI386" s="15">
        <v>370650.0</v>
      </c>
      <c r="AJ386" s="15">
        <v>366340.0</v>
      </c>
      <c r="AK386" s="15">
        <v>471830.0</v>
      </c>
      <c r="AL386" s="15">
        <v>592250.0</v>
      </c>
      <c r="AM386" s="15">
        <v>541240.0</v>
      </c>
      <c r="AN386" s="15">
        <v>96400.0</v>
      </c>
      <c r="AO386" s="15">
        <v>76590.0</v>
      </c>
      <c r="AP386" s="15">
        <v>95400.0</v>
      </c>
      <c r="AQ386" s="15">
        <v>248380.0</v>
      </c>
      <c r="AR386" s="15">
        <v>212770.0</v>
      </c>
      <c r="AS386" s="15">
        <v>288390.0</v>
      </c>
      <c r="AT386" s="15">
        <v>253070.0</v>
      </c>
      <c r="AU386" s="15">
        <v>177620.0</v>
      </c>
      <c r="AV386" s="15">
        <v>309800.0</v>
      </c>
      <c r="AW386" s="15">
        <v>300310.0</v>
      </c>
      <c r="AX386" s="15">
        <v>-202720.0</v>
      </c>
      <c r="AY386" s="15">
        <v>-193300.0</v>
      </c>
      <c r="AZ386" s="15">
        <v>-197190.0</v>
      </c>
      <c r="BA386" s="15">
        <v>-175440.0</v>
      </c>
      <c r="BB386" s="15">
        <v>-182540.0</v>
      </c>
      <c r="BC386" s="15">
        <v>-21070.0</v>
      </c>
      <c r="BD386" s="15">
        <v>-21140.0</v>
      </c>
      <c r="BE386" s="15">
        <v>-21910.0</v>
      </c>
      <c r="BF386" s="15">
        <v>-22830.0</v>
      </c>
      <c r="BG386" s="15">
        <v>-23880.0</v>
      </c>
      <c r="BH386" s="15">
        <v>411640.0</v>
      </c>
      <c r="BI386" s="15">
        <v>376220.0</v>
      </c>
      <c r="BJ386" s="15">
        <v>390880.0</v>
      </c>
      <c r="BK386" s="15">
        <v>504420.0</v>
      </c>
      <c r="BL386" s="15">
        <v>505160.0</v>
      </c>
      <c r="BM386" s="15">
        <v>544790.0</v>
      </c>
      <c r="BN386" s="15">
        <v>552640.0</v>
      </c>
      <c r="BO386" s="15">
        <v>542000.0</v>
      </c>
      <c r="BP386" s="15">
        <v>417400.0</v>
      </c>
      <c r="BQ386" s="15">
        <v>399330.0</v>
      </c>
      <c r="BR386" s="15">
        <v>464220.0</v>
      </c>
      <c r="BS386" s="15">
        <v>479980.0</v>
      </c>
      <c r="BT386" s="15">
        <v>511760.0</v>
      </c>
      <c r="BU386" s="15">
        <v>470150.0</v>
      </c>
      <c r="BV386" s="15">
        <v>412560.0</v>
      </c>
      <c r="BW386" s="15">
        <v>1450000.0</v>
      </c>
      <c r="BX386" s="15">
        <v>1460000.0</v>
      </c>
      <c r="BY386" s="15">
        <v>1490000.0</v>
      </c>
      <c r="BZ386" s="15">
        <v>1420000.0</v>
      </c>
      <c r="CA386" s="15">
        <v>1330000.0</v>
      </c>
      <c r="CB386" s="15">
        <v>1130000.0</v>
      </c>
      <c r="CC386" s="15">
        <v>1000000.0</v>
      </c>
      <c r="CD386" s="15">
        <v>966750.0</v>
      </c>
      <c r="CE386" s="15">
        <v>864230.0</v>
      </c>
      <c r="CF386" s="15">
        <v>795200.0</v>
      </c>
      <c r="CG386" s="15">
        <v>18850.0</v>
      </c>
      <c r="CH386" s="15">
        <v>18850.0</v>
      </c>
      <c r="CI386" s="15">
        <v>54610.0</v>
      </c>
      <c r="CJ386" s="15">
        <v>52710.0</v>
      </c>
      <c r="CK386" s="15">
        <v>18850.0</v>
      </c>
      <c r="CL386" s="15">
        <v>2800000.0</v>
      </c>
      <c r="CM386" s="15">
        <v>2630000.0</v>
      </c>
      <c r="CN386" s="15">
        <v>2710000.0</v>
      </c>
      <c r="CO386" s="15">
        <v>2620000.0</v>
      </c>
      <c r="CP386" s="15">
        <v>2440000.0</v>
      </c>
      <c r="CQ386" s="15">
        <v>276730.0</v>
      </c>
      <c r="CR386" s="15">
        <v>286670.0</v>
      </c>
      <c r="CS386" s="15">
        <v>277060.0</v>
      </c>
      <c r="CT386" s="15">
        <v>282420.0</v>
      </c>
      <c r="CU386" s="15">
        <v>215850.0</v>
      </c>
      <c r="CV386" s="15">
        <v>604070.0</v>
      </c>
      <c r="CW386" s="15">
        <v>39960.0</v>
      </c>
      <c r="CX386" s="15">
        <v>15290.0</v>
      </c>
      <c r="CY386" s="15">
        <v>39450.0</v>
      </c>
      <c r="CZ386" s="15">
        <v>26290.0</v>
      </c>
      <c r="DA386" s="15">
        <v>12440.0</v>
      </c>
      <c r="DB386" s="15">
        <v>604070.0</v>
      </c>
      <c r="DC386" s="15">
        <v>760340.0</v>
      </c>
      <c r="DD386" s="15">
        <v>605540.0</v>
      </c>
      <c r="DE386" s="15">
        <v>500810.0</v>
      </c>
      <c r="DF386" s="15">
        <v>1470000.0</v>
      </c>
      <c r="DG386" s="15">
        <v>1400000.0</v>
      </c>
      <c r="DH386" s="15">
        <v>1520000.0</v>
      </c>
      <c r="DI386" s="15">
        <v>1490000.0</v>
      </c>
      <c r="DJ386" s="15">
        <v>1420000.0</v>
      </c>
      <c r="DK386" s="15">
        <v>50400.0</v>
      </c>
      <c r="DL386" s="15">
        <v>2030.0</v>
      </c>
      <c r="DM386" s="15">
        <v>1420.0</v>
      </c>
      <c r="DN386" s="15">
        <v>1330.0</v>
      </c>
      <c r="DO386" s="15">
        <v>802.0</v>
      </c>
      <c r="DP386" s="15">
        <v>364520.0</v>
      </c>
      <c r="DQ386" s="15">
        <v>121280.0</v>
      </c>
      <c r="DR386" s="15">
        <v>295990.0</v>
      </c>
      <c r="DS386" s="15">
        <v>297090.0</v>
      </c>
      <c r="DT386" s="15">
        <v>296410.0</v>
      </c>
      <c r="DU386" s="13"/>
      <c r="DV386" s="12"/>
      <c r="DW386" s="12"/>
      <c r="DX386" s="13"/>
      <c r="DY386" s="13"/>
      <c r="DZ386" s="15">
        <v>1260000.0</v>
      </c>
      <c r="EA386" s="15">
        <v>1170000.0</v>
      </c>
      <c r="EB386" s="15">
        <v>1130000.0</v>
      </c>
      <c r="EC386" s="15">
        <v>1080000.0</v>
      </c>
      <c r="ED386" s="15">
        <v>979250.0</v>
      </c>
      <c r="EE386" s="17">
        <v>0.042</v>
      </c>
      <c r="EF386" s="17">
        <v>0.081</v>
      </c>
      <c r="EG386" s="17">
        <v>0.778</v>
      </c>
      <c r="EH386" s="17">
        <v>0.179</v>
      </c>
    </row>
    <row r="387">
      <c r="A387" s="9">
        <f t="shared" si="2"/>
        <v>385</v>
      </c>
      <c r="B387" s="10" t="s">
        <v>521</v>
      </c>
      <c r="C387" s="11">
        <v>3190000.0</v>
      </c>
      <c r="D387" s="11">
        <v>2920000.0</v>
      </c>
      <c r="E387" s="11">
        <v>2520000.0</v>
      </c>
      <c r="F387" s="11">
        <v>2460000.0</v>
      </c>
      <c r="G387" s="11">
        <v>2080000.0</v>
      </c>
      <c r="H387" s="11">
        <v>1850000.0</v>
      </c>
      <c r="I387" s="11">
        <v>1830000.0</v>
      </c>
      <c r="J387" s="11">
        <v>856300.0</v>
      </c>
      <c r="K387" s="11">
        <v>798800.0</v>
      </c>
      <c r="L387" s="11">
        <v>700400.0</v>
      </c>
      <c r="M387" s="11">
        <v>635000.0</v>
      </c>
      <c r="N387" s="11">
        <v>656600.0</v>
      </c>
      <c r="O387" s="11">
        <v>543500.0</v>
      </c>
      <c r="P387" s="11">
        <v>511000.0</v>
      </c>
      <c r="Q387" s="11">
        <v>439400.0</v>
      </c>
      <c r="R387" s="11">
        <v>405500.0</v>
      </c>
      <c r="S387" s="11">
        <v>378600.0</v>
      </c>
      <c r="T387" s="11">
        <v>54500.0</v>
      </c>
      <c r="U387" s="11">
        <v>52500.0</v>
      </c>
      <c r="V387" s="11">
        <v>52800.0</v>
      </c>
      <c r="W387" s="11">
        <v>55000.0</v>
      </c>
      <c r="X387" s="11">
        <v>53500.0</v>
      </c>
      <c r="Y387" s="11">
        <v>271000.0</v>
      </c>
      <c r="Z387" s="11">
        <v>-30700.0</v>
      </c>
      <c r="AA387" s="11">
        <v>236300.0</v>
      </c>
      <c r="AB387" s="11">
        <v>220500.0</v>
      </c>
      <c r="AC387" s="11">
        <v>217200.0</v>
      </c>
      <c r="AD387" s="11">
        <v>160300.0</v>
      </c>
      <c r="AE387" s="11">
        <v>152000.0</v>
      </c>
      <c r="AF387" s="11">
        <v>135600.0</v>
      </c>
      <c r="AG387" s="11">
        <v>144900.0</v>
      </c>
      <c r="AH387" s="11">
        <v>112500.0</v>
      </c>
      <c r="AI387" s="11">
        <v>541400.0</v>
      </c>
      <c r="AJ387" s="11">
        <v>477900.0</v>
      </c>
      <c r="AK387" s="11">
        <v>407500.0</v>
      </c>
      <c r="AL387" s="11">
        <v>370100.0</v>
      </c>
      <c r="AM387" s="11">
        <v>418800.0</v>
      </c>
      <c r="AN387" s="11">
        <v>132000.0</v>
      </c>
      <c r="AO387" s="11">
        <v>83600.0</v>
      </c>
      <c r="AP387" s="11">
        <v>109800.0</v>
      </c>
      <c r="AQ387" s="11">
        <v>111500.0</v>
      </c>
      <c r="AR387" s="11">
        <v>212100.0</v>
      </c>
      <c r="AS387" s="11">
        <v>247700.0</v>
      </c>
      <c r="AT387" s="11">
        <v>374500.0</v>
      </c>
      <c r="AU387" s="11">
        <v>299500.0</v>
      </c>
      <c r="AV387" s="11">
        <v>155300.0</v>
      </c>
      <c r="AW387" s="11">
        <v>171800.0</v>
      </c>
      <c r="AX387" s="11">
        <v>-218100.0</v>
      </c>
      <c r="AY387" s="11">
        <v>-176500.0</v>
      </c>
      <c r="AZ387" s="11">
        <v>-139800.0</v>
      </c>
      <c r="BA387" s="11">
        <v>-139600.0</v>
      </c>
      <c r="BB387" s="11">
        <v>-141000.0</v>
      </c>
      <c r="BC387" s="13"/>
      <c r="BD387" s="13"/>
      <c r="BE387" s="13"/>
      <c r="BF387" s="13"/>
      <c r="BG387" s="13"/>
      <c r="BH387" s="11">
        <v>345400.0</v>
      </c>
      <c r="BI387" s="11">
        <v>410200.0</v>
      </c>
      <c r="BJ387" s="11">
        <v>306900.0</v>
      </c>
      <c r="BK387" s="11">
        <v>131600.0</v>
      </c>
      <c r="BL387" s="11">
        <v>151300.0</v>
      </c>
      <c r="BM387" s="11">
        <v>732800.0</v>
      </c>
      <c r="BN387" s="11">
        <v>568300.0</v>
      </c>
      <c r="BO387" s="11">
        <v>488800.0</v>
      </c>
      <c r="BP387" s="11">
        <v>414800.0</v>
      </c>
      <c r="BQ387" s="11">
        <v>372400.0</v>
      </c>
      <c r="BR387" s="11">
        <v>257200.0</v>
      </c>
      <c r="BS387" s="11">
        <v>209100.0</v>
      </c>
      <c r="BT387" s="11">
        <v>184900.0</v>
      </c>
      <c r="BU387" s="11">
        <v>154800.0</v>
      </c>
      <c r="BV387" s="11">
        <v>132900.0</v>
      </c>
      <c r="BW387" s="11">
        <v>1400000.0</v>
      </c>
      <c r="BX387" s="11">
        <v>1240000.0</v>
      </c>
      <c r="BY387" s="11">
        <v>1060000.0</v>
      </c>
      <c r="BZ387" s="11">
        <v>790200.0</v>
      </c>
      <c r="CA387" s="11">
        <v>737500.0</v>
      </c>
      <c r="CB387" s="11">
        <v>1540000.0</v>
      </c>
      <c r="CC387" s="11">
        <v>1270000.0</v>
      </c>
      <c r="CD387" s="11">
        <v>995900.0</v>
      </c>
      <c r="CE387" s="11">
        <v>905800.0</v>
      </c>
      <c r="CF387" s="11">
        <v>885200.0</v>
      </c>
      <c r="CG387" s="11">
        <v>2220000.0</v>
      </c>
      <c r="CH387" s="11">
        <v>1400000.0</v>
      </c>
      <c r="CI387" s="11">
        <v>1040000.0</v>
      </c>
      <c r="CJ387" s="11">
        <v>996500.0</v>
      </c>
      <c r="CK387" s="11">
        <v>1060000.0</v>
      </c>
      <c r="CL387" s="11">
        <v>6180000.0</v>
      </c>
      <c r="CM387" s="11">
        <v>4530000.0</v>
      </c>
      <c r="CN387" s="11">
        <v>3450000.0</v>
      </c>
      <c r="CO387" s="11">
        <v>3090000.0</v>
      </c>
      <c r="CP387" s="11">
        <v>3150000.0</v>
      </c>
      <c r="CQ387" s="11">
        <v>255800.0</v>
      </c>
      <c r="CR387" s="11">
        <v>192100.0</v>
      </c>
      <c r="CS387" s="11">
        <v>163200.0</v>
      </c>
      <c r="CT387" s="11">
        <v>143700.0</v>
      </c>
      <c r="CU387" s="11">
        <v>128200.0</v>
      </c>
      <c r="CV387" s="11">
        <v>670700.0</v>
      </c>
      <c r="CW387" s="11">
        <v>76500.0</v>
      </c>
      <c r="CX387" s="11">
        <v>71900.0</v>
      </c>
      <c r="CY387" s="11">
        <v>24600.0</v>
      </c>
      <c r="CZ387" s="11">
        <v>27700.0</v>
      </c>
      <c r="DA387" s="12"/>
      <c r="DB387" s="11">
        <v>670700.0</v>
      </c>
      <c r="DC387" s="11">
        <v>576900.0</v>
      </c>
      <c r="DD387" s="11">
        <v>469000.0</v>
      </c>
      <c r="DE387" s="11">
        <v>391200.0</v>
      </c>
      <c r="DF387" s="11">
        <v>3900000.0</v>
      </c>
      <c r="DG387" s="11">
        <v>3440000.0</v>
      </c>
      <c r="DH387" s="11">
        <v>2730000.0</v>
      </c>
      <c r="DI387" s="11">
        <v>2460000.0</v>
      </c>
      <c r="DJ387" s="11">
        <v>2510000.0</v>
      </c>
      <c r="DK387" s="12"/>
      <c r="DL387" s="12"/>
      <c r="DM387" s="12"/>
      <c r="DN387" s="12"/>
      <c r="DO387" s="12"/>
      <c r="DP387" s="11">
        <v>2880000.0</v>
      </c>
      <c r="DQ387" s="11">
        <v>2650000.0</v>
      </c>
      <c r="DR387" s="11">
        <v>2060000.0</v>
      </c>
      <c r="DS387" s="11">
        <v>1830000.0</v>
      </c>
      <c r="DT387" s="11">
        <v>1860000.0</v>
      </c>
      <c r="DU387" s="11">
        <v>606600.0</v>
      </c>
      <c r="DV387" s="12"/>
      <c r="DW387" s="12"/>
      <c r="DX387" s="13"/>
      <c r="DY387" s="13"/>
      <c r="DZ387" s="11">
        <v>2290000.0</v>
      </c>
      <c r="EA387" s="11">
        <v>1090000.0</v>
      </c>
      <c r="EB387" s="11">
        <v>723500.0</v>
      </c>
      <c r="EC387" s="11">
        <v>635900.0</v>
      </c>
      <c r="ED387" s="11">
        <v>634000.0</v>
      </c>
      <c r="EE387" s="14">
        <v>0.017</v>
      </c>
      <c r="EF387" s="14">
        <v>0.069</v>
      </c>
      <c r="EG387" s="14">
        <v>0.042</v>
      </c>
      <c r="EH387" s="14">
        <v>0.061</v>
      </c>
    </row>
    <row r="388">
      <c r="A388" s="9">
        <f t="shared" si="2"/>
        <v>386</v>
      </c>
      <c r="B388" s="22" t="s">
        <v>522</v>
      </c>
      <c r="C388" s="11">
        <v>69080.0</v>
      </c>
      <c r="D388" s="11">
        <v>98930.0</v>
      </c>
      <c r="E388" s="11">
        <v>57490.0</v>
      </c>
      <c r="F388" s="11">
        <v>59500.0</v>
      </c>
      <c r="G388" s="11">
        <v>71620.0</v>
      </c>
      <c r="H388" s="11">
        <v>15040.0</v>
      </c>
      <c r="I388" s="11">
        <v>7710.0</v>
      </c>
      <c r="J388" s="12"/>
      <c r="K388" s="12"/>
      <c r="L388" s="12"/>
      <c r="M388" s="12"/>
      <c r="N388" s="12"/>
      <c r="O388" s="11">
        <v>165780.0</v>
      </c>
      <c r="P388" s="11">
        <v>135490.0</v>
      </c>
      <c r="Q388" s="11">
        <v>116240.0</v>
      </c>
      <c r="R388" s="11">
        <v>72900.0</v>
      </c>
      <c r="S388" s="11">
        <v>39710.0</v>
      </c>
      <c r="T388" s="11">
        <v>131620.0</v>
      </c>
      <c r="U388" s="11">
        <v>103870.0</v>
      </c>
      <c r="V388" s="11">
        <v>92280.0</v>
      </c>
      <c r="W388" s="11">
        <v>54760.0</v>
      </c>
      <c r="X388" s="11">
        <v>28360.0</v>
      </c>
      <c r="Y388" s="12"/>
      <c r="Z388" s="12"/>
      <c r="AA388" s="12"/>
      <c r="AB388" s="12"/>
      <c r="AC388" s="11">
        <v>-34920.0</v>
      </c>
      <c r="AD388" s="11">
        <v>-102670.0</v>
      </c>
      <c r="AE388" s="11">
        <v>-70300.0</v>
      </c>
      <c r="AF388" s="11">
        <v>-43610.0</v>
      </c>
      <c r="AG388" s="11">
        <v>-58920.0</v>
      </c>
      <c r="AH388" s="11">
        <v>-35360.0</v>
      </c>
      <c r="AI388" s="11">
        <v>-108290.0</v>
      </c>
      <c r="AJ388" s="11">
        <v>-75990.0</v>
      </c>
      <c r="AK388" s="11">
        <v>-44610.0</v>
      </c>
      <c r="AL388" s="11">
        <v>-57850.0</v>
      </c>
      <c r="AM388" s="11">
        <v>-32000.0</v>
      </c>
      <c r="AN388" s="11">
        <v>-102240.0</v>
      </c>
      <c r="AO388" s="11">
        <v>-84600.0</v>
      </c>
      <c r="AP388" s="11">
        <v>-43100.0</v>
      </c>
      <c r="AQ388" s="11">
        <v>-58900.0</v>
      </c>
      <c r="AR388" s="11">
        <v>-35370.0</v>
      </c>
      <c r="AS388" s="11">
        <v>-140480.0</v>
      </c>
      <c r="AT388" s="11">
        <v>-75520.0</v>
      </c>
      <c r="AU388" s="11">
        <v>170370.0</v>
      </c>
      <c r="AV388" s="11">
        <v>-2030.0</v>
      </c>
      <c r="AW388" s="11">
        <v>-27420.0</v>
      </c>
      <c r="AX388" s="11">
        <v>-3500.0</v>
      </c>
      <c r="AY388" s="11">
        <v>-3790.0</v>
      </c>
      <c r="AZ388" s="11">
        <v>-1560.0</v>
      </c>
      <c r="BA388" s="11">
        <v>-2180.0</v>
      </c>
      <c r="BB388" s="11">
        <v>-1590.0</v>
      </c>
      <c r="BC388" s="12"/>
      <c r="BD388" s="12"/>
      <c r="BE388" s="12"/>
      <c r="BF388" s="12"/>
      <c r="BG388" s="12"/>
      <c r="BH388" s="11">
        <v>296150.0</v>
      </c>
      <c r="BI388" s="11">
        <v>436130.0</v>
      </c>
      <c r="BJ388" s="11">
        <v>374110.0</v>
      </c>
      <c r="BK388" s="11">
        <v>181940.0</v>
      </c>
      <c r="BL388" s="11">
        <v>186710.0</v>
      </c>
      <c r="BM388" s="11">
        <v>13.0</v>
      </c>
      <c r="BN388" s="11">
        <v>97.0</v>
      </c>
      <c r="BO388" s="11">
        <v>10140.0</v>
      </c>
      <c r="BP388" s="11">
        <v>2310.0</v>
      </c>
      <c r="BQ388" s="11">
        <v>744.0</v>
      </c>
      <c r="BR388" s="12"/>
      <c r="BS388" s="12"/>
      <c r="BT388" s="12"/>
      <c r="BU388" s="12"/>
      <c r="BV388" s="12"/>
      <c r="BW388" s="11">
        <v>303340.0</v>
      </c>
      <c r="BX388" s="11">
        <v>445480.0</v>
      </c>
      <c r="BY388" s="11">
        <v>388600.0</v>
      </c>
      <c r="BZ388" s="11">
        <v>188150.0</v>
      </c>
      <c r="CA388" s="11">
        <v>189750.0</v>
      </c>
      <c r="CB388" s="11">
        <v>32750.0</v>
      </c>
      <c r="CC388" s="11">
        <v>6930.0</v>
      </c>
      <c r="CD388" s="11">
        <v>4220.0</v>
      </c>
      <c r="CE388" s="11">
        <v>4390.0</v>
      </c>
      <c r="CF388" s="11">
        <v>3480.0</v>
      </c>
      <c r="CG388" s="11">
        <v>949.0</v>
      </c>
      <c r="CH388" s="11">
        <v>949.0</v>
      </c>
      <c r="CI388" s="11">
        <v>949.0</v>
      </c>
      <c r="CJ388" s="11">
        <v>949.0</v>
      </c>
      <c r="CK388" s="11">
        <v>949.0</v>
      </c>
      <c r="CL388" s="11">
        <v>341280.0</v>
      </c>
      <c r="CM388" s="11">
        <v>458250.0</v>
      </c>
      <c r="CN388" s="11">
        <v>398040.0</v>
      </c>
      <c r="CO388" s="11">
        <v>199440.0</v>
      </c>
      <c r="CP388" s="11">
        <v>197690.0</v>
      </c>
      <c r="CQ388" s="11">
        <v>4160.0</v>
      </c>
      <c r="CR388" s="11">
        <v>5130.0</v>
      </c>
      <c r="CS388" s="11">
        <v>4210.0</v>
      </c>
      <c r="CT388" s="11">
        <v>6600.0</v>
      </c>
      <c r="CU388" s="11">
        <v>4700.0</v>
      </c>
      <c r="CV388" s="11">
        <v>85590.0</v>
      </c>
      <c r="CW388" s="11">
        <v>2810.0</v>
      </c>
      <c r="CX388" s="12"/>
      <c r="CY388" s="12"/>
      <c r="CZ388" s="12"/>
      <c r="DA388" s="12"/>
      <c r="DB388" s="11">
        <v>85590.0</v>
      </c>
      <c r="DC388" s="11">
        <v>97910.0</v>
      </c>
      <c r="DD388" s="11">
        <v>61150.0</v>
      </c>
      <c r="DE388" s="11">
        <v>35770.0</v>
      </c>
      <c r="DF388" s="11">
        <v>290170.0</v>
      </c>
      <c r="DG388" s="11">
        <v>327360.0</v>
      </c>
      <c r="DH388" s="11">
        <v>328150.0</v>
      </c>
      <c r="DI388" s="11">
        <v>120960.0</v>
      </c>
      <c r="DJ388" s="11">
        <v>71550.0</v>
      </c>
      <c r="DK388" s="11">
        <v>917.0</v>
      </c>
      <c r="DL388" s="11">
        <v>917.0</v>
      </c>
      <c r="DM388" s="11">
        <v>917.0</v>
      </c>
      <c r="DN388" s="11">
        <v>917.0</v>
      </c>
      <c r="DO388" s="24">
        <v>917.0</v>
      </c>
      <c r="DP388" s="11">
        <v>24870.0</v>
      </c>
      <c r="DQ388" s="12"/>
      <c r="DR388" s="12"/>
      <c r="DS388" s="12"/>
      <c r="DT388" s="12"/>
      <c r="DU388" s="13"/>
      <c r="DV388" s="12"/>
      <c r="DW388" s="12"/>
      <c r="DX388" s="13"/>
      <c r="DY388" s="13"/>
      <c r="DZ388" s="11">
        <v>51110.0</v>
      </c>
      <c r="EA388" s="11">
        <v>130880.0</v>
      </c>
      <c r="EB388" s="11">
        <v>69900.0</v>
      </c>
      <c r="EC388" s="11">
        <v>78480.0</v>
      </c>
      <c r="ED388" s="11">
        <v>126150.0</v>
      </c>
      <c r="EE388" s="14">
        <v>0.314</v>
      </c>
      <c r="EF388" s="23"/>
      <c r="EG388" s="14">
        <v>-3.125</v>
      </c>
      <c r="EH388" s="14">
        <v>-0.56</v>
      </c>
    </row>
    <row r="389">
      <c r="A389" s="9">
        <f t="shared" si="2"/>
        <v>387</v>
      </c>
      <c r="B389" s="32" t="s">
        <v>523</v>
      </c>
      <c r="C389" s="11"/>
      <c r="D389" s="11">
        <v>832920.0</v>
      </c>
      <c r="E389" s="11">
        <v>781930.0</v>
      </c>
      <c r="F389" s="11">
        <v>769550.0</v>
      </c>
      <c r="G389" s="11">
        <v>755240.0</v>
      </c>
      <c r="H389" s="11">
        <v>695180.0</v>
      </c>
      <c r="I389" s="11">
        <v>683790.0</v>
      </c>
      <c r="J389" s="11">
        <v>278650.0</v>
      </c>
      <c r="K389" s="11">
        <v>274340.0</v>
      </c>
      <c r="L389" s="11">
        <v>270340.0</v>
      </c>
      <c r="M389" s="11">
        <v>249920.0</v>
      </c>
      <c r="N389" s="11">
        <v>248440.0</v>
      </c>
      <c r="O389" s="11">
        <v>259630.0</v>
      </c>
      <c r="P389" s="11">
        <v>247940.0</v>
      </c>
      <c r="Q389" s="11">
        <v>247060.0</v>
      </c>
      <c r="R389" s="11">
        <v>230670.0</v>
      </c>
      <c r="S389" s="11">
        <v>225120.0</v>
      </c>
      <c r="T389" s="11"/>
      <c r="U389" s="11"/>
      <c r="V389" s="11"/>
      <c r="W389" s="11"/>
      <c r="X389" s="11"/>
      <c r="Y389" s="11">
        <v>18550.0</v>
      </c>
      <c r="Z389" s="11">
        <v>25130.0</v>
      </c>
      <c r="AA389" s="11">
        <v>22770.0</v>
      </c>
      <c r="AB389" s="11">
        <v>18940.0</v>
      </c>
      <c r="AC389" s="11">
        <v>24220.0</v>
      </c>
      <c r="AD389" s="11">
        <v>19970.0</v>
      </c>
      <c r="AE389" s="11">
        <v>26330.0</v>
      </c>
      <c r="AF389" s="11">
        <v>23500.0</v>
      </c>
      <c r="AG389" s="11">
        <v>19350.0</v>
      </c>
      <c r="AH389" s="11">
        <v>24310.0</v>
      </c>
      <c r="AI389" s="11">
        <v>83020.0</v>
      </c>
      <c r="AJ389" s="11">
        <v>45290.0</v>
      </c>
      <c r="AK389" s="11">
        <v>42160.0</v>
      </c>
      <c r="AL389" s="11">
        <v>36340.0</v>
      </c>
      <c r="AM389" s="11">
        <v>41890.0</v>
      </c>
      <c r="AN389" s="11">
        <v>16500.0</v>
      </c>
      <c r="AO389" s="11">
        <v>21370.0</v>
      </c>
      <c r="AP389" s="11">
        <v>14570.0</v>
      </c>
      <c r="AQ389" s="11">
        <v>13330.0</v>
      </c>
      <c r="AR389" s="11">
        <v>15530.0</v>
      </c>
      <c r="AS389" s="11">
        <v>42610.0</v>
      </c>
      <c r="AT389" s="11">
        <v>30410.0</v>
      </c>
      <c r="AU389" s="11">
        <v>42300.0</v>
      </c>
      <c r="AV389" s="11">
        <v>39740.0</v>
      </c>
      <c r="AW389" s="11">
        <v>27490.0</v>
      </c>
      <c r="AX389" s="11">
        <v>-24180.0</v>
      </c>
      <c r="AY389" s="11">
        <v>-13260.0</v>
      </c>
      <c r="AZ389" s="11">
        <v>-20990.0</v>
      </c>
      <c r="BA389" s="11">
        <v>-23930.0</v>
      </c>
      <c r="BB389" s="11">
        <v>-19600.0</v>
      </c>
      <c r="BC389" s="11">
        <v>-3770.0</v>
      </c>
      <c r="BD389" s="11">
        <v>-4210.0</v>
      </c>
      <c r="BE389" s="11">
        <v>-4230.0</v>
      </c>
      <c r="BF389" s="11">
        <v>-3510.0</v>
      </c>
      <c r="BG389" s="11">
        <v>-1800.0</v>
      </c>
      <c r="BH389" s="11">
        <v>47490.0</v>
      </c>
      <c r="BI389" s="11">
        <v>68210.0</v>
      </c>
      <c r="BJ389" s="11">
        <v>79950.0</v>
      </c>
      <c r="BK389" s="11">
        <v>87280.0</v>
      </c>
      <c r="BL389" s="11">
        <v>71790.0</v>
      </c>
      <c r="BM389" s="11">
        <v>1190.0</v>
      </c>
      <c r="BN389" s="11"/>
      <c r="BO389" s="11"/>
      <c r="BP389" s="11">
        <v>1640.0</v>
      </c>
      <c r="BQ389" s="11">
        <v>1290.0</v>
      </c>
      <c r="BR389" s="11">
        <v>138260.0</v>
      </c>
      <c r="BS389" s="11">
        <v>139840.0</v>
      </c>
      <c r="BT389" s="11">
        <v>137700.0</v>
      </c>
      <c r="BU389" s="11">
        <v>134650.0</v>
      </c>
      <c r="BV389" s="11">
        <v>137020.0</v>
      </c>
      <c r="BW389" s="11">
        <v>201210.0</v>
      </c>
      <c r="BX389" s="11">
        <v>225600.0</v>
      </c>
      <c r="BY389" s="11">
        <v>233350.0</v>
      </c>
      <c r="BZ389" s="11">
        <v>237310.0</v>
      </c>
      <c r="CA389" s="11">
        <v>227130.0</v>
      </c>
      <c r="CB389" s="11">
        <v>234840.0</v>
      </c>
      <c r="CC389" s="11">
        <v>56220.0</v>
      </c>
      <c r="CD389" s="11">
        <v>61780.0</v>
      </c>
      <c r="CE389" s="11">
        <v>59280.0</v>
      </c>
      <c r="CF389" s="11">
        <v>50630.0</v>
      </c>
      <c r="CG389" s="11"/>
      <c r="CH389" s="11"/>
      <c r="CI389" s="11"/>
      <c r="CJ389" s="11"/>
      <c r="CK389" s="11"/>
      <c r="CL389" s="11">
        <v>505400.0</v>
      </c>
      <c r="CM389" s="11">
        <v>298560.0</v>
      </c>
      <c r="CN389" s="11">
        <v>327450.0</v>
      </c>
      <c r="CO389" s="11">
        <v>333130.0</v>
      </c>
      <c r="CP389" s="11">
        <v>314510.0</v>
      </c>
      <c r="CQ389" s="11">
        <v>79600.0</v>
      </c>
      <c r="CR389" s="11">
        <v>73390.0</v>
      </c>
      <c r="CS389" s="11">
        <v>75950.0</v>
      </c>
      <c r="CT389" s="11">
        <v>75430.0</v>
      </c>
      <c r="CU389" s="11">
        <v>67420.0</v>
      </c>
      <c r="CV389" s="11">
        <v>150860.0</v>
      </c>
      <c r="CW389" s="11">
        <v>42940.0</v>
      </c>
      <c r="CX389" s="11"/>
      <c r="CY389" s="11"/>
      <c r="CZ389" s="11"/>
      <c r="DA389" s="11"/>
      <c r="DB389" s="11">
        <v>150860.0</v>
      </c>
      <c r="DC389" s="11">
        <v>102370.0</v>
      </c>
      <c r="DD389" s="11">
        <v>109170.0</v>
      </c>
      <c r="DE389" s="11">
        <v>100410.0</v>
      </c>
      <c r="DF389" s="11">
        <v>334360.0</v>
      </c>
      <c r="DG389" s="11">
        <v>111140.0</v>
      </c>
      <c r="DH389" s="11">
        <v>117980.0</v>
      </c>
      <c r="DI389" s="11">
        <v>109540.0</v>
      </c>
      <c r="DJ389" s="11">
        <v>102270.0</v>
      </c>
      <c r="DK389" s="11">
        <v>15680.0</v>
      </c>
      <c r="DL389" s="11">
        <v>8880.0</v>
      </c>
      <c r="DM389" s="11">
        <v>25450.0</v>
      </c>
      <c r="DN389" s="11">
        <v>26690.0</v>
      </c>
      <c r="DO389" s="11">
        <v>30890.0</v>
      </c>
      <c r="DP389" s="11">
        <v>135320.0</v>
      </c>
      <c r="DQ389" s="11"/>
      <c r="DR389" s="11"/>
      <c r="DS389" s="11"/>
      <c r="DT389" s="11"/>
      <c r="DU389" s="12"/>
      <c r="DV389" s="12"/>
      <c r="DW389" s="12"/>
      <c r="DX389" s="12"/>
      <c r="DY389" s="12"/>
      <c r="DZ389" s="11">
        <v>171040.0</v>
      </c>
      <c r="EA389" s="11">
        <v>187430.0</v>
      </c>
      <c r="EB389" s="11">
        <v>209470.0</v>
      </c>
      <c r="EC389" s="11">
        <v>223590.0</v>
      </c>
      <c r="ED389" s="11">
        <v>212230.0</v>
      </c>
      <c r="EE389" s="33">
        <v>0.0</v>
      </c>
      <c r="EF389" s="33"/>
      <c r="EG389" s="33">
        <v>0.054</v>
      </c>
      <c r="EH389" s="33"/>
    </row>
    <row r="390">
      <c r="A390" s="9">
        <f t="shared" si="2"/>
        <v>388</v>
      </c>
      <c r="B390" s="22" t="s">
        <v>524</v>
      </c>
      <c r="C390" s="11">
        <v>12810.0</v>
      </c>
      <c r="D390" s="11">
        <v>7690.0</v>
      </c>
      <c r="E390" s="11">
        <v>3460.0</v>
      </c>
      <c r="F390" s="11">
        <v>1140.0</v>
      </c>
      <c r="G390" s="12"/>
      <c r="H390" s="12"/>
      <c r="I390" s="12"/>
      <c r="J390" s="12"/>
      <c r="K390" s="12"/>
      <c r="L390" s="11">
        <v>-420.0</v>
      </c>
      <c r="M390" s="11">
        <v>-202.0</v>
      </c>
      <c r="N390" s="11">
        <v>-45.0</v>
      </c>
      <c r="O390" s="11">
        <v>34870.0</v>
      </c>
      <c r="P390" s="11">
        <v>39080.0</v>
      </c>
      <c r="Q390" s="11">
        <v>22810.0</v>
      </c>
      <c r="R390" s="11">
        <v>7460.0</v>
      </c>
      <c r="S390" s="11">
        <v>1880.0</v>
      </c>
      <c r="T390" s="11">
        <v>26600.0</v>
      </c>
      <c r="U390" s="11">
        <v>27820.0</v>
      </c>
      <c r="V390" s="11">
        <v>18500.0</v>
      </c>
      <c r="W390" s="11">
        <v>5490.0</v>
      </c>
      <c r="X390" s="11">
        <v>1460.0</v>
      </c>
      <c r="Y390" s="12"/>
      <c r="Z390" s="12"/>
      <c r="AA390" s="12"/>
      <c r="AB390" s="12"/>
      <c r="AC390" s="12"/>
      <c r="AD390" s="11">
        <v>-36290.0</v>
      </c>
      <c r="AE390" s="11">
        <v>-38160.0</v>
      </c>
      <c r="AF390" s="11">
        <v>-23230.0</v>
      </c>
      <c r="AG390" s="11">
        <v>-7660.0</v>
      </c>
      <c r="AH390" s="11">
        <v>-1930.0</v>
      </c>
      <c r="AI390" s="11">
        <v>-31410.0</v>
      </c>
      <c r="AJ390" s="11">
        <v>-37940.0</v>
      </c>
      <c r="AK390" s="11">
        <v>-22810.0</v>
      </c>
      <c r="AL390" s="11">
        <v>-7460.0</v>
      </c>
      <c r="AM390" s="11">
        <v>-1880.0</v>
      </c>
      <c r="AN390" s="11">
        <v>-36700.0</v>
      </c>
      <c r="AO390" s="11">
        <v>-38980.0</v>
      </c>
      <c r="AP390" s="11">
        <v>-23230.0</v>
      </c>
      <c r="AQ390" s="11">
        <v>-7660.0</v>
      </c>
      <c r="AR390" s="11">
        <v>-1930.0</v>
      </c>
      <c r="AS390" s="11">
        <v>-26520.0</v>
      </c>
      <c r="AT390" s="11">
        <v>-26410.0</v>
      </c>
      <c r="AU390" s="11">
        <v>-12190.0</v>
      </c>
      <c r="AV390" s="11">
        <v>-5970.0</v>
      </c>
      <c r="AW390" s="11">
        <v>-1660.0</v>
      </c>
      <c r="AX390" s="11">
        <v>-46.0</v>
      </c>
      <c r="AY390" s="11">
        <v>-1850.0</v>
      </c>
      <c r="AZ390" s="11">
        <v>-1200.0</v>
      </c>
      <c r="BA390" s="11">
        <v>-516.0</v>
      </c>
      <c r="BB390" s="11">
        <v>-754.0</v>
      </c>
      <c r="BC390" s="12"/>
      <c r="BD390" s="12"/>
      <c r="BE390" s="12"/>
      <c r="BF390" s="12"/>
      <c r="BG390" s="12"/>
      <c r="BH390" s="11">
        <v>59410.0</v>
      </c>
      <c r="BI390" s="11">
        <v>39260.0</v>
      </c>
      <c r="BJ390" s="11">
        <v>63580.0</v>
      </c>
      <c r="BK390" s="11">
        <v>14980.0</v>
      </c>
      <c r="BL390" s="11">
        <v>6460.0</v>
      </c>
      <c r="BM390" s="11">
        <v>755.0</v>
      </c>
      <c r="BN390" s="12"/>
      <c r="BO390" s="12"/>
      <c r="BP390" s="12"/>
      <c r="BQ390" s="12"/>
      <c r="BR390" s="12"/>
      <c r="BS390" s="12"/>
      <c r="BT390" s="12"/>
      <c r="BU390" s="12"/>
      <c r="BV390" s="12"/>
      <c r="BW390" s="11">
        <v>61020.0</v>
      </c>
      <c r="BX390" s="11">
        <v>40610.0</v>
      </c>
      <c r="BY390" s="11">
        <v>65070.0</v>
      </c>
      <c r="BZ390" s="11">
        <v>15140.0</v>
      </c>
      <c r="CA390" s="11">
        <v>6510.0</v>
      </c>
      <c r="CB390" s="11">
        <v>7180.0</v>
      </c>
      <c r="CC390" s="11">
        <v>2780.0</v>
      </c>
      <c r="CD390" s="11">
        <v>1690.0</v>
      </c>
      <c r="CE390" s="11">
        <v>1020.0</v>
      </c>
      <c r="CF390" s="11">
        <v>709.0</v>
      </c>
      <c r="CG390" s="12"/>
      <c r="CH390" s="12"/>
      <c r="CI390" s="12"/>
      <c r="CJ390" s="12"/>
      <c r="CK390" s="12"/>
      <c r="CL390" s="11">
        <v>71610.0</v>
      </c>
      <c r="CM390" s="11">
        <v>45360.0</v>
      </c>
      <c r="CN390" s="11">
        <v>66950.0</v>
      </c>
      <c r="CO390" s="11">
        <v>16280.0</v>
      </c>
      <c r="CP390" s="11">
        <v>7310.0</v>
      </c>
      <c r="CQ390" s="11">
        <v>883.0</v>
      </c>
      <c r="CR390" s="11">
        <v>2040.0</v>
      </c>
      <c r="CS390" s="11">
        <v>1330.0</v>
      </c>
      <c r="CT390" s="12"/>
      <c r="CU390" s="12"/>
      <c r="CV390" s="11">
        <v>11660.0</v>
      </c>
      <c r="CW390" s="11">
        <v>4450.0</v>
      </c>
      <c r="CX390" s="12"/>
      <c r="CY390" s="12"/>
      <c r="CZ390" s="12"/>
      <c r="DA390" s="12"/>
      <c r="DB390" s="11">
        <v>11660.0</v>
      </c>
      <c r="DC390" s="11">
        <v>6220.0</v>
      </c>
      <c r="DD390" s="11">
        <v>5350.0</v>
      </c>
      <c r="DE390" s="11">
        <v>1070.0</v>
      </c>
      <c r="DF390" s="11">
        <v>17020.0</v>
      </c>
      <c r="DG390" s="11">
        <v>11390.0</v>
      </c>
      <c r="DH390" s="11">
        <v>5350.0</v>
      </c>
      <c r="DI390" s="11">
        <v>1100.0</v>
      </c>
      <c r="DJ390" s="11">
        <v>376.0</v>
      </c>
      <c r="DK390" s="11">
        <v>150.0</v>
      </c>
      <c r="DL390" s="11">
        <v>150.0</v>
      </c>
      <c r="DM390" s="12"/>
      <c r="DN390" s="12"/>
      <c r="DO390" s="12"/>
      <c r="DP390" s="11">
        <v>1350.0</v>
      </c>
      <c r="DQ390" s="12"/>
      <c r="DR390" s="12"/>
      <c r="DS390" s="12"/>
      <c r="DT390" s="12"/>
      <c r="DU390" s="13"/>
      <c r="DV390" s="12"/>
      <c r="DW390" s="12"/>
      <c r="DX390" s="13"/>
      <c r="DY390" s="13"/>
      <c r="DZ390" s="11">
        <v>54580.0</v>
      </c>
      <c r="EA390" s="11">
        <v>33970.0</v>
      </c>
      <c r="EB390" s="11">
        <v>61610.0</v>
      </c>
      <c r="EC390" s="11">
        <v>15170.0</v>
      </c>
      <c r="ED390" s="11">
        <v>6940.0</v>
      </c>
      <c r="EE390" s="14">
        <v>1.861</v>
      </c>
      <c r="EF390" s="14">
        <v>2.044</v>
      </c>
      <c r="EG390" s="14">
        <v>0.116</v>
      </c>
      <c r="EH390" s="14">
        <v>0.06</v>
      </c>
    </row>
    <row r="391">
      <c r="A391" s="9">
        <f t="shared" si="2"/>
        <v>389</v>
      </c>
      <c r="B391" s="22" t="s">
        <v>525</v>
      </c>
      <c r="C391" s="11">
        <v>174880.0</v>
      </c>
      <c r="D391" s="11">
        <v>138670.0</v>
      </c>
      <c r="E391" s="11">
        <v>181710.0</v>
      </c>
      <c r="F391" s="11">
        <v>162720.0</v>
      </c>
      <c r="G391" s="11">
        <v>151490.0</v>
      </c>
      <c r="H391" s="11">
        <v>118060.0</v>
      </c>
      <c r="I391" s="11">
        <v>94760.0</v>
      </c>
      <c r="J391" s="11">
        <v>95250.0</v>
      </c>
      <c r="K391" s="11">
        <v>78550.0</v>
      </c>
      <c r="L391" s="11">
        <v>86110.0</v>
      </c>
      <c r="M391" s="11">
        <v>68140.0</v>
      </c>
      <c r="N391" s="11">
        <v>54280.0</v>
      </c>
      <c r="O391" s="11">
        <v>107310.0</v>
      </c>
      <c r="P391" s="11">
        <v>91940.0</v>
      </c>
      <c r="Q391" s="11">
        <v>79030.0</v>
      </c>
      <c r="R391" s="11">
        <v>65740.0</v>
      </c>
      <c r="S391" s="11">
        <v>58800.0</v>
      </c>
      <c r="T391" s="11">
        <v>15090.0</v>
      </c>
      <c r="U391" s="11">
        <v>14360.0</v>
      </c>
      <c r="V391" s="11">
        <v>12870.0</v>
      </c>
      <c r="W391" s="11">
        <v>11230.0</v>
      </c>
      <c r="X391" s="11">
        <v>10730.0</v>
      </c>
      <c r="Y391" s="12"/>
      <c r="Z391" s="12"/>
      <c r="AA391" s="11">
        <v>11080.0</v>
      </c>
      <c r="AB391" s="12"/>
      <c r="AC391" s="12"/>
      <c r="AD391" s="11">
        <v>-12260.0</v>
      </c>
      <c r="AE391" s="11">
        <v>-13520.0</v>
      </c>
      <c r="AF391" s="11">
        <v>11960.0</v>
      </c>
      <c r="AG391" s="11">
        <v>2720.0</v>
      </c>
      <c r="AH391" s="11">
        <v>-4230.0</v>
      </c>
      <c r="AI391" s="11">
        <v>-7600.0</v>
      </c>
      <c r="AJ391" s="11">
        <v>-10350.0</v>
      </c>
      <c r="AK391" s="11">
        <v>8090.0</v>
      </c>
      <c r="AL391" s="11">
        <v>3380.0</v>
      </c>
      <c r="AM391" s="11">
        <v>-3340.0</v>
      </c>
      <c r="AN391" s="11">
        <v>-12350.0</v>
      </c>
      <c r="AO391" s="11">
        <v>-30770.0</v>
      </c>
      <c r="AP391" s="11">
        <v>29990.0</v>
      </c>
      <c r="AQ391" s="11">
        <v>2580.0</v>
      </c>
      <c r="AR391" s="11">
        <v>-4440.0</v>
      </c>
      <c r="AS391" s="11">
        <v>-2220.0</v>
      </c>
      <c r="AT391" s="11">
        <v>308.0</v>
      </c>
      <c r="AU391" s="11">
        <v>14290.0</v>
      </c>
      <c r="AV391" s="11">
        <v>1990.0</v>
      </c>
      <c r="AW391" s="11">
        <v>-1360.0</v>
      </c>
      <c r="AX391" s="11">
        <v>-991.0</v>
      </c>
      <c r="AY391" s="11">
        <v>-1490.0</v>
      </c>
      <c r="AZ391" s="11">
        <v>-855.0</v>
      </c>
      <c r="BA391" s="11">
        <v>-537.0</v>
      </c>
      <c r="BB391" s="11">
        <v>-746.0</v>
      </c>
      <c r="BC391" s="12"/>
      <c r="BD391" s="12"/>
      <c r="BE391" s="12"/>
      <c r="BF391" s="12"/>
      <c r="BG391" s="12"/>
      <c r="BH391" s="11">
        <v>33920.0</v>
      </c>
      <c r="BI391" s="11">
        <v>35580.0</v>
      </c>
      <c r="BJ391" s="11">
        <v>35910.0</v>
      </c>
      <c r="BK391" s="11">
        <v>54070.0</v>
      </c>
      <c r="BL391" s="11">
        <v>48410.0</v>
      </c>
      <c r="BM391" s="11">
        <v>21560.0</v>
      </c>
      <c r="BN391" s="11">
        <v>19640.0</v>
      </c>
      <c r="BO391" s="11">
        <v>20780.0</v>
      </c>
      <c r="BP391" s="11">
        <v>16550.0</v>
      </c>
      <c r="BQ391" s="11">
        <v>11670.0</v>
      </c>
      <c r="BR391" s="11">
        <v>33920.0</v>
      </c>
      <c r="BS391" s="11">
        <v>28010.0</v>
      </c>
      <c r="BT391" s="11">
        <v>28780.0</v>
      </c>
      <c r="BU391" s="11">
        <v>14980.0</v>
      </c>
      <c r="BV391" s="11">
        <v>12080.0</v>
      </c>
      <c r="BW391" s="11">
        <v>95050.0</v>
      </c>
      <c r="BX391" s="11">
        <v>87200.0</v>
      </c>
      <c r="BY391" s="11">
        <v>88370.0</v>
      </c>
      <c r="BZ391" s="11">
        <v>87850.0</v>
      </c>
      <c r="CA391" s="11">
        <v>73830.0</v>
      </c>
      <c r="CB391" s="11">
        <v>10520.0</v>
      </c>
      <c r="CC391" s="11">
        <v>2670.0</v>
      </c>
      <c r="CD391" s="11">
        <v>2100.0</v>
      </c>
      <c r="CE391" s="11">
        <v>1910.0</v>
      </c>
      <c r="CF391" s="11">
        <v>1470.0</v>
      </c>
      <c r="CG391" s="11">
        <v>1340.0</v>
      </c>
      <c r="CH391" s="11">
        <v>1340.0</v>
      </c>
      <c r="CI391" s="11">
        <v>1340.0</v>
      </c>
      <c r="CJ391" s="11">
        <v>1340.0</v>
      </c>
      <c r="CK391" s="11">
        <v>1340.0</v>
      </c>
      <c r="CL391" s="11">
        <v>118800.0</v>
      </c>
      <c r="CM391" s="11">
        <v>97640.0</v>
      </c>
      <c r="CN391" s="11">
        <v>111240.0</v>
      </c>
      <c r="CO391" s="11">
        <v>91850.0</v>
      </c>
      <c r="CP391" s="11">
        <v>77520.0</v>
      </c>
      <c r="CQ391" s="11">
        <v>12690.0</v>
      </c>
      <c r="CR391" s="11">
        <v>11280.0</v>
      </c>
      <c r="CS391" s="11">
        <v>7000.0</v>
      </c>
      <c r="CT391" s="11">
        <v>2600.0</v>
      </c>
      <c r="CU391" s="11">
        <v>1960.0</v>
      </c>
      <c r="CV391" s="11">
        <v>58620.0</v>
      </c>
      <c r="CW391" s="11">
        <v>2800.0</v>
      </c>
      <c r="CX391" s="12"/>
      <c r="CY391" s="12"/>
      <c r="CZ391" s="12"/>
      <c r="DA391" s="12"/>
      <c r="DB391" s="11">
        <v>58620.0</v>
      </c>
      <c r="DC391" s="11">
        <v>47620.0</v>
      </c>
      <c r="DD391" s="11">
        <v>43310.0</v>
      </c>
      <c r="DE391" s="11">
        <v>28390.0</v>
      </c>
      <c r="DF391" s="11">
        <v>72850.0</v>
      </c>
      <c r="DG391" s="11">
        <v>51250.0</v>
      </c>
      <c r="DH391" s="11">
        <v>46350.0</v>
      </c>
      <c r="DI391" s="11">
        <v>30840.0</v>
      </c>
      <c r="DJ391" s="11">
        <v>27480.0</v>
      </c>
      <c r="DK391" s="12"/>
      <c r="DL391" s="12"/>
      <c r="DM391" s="12"/>
      <c r="DN391" s="12"/>
      <c r="DO391" s="12"/>
      <c r="DP391" s="11">
        <v>5690.0</v>
      </c>
      <c r="DQ391" s="12"/>
      <c r="DR391" s="12"/>
      <c r="DS391" s="12"/>
      <c r="DT391" s="12"/>
      <c r="DU391" s="13"/>
      <c r="DV391" s="12"/>
      <c r="DW391" s="12"/>
      <c r="DX391" s="13"/>
      <c r="DY391" s="13"/>
      <c r="DZ391" s="11">
        <v>45940.0</v>
      </c>
      <c r="EA391" s="11">
        <v>46390.0</v>
      </c>
      <c r="EB391" s="11">
        <v>64890.0</v>
      </c>
      <c r="EC391" s="11">
        <v>61010.0</v>
      </c>
      <c r="ED391" s="11">
        <v>50030.0</v>
      </c>
      <c r="EE391" s="14">
        <v>0.122</v>
      </c>
      <c r="EF391" s="14">
        <v>0.229</v>
      </c>
      <c r="EG391" s="14">
        <v>0.635</v>
      </c>
      <c r="EH391" s="14">
        <v>0.298</v>
      </c>
    </row>
    <row r="392">
      <c r="A392" s="9">
        <f t="shared" si="2"/>
        <v>390</v>
      </c>
      <c r="B392" s="10" t="s">
        <v>526</v>
      </c>
      <c r="C392" s="11">
        <v>1070000.0</v>
      </c>
      <c r="D392" s="11">
        <v>953420.0</v>
      </c>
      <c r="E392" s="11">
        <v>1060000.0</v>
      </c>
      <c r="F392" s="11">
        <v>962750.0</v>
      </c>
      <c r="G392" s="11">
        <v>871240.0</v>
      </c>
      <c r="H392" s="11">
        <v>773800.0</v>
      </c>
      <c r="I392" s="11">
        <v>712350.0</v>
      </c>
      <c r="J392" s="11">
        <v>230520.0</v>
      </c>
      <c r="K392" s="11">
        <v>205710.0</v>
      </c>
      <c r="L392" s="11">
        <v>180680.0</v>
      </c>
      <c r="M392" s="11">
        <v>158040.0</v>
      </c>
      <c r="N392" s="11">
        <v>144450.0</v>
      </c>
      <c r="O392" s="11">
        <v>145610.0</v>
      </c>
      <c r="P392" s="11">
        <v>121570.0</v>
      </c>
      <c r="Q392" s="11">
        <v>106910.0</v>
      </c>
      <c r="R392" s="11">
        <v>101230.0</v>
      </c>
      <c r="S392" s="11">
        <v>98100.0</v>
      </c>
      <c r="T392" s="11"/>
      <c r="U392" s="11"/>
      <c r="V392" s="11"/>
      <c r="W392" s="11"/>
      <c r="X392" s="11"/>
      <c r="Y392" s="11">
        <v>82640.0</v>
      </c>
      <c r="Z392" s="11">
        <v>83780.0</v>
      </c>
      <c r="AA392" s="11"/>
      <c r="AB392" s="11"/>
      <c r="AC392" s="12"/>
      <c r="AD392" s="11">
        <v>92980.0</v>
      </c>
      <c r="AE392" s="11">
        <v>86680.0</v>
      </c>
      <c r="AF392" s="11">
        <v>78520.0</v>
      </c>
      <c r="AG392" s="11">
        <v>55280.0</v>
      </c>
      <c r="AH392" s="11">
        <v>44030.0</v>
      </c>
      <c r="AI392" s="11">
        <v>90690.0</v>
      </c>
      <c r="AJ392" s="11">
        <v>88840.0</v>
      </c>
      <c r="AK392" s="11">
        <v>77800.0</v>
      </c>
      <c r="AL392" s="11">
        <v>60490.0</v>
      </c>
      <c r="AM392" s="11">
        <v>50260.0</v>
      </c>
      <c r="AN392" s="11">
        <v>75070.0</v>
      </c>
      <c r="AO392" s="11">
        <v>68620.0</v>
      </c>
      <c r="AP392" s="11">
        <v>61500.0</v>
      </c>
      <c r="AQ392" s="11">
        <v>37960.0</v>
      </c>
      <c r="AR392" s="11">
        <v>28540.0</v>
      </c>
      <c r="AS392" s="11">
        <v>101740.0</v>
      </c>
      <c r="AT392" s="11">
        <v>32840.0</v>
      </c>
      <c r="AU392" s="11">
        <v>59050.0</v>
      </c>
      <c r="AV392" s="11">
        <v>46480.0</v>
      </c>
      <c r="AW392" s="11">
        <v>43440.0</v>
      </c>
      <c r="AX392" s="11">
        <v>-14340.0</v>
      </c>
      <c r="AY392" s="11">
        <v>-7640.0</v>
      </c>
      <c r="AZ392" s="11">
        <v>-8390.0</v>
      </c>
      <c r="BA392" s="11">
        <v>-5300.0</v>
      </c>
      <c r="BB392" s="11">
        <v>-3520.0</v>
      </c>
      <c r="BC392" s="12"/>
      <c r="BD392" s="12"/>
      <c r="BE392" s="12"/>
      <c r="BF392" s="12"/>
      <c r="BG392" s="12"/>
      <c r="BH392" s="11">
        <v>269850.0</v>
      </c>
      <c r="BI392" s="11">
        <v>212140.0</v>
      </c>
      <c r="BJ392" s="11">
        <v>198630.0</v>
      </c>
      <c r="BK392" s="11">
        <v>143830.0</v>
      </c>
      <c r="BL392" s="11">
        <v>107910.0</v>
      </c>
      <c r="BM392" s="11">
        <v>90600.0</v>
      </c>
      <c r="BN392" s="11">
        <v>85990.0</v>
      </c>
      <c r="BO392" s="11">
        <v>71620.0</v>
      </c>
      <c r="BP392" s="11">
        <v>70270.0</v>
      </c>
      <c r="BQ392" s="11">
        <v>54590.0</v>
      </c>
      <c r="BR392" s="11">
        <v>113540.0</v>
      </c>
      <c r="BS392" s="11">
        <v>116200.0</v>
      </c>
      <c r="BT392" s="11">
        <v>109150.0</v>
      </c>
      <c r="BU392" s="11">
        <v>93860.0</v>
      </c>
      <c r="BV392" s="11">
        <v>94810.0</v>
      </c>
      <c r="BW392" s="11">
        <v>516190.0</v>
      </c>
      <c r="BX392" s="11">
        <v>462050.0</v>
      </c>
      <c r="BY392" s="11">
        <v>418590.0</v>
      </c>
      <c r="BZ392" s="11">
        <v>356760.0</v>
      </c>
      <c r="CA392" s="11">
        <v>298720.0</v>
      </c>
      <c r="CB392" s="11">
        <v>91080.0</v>
      </c>
      <c r="CC392" s="11">
        <v>63480.0</v>
      </c>
      <c r="CD392" s="11">
        <v>63360.0</v>
      </c>
      <c r="CE392" s="11">
        <v>56960.0</v>
      </c>
      <c r="CF392" s="11">
        <v>55070.0</v>
      </c>
      <c r="CG392" s="11">
        <v>75090.0</v>
      </c>
      <c r="CH392" s="11">
        <v>72920.0</v>
      </c>
      <c r="CI392" s="11">
        <v>72920.0</v>
      </c>
      <c r="CJ392" s="11">
        <v>69750.0</v>
      </c>
      <c r="CK392" s="11">
        <v>69750.0</v>
      </c>
      <c r="CL392" s="11">
        <v>810430.0</v>
      </c>
      <c r="CM392" s="11">
        <v>725220.0</v>
      </c>
      <c r="CN392" s="11">
        <v>674780.0</v>
      </c>
      <c r="CO392" s="11">
        <v>607320.0</v>
      </c>
      <c r="CP392" s="11">
        <v>553840.0</v>
      </c>
      <c r="CQ392" s="11">
        <v>29920.0</v>
      </c>
      <c r="CR392" s="11">
        <v>29310.0</v>
      </c>
      <c r="CS392" s="11">
        <v>23790.0</v>
      </c>
      <c r="CT392" s="11">
        <v>24010.0</v>
      </c>
      <c r="CU392" s="11">
        <v>18510.0</v>
      </c>
      <c r="CV392" s="11">
        <v>172100.0</v>
      </c>
      <c r="CW392" s="11">
        <v>4170.0</v>
      </c>
      <c r="CX392" s="12"/>
      <c r="CY392" s="12"/>
      <c r="CZ392" s="12"/>
      <c r="DA392" s="12"/>
      <c r="DB392" s="11">
        <v>172100.0</v>
      </c>
      <c r="DC392" s="11">
        <v>174010.0</v>
      </c>
      <c r="DD392" s="11">
        <v>176330.0</v>
      </c>
      <c r="DE392" s="11">
        <v>140220.0</v>
      </c>
      <c r="DF392" s="11">
        <v>202850.0</v>
      </c>
      <c r="DG392" s="11">
        <v>195630.0</v>
      </c>
      <c r="DH392" s="11">
        <v>217670.0</v>
      </c>
      <c r="DI392" s="11">
        <v>212910.0</v>
      </c>
      <c r="DJ392" s="11">
        <v>200610.0</v>
      </c>
      <c r="DK392" s="11">
        <v>31890.0</v>
      </c>
      <c r="DL392" s="11">
        <v>32490.0</v>
      </c>
      <c r="DM392" s="11">
        <v>33570.0</v>
      </c>
      <c r="DN392" s="11">
        <v>30260.0</v>
      </c>
      <c r="DO392" s="11">
        <v>28950.0</v>
      </c>
      <c r="DP392" s="11">
        <v>23450.0</v>
      </c>
      <c r="DQ392" s="11">
        <v>14620.0</v>
      </c>
      <c r="DR392" s="11">
        <v>33770.0</v>
      </c>
      <c r="DS392" s="11">
        <v>51570.0</v>
      </c>
      <c r="DT392" s="11">
        <v>54910.0</v>
      </c>
      <c r="DU392" s="12"/>
      <c r="DV392" s="12"/>
      <c r="DW392" s="12"/>
      <c r="DX392" s="12"/>
      <c r="DY392" s="12"/>
      <c r="DZ392" s="11">
        <v>607590.0</v>
      </c>
      <c r="EA392" s="11">
        <v>529590.0</v>
      </c>
      <c r="EB392" s="11">
        <v>457110.0</v>
      </c>
      <c r="EC392" s="11">
        <v>394410.0</v>
      </c>
      <c r="ED392" s="11">
        <v>353230.0</v>
      </c>
      <c r="EE392" s="14">
        <v>0.058</v>
      </c>
      <c r="EF392" s="14">
        <v>0.019</v>
      </c>
      <c r="EG392" s="14">
        <v>-0.168</v>
      </c>
      <c r="EH392" s="14">
        <v>0.082</v>
      </c>
    </row>
    <row r="393">
      <c r="A393" s="9">
        <f t="shared" si="2"/>
        <v>391</v>
      </c>
      <c r="B393" s="10" t="s">
        <v>527</v>
      </c>
      <c r="C393" s="15">
        <v>1280000.0</v>
      </c>
      <c r="D393" s="15">
        <v>1190000.0</v>
      </c>
      <c r="E393" s="15">
        <v>1200000.0</v>
      </c>
      <c r="F393" s="15">
        <v>1090000.0</v>
      </c>
      <c r="G393" s="15">
        <v>1080000.0</v>
      </c>
      <c r="H393" s="15">
        <v>935680.0</v>
      </c>
      <c r="I393" s="15">
        <v>856820.0</v>
      </c>
      <c r="J393" s="15">
        <v>128080.0</v>
      </c>
      <c r="K393" s="15">
        <v>113620.0</v>
      </c>
      <c r="L393" s="15">
        <v>114540.0</v>
      </c>
      <c r="M393" s="15">
        <v>107530.0</v>
      </c>
      <c r="N393" s="15">
        <v>85230.0</v>
      </c>
      <c r="O393" s="15">
        <v>59110.0</v>
      </c>
      <c r="P393" s="15">
        <v>56180.0</v>
      </c>
      <c r="Q393" s="15">
        <v>55050.0</v>
      </c>
      <c r="R393" s="15">
        <v>46440.0</v>
      </c>
      <c r="S393" s="15">
        <v>41560.0</v>
      </c>
      <c r="T393" s="15">
        <v>100.0</v>
      </c>
      <c r="U393" s="15"/>
      <c r="V393" s="15"/>
      <c r="W393" s="15"/>
      <c r="X393" s="15"/>
      <c r="Y393" s="15">
        <v>59350.0</v>
      </c>
      <c r="Z393" s="15">
        <v>56540.0</v>
      </c>
      <c r="AA393" s="15">
        <v>-1600.0</v>
      </c>
      <c r="AB393" s="15"/>
      <c r="AC393" s="15"/>
      <c r="AD393" s="15">
        <v>63550.0</v>
      </c>
      <c r="AE393" s="15">
        <v>56580.0</v>
      </c>
      <c r="AF393" s="15">
        <v>57370.0</v>
      </c>
      <c r="AG393" s="15">
        <v>60330.0</v>
      </c>
      <c r="AH393" s="15">
        <v>43290.0</v>
      </c>
      <c r="AI393" s="15">
        <v>82600.0</v>
      </c>
      <c r="AJ393" s="15">
        <v>70480.0</v>
      </c>
      <c r="AK393" s="15">
        <v>70180.0</v>
      </c>
      <c r="AL393" s="15">
        <v>69910.0</v>
      </c>
      <c r="AM393" s="15">
        <v>51710.0</v>
      </c>
      <c r="AN393" s="15">
        <v>36650.0</v>
      </c>
      <c r="AO393" s="15">
        <v>32280.0</v>
      </c>
      <c r="AP393" s="15">
        <v>37270.0</v>
      </c>
      <c r="AQ393" s="15">
        <v>38020.0</v>
      </c>
      <c r="AR393" s="15">
        <v>27200.0</v>
      </c>
      <c r="AS393" s="15">
        <v>72100.0</v>
      </c>
      <c r="AT393" s="15">
        <v>48430.0</v>
      </c>
      <c r="AU393" s="15">
        <v>62140.0</v>
      </c>
      <c r="AV393" s="15">
        <v>61970.0</v>
      </c>
      <c r="AW393" s="15">
        <v>37280.0</v>
      </c>
      <c r="AX393" s="15">
        <v>-16720.0</v>
      </c>
      <c r="AY393" s="15">
        <v>-15000.0</v>
      </c>
      <c r="AZ393" s="15">
        <v>-44510.0</v>
      </c>
      <c r="BA393" s="15">
        <v>-21860.0</v>
      </c>
      <c r="BB393" s="15">
        <v>-18100.0</v>
      </c>
      <c r="BC393" s="15">
        <v>-17570.0</v>
      </c>
      <c r="BD393" s="15">
        <v>-16660.0</v>
      </c>
      <c r="BE393" s="15">
        <v>-15700.0</v>
      </c>
      <c r="BF393" s="15">
        <v>-13910.0</v>
      </c>
      <c r="BG393" s="15">
        <v>-12970.0</v>
      </c>
      <c r="BH393" s="15">
        <v>7970.0</v>
      </c>
      <c r="BI393" s="15">
        <v>1520.0</v>
      </c>
      <c r="BJ393" s="15">
        <v>6630.0</v>
      </c>
      <c r="BK393" s="15">
        <v>13840.0</v>
      </c>
      <c r="BL393" s="15">
        <v>7170.0</v>
      </c>
      <c r="BM393" s="15">
        <v>71590.0</v>
      </c>
      <c r="BN393" s="15">
        <v>74560.0</v>
      </c>
      <c r="BO393" s="15">
        <v>75830.0</v>
      </c>
      <c r="BP393" s="15">
        <v>82040.0</v>
      </c>
      <c r="BQ393" s="15">
        <v>77020.0</v>
      </c>
      <c r="BR393" s="15">
        <v>44230.0</v>
      </c>
      <c r="BS393" s="15">
        <v>40600.0</v>
      </c>
      <c r="BT393" s="15">
        <v>35200.0</v>
      </c>
      <c r="BU393" s="15">
        <v>36270.0</v>
      </c>
      <c r="BV393" s="15">
        <v>29170.0</v>
      </c>
      <c r="BW393" s="15">
        <v>127520.0</v>
      </c>
      <c r="BX393" s="15">
        <v>128510.0</v>
      </c>
      <c r="BY393" s="15">
        <v>119830.0</v>
      </c>
      <c r="BZ393" s="15">
        <v>134950.0</v>
      </c>
      <c r="CA393" s="15">
        <v>116820.0</v>
      </c>
      <c r="CB393" s="15">
        <v>132100.0</v>
      </c>
      <c r="CC393" s="15">
        <v>122140.0</v>
      </c>
      <c r="CD393" s="15">
        <v>120070.0</v>
      </c>
      <c r="CE393" s="15">
        <v>87840.0</v>
      </c>
      <c r="CF393" s="15">
        <v>69450.0</v>
      </c>
      <c r="CG393" s="15">
        <v>18260.0</v>
      </c>
      <c r="CH393" s="15">
        <v>18260.0</v>
      </c>
      <c r="CI393" s="15">
        <v>18260.0</v>
      </c>
      <c r="CJ393" s="15">
        <v>18260.0</v>
      </c>
      <c r="CK393" s="15">
        <v>18260.0</v>
      </c>
      <c r="CL393" s="15">
        <v>390360.0</v>
      </c>
      <c r="CM393" s="15">
        <v>367740.0</v>
      </c>
      <c r="CN393" s="15">
        <v>364120.0</v>
      </c>
      <c r="CO393" s="15">
        <v>327930.0</v>
      </c>
      <c r="CP393" s="15">
        <v>284950.0</v>
      </c>
      <c r="CQ393" s="15">
        <v>30880.0</v>
      </c>
      <c r="CR393" s="15">
        <v>27740.0</v>
      </c>
      <c r="CS393" s="15">
        <v>39440.0</v>
      </c>
      <c r="CT393" s="15">
        <v>43410.0</v>
      </c>
      <c r="CU393" s="15">
        <v>23520.0</v>
      </c>
      <c r="CV393" s="15">
        <v>90630.0</v>
      </c>
      <c r="CW393" s="15"/>
      <c r="CX393" s="15">
        <v>15000.0</v>
      </c>
      <c r="CY393" s="15">
        <v>20000.0</v>
      </c>
      <c r="CZ393" s="15">
        <v>19000.0</v>
      </c>
      <c r="DA393" s="15">
        <v>36910.0</v>
      </c>
      <c r="DB393" s="15">
        <v>90630.0</v>
      </c>
      <c r="DC393" s="15">
        <v>98940.0</v>
      </c>
      <c r="DD393" s="15">
        <v>116170.0</v>
      </c>
      <c r="DE393" s="15">
        <v>109340.0</v>
      </c>
      <c r="DF393" s="15">
        <v>104490.0</v>
      </c>
      <c r="DG393" s="15">
        <v>102780.0</v>
      </c>
      <c r="DH393" s="15">
        <v>120000.0</v>
      </c>
      <c r="DI393" s="15">
        <v>112090.0</v>
      </c>
      <c r="DJ393" s="15">
        <v>98680.0</v>
      </c>
      <c r="DK393" s="15">
        <v>42460.0</v>
      </c>
      <c r="DL393" s="15">
        <v>67410.0</v>
      </c>
      <c r="DM393" s="15">
        <v>73380.0</v>
      </c>
      <c r="DN393" s="15">
        <v>58690.0</v>
      </c>
      <c r="DO393" s="15">
        <v>47140.0</v>
      </c>
      <c r="DP393" s="15">
        <v>5410.0</v>
      </c>
      <c r="DQ393" s="15">
        <v>314.0</v>
      </c>
      <c r="DR393" s="15">
        <v>439.0</v>
      </c>
      <c r="DS393" s="15">
        <v>445.0</v>
      </c>
      <c r="DT393" s="15">
        <v>586.0</v>
      </c>
      <c r="DU393" s="13"/>
      <c r="DV393" s="12"/>
      <c r="DW393" s="12"/>
      <c r="DX393" s="13"/>
      <c r="DY393" s="13"/>
      <c r="DZ393" s="15">
        <v>284180.0</v>
      </c>
      <c r="EA393" s="15">
        <v>263210.0</v>
      </c>
      <c r="EB393" s="15">
        <v>243110.0</v>
      </c>
      <c r="EC393" s="15">
        <v>214110.0</v>
      </c>
      <c r="ED393" s="15">
        <v>184970.0</v>
      </c>
      <c r="EE393" s="17">
        <v>0.076</v>
      </c>
      <c r="EF393" s="17">
        <v>0.055</v>
      </c>
      <c r="EG393" s="17">
        <v>-0.167</v>
      </c>
      <c r="EH393" s="17">
        <v>-0.251</v>
      </c>
    </row>
    <row r="394">
      <c r="A394" s="9">
        <f t="shared" si="2"/>
        <v>392</v>
      </c>
      <c r="B394" s="10" t="s">
        <v>528</v>
      </c>
      <c r="C394" s="11">
        <v>2.7434E8</v>
      </c>
      <c r="D394" s="11">
        <v>2.6542E8</v>
      </c>
      <c r="E394" s="11">
        <v>2.5658E8</v>
      </c>
      <c r="F394" s="11">
        <v>1.9458E8</v>
      </c>
      <c r="G394" s="11">
        <v>1.8479E8</v>
      </c>
      <c r="H394" s="11">
        <v>1.7753E8</v>
      </c>
      <c r="I394" s="11">
        <v>1.5329E8</v>
      </c>
      <c r="J394" s="11">
        <v>4.533E7</v>
      </c>
      <c r="K394" s="11">
        <v>3.154E7</v>
      </c>
      <c r="L394" s="11">
        <v>2.853E7</v>
      </c>
      <c r="M394" s="11">
        <v>2.89E7</v>
      </c>
      <c r="N394" s="11">
        <v>2.653E7</v>
      </c>
      <c r="O394" s="11">
        <v>3.263E7</v>
      </c>
      <c r="P394" s="11">
        <v>2.075E7</v>
      </c>
      <c r="Q394" s="11">
        <v>1.852E7</v>
      </c>
      <c r="R394" s="11">
        <v>1.827E7</v>
      </c>
      <c r="S394" s="11">
        <v>1.685E7</v>
      </c>
      <c r="T394" s="12"/>
      <c r="U394" s="12"/>
      <c r="V394" s="12"/>
      <c r="W394" s="12"/>
      <c r="X394" s="12"/>
      <c r="Y394" s="11">
        <v>1.191E7</v>
      </c>
      <c r="Z394" s="11">
        <v>4110000.0</v>
      </c>
      <c r="AA394" s="11">
        <v>-470000.0</v>
      </c>
      <c r="AB394" s="11">
        <v>9700000.0</v>
      </c>
      <c r="AC394" s="11">
        <v>-220000.0</v>
      </c>
      <c r="AD394" s="11">
        <v>9000000.0</v>
      </c>
      <c r="AE394" s="11">
        <v>1410000.0</v>
      </c>
      <c r="AF394" s="11">
        <v>8270000.0</v>
      </c>
      <c r="AG394" s="11">
        <v>8640000.0</v>
      </c>
      <c r="AH394" s="11">
        <v>8620000.0</v>
      </c>
      <c r="AI394" s="11">
        <v>1.704E7</v>
      </c>
      <c r="AJ394" s="11">
        <v>1.349E7</v>
      </c>
      <c r="AK394" s="11">
        <v>1.253E7</v>
      </c>
      <c r="AL394" s="11">
        <v>1.313E7</v>
      </c>
      <c r="AM394" s="11">
        <v>1.179E7</v>
      </c>
      <c r="AN394" s="11">
        <v>6630000.0</v>
      </c>
      <c r="AO394" s="11">
        <v>-597000.0</v>
      </c>
      <c r="AP394" s="11">
        <v>6610000.0</v>
      </c>
      <c r="AQ394" s="11">
        <v>5290000.0</v>
      </c>
      <c r="AR394" s="11">
        <v>5200000.0</v>
      </c>
      <c r="AS394" s="11">
        <v>1.285E7</v>
      </c>
      <c r="AT394" s="11">
        <v>8870000.0</v>
      </c>
      <c r="AU394" s="11">
        <v>8010000.0</v>
      </c>
      <c r="AV394" s="11">
        <v>1.007E7</v>
      </c>
      <c r="AW394" s="11">
        <v>8410000.0</v>
      </c>
      <c r="AX394" s="11">
        <v>-2460000.0</v>
      </c>
      <c r="AY394" s="11">
        <v>-2040000.0</v>
      </c>
      <c r="AZ394" s="11">
        <v>-1920000.0</v>
      </c>
      <c r="BA394" s="11">
        <v>-2220000.0</v>
      </c>
      <c r="BB394" s="11">
        <v>-2370000.0</v>
      </c>
      <c r="BC394" s="11">
        <v>-2600000.0</v>
      </c>
      <c r="BD394" s="11">
        <v>-2040000.0</v>
      </c>
      <c r="BE394" s="11">
        <v>-2050000.0</v>
      </c>
      <c r="BF394" s="11">
        <v>-1840000.0</v>
      </c>
      <c r="BG394" s="11">
        <v>-1580000.0</v>
      </c>
      <c r="BH394" s="11">
        <v>8060000.0</v>
      </c>
      <c r="BI394" s="11">
        <v>6590000.0</v>
      </c>
      <c r="BJ394" s="11">
        <v>1820000.0</v>
      </c>
      <c r="BK394" s="11">
        <v>3460000.0</v>
      </c>
      <c r="BL394" s="11">
        <v>2550000.0</v>
      </c>
      <c r="BM394" s="11">
        <v>1.962E7</v>
      </c>
      <c r="BN394" s="11">
        <v>1.763E7</v>
      </c>
      <c r="BO394" s="11">
        <v>1.318E7</v>
      </c>
      <c r="BP394" s="11">
        <v>1.216E7</v>
      </c>
      <c r="BQ394" s="11">
        <v>1.189E7</v>
      </c>
      <c r="BR394" s="11">
        <v>1.752E7</v>
      </c>
      <c r="BS394" s="11">
        <v>1.645E7</v>
      </c>
      <c r="BT394" s="11">
        <v>1.53E7</v>
      </c>
      <c r="BU394" s="11">
        <v>1.476E7</v>
      </c>
      <c r="BV394" s="11">
        <v>1.4E7</v>
      </c>
      <c r="BW394" s="11">
        <v>5.03E7</v>
      </c>
      <c r="BX394" s="11">
        <v>4.524E7</v>
      </c>
      <c r="BY394" s="11">
        <v>3.123E7</v>
      </c>
      <c r="BZ394" s="11">
        <v>3.104E7</v>
      </c>
      <c r="CA394" s="11">
        <v>2.916E7</v>
      </c>
      <c r="CB394" s="11">
        <v>3.29E7</v>
      </c>
      <c r="CC394" s="11">
        <v>1.135E7</v>
      </c>
      <c r="CD394" s="11">
        <v>1.029E7</v>
      </c>
      <c r="CE394" s="11">
        <v>1.018E7</v>
      </c>
      <c r="CF394" s="11">
        <v>9860000.0</v>
      </c>
      <c r="CG394" s="11">
        <v>7.975E7</v>
      </c>
      <c r="CH394" s="11">
        <v>7.868E7</v>
      </c>
      <c r="CI394" s="11">
        <v>3.845E7</v>
      </c>
      <c r="CJ394" s="11">
        <v>3.825E7</v>
      </c>
      <c r="CK394" s="11">
        <v>3.811E7</v>
      </c>
      <c r="CL394" s="11">
        <v>2.2429E8</v>
      </c>
      <c r="CM394" s="11">
        <v>1.9821E8</v>
      </c>
      <c r="CN394" s="11">
        <v>9.606E7</v>
      </c>
      <c r="CO394" s="11">
        <v>9.446E7</v>
      </c>
      <c r="CP394" s="11">
        <v>9.244E7</v>
      </c>
      <c r="CQ394" s="11">
        <v>3.097E7</v>
      </c>
      <c r="CR394" s="11">
        <v>2.644E7</v>
      </c>
      <c r="CS394" s="11">
        <v>1.922E7</v>
      </c>
      <c r="CT394" s="11">
        <v>1.74E7</v>
      </c>
      <c r="CU394" s="11">
        <v>1.514E7</v>
      </c>
      <c r="CV394" s="11">
        <v>5.33E7</v>
      </c>
      <c r="CW394" s="11">
        <v>1600000.0</v>
      </c>
      <c r="CX394" s="11">
        <v>720000.0</v>
      </c>
      <c r="CY394" s="11">
        <v>1280000.0</v>
      </c>
      <c r="CZ394" s="11">
        <v>1870000.0</v>
      </c>
      <c r="DA394" s="12"/>
      <c r="DB394" s="11">
        <v>5.33E7</v>
      </c>
      <c r="DC394" s="11">
        <v>4.401E7</v>
      </c>
      <c r="DD394" s="11">
        <v>3.065E7</v>
      </c>
      <c r="DE394" s="11">
        <v>2.625E7</v>
      </c>
      <c r="DF394" s="11">
        <v>1.6012E8</v>
      </c>
      <c r="DG394" s="11">
        <v>1.3967E8</v>
      </c>
      <c r="DH394" s="11">
        <v>5.837E7</v>
      </c>
      <c r="DI394" s="11">
        <v>5.763E7</v>
      </c>
      <c r="DJ394" s="11">
        <v>5.52E7</v>
      </c>
      <c r="DK394" s="11">
        <v>1.759E7</v>
      </c>
      <c r="DL394" s="11">
        <v>1.596E7</v>
      </c>
      <c r="DM394" s="11">
        <v>302000.0</v>
      </c>
      <c r="DN394" s="12"/>
      <c r="DO394" s="13"/>
      <c r="DP394" s="11">
        <v>8.363E7</v>
      </c>
      <c r="DQ394" s="11">
        <v>7.144E7</v>
      </c>
      <c r="DR394" s="11">
        <v>2.218E7</v>
      </c>
      <c r="DS394" s="11">
        <v>2.562E7</v>
      </c>
      <c r="DT394" s="11">
        <v>2.627E7</v>
      </c>
      <c r="DU394" s="13"/>
      <c r="DV394" s="12"/>
      <c r="DW394" s="12"/>
      <c r="DX394" s="12"/>
      <c r="DY394" s="13"/>
      <c r="DZ394" s="11">
        <v>6.386E7</v>
      </c>
      <c r="EA394" s="11">
        <v>5.823E7</v>
      </c>
      <c r="EB394" s="11">
        <v>3.769E7</v>
      </c>
      <c r="EC394" s="11">
        <v>3.683E7</v>
      </c>
      <c r="ED394" s="11">
        <v>3.72E7</v>
      </c>
      <c r="EE394" s="14">
        <v>0.037</v>
      </c>
      <c r="EF394" s="14">
        <v>0.065</v>
      </c>
      <c r="EG394" s="14">
        <v>0.172</v>
      </c>
      <c r="EH394" s="14">
        <v>0.09</v>
      </c>
    </row>
    <row r="395">
      <c r="A395" s="9">
        <f t="shared" si="2"/>
        <v>393</v>
      </c>
      <c r="B395" s="10" t="s">
        <v>529</v>
      </c>
      <c r="C395" s="15">
        <v>115300.0</v>
      </c>
      <c r="D395" s="15">
        <v>103000.0</v>
      </c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3"/>
      <c r="DV395" s="12"/>
      <c r="DW395" s="12"/>
      <c r="DX395" s="12"/>
      <c r="DY395" s="12"/>
      <c r="DZ395" s="12"/>
      <c r="EA395" s="12"/>
      <c r="EB395" s="12"/>
      <c r="EC395" s="12"/>
      <c r="ED395" s="12"/>
      <c r="EE395" s="17">
        <v>0.0</v>
      </c>
      <c r="EF395" s="17">
        <v>0.0</v>
      </c>
      <c r="EG395" s="17">
        <v>-0.222</v>
      </c>
      <c r="EH395" s="17">
        <v>0.132</v>
      </c>
    </row>
    <row r="396">
      <c r="A396" s="9">
        <f t="shared" si="2"/>
        <v>394</v>
      </c>
      <c r="B396" s="10" t="s">
        <v>530</v>
      </c>
      <c r="C396" s="11">
        <v>2420000.0</v>
      </c>
      <c r="D396" s="11">
        <v>2360000.0</v>
      </c>
      <c r="E396" s="11">
        <v>2490000.0</v>
      </c>
      <c r="F396" s="11">
        <v>2410000.0</v>
      </c>
      <c r="G396" s="11">
        <v>2270000.0</v>
      </c>
      <c r="H396" s="11">
        <v>2110000.0</v>
      </c>
      <c r="I396" s="11">
        <v>2210000.0</v>
      </c>
      <c r="J396" s="11">
        <v>898750.0</v>
      </c>
      <c r="K396" s="11">
        <v>871260.0</v>
      </c>
      <c r="L396" s="11">
        <v>800790.0</v>
      </c>
      <c r="M396" s="11">
        <v>750480.0</v>
      </c>
      <c r="N396" s="11">
        <v>783260.0</v>
      </c>
      <c r="O396" s="11">
        <v>489660.0</v>
      </c>
      <c r="P396" s="11">
        <v>495490.0</v>
      </c>
      <c r="Q396" s="11">
        <v>481410.0</v>
      </c>
      <c r="R396" s="11">
        <v>439780.0</v>
      </c>
      <c r="S396" s="11">
        <v>469900.0</v>
      </c>
      <c r="T396" s="11">
        <v>72520.0</v>
      </c>
      <c r="U396" s="11">
        <v>64530.0</v>
      </c>
      <c r="V396" s="11">
        <v>61390.0</v>
      </c>
      <c r="W396" s="11">
        <v>58590.0</v>
      </c>
      <c r="X396" s="11">
        <v>60840.0</v>
      </c>
      <c r="Y396" s="11">
        <v>411150.0</v>
      </c>
      <c r="Z396" s="11">
        <v>369130.0</v>
      </c>
      <c r="AA396" s="11">
        <v>346.0</v>
      </c>
      <c r="AB396" s="11">
        <v>299200.0</v>
      </c>
      <c r="AC396" s="11">
        <v>-11040.0</v>
      </c>
      <c r="AD396" s="11">
        <v>396460.0</v>
      </c>
      <c r="AE396" s="11">
        <v>356240.0</v>
      </c>
      <c r="AF396" s="11">
        <v>299620.0</v>
      </c>
      <c r="AG396" s="11">
        <v>267960.0</v>
      </c>
      <c r="AH396" s="11">
        <v>275190.0</v>
      </c>
      <c r="AI396" s="11">
        <v>511490.0</v>
      </c>
      <c r="AJ396" s="11">
        <v>478720.0</v>
      </c>
      <c r="AK396" s="11">
        <v>419370.0</v>
      </c>
      <c r="AL396" s="11">
        <v>406720.0</v>
      </c>
      <c r="AM396" s="11">
        <v>414170.0</v>
      </c>
      <c r="AN396" s="11">
        <v>307580.0</v>
      </c>
      <c r="AO396" s="11">
        <v>275750.0</v>
      </c>
      <c r="AP396" s="11">
        <v>214890.0</v>
      </c>
      <c r="AQ396" s="11">
        <v>189380.0</v>
      </c>
      <c r="AR396" s="11">
        <v>192250.0</v>
      </c>
      <c r="AS396" s="11">
        <v>421400.0</v>
      </c>
      <c r="AT396" s="11">
        <v>336270.0</v>
      </c>
      <c r="AU396" s="11">
        <v>388710.0</v>
      </c>
      <c r="AV396" s="11">
        <v>423200.0</v>
      </c>
      <c r="AW396" s="11">
        <v>162480.0</v>
      </c>
      <c r="AX396" s="11">
        <v>-69750.0</v>
      </c>
      <c r="AY396" s="11">
        <v>-54960.0</v>
      </c>
      <c r="AZ396" s="11">
        <v>-52710.0</v>
      </c>
      <c r="BA396" s="11">
        <v>-46780.0</v>
      </c>
      <c r="BB396" s="11">
        <v>-35510.0</v>
      </c>
      <c r="BC396" s="11">
        <v>-28200.0</v>
      </c>
      <c r="BD396" s="11">
        <v>-26330.0</v>
      </c>
      <c r="BE396" s="11">
        <v>-24740.0</v>
      </c>
      <c r="BF396" s="11">
        <v>-23070.0</v>
      </c>
      <c r="BG396" s="11">
        <v>-24120.0</v>
      </c>
      <c r="BH396" s="11">
        <v>391030.0</v>
      </c>
      <c r="BI396" s="11">
        <v>276070.0</v>
      </c>
      <c r="BJ396" s="11">
        <v>475120.0</v>
      </c>
      <c r="BK396" s="11">
        <v>553850.0</v>
      </c>
      <c r="BL396" s="11">
        <v>288700.0</v>
      </c>
      <c r="BM396" s="11">
        <v>632190.0</v>
      </c>
      <c r="BN396" s="11">
        <v>593760.0</v>
      </c>
      <c r="BO396" s="11">
        <v>494920.0</v>
      </c>
      <c r="BP396" s="11">
        <v>463060.0</v>
      </c>
      <c r="BQ396" s="11">
        <v>566290.0</v>
      </c>
      <c r="BR396" s="11">
        <v>424840.0</v>
      </c>
      <c r="BS396" s="11">
        <v>423430.0</v>
      </c>
      <c r="BT396" s="11">
        <v>378870.0</v>
      </c>
      <c r="BU396" s="11">
        <v>366970.0</v>
      </c>
      <c r="BV396" s="11">
        <v>379590.0</v>
      </c>
      <c r="BW396" s="11">
        <v>1530000.0</v>
      </c>
      <c r="BX396" s="11">
        <v>1340000.0</v>
      </c>
      <c r="BY396" s="11">
        <v>1400000.0</v>
      </c>
      <c r="BZ396" s="11">
        <v>1410000.0</v>
      </c>
      <c r="CA396" s="11">
        <v>1270000.0</v>
      </c>
      <c r="CB396" s="11">
        <v>551080.0</v>
      </c>
      <c r="CC396" s="11">
        <v>374660.0</v>
      </c>
      <c r="CD396" s="11">
        <v>390240.0</v>
      </c>
      <c r="CE396" s="11">
        <v>388900.0</v>
      </c>
      <c r="CF396" s="11">
        <v>413640.0</v>
      </c>
      <c r="CG396" s="11">
        <v>1170000.0</v>
      </c>
      <c r="CH396" s="11">
        <v>1090000.0</v>
      </c>
      <c r="CI396" s="11">
        <v>1100000.0</v>
      </c>
      <c r="CJ396" s="11">
        <v>951060.0</v>
      </c>
      <c r="CK396" s="11">
        <v>972610.0</v>
      </c>
      <c r="CL396" s="11">
        <v>3760000.0</v>
      </c>
      <c r="CM396" s="11">
        <v>3260000.0</v>
      </c>
      <c r="CN396" s="11">
        <v>3240000.0</v>
      </c>
      <c r="CO396" s="11">
        <v>3040000.0</v>
      </c>
      <c r="CP396" s="11">
        <v>2990000.0</v>
      </c>
      <c r="CQ396" s="11">
        <v>222000.0</v>
      </c>
      <c r="CR396" s="11">
        <v>232980.0</v>
      </c>
      <c r="CS396" s="11">
        <v>185180.0</v>
      </c>
      <c r="CT396" s="11">
        <v>177910.0</v>
      </c>
      <c r="CU396" s="11">
        <v>163290.0</v>
      </c>
      <c r="CV396" s="11">
        <v>744730.0</v>
      </c>
      <c r="CW396" s="11">
        <v>26770.0</v>
      </c>
      <c r="CX396" s="13"/>
      <c r="CY396" s="13"/>
      <c r="CZ396" s="13"/>
      <c r="DA396" s="13"/>
      <c r="DB396" s="11">
        <v>744730.0</v>
      </c>
      <c r="DC396" s="11">
        <v>687330.0</v>
      </c>
      <c r="DD396" s="11">
        <v>591000.0</v>
      </c>
      <c r="DE396" s="11">
        <v>675260.0</v>
      </c>
      <c r="DF396" s="11">
        <v>1990000.0</v>
      </c>
      <c r="DG396" s="11">
        <v>1720000.0</v>
      </c>
      <c r="DH396" s="11">
        <v>1710000.0</v>
      </c>
      <c r="DI396" s="11">
        <v>1750000.0</v>
      </c>
      <c r="DJ396" s="11">
        <v>1730000.0</v>
      </c>
      <c r="DK396" s="12"/>
      <c r="DL396" s="12"/>
      <c r="DM396" s="12"/>
      <c r="DN396" s="12"/>
      <c r="DO396" s="12"/>
      <c r="DP396" s="11">
        <v>916750.0</v>
      </c>
      <c r="DQ396" s="11">
        <v>762310.0</v>
      </c>
      <c r="DR396" s="11">
        <v>813990.0</v>
      </c>
      <c r="DS396" s="11">
        <v>815630.0</v>
      </c>
      <c r="DT396" s="11">
        <v>951950.0</v>
      </c>
      <c r="DU396" s="13"/>
      <c r="DV396" s="13"/>
      <c r="DW396" s="13"/>
      <c r="DX396" s="13"/>
      <c r="DY396" s="13"/>
      <c r="DZ396" s="11">
        <v>1770000.0</v>
      </c>
      <c r="EA396" s="11">
        <v>1530000.0</v>
      </c>
      <c r="EB396" s="11">
        <v>1530000.0</v>
      </c>
      <c r="EC396" s="11">
        <v>1290000.0</v>
      </c>
      <c r="ED396" s="11">
        <v>1260000.0</v>
      </c>
      <c r="EE396" s="14">
        <v>0.038</v>
      </c>
      <c r="EF396" s="14">
        <v>0.079</v>
      </c>
      <c r="EG396" s="14">
        <v>0.039</v>
      </c>
      <c r="EH396" s="14">
        <v>0.049</v>
      </c>
    </row>
    <row r="397">
      <c r="A397" s="9">
        <f t="shared" si="2"/>
        <v>395</v>
      </c>
      <c r="B397" s="25" t="s">
        <v>531</v>
      </c>
      <c r="C397" s="15">
        <v>5330000.0</v>
      </c>
      <c r="D397" s="15">
        <v>5090000.0</v>
      </c>
      <c r="E397" s="15">
        <v>4890000.0</v>
      </c>
      <c r="F397" s="15">
        <v>4790000.0</v>
      </c>
      <c r="G397" s="15">
        <v>4280000.0</v>
      </c>
      <c r="H397" s="15">
        <v>3520000.0</v>
      </c>
      <c r="I397" s="15">
        <v>3290000.0</v>
      </c>
      <c r="J397" s="15">
        <v>1270000.0</v>
      </c>
      <c r="K397" s="15">
        <v>1310000.0</v>
      </c>
      <c r="L397" s="15">
        <v>1210000.0</v>
      </c>
      <c r="M397" s="15">
        <v>971730.0</v>
      </c>
      <c r="N397" s="15">
        <v>879160.0</v>
      </c>
      <c r="O397" s="15">
        <v>1140000.0</v>
      </c>
      <c r="P397" s="15">
        <v>1070000.0</v>
      </c>
      <c r="Q397" s="15">
        <v>853160.0</v>
      </c>
      <c r="R397" s="15">
        <v>691880.0</v>
      </c>
      <c r="S397" s="15">
        <v>634890.0</v>
      </c>
      <c r="T397" s="15"/>
      <c r="U397" s="15"/>
      <c r="V397" s="12"/>
      <c r="W397" s="15"/>
      <c r="X397" s="15"/>
      <c r="Y397" s="15">
        <v>20240.0</v>
      </c>
      <c r="Z397" s="15">
        <v>202150.0</v>
      </c>
      <c r="AA397" s="15">
        <v>-849.0</v>
      </c>
      <c r="AB397" s="15">
        <v>-6270.0</v>
      </c>
      <c r="AC397" s="12"/>
      <c r="AD397" s="15">
        <v>-90720.0</v>
      </c>
      <c r="AE397" s="15">
        <v>96370.0</v>
      </c>
      <c r="AF397" s="15">
        <v>385600.0</v>
      </c>
      <c r="AG397" s="15">
        <v>206970.0</v>
      </c>
      <c r="AH397" s="15">
        <v>179890.0</v>
      </c>
      <c r="AI397" s="15">
        <v>247900.0</v>
      </c>
      <c r="AJ397" s="15">
        <v>293570.0</v>
      </c>
      <c r="AK397" s="15">
        <v>387750.0</v>
      </c>
      <c r="AL397" s="15">
        <v>304540.0</v>
      </c>
      <c r="AM397" s="15">
        <v>268370.0</v>
      </c>
      <c r="AN397" s="15">
        <v>-60590.0</v>
      </c>
      <c r="AO397" s="15">
        <v>10400.0</v>
      </c>
      <c r="AP397" s="15">
        <v>29850.0</v>
      </c>
      <c r="AQ397" s="15">
        <v>1590.0</v>
      </c>
      <c r="AR397" s="15">
        <v>178530.0</v>
      </c>
      <c r="AS397" s="15">
        <v>306340.0</v>
      </c>
      <c r="AT397" s="15">
        <v>136290.0</v>
      </c>
      <c r="AU397" s="15">
        <v>-16320.0</v>
      </c>
      <c r="AV397" s="15">
        <v>223170.0</v>
      </c>
      <c r="AW397" s="15">
        <v>105930.0</v>
      </c>
      <c r="AX397" s="15">
        <v>-56790.0</v>
      </c>
      <c r="AY397" s="15">
        <v>-133560.0</v>
      </c>
      <c r="AZ397" s="15">
        <v>-61080.0</v>
      </c>
      <c r="BA397" s="15">
        <v>-56860.0</v>
      </c>
      <c r="BB397" s="15">
        <v>-71710.0</v>
      </c>
      <c r="BC397" s="15">
        <v>-93070.0</v>
      </c>
      <c r="BD397" s="15">
        <v>-124450.0</v>
      </c>
      <c r="BE397" s="15">
        <v>-171870.0</v>
      </c>
      <c r="BF397" s="15">
        <v>-237660.0</v>
      </c>
      <c r="BG397" s="15">
        <v>-228890.0</v>
      </c>
      <c r="BH397" s="15">
        <v>147520.0</v>
      </c>
      <c r="BI397" s="15">
        <v>138560.0</v>
      </c>
      <c r="BJ397" s="15">
        <v>224160.0</v>
      </c>
      <c r="BK397" s="15">
        <v>114200.0</v>
      </c>
      <c r="BL397" s="15">
        <v>92030.0</v>
      </c>
      <c r="BM397" s="15">
        <v>126790.0</v>
      </c>
      <c r="BN397" s="15">
        <v>138930.0</v>
      </c>
      <c r="BO397" s="15">
        <v>126110.0</v>
      </c>
      <c r="BP397" s="15">
        <v>87500.0</v>
      </c>
      <c r="BQ397" s="15">
        <v>78250.0</v>
      </c>
      <c r="BR397" s="15">
        <v>1360000.0</v>
      </c>
      <c r="BS397" s="15">
        <v>1560000.0</v>
      </c>
      <c r="BT397" s="15">
        <v>1420000.0</v>
      </c>
      <c r="BU397" s="15">
        <v>902710.0</v>
      </c>
      <c r="BV397" s="15">
        <v>861850.0</v>
      </c>
      <c r="BW397" s="15">
        <v>1690000.0</v>
      </c>
      <c r="BX397" s="15">
        <v>1890000.0</v>
      </c>
      <c r="BY397" s="15">
        <v>1810000.0</v>
      </c>
      <c r="BZ397" s="15">
        <v>1130000.0</v>
      </c>
      <c r="CA397" s="15">
        <v>1050000.0</v>
      </c>
      <c r="CB397" s="15">
        <v>1120000.0</v>
      </c>
      <c r="CC397" s="15">
        <v>359860.0</v>
      </c>
      <c r="CD397" s="15">
        <v>198020.0</v>
      </c>
      <c r="CE397" s="15">
        <v>130760.0</v>
      </c>
      <c r="CF397" s="15">
        <v>149730.0</v>
      </c>
      <c r="CG397" s="15">
        <v>386940.0</v>
      </c>
      <c r="CH397" s="15">
        <v>359120.0</v>
      </c>
      <c r="CI397" s="15">
        <v>348390.0</v>
      </c>
      <c r="CJ397" s="15">
        <v>153110.0</v>
      </c>
      <c r="CK397" s="15">
        <v>112940.0</v>
      </c>
      <c r="CL397" s="15">
        <v>3460000.0</v>
      </c>
      <c r="CM397" s="15">
        <v>2820000.0</v>
      </c>
      <c r="CN397" s="15">
        <v>2580000.0</v>
      </c>
      <c r="CO397" s="15">
        <v>1460000.0</v>
      </c>
      <c r="CP397" s="15">
        <v>1340000.0</v>
      </c>
      <c r="CQ397" s="15">
        <v>106960.0</v>
      </c>
      <c r="CR397" s="15">
        <v>144810.0</v>
      </c>
      <c r="CS397" s="15">
        <v>125620.0</v>
      </c>
      <c r="CT397" s="15">
        <v>68660.0</v>
      </c>
      <c r="CU397" s="15">
        <v>56790.0</v>
      </c>
      <c r="CV397" s="15">
        <v>1300000.0</v>
      </c>
      <c r="CW397" s="15">
        <v>906640.0</v>
      </c>
      <c r="CX397" s="15">
        <v>885980.0</v>
      </c>
      <c r="CY397" s="15">
        <v>974040.0</v>
      </c>
      <c r="CZ397" s="15">
        <v>625190.0</v>
      </c>
      <c r="DA397" s="15">
        <v>598420.0</v>
      </c>
      <c r="DB397" s="15">
        <v>1300000.0</v>
      </c>
      <c r="DC397" s="15">
        <v>1310000.0</v>
      </c>
      <c r="DD397" s="15">
        <v>1330000.0</v>
      </c>
      <c r="DE397" s="15">
        <v>868420.0</v>
      </c>
      <c r="DF397" s="15">
        <v>3620000.0</v>
      </c>
      <c r="DG397" s="15">
        <v>2780000.0</v>
      </c>
      <c r="DH397" s="15">
        <v>2500000.0</v>
      </c>
      <c r="DI397" s="15">
        <v>1600000.0</v>
      </c>
      <c r="DJ397" s="15">
        <v>1630000.0</v>
      </c>
      <c r="DK397" s="15"/>
      <c r="DL397" s="15"/>
      <c r="DM397" s="15"/>
      <c r="DN397" s="12"/>
      <c r="DO397" s="15"/>
      <c r="DP397" s="15">
        <v>2040000.0</v>
      </c>
      <c r="DQ397" s="15">
        <v>1200000.0</v>
      </c>
      <c r="DR397" s="15">
        <v>917650.0</v>
      </c>
      <c r="DS397" s="15">
        <v>621140.0</v>
      </c>
      <c r="DT397" s="15">
        <v>674060.0</v>
      </c>
      <c r="DU397" s="13"/>
      <c r="DV397" s="12"/>
      <c r="DW397" s="12"/>
      <c r="DX397" s="13"/>
      <c r="DY397" s="13"/>
      <c r="DZ397" s="15">
        <v>-32600.0</v>
      </c>
      <c r="EA397" s="15">
        <v>44540.0</v>
      </c>
      <c r="EB397" s="15">
        <v>50510.0</v>
      </c>
      <c r="EC397" s="15">
        <v>-29740.0</v>
      </c>
      <c r="ED397" s="15">
        <v>-294860.0</v>
      </c>
      <c r="EE397" s="17">
        <v>0.028</v>
      </c>
      <c r="EF397" s="17">
        <v>0.101</v>
      </c>
      <c r="EG397" s="17">
        <v>1.492</v>
      </c>
      <c r="EH397" s="17">
        <v>0.265</v>
      </c>
    </row>
    <row r="398">
      <c r="A398" s="9">
        <f t="shared" si="2"/>
        <v>396</v>
      </c>
      <c r="B398" s="32" t="s">
        <v>532</v>
      </c>
      <c r="C398" s="11">
        <v>1.286E7</v>
      </c>
      <c r="D398" s="11">
        <v>1.214E7</v>
      </c>
      <c r="E398" s="11">
        <v>2.5279E8</v>
      </c>
      <c r="F398" s="11">
        <v>2.603E8</v>
      </c>
      <c r="G398" s="11">
        <v>2.5744E8</v>
      </c>
      <c r="H398" s="11">
        <v>2.4995E8</v>
      </c>
      <c r="I398" s="11">
        <v>2.2574E8</v>
      </c>
      <c r="J398" s="11">
        <v>7.942E7</v>
      </c>
      <c r="K398" s="11">
        <v>8.759E7</v>
      </c>
      <c r="L398" s="11">
        <v>8.673E7</v>
      </c>
      <c r="M398" s="11">
        <v>8.77E7</v>
      </c>
      <c r="N398" s="11">
        <v>7.359E7</v>
      </c>
      <c r="O398" s="11">
        <v>5.375E7</v>
      </c>
      <c r="P398" s="11">
        <v>5.483E7</v>
      </c>
      <c r="Q398" s="11">
        <v>5.412E7</v>
      </c>
      <c r="R398" s="11">
        <v>5.216E7</v>
      </c>
      <c r="S398" s="11">
        <v>4.69E7</v>
      </c>
      <c r="T398" s="11">
        <v>731610.0</v>
      </c>
      <c r="U398" s="11">
        <v>750250.0</v>
      </c>
      <c r="V398" s="11">
        <v>754000.0</v>
      </c>
      <c r="W398" s="11">
        <v>712000.0</v>
      </c>
      <c r="X398" s="11">
        <v>660000.0</v>
      </c>
      <c r="Y398" s="11">
        <v>2.243E7</v>
      </c>
      <c r="Z398" s="11">
        <v>-2900000.0</v>
      </c>
      <c r="AA398" s="11">
        <v>-4080000.0</v>
      </c>
      <c r="AB398" s="11">
        <v>-3180000.0</v>
      </c>
      <c r="AC398" s="11">
        <v>2.162E7</v>
      </c>
      <c r="AD398" s="11">
        <v>3930000.0</v>
      </c>
      <c r="AE398" s="11">
        <v>1.314E7</v>
      </c>
      <c r="AF398" s="11">
        <v>1.311E7</v>
      </c>
      <c r="AG398" s="11">
        <v>1.688E7</v>
      </c>
      <c r="AH398" s="11">
        <v>2700000.0</v>
      </c>
      <c r="AI398" s="11">
        <v>4.578E7</v>
      </c>
      <c r="AJ398" s="11">
        <v>5.165E7</v>
      </c>
      <c r="AK398" s="11">
        <v>4.857E7</v>
      </c>
      <c r="AL398" s="11">
        <v>5.153E7</v>
      </c>
      <c r="AM398" s="11">
        <v>4.207E7</v>
      </c>
      <c r="AN398" s="11">
        <v>1060000.0</v>
      </c>
      <c r="AO398" s="11">
        <v>8680000.0</v>
      </c>
      <c r="AP398" s="11">
        <v>1.176E7</v>
      </c>
      <c r="AQ398" s="11">
        <v>1.338E7</v>
      </c>
      <c r="AR398" s="11">
        <v>234000.0</v>
      </c>
      <c r="AS398" s="11">
        <v>2.605E7</v>
      </c>
      <c r="AT398" s="11">
        <v>3.014E7</v>
      </c>
      <c r="AU398" s="11">
        <v>3.111E7</v>
      </c>
      <c r="AV398" s="11">
        <v>3.915E7</v>
      </c>
      <c r="AW398" s="11">
        <v>1.91E7</v>
      </c>
      <c r="AX398" s="11">
        <v>-1.477E7</v>
      </c>
      <c r="AY398" s="11">
        <v>-1.516E7</v>
      </c>
      <c r="AZ398" s="11">
        <v>-1.236E7</v>
      </c>
      <c r="BA398" s="11">
        <v>-5990000.0</v>
      </c>
      <c r="BB398" s="11">
        <v>-9780000.0</v>
      </c>
      <c r="BC398" s="11">
        <v>-2890000.0</v>
      </c>
      <c r="BD398" s="11"/>
      <c r="BE398" s="11"/>
      <c r="BF398" s="11"/>
      <c r="BG398" s="11"/>
      <c r="BH398" s="11">
        <v>1.488E7</v>
      </c>
      <c r="BI398" s="11">
        <v>6090000.0</v>
      </c>
      <c r="BJ398" s="11">
        <v>1.374E7</v>
      </c>
      <c r="BK398" s="11">
        <v>1.162E7</v>
      </c>
      <c r="BL398" s="11">
        <v>1.543E7</v>
      </c>
      <c r="BM398" s="11">
        <v>3.486E7</v>
      </c>
      <c r="BN398" s="11">
        <v>3.545E7</v>
      </c>
      <c r="BO398" s="11">
        <v>3.556E7</v>
      </c>
      <c r="BP398" s="11">
        <v>3.54E7</v>
      </c>
      <c r="BQ398" s="11">
        <v>3.244E7</v>
      </c>
      <c r="BR398" s="11">
        <v>1.868E7</v>
      </c>
      <c r="BS398" s="11">
        <v>2.129E7</v>
      </c>
      <c r="BT398" s="11">
        <v>1.885E7</v>
      </c>
      <c r="BU398" s="11">
        <v>1.81E7</v>
      </c>
      <c r="BV398" s="11">
        <v>1.772E7</v>
      </c>
      <c r="BW398" s="11">
        <v>8.647E7</v>
      </c>
      <c r="BX398" s="11">
        <v>6.737E7</v>
      </c>
      <c r="BY398" s="11">
        <v>7.148E7</v>
      </c>
      <c r="BZ398" s="11">
        <v>8.844E7</v>
      </c>
      <c r="CA398" s="11">
        <v>7.367E7</v>
      </c>
      <c r="CB398" s="11">
        <v>2.2438E8</v>
      </c>
      <c r="CC398" s="11">
        <v>2.4615E8</v>
      </c>
      <c r="CD398" s="11">
        <v>2.3216E8</v>
      </c>
      <c r="CE398" s="11">
        <v>2.3019E8</v>
      </c>
      <c r="CF398" s="11">
        <v>2.1419E8</v>
      </c>
      <c r="CG398" s="11">
        <v>1.8057E8</v>
      </c>
      <c r="CH398" s="11">
        <v>1.952E8</v>
      </c>
      <c r="CI398" s="11">
        <v>1.9547E8</v>
      </c>
      <c r="CJ398" s="11">
        <v>2.0632E8</v>
      </c>
      <c r="CK398" s="11">
        <v>1.8375E8</v>
      </c>
      <c r="CL398" s="11">
        <v>5.5449E8</v>
      </c>
      <c r="CM398" s="11">
        <v>5.7468E8</v>
      </c>
      <c r="CN398" s="11">
        <v>5.6769E8</v>
      </c>
      <c r="CO398" s="11">
        <v>5.9973E8</v>
      </c>
      <c r="CP398" s="11">
        <v>5.4226E8</v>
      </c>
      <c r="CQ398" s="11">
        <v>4.77E7</v>
      </c>
      <c r="CR398" s="11">
        <v>4.996E7</v>
      </c>
      <c r="CS398" s="11">
        <v>4.643E7</v>
      </c>
      <c r="CT398" s="11">
        <v>4.034E7</v>
      </c>
      <c r="CU398" s="11">
        <v>2.871E7</v>
      </c>
      <c r="CV398" s="11">
        <v>1.0214E8</v>
      </c>
      <c r="CW398" s="11">
        <v>1.131E7</v>
      </c>
      <c r="CX398" s="11">
        <v>1.217E7</v>
      </c>
      <c r="CY398" s="11">
        <v>1.972E7</v>
      </c>
      <c r="CZ398" s="11">
        <v>1.157E7</v>
      </c>
      <c r="DA398" s="11">
        <v>9200000.0</v>
      </c>
      <c r="DB398" s="11">
        <v>1.0214E8</v>
      </c>
      <c r="DC398" s="11">
        <v>9.443E7</v>
      </c>
      <c r="DD398" s="11">
        <v>1.1229E8</v>
      </c>
      <c r="DE398" s="11">
        <v>8.2E7</v>
      </c>
      <c r="DF398" s="11">
        <v>3.5056E8</v>
      </c>
      <c r="DG398" s="11">
        <v>3.6047E8</v>
      </c>
      <c r="DH398" s="11">
        <v>3.607E8</v>
      </c>
      <c r="DI398" s="11">
        <v>4.1684E8</v>
      </c>
      <c r="DJ398" s="11">
        <v>3.9084E8</v>
      </c>
      <c r="DK398" s="11">
        <v>9820000.0</v>
      </c>
      <c r="DL398" s="11">
        <v>1.048E7</v>
      </c>
      <c r="DM398" s="11">
        <v>1.008E7</v>
      </c>
      <c r="DN398" s="11">
        <v>1.756E7</v>
      </c>
      <c r="DO398" s="11">
        <v>1.865E7</v>
      </c>
      <c r="DP398" s="11">
        <v>1.9586E8</v>
      </c>
      <c r="DQ398" s="11">
        <v>2.173E8</v>
      </c>
      <c r="DR398" s="11">
        <v>1.9331E8</v>
      </c>
      <c r="DS398" s="11">
        <v>2.7482E8</v>
      </c>
      <c r="DT398" s="11">
        <v>2.6474E8</v>
      </c>
      <c r="DU398" s="12"/>
      <c r="DV398" s="12"/>
      <c r="DW398" s="12"/>
      <c r="DX398" s="12"/>
      <c r="DY398" s="12"/>
      <c r="DZ398" s="11">
        <v>1.7555E8</v>
      </c>
      <c r="EA398" s="11">
        <v>1.8325E8</v>
      </c>
      <c r="EB398" s="11">
        <v>1.7611E8</v>
      </c>
      <c r="EC398" s="11">
        <v>1.6301E8</v>
      </c>
      <c r="ED398" s="11">
        <v>1.3872E8</v>
      </c>
      <c r="EE398" s="14">
        <v>0.272</v>
      </c>
      <c r="EF398" s="14">
        <v>0.199</v>
      </c>
      <c r="EG398" s="14">
        <v>0.0</v>
      </c>
      <c r="EH398" s="14">
        <v>-0.789</v>
      </c>
    </row>
    <row r="399">
      <c r="A399" s="9">
        <f t="shared" si="2"/>
        <v>397</v>
      </c>
      <c r="B399" s="22" t="s">
        <v>533</v>
      </c>
      <c r="C399" s="11">
        <v>9880.0</v>
      </c>
      <c r="D399" s="12"/>
      <c r="E399" s="11">
        <v>6.0</v>
      </c>
      <c r="F399" s="11">
        <v>3120.0</v>
      </c>
      <c r="G399" s="11">
        <v>3540.0</v>
      </c>
      <c r="H399" s="11">
        <v>8520.0</v>
      </c>
      <c r="I399" s="11">
        <v>3.0</v>
      </c>
      <c r="J399" s="12"/>
      <c r="K399" s="12"/>
      <c r="L399" s="11">
        <v>1310.0</v>
      </c>
      <c r="M399" s="11">
        <v>6950.0</v>
      </c>
      <c r="N399" s="11">
        <v>-1030.0</v>
      </c>
      <c r="O399" s="11">
        <v>32510.0</v>
      </c>
      <c r="P399" s="11">
        <v>34220.0</v>
      </c>
      <c r="Q399" s="11">
        <v>30500.0</v>
      </c>
      <c r="R399" s="11">
        <v>35900.0</v>
      </c>
      <c r="S399" s="11">
        <v>28960.0</v>
      </c>
      <c r="T399" s="11">
        <v>23790.0</v>
      </c>
      <c r="U399" s="11">
        <v>24100.0</v>
      </c>
      <c r="V399" s="11">
        <v>21420.0</v>
      </c>
      <c r="W399" s="11">
        <v>26330.0</v>
      </c>
      <c r="X399" s="11">
        <v>21730.0</v>
      </c>
      <c r="Y399" s="11">
        <v>-33800.0</v>
      </c>
      <c r="Z399" s="11">
        <v>-39010.0</v>
      </c>
      <c r="AA399" s="11">
        <v>-55470.0</v>
      </c>
      <c r="AB399" s="12"/>
      <c r="AC399" s="12"/>
      <c r="AD399" s="11">
        <v>-30200.0</v>
      </c>
      <c r="AE399" s="11">
        <v>-37740.0</v>
      </c>
      <c r="AF399" s="11">
        <v>-57560.0</v>
      </c>
      <c r="AG399" s="11">
        <v>-23610.0</v>
      </c>
      <c r="AH399" s="11">
        <v>-29370.0</v>
      </c>
      <c r="AI399" s="11">
        <v>-32630.0</v>
      </c>
      <c r="AJ399" s="11">
        <v>-32110.0</v>
      </c>
      <c r="AK399" s="11">
        <v>-27480.0</v>
      </c>
      <c r="AL399" s="11">
        <v>-27430.0</v>
      </c>
      <c r="AM399" s="11">
        <v>-28550.0</v>
      </c>
      <c r="AN399" s="11">
        <v>-28630.0</v>
      </c>
      <c r="AO399" s="11">
        <v>-37430.0</v>
      </c>
      <c r="AP399" s="11">
        <v>-56400.0</v>
      </c>
      <c r="AQ399" s="11">
        <v>-23610.0</v>
      </c>
      <c r="AR399" s="11">
        <v>-29110.0</v>
      </c>
      <c r="AS399" s="11">
        <v>-28200.0</v>
      </c>
      <c r="AT399" s="11">
        <v>-27250.0</v>
      </c>
      <c r="AU399" s="11">
        <v>-44440.0</v>
      </c>
      <c r="AV399" s="11">
        <v>-24690.0</v>
      </c>
      <c r="AW399" s="11">
        <v>-27300.0</v>
      </c>
      <c r="AX399" s="11">
        <v>-622.0</v>
      </c>
      <c r="AY399" s="11">
        <v>-1770.0</v>
      </c>
      <c r="AZ399" s="11">
        <v>-858.0</v>
      </c>
      <c r="BA399" s="11">
        <v>-1780.0</v>
      </c>
      <c r="BB399" s="11">
        <v>-838.0</v>
      </c>
      <c r="BC399" s="12"/>
      <c r="BD399" s="12"/>
      <c r="BE399" s="12"/>
      <c r="BF399" s="12"/>
      <c r="BG399" s="12"/>
      <c r="BH399" s="11">
        <v>39340.0</v>
      </c>
      <c r="BI399" s="11">
        <v>49740.0</v>
      </c>
      <c r="BJ399" s="11">
        <v>33910.0</v>
      </c>
      <c r="BK399" s="11">
        <v>82590.0</v>
      </c>
      <c r="BL399" s="11">
        <v>107510.0</v>
      </c>
      <c r="BM399" s="11">
        <v>2700.0</v>
      </c>
      <c r="BN399" s="11">
        <v>1270.0</v>
      </c>
      <c r="BO399" s="11">
        <v>1590.0</v>
      </c>
      <c r="BP399" s="11">
        <v>859.0</v>
      </c>
      <c r="BQ399" s="11">
        <v>875.0</v>
      </c>
      <c r="BR399" s="12"/>
      <c r="BS399" s="12"/>
      <c r="BT399" s="12"/>
      <c r="BU399" s="11">
        <v>642.0</v>
      </c>
      <c r="BV399" s="11">
        <v>199.0</v>
      </c>
      <c r="BW399" s="11">
        <v>42840.0</v>
      </c>
      <c r="BX399" s="11">
        <v>51690.0</v>
      </c>
      <c r="BY399" s="11">
        <v>36390.0</v>
      </c>
      <c r="BZ399" s="11">
        <v>85370.0</v>
      </c>
      <c r="CA399" s="11">
        <v>109420.0</v>
      </c>
      <c r="CB399" s="11">
        <v>5060.0</v>
      </c>
      <c r="CC399" s="11">
        <v>3010.0</v>
      </c>
      <c r="CD399" s="11">
        <v>3290.0</v>
      </c>
      <c r="CE399" s="11">
        <v>3560.0</v>
      </c>
      <c r="CF399" s="11">
        <v>1140.0</v>
      </c>
      <c r="CG399" s="11">
        <v>883.0</v>
      </c>
      <c r="CH399" s="11">
        <v>883.0</v>
      </c>
      <c r="CI399" s="11">
        <v>914.0</v>
      </c>
      <c r="CJ399" s="11">
        <v>1040.0</v>
      </c>
      <c r="CK399" s="11">
        <v>1000.0</v>
      </c>
      <c r="CL399" s="11">
        <v>89840.0</v>
      </c>
      <c r="CM399" s="11">
        <v>94300.0</v>
      </c>
      <c r="CN399" s="11">
        <v>77630.0</v>
      </c>
      <c r="CO399" s="11">
        <v>138810.0</v>
      </c>
      <c r="CP399" s="11">
        <v>159530.0</v>
      </c>
      <c r="CQ399" s="11">
        <v>6970.0</v>
      </c>
      <c r="CR399" s="11">
        <v>5920.0</v>
      </c>
      <c r="CS399" s="11">
        <v>4800.0</v>
      </c>
      <c r="CT399" s="11">
        <v>8100.0</v>
      </c>
      <c r="CU399" s="11">
        <v>8580.0</v>
      </c>
      <c r="CV399" s="11">
        <v>11920.0</v>
      </c>
      <c r="CW399" s="11">
        <v>192.0</v>
      </c>
      <c r="CX399" s="24">
        <v>281.0</v>
      </c>
      <c r="CY399" s="24">
        <v>209.0</v>
      </c>
      <c r="CZ399" s="24">
        <v>207.0</v>
      </c>
      <c r="DA399" s="12"/>
      <c r="DB399" s="11">
        <v>11920.0</v>
      </c>
      <c r="DC399" s="11">
        <v>9650.0</v>
      </c>
      <c r="DD399" s="11">
        <v>7950.0</v>
      </c>
      <c r="DE399" s="11">
        <v>11280.0</v>
      </c>
      <c r="DF399" s="11">
        <v>60850.0</v>
      </c>
      <c r="DG399" s="11">
        <v>55340.0</v>
      </c>
      <c r="DH399" s="11">
        <v>46720.0</v>
      </c>
      <c r="DI399" s="11">
        <v>64550.0</v>
      </c>
      <c r="DJ399" s="11">
        <v>64680.0</v>
      </c>
      <c r="DK399" s="12"/>
      <c r="DL399" s="12"/>
      <c r="DM399" s="11">
        <v>273.0</v>
      </c>
      <c r="DN399" s="11">
        <v>311.0</v>
      </c>
      <c r="DO399" s="24">
        <v>181.0</v>
      </c>
      <c r="DP399" s="11">
        <v>19640.0</v>
      </c>
      <c r="DQ399" s="11">
        <v>17510.0</v>
      </c>
      <c r="DR399" s="11">
        <v>17440.0</v>
      </c>
      <c r="DS399" s="11">
        <v>17550.0</v>
      </c>
      <c r="DT399" s="11">
        <v>17060.0</v>
      </c>
      <c r="DU399" s="13"/>
      <c r="DV399" s="12"/>
      <c r="DW399" s="12"/>
      <c r="DX399" s="13"/>
      <c r="DY399" s="13"/>
      <c r="DZ399" s="11">
        <v>28990.0</v>
      </c>
      <c r="EA399" s="11">
        <v>38960.0</v>
      </c>
      <c r="EB399" s="11">
        <v>30900.0</v>
      </c>
      <c r="EC399" s="11">
        <v>74250.0</v>
      </c>
      <c r="ED399" s="11">
        <v>94840.0</v>
      </c>
      <c r="EE399" s="23"/>
      <c r="EF399" s="23"/>
      <c r="EG399" s="23" t="s">
        <v>155</v>
      </c>
      <c r="EH399" s="23"/>
    </row>
    <row r="400">
      <c r="A400" s="9">
        <f t="shared" si="2"/>
        <v>398</v>
      </c>
      <c r="B400" s="10" t="s">
        <v>534</v>
      </c>
      <c r="C400" s="15">
        <v>73830.0</v>
      </c>
      <c r="D400" s="15">
        <v>66540.0</v>
      </c>
      <c r="E400" s="15">
        <v>59260.0</v>
      </c>
      <c r="F400" s="15">
        <v>64720.0</v>
      </c>
      <c r="G400" s="15">
        <v>53330.0</v>
      </c>
      <c r="H400" s="15">
        <v>66240.0</v>
      </c>
      <c r="I400" s="15">
        <v>41130.0</v>
      </c>
      <c r="J400" s="15">
        <v>26170.0</v>
      </c>
      <c r="K400" s="15">
        <v>28450.0</v>
      </c>
      <c r="L400" s="15">
        <v>24580.0</v>
      </c>
      <c r="M400" s="15">
        <v>28920.0</v>
      </c>
      <c r="N400" s="15">
        <v>18320.0</v>
      </c>
      <c r="O400" s="15">
        <v>25230.0</v>
      </c>
      <c r="P400" s="15">
        <v>25100.0</v>
      </c>
      <c r="Q400" s="15">
        <v>23570.0</v>
      </c>
      <c r="R400" s="15">
        <v>22730.0</v>
      </c>
      <c r="S400" s="15">
        <v>19920.0</v>
      </c>
      <c r="T400" s="15">
        <v>9230.0</v>
      </c>
      <c r="U400" s="15">
        <v>8710.0</v>
      </c>
      <c r="V400" s="15">
        <v>7910.0</v>
      </c>
      <c r="W400" s="15">
        <v>7940.0</v>
      </c>
      <c r="X400" s="15">
        <v>7380.0</v>
      </c>
      <c r="Y400" s="15">
        <v>0.0</v>
      </c>
      <c r="Z400" s="15">
        <v>3360.0</v>
      </c>
      <c r="AA400" s="15">
        <v>0.0</v>
      </c>
      <c r="AB400" s="15">
        <v>0.0</v>
      </c>
      <c r="AC400" s="15">
        <v>0.0</v>
      </c>
      <c r="AD400" s="15">
        <v>1160.0</v>
      </c>
      <c r="AE400" s="15">
        <v>3580.0</v>
      </c>
      <c r="AF400" s="15">
        <v>0.0</v>
      </c>
      <c r="AG400" s="15">
        <v>6390.0</v>
      </c>
      <c r="AH400" s="15">
        <v>-2060.0</v>
      </c>
      <c r="AI400" s="15">
        <v>4600.0</v>
      </c>
      <c r="AJ400" s="15">
        <v>5860.0</v>
      </c>
      <c r="AK400" s="15">
        <v>3300.0</v>
      </c>
      <c r="AL400" s="15">
        <v>8280.0</v>
      </c>
      <c r="AM400" s="15">
        <v>0.0</v>
      </c>
      <c r="AN400" s="15">
        <v>0.0</v>
      </c>
      <c r="AO400" s="15">
        <v>2830.0</v>
      </c>
      <c r="AP400" s="15">
        <v>1310.0</v>
      </c>
      <c r="AQ400" s="15">
        <v>11560.0</v>
      </c>
      <c r="AR400" s="15">
        <v>-2090.0</v>
      </c>
      <c r="AS400" s="15">
        <v>2440.0</v>
      </c>
      <c r="AT400" s="15">
        <v>4100.0</v>
      </c>
      <c r="AU400" s="15">
        <v>-2430.0</v>
      </c>
      <c r="AV400" s="15">
        <v>9120.0</v>
      </c>
      <c r="AW400" s="15">
        <v>-2390.0</v>
      </c>
      <c r="AX400" s="15">
        <v>-1450.0</v>
      </c>
      <c r="AY400" s="15">
        <v>-2080.0</v>
      </c>
      <c r="AZ400" s="15">
        <v>-1350.0</v>
      </c>
      <c r="BA400" s="15">
        <v>-1430.0</v>
      </c>
      <c r="BB400" s="15">
        <v>0.0</v>
      </c>
      <c r="BC400" s="15">
        <v>0.0</v>
      </c>
      <c r="BD400" s="15">
        <v>0.0</v>
      </c>
      <c r="BE400" s="15">
        <v>0.0</v>
      </c>
      <c r="BF400" s="15">
        <v>0.0</v>
      </c>
      <c r="BG400" s="15">
        <v>0.0</v>
      </c>
      <c r="BH400" s="15">
        <v>14130.0</v>
      </c>
      <c r="BI400" s="15">
        <v>15020.0</v>
      </c>
      <c r="BJ400" s="15">
        <v>13610.0</v>
      </c>
      <c r="BK400" s="15">
        <v>17130.0</v>
      </c>
      <c r="BL400" s="15">
        <v>9520.0</v>
      </c>
      <c r="BM400" s="15">
        <v>16060.0</v>
      </c>
      <c r="BN400" s="15">
        <v>15860.0</v>
      </c>
      <c r="BO400" s="15">
        <v>10770.0</v>
      </c>
      <c r="BP400" s="15">
        <v>10900.0</v>
      </c>
      <c r="BQ400" s="15">
        <v>8150.0</v>
      </c>
      <c r="BR400" s="15">
        <v>15580.0</v>
      </c>
      <c r="BS400" s="15">
        <v>16160.0</v>
      </c>
      <c r="BT400" s="15">
        <v>14390.0</v>
      </c>
      <c r="BU400" s="15">
        <v>11530.0</v>
      </c>
      <c r="BV400" s="15">
        <v>13270.0</v>
      </c>
      <c r="BW400" s="15">
        <v>47350.0</v>
      </c>
      <c r="BX400" s="15">
        <v>49140.0</v>
      </c>
      <c r="BY400" s="15">
        <v>40370.0</v>
      </c>
      <c r="BZ400" s="15">
        <v>41090.0</v>
      </c>
      <c r="CA400" s="15">
        <v>32130.0</v>
      </c>
      <c r="CB400" s="15">
        <v>5450.0</v>
      </c>
      <c r="CC400" s="15">
        <v>2860.0</v>
      </c>
      <c r="CD400" s="15">
        <v>2310.0</v>
      </c>
      <c r="CE400" s="15">
        <v>2440.0</v>
      </c>
      <c r="CF400" s="15">
        <v>2370.0</v>
      </c>
      <c r="CG400" s="15">
        <v>1370.0</v>
      </c>
      <c r="CH400" s="15">
        <v>1370.0</v>
      </c>
      <c r="CI400" s="15">
        <v>1370.0</v>
      </c>
      <c r="CJ400" s="15">
        <v>1370.0</v>
      </c>
      <c r="CK400" s="15">
        <v>1370.0</v>
      </c>
      <c r="CL400" s="15">
        <v>72600.0</v>
      </c>
      <c r="CM400" s="15">
        <v>69700.0</v>
      </c>
      <c r="CN400" s="15">
        <v>59500.0</v>
      </c>
      <c r="CO400" s="15">
        <v>59580.0</v>
      </c>
      <c r="CP400" s="15">
        <v>44740.0</v>
      </c>
      <c r="CQ400" s="15">
        <v>7020.0</v>
      </c>
      <c r="CR400" s="15">
        <v>8510.0</v>
      </c>
      <c r="CS400" s="15">
        <v>4290.0</v>
      </c>
      <c r="CT400" s="15">
        <v>6220.0</v>
      </c>
      <c r="CU400" s="15">
        <v>5780.0</v>
      </c>
      <c r="CV400" s="15">
        <v>10780.0</v>
      </c>
      <c r="CW400" s="15">
        <v>0.0</v>
      </c>
      <c r="CX400" s="15">
        <v>0.0</v>
      </c>
      <c r="CY400" s="15">
        <v>0.0</v>
      </c>
      <c r="CZ400" s="15">
        <v>0.0</v>
      </c>
      <c r="DA400" s="15">
        <v>0.0</v>
      </c>
      <c r="DB400" s="15">
        <v>10780.0</v>
      </c>
      <c r="DC400" s="15">
        <v>12720.0</v>
      </c>
      <c r="DD400" s="15">
        <v>6970.0</v>
      </c>
      <c r="DE400" s="15">
        <v>10300.0</v>
      </c>
      <c r="DF400" s="15">
        <v>14280.0</v>
      </c>
      <c r="DG400" s="15">
        <v>13490.0</v>
      </c>
      <c r="DH400" s="15">
        <v>7220.0</v>
      </c>
      <c r="DI400" s="15">
        <v>10680.0</v>
      </c>
      <c r="DJ400" s="15">
        <v>8680.0</v>
      </c>
      <c r="DK400" s="15">
        <v>12170.0</v>
      </c>
      <c r="DL400" s="15">
        <v>10320.0</v>
      </c>
      <c r="DM400" s="15">
        <v>9070.0</v>
      </c>
      <c r="DN400" s="15">
        <v>8730.0</v>
      </c>
      <c r="DO400" s="15">
        <v>8080.0</v>
      </c>
      <c r="DP400" s="15">
        <v>3140.0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58320.0</v>
      </c>
      <c r="EA400" s="15">
        <v>56210.0</v>
      </c>
      <c r="EB400" s="15">
        <v>52280.0</v>
      </c>
      <c r="EC400" s="15">
        <v>48900.0</v>
      </c>
      <c r="ED400" s="15">
        <v>36060.0</v>
      </c>
      <c r="EE400" s="31">
        <v>0.052</v>
      </c>
      <c r="EF400" s="31">
        <v>0.106</v>
      </c>
      <c r="EG400" s="31">
        <v>10.0</v>
      </c>
      <c r="EH400" s="31">
        <v>2.488</v>
      </c>
    </row>
    <row r="401">
      <c r="A401" s="9">
        <f t="shared" si="2"/>
        <v>399</v>
      </c>
      <c r="B401" s="22" t="s">
        <v>535</v>
      </c>
      <c r="C401" s="11">
        <v>32470.0</v>
      </c>
      <c r="D401" s="11">
        <v>19220.0</v>
      </c>
      <c r="E401" s="11">
        <v>26870.0</v>
      </c>
      <c r="F401" s="11">
        <v>31500.0</v>
      </c>
      <c r="G401" s="11">
        <v>13370.0</v>
      </c>
      <c r="H401" s="11">
        <v>106410.0</v>
      </c>
      <c r="I401" s="11">
        <v>28660.0</v>
      </c>
      <c r="J401" s="12"/>
      <c r="K401" s="12"/>
      <c r="L401" s="12"/>
      <c r="M401" s="12"/>
      <c r="N401" s="12"/>
      <c r="O401" s="11">
        <v>124440.0</v>
      </c>
      <c r="P401" s="11">
        <v>119180.0</v>
      </c>
      <c r="Q401" s="11">
        <v>124860.0</v>
      </c>
      <c r="R401" s="11">
        <v>91480.0</v>
      </c>
      <c r="S401" s="11">
        <v>65480.0</v>
      </c>
      <c r="T401" s="11">
        <v>84830.0</v>
      </c>
      <c r="U401" s="11">
        <v>89140.0</v>
      </c>
      <c r="V401" s="11">
        <v>90300.0</v>
      </c>
      <c r="W401" s="11">
        <v>64400.0</v>
      </c>
      <c r="X401" s="11">
        <v>46400.0</v>
      </c>
      <c r="Y401" s="11">
        <v>-98570.0</v>
      </c>
      <c r="Z401" s="12"/>
      <c r="AA401" s="12"/>
      <c r="AB401" s="11">
        <v>18690.0</v>
      </c>
      <c r="AC401" s="12"/>
      <c r="AD401" s="11">
        <v>-121690.0</v>
      </c>
      <c r="AE401" s="11">
        <v>-106290.0</v>
      </c>
      <c r="AF401" s="11">
        <v>-127790.0</v>
      </c>
      <c r="AG401" s="11">
        <v>16450.0</v>
      </c>
      <c r="AH401" s="11">
        <v>-37500.0</v>
      </c>
      <c r="AI401" s="11">
        <v>-97570.0</v>
      </c>
      <c r="AJ401" s="11">
        <v>-87680.0</v>
      </c>
      <c r="AK401" s="11">
        <v>-111500.0</v>
      </c>
      <c r="AL401" s="11">
        <v>14930.0</v>
      </c>
      <c r="AM401" s="11">
        <v>-36820.0</v>
      </c>
      <c r="AN401" s="11">
        <v>-121690.0</v>
      </c>
      <c r="AO401" s="11">
        <v>-106290.0</v>
      </c>
      <c r="AP401" s="11">
        <v>-127790.0</v>
      </c>
      <c r="AQ401" s="11">
        <v>16450.0</v>
      </c>
      <c r="AR401" s="11">
        <v>-37500.0</v>
      </c>
      <c r="AS401" s="11">
        <v>-87030.0</v>
      </c>
      <c r="AT401" s="11">
        <v>-101220.0</v>
      </c>
      <c r="AU401" s="11">
        <v>-101760.0</v>
      </c>
      <c r="AV401" s="11">
        <v>36980.0</v>
      </c>
      <c r="AW401" s="11">
        <v>4880.0</v>
      </c>
      <c r="AX401" s="11">
        <v>-2620.0</v>
      </c>
      <c r="AY401" s="11">
        <v>-889.0</v>
      </c>
      <c r="AZ401" s="11">
        <v>-2880.0</v>
      </c>
      <c r="BA401" s="11">
        <v>-1600.0</v>
      </c>
      <c r="BB401" s="11">
        <v>-562.0</v>
      </c>
      <c r="BC401" s="12"/>
      <c r="BD401" s="12"/>
      <c r="BE401" s="12"/>
      <c r="BF401" s="12"/>
      <c r="BG401" s="12"/>
      <c r="BH401" s="11">
        <v>225110.0</v>
      </c>
      <c r="BI401" s="11">
        <v>198730.0</v>
      </c>
      <c r="BJ401" s="11">
        <v>268890.0</v>
      </c>
      <c r="BK401" s="11">
        <v>156250.0</v>
      </c>
      <c r="BL401" s="11">
        <v>111440.0</v>
      </c>
      <c r="BM401" s="11">
        <v>5160.0</v>
      </c>
      <c r="BN401" s="11">
        <v>6790.0</v>
      </c>
      <c r="BO401" s="11">
        <v>1110.0</v>
      </c>
      <c r="BP401" s="11">
        <v>224.0</v>
      </c>
      <c r="BQ401" s="11">
        <v>243.0</v>
      </c>
      <c r="BR401" s="12"/>
      <c r="BS401" s="12"/>
      <c r="BT401" s="12"/>
      <c r="BU401" s="12"/>
      <c r="BV401" s="12"/>
      <c r="BW401" s="11">
        <v>233750.0</v>
      </c>
      <c r="BX401" s="11">
        <v>207670.0</v>
      </c>
      <c r="BY401" s="11">
        <v>274300.0</v>
      </c>
      <c r="BZ401" s="11">
        <v>158630.0</v>
      </c>
      <c r="CA401" s="11">
        <v>113110.0</v>
      </c>
      <c r="CB401" s="11">
        <v>4530.0</v>
      </c>
      <c r="CC401" s="11">
        <v>3200.0</v>
      </c>
      <c r="CD401" s="11">
        <v>3570.0</v>
      </c>
      <c r="CE401" s="11">
        <v>3640.0</v>
      </c>
      <c r="CF401" s="11">
        <v>1750.0</v>
      </c>
      <c r="CG401" s="12"/>
      <c r="CH401" s="12"/>
      <c r="CI401" s="12"/>
      <c r="CJ401" s="12"/>
      <c r="CK401" s="12"/>
      <c r="CL401" s="11">
        <v>289810.0</v>
      </c>
      <c r="CM401" s="11">
        <v>211180.0</v>
      </c>
      <c r="CN401" s="11">
        <v>294810.0</v>
      </c>
      <c r="CO401" s="11">
        <v>170140.0</v>
      </c>
      <c r="CP401" s="11">
        <v>115240.0</v>
      </c>
      <c r="CQ401" s="11">
        <v>8160.0</v>
      </c>
      <c r="CR401" s="11">
        <v>3760.0</v>
      </c>
      <c r="CS401" s="11">
        <v>5250.0</v>
      </c>
      <c r="CT401" s="11">
        <v>4240.0</v>
      </c>
      <c r="CU401" s="11">
        <v>2240.0</v>
      </c>
      <c r="CV401" s="11">
        <v>26020.0</v>
      </c>
      <c r="CW401" s="11">
        <v>4620.0</v>
      </c>
      <c r="CX401" s="12"/>
      <c r="CY401" s="12"/>
      <c r="CZ401" s="12"/>
      <c r="DA401" s="12"/>
      <c r="DB401" s="11">
        <v>26020.0</v>
      </c>
      <c r="DC401" s="11">
        <v>22190.0</v>
      </c>
      <c r="DD401" s="11">
        <v>32440.0</v>
      </c>
      <c r="DE401" s="11">
        <v>33260.0</v>
      </c>
      <c r="DF401" s="11">
        <v>300750.0</v>
      </c>
      <c r="DG401" s="11">
        <v>185240.0</v>
      </c>
      <c r="DH401" s="11">
        <v>184970.0</v>
      </c>
      <c r="DI401" s="11">
        <v>75780.0</v>
      </c>
      <c r="DJ401" s="11">
        <v>46650.0</v>
      </c>
      <c r="DK401" s="11">
        <v>42650.0</v>
      </c>
      <c r="DL401" s="12"/>
      <c r="DM401" s="11">
        <v>16520.0</v>
      </c>
      <c r="DN401" s="11">
        <v>7670.0</v>
      </c>
      <c r="DO401" s="24">
        <v>179.0</v>
      </c>
      <c r="DP401" s="11">
        <v>131450.0</v>
      </c>
      <c r="DQ401" s="11">
        <v>39810.0</v>
      </c>
      <c r="DR401" s="11">
        <v>31780.0</v>
      </c>
      <c r="DS401" s="11">
        <v>27380.0</v>
      </c>
      <c r="DT401" s="11">
        <v>14640.0</v>
      </c>
      <c r="DU401" s="13"/>
      <c r="DV401" s="12"/>
      <c r="DW401" s="12"/>
      <c r="DX401" s="13"/>
      <c r="DY401" s="13"/>
      <c r="DZ401" s="11">
        <v>-10940.0</v>
      </c>
      <c r="EA401" s="11">
        <v>25930.0</v>
      </c>
      <c r="EB401" s="11">
        <v>109840.0</v>
      </c>
      <c r="EC401" s="11">
        <v>94360.0</v>
      </c>
      <c r="ED401" s="11">
        <v>68590.0</v>
      </c>
      <c r="EE401" s="14">
        <v>1.509</v>
      </c>
      <c r="EF401" s="14">
        <v>2.561</v>
      </c>
      <c r="EG401" s="14">
        <v>-0.193</v>
      </c>
      <c r="EH401" s="14">
        <v>-0.179</v>
      </c>
    </row>
    <row r="402">
      <c r="A402" s="9">
        <f t="shared" si="2"/>
        <v>400</v>
      </c>
      <c r="B402" s="10" t="s">
        <v>536</v>
      </c>
      <c r="C402" s="15">
        <v>7390000.0</v>
      </c>
      <c r="D402" s="15">
        <v>4760000.0</v>
      </c>
      <c r="E402" s="15">
        <v>8740000.0</v>
      </c>
      <c r="F402" s="15">
        <v>8390000.0</v>
      </c>
      <c r="G402" s="15">
        <v>4870000.0</v>
      </c>
      <c r="H402" s="15">
        <v>3880000.0</v>
      </c>
      <c r="I402" s="15">
        <v>3930000.0</v>
      </c>
      <c r="J402" s="15">
        <v>3400000.0</v>
      </c>
      <c r="K402" s="15">
        <v>3070000.0</v>
      </c>
      <c r="L402" s="15">
        <v>1930000.0</v>
      </c>
      <c r="M402" s="15">
        <v>1680000.0</v>
      </c>
      <c r="N402" s="15">
        <v>1730000.0</v>
      </c>
      <c r="O402" s="15">
        <v>2180000.0</v>
      </c>
      <c r="P402" s="15">
        <v>2090000.0</v>
      </c>
      <c r="Q402" s="15">
        <v>1330000.0</v>
      </c>
      <c r="R402" s="15">
        <v>1360000.0</v>
      </c>
      <c r="S402" s="15">
        <v>1230000.0</v>
      </c>
      <c r="T402" s="15">
        <v>0.0</v>
      </c>
      <c r="U402" s="15">
        <v>0.0</v>
      </c>
      <c r="V402" s="15">
        <v>0.0</v>
      </c>
      <c r="W402" s="15">
        <v>0.0</v>
      </c>
      <c r="X402" s="15">
        <v>0.0</v>
      </c>
      <c r="Y402" s="15">
        <v>-36000.0</v>
      </c>
      <c r="Z402" s="15">
        <v>738000.0</v>
      </c>
      <c r="AA402" s="15">
        <v>-2260000.0</v>
      </c>
      <c r="AB402" s="15">
        <v>-5730000.0</v>
      </c>
      <c r="AC402" s="15">
        <v>6110000.0</v>
      </c>
      <c r="AD402" s="15">
        <v>-1340000.0</v>
      </c>
      <c r="AE402" s="15">
        <v>183000.0</v>
      </c>
      <c r="AF402" s="15">
        <v>-2370000.0</v>
      </c>
      <c r="AG402" s="15">
        <v>-6130000.0</v>
      </c>
      <c r="AH402" s="15">
        <v>5780000.0</v>
      </c>
      <c r="AI402" s="15">
        <v>2110000.0</v>
      </c>
      <c r="AJ402" s="15">
        <v>1960000.0</v>
      </c>
      <c r="AK402" s="15">
        <v>1160000.0</v>
      </c>
      <c r="AL402" s="15">
        <v>666000.0</v>
      </c>
      <c r="AM402" s="15">
        <v>721000.0</v>
      </c>
      <c r="AN402" s="15">
        <v>-1200000.0</v>
      </c>
      <c r="AO402" s="15">
        <v>303000.0</v>
      </c>
      <c r="AP402" s="15">
        <v>-368000.0</v>
      </c>
      <c r="AQ402" s="15">
        <v>-6430000.0</v>
      </c>
      <c r="AR402" s="15">
        <v>5770000.0</v>
      </c>
      <c r="AS402" s="15">
        <v>1010000.0</v>
      </c>
      <c r="AT402" s="15">
        <v>786000.0</v>
      </c>
      <c r="AU402" s="15">
        <v>-2320000.0</v>
      </c>
      <c r="AV402" s="15">
        <v>42000.0</v>
      </c>
      <c r="AW402" s="15">
        <v>-57000.0</v>
      </c>
      <c r="AX402" s="15">
        <v>-829000.0</v>
      </c>
      <c r="AY402" s="15">
        <v>-585000.0</v>
      </c>
      <c r="AZ402" s="15">
        <v>-598000.0</v>
      </c>
      <c r="BA402" s="15">
        <v>-220000.0</v>
      </c>
      <c r="BB402" s="15">
        <v>-341000.0</v>
      </c>
      <c r="BC402" s="16">
        <v>0.0</v>
      </c>
      <c r="BD402" s="16">
        <v>0.0</v>
      </c>
      <c r="BE402" s="16">
        <v>0.0</v>
      </c>
      <c r="BF402" s="15">
        <v>0.0</v>
      </c>
      <c r="BG402" s="16">
        <v>0.0</v>
      </c>
      <c r="BH402" s="15">
        <v>1870000.0</v>
      </c>
      <c r="BI402" s="15">
        <v>1610000.0</v>
      </c>
      <c r="BJ402" s="15">
        <v>2670000.0</v>
      </c>
      <c r="BK402" s="15">
        <v>4650000.0</v>
      </c>
      <c r="BL402" s="15">
        <v>1290000.0</v>
      </c>
      <c r="BM402" s="15">
        <v>478000.0</v>
      </c>
      <c r="BN402" s="15">
        <v>463000.0</v>
      </c>
      <c r="BO402" s="15">
        <v>505000.0</v>
      </c>
      <c r="BP402" s="15">
        <v>224000.0</v>
      </c>
      <c r="BQ402" s="15">
        <v>168000.0</v>
      </c>
      <c r="BR402" s="15">
        <v>35000.0</v>
      </c>
      <c r="BS402" s="15">
        <v>41000.0</v>
      </c>
      <c r="BT402" s="15">
        <v>39000.0</v>
      </c>
      <c r="BU402" s="15">
        <v>20000.0</v>
      </c>
      <c r="BV402" s="15">
        <v>21000.0</v>
      </c>
      <c r="BW402" s="15">
        <v>2610000.0</v>
      </c>
      <c r="BX402" s="15">
        <v>2270000.0</v>
      </c>
      <c r="BY402" s="15">
        <v>3460000.0</v>
      </c>
      <c r="BZ402" s="15">
        <v>5020000.0</v>
      </c>
      <c r="CA402" s="15">
        <v>1960000.0</v>
      </c>
      <c r="CB402" s="15">
        <v>1.553E7</v>
      </c>
      <c r="CC402" s="15">
        <v>1.605E7</v>
      </c>
      <c r="CD402" s="15">
        <v>1.615E7</v>
      </c>
      <c r="CE402" s="15">
        <v>7450000.0</v>
      </c>
      <c r="CF402" s="15">
        <v>7580000.0</v>
      </c>
      <c r="CG402" s="15">
        <v>4010000.0</v>
      </c>
      <c r="CH402" s="15">
        <v>4040000.0</v>
      </c>
      <c r="CI402" s="15">
        <v>3820000.0</v>
      </c>
      <c r="CJ402" s="15">
        <v>1610000.0</v>
      </c>
      <c r="CK402" s="15">
        <v>1610000.0</v>
      </c>
      <c r="CL402" s="15">
        <v>2.535E7</v>
      </c>
      <c r="CM402" s="15">
        <v>2.578E7</v>
      </c>
      <c r="CN402" s="15">
        <v>2.544E7</v>
      </c>
      <c r="CO402" s="15">
        <v>1.492E7</v>
      </c>
      <c r="CP402" s="15">
        <v>1.259E7</v>
      </c>
      <c r="CQ402" s="15">
        <v>444000.0</v>
      </c>
      <c r="CR402" s="15">
        <v>399000.0</v>
      </c>
      <c r="CS402" s="15">
        <v>318000.0</v>
      </c>
      <c r="CT402" s="15">
        <v>215000.0</v>
      </c>
      <c r="CU402" s="15">
        <v>161000.0</v>
      </c>
      <c r="CV402" s="15">
        <v>2060000.0</v>
      </c>
      <c r="CW402" s="15">
        <v>66000.0</v>
      </c>
      <c r="CX402" s="15">
        <v>0.0</v>
      </c>
      <c r="CY402" s="16">
        <v>0.0</v>
      </c>
      <c r="CZ402" s="16">
        <v>0.0</v>
      </c>
      <c r="DA402" s="15">
        <v>0.0</v>
      </c>
      <c r="DB402" s="15">
        <v>2060000.0</v>
      </c>
      <c r="DC402" s="15">
        <v>2000000.0</v>
      </c>
      <c r="DD402" s="15">
        <v>1880000.0</v>
      </c>
      <c r="DE402" s="15">
        <v>7730000.0</v>
      </c>
      <c r="DF402" s="15">
        <v>2.313E7</v>
      </c>
      <c r="DG402" s="15">
        <v>2.244E7</v>
      </c>
      <c r="DH402" s="15">
        <v>2.214E7</v>
      </c>
      <c r="DI402" s="15">
        <v>1.653E7</v>
      </c>
      <c r="DJ402" s="15">
        <v>1.036E7</v>
      </c>
      <c r="DK402" s="15">
        <v>12000.0</v>
      </c>
      <c r="DL402" s="15">
        <v>51000.0</v>
      </c>
      <c r="DM402" s="15">
        <v>35000.0</v>
      </c>
      <c r="DN402" s="15">
        <v>5000.0</v>
      </c>
      <c r="DO402" s="15">
        <v>109000.0</v>
      </c>
      <c r="DP402" s="15">
        <v>1.909E7</v>
      </c>
      <c r="DQ402" s="15">
        <v>1.886E7</v>
      </c>
      <c r="DR402" s="15">
        <v>1.82E7</v>
      </c>
      <c r="DS402" s="15">
        <v>6750000.0</v>
      </c>
      <c r="DT402" s="15">
        <v>6780000.0</v>
      </c>
      <c r="DU402" s="16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2130000.0</v>
      </c>
      <c r="EA402" s="15">
        <v>3250000.0</v>
      </c>
      <c r="EB402" s="15">
        <v>3230000.0</v>
      </c>
      <c r="EC402" s="15">
        <v>-1660000.0</v>
      </c>
      <c r="ED402" s="15">
        <v>987000.0</v>
      </c>
      <c r="EE402" s="17">
        <v>0.607</v>
      </c>
      <c r="EF402" s="17">
        <v>0.225</v>
      </c>
      <c r="EG402" s="17">
        <v>-1.0</v>
      </c>
      <c r="EH402" s="17">
        <v>-2.046</v>
      </c>
    </row>
    <row r="403">
      <c r="A403" s="9">
        <f t="shared" si="2"/>
        <v>401</v>
      </c>
      <c r="B403" s="10" t="s">
        <v>537</v>
      </c>
      <c r="C403" s="15">
        <v>1.596E7</v>
      </c>
      <c r="D403" s="15">
        <v>1.362E7</v>
      </c>
      <c r="E403" s="15">
        <v>5230000.0</v>
      </c>
      <c r="F403" s="15">
        <v>4600000.0</v>
      </c>
      <c r="G403" s="15">
        <v>4250000.0</v>
      </c>
      <c r="H403" s="15">
        <v>3590000.0</v>
      </c>
      <c r="I403" s="15">
        <v>3700000.0</v>
      </c>
      <c r="J403" s="15">
        <v>1630000.0</v>
      </c>
      <c r="K403" s="15">
        <v>1290000.0</v>
      </c>
      <c r="L403" s="15">
        <v>1360000.0</v>
      </c>
      <c r="M403" s="15">
        <v>1210000.0</v>
      </c>
      <c r="N403" s="15">
        <v>1110000.0</v>
      </c>
      <c r="O403" s="15">
        <v>597990.0</v>
      </c>
      <c r="P403" s="15">
        <v>545580.0</v>
      </c>
      <c r="Q403" s="15">
        <v>627690.0</v>
      </c>
      <c r="R403" s="15">
        <v>584740.0</v>
      </c>
      <c r="S403" s="15">
        <v>542580.0</v>
      </c>
      <c r="T403" s="15"/>
      <c r="U403" s="15"/>
      <c r="V403" s="15"/>
      <c r="W403" s="15"/>
      <c r="X403" s="15"/>
      <c r="Y403" s="15">
        <v>1260000.0</v>
      </c>
      <c r="Z403" s="15">
        <v>598800.0</v>
      </c>
      <c r="AA403" s="15">
        <v>689970.0</v>
      </c>
      <c r="AB403" s="15">
        <v>172110.0</v>
      </c>
      <c r="AC403" s="15">
        <v>442640.0</v>
      </c>
      <c r="AD403" s="15">
        <v>641180.0</v>
      </c>
      <c r="AE403" s="15">
        <v>514330.0</v>
      </c>
      <c r="AF403" s="15">
        <v>147970.0</v>
      </c>
      <c r="AG403" s="15">
        <v>-289660.0</v>
      </c>
      <c r="AH403" s="15">
        <v>-10380.0</v>
      </c>
      <c r="AI403" s="15">
        <v>1630000.0</v>
      </c>
      <c r="AJ403" s="15">
        <v>1340000.0</v>
      </c>
      <c r="AK403" s="15">
        <v>1350000.0</v>
      </c>
      <c r="AL403" s="15">
        <v>1120000.0</v>
      </c>
      <c r="AM403" s="15">
        <v>920750.0</v>
      </c>
      <c r="AN403" s="15">
        <v>330900.0</v>
      </c>
      <c r="AO403" s="15">
        <v>274510.0</v>
      </c>
      <c r="AP403" s="15">
        <v>172590.0</v>
      </c>
      <c r="AQ403" s="15">
        <v>93270.0</v>
      </c>
      <c r="AR403" s="15">
        <v>91260.0</v>
      </c>
      <c r="AS403" s="15">
        <v>1620000.0</v>
      </c>
      <c r="AT403" s="15">
        <v>1430000.0</v>
      </c>
      <c r="AU403" s="15">
        <v>1200000.0</v>
      </c>
      <c r="AV403" s="15">
        <v>983650.0</v>
      </c>
      <c r="AW403" s="15">
        <v>847940.0</v>
      </c>
      <c r="AX403" s="15">
        <v>-700410.0</v>
      </c>
      <c r="AY403" s="15">
        <v>-718810.0</v>
      </c>
      <c r="AZ403" s="15">
        <v>-769740.0</v>
      </c>
      <c r="BA403" s="15">
        <v>-628460.0</v>
      </c>
      <c r="BB403" s="15">
        <v>-601820.0</v>
      </c>
      <c r="BC403" s="15">
        <v>-187120.0</v>
      </c>
      <c r="BD403" s="15">
        <v>-238350.0</v>
      </c>
      <c r="BE403" s="15">
        <v>-341360.0</v>
      </c>
      <c r="BF403" s="15">
        <v>-413260.0</v>
      </c>
      <c r="BG403" s="15">
        <v>-196590.0</v>
      </c>
      <c r="BH403" s="15">
        <v>2880000.0</v>
      </c>
      <c r="BI403" s="15">
        <v>2020000.0</v>
      </c>
      <c r="BJ403" s="15">
        <v>2630000.0</v>
      </c>
      <c r="BK403" s="15">
        <v>1790000.0</v>
      </c>
      <c r="BL403" s="15">
        <v>1130000.0</v>
      </c>
      <c r="BM403" s="15">
        <v>754170.0</v>
      </c>
      <c r="BN403" s="15">
        <v>694830.0</v>
      </c>
      <c r="BO403" s="15">
        <v>591170.0</v>
      </c>
      <c r="BP403" s="15">
        <v>576750.0</v>
      </c>
      <c r="BQ403" s="15">
        <v>363600.0</v>
      </c>
      <c r="BR403" s="15">
        <v>195720.0</v>
      </c>
      <c r="BS403" s="15">
        <v>184810.0</v>
      </c>
      <c r="BT403" s="15">
        <v>199890.0</v>
      </c>
      <c r="BU403" s="15">
        <v>193800.0</v>
      </c>
      <c r="BV403" s="15">
        <v>166040.0</v>
      </c>
      <c r="BW403" s="15">
        <v>3980000.0</v>
      </c>
      <c r="BX403" s="15">
        <v>3090000.0</v>
      </c>
      <c r="BY403" s="15">
        <v>3930000.0</v>
      </c>
      <c r="BZ403" s="15">
        <v>2690000.0</v>
      </c>
      <c r="CA403" s="15">
        <v>1730000.0</v>
      </c>
      <c r="CB403" s="15">
        <v>4130000.0</v>
      </c>
      <c r="CC403" s="15">
        <v>3200000.0</v>
      </c>
      <c r="CD403" s="15">
        <v>3520000.0</v>
      </c>
      <c r="CE403" s="15">
        <v>3300000.0</v>
      </c>
      <c r="CF403" s="15">
        <v>2480000.0</v>
      </c>
      <c r="CG403" s="15">
        <v>224970.0</v>
      </c>
      <c r="CH403" s="15">
        <v>227890.0</v>
      </c>
      <c r="CI403" s="15">
        <v>256820.0</v>
      </c>
      <c r="CJ403" s="15">
        <v>219760.0</v>
      </c>
      <c r="CK403" s="15">
        <v>180290.0</v>
      </c>
      <c r="CL403" s="15">
        <v>1.634E7</v>
      </c>
      <c r="CM403" s="15">
        <v>1.454E7</v>
      </c>
      <c r="CN403" s="15">
        <v>1.677E7</v>
      </c>
      <c r="CO403" s="15">
        <v>1.551E7</v>
      </c>
      <c r="CP403" s="15">
        <v>1.321E7</v>
      </c>
      <c r="CQ403" s="15">
        <v>544480.0</v>
      </c>
      <c r="CR403" s="15">
        <v>496400.0</v>
      </c>
      <c r="CS403" s="15">
        <v>832730.0</v>
      </c>
      <c r="CT403" s="15">
        <v>697340.0</v>
      </c>
      <c r="CU403" s="15">
        <v>548010.0</v>
      </c>
      <c r="CV403" s="15">
        <v>2220000.0</v>
      </c>
      <c r="CW403" s="15">
        <v>874590.0</v>
      </c>
      <c r="CX403" s="15">
        <v>545780.0</v>
      </c>
      <c r="CY403" s="15">
        <v>1180000.0</v>
      </c>
      <c r="CZ403" s="15">
        <v>738630.0</v>
      </c>
      <c r="DA403" s="15">
        <v>761380.0</v>
      </c>
      <c r="DB403" s="15">
        <v>2220000.0</v>
      </c>
      <c r="DC403" s="15">
        <v>1610000.0</v>
      </c>
      <c r="DD403" s="15">
        <v>2720000.0</v>
      </c>
      <c r="DE403" s="15">
        <v>2040000.0</v>
      </c>
      <c r="DF403" s="15">
        <v>1.23E7</v>
      </c>
      <c r="DG403" s="15">
        <v>9910000.0</v>
      </c>
      <c r="DH403" s="15">
        <v>1.163E7</v>
      </c>
      <c r="DI403" s="15">
        <v>1.059E7</v>
      </c>
      <c r="DJ403" s="15">
        <v>9110000.0</v>
      </c>
      <c r="DK403" s="15">
        <v>3170000.0</v>
      </c>
      <c r="DL403" s="15">
        <v>3050000.0</v>
      </c>
      <c r="DM403" s="15">
        <v>3240000.0</v>
      </c>
      <c r="DN403" s="15">
        <v>3260000.0</v>
      </c>
      <c r="DO403" s="15">
        <v>3640000.0</v>
      </c>
      <c r="DP403" s="15">
        <v>7350000.0</v>
      </c>
      <c r="DQ403" s="15">
        <v>5390000.0</v>
      </c>
      <c r="DR403" s="15">
        <v>5570000.0</v>
      </c>
      <c r="DS403" s="15">
        <v>5180000.0</v>
      </c>
      <c r="DT403" s="15">
        <v>4360000.0</v>
      </c>
      <c r="DU403" s="15"/>
      <c r="DV403" s="15"/>
      <c r="DW403" s="15"/>
      <c r="DX403" s="15"/>
      <c r="DY403" s="15"/>
      <c r="DZ403" s="15">
        <v>1340000.0</v>
      </c>
      <c r="EA403" s="15">
        <v>1710000.0</v>
      </c>
      <c r="EB403" s="15">
        <v>1820000.0</v>
      </c>
      <c r="EC403" s="15">
        <v>1930000.0</v>
      </c>
      <c r="ED403" s="15">
        <v>1490000.0</v>
      </c>
      <c r="EE403" s="31">
        <v>0.108</v>
      </c>
      <c r="EF403" s="31">
        <v>0.062</v>
      </c>
      <c r="EG403" s="31">
        <v>1.842</v>
      </c>
      <c r="EH403" s="31"/>
    </row>
    <row r="404">
      <c r="A404" s="9">
        <f t="shared" si="2"/>
        <v>402</v>
      </c>
      <c r="B404" s="10" t="s">
        <v>538</v>
      </c>
      <c r="C404" s="11">
        <v>440080.0</v>
      </c>
      <c r="D404" s="11">
        <v>436970.0</v>
      </c>
      <c r="E404" s="11">
        <v>447240.0</v>
      </c>
      <c r="F404" s="11">
        <v>458730.0</v>
      </c>
      <c r="G404" s="11">
        <v>451730.0</v>
      </c>
      <c r="H404" s="11">
        <v>498330.0</v>
      </c>
      <c r="I404" s="11">
        <v>567940.0</v>
      </c>
      <c r="J404" s="11">
        <v>227910.0</v>
      </c>
      <c r="K404" s="11">
        <v>224930.0</v>
      </c>
      <c r="L404" s="11">
        <v>210170.0</v>
      </c>
      <c r="M404" s="11">
        <v>240450.0</v>
      </c>
      <c r="N404" s="11">
        <v>307290.0</v>
      </c>
      <c r="O404" s="11">
        <v>26840.0</v>
      </c>
      <c r="P404" s="11">
        <v>26330.0</v>
      </c>
      <c r="Q404" s="11">
        <v>22670.0</v>
      </c>
      <c r="R404" s="11">
        <v>37940.0</v>
      </c>
      <c r="S404" s="11">
        <v>21830.0</v>
      </c>
      <c r="T404" s="12"/>
      <c r="U404" s="12"/>
      <c r="V404" s="12"/>
      <c r="W404" s="12"/>
      <c r="X404" s="12"/>
      <c r="Y404" s="12"/>
      <c r="Z404" s="11">
        <v>52940.0</v>
      </c>
      <c r="AA404" s="11">
        <v>170000.0</v>
      </c>
      <c r="AB404" s="11">
        <v>-208010.0</v>
      </c>
      <c r="AC404" s="11">
        <v>260680.0</v>
      </c>
      <c r="AD404" s="11">
        <v>129650.0</v>
      </c>
      <c r="AE404" s="11">
        <v>-34300.0</v>
      </c>
      <c r="AF404" s="11">
        <v>82940.0</v>
      </c>
      <c r="AG404" s="11">
        <v>-349940.0</v>
      </c>
      <c r="AH404" s="11">
        <v>118960.0</v>
      </c>
      <c r="AI404" s="11">
        <v>306310.0</v>
      </c>
      <c r="AJ404" s="11">
        <v>315590.0</v>
      </c>
      <c r="AK404" s="11">
        <v>309470.0</v>
      </c>
      <c r="AL404" s="11">
        <v>337080.0</v>
      </c>
      <c r="AM404" s="11">
        <v>421090.0</v>
      </c>
      <c r="AN404" s="11">
        <v>131250.0</v>
      </c>
      <c r="AO404" s="11">
        <v>-32940.0</v>
      </c>
      <c r="AP404" s="11">
        <v>83910.0</v>
      </c>
      <c r="AQ404" s="11">
        <v>-366200.0</v>
      </c>
      <c r="AR404" s="11">
        <v>117020.0</v>
      </c>
      <c r="AS404" s="11">
        <v>189400.0</v>
      </c>
      <c r="AT404" s="11">
        <v>129680.0</v>
      </c>
      <c r="AU404" s="11">
        <v>181070.0</v>
      </c>
      <c r="AV404" s="11">
        <v>261970.0</v>
      </c>
      <c r="AW404" s="11">
        <v>270980.0</v>
      </c>
      <c r="AX404" s="11">
        <v>-21360.0</v>
      </c>
      <c r="AY404" s="11">
        <v>-8250.0</v>
      </c>
      <c r="AZ404" s="11">
        <v>-4480.0</v>
      </c>
      <c r="BA404" s="11">
        <v>-4560.0</v>
      </c>
      <c r="BB404" s="11">
        <v>-1110.0</v>
      </c>
      <c r="BC404" s="12"/>
      <c r="BD404" s="12"/>
      <c r="BE404" s="12"/>
      <c r="BF404" s="12"/>
      <c r="BG404" s="12"/>
      <c r="BH404" s="11">
        <v>139170.0</v>
      </c>
      <c r="BI404" s="11">
        <v>77280.0</v>
      </c>
      <c r="BJ404" s="11">
        <v>69710.0</v>
      </c>
      <c r="BK404" s="11">
        <v>76530.0</v>
      </c>
      <c r="BL404" s="11">
        <v>75210.0</v>
      </c>
      <c r="BM404" s="11">
        <v>7150.0</v>
      </c>
      <c r="BN404" s="11">
        <v>9230.0</v>
      </c>
      <c r="BO404" s="11">
        <v>40510.0</v>
      </c>
      <c r="BP404" s="11">
        <v>40630.0</v>
      </c>
      <c r="BQ404" s="11">
        <v>30610.0</v>
      </c>
      <c r="BR404" s="11">
        <v>8490.0</v>
      </c>
      <c r="BS404" s="11">
        <v>8880.0</v>
      </c>
      <c r="BT404" s="11">
        <v>8840.0</v>
      </c>
      <c r="BU404" s="11">
        <v>11400.0</v>
      </c>
      <c r="BV404" s="11">
        <v>11040.0</v>
      </c>
      <c r="BW404" s="11">
        <v>190390.0</v>
      </c>
      <c r="BX404" s="11">
        <v>119750.0</v>
      </c>
      <c r="BY404" s="11">
        <v>126000.0</v>
      </c>
      <c r="BZ404" s="11">
        <v>135950.0</v>
      </c>
      <c r="CA404" s="11">
        <v>127570.0</v>
      </c>
      <c r="CB404" s="11">
        <v>2410000.0</v>
      </c>
      <c r="CC404" s="11">
        <v>2490000.0</v>
      </c>
      <c r="CD404" s="11">
        <v>2800000.0</v>
      </c>
      <c r="CE404" s="11">
        <v>2910000.0</v>
      </c>
      <c r="CF404" s="11">
        <v>3450000.0</v>
      </c>
      <c r="CG404" s="11"/>
      <c r="CH404" s="11"/>
      <c r="CI404" s="11"/>
      <c r="CJ404" s="11"/>
      <c r="CK404" s="11"/>
      <c r="CL404" s="11">
        <v>2680000.0</v>
      </c>
      <c r="CM404" s="11">
        <v>2680000.0</v>
      </c>
      <c r="CN404" s="11">
        <v>2990000.0</v>
      </c>
      <c r="CO404" s="11">
        <v>3130000.0</v>
      </c>
      <c r="CP404" s="11">
        <v>3700000.0</v>
      </c>
      <c r="CQ404" s="11">
        <v>11170.0</v>
      </c>
      <c r="CR404" s="11">
        <v>10480.0</v>
      </c>
      <c r="CS404" s="11">
        <v>11370.0</v>
      </c>
      <c r="CT404" s="11">
        <v>11160.0</v>
      </c>
      <c r="CU404" s="11">
        <v>12970.0</v>
      </c>
      <c r="CV404" s="11">
        <v>223080.0</v>
      </c>
      <c r="CW404" s="11">
        <v>16340.0</v>
      </c>
      <c r="CX404" s="12"/>
      <c r="CY404" s="12"/>
      <c r="CZ404" s="12"/>
      <c r="DA404" s="12"/>
      <c r="DB404" s="11">
        <v>223080.0</v>
      </c>
      <c r="DC404" s="11">
        <v>222700.0</v>
      </c>
      <c r="DD404" s="11">
        <v>2380000.0</v>
      </c>
      <c r="DE404" s="11">
        <v>2570000.0</v>
      </c>
      <c r="DF404" s="11">
        <v>1800000.0</v>
      </c>
      <c r="DG404" s="11">
        <v>1990000.0</v>
      </c>
      <c r="DH404" s="11">
        <v>2440000.0</v>
      </c>
      <c r="DI404" s="11">
        <v>2640000.0</v>
      </c>
      <c r="DJ404" s="11">
        <v>2860000.0</v>
      </c>
      <c r="DK404" s="11">
        <v>40420.0</v>
      </c>
      <c r="DL404" s="11">
        <v>36250.0</v>
      </c>
      <c r="DM404" s="11">
        <v>40600.0</v>
      </c>
      <c r="DN404" s="11">
        <v>70920.0</v>
      </c>
      <c r="DO404" s="11">
        <v>79080.0</v>
      </c>
      <c r="DP404" s="11">
        <v>1390000.0</v>
      </c>
      <c r="DQ404" s="11">
        <v>1510000.0</v>
      </c>
      <c r="DR404" s="12"/>
      <c r="DS404" s="12"/>
      <c r="DT404" s="11">
        <v>2510000.0</v>
      </c>
      <c r="DU404" s="13"/>
      <c r="DV404" s="12"/>
      <c r="DW404" s="12"/>
      <c r="DX404" s="12"/>
      <c r="DY404" s="12"/>
      <c r="DZ404" s="11">
        <v>881690.0</v>
      </c>
      <c r="EA404" s="11">
        <v>690850.0</v>
      </c>
      <c r="EB404" s="11">
        <v>548710.0</v>
      </c>
      <c r="EC404" s="11">
        <v>487710.0</v>
      </c>
      <c r="ED404" s="11">
        <v>841910.0</v>
      </c>
      <c r="EE404" s="14">
        <v>0.0</v>
      </c>
      <c r="EF404" s="14">
        <v>0.0</v>
      </c>
      <c r="EG404" s="14">
        <v>0.204</v>
      </c>
      <c r="EH404" s="14">
        <v>0.171</v>
      </c>
    </row>
    <row r="405">
      <c r="A405" s="9">
        <f t="shared" si="2"/>
        <v>403</v>
      </c>
      <c r="B405" s="18" t="s">
        <v>539</v>
      </c>
      <c r="C405" s="19">
        <v>3.038E7</v>
      </c>
      <c r="D405" s="19">
        <v>1.785E7</v>
      </c>
      <c r="E405" s="19">
        <v>4.701E7</v>
      </c>
      <c r="F405" s="19">
        <v>4.444E7</v>
      </c>
      <c r="G405" s="19">
        <v>4.113E7</v>
      </c>
      <c r="H405" s="19">
        <v>3.96E7</v>
      </c>
      <c r="I405" s="19">
        <v>4.051E7</v>
      </c>
      <c r="J405" s="19">
        <v>1.042E7</v>
      </c>
      <c r="K405" s="19">
        <v>8930000.0</v>
      </c>
      <c r="L405" s="19">
        <v>9470000.0</v>
      </c>
      <c r="M405" s="19">
        <v>1.098E7</v>
      </c>
      <c r="N405" s="19">
        <v>1.205E7</v>
      </c>
      <c r="O405" s="19">
        <v>1990000.0</v>
      </c>
      <c r="P405" s="19">
        <v>1940000.0</v>
      </c>
      <c r="Q405" s="19">
        <v>1830000.0</v>
      </c>
      <c r="R405" s="19">
        <v>1710000.0</v>
      </c>
      <c r="S405" s="19">
        <v>1670000.0</v>
      </c>
      <c r="T405" s="20"/>
      <c r="U405" s="20"/>
      <c r="V405" s="20"/>
      <c r="W405" s="20"/>
      <c r="X405" s="20"/>
      <c r="Y405" s="19">
        <v>6630000.0</v>
      </c>
      <c r="Z405" s="19">
        <v>5280000.0</v>
      </c>
      <c r="AA405" s="19">
        <v>-81000.0</v>
      </c>
      <c r="AB405" s="19">
        <v>7030000.0</v>
      </c>
      <c r="AC405" s="19">
        <v>7630000.0</v>
      </c>
      <c r="AD405" s="19">
        <v>6200000.0</v>
      </c>
      <c r="AE405" s="19">
        <v>5150000.0</v>
      </c>
      <c r="AF405" s="19">
        <v>5500000.0</v>
      </c>
      <c r="AG405" s="19">
        <v>6640000.0</v>
      </c>
      <c r="AH405" s="19">
        <v>7160000.0</v>
      </c>
      <c r="AI405" s="19">
        <v>9240000.0</v>
      </c>
      <c r="AJ405" s="19">
        <v>7600000.0</v>
      </c>
      <c r="AK405" s="19">
        <v>8260000.0</v>
      </c>
      <c r="AL405" s="19">
        <v>9180000.0</v>
      </c>
      <c r="AM405" s="19">
        <v>1.022E7</v>
      </c>
      <c r="AN405" s="19">
        <v>4770000.0</v>
      </c>
      <c r="AO405" s="19">
        <v>3940000.0</v>
      </c>
      <c r="AP405" s="19">
        <v>3210000.0</v>
      </c>
      <c r="AQ405" s="19">
        <v>4370000.0</v>
      </c>
      <c r="AR405" s="19">
        <v>4530000.0</v>
      </c>
      <c r="AS405" s="19">
        <v>8430000.0</v>
      </c>
      <c r="AT405" s="19">
        <v>7010000.0</v>
      </c>
      <c r="AU405" s="19">
        <v>5020000.0</v>
      </c>
      <c r="AV405" s="19">
        <v>7220000.0</v>
      </c>
      <c r="AW405" s="19">
        <v>7920000.0</v>
      </c>
      <c r="AX405" s="19">
        <v>-4940000.0</v>
      </c>
      <c r="AY405" s="19">
        <v>-5170000.0</v>
      </c>
      <c r="AZ405" s="19">
        <v>-3890000.0</v>
      </c>
      <c r="BA405" s="19">
        <v>-3390000.0</v>
      </c>
      <c r="BB405" s="19">
        <v>-2950000.0</v>
      </c>
      <c r="BC405" s="19">
        <v>-980000.0</v>
      </c>
      <c r="BD405" s="19">
        <v>-909000.0</v>
      </c>
      <c r="BE405" s="19">
        <v>-731000.0</v>
      </c>
      <c r="BF405" s="19">
        <v>-509000.0</v>
      </c>
      <c r="BG405" s="19">
        <v>-359000.0</v>
      </c>
      <c r="BH405" s="19">
        <v>3090000.0</v>
      </c>
      <c r="BI405" s="19">
        <v>1820000.0</v>
      </c>
      <c r="BJ405" s="19">
        <v>2640000.0</v>
      </c>
      <c r="BK405" s="19">
        <v>3640000.0</v>
      </c>
      <c r="BL405" s="19">
        <v>5420000.0</v>
      </c>
      <c r="BM405" s="19">
        <v>2850000.0</v>
      </c>
      <c r="BN405" s="19">
        <v>2310000.0</v>
      </c>
      <c r="BO405" s="19">
        <v>2380000.0</v>
      </c>
      <c r="BP405" s="19">
        <v>2060000.0</v>
      </c>
      <c r="BQ405" s="19">
        <v>2140000.0</v>
      </c>
      <c r="BR405" s="19">
        <v>1250000.0</v>
      </c>
      <c r="BS405" s="19">
        <v>1060000.0</v>
      </c>
      <c r="BT405" s="19">
        <v>1330000.0</v>
      </c>
      <c r="BU405" s="19">
        <v>891000.0</v>
      </c>
      <c r="BV405" s="19">
        <v>697000.0</v>
      </c>
      <c r="BW405" s="19">
        <v>8250000.0</v>
      </c>
      <c r="BX405" s="19">
        <v>6340000.0</v>
      </c>
      <c r="BY405" s="19">
        <v>7800000.0</v>
      </c>
      <c r="BZ405" s="19">
        <v>7450000.0</v>
      </c>
      <c r="CA405" s="19">
        <v>9060000.0</v>
      </c>
      <c r="CB405" s="19">
        <v>3.694E7</v>
      </c>
      <c r="CC405" s="19">
        <v>3.433E7</v>
      </c>
      <c r="CD405" s="19">
        <v>2.656E7</v>
      </c>
      <c r="CE405" s="19">
        <v>2.438E7</v>
      </c>
      <c r="CF405" s="19">
        <v>2.304E7</v>
      </c>
      <c r="CG405" s="19">
        <v>9780000.0</v>
      </c>
      <c r="CH405" s="19">
        <v>9780000.0</v>
      </c>
      <c r="CI405" s="19">
        <v>9790000.0</v>
      </c>
      <c r="CJ405" s="19">
        <v>9790000.0</v>
      </c>
      <c r="CK405" s="19">
        <v>9790000.0</v>
      </c>
      <c r="CL405" s="19">
        <v>6.453E7</v>
      </c>
      <c r="CM405" s="19">
        <v>6.027E7</v>
      </c>
      <c r="CN405" s="19">
        <v>5.367E7</v>
      </c>
      <c r="CO405" s="19">
        <v>5.89E7</v>
      </c>
      <c r="CP405" s="19">
        <v>6.063E7</v>
      </c>
      <c r="CQ405" s="19">
        <v>3270000.0</v>
      </c>
      <c r="CR405" s="19">
        <v>2980000.0</v>
      </c>
      <c r="CS405" s="19">
        <v>3630000.0</v>
      </c>
      <c r="CT405" s="19">
        <v>2570000.0</v>
      </c>
      <c r="CU405" s="19">
        <v>2740000.0</v>
      </c>
      <c r="CV405" s="19">
        <v>2.02E7</v>
      </c>
      <c r="CW405" s="19">
        <v>801000.0</v>
      </c>
      <c r="CX405" s="19">
        <v>955000.0</v>
      </c>
      <c r="CY405" s="20"/>
      <c r="CZ405" s="20"/>
      <c r="DA405" s="20"/>
      <c r="DB405" s="19">
        <v>2.02E7</v>
      </c>
      <c r="DC405" s="19">
        <v>1.858E7</v>
      </c>
      <c r="DD405" s="19">
        <v>1.896E7</v>
      </c>
      <c r="DE405" s="19">
        <v>1.524E7</v>
      </c>
      <c r="DF405" s="19">
        <v>4.917E7</v>
      </c>
      <c r="DG405" s="19">
        <v>4.658E7</v>
      </c>
      <c r="DH405" s="19">
        <v>4.114E7</v>
      </c>
      <c r="DI405" s="19">
        <v>4.661E7</v>
      </c>
      <c r="DJ405" s="19">
        <v>4.978E7</v>
      </c>
      <c r="DK405" s="19">
        <v>1790000.0</v>
      </c>
      <c r="DL405" s="19">
        <v>2020000.0</v>
      </c>
      <c r="DM405" s="19">
        <v>485000.0</v>
      </c>
      <c r="DN405" s="19">
        <v>146000.0</v>
      </c>
      <c r="DO405" s="19">
        <v>179000.0</v>
      </c>
      <c r="DP405" s="19">
        <v>1.417E7</v>
      </c>
      <c r="DQ405" s="19">
        <v>1.405E7</v>
      </c>
      <c r="DR405" s="19">
        <v>6590000.0</v>
      </c>
      <c r="DS405" s="19">
        <v>6200000.0</v>
      </c>
      <c r="DT405" s="19">
        <v>6770000.0</v>
      </c>
      <c r="DU405" s="20"/>
      <c r="DV405" s="20"/>
      <c r="DW405" s="20"/>
      <c r="DX405" s="20"/>
      <c r="DY405" s="20"/>
      <c r="DZ405" s="19">
        <v>1.536E7</v>
      </c>
      <c r="EA405" s="19">
        <v>1.369E7</v>
      </c>
      <c r="EB405" s="19">
        <v>1.253E7</v>
      </c>
      <c r="EC405" s="19">
        <v>1.229E7</v>
      </c>
      <c r="ED405" s="19">
        <v>1.085E7</v>
      </c>
      <c r="EE405" s="21">
        <v>0.181</v>
      </c>
      <c r="EF405" s="21">
        <v>0.539</v>
      </c>
      <c r="EG405" s="21">
        <v>-0.088</v>
      </c>
      <c r="EH405" s="21">
        <v>0.106</v>
      </c>
    </row>
    <row r="406">
      <c r="A406" s="9">
        <f t="shared" si="2"/>
        <v>404</v>
      </c>
      <c r="B406" s="10" t="s">
        <v>540</v>
      </c>
      <c r="C406" s="15">
        <v>3580000.0</v>
      </c>
      <c r="D406" s="15">
        <v>3420000.0</v>
      </c>
      <c r="E406" s="15">
        <v>3360000.0</v>
      </c>
      <c r="F406" s="15">
        <v>3390000.0</v>
      </c>
      <c r="G406" s="15">
        <v>3660000.0</v>
      </c>
      <c r="H406" s="15">
        <v>3390000.0</v>
      </c>
      <c r="I406" s="15">
        <v>3400000.0</v>
      </c>
      <c r="J406" s="15">
        <v>446520.0</v>
      </c>
      <c r="K406" s="15">
        <v>421550.0</v>
      </c>
      <c r="L406" s="15">
        <v>481490.0</v>
      </c>
      <c r="M406" s="15">
        <v>462130.0</v>
      </c>
      <c r="N406" s="15">
        <v>470060.0</v>
      </c>
      <c r="O406" s="15">
        <v>356870.0</v>
      </c>
      <c r="P406" s="15">
        <v>306220.0</v>
      </c>
      <c r="Q406" s="15">
        <v>346270.0</v>
      </c>
      <c r="R406" s="15">
        <v>322550.0</v>
      </c>
      <c r="S406" s="15">
        <v>315070.0</v>
      </c>
      <c r="T406" s="15"/>
      <c r="U406" s="15"/>
      <c r="V406" s="15"/>
      <c r="W406" s="15"/>
      <c r="X406" s="15"/>
      <c r="Y406" s="15">
        <v>75330.0</v>
      </c>
      <c r="Z406" s="15">
        <v>71970.0</v>
      </c>
      <c r="AA406" s="15">
        <v>14220.0</v>
      </c>
      <c r="AB406" s="15">
        <v>10490.0</v>
      </c>
      <c r="AC406" s="15">
        <v>9080.0</v>
      </c>
      <c r="AD406" s="15">
        <v>380430.0</v>
      </c>
      <c r="AE406" s="15">
        <v>117980.0</v>
      </c>
      <c r="AF406" s="15">
        <v>64200.0</v>
      </c>
      <c r="AG406" s="15">
        <v>122540.0</v>
      </c>
      <c r="AH406" s="15">
        <v>98780.0</v>
      </c>
      <c r="AI406" s="15">
        <v>415160.0</v>
      </c>
      <c r="AJ406" s="15">
        <v>436520.0</v>
      </c>
      <c r="AK406" s="15">
        <v>437330.0</v>
      </c>
      <c r="AL406" s="15">
        <v>429490.0</v>
      </c>
      <c r="AM406" s="15">
        <v>424900.0</v>
      </c>
      <c r="AN406" s="15">
        <v>312600.0</v>
      </c>
      <c r="AO406" s="15">
        <v>101500.0</v>
      </c>
      <c r="AP406" s="15">
        <v>128470.0</v>
      </c>
      <c r="AQ406" s="15">
        <v>102310.0</v>
      </c>
      <c r="AR406" s="15">
        <v>78530.0</v>
      </c>
      <c r="AS406" s="15">
        <v>362620.0</v>
      </c>
      <c r="AT406" s="15">
        <v>398620.0</v>
      </c>
      <c r="AU406" s="15">
        <v>410440.0</v>
      </c>
      <c r="AV406" s="15">
        <v>391040.0</v>
      </c>
      <c r="AW406" s="15">
        <v>420960.0</v>
      </c>
      <c r="AX406" s="15">
        <v>-363150.0</v>
      </c>
      <c r="AY406" s="15">
        <v>-325780.0</v>
      </c>
      <c r="AZ406" s="15">
        <v>-281300.0</v>
      </c>
      <c r="BA406" s="15">
        <v>-243550.0</v>
      </c>
      <c r="BB406" s="15">
        <v>-233690.0</v>
      </c>
      <c r="BC406" s="13"/>
      <c r="BD406" s="13"/>
      <c r="BE406" s="13"/>
      <c r="BF406" s="13"/>
      <c r="BG406" s="13"/>
      <c r="BH406" s="15">
        <v>73050.0</v>
      </c>
      <c r="BI406" s="15">
        <v>107370.0</v>
      </c>
      <c r="BJ406" s="15">
        <v>106920.0</v>
      </c>
      <c r="BK406" s="15">
        <v>114860.0</v>
      </c>
      <c r="BL406" s="15">
        <v>157220.0</v>
      </c>
      <c r="BM406" s="15">
        <v>409660.0</v>
      </c>
      <c r="BN406" s="15">
        <v>392200.0</v>
      </c>
      <c r="BO406" s="15">
        <v>396360.0</v>
      </c>
      <c r="BP406" s="15">
        <v>395880.0</v>
      </c>
      <c r="BQ406" s="15">
        <v>383360.0</v>
      </c>
      <c r="BR406" s="15">
        <v>362960.0</v>
      </c>
      <c r="BS406" s="15">
        <v>341030.0</v>
      </c>
      <c r="BT406" s="15">
        <v>358180.0</v>
      </c>
      <c r="BU406" s="15">
        <v>330820.0</v>
      </c>
      <c r="BV406" s="15">
        <v>344580.0</v>
      </c>
      <c r="BW406" s="15">
        <v>917290.0</v>
      </c>
      <c r="BX406" s="15">
        <v>897940.0</v>
      </c>
      <c r="BY406" s="15">
        <v>956450.0</v>
      </c>
      <c r="BZ406" s="15">
        <v>893300.0</v>
      </c>
      <c r="CA406" s="15">
        <v>931790.0</v>
      </c>
      <c r="CB406" s="15">
        <v>1930000.0</v>
      </c>
      <c r="CC406" s="15">
        <v>1690000.0</v>
      </c>
      <c r="CD406" s="15">
        <v>1650000.0</v>
      </c>
      <c r="CE406" s="15">
        <v>1520000.0</v>
      </c>
      <c r="CF406" s="15">
        <v>1510000.0</v>
      </c>
      <c r="CG406" s="15">
        <v>1220000.0</v>
      </c>
      <c r="CH406" s="15">
        <v>1230000.0</v>
      </c>
      <c r="CI406" s="15">
        <v>1300000.0</v>
      </c>
      <c r="CJ406" s="15">
        <v>1230000.0</v>
      </c>
      <c r="CK406" s="15">
        <v>1230000.0</v>
      </c>
      <c r="CL406" s="15">
        <v>5350000.0</v>
      </c>
      <c r="CM406" s="15">
        <v>4890000.0</v>
      </c>
      <c r="CN406" s="15">
        <v>4960000.0</v>
      </c>
      <c r="CO406" s="15">
        <v>4700000.0</v>
      </c>
      <c r="CP406" s="15">
        <v>4760000.0</v>
      </c>
      <c r="CQ406" s="15">
        <v>239250.0</v>
      </c>
      <c r="CR406" s="15">
        <v>219480.0</v>
      </c>
      <c r="CS406" s="15">
        <v>217420.0</v>
      </c>
      <c r="CT406" s="15">
        <v>180900.0</v>
      </c>
      <c r="CU406" s="15">
        <v>150000.0</v>
      </c>
      <c r="CV406" s="15">
        <v>688340.0</v>
      </c>
      <c r="CW406" s="15">
        <v>37810.0</v>
      </c>
      <c r="CX406" s="13"/>
      <c r="CY406" s="13"/>
      <c r="CZ406" s="13"/>
      <c r="DA406" s="12"/>
      <c r="DB406" s="15">
        <v>688340.0</v>
      </c>
      <c r="DC406" s="15">
        <v>540500.0</v>
      </c>
      <c r="DD406" s="15">
        <v>559480.0</v>
      </c>
      <c r="DE406" s="15">
        <v>451850.0</v>
      </c>
      <c r="DF406" s="15">
        <v>2700000.0</v>
      </c>
      <c r="DG406" s="15">
        <v>2550000.0</v>
      </c>
      <c r="DH406" s="15">
        <v>2630000.0</v>
      </c>
      <c r="DI406" s="15">
        <v>2620000.0</v>
      </c>
      <c r="DJ406" s="15">
        <v>2790000.0</v>
      </c>
      <c r="DK406" s="15">
        <v>689350.0</v>
      </c>
      <c r="DL406" s="15">
        <v>410180.0</v>
      </c>
      <c r="DM406" s="15">
        <v>302040.0</v>
      </c>
      <c r="DN406" s="15">
        <v>292720.0</v>
      </c>
      <c r="DO406" s="15">
        <v>247240.0</v>
      </c>
      <c r="DP406" s="15">
        <v>1650000.0</v>
      </c>
      <c r="DQ406" s="15">
        <v>1670000.0</v>
      </c>
      <c r="DR406" s="15">
        <v>1700000.0</v>
      </c>
      <c r="DS406" s="15">
        <v>1730000.0</v>
      </c>
      <c r="DT406" s="15">
        <v>1890000.0</v>
      </c>
      <c r="DU406" s="13"/>
      <c r="DV406" s="12"/>
      <c r="DW406" s="12"/>
      <c r="DX406" s="13"/>
      <c r="DY406" s="13"/>
      <c r="DZ406" s="15">
        <v>2570000.0</v>
      </c>
      <c r="EA406" s="15">
        <v>2270000.0</v>
      </c>
      <c r="EB406" s="15">
        <v>2240000.0</v>
      </c>
      <c r="EC406" s="15">
        <v>1970000.0</v>
      </c>
      <c r="ED406" s="15">
        <v>1870000.0</v>
      </c>
      <c r="EE406" s="17">
        <v>0.044</v>
      </c>
      <c r="EF406" s="17">
        <v>0.092</v>
      </c>
      <c r="EG406" s="17">
        <v>0.275</v>
      </c>
      <c r="EH406" s="17">
        <v>1.398</v>
      </c>
    </row>
    <row r="407">
      <c r="A407" s="9">
        <f t="shared" si="2"/>
        <v>405</v>
      </c>
      <c r="B407" s="22" t="s">
        <v>541</v>
      </c>
      <c r="C407" s="11">
        <v>43200.0</v>
      </c>
      <c r="D407" s="11">
        <v>19430.0</v>
      </c>
      <c r="E407" s="12"/>
      <c r="F407" s="12"/>
      <c r="G407" s="12"/>
      <c r="H407" s="12"/>
      <c r="I407" s="11">
        <v>202.0</v>
      </c>
      <c r="J407" s="11">
        <v>-6110.0</v>
      </c>
      <c r="K407" s="11">
        <v>-4210.0</v>
      </c>
      <c r="L407" s="11">
        <v>-2930.0</v>
      </c>
      <c r="M407" s="11">
        <v>-1350.0</v>
      </c>
      <c r="N407" s="11">
        <v>-999.0</v>
      </c>
      <c r="O407" s="11">
        <v>158730.0</v>
      </c>
      <c r="P407" s="11">
        <v>176530.0</v>
      </c>
      <c r="Q407" s="11">
        <v>153970.0</v>
      </c>
      <c r="R407" s="11">
        <v>123770.0</v>
      </c>
      <c r="S407" s="11">
        <v>50510.0</v>
      </c>
      <c r="T407" s="11">
        <v>96640.0</v>
      </c>
      <c r="U407" s="11">
        <v>104680.0</v>
      </c>
      <c r="V407" s="11">
        <v>102810.0</v>
      </c>
      <c r="W407" s="11">
        <v>77690.0</v>
      </c>
      <c r="X407" s="11">
        <v>33230.0</v>
      </c>
      <c r="Y407" s="12"/>
      <c r="Z407" s="12"/>
      <c r="AA407" s="12"/>
      <c r="AB407" s="12"/>
      <c r="AC407" s="12"/>
      <c r="AD407" s="11">
        <v>-162810.0</v>
      </c>
      <c r="AE407" s="11">
        <v>-177100.0</v>
      </c>
      <c r="AF407" s="11">
        <v>-157020.0</v>
      </c>
      <c r="AG407" s="11">
        <v>-121760.0</v>
      </c>
      <c r="AH407" s="11">
        <v>-50360.0</v>
      </c>
      <c r="AI407" s="11">
        <v>-158730.0</v>
      </c>
      <c r="AJ407" s="11">
        <v>-176530.0</v>
      </c>
      <c r="AK407" s="11">
        <v>-153970.0</v>
      </c>
      <c r="AL407" s="11">
        <v>-123460.0</v>
      </c>
      <c r="AM407" s="11">
        <v>-50440.0</v>
      </c>
      <c r="AN407" s="11">
        <v>-153590.0</v>
      </c>
      <c r="AO407" s="11">
        <v>-166080.0</v>
      </c>
      <c r="AP407" s="11">
        <v>-147690.0</v>
      </c>
      <c r="AQ407" s="11">
        <v>-114530.0</v>
      </c>
      <c r="AR407" s="11">
        <v>-44670.0</v>
      </c>
      <c r="AS407" s="11">
        <v>-128520.0</v>
      </c>
      <c r="AT407" s="11">
        <v>-136620.0</v>
      </c>
      <c r="AU407" s="11">
        <v>-114310.0</v>
      </c>
      <c r="AV407" s="11">
        <v>-59540.0</v>
      </c>
      <c r="AW407" s="11">
        <v>-26760.0</v>
      </c>
      <c r="AX407" s="11">
        <v>-5000.0</v>
      </c>
      <c r="AY407" s="11">
        <v>-4750.0</v>
      </c>
      <c r="AZ407" s="11">
        <v>-7550.0</v>
      </c>
      <c r="BA407" s="11">
        <v>-8210.0</v>
      </c>
      <c r="BB407" s="11">
        <v>-4510.0</v>
      </c>
      <c r="BC407" s="12"/>
      <c r="BD407" s="12"/>
      <c r="BE407" s="12"/>
      <c r="BF407" s="12"/>
      <c r="BG407" s="12"/>
      <c r="BH407" s="11">
        <v>172030.0</v>
      </c>
      <c r="BI407" s="11">
        <v>122770.0</v>
      </c>
      <c r="BJ407" s="11">
        <v>137880.0</v>
      </c>
      <c r="BK407" s="11">
        <v>256470.0</v>
      </c>
      <c r="BL407" s="11">
        <v>323380.0</v>
      </c>
      <c r="BM407" s="11">
        <v>4820.0</v>
      </c>
      <c r="BN407" s="11">
        <v>16870.0</v>
      </c>
      <c r="BO407" s="11">
        <v>16930.0</v>
      </c>
      <c r="BP407" s="11">
        <v>12980.0</v>
      </c>
      <c r="BQ407" s="11">
        <v>9660.0</v>
      </c>
      <c r="BR407" s="11">
        <v>2040.0</v>
      </c>
      <c r="BS407" s="11">
        <v>1570.0</v>
      </c>
      <c r="BT407" s="12"/>
      <c r="BU407" s="12"/>
      <c r="BV407" s="12"/>
      <c r="BW407" s="11">
        <v>182090.0</v>
      </c>
      <c r="BX407" s="11">
        <v>145470.0</v>
      </c>
      <c r="BY407" s="11">
        <v>156870.0</v>
      </c>
      <c r="BZ407" s="11">
        <v>272180.0</v>
      </c>
      <c r="CA407" s="11">
        <v>334890.0</v>
      </c>
      <c r="CB407" s="11">
        <v>42860.0</v>
      </c>
      <c r="CC407" s="11">
        <v>20220.0</v>
      </c>
      <c r="CD407" s="11">
        <v>17810.0</v>
      </c>
      <c r="CE407" s="11">
        <v>12480.0</v>
      </c>
      <c r="CF407" s="11">
        <v>5580.0</v>
      </c>
      <c r="CG407" s="12"/>
      <c r="CH407" s="12"/>
      <c r="CI407" s="12"/>
      <c r="CJ407" s="12"/>
      <c r="CK407" s="12"/>
      <c r="CL407" s="11">
        <v>240430.0</v>
      </c>
      <c r="CM407" s="11">
        <v>171320.0</v>
      </c>
      <c r="CN407" s="11">
        <v>176470.0</v>
      </c>
      <c r="CO407" s="11">
        <v>286190.0</v>
      </c>
      <c r="CP407" s="11">
        <v>341900.0</v>
      </c>
      <c r="CQ407" s="11">
        <v>21370.0</v>
      </c>
      <c r="CR407" s="12"/>
      <c r="CS407" s="12"/>
      <c r="CT407" s="11">
        <v>13720.0</v>
      </c>
      <c r="CU407" s="11">
        <v>10030.0</v>
      </c>
      <c r="CV407" s="11">
        <v>48070.0</v>
      </c>
      <c r="CW407" s="11">
        <v>577.0</v>
      </c>
      <c r="CX407" s="11">
        <v>1200.0</v>
      </c>
      <c r="CY407" s="11">
        <v>2330.0</v>
      </c>
      <c r="CZ407" s="24">
        <v>591.0</v>
      </c>
      <c r="DA407" s="11">
        <v>128.0</v>
      </c>
      <c r="DB407" s="11">
        <v>48070.0</v>
      </c>
      <c r="DC407" s="11">
        <v>43540.0</v>
      </c>
      <c r="DD407" s="11">
        <v>35930.0</v>
      </c>
      <c r="DE407" s="11">
        <v>29000.0</v>
      </c>
      <c r="DF407" s="11">
        <v>69910.0</v>
      </c>
      <c r="DG407" s="11">
        <v>50460.0</v>
      </c>
      <c r="DH407" s="11">
        <v>47880.0</v>
      </c>
      <c r="DI407" s="11">
        <v>44650.0</v>
      </c>
      <c r="DJ407" s="11">
        <v>21200.0</v>
      </c>
      <c r="DK407" s="11">
        <v>4310.0</v>
      </c>
      <c r="DL407" s="11">
        <v>5600.0</v>
      </c>
      <c r="DM407" s="11">
        <v>1680.0</v>
      </c>
      <c r="DN407" s="11">
        <v>1440.0</v>
      </c>
      <c r="DO407" s="11">
        <v>1330.0</v>
      </c>
      <c r="DP407" s="11">
        <v>20300.0</v>
      </c>
      <c r="DQ407" s="11">
        <v>1280.0</v>
      </c>
      <c r="DR407" s="11">
        <v>1830.0</v>
      </c>
      <c r="DS407" s="11">
        <v>4050.0</v>
      </c>
      <c r="DT407" s="11">
        <v>4690.0</v>
      </c>
      <c r="DU407" s="13"/>
      <c r="DV407" s="12"/>
      <c r="DW407" s="12"/>
      <c r="DX407" s="13"/>
      <c r="DY407" s="13"/>
      <c r="DZ407" s="11">
        <v>170510.0</v>
      </c>
      <c r="EA407" s="11">
        <v>120850.0</v>
      </c>
      <c r="EB407" s="11">
        <v>128590.0</v>
      </c>
      <c r="EC407" s="11">
        <v>241540.0</v>
      </c>
      <c r="ED407" s="11">
        <v>320690.0</v>
      </c>
      <c r="EE407" s="14">
        <v>2.12</v>
      </c>
      <c r="EF407" s="23"/>
      <c r="EG407" s="14">
        <v>1.34</v>
      </c>
      <c r="EH407" s="23"/>
    </row>
    <row r="408">
      <c r="A408" s="9">
        <f t="shared" si="2"/>
        <v>406</v>
      </c>
      <c r="B408" s="10" t="s">
        <v>542</v>
      </c>
      <c r="C408" s="11">
        <v>680320.0</v>
      </c>
      <c r="D408" s="11">
        <v>652890.0</v>
      </c>
      <c r="E408" s="11">
        <v>721090.0</v>
      </c>
      <c r="F408" s="11">
        <v>629310.0</v>
      </c>
      <c r="G408" s="11">
        <v>558180.0</v>
      </c>
      <c r="H408" s="11">
        <v>550640.0</v>
      </c>
      <c r="I408" s="11">
        <v>666010.0</v>
      </c>
      <c r="J408" s="11">
        <v>152200.0</v>
      </c>
      <c r="K408" s="11">
        <v>122600.0</v>
      </c>
      <c r="L408" s="11">
        <v>103130.0</v>
      </c>
      <c r="M408" s="11">
        <v>106190.0</v>
      </c>
      <c r="N408" s="11">
        <v>100790.0</v>
      </c>
      <c r="O408" s="11">
        <v>95160.0</v>
      </c>
      <c r="P408" s="11">
        <v>84010.0</v>
      </c>
      <c r="Q408" s="11">
        <v>79140.0</v>
      </c>
      <c r="R408" s="11">
        <v>77440.0</v>
      </c>
      <c r="S408" s="11">
        <v>85920.0</v>
      </c>
      <c r="T408" s="12"/>
      <c r="U408" s="12"/>
      <c r="V408" s="12"/>
      <c r="W408" s="12"/>
      <c r="X408" s="12"/>
      <c r="Y408" s="11">
        <v>56050.0</v>
      </c>
      <c r="Z408" s="11">
        <v>-15600.0</v>
      </c>
      <c r="AA408" s="11">
        <v>-8360.0</v>
      </c>
      <c r="AB408" s="11">
        <v>28570.0</v>
      </c>
      <c r="AC408" s="11">
        <v>-104900.0</v>
      </c>
      <c r="AD408" s="11">
        <v>37760.0</v>
      </c>
      <c r="AE408" s="11">
        <v>10270.0</v>
      </c>
      <c r="AF408" s="11">
        <v>7610.0</v>
      </c>
      <c r="AG408" s="11">
        <v>38110.0</v>
      </c>
      <c r="AH408" s="11">
        <v>-106590.0</v>
      </c>
      <c r="AI408" s="11">
        <v>88010.0</v>
      </c>
      <c r="AJ408" s="11">
        <v>63890.0</v>
      </c>
      <c r="AK408" s="11">
        <v>46840.0</v>
      </c>
      <c r="AL408" s="11">
        <v>51610.0</v>
      </c>
      <c r="AM408" s="11">
        <v>41720.0</v>
      </c>
      <c r="AN408" s="11">
        <v>32460.0</v>
      </c>
      <c r="AO408" s="11">
        <v>9040.0</v>
      </c>
      <c r="AP408" s="11">
        <v>20080.0</v>
      </c>
      <c r="AQ408" s="11">
        <v>25260.0</v>
      </c>
      <c r="AR408" s="11">
        <v>-74880.0</v>
      </c>
      <c r="AS408" s="11">
        <v>51030.0</v>
      </c>
      <c r="AT408" s="11">
        <v>46240.0</v>
      </c>
      <c r="AU408" s="11">
        <v>35430.0</v>
      </c>
      <c r="AV408" s="11">
        <v>43270.0</v>
      </c>
      <c r="AW408" s="11">
        <v>23680.0</v>
      </c>
      <c r="AX408" s="11">
        <v>-18290.0</v>
      </c>
      <c r="AY408" s="11">
        <v>-17620.0</v>
      </c>
      <c r="AZ408" s="11">
        <v>-27610.0</v>
      </c>
      <c r="BA408" s="11">
        <v>-17000.0</v>
      </c>
      <c r="BB408" s="11">
        <v>-15890.0</v>
      </c>
      <c r="BC408" s="12"/>
      <c r="BD408" s="12"/>
      <c r="BE408" s="12"/>
      <c r="BF408" s="12"/>
      <c r="BG408" s="12"/>
      <c r="BH408" s="11">
        <v>39580.0</v>
      </c>
      <c r="BI408" s="11">
        <v>10260.0</v>
      </c>
      <c r="BJ408" s="11">
        <v>2150.0</v>
      </c>
      <c r="BK408" s="11">
        <v>7430.0</v>
      </c>
      <c r="BL408" s="11">
        <v>5450.0</v>
      </c>
      <c r="BM408" s="11">
        <v>173800.0</v>
      </c>
      <c r="BN408" s="11">
        <v>154480.0</v>
      </c>
      <c r="BO408" s="11">
        <v>74060.0</v>
      </c>
      <c r="BP408" s="11">
        <v>76240.0</v>
      </c>
      <c r="BQ408" s="11">
        <v>77090.0</v>
      </c>
      <c r="BR408" s="11">
        <v>121880.0</v>
      </c>
      <c r="BS408" s="11">
        <v>112800.0</v>
      </c>
      <c r="BT408" s="11">
        <v>133370.0</v>
      </c>
      <c r="BU408" s="11">
        <v>131240.0</v>
      </c>
      <c r="BV408" s="11">
        <v>125690.0</v>
      </c>
      <c r="BW408" s="11">
        <v>340770.0</v>
      </c>
      <c r="BX408" s="11">
        <v>284080.0</v>
      </c>
      <c r="BY408" s="11">
        <v>221010.0</v>
      </c>
      <c r="BZ408" s="11">
        <v>225940.0</v>
      </c>
      <c r="CA408" s="11">
        <v>263260.0</v>
      </c>
      <c r="CB408" s="11">
        <v>134320.0</v>
      </c>
      <c r="CC408" s="11">
        <v>107050.0</v>
      </c>
      <c r="CD408" s="11">
        <v>110250.0</v>
      </c>
      <c r="CE408" s="11">
        <v>101590.0</v>
      </c>
      <c r="CF408" s="11">
        <v>96550.0</v>
      </c>
      <c r="CG408" s="11">
        <v>170920.0</v>
      </c>
      <c r="CH408" s="11">
        <v>136060.0</v>
      </c>
      <c r="CI408" s="11">
        <v>117440.0</v>
      </c>
      <c r="CJ408" s="11">
        <v>82550.0</v>
      </c>
      <c r="CK408" s="11">
        <v>82550.0</v>
      </c>
      <c r="CL408" s="11">
        <v>790430.0</v>
      </c>
      <c r="CM408" s="11">
        <v>644740.0</v>
      </c>
      <c r="CN408" s="11">
        <v>566750.0</v>
      </c>
      <c r="CO408" s="11">
        <v>515430.0</v>
      </c>
      <c r="CP408" s="11">
        <v>557080.0</v>
      </c>
      <c r="CQ408" s="11">
        <v>82600.0</v>
      </c>
      <c r="CR408" s="11">
        <v>69270.0</v>
      </c>
      <c r="CS408" s="11">
        <v>51910.0</v>
      </c>
      <c r="CT408" s="11">
        <v>57020.0</v>
      </c>
      <c r="CU408" s="11">
        <v>40340.0</v>
      </c>
      <c r="CV408" s="11">
        <v>144690.0</v>
      </c>
      <c r="CW408" s="11">
        <v>2960.0</v>
      </c>
      <c r="CX408" s="12"/>
      <c r="CY408" s="12"/>
      <c r="CZ408" s="12"/>
      <c r="DA408" s="13"/>
      <c r="DB408" s="11">
        <v>144690.0</v>
      </c>
      <c r="DC408" s="11">
        <v>126540.0</v>
      </c>
      <c r="DD408" s="11">
        <v>80240.0</v>
      </c>
      <c r="DE408" s="11">
        <v>86310.0</v>
      </c>
      <c r="DF408" s="11">
        <v>497630.0</v>
      </c>
      <c r="DG408" s="11">
        <v>387910.0</v>
      </c>
      <c r="DH408" s="11">
        <v>331170.0</v>
      </c>
      <c r="DI408" s="11">
        <v>303330.0</v>
      </c>
      <c r="DJ408" s="11">
        <v>371350.0</v>
      </c>
      <c r="DK408" s="12"/>
      <c r="DL408" s="12"/>
      <c r="DM408" s="12"/>
      <c r="DN408" s="11">
        <v>553.0</v>
      </c>
      <c r="DO408" s="11">
        <v>962.0</v>
      </c>
      <c r="DP408" s="11">
        <v>318450.0</v>
      </c>
      <c r="DQ408" s="11">
        <v>228870.0</v>
      </c>
      <c r="DR408" s="11">
        <v>216060.0</v>
      </c>
      <c r="DS408" s="11">
        <v>166900.0</v>
      </c>
      <c r="DT408" s="11">
        <v>240660.0</v>
      </c>
      <c r="DU408" s="13"/>
      <c r="DV408" s="13"/>
      <c r="DW408" s="13"/>
      <c r="DX408" s="13"/>
      <c r="DY408" s="13"/>
      <c r="DZ408" s="11">
        <v>292800.0</v>
      </c>
      <c r="EA408" s="11">
        <v>256830.0</v>
      </c>
      <c r="EB408" s="11">
        <v>235580.0</v>
      </c>
      <c r="EC408" s="11">
        <v>212100.0</v>
      </c>
      <c r="ED408" s="11">
        <v>185730.0</v>
      </c>
      <c r="EE408" s="14">
        <v>0.008</v>
      </c>
      <c r="EF408" s="14">
        <v>0.041</v>
      </c>
      <c r="EG408" s="14">
        <v>1.03</v>
      </c>
      <c r="EH408" s="14">
        <v>0.368</v>
      </c>
    </row>
    <row r="409">
      <c r="A409" s="9">
        <f t="shared" si="2"/>
        <v>407</v>
      </c>
      <c r="B409" s="22" t="s">
        <v>543</v>
      </c>
      <c r="C409" s="11">
        <v>85980.0</v>
      </c>
      <c r="D409" s="11">
        <v>25290.0</v>
      </c>
      <c r="E409" s="11">
        <v>25000.0</v>
      </c>
      <c r="F409" s="12"/>
      <c r="G409" s="12"/>
      <c r="H409" s="12"/>
      <c r="I409" s="12"/>
      <c r="J409" s="12"/>
      <c r="K409" s="11">
        <v>-317.0</v>
      </c>
      <c r="L409" s="11">
        <v>-150.0</v>
      </c>
      <c r="M409" s="11">
        <v>-90.0</v>
      </c>
      <c r="N409" s="11">
        <v>-73.0</v>
      </c>
      <c r="O409" s="11">
        <v>224900.0</v>
      </c>
      <c r="P409" s="11">
        <v>103780.0</v>
      </c>
      <c r="Q409" s="11">
        <v>50790.0</v>
      </c>
      <c r="R409" s="11">
        <v>25750.0</v>
      </c>
      <c r="S409" s="11">
        <v>17540.0</v>
      </c>
      <c r="T409" s="11">
        <v>156780.0</v>
      </c>
      <c r="U409" s="11">
        <v>82890.0</v>
      </c>
      <c r="V409" s="11">
        <v>39510.0</v>
      </c>
      <c r="W409" s="11">
        <v>20160.0</v>
      </c>
      <c r="X409" s="11">
        <v>12480.0</v>
      </c>
      <c r="Y409" s="12"/>
      <c r="Z409" s="12"/>
      <c r="AA409" s="12"/>
      <c r="AB409" s="12"/>
      <c r="AC409" s="12"/>
      <c r="AD409" s="11">
        <v>-192260.0</v>
      </c>
      <c r="AE409" s="11">
        <v>-99850.0</v>
      </c>
      <c r="AF409" s="11">
        <v>-50280.0</v>
      </c>
      <c r="AG409" s="11">
        <v>-25940.0</v>
      </c>
      <c r="AH409" s="11">
        <v>-19820.0</v>
      </c>
      <c r="AI409" s="11">
        <v>-199900.0</v>
      </c>
      <c r="AJ409" s="11">
        <v>-103780.0</v>
      </c>
      <c r="AK409" s="11">
        <v>-50790.0</v>
      </c>
      <c r="AL409" s="11">
        <v>-25750.0</v>
      </c>
      <c r="AM409" s="11">
        <v>-17540.0</v>
      </c>
      <c r="AN409" s="11">
        <v>-192260.0</v>
      </c>
      <c r="AO409" s="11">
        <v>-99850.0</v>
      </c>
      <c r="AP409" s="11">
        <v>-50280.0</v>
      </c>
      <c r="AQ409" s="11">
        <v>-25940.0</v>
      </c>
      <c r="AR409" s="11">
        <v>-19820.0</v>
      </c>
      <c r="AS409" s="11">
        <v>-148980.0</v>
      </c>
      <c r="AT409" s="11">
        <v>-86780.0</v>
      </c>
      <c r="AU409" s="11">
        <v>-36700.0</v>
      </c>
      <c r="AV409" s="11">
        <v>-23090.0</v>
      </c>
      <c r="AW409" s="11">
        <v>-13270.0</v>
      </c>
      <c r="AX409" s="11">
        <v>-4940.0</v>
      </c>
      <c r="AY409" s="11">
        <v>-1130.0</v>
      </c>
      <c r="AZ409" s="11">
        <v>-406.0</v>
      </c>
      <c r="BA409" s="11">
        <v>-223.0</v>
      </c>
      <c r="BB409" s="11">
        <v>-142.0</v>
      </c>
      <c r="BC409" s="12"/>
      <c r="BD409" s="12"/>
      <c r="BE409" s="12"/>
      <c r="BF409" s="12"/>
      <c r="BG409" s="12"/>
      <c r="BH409" s="11">
        <v>579580.0</v>
      </c>
      <c r="BI409" s="11">
        <v>293760.0</v>
      </c>
      <c r="BJ409" s="11">
        <v>196750.0</v>
      </c>
      <c r="BK409" s="11">
        <v>57460.0</v>
      </c>
      <c r="BL409" s="11">
        <v>25780.0</v>
      </c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1">
        <v>593410.0</v>
      </c>
      <c r="BX409" s="11">
        <v>301040.0</v>
      </c>
      <c r="BY409" s="11">
        <v>198180.0</v>
      </c>
      <c r="BZ409" s="11">
        <v>58250.0</v>
      </c>
      <c r="CA409" s="11">
        <v>26380.0</v>
      </c>
      <c r="CB409" s="11">
        <v>27490.0</v>
      </c>
      <c r="CC409" s="11">
        <v>13450.0</v>
      </c>
      <c r="CD409" s="11">
        <v>838.0</v>
      </c>
      <c r="CE409" s="11">
        <v>514.0</v>
      </c>
      <c r="CF409" s="11">
        <v>387.0</v>
      </c>
      <c r="CG409" s="12"/>
      <c r="CH409" s="12"/>
      <c r="CI409" s="12"/>
      <c r="CJ409" s="12"/>
      <c r="CK409" s="12"/>
      <c r="CL409" s="11">
        <v>622410.0</v>
      </c>
      <c r="CM409" s="11">
        <v>315560.0</v>
      </c>
      <c r="CN409" s="11">
        <v>199100.0</v>
      </c>
      <c r="CO409" s="11">
        <v>58950.0</v>
      </c>
      <c r="CP409" s="11">
        <v>26790.0</v>
      </c>
      <c r="CQ409" s="11">
        <v>19580.0</v>
      </c>
      <c r="CR409" s="11">
        <v>8310.0</v>
      </c>
      <c r="CS409" s="11">
        <v>4400.0</v>
      </c>
      <c r="CT409" s="12"/>
      <c r="CU409" s="12"/>
      <c r="CV409" s="11">
        <v>60040.0</v>
      </c>
      <c r="CW409" s="11">
        <v>1750.0</v>
      </c>
      <c r="CX409" s="12"/>
      <c r="CY409" s="12"/>
      <c r="CZ409" s="12"/>
      <c r="DA409" s="12"/>
      <c r="DB409" s="11">
        <v>60040.0</v>
      </c>
      <c r="DC409" s="11">
        <v>22740.0</v>
      </c>
      <c r="DD409" s="11">
        <v>13820.0</v>
      </c>
      <c r="DE409" s="11">
        <v>4560.0</v>
      </c>
      <c r="DF409" s="11">
        <v>75940.0</v>
      </c>
      <c r="DG409" s="11">
        <v>35580.0</v>
      </c>
      <c r="DH409" s="11">
        <v>15120.0</v>
      </c>
      <c r="DI409" s="11">
        <v>6040.0</v>
      </c>
      <c r="DJ409" s="11">
        <v>4730.0</v>
      </c>
      <c r="DK409" s="11">
        <v>1510.0</v>
      </c>
      <c r="DL409" s="11">
        <v>1070.0</v>
      </c>
      <c r="DM409" s="12"/>
      <c r="DN409" s="12"/>
      <c r="DO409" s="12"/>
      <c r="DP409" s="11">
        <v>15900.0</v>
      </c>
      <c r="DQ409" s="11">
        <v>12450.0</v>
      </c>
      <c r="DR409" s="11">
        <v>1290.0</v>
      </c>
      <c r="DS409" s="11">
        <v>1480.0</v>
      </c>
      <c r="DT409" s="11">
        <v>1680.0</v>
      </c>
      <c r="DU409" s="13"/>
      <c r="DV409" s="12"/>
      <c r="DW409" s="12"/>
      <c r="DX409" s="11">
        <v>192670.0</v>
      </c>
      <c r="DY409" s="11">
        <v>137370.0</v>
      </c>
      <c r="DZ409" s="11">
        <v>546470.0</v>
      </c>
      <c r="EA409" s="11">
        <v>279980.0</v>
      </c>
      <c r="EB409" s="11">
        <v>183970.0</v>
      </c>
      <c r="EC409" s="11">
        <v>52910.0</v>
      </c>
      <c r="ED409" s="11">
        <v>22060.0</v>
      </c>
      <c r="EE409" s="14">
        <v>0.546</v>
      </c>
      <c r="EF409" s="14">
        <v>1.087</v>
      </c>
      <c r="EG409" s="14">
        <v>0.124</v>
      </c>
      <c r="EH409" s="14">
        <v>-0.049</v>
      </c>
    </row>
    <row r="410">
      <c r="A410" s="9">
        <f t="shared" si="2"/>
        <v>408</v>
      </c>
      <c r="B410" s="25" t="s">
        <v>544</v>
      </c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3"/>
      <c r="CY410" s="13"/>
      <c r="CZ410" s="13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3"/>
      <c r="DV410" s="12"/>
      <c r="DW410" s="12"/>
      <c r="DX410" s="13"/>
      <c r="DY410" s="13"/>
      <c r="DZ410" s="12"/>
      <c r="EA410" s="12"/>
      <c r="EB410" s="12"/>
      <c r="EC410" s="12"/>
      <c r="ED410" s="12"/>
      <c r="EE410" s="17"/>
      <c r="EF410" s="17"/>
      <c r="EG410" s="17"/>
      <c r="EH410" s="17"/>
    </row>
    <row r="411">
      <c r="A411" s="9">
        <f t="shared" si="2"/>
        <v>409</v>
      </c>
      <c r="B411" s="32" t="s">
        <v>545</v>
      </c>
      <c r="C411" s="11">
        <v>5660000.0</v>
      </c>
      <c r="D411" s="11">
        <v>4730000.0</v>
      </c>
      <c r="E411" s="11">
        <v>6340000.0</v>
      </c>
      <c r="F411" s="11">
        <v>6500000.0</v>
      </c>
      <c r="G411" s="11">
        <v>6420000.0</v>
      </c>
      <c r="H411" s="11">
        <v>6420000.0</v>
      </c>
      <c r="I411" s="11">
        <v>6750000.0</v>
      </c>
      <c r="J411" s="11">
        <v>1880000.0</v>
      </c>
      <c r="K411" s="11">
        <v>1990000.0</v>
      </c>
      <c r="L411" s="11">
        <v>1990000.0</v>
      </c>
      <c r="M411" s="11">
        <v>2010000.0</v>
      </c>
      <c r="N411" s="11">
        <v>2150000.0</v>
      </c>
      <c r="O411" s="11">
        <v>1720000.0</v>
      </c>
      <c r="P411" s="11">
        <v>1720000.0</v>
      </c>
      <c r="Q411" s="11">
        <v>1710000.0</v>
      </c>
      <c r="R411" s="11">
        <v>1680000.0</v>
      </c>
      <c r="S411" s="11">
        <v>1700000.0</v>
      </c>
      <c r="T411" s="11"/>
      <c r="U411" s="11"/>
      <c r="V411" s="11"/>
      <c r="W411" s="11"/>
      <c r="X411" s="11"/>
      <c r="Y411" s="12"/>
      <c r="Z411" s="12"/>
      <c r="AA411" s="12"/>
      <c r="AB411" s="11">
        <v>319830.0</v>
      </c>
      <c r="AC411" s="12"/>
      <c r="AD411" s="11">
        <v>133890.0</v>
      </c>
      <c r="AE411" s="11">
        <v>207960.0</v>
      </c>
      <c r="AF411" s="11">
        <v>212690.0</v>
      </c>
      <c r="AG411" s="11">
        <v>257680.0</v>
      </c>
      <c r="AH411" s="11">
        <v>408780.0</v>
      </c>
      <c r="AI411" s="11">
        <v>389840.0</v>
      </c>
      <c r="AJ411" s="11">
        <v>492000.0</v>
      </c>
      <c r="AK411" s="11">
        <v>510030.0</v>
      </c>
      <c r="AL411" s="11">
        <v>569990.0</v>
      </c>
      <c r="AM411" s="11">
        <v>707090.0</v>
      </c>
      <c r="AN411" s="11">
        <v>111080.0</v>
      </c>
      <c r="AO411" s="11">
        <v>170260.0</v>
      </c>
      <c r="AP411" s="11">
        <v>221320.0</v>
      </c>
      <c r="AQ411" s="11">
        <v>169220.0</v>
      </c>
      <c r="AR411" s="11">
        <v>269370.0</v>
      </c>
      <c r="AS411" s="11">
        <v>367370.0</v>
      </c>
      <c r="AT411" s="11">
        <v>371120.0</v>
      </c>
      <c r="AU411" s="11">
        <v>276630.0</v>
      </c>
      <c r="AV411" s="11">
        <v>519510.0</v>
      </c>
      <c r="AW411" s="11">
        <v>447360.0</v>
      </c>
      <c r="AX411" s="11">
        <v>-103380.0</v>
      </c>
      <c r="AY411" s="11">
        <v>-137060.0</v>
      </c>
      <c r="AZ411" s="11">
        <v>-130460.0</v>
      </c>
      <c r="BA411" s="11">
        <v>-104820.0</v>
      </c>
      <c r="BB411" s="11">
        <v>-165790.0</v>
      </c>
      <c r="BC411" s="11">
        <v>-11520.0</v>
      </c>
      <c r="BD411" s="11">
        <v>-11110.0</v>
      </c>
      <c r="BE411" s="11">
        <v>-9420.0</v>
      </c>
      <c r="BF411" s="11">
        <v>-9790.0</v>
      </c>
      <c r="BG411" s="11">
        <v>-10010.0</v>
      </c>
      <c r="BH411" s="11">
        <v>277080.0</v>
      </c>
      <c r="BI411" s="11">
        <v>123510.0</v>
      </c>
      <c r="BJ411" s="11">
        <v>187030.0</v>
      </c>
      <c r="BK411" s="11">
        <v>346990.0</v>
      </c>
      <c r="BL411" s="11">
        <v>202870.0</v>
      </c>
      <c r="BM411" s="11">
        <v>46160.0</v>
      </c>
      <c r="BN411" s="11">
        <v>49850.0</v>
      </c>
      <c r="BO411" s="11">
        <v>38440.0</v>
      </c>
      <c r="BP411" s="11">
        <v>48230.0</v>
      </c>
      <c r="BQ411" s="11">
        <v>47140.0</v>
      </c>
      <c r="BR411" s="11">
        <v>1470000.0</v>
      </c>
      <c r="BS411" s="11">
        <v>1530000.0</v>
      </c>
      <c r="BT411" s="11">
        <v>1460000.0</v>
      </c>
      <c r="BU411" s="11">
        <v>1410000.0</v>
      </c>
      <c r="BV411" s="11">
        <v>1370000.0</v>
      </c>
      <c r="BW411" s="11">
        <v>1850000.0</v>
      </c>
      <c r="BX411" s="11">
        <v>1770000.0</v>
      </c>
      <c r="BY411" s="11">
        <v>1740000.0</v>
      </c>
      <c r="BZ411" s="11">
        <v>1840000.0</v>
      </c>
      <c r="CA411" s="11">
        <v>1670000.0</v>
      </c>
      <c r="CB411" s="11">
        <v>1510000.0</v>
      </c>
      <c r="CC411" s="11">
        <v>1590000.0</v>
      </c>
      <c r="CD411" s="11">
        <v>1700000.0</v>
      </c>
      <c r="CE411" s="11">
        <v>1790000.0</v>
      </c>
      <c r="CF411" s="11">
        <v>1940000.0</v>
      </c>
      <c r="CG411" s="12"/>
      <c r="CH411" s="12"/>
      <c r="CI411" s="12"/>
      <c r="CJ411" s="12"/>
      <c r="CK411" s="12"/>
      <c r="CL411" s="11">
        <v>3430000.0</v>
      </c>
      <c r="CM411" s="11">
        <v>3510000.0</v>
      </c>
      <c r="CN411" s="11">
        <v>3680000.0</v>
      </c>
      <c r="CO411" s="11">
        <v>3890000.0</v>
      </c>
      <c r="CP411" s="11">
        <v>3860000.0</v>
      </c>
      <c r="CQ411" s="11">
        <v>713460.0</v>
      </c>
      <c r="CR411" s="11">
        <v>743330.0</v>
      </c>
      <c r="CS411" s="11">
        <v>657590.0</v>
      </c>
      <c r="CT411" s="11">
        <v>635830.0</v>
      </c>
      <c r="CU411" s="11">
        <v>494270.0</v>
      </c>
      <c r="CV411" s="11">
        <v>930820.0</v>
      </c>
      <c r="CW411" s="11">
        <v>14650.0</v>
      </c>
      <c r="CX411" s="12"/>
      <c r="CY411" s="12"/>
      <c r="CZ411" s="12"/>
      <c r="DA411" s="12"/>
      <c r="DB411" s="11">
        <v>930820.0</v>
      </c>
      <c r="DC411" s="11">
        <v>933540.0</v>
      </c>
      <c r="DD411" s="11">
        <v>1050000.0</v>
      </c>
      <c r="DE411" s="11">
        <v>976520.0</v>
      </c>
      <c r="DF411" s="11">
        <v>1810000.0</v>
      </c>
      <c r="DG411" s="11">
        <v>1840000.0</v>
      </c>
      <c r="DH411" s="11">
        <v>1970000.0</v>
      </c>
      <c r="DI411" s="11">
        <v>2170000.0</v>
      </c>
      <c r="DJ411" s="11">
        <v>2070000.0</v>
      </c>
      <c r="DK411" s="11"/>
      <c r="DL411" s="12"/>
      <c r="DM411" s="11"/>
      <c r="DN411" s="12"/>
      <c r="DO411" s="12"/>
      <c r="DP411" s="11">
        <v>599090.0</v>
      </c>
      <c r="DQ411" s="11">
        <v>567240.0</v>
      </c>
      <c r="DR411" s="11">
        <v>568310.0</v>
      </c>
      <c r="DS411" s="11">
        <v>730090.0</v>
      </c>
      <c r="DT411" s="11">
        <v>820330.0</v>
      </c>
      <c r="DU411" s="13"/>
      <c r="DV411" s="12"/>
      <c r="DW411" s="12"/>
      <c r="DX411" s="12"/>
      <c r="DY411" s="12"/>
      <c r="DZ411" s="11">
        <v>1620000.0</v>
      </c>
      <c r="EA411" s="11">
        <v>1680000.0</v>
      </c>
      <c r="EB411" s="11">
        <v>1710000.0</v>
      </c>
      <c r="EC411" s="11">
        <v>1720000.0</v>
      </c>
      <c r="ED411" s="11">
        <v>1800000.0</v>
      </c>
      <c r="EE411" s="14">
        <v>0.131</v>
      </c>
      <c r="EF411" s="14">
        <v>0.166</v>
      </c>
      <c r="EG411" s="14">
        <v>0.923</v>
      </c>
      <c r="EH411" s="14">
        <v>-0.305</v>
      </c>
    </row>
    <row r="412">
      <c r="A412" s="9">
        <f t="shared" si="2"/>
        <v>410</v>
      </c>
      <c r="B412" s="10" t="s">
        <v>546</v>
      </c>
      <c r="C412" s="11">
        <v>3.093E7</v>
      </c>
      <c r="D412" s="11">
        <v>2.838E7</v>
      </c>
      <c r="E412" s="11">
        <v>3.926E7</v>
      </c>
      <c r="F412" s="11">
        <v>3.734E7</v>
      </c>
      <c r="G412" s="11">
        <v>2.972E7</v>
      </c>
      <c r="H412" s="11">
        <v>2.662E7</v>
      </c>
      <c r="I412" s="11">
        <v>2.878E7</v>
      </c>
      <c r="J412" s="11">
        <v>1.1E7</v>
      </c>
      <c r="K412" s="11">
        <v>1.023E7</v>
      </c>
      <c r="L412" s="11">
        <v>8520000.0</v>
      </c>
      <c r="M412" s="11">
        <v>7060000.0</v>
      </c>
      <c r="N412" s="11">
        <v>7270000.0</v>
      </c>
      <c r="O412" s="11">
        <v>5330000.0</v>
      </c>
      <c r="P412" s="11">
        <v>5080000.0</v>
      </c>
      <c r="Q412" s="11">
        <v>4470000.0</v>
      </c>
      <c r="R412" s="11">
        <v>4150000.0</v>
      </c>
      <c r="S412" s="11">
        <v>4300000.0</v>
      </c>
      <c r="T412" s="11">
        <v>1780000.0</v>
      </c>
      <c r="U412" s="11">
        <v>1660000.0</v>
      </c>
      <c r="V412" s="11">
        <v>1370000.0</v>
      </c>
      <c r="W412" s="11">
        <v>1390000.0</v>
      </c>
      <c r="X412" s="11">
        <v>1430000.0</v>
      </c>
      <c r="Y412" s="11">
        <v>6090000.0</v>
      </c>
      <c r="Z412" s="11">
        <v>4680000.0</v>
      </c>
      <c r="AA412" s="11">
        <v>-487000.0</v>
      </c>
      <c r="AB412" s="11">
        <v>216000.0</v>
      </c>
      <c r="AC412" s="11">
        <v>3740000.0</v>
      </c>
      <c r="AD412" s="11">
        <v>4090000.0</v>
      </c>
      <c r="AE412" s="11">
        <v>4070000.0</v>
      </c>
      <c r="AF412" s="11">
        <v>3150000.0</v>
      </c>
      <c r="AG412" s="11">
        <v>2220000.0</v>
      </c>
      <c r="AH412" s="11">
        <v>2780000.0</v>
      </c>
      <c r="AI412" s="11">
        <v>7690000.0</v>
      </c>
      <c r="AJ412" s="11">
        <v>7070000.0</v>
      </c>
      <c r="AK412" s="11">
        <v>5760000.0</v>
      </c>
      <c r="AL412" s="11">
        <v>4470000.0</v>
      </c>
      <c r="AM412" s="11">
        <v>4360000.0</v>
      </c>
      <c r="AN412" s="11">
        <v>3250000.0</v>
      </c>
      <c r="AO412" s="11">
        <v>2370000.0</v>
      </c>
      <c r="AP412" s="11">
        <v>2160000.0</v>
      </c>
      <c r="AQ412" s="11">
        <v>1520000.0</v>
      </c>
      <c r="AR412" s="11">
        <v>1940000.0</v>
      </c>
      <c r="AS412" s="11">
        <v>3410000.0</v>
      </c>
      <c r="AT412" s="11">
        <v>1820000.0</v>
      </c>
      <c r="AU412" s="11">
        <v>2200000.0</v>
      </c>
      <c r="AV412" s="11">
        <v>3770000.0</v>
      </c>
      <c r="AW412" s="11">
        <v>3740000.0</v>
      </c>
      <c r="AX412" s="11">
        <v>-3450000.0</v>
      </c>
      <c r="AY412" s="11">
        <v>-2950000.0</v>
      </c>
      <c r="AZ412" s="11">
        <v>-2590000.0</v>
      </c>
      <c r="BA412" s="11">
        <v>-2960000.0</v>
      </c>
      <c r="BB412" s="11">
        <v>-2830000.0</v>
      </c>
      <c r="BC412" s="11">
        <v>-943000.0</v>
      </c>
      <c r="BD412" s="11">
        <v>-805800.0</v>
      </c>
      <c r="BE412" s="11">
        <v>-764000.0</v>
      </c>
      <c r="BF412" s="11">
        <v>-761300.0</v>
      </c>
      <c r="BG412" s="11">
        <v>-816300.0</v>
      </c>
      <c r="BH412" s="11">
        <v>4440000.0</v>
      </c>
      <c r="BI412" s="11">
        <v>4390000.0</v>
      </c>
      <c r="BJ412" s="11">
        <v>9790000.0</v>
      </c>
      <c r="BK412" s="11">
        <v>4790000.0</v>
      </c>
      <c r="BL412" s="11">
        <v>4600000.0</v>
      </c>
      <c r="BM412" s="11">
        <v>6760000.0</v>
      </c>
      <c r="BN412" s="11">
        <v>6760000.0</v>
      </c>
      <c r="BO412" s="11">
        <v>5160000.0</v>
      </c>
      <c r="BP412" s="11">
        <v>4050000.0</v>
      </c>
      <c r="BQ412" s="11">
        <v>4080000.0</v>
      </c>
      <c r="BR412" s="11">
        <v>5980000.0</v>
      </c>
      <c r="BS412" s="11">
        <v>6150000.0</v>
      </c>
      <c r="BT412" s="11">
        <v>3900000.0</v>
      </c>
      <c r="BU412" s="11">
        <v>3340000.0</v>
      </c>
      <c r="BV412" s="11">
        <v>3820000.0</v>
      </c>
      <c r="BW412" s="11">
        <v>1.718E7</v>
      </c>
      <c r="BX412" s="11">
        <v>1.73E7</v>
      </c>
      <c r="BY412" s="11">
        <v>1.885E7</v>
      </c>
      <c r="BZ412" s="11">
        <v>1.218E7</v>
      </c>
      <c r="CA412" s="11">
        <v>1.249E7</v>
      </c>
      <c r="CB412" s="11">
        <v>1.354E7</v>
      </c>
      <c r="CC412" s="11">
        <v>1.303E7</v>
      </c>
      <c r="CD412" s="11">
        <v>1.166E7</v>
      </c>
      <c r="CE412" s="11">
        <v>1.107E7</v>
      </c>
      <c r="CF412" s="11">
        <v>1.015E7</v>
      </c>
      <c r="CG412" s="11">
        <v>2920000.0</v>
      </c>
      <c r="CH412" s="11">
        <v>3100000.0</v>
      </c>
      <c r="CI412" s="11">
        <v>1030000.0</v>
      </c>
      <c r="CJ412" s="11">
        <v>815700.0</v>
      </c>
      <c r="CK412" s="11">
        <v>726000.0</v>
      </c>
      <c r="CL412" s="11">
        <v>7.301E7</v>
      </c>
      <c r="CM412" s="11">
        <v>7.011E7</v>
      </c>
      <c r="CN412" s="11">
        <v>6.579E7</v>
      </c>
      <c r="CO412" s="11">
        <v>5.792E7</v>
      </c>
      <c r="CP412" s="11">
        <v>5.795E7</v>
      </c>
      <c r="CQ412" s="11">
        <v>2440000.0</v>
      </c>
      <c r="CR412" s="11">
        <v>2950000.0</v>
      </c>
      <c r="CS412" s="11">
        <v>2510000.0</v>
      </c>
      <c r="CT412" s="11">
        <v>2060000.0</v>
      </c>
      <c r="CU412" s="11">
        <v>1880000.0</v>
      </c>
      <c r="CV412" s="11">
        <v>2.49E7</v>
      </c>
      <c r="CW412" s="11">
        <v>7680000.0</v>
      </c>
      <c r="CX412" s="11">
        <v>8620000.0</v>
      </c>
      <c r="CY412" s="11">
        <v>7940000.0</v>
      </c>
      <c r="CZ412" s="11">
        <v>6570000.0</v>
      </c>
      <c r="DA412" s="11">
        <v>7760000.0</v>
      </c>
      <c r="DB412" s="11">
        <v>2.49E7</v>
      </c>
      <c r="DC412" s="11">
        <v>2.526E7</v>
      </c>
      <c r="DD412" s="11">
        <v>2.269E7</v>
      </c>
      <c r="DE412" s="11">
        <v>1.923E7</v>
      </c>
      <c r="DF412" s="11">
        <v>6.158E7</v>
      </c>
      <c r="DG412" s="11">
        <v>5.88E7</v>
      </c>
      <c r="DH412" s="11">
        <v>5.621E7</v>
      </c>
      <c r="DI412" s="11">
        <v>5.137E7</v>
      </c>
      <c r="DJ412" s="11">
        <v>5.119E7</v>
      </c>
      <c r="DK412" s="11">
        <v>215000.0</v>
      </c>
      <c r="DL412" s="11">
        <v>207300.0</v>
      </c>
      <c r="DM412" s="11">
        <v>182500.0</v>
      </c>
      <c r="DN412" s="11">
        <v>232600.0</v>
      </c>
      <c r="DO412" s="11">
        <v>303500.0</v>
      </c>
      <c r="DP412" s="11">
        <v>3.023E7</v>
      </c>
      <c r="DQ412" s="11">
        <v>2.724E7</v>
      </c>
      <c r="DR412" s="11">
        <v>2.589E7</v>
      </c>
      <c r="DS412" s="11">
        <v>2.37E7</v>
      </c>
      <c r="DT412" s="11">
        <v>2.383E7</v>
      </c>
      <c r="DU412" s="12"/>
      <c r="DV412" s="12"/>
      <c r="DW412" s="12"/>
      <c r="DX412" s="12"/>
      <c r="DY412" s="12"/>
      <c r="DZ412" s="11">
        <v>1.141E7</v>
      </c>
      <c r="EA412" s="11">
        <v>1.129E7</v>
      </c>
      <c r="EB412" s="11">
        <v>9560000.0</v>
      </c>
      <c r="EC412" s="11">
        <v>6520000.0</v>
      </c>
      <c r="ED412" s="11">
        <v>6740000.0</v>
      </c>
      <c r="EE412" s="33">
        <v>0.099</v>
      </c>
      <c r="EF412" s="33">
        <v>0.181</v>
      </c>
      <c r="EG412" s="33">
        <v>0.302</v>
      </c>
      <c r="EH412" s="33">
        <v>0.141</v>
      </c>
    </row>
    <row r="413">
      <c r="A413" s="9">
        <f t="shared" si="2"/>
        <v>411</v>
      </c>
      <c r="B413" s="25" t="s">
        <v>547</v>
      </c>
      <c r="C413" s="15">
        <v>2390000.0</v>
      </c>
      <c r="D413" s="15">
        <v>2140000.0</v>
      </c>
      <c r="E413" s="15">
        <v>2130000.0</v>
      </c>
      <c r="F413" s="15">
        <v>2010000.0</v>
      </c>
      <c r="G413" s="15">
        <v>1910000.0</v>
      </c>
      <c r="H413" s="15">
        <v>1780000.0</v>
      </c>
      <c r="I413" s="15">
        <v>1880000.0</v>
      </c>
      <c r="J413" s="15">
        <v>1060000.0</v>
      </c>
      <c r="K413" s="15">
        <v>986630.0</v>
      </c>
      <c r="L413" s="15">
        <v>891610.0</v>
      </c>
      <c r="M413" s="15">
        <v>828150.0</v>
      </c>
      <c r="N413" s="15">
        <v>850260.0</v>
      </c>
      <c r="O413" s="15">
        <v>726950.0</v>
      </c>
      <c r="P413" s="15">
        <v>670830.0</v>
      </c>
      <c r="Q413" s="15">
        <v>655200.0</v>
      </c>
      <c r="R413" s="15">
        <v>674910.0</v>
      </c>
      <c r="S413" s="15">
        <v>654850.0</v>
      </c>
      <c r="T413" s="15">
        <v>27560.0</v>
      </c>
      <c r="U413" s="15">
        <v>23190.0</v>
      </c>
      <c r="V413" s="15">
        <v>22370.0</v>
      </c>
      <c r="W413" s="15">
        <v>21260.0</v>
      </c>
      <c r="X413" s="15">
        <v>22180.0</v>
      </c>
      <c r="Y413" s="15">
        <v>336620.0</v>
      </c>
      <c r="Z413" s="15">
        <v>318650.0</v>
      </c>
      <c r="AA413" s="15">
        <v>231130.0</v>
      </c>
      <c r="AB413" s="15">
        <v>-162240.0</v>
      </c>
      <c r="AC413" s="15">
        <v>163720.0</v>
      </c>
      <c r="AD413" s="15">
        <v>340870.0</v>
      </c>
      <c r="AE413" s="15">
        <v>328930.0</v>
      </c>
      <c r="AF413" s="15">
        <v>220700.0</v>
      </c>
      <c r="AG413" s="15">
        <v>-6990.0</v>
      </c>
      <c r="AH413" s="15">
        <v>156890.0</v>
      </c>
      <c r="AI413" s="15">
        <v>375200.0</v>
      </c>
      <c r="AJ413" s="15">
        <v>360750.0</v>
      </c>
      <c r="AK413" s="15">
        <v>284980.0</v>
      </c>
      <c r="AL413" s="15">
        <v>205870.0</v>
      </c>
      <c r="AM413" s="15">
        <v>245430.0</v>
      </c>
      <c r="AN413" s="15">
        <v>276140.0</v>
      </c>
      <c r="AO413" s="15">
        <v>264310.0</v>
      </c>
      <c r="AP413" s="15">
        <v>114390.0</v>
      </c>
      <c r="AQ413" s="15">
        <v>5710.0</v>
      </c>
      <c r="AR413" s="15">
        <v>122270.0</v>
      </c>
      <c r="AS413" s="15">
        <v>286330.0</v>
      </c>
      <c r="AT413" s="15">
        <v>358210.0</v>
      </c>
      <c r="AU413" s="15">
        <v>327350.0</v>
      </c>
      <c r="AV413" s="15">
        <v>199330.0</v>
      </c>
      <c r="AW413" s="15">
        <v>125580.0</v>
      </c>
      <c r="AX413" s="15">
        <v>-32460.0</v>
      </c>
      <c r="AY413" s="15">
        <v>-29090.0</v>
      </c>
      <c r="AZ413" s="15">
        <v>-34810.0</v>
      </c>
      <c r="BA413" s="15">
        <v>-44500.0</v>
      </c>
      <c r="BB413" s="15">
        <v>-70060.0</v>
      </c>
      <c r="BC413" s="13"/>
      <c r="BD413" s="13"/>
      <c r="BE413" s="13"/>
      <c r="BF413" s="13"/>
      <c r="BG413" s="13"/>
      <c r="BH413" s="15">
        <v>649440.0</v>
      </c>
      <c r="BI413" s="15">
        <v>589690.0</v>
      </c>
      <c r="BJ413" s="15">
        <v>429970.0</v>
      </c>
      <c r="BK413" s="15">
        <v>291760.0</v>
      </c>
      <c r="BL413" s="15">
        <v>245960.0</v>
      </c>
      <c r="BM413" s="15">
        <v>203410.0</v>
      </c>
      <c r="BN413" s="15">
        <v>180940.0</v>
      </c>
      <c r="BO413" s="15">
        <v>145880.0</v>
      </c>
      <c r="BP413" s="15">
        <v>183430.0</v>
      </c>
      <c r="BQ413" s="15">
        <v>183610.0</v>
      </c>
      <c r="BR413" s="15">
        <v>311620.0</v>
      </c>
      <c r="BS413" s="15">
        <v>278840.0</v>
      </c>
      <c r="BT413" s="15">
        <v>299600.0</v>
      </c>
      <c r="BU413" s="15">
        <v>298850.0</v>
      </c>
      <c r="BV413" s="15">
        <v>319910.0</v>
      </c>
      <c r="BW413" s="15">
        <v>1190000.0</v>
      </c>
      <c r="BX413" s="15">
        <v>1100000.0</v>
      </c>
      <c r="BY413" s="15">
        <v>910290.0</v>
      </c>
      <c r="BZ413" s="15">
        <v>820820.0</v>
      </c>
      <c r="CA413" s="15">
        <v>784470.0</v>
      </c>
      <c r="CB413" s="15">
        <v>452560.0</v>
      </c>
      <c r="CC413" s="15">
        <v>213800.0</v>
      </c>
      <c r="CD413" s="15">
        <v>220160.0</v>
      </c>
      <c r="CE413" s="15">
        <v>225530.0</v>
      </c>
      <c r="CF413" s="15">
        <v>237250.0</v>
      </c>
      <c r="CG413" s="15">
        <v>13990.0</v>
      </c>
      <c r="CH413" s="15">
        <v>13990.0</v>
      </c>
      <c r="CI413" s="15">
        <v>13990.0</v>
      </c>
      <c r="CJ413" s="15">
        <v>13990.0</v>
      </c>
      <c r="CK413" s="15">
        <v>127930.0</v>
      </c>
      <c r="CL413" s="15">
        <v>1830000.0</v>
      </c>
      <c r="CM413" s="15">
        <v>1440000.0</v>
      </c>
      <c r="CN413" s="15">
        <v>1260000.0</v>
      </c>
      <c r="CO413" s="15">
        <v>1190000.0</v>
      </c>
      <c r="CP413" s="15">
        <v>1280000.0</v>
      </c>
      <c r="CQ413" s="15">
        <v>147890.0</v>
      </c>
      <c r="CR413" s="15">
        <v>124970.0</v>
      </c>
      <c r="CS413" s="15">
        <v>93940.0</v>
      </c>
      <c r="CT413" s="15">
        <v>95890.0</v>
      </c>
      <c r="CU413" s="15">
        <v>100590.0</v>
      </c>
      <c r="CV413" s="15">
        <v>300950.0</v>
      </c>
      <c r="CW413" s="15">
        <v>49730.0</v>
      </c>
      <c r="CX413" s="15">
        <v>603.0</v>
      </c>
      <c r="CY413" s="15">
        <v>578.0</v>
      </c>
      <c r="CZ413" s="15">
        <v>550.0</v>
      </c>
      <c r="DA413" s="15">
        <v>67480.0</v>
      </c>
      <c r="DB413" s="15">
        <v>300950.0</v>
      </c>
      <c r="DC413" s="15">
        <v>250520.0</v>
      </c>
      <c r="DD413" s="15">
        <v>189170.0</v>
      </c>
      <c r="DE413" s="15">
        <v>159050.0</v>
      </c>
      <c r="DF413" s="15">
        <v>686350.0</v>
      </c>
      <c r="DG413" s="15">
        <v>399530.0</v>
      </c>
      <c r="DH413" s="15">
        <v>323600.0</v>
      </c>
      <c r="DI413" s="15">
        <v>237530.0</v>
      </c>
      <c r="DJ413" s="15">
        <v>310600.0</v>
      </c>
      <c r="DK413" s="15"/>
      <c r="DL413" s="15"/>
      <c r="DM413" s="15"/>
      <c r="DN413" s="12"/>
      <c r="DO413" s="15"/>
      <c r="DP413" s="15">
        <v>245990.0</v>
      </c>
      <c r="DQ413" s="15">
        <v>30900.0</v>
      </c>
      <c r="DR413" s="15">
        <v>31500.0</v>
      </c>
      <c r="DS413" s="15">
        <v>32080.0</v>
      </c>
      <c r="DT413" s="15">
        <v>32630.0</v>
      </c>
      <c r="DU413" s="13"/>
      <c r="DV413" s="12"/>
      <c r="DW413" s="12"/>
      <c r="DX413" s="13"/>
      <c r="DY413" s="13"/>
      <c r="DZ413" s="15">
        <v>1140000.0</v>
      </c>
      <c r="EA413" s="15">
        <v>1050000.0</v>
      </c>
      <c r="EB413" s="15">
        <v>940780.0</v>
      </c>
      <c r="EC413" s="15">
        <v>954260.0</v>
      </c>
      <c r="ED413" s="15">
        <v>967470.0</v>
      </c>
      <c r="EE413" s="17">
        <v>0.093</v>
      </c>
      <c r="EF413" s="17">
        <v>0.071</v>
      </c>
      <c r="EG413" s="17">
        <v>0.748</v>
      </c>
      <c r="EH413" s="17">
        <v>1.584</v>
      </c>
    </row>
    <row r="414">
      <c r="A414" s="9">
        <f t="shared" si="2"/>
        <v>412</v>
      </c>
      <c r="B414" s="25" t="s">
        <v>548</v>
      </c>
      <c r="C414" s="15"/>
      <c r="D414" s="15"/>
      <c r="E414" s="15">
        <v>6020000.0</v>
      </c>
      <c r="F414" s="15">
        <v>5390000.0</v>
      </c>
      <c r="G414" s="15">
        <v>4920000.0</v>
      </c>
      <c r="H414" s="15">
        <v>4530000.0</v>
      </c>
      <c r="I414" s="15">
        <v>4200000.0</v>
      </c>
      <c r="J414" s="15">
        <v>1890000.0</v>
      </c>
      <c r="K414" s="15">
        <v>1930000.0</v>
      </c>
      <c r="L414" s="15">
        <v>1780000.0</v>
      </c>
      <c r="M414" s="15">
        <v>1440000.0</v>
      </c>
      <c r="N414" s="15">
        <v>1190000.0</v>
      </c>
      <c r="O414" s="15">
        <v>1550000.0</v>
      </c>
      <c r="P414" s="15">
        <v>1640000.0</v>
      </c>
      <c r="Q414" s="15">
        <v>1470000.0</v>
      </c>
      <c r="R414" s="15">
        <v>1130000.0</v>
      </c>
      <c r="S414" s="15">
        <v>910980.0</v>
      </c>
      <c r="T414" s="15"/>
      <c r="U414" s="15"/>
      <c r="V414" s="15"/>
      <c r="W414" s="15"/>
      <c r="X414" s="15"/>
      <c r="Y414" s="15">
        <v>363390.0</v>
      </c>
      <c r="Z414" s="15">
        <v>288990.0</v>
      </c>
      <c r="AA414" s="15">
        <v>302440.0</v>
      </c>
      <c r="AB414" s="15">
        <v>285800.0</v>
      </c>
      <c r="AC414" s="15">
        <v>273430.0</v>
      </c>
      <c r="AD414" s="15">
        <v>237530.0</v>
      </c>
      <c r="AE414" s="15">
        <v>211870.0</v>
      </c>
      <c r="AF414" s="15">
        <v>234820.0</v>
      </c>
      <c r="AG414" s="15">
        <v>259130.0</v>
      </c>
      <c r="AH414" s="15">
        <v>200760.0</v>
      </c>
      <c r="AI414" s="15">
        <v>669230.0</v>
      </c>
      <c r="AJ414" s="15">
        <v>413720.0</v>
      </c>
      <c r="AK414" s="15">
        <v>430540.0</v>
      </c>
      <c r="AL414" s="15">
        <v>408890.0</v>
      </c>
      <c r="AM414" s="15">
        <v>355790.0</v>
      </c>
      <c r="AN414" s="15">
        <v>206290.0</v>
      </c>
      <c r="AO414" s="15">
        <v>174510.0</v>
      </c>
      <c r="AP414" s="15">
        <v>175670.0</v>
      </c>
      <c r="AQ414" s="15">
        <v>198780.0</v>
      </c>
      <c r="AR414" s="15">
        <v>170280.0</v>
      </c>
      <c r="AS414" s="15">
        <v>552440.0</v>
      </c>
      <c r="AT414" s="15">
        <v>80420.0</v>
      </c>
      <c r="AU414" s="15">
        <v>268580.0</v>
      </c>
      <c r="AV414" s="15">
        <v>294070.0</v>
      </c>
      <c r="AW414" s="15">
        <v>273760.0</v>
      </c>
      <c r="AX414" s="15">
        <v>-107140.0</v>
      </c>
      <c r="AY414" s="15">
        <v>-150480.0</v>
      </c>
      <c r="AZ414" s="15">
        <v>-110620.0</v>
      </c>
      <c r="BA414" s="15">
        <v>-163550.0</v>
      </c>
      <c r="BB414" s="15">
        <v>-147940.0</v>
      </c>
      <c r="BC414" s="15">
        <v>-39490.0</v>
      </c>
      <c r="BD414" s="15">
        <v>-50590.0</v>
      </c>
      <c r="BE414" s="15">
        <v>-50560.0</v>
      </c>
      <c r="BF414" s="15">
        <v>-54100.0</v>
      </c>
      <c r="BG414" s="15">
        <v>-54680.0</v>
      </c>
      <c r="BH414" s="15">
        <v>377270.0</v>
      </c>
      <c r="BI414" s="15">
        <v>276620.0</v>
      </c>
      <c r="BJ414" s="15">
        <v>486350.0</v>
      </c>
      <c r="BK414" s="15">
        <v>323290.0</v>
      </c>
      <c r="BL414" s="15">
        <v>653950.0</v>
      </c>
      <c r="BM414" s="15">
        <v>823890.0</v>
      </c>
      <c r="BN414" s="15">
        <v>897690.0</v>
      </c>
      <c r="BO414" s="15">
        <v>569330.0</v>
      </c>
      <c r="BP414" s="15">
        <v>636420.0</v>
      </c>
      <c r="BQ414" s="15">
        <v>478330.0</v>
      </c>
      <c r="BR414" s="15">
        <v>1150000.0</v>
      </c>
      <c r="BS414" s="15">
        <v>1170000.0</v>
      </c>
      <c r="BT414" s="15">
        <v>946650.0</v>
      </c>
      <c r="BU414" s="15">
        <v>902430.0</v>
      </c>
      <c r="BV414" s="15">
        <v>770710.0</v>
      </c>
      <c r="BW414" s="15">
        <v>2380000.0</v>
      </c>
      <c r="BX414" s="15">
        <v>2380000.0</v>
      </c>
      <c r="BY414" s="15">
        <v>2020000.0</v>
      </c>
      <c r="BZ414" s="15">
        <v>1890000.0</v>
      </c>
      <c r="CA414" s="15">
        <v>1930000.0</v>
      </c>
      <c r="CB414" s="15">
        <v>1450000.0</v>
      </c>
      <c r="CC414" s="15">
        <v>716480.0</v>
      </c>
      <c r="CD414" s="15">
        <v>555530.0</v>
      </c>
      <c r="CE414" s="15">
        <v>661790.0</v>
      </c>
      <c r="CF414" s="15">
        <v>475210.0</v>
      </c>
      <c r="CG414" s="15">
        <v>511200.0</v>
      </c>
      <c r="CH414" s="15">
        <v>414610.0</v>
      </c>
      <c r="CI414" s="15">
        <v>243370.0</v>
      </c>
      <c r="CJ414" s="15">
        <v>269790.0</v>
      </c>
      <c r="CK414" s="15">
        <v>272770.0</v>
      </c>
      <c r="CL414" s="15">
        <v>5480000.0</v>
      </c>
      <c r="CM414" s="15">
        <v>4510000.0</v>
      </c>
      <c r="CN414" s="15">
        <v>3540000.0</v>
      </c>
      <c r="CO414" s="15">
        <v>3520000.0</v>
      </c>
      <c r="CP414" s="15">
        <v>3110000.0</v>
      </c>
      <c r="CQ414" s="15">
        <v>485200.0</v>
      </c>
      <c r="CR414" s="15">
        <v>521620.0</v>
      </c>
      <c r="CS414" s="15">
        <v>388920.0</v>
      </c>
      <c r="CT414" s="15">
        <v>403330.0</v>
      </c>
      <c r="CU414" s="15">
        <v>392820.0</v>
      </c>
      <c r="CV414" s="15">
        <v>1390000.0</v>
      </c>
      <c r="CW414" s="15">
        <v>6450.0</v>
      </c>
      <c r="CX414" s="15">
        <v>298890.0</v>
      </c>
      <c r="CY414" s="13">
        <v>97.0</v>
      </c>
      <c r="CZ414" s="15">
        <v>173140.0</v>
      </c>
      <c r="DA414" s="12">
        <v>202.0</v>
      </c>
      <c r="DB414" s="15">
        <v>1390000.0</v>
      </c>
      <c r="DC414" s="15">
        <v>1390000.0</v>
      </c>
      <c r="DD414" s="15">
        <v>896590.0</v>
      </c>
      <c r="DE414" s="15">
        <v>1020000.0</v>
      </c>
      <c r="DF414" s="15">
        <v>3730000.0</v>
      </c>
      <c r="DG414" s="15">
        <v>2760000.0</v>
      </c>
      <c r="DH414" s="15">
        <v>1980000.0</v>
      </c>
      <c r="DI414" s="15">
        <v>2010000.0</v>
      </c>
      <c r="DJ414" s="15">
        <v>1710000.0</v>
      </c>
      <c r="DK414" s="15">
        <v>112710.0</v>
      </c>
      <c r="DL414" s="15">
        <v>48530.0</v>
      </c>
      <c r="DM414" s="15">
        <v>117870.0</v>
      </c>
      <c r="DN414" s="15">
        <v>55280.0</v>
      </c>
      <c r="DO414" s="15">
        <v>19500.0</v>
      </c>
      <c r="DP414" s="15">
        <v>2010000.0</v>
      </c>
      <c r="DQ414" s="15">
        <v>1100000.0</v>
      </c>
      <c r="DR414" s="15">
        <v>898970.0</v>
      </c>
      <c r="DS414" s="15">
        <v>796760.0</v>
      </c>
      <c r="DT414" s="15">
        <v>823840.0</v>
      </c>
      <c r="DU414" s="13"/>
      <c r="DV414" s="12"/>
      <c r="DW414" s="12"/>
      <c r="DX414" s="13"/>
      <c r="DY414" s="13"/>
      <c r="DZ414" s="15">
        <v>1750000.0</v>
      </c>
      <c r="EA414" s="15">
        <v>1750000.0</v>
      </c>
      <c r="EB414" s="15">
        <v>1560000.0</v>
      </c>
      <c r="EC414" s="15">
        <v>1500000.0</v>
      </c>
      <c r="ED414" s="15">
        <v>1390000.0</v>
      </c>
      <c r="EE414" s="23"/>
      <c r="EF414" s="23"/>
      <c r="EG414" s="23"/>
      <c r="EH414" s="23"/>
    </row>
    <row r="415">
      <c r="A415" s="9">
        <f t="shared" si="2"/>
        <v>413</v>
      </c>
      <c r="B415" s="10" t="s">
        <v>549</v>
      </c>
      <c r="C415" s="15">
        <v>393970.0</v>
      </c>
      <c r="D415" s="15">
        <v>305270.0</v>
      </c>
      <c r="E415" s="15">
        <v>541390.0</v>
      </c>
      <c r="F415" s="15">
        <v>630180.0</v>
      </c>
      <c r="G415" s="15">
        <v>529170.0</v>
      </c>
      <c r="H415" s="15">
        <v>506950.0</v>
      </c>
      <c r="I415" s="15">
        <v>491290.0</v>
      </c>
      <c r="J415" s="15">
        <v>142820.0</v>
      </c>
      <c r="K415" s="15">
        <v>140060.0</v>
      </c>
      <c r="L415" s="15">
        <v>141440.0</v>
      </c>
      <c r="M415" s="15">
        <v>141870.0</v>
      </c>
      <c r="N415" s="15">
        <v>132120.0</v>
      </c>
      <c r="O415" s="15">
        <v>69020.0</v>
      </c>
      <c r="P415" s="15">
        <v>63830.0</v>
      </c>
      <c r="Q415" s="15">
        <v>66420.0</v>
      </c>
      <c r="R415" s="15">
        <v>67960.0</v>
      </c>
      <c r="S415" s="15">
        <v>66600.0</v>
      </c>
      <c r="T415" s="15"/>
      <c r="U415" s="15"/>
      <c r="V415" s="15"/>
      <c r="W415" s="15"/>
      <c r="X415" s="15"/>
      <c r="Y415" s="15">
        <v>71380.0</v>
      </c>
      <c r="Z415" s="15">
        <v>73100.0</v>
      </c>
      <c r="AA415" s="15">
        <v>68970.0</v>
      </c>
      <c r="AB415" s="15">
        <v>47030.0</v>
      </c>
      <c r="AC415" s="15">
        <v>62760.0</v>
      </c>
      <c r="AD415" s="15">
        <v>149200.0</v>
      </c>
      <c r="AE415" s="15">
        <v>52250.0</v>
      </c>
      <c r="AF415" s="15">
        <v>56800.0</v>
      </c>
      <c r="AG415" s="15">
        <v>35880.0</v>
      </c>
      <c r="AH415" s="15">
        <v>53730.0</v>
      </c>
      <c r="AI415" s="15">
        <v>93650.0</v>
      </c>
      <c r="AJ415" s="15">
        <v>103270.0</v>
      </c>
      <c r="AK415" s="15">
        <v>93500.0</v>
      </c>
      <c r="AL415" s="15">
        <v>96090.0</v>
      </c>
      <c r="AM415" s="15">
        <v>86990.0</v>
      </c>
      <c r="AN415" s="15">
        <v>117410.0</v>
      </c>
      <c r="AO415" s="15">
        <v>43690.0</v>
      </c>
      <c r="AP415" s="15">
        <v>39590.0</v>
      </c>
      <c r="AQ415" s="15">
        <v>19400.0</v>
      </c>
      <c r="AR415" s="15">
        <v>35980.0</v>
      </c>
      <c r="AS415" s="15">
        <v>43330.0</v>
      </c>
      <c r="AT415" s="15">
        <v>73690.0</v>
      </c>
      <c r="AU415" s="15">
        <v>78270.0</v>
      </c>
      <c r="AV415" s="15">
        <v>71160.0</v>
      </c>
      <c r="AW415" s="15">
        <v>80640.0</v>
      </c>
      <c r="AX415" s="15">
        <v>-25300.0</v>
      </c>
      <c r="AY415" s="15">
        <v>-22030.0</v>
      </c>
      <c r="AZ415" s="15">
        <v>-18810.0</v>
      </c>
      <c r="BA415" s="15">
        <v>-19750.0</v>
      </c>
      <c r="BB415" s="15">
        <v>-26980.0</v>
      </c>
      <c r="BC415" s="15"/>
      <c r="BD415" s="15"/>
      <c r="BE415" s="15"/>
      <c r="BF415" s="15"/>
      <c r="BG415" s="15"/>
      <c r="BH415" s="15">
        <v>7020.0</v>
      </c>
      <c r="BI415" s="15">
        <v>6740.0</v>
      </c>
      <c r="BJ415" s="15">
        <v>4980.0</v>
      </c>
      <c r="BK415" s="15">
        <v>2590.0</v>
      </c>
      <c r="BL415" s="15">
        <v>1670.0</v>
      </c>
      <c r="BM415" s="15">
        <v>27490.0</v>
      </c>
      <c r="BN415" s="15">
        <v>26280.0</v>
      </c>
      <c r="BO415" s="15">
        <v>21380.0</v>
      </c>
      <c r="BP415" s="15">
        <v>19840.0</v>
      </c>
      <c r="BQ415" s="15">
        <v>16550.0</v>
      </c>
      <c r="BR415" s="15">
        <v>1330.0</v>
      </c>
      <c r="BS415" s="15">
        <v>2990.0</v>
      </c>
      <c r="BT415" s="15">
        <v>3130.0</v>
      </c>
      <c r="BU415" s="15">
        <v>3050.0</v>
      </c>
      <c r="BV415" s="15">
        <v>3120.0</v>
      </c>
      <c r="BW415" s="15">
        <v>52730.0</v>
      </c>
      <c r="BX415" s="15">
        <v>47600.0</v>
      </c>
      <c r="BY415" s="15">
        <v>41290.0</v>
      </c>
      <c r="BZ415" s="15">
        <v>35910.0</v>
      </c>
      <c r="CA415" s="15">
        <v>36410.0</v>
      </c>
      <c r="CB415" s="15">
        <v>267900.0</v>
      </c>
      <c r="CC415" s="15">
        <v>140000.0</v>
      </c>
      <c r="CD415" s="15">
        <v>139860.0</v>
      </c>
      <c r="CE415" s="15">
        <v>133100.0</v>
      </c>
      <c r="CF415" s="15">
        <v>124820.0</v>
      </c>
      <c r="CG415" s="15">
        <v>36830.0</v>
      </c>
      <c r="CH415" s="15">
        <v>39780.0</v>
      </c>
      <c r="CI415" s="15">
        <v>38270.0</v>
      </c>
      <c r="CJ415" s="15">
        <v>35230.0</v>
      </c>
      <c r="CK415" s="15">
        <v>33450.0</v>
      </c>
      <c r="CL415" s="15">
        <v>523710.0</v>
      </c>
      <c r="CM415" s="15">
        <v>335350.0</v>
      </c>
      <c r="CN415" s="15">
        <v>323780.0</v>
      </c>
      <c r="CO415" s="15">
        <v>306150.0</v>
      </c>
      <c r="CP415" s="15">
        <v>297040.0</v>
      </c>
      <c r="CQ415" s="15">
        <v>20260.0</v>
      </c>
      <c r="CR415" s="15">
        <v>29530.0</v>
      </c>
      <c r="CS415" s="15">
        <v>32490.0</v>
      </c>
      <c r="CT415" s="15">
        <v>25290.0</v>
      </c>
      <c r="CU415" s="15">
        <v>20760.0</v>
      </c>
      <c r="CV415" s="15">
        <v>95580.0</v>
      </c>
      <c r="CW415" s="15">
        <v>16340.0</v>
      </c>
      <c r="CX415" s="15"/>
      <c r="CY415" s="15"/>
      <c r="CZ415" s="15"/>
      <c r="DA415" s="15"/>
      <c r="DB415" s="15">
        <v>95580.0</v>
      </c>
      <c r="DC415" s="15">
        <v>94730.0</v>
      </c>
      <c r="DD415" s="15">
        <v>94900.0</v>
      </c>
      <c r="DE415" s="15">
        <v>93370.0</v>
      </c>
      <c r="DF415" s="15">
        <v>661770.0</v>
      </c>
      <c r="DG415" s="15">
        <v>468690.0</v>
      </c>
      <c r="DH415" s="15">
        <v>421140.0</v>
      </c>
      <c r="DI415" s="15">
        <v>377260.0</v>
      </c>
      <c r="DJ415" s="15">
        <v>357630.0</v>
      </c>
      <c r="DK415" s="15"/>
      <c r="DL415" s="12"/>
      <c r="DM415" s="15"/>
      <c r="DN415" s="12"/>
      <c r="DO415" s="13"/>
      <c r="DP415" s="15">
        <v>407530.0</v>
      </c>
      <c r="DQ415" s="15">
        <v>313680.0</v>
      </c>
      <c r="DR415" s="15">
        <v>286050.0</v>
      </c>
      <c r="DS415" s="15">
        <v>242310.0</v>
      </c>
      <c r="DT415" s="15">
        <v>212500.0</v>
      </c>
      <c r="DU415" s="13"/>
      <c r="DV415" s="12"/>
      <c r="DW415" s="15"/>
      <c r="DX415" s="15"/>
      <c r="DY415" s="13"/>
      <c r="DZ415" s="15">
        <v>-138060.0</v>
      </c>
      <c r="EA415" s="15">
        <v>-133350.0</v>
      </c>
      <c r="EB415" s="15">
        <v>-97360.0</v>
      </c>
      <c r="EC415" s="15">
        <v>-71110.0</v>
      </c>
      <c r="ED415" s="15">
        <v>-60600.0</v>
      </c>
      <c r="EE415" s="17">
        <v>0.153</v>
      </c>
      <c r="EF415" s="17">
        <v>0.159</v>
      </c>
      <c r="EG415" s="17">
        <v>-0.316</v>
      </c>
      <c r="EH415" s="17">
        <v>0.177</v>
      </c>
    </row>
    <row r="416">
      <c r="A416" s="9">
        <f t="shared" si="2"/>
        <v>414</v>
      </c>
      <c r="B416" s="10" t="s">
        <v>550</v>
      </c>
      <c r="C416" s="15"/>
      <c r="D416" s="15"/>
      <c r="E416" s="15">
        <v>1.287E7</v>
      </c>
      <c r="F416" s="15">
        <v>1.216E7</v>
      </c>
      <c r="G416" s="15">
        <v>1.205E7</v>
      </c>
      <c r="H416" s="15">
        <v>1.049E7</v>
      </c>
      <c r="I416" s="15">
        <v>1.081E7</v>
      </c>
      <c r="J416" s="15">
        <v>7660000.0</v>
      </c>
      <c r="K416" s="15">
        <v>7450000.0</v>
      </c>
      <c r="L416" s="15">
        <v>7000000.0</v>
      </c>
      <c r="M416" s="15">
        <v>419000.0</v>
      </c>
      <c r="N416" s="15">
        <v>263000.0</v>
      </c>
      <c r="O416" s="15">
        <v>3590000.0</v>
      </c>
      <c r="P416" s="15">
        <v>3640000.0</v>
      </c>
      <c r="Q416" s="15">
        <v>3450000.0</v>
      </c>
      <c r="R416" s="15">
        <v>3140000.0</v>
      </c>
      <c r="S416" s="15">
        <v>3050000.0</v>
      </c>
      <c r="T416" s="15">
        <v>35000.0</v>
      </c>
      <c r="U416" s="15">
        <v>36000.0</v>
      </c>
      <c r="V416" s="15">
        <v>33000.0</v>
      </c>
      <c r="W416" s="15">
        <v>28000.0</v>
      </c>
      <c r="X416" s="15">
        <v>26000.0</v>
      </c>
      <c r="Y416" s="15">
        <v>4030000.0</v>
      </c>
      <c r="Z416" s="15">
        <v>3690000.0</v>
      </c>
      <c r="AA416" s="15">
        <v>3520000.0</v>
      </c>
      <c r="AB416" s="15">
        <v>2540000.0</v>
      </c>
      <c r="AC416" s="15">
        <v>2890000.0</v>
      </c>
      <c r="AD416" s="15">
        <v>3920000.0</v>
      </c>
      <c r="AE416" s="15">
        <v>3430000.0</v>
      </c>
      <c r="AF416" s="15">
        <v>3250000.0</v>
      </c>
      <c r="AG416" s="15">
        <v>2640000.0</v>
      </c>
      <c r="AH416" s="15">
        <v>2760000.0</v>
      </c>
      <c r="AI416" s="15">
        <v>4440000.0</v>
      </c>
      <c r="AJ416" s="15">
        <v>4180000.0</v>
      </c>
      <c r="AK416" s="15">
        <v>3910000.0</v>
      </c>
      <c r="AL416" s="15">
        <v>3160000.0</v>
      </c>
      <c r="AM416" s="15">
        <v>3240000.0</v>
      </c>
      <c r="AN416" s="15">
        <v>3160000.0</v>
      </c>
      <c r="AO416" s="15">
        <v>3020000.0</v>
      </c>
      <c r="AP416" s="15">
        <v>2720000.0</v>
      </c>
      <c r="AQ416" s="15">
        <v>2240000.0</v>
      </c>
      <c r="AR416" s="15">
        <v>2380000.0</v>
      </c>
      <c r="AS416" s="15">
        <v>3250000.0</v>
      </c>
      <c r="AT416" s="15">
        <v>3080000.0</v>
      </c>
      <c r="AU416" s="15">
        <v>3130000.0</v>
      </c>
      <c r="AV416" s="15">
        <v>2550000.0</v>
      </c>
      <c r="AW416" s="15">
        <v>2550000.0</v>
      </c>
      <c r="AX416" s="15">
        <v>-671000.0</v>
      </c>
      <c r="AY416" s="15">
        <v>-584000.0</v>
      </c>
      <c r="AZ416" s="15">
        <v>-518000.0</v>
      </c>
      <c r="BA416" s="15">
        <v>-506000.0</v>
      </c>
      <c r="BB416" s="15">
        <v>-638000.0</v>
      </c>
      <c r="BC416" s="15">
        <v>-1620000.0</v>
      </c>
      <c r="BD416" s="15">
        <v>-1580000.0</v>
      </c>
      <c r="BE416" s="15">
        <v>-1520000.0</v>
      </c>
      <c r="BF416" s="15">
        <v>-1440000.0</v>
      </c>
      <c r="BG416" s="15">
        <v>-1340000.0</v>
      </c>
      <c r="BH416" s="15">
        <v>1060000.0</v>
      </c>
      <c r="BI416" s="15">
        <v>909000.0</v>
      </c>
      <c r="BJ416" s="15">
        <v>1270000.0</v>
      </c>
      <c r="BK416" s="15">
        <v>1580000.0</v>
      </c>
      <c r="BL416" s="15">
        <v>518000.0</v>
      </c>
      <c r="BM416" s="15">
        <v>2580000.0</v>
      </c>
      <c r="BN416" s="15">
        <v>2590000.0</v>
      </c>
      <c r="BO416" s="15">
        <v>2430000.0</v>
      </c>
      <c r="BP416" s="15">
        <v>2500000.0</v>
      </c>
      <c r="BQ416" s="15">
        <v>2290000.0</v>
      </c>
      <c r="BR416" s="15">
        <v>5470000.0</v>
      </c>
      <c r="BS416" s="15">
        <v>5020000.0</v>
      </c>
      <c r="BT416" s="15">
        <v>4790000.0</v>
      </c>
      <c r="BU416" s="15">
        <v>4580000.0</v>
      </c>
      <c r="BV416" s="15">
        <v>4570000.0</v>
      </c>
      <c r="BW416" s="15">
        <v>9370000.0</v>
      </c>
      <c r="BX416" s="15">
        <v>8690000.0</v>
      </c>
      <c r="BY416" s="15">
        <v>8650000.0</v>
      </c>
      <c r="BZ416" s="15">
        <v>8850000.0</v>
      </c>
      <c r="CA416" s="15">
        <v>7670000.0</v>
      </c>
      <c r="CB416" s="15">
        <v>4490000.0</v>
      </c>
      <c r="CC416" s="15">
        <v>4110000.0</v>
      </c>
      <c r="CD416" s="15">
        <v>4040000.0</v>
      </c>
      <c r="CE416" s="15">
        <v>3890000.0</v>
      </c>
      <c r="CF416" s="15">
        <v>3760000.0</v>
      </c>
      <c r="CG416" s="15">
        <v>2680000.0</v>
      </c>
      <c r="CH416" s="15">
        <v>2680000.0</v>
      </c>
      <c r="CI416" s="15">
        <v>2720000.0</v>
      </c>
      <c r="CJ416" s="15">
        <v>2700000.0</v>
      </c>
      <c r="CK416" s="15">
        <v>2520000.0</v>
      </c>
      <c r="CL416" s="15">
        <v>3.13E7</v>
      </c>
      <c r="CM416" s="15">
        <v>2.972E7</v>
      </c>
      <c r="CN416" s="15">
        <v>2.885E7</v>
      </c>
      <c r="CO416" s="15">
        <v>2.849E7</v>
      </c>
      <c r="CP416" s="15">
        <v>2.58E7</v>
      </c>
      <c r="CQ416" s="15">
        <v>1690000.0</v>
      </c>
      <c r="CR416" s="15">
        <v>1510000.0</v>
      </c>
      <c r="CS416" s="15">
        <v>1370000.0</v>
      </c>
      <c r="CT416" s="15">
        <v>916000.0</v>
      </c>
      <c r="CU416" s="15">
        <v>883000.0</v>
      </c>
      <c r="CV416" s="15">
        <v>7000000.0</v>
      </c>
      <c r="CW416" s="15">
        <v>980000.0</v>
      </c>
      <c r="CX416" s="15">
        <v>333000.0</v>
      </c>
      <c r="CY416" s="15">
        <v>348000.0</v>
      </c>
      <c r="CZ416" s="15">
        <v>419000.0</v>
      </c>
      <c r="DA416" s="15">
        <v>520000.0</v>
      </c>
      <c r="DB416" s="15">
        <v>7000000.0</v>
      </c>
      <c r="DC416" s="15">
        <v>6360000.0</v>
      </c>
      <c r="DD416" s="15">
        <v>6660000.0</v>
      </c>
      <c r="DE416" s="15">
        <v>6190000.0</v>
      </c>
      <c r="DF416" s="15">
        <v>2.114E7</v>
      </c>
      <c r="DG416" s="15">
        <v>1.8E7</v>
      </c>
      <c r="DH416" s="15">
        <v>1.682E7</v>
      </c>
      <c r="DI416" s="15">
        <v>1.831E7</v>
      </c>
      <c r="DJ416" s="15">
        <v>1.655E7</v>
      </c>
      <c r="DK416" s="15">
        <v>3630000.0</v>
      </c>
      <c r="DL416" s="15">
        <v>3240000.0</v>
      </c>
      <c r="DM416" s="15">
        <v>3100000.0</v>
      </c>
      <c r="DN416" s="15">
        <v>2920000.0</v>
      </c>
      <c r="DO416" s="15">
        <v>2460000.0</v>
      </c>
      <c r="DP416" s="15">
        <v>1.068E7</v>
      </c>
      <c r="DQ416" s="15">
        <v>8200000.0</v>
      </c>
      <c r="DR416" s="15">
        <v>6740000.0</v>
      </c>
      <c r="DS416" s="15">
        <v>8280000.0</v>
      </c>
      <c r="DT416" s="15">
        <v>8140000.0</v>
      </c>
      <c r="DU416" s="13"/>
      <c r="DV416" s="12"/>
      <c r="DW416" s="12"/>
      <c r="DX416" s="13"/>
      <c r="DY416" s="13"/>
      <c r="DZ416" s="15">
        <v>8360000.0</v>
      </c>
      <c r="EA416" s="15">
        <v>9950000.0</v>
      </c>
      <c r="EB416" s="15">
        <v>1.031E7</v>
      </c>
      <c r="EC416" s="15">
        <v>8530000.0</v>
      </c>
      <c r="ED416" s="15">
        <v>7770000.0</v>
      </c>
      <c r="EE416" s="17"/>
      <c r="EF416" s="17"/>
      <c r="EG416" s="23" t="s">
        <v>155</v>
      </c>
      <c r="EH416" s="17"/>
    </row>
    <row r="417">
      <c r="A417" s="9">
        <f t="shared" si="2"/>
        <v>415</v>
      </c>
      <c r="B417" s="32" t="s">
        <v>551</v>
      </c>
      <c r="C417" s="11"/>
      <c r="D417" s="11"/>
      <c r="E417" s="11"/>
      <c r="F417" s="11"/>
      <c r="G417" s="11"/>
      <c r="H417" s="11"/>
      <c r="I417" s="11"/>
      <c r="J417" s="11">
        <v>-18.0</v>
      </c>
      <c r="K417" s="11">
        <v>-10.0</v>
      </c>
      <c r="L417" s="11">
        <v>-2.0</v>
      </c>
      <c r="M417" s="11">
        <v>-1.0</v>
      </c>
      <c r="N417" s="11"/>
      <c r="O417" s="11">
        <v>5830.0</v>
      </c>
      <c r="P417" s="11">
        <v>6200.0</v>
      </c>
      <c r="Q417" s="11">
        <v>2720.0</v>
      </c>
      <c r="R417" s="11">
        <v>1450.0</v>
      </c>
      <c r="S417" s="11">
        <v>1200.0</v>
      </c>
      <c r="T417" s="11">
        <v>2850.0</v>
      </c>
      <c r="U417" s="11">
        <v>2750.0</v>
      </c>
      <c r="V417" s="11">
        <v>387.0</v>
      </c>
      <c r="W417" s="11">
        <v>496.0</v>
      </c>
      <c r="X417" s="11">
        <v>274.0</v>
      </c>
      <c r="Y417" s="11"/>
      <c r="Z417" s="12"/>
      <c r="AA417" s="11">
        <v>-3220.0</v>
      </c>
      <c r="AB417" s="11"/>
      <c r="AC417" s="11"/>
      <c r="AD417" s="11">
        <v>-5520.0</v>
      </c>
      <c r="AE417" s="11">
        <v>-6010.0</v>
      </c>
      <c r="AF417" s="11">
        <v>-3210.0</v>
      </c>
      <c r="AG417" s="11">
        <v>-1450.0</v>
      </c>
      <c r="AH417" s="11">
        <v>-1200.0</v>
      </c>
      <c r="AI417" s="11">
        <v>-5830.0</v>
      </c>
      <c r="AJ417" s="11">
        <v>-6200.0</v>
      </c>
      <c r="AK417" s="11">
        <v>-2720.0</v>
      </c>
      <c r="AL417" s="11">
        <v>-1450.0</v>
      </c>
      <c r="AM417" s="11">
        <v>-1200.0</v>
      </c>
      <c r="AN417" s="11">
        <v>-4710.0</v>
      </c>
      <c r="AO417" s="11">
        <v>-5170.0</v>
      </c>
      <c r="AP417" s="11">
        <v>-2980.0</v>
      </c>
      <c r="AQ417" s="11">
        <v>-1260.0</v>
      </c>
      <c r="AR417" s="11">
        <v>-1020.0</v>
      </c>
      <c r="AS417" s="11">
        <v>-4570.0</v>
      </c>
      <c r="AT417" s="11">
        <v>-4650.0</v>
      </c>
      <c r="AU417" s="11">
        <v>-2140.0</v>
      </c>
      <c r="AV417" s="11">
        <v>-988.0</v>
      </c>
      <c r="AW417" s="11">
        <v>-893.0</v>
      </c>
      <c r="AX417" s="11">
        <v>-21.0</v>
      </c>
      <c r="AY417" s="11">
        <v>-18.0</v>
      </c>
      <c r="AZ417" s="11">
        <v>-23.0</v>
      </c>
      <c r="BA417" s="11"/>
      <c r="BB417" s="11">
        <v>-3.0</v>
      </c>
      <c r="BC417" s="11"/>
      <c r="BD417" s="11"/>
      <c r="BE417" s="11"/>
      <c r="BF417" s="11"/>
      <c r="BG417" s="11"/>
      <c r="BH417" s="11">
        <v>7480.0</v>
      </c>
      <c r="BI417" s="11">
        <v>12060.0</v>
      </c>
      <c r="BJ417" s="11">
        <v>16720.0</v>
      </c>
      <c r="BK417" s="11">
        <v>1480.0</v>
      </c>
      <c r="BL417" s="11">
        <v>1120.0</v>
      </c>
      <c r="BM417" s="11">
        <v>911.0</v>
      </c>
      <c r="BN417" s="11">
        <v>931.0</v>
      </c>
      <c r="BO417" s="11">
        <v>277.0</v>
      </c>
      <c r="BP417" s="11">
        <v>217.0</v>
      </c>
      <c r="BQ417" s="11">
        <v>201.0</v>
      </c>
      <c r="BR417" s="11"/>
      <c r="BS417" s="11"/>
      <c r="BT417" s="11"/>
      <c r="BU417" s="11"/>
      <c r="BV417" s="11"/>
      <c r="BW417" s="11">
        <v>8520.0</v>
      </c>
      <c r="BX417" s="11">
        <v>13030.0</v>
      </c>
      <c r="BY417" s="11">
        <v>17060.0</v>
      </c>
      <c r="BZ417" s="11">
        <v>1700.0</v>
      </c>
      <c r="CA417" s="11">
        <v>1340.0</v>
      </c>
      <c r="CB417" s="11">
        <v>33.0</v>
      </c>
      <c r="CC417" s="11">
        <v>30.0</v>
      </c>
      <c r="CD417" s="11">
        <v>22.0</v>
      </c>
      <c r="CE417" s="11">
        <v>1.0</v>
      </c>
      <c r="CF417" s="11">
        <v>3.0</v>
      </c>
      <c r="CG417" s="11"/>
      <c r="CH417" s="11"/>
      <c r="CI417" s="11"/>
      <c r="CJ417" s="11"/>
      <c r="CK417" s="11"/>
      <c r="CL417" s="11">
        <v>8560.0</v>
      </c>
      <c r="CM417" s="11">
        <v>13060.0</v>
      </c>
      <c r="CN417" s="11">
        <v>17080.0</v>
      </c>
      <c r="CO417" s="11">
        <v>1700.0</v>
      </c>
      <c r="CP417" s="11">
        <v>1350.0</v>
      </c>
      <c r="CQ417" s="11"/>
      <c r="CR417" s="11"/>
      <c r="CS417" s="11"/>
      <c r="CT417" s="11"/>
      <c r="CU417" s="11"/>
      <c r="CV417" s="11">
        <v>798.0</v>
      </c>
      <c r="CW417" s="11"/>
      <c r="CX417" s="11"/>
      <c r="CY417" s="11"/>
      <c r="CZ417" s="11"/>
      <c r="DA417" s="11"/>
      <c r="DB417" s="11">
        <v>798.0</v>
      </c>
      <c r="DC417" s="11">
        <v>802.0</v>
      </c>
      <c r="DD417" s="11">
        <v>397.0</v>
      </c>
      <c r="DE417" s="11">
        <v>155.0</v>
      </c>
      <c r="DF417" s="11">
        <v>798.0</v>
      </c>
      <c r="DG417" s="11">
        <v>802.0</v>
      </c>
      <c r="DH417" s="11">
        <v>397.0</v>
      </c>
      <c r="DI417" s="11">
        <v>155.0</v>
      </c>
      <c r="DJ417" s="11">
        <v>94.0</v>
      </c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3"/>
      <c r="DV417" s="12"/>
      <c r="DW417" s="12"/>
      <c r="DX417" s="12"/>
      <c r="DY417" s="12"/>
      <c r="DZ417" s="11">
        <v>7760.0</v>
      </c>
      <c r="EA417" s="11">
        <v>12260.0</v>
      </c>
      <c r="EB417" s="11">
        <v>16690.0</v>
      </c>
      <c r="EC417" s="11">
        <v>1540.0</v>
      </c>
      <c r="ED417" s="11">
        <v>1250.0</v>
      </c>
      <c r="EE417" s="14"/>
      <c r="EF417" s="14"/>
      <c r="EG417" s="23"/>
      <c r="EH417" s="14"/>
    </row>
    <row r="418">
      <c r="A418" s="9">
        <f t="shared" si="2"/>
        <v>416</v>
      </c>
      <c r="B418" s="32" t="s">
        <v>552</v>
      </c>
      <c r="C418" s="11">
        <v>3.311E7</v>
      </c>
      <c r="D418" s="11">
        <v>3.228E7</v>
      </c>
      <c r="E418" s="11">
        <v>2.775E7</v>
      </c>
      <c r="F418" s="11">
        <v>2.563E7</v>
      </c>
      <c r="G418" s="11">
        <v>2.347E7</v>
      </c>
      <c r="H418" s="11">
        <v>2.199E7</v>
      </c>
      <c r="I418" s="11">
        <v>2.037E7</v>
      </c>
      <c r="J418" s="11">
        <v>8490000.0</v>
      </c>
      <c r="K418" s="11">
        <v>7800000.0</v>
      </c>
      <c r="L418" s="11">
        <v>7220000.0</v>
      </c>
      <c r="M418" s="11">
        <v>6780000.0</v>
      </c>
      <c r="N418" s="11">
        <v>6310000.0</v>
      </c>
      <c r="O418" s="11">
        <v>6130000.0</v>
      </c>
      <c r="P418" s="11">
        <v>5670000.0</v>
      </c>
      <c r="Q418" s="11">
        <v>5170000.0</v>
      </c>
      <c r="R418" s="11">
        <v>4710000.0</v>
      </c>
      <c r="S418" s="11">
        <v>4350000.0</v>
      </c>
      <c r="T418" s="12"/>
      <c r="U418" s="12"/>
      <c r="V418" s="12"/>
      <c r="W418" s="12"/>
      <c r="X418" s="12"/>
      <c r="Y418" s="11">
        <v>2300000.0</v>
      </c>
      <c r="Z418" s="11">
        <v>2120000.0</v>
      </c>
      <c r="AA418" s="11">
        <v>2000000.0</v>
      </c>
      <c r="AB418" s="11">
        <v>2060000.0</v>
      </c>
      <c r="AC418" s="11">
        <v>1940000.0</v>
      </c>
      <c r="AD418" s="11">
        <v>2200000.0</v>
      </c>
      <c r="AE418" s="11">
        <v>2020000.0</v>
      </c>
      <c r="AF418" s="11">
        <v>1910000.0</v>
      </c>
      <c r="AG418" s="11">
        <v>1970000.0</v>
      </c>
      <c r="AH418" s="11">
        <v>1850000.0</v>
      </c>
      <c r="AI418" s="11">
        <v>2860000.0</v>
      </c>
      <c r="AJ418" s="11">
        <v>2590000.0</v>
      </c>
      <c r="AK418" s="11">
        <v>2460000.0</v>
      </c>
      <c r="AL418" s="11">
        <v>2460000.0</v>
      </c>
      <c r="AM418" s="11">
        <v>2300000.0</v>
      </c>
      <c r="AN418" s="11">
        <v>1710000.0</v>
      </c>
      <c r="AO418" s="11">
        <v>1590000.0</v>
      </c>
      <c r="AP418" s="11">
        <v>1540000.0</v>
      </c>
      <c r="AQ418" s="11">
        <v>1250000.0</v>
      </c>
      <c r="AR418" s="11">
        <v>1170000.0</v>
      </c>
      <c r="AS418" s="11">
        <v>2240000.0</v>
      </c>
      <c r="AT418" s="11">
        <v>2140000.0</v>
      </c>
      <c r="AU418" s="11">
        <v>1800000.0</v>
      </c>
      <c r="AV418" s="11">
        <v>1610000.0</v>
      </c>
      <c r="AW418" s="11">
        <v>1380000.0</v>
      </c>
      <c r="AX418" s="11">
        <v>-784840.0</v>
      </c>
      <c r="AY418" s="11">
        <v>-734380.0</v>
      </c>
      <c r="AZ418" s="11">
        <v>-646460.0</v>
      </c>
      <c r="BA418" s="11">
        <v>-560300.0</v>
      </c>
      <c r="BB418" s="11">
        <v>-504810.0</v>
      </c>
      <c r="BC418" s="11">
        <v>-327570.0</v>
      </c>
      <c r="BD418" s="11">
        <v>-306520.0</v>
      </c>
      <c r="BE418" s="11">
        <v>-282930.0</v>
      </c>
      <c r="BF418" s="11">
        <v>-281140.0</v>
      </c>
      <c r="BG418" s="11">
        <v>-258330.0</v>
      </c>
      <c r="BH418" s="11">
        <v>240320.0</v>
      </c>
      <c r="BI418" s="11">
        <v>235490.0</v>
      </c>
      <c r="BJ418" s="11">
        <v>267440.0</v>
      </c>
      <c r="BK418" s="11">
        <v>187920.0</v>
      </c>
      <c r="BL418" s="11">
        <v>157950.0</v>
      </c>
      <c r="BM418" s="11">
        <v>76540.0</v>
      </c>
      <c r="BN418" s="11">
        <v>57800.0</v>
      </c>
      <c r="BO418" s="11">
        <v>108270.0</v>
      </c>
      <c r="BP418" s="11">
        <v>11050.0</v>
      </c>
      <c r="BQ418" s="11">
        <v>6840.0</v>
      </c>
      <c r="BR418" s="11">
        <v>4680000.0</v>
      </c>
      <c r="BS418" s="11">
        <v>4100000.0</v>
      </c>
      <c r="BT418" s="11">
        <v>3610000.0</v>
      </c>
      <c r="BU418" s="11">
        <v>3260000.0</v>
      </c>
      <c r="BV418" s="11">
        <v>3070000.0</v>
      </c>
      <c r="BW418" s="11">
        <v>5180000.0</v>
      </c>
      <c r="BX418" s="11">
        <v>4660000.0</v>
      </c>
      <c r="BY418" s="11">
        <v>4250000.0</v>
      </c>
      <c r="BZ418" s="11">
        <v>3680000.0</v>
      </c>
      <c r="CA418" s="11">
        <v>3430000.0</v>
      </c>
      <c r="CB418" s="11">
        <v>1.207E7</v>
      </c>
      <c r="CC418" s="11">
        <v>2970000.0</v>
      </c>
      <c r="CD418" s="11">
        <v>2700000.0</v>
      </c>
      <c r="CE418" s="11">
        <v>2430000.0</v>
      </c>
      <c r="CF418" s="11">
        <v>2260000.0</v>
      </c>
      <c r="CG418" s="11">
        <v>4340000.0</v>
      </c>
      <c r="CH418" s="11">
        <v>4340000.0</v>
      </c>
      <c r="CI418" s="11">
        <v>4340000.0</v>
      </c>
      <c r="CJ418" s="11">
        <v>4340000.0</v>
      </c>
      <c r="CK418" s="11">
        <v>4340000.0</v>
      </c>
      <c r="CL418" s="11">
        <v>2.507E7</v>
      </c>
      <c r="CM418" s="11">
        <v>1.33E7</v>
      </c>
      <c r="CN418" s="11">
        <v>1.26E7</v>
      </c>
      <c r="CO418" s="11">
        <v>1.186E7</v>
      </c>
      <c r="CP418" s="11">
        <v>1.145E7</v>
      </c>
      <c r="CQ418" s="11">
        <v>2860000.0</v>
      </c>
      <c r="CR418" s="11">
        <v>2390000.0</v>
      </c>
      <c r="CS418" s="11">
        <v>2010000.0</v>
      </c>
      <c r="CT418" s="11">
        <v>1560000.0</v>
      </c>
      <c r="CU418" s="11">
        <v>1490000.0</v>
      </c>
      <c r="CV418" s="11">
        <v>4540000.0</v>
      </c>
      <c r="CW418" s="11">
        <v>964810.0</v>
      </c>
      <c r="CX418" s="12"/>
      <c r="CY418" s="13"/>
      <c r="CZ418" s="13"/>
      <c r="DA418" s="12"/>
      <c r="DB418" s="11">
        <v>4540000.0</v>
      </c>
      <c r="DC418" s="11">
        <v>3020000.0</v>
      </c>
      <c r="DD418" s="11">
        <v>2960000.0</v>
      </c>
      <c r="DE418" s="11">
        <v>2620000.0</v>
      </c>
      <c r="DF418" s="11">
        <v>1.836E7</v>
      </c>
      <c r="DG418" s="11">
        <v>6880000.0</v>
      </c>
      <c r="DH418" s="11">
        <v>6480000.0</v>
      </c>
      <c r="DI418" s="11">
        <v>6460000.0</v>
      </c>
      <c r="DJ418" s="11">
        <v>6070000.0</v>
      </c>
      <c r="DK418" s="11"/>
      <c r="DL418" s="11"/>
      <c r="DM418" s="11"/>
      <c r="DN418" s="11"/>
      <c r="DO418" s="11"/>
      <c r="DP418" s="11">
        <v>1.073E7</v>
      </c>
      <c r="DQ418" s="11">
        <v>2860000.0</v>
      </c>
      <c r="DR418" s="11">
        <v>2600000.0</v>
      </c>
      <c r="DS418" s="11">
        <v>2710000.0</v>
      </c>
      <c r="DT418" s="11">
        <v>2970000.0</v>
      </c>
      <c r="DU418" s="13"/>
      <c r="DV418" s="12"/>
      <c r="DW418" s="12"/>
      <c r="DX418" s="12"/>
      <c r="DY418" s="12"/>
      <c r="DZ418" s="11">
        <v>6700000.0</v>
      </c>
      <c r="EA418" s="11">
        <v>6420000.0</v>
      </c>
      <c r="EB418" s="11">
        <v>6130000.0</v>
      </c>
      <c r="EC418" s="11">
        <v>5410000.0</v>
      </c>
      <c r="ED418" s="11">
        <v>5380000.0</v>
      </c>
      <c r="EE418" s="14">
        <v>0.042</v>
      </c>
      <c r="EF418" s="14">
        <v>0.079</v>
      </c>
      <c r="EG418" s="14">
        <v>0.471</v>
      </c>
      <c r="EH418" s="14">
        <v>0.163</v>
      </c>
    </row>
    <row r="419">
      <c r="A419" s="9">
        <f t="shared" si="2"/>
        <v>417</v>
      </c>
      <c r="B419" s="10" t="s">
        <v>553</v>
      </c>
      <c r="C419" s="11">
        <v>8660000.0</v>
      </c>
      <c r="D419" s="11">
        <v>8550000.0</v>
      </c>
      <c r="E419" s="11">
        <v>7730000.0</v>
      </c>
      <c r="F419" s="11">
        <v>7530000.0</v>
      </c>
      <c r="G419" s="11">
        <v>7400000.0</v>
      </c>
      <c r="H419" s="11">
        <v>7520000.0</v>
      </c>
      <c r="I419" s="11">
        <v>7490000.0</v>
      </c>
      <c r="J419" s="11">
        <v>2630000.0</v>
      </c>
      <c r="K419" s="11">
        <v>2580000.0</v>
      </c>
      <c r="L419" s="11">
        <v>2660000.0</v>
      </c>
      <c r="M419" s="11">
        <v>2870000.0</v>
      </c>
      <c r="N419" s="11">
        <v>2820000.0</v>
      </c>
      <c r="O419" s="11">
        <v>1410000.0</v>
      </c>
      <c r="P419" s="11">
        <v>1360000.0</v>
      </c>
      <c r="Q419" s="11">
        <v>1380000.0</v>
      </c>
      <c r="R419" s="11">
        <v>1640000.0</v>
      </c>
      <c r="S419" s="11">
        <v>1620000.0</v>
      </c>
      <c r="T419" s="12"/>
      <c r="U419" s="12"/>
      <c r="V419" s="12"/>
      <c r="W419" s="12"/>
      <c r="X419" s="12"/>
      <c r="Y419" s="11">
        <v>1180000.0</v>
      </c>
      <c r="Z419" s="11">
        <v>1110000.0</v>
      </c>
      <c r="AA419" s="11">
        <v>-101000.0</v>
      </c>
      <c r="AB419" s="11">
        <v>1100000.0</v>
      </c>
      <c r="AC419" s="11">
        <v>916000.0</v>
      </c>
      <c r="AD419" s="11">
        <v>1080000.0</v>
      </c>
      <c r="AE419" s="11">
        <v>926000.0</v>
      </c>
      <c r="AF419" s="11">
        <v>1030000.0</v>
      </c>
      <c r="AG419" s="11">
        <v>1090000.0</v>
      </c>
      <c r="AH419" s="11">
        <v>1100000.0</v>
      </c>
      <c r="AI419" s="11">
        <v>1550000.0</v>
      </c>
      <c r="AJ419" s="11">
        <v>1530000.0</v>
      </c>
      <c r="AK419" s="11">
        <v>1550000.0</v>
      </c>
      <c r="AL419" s="11">
        <v>1480000.0</v>
      </c>
      <c r="AM419" s="11">
        <v>1510000.0</v>
      </c>
      <c r="AN419" s="11">
        <v>835000.0</v>
      </c>
      <c r="AO419" s="11">
        <v>733000.0</v>
      </c>
      <c r="AP419" s="11">
        <v>769000.0</v>
      </c>
      <c r="AQ419" s="11">
        <v>642000.0</v>
      </c>
      <c r="AR419" s="11">
        <v>706000.0</v>
      </c>
      <c r="AS419" s="11">
        <v>1240000.0</v>
      </c>
      <c r="AT419" s="11">
        <v>1200000.0</v>
      </c>
      <c r="AU419" s="11">
        <v>1180000.0</v>
      </c>
      <c r="AV419" s="11">
        <v>1070000.0</v>
      </c>
      <c r="AW419" s="11">
        <v>810000.0</v>
      </c>
      <c r="AX419" s="11">
        <v>-400000.0</v>
      </c>
      <c r="AY419" s="11">
        <v>-383000.0</v>
      </c>
      <c r="AZ419" s="11">
        <v>-252000.0</v>
      </c>
      <c r="BA419" s="11">
        <v>-293000.0</v>
      </c>
      <c r="BB419" s="11">
        <v>-263000.0</v>
      </c>
      <c r="BC419" s="11">
        <v>-286000.0</v>
      </c>
      <c r="BD419" s="11">
        <v>-266000.0</v>
      </c>
      <c r="BE419" s="11">
        <v>-247000.0</v>
      </c>
      <c r="BF419" s="11">
        <v>-223000.0</v>
      </c>
      <c r="BG419" s="11">
        <v>-212000.0</v>
      </c>
      <c r="BH419" s="11">
        <v>1190000.0</v>
      </c>
      <c r="BI419" s="11">
        <v>135000.0</v>
      </c>
      <c r="BJ419" s="11">
        <v>137000.0</v>
      </c>
      <c r="BK419" s="11">
        <v>359000.0</v>
      </c>
      <c r="BL419" s="11">
        <v>133000.0</v>
      </c>
      <c r="BM419" s="11">
        <v>1060000.0</v>
      </c>
      <c r="BN419" s="11">
        <v>1020000.0</v>
      </c>
      <c r="BO419" s="11">
        <v>931000.0</v>
      </c>
      <c r="BP419" s="11">
        <v>931000.0</v>
      </c>
      <c r="BQ419" s="11">
        <v>901000.0</v>
      </c>
      <c r="BR419" s="11">
        <v>123000.0</v>
      </c>
      <c r="BS419" s="11">
        <v>99000.0</v>
      </c>
      <c r="BT419" s="11">
        <v>95000.0</v>
      </c>
      <c r="BU419" s="11">
        <v>82000.0</v>
      </c>
      <c r="BV419" s="11">
        <v>84000.0</v>
      </c>
      <c r="BW419" s="11">
        <v>2490000.0</v>
      </c>
      <c r="BX419" s="11">
        <v>1390000.0</v>
      </c>
      <c r="BY419" s="11">
        <v>1310000.0</v>
      </c>
      <c r="BZ419" s="11">
        <v>1530000.0</v>
      </c>
      <c r="CA419" s="11">
        <v>1500000.0</v>
      </c>
      <c r="CB419" s="11">
        <v>1970000.0</v>
      </c>
      <c r="CC419" s="11">
        <v>1290000.0</v>
      </c>
      <c r="CD419" s="11">
        <v>1150000.0</v>
      </c>
      <c r="CE419" s="11">
        <v>1030000.0</v>
      </c>
      <c r="CF419" s="11">
        <v>925000.0</v>
      </c>
      <c r="CG419" s="11">
        <v>6620000.0</v>
      </c>
      <c r="CH419" s="11">
        <v>6560000.0</v>
      </c>
      <c r="CI419" s="11">
        <v>6340000.0</v>
      </c>
      <c r="CJ419" s="11">
        <v>6000000.0</v>
      </c>
      <c r="CK419" s="11">
        <v>5910000.0</v>
      </c>
      <c r="CL419" s="11">
        <v>1.284E7</v>
      </c>
      <c r="CM419" s="11">
        <v>1.1E7</v>
      </c>
      <c r="CN419" s="11">
        <v>1.05E7</v>
      </c>
      <c r="CO419" s="11">
        <v>1.01E7</v>
      </c>
      <c r="CP419" s="11">
        <v>9960000.0</v>
      </c>
      <c r="CQ419" s="11">
        <v>263000.0</v>
      </c>
      <c r="CR419" s="11">
        <v>222000.0</v>
      </c>
      <c r="CS419" s="11">
        <v>224000.0</v>
      </c>
      <c r="CT419" s="11">
        <v>261000.0</v>
      </c>
      <c r="CU419" s="11">
        <v>279000.0</v>
      </c>
      <c r="CV419" s="11">
        <v>1990000.0</v>
      </c>
      <c r="CW419" s="11">
        <v>233000.0</v>
      </c>
      <c r="CX419" s="11">
        <v>98000.0</v>
      </c>
      <c r="CY419" s="11">
        <v>71000.0</v>
      </c>
      <c r="CZ419" s="13"/>
      <c r="DA419" s="12"/>
      <c r="DB419" s="11">
        <v>1990000.0</v>
      </c>
      <c r="DC419" s="11">
        <v>1490000.0</v>
      </c>
      <c r="DD419" s="11">
        <v>1060000.0</v>
      </c>
      <c r="DE419" s="11">
        <v>981000.0</v>
      </c>
      <c r="DF419" s="11">
        <v>7080000.0</v>
      </c>
      <c r="DG419" s="11">
        <v>5660000.0</v>
      </c>
      <c r="DH419" s="11">
        <v>5470000.0</v>
      </c>
      <c r="DI419" s="11">
        <v>5360000.0</v>
      </c>
      <c r="DJ419" s="11">
        <v>5180000.0</v>
      </c>
      <c r="DK419" s="11">
        <v>482000.0</v>
      </c>
      <c r="DL419" s="11">
        <v>436000.0</v>
      </c>
      <c r="DM419" s="11">
        <v>462000.0</v>
      </c>
      <c r="DN419" s="11">
        <v>443000.0</v>
      </c>
      <c r="DO419" s="11">
        <v>473000.0</v>
      </c>
      <c r="DP419" s="11">
        <v>4380000.0</v>
      </c>
      <c r="DQ419" s="11">
        <v>3430000.0</v>
      </c>
      <c r="DR419" s="11">
        <v>3750000.0</v>
      </c>
      <c r="DS419" s="11">
        <v>3730000.0</v>
      </c>
      <c r="DT419" s="11">
        <v>3490000.0</v>
      </c>
      <c r="DU419" s="13"/>
      <c r="DV419" s="12"/>
      <c r="DW419" s="12"/>
      <c r="DX419" s="13"/>
      <c r="DY419" s="13"/>
      <c r="DZ419" s="11">
        <v>5640000.0</v>
      </c>
      <c r="EA419" s="11">
        <v>5220000.0</v>
      </c>
      <c r="EB419" s="11">
        <v>4920000.0</v>
      </c>
      <c r="EC419" s="11">
        <v>4630000.0</v>
      </c>
      <c r="ED419" s="11">
        <v>4680000.0</v>
      </c>
      <c r="EE419" s="14">
        <v>0.2</v>
      </c>
      <c r="EF419" s="14">
        <v>0.331</v>
      </c>
      <c r="EG419" s="14">
        <v>0.007</v>
      </c>
      <c r="EH419" s="14">
        <v>0.034</v>
      </c>
    </row>
    <row r="420">
      <c r="A420" s="9">
        <f t="shared" si="2"/>
        <v>418</v>
      </c>
      <c r="B420" s="10" t="s">
        <v>554</v>
      </c>
      <c r="C420" s="11">
        <v>2.079E7</v>
      </c>
      <c r="D420" s="11">
        <v>1.894E7</v>
      </c>
      <c r="E420" s="11">
        <v>1.759E7</v>
      </c>
      <c r="F420" s="11">
        <v>1.607E7</v>
      </c>
      <c r="G420" s="11">
        <v>1.409E7</v>
      </c>
      <c r="H420" s="11">
        <v>1.216E7</v>
      </c>
      <c r="I420" s="11">
        <v>1.082E7</v>
      </c>
      <c r="J420" s="11">
        <v>3870000.0</v>
      </c>
      <c r="K420" s="11">
        <v>3670000.0</v>
      </c>
      <c r="L420" s="11">
        <v>3050000.0</v>
      </c>
      <c r="M420" s="11">
        <v>2650000.0</v>
      </c>
      <c r="N420" s="11">
        <v>2290000.0</v>
      </c>
      <c r="O420" s="11">
        <v>1820000.0</v>
      </c>
      <c r="P420" s="11">
        <v>1630000.0</v>
      </c>
      <c r="Q420" s="11">
        <v>1380000.0</v>
      </c>
      <c r="R420" s="11">
        <v>1270000.0</v>
      </c>
      <c r="S420" s="11">
        <v>1140000.0</v>
      </c>
      <c r="T420" s="12"/>
      <c r="U420" s="12"/>
      <c r="V420" s="12"/>
      <c r="W420" s="12"/>
      <c r="X420" s="12"/>
      <c r="Y420" s="11">
        <v>2040000.0</v>
      </c>
      <c r="Z420" s="11">
        <v>1990000.0</v>
      </c>
      <c r="AA420" s="11">
        <v>-87800.0</v>
      </c>
      <c r="AB420" s="11">
        <v>1330000.0</v>
      </c>
      <c r="AC420" s="11">
        <v>1090000.0</v>
      </c>
      <c r="AD420" s="11">
        <v>2130000.0</v>
      </c>
      <c r="AE420" s="11">
        <v>2060000.0</v>
      </c>
      <c r="AF420" s="11">
        <v>1600000.0</v>
      </c>
      <c r="AG420" s="11">
        <v>1350000.0</v>
      </c>
      <c r="AH420" s="11">
        <v>1120000.0</v>
      </c>
      <c r="AI420" s="11">
        <v>2130000.0</v>
      </c>
      <c r="AJ420" s="11">
        <v>2100000.0</v>
      </c>
      <c r="AK420" s="11">
        <v>1720000.0</v>
      </c>
      <c r="AL420" s="11">
        <v>1450000.0</v>
      </c>
      <c r="AM420" s="11">
        <v>1200000.0</v>
      </c>
      <c r="AN420" s="11">
        <v>1620000.0</v>
      </c>
      <c r="AO420" s="11">
        <v>1460000.0</v>
      </c>
      <c r="AP420" s="11">
        <v>1040000.0</v>
      </c>
      <c r="AQ420" s="11">
        <v>886300.0</v>
      </c>
      <c r="AR420" s="11">
        <v>750700.0</v>
      </c>
      <c r="AS420" s="11">
        <v>892100.0</v>
      </c>
      <c r="AT420" s="11">
        <v>545200.0</v>
      </c>
      <c r="AU420" s="11">
        <v>440200.0</v>
      </c>
      <c r="AV420" s="11">
        <v>618000.0</v>
      </c>
      <c r="AW420" s="11">
        <v>700400.0</v>
      </c>
      <c r="AX420" s="11">
        <v>-224100.0</v>
      </c>
      <c r="AY420" s="11">
        <v>-138300.0</v>
      </c>
      <c r="AZ420" s="11">
        <v>-157300.0</v>
      </c>
      <c r="BA420" s="11">
        <v>-86100.0</v>
      </c>
      <c r="BB420" s="11">
        <v>-56100.0</v>
      </c>
      <c r="BC420" s="11">
        <v>-223400.0</v>
      </c>
      <c r="BD420" s="11">
        <v>-188400.0</v>
      </c>
      <c r="BE420" s="11">
        <v>-149600.0</v>
      </c>
      <c r="BF420" s="11">
        <v>-118700.0</v>
      </c>
      <c r="BG420" s="11">
        <v>-91600.0</v>
      </c>
      <c r="BH420" s="11">
        <v>1510000.0</v>
      </c>
      <c r="BI420" s="11">
        <v>1510000.0</v>
      </c>
      <c r="BJ420" s="11">
        <v>1020000.0</v>
      </c>
      <c r="BK420" s="11">
        <v>1310000.0</v>
      </c>
      <c r="BL420" s="11">
        <v>1390000.0</v>
      </c>
      <c r="BM420" s="11">
        <v>218000.0</v>
      </c>
      <c r="BN420" s="11">
        <v>136300.0</v>
      </c>
      <c r="BO420" s="11">
        <v>134400.0</v>
      </c>
      <c r="BP420" s="11">
        <v>124600.0</v>
      </c>
      <c r="BQ420" s="11">
        <v>175700.0</v>
      </c>
      <c r="BR420" s="11">
        <v>1.128E7</v>
      </c>
      <c r="BS420" s="11">
        <v>1.04E7</v>
      </c>
      <c r="BT420" s="11">
        <v>9240000.0</v>
      </c>
      <c r="BU420" s="11">
        <v>8340000.0</v>
      </c>
      <c r="BV420" s="11">
        <v>7810000.0</v>
      </c>
      <c r="BW420" s="11">
        <v>1.306E7</v>
      </c>
      <c r="BX420" s="11">
        <v>1.207E7</v>
      </c>
      <c r="BY420" s="11">
        <v>1.043E7</v>
      </c>
      <c r="BZ420" s="11">
        <v>9810000.0</v>
      </c>
      <c r="CA420" s="11">
        <v>9420000.0</v>
      </c>
      <c r="CB420" s="11">
        <v>462200.0</v>
      </c>
      <c r="CC420" s="11">
        <v>401100.0</v>
      </c>
      <c r="CD420" s="11">
        <v>325000.0</v>
      </c>
      <c r="CE420" s="11">
        <v>195400.0</v>
      </c>
      <c r="CF420" s="11">
        <v>146900.0</v>
      </c>
      <c r="CG420" s="11">
        <v>163500.0</v>
      </c>
      <c r="CH420" s="11">
        <v>109200.0</v>
      </c>
      <c r="CI420" s="11">
        <v>80000.0</v>
      </c>
      <c r="CJ420" s="11">
        <v>80000.0</v>
      </c>
      <c r="CK420" s="11">
        <v>87200.0</v>
      </c>
      <c r="CL420" s="11">
        <v>1.573E7</v>
      </c>
      <c r="CM420" s="11">
        <v>1.42E7</v>
      </c>
      <c r="CN420" s="11">
        <v>1.224E7</v>
      </c>
      <c r="CO420" s="11">
        <v>1.157E7</v>
      </c>
      <c r="CP420" s="11">
        <v>1.117E7</v>
      </c>
      <c r="CQ420" s="11">
        <v>634000.0</v>
      </c>
      <c r="CR420" s="11">
        <v>624700.0</v>
      </c>
      <c r="CS420" s="11">
        <v>580400.0</v>
      </c>
      <c r="CT420" s="11">
        <v>577500.0</v>
      </c>
      <c r="CU420" s="11">
        <v>514900.0</v>
      </c>
      <c r="CV420" s="11">
        <v>3040000.0</v>
      </c>
      <c r="CW420" s="11">
        <v>888900.0</v>
      </c>
      <c r="CX420" s="12"/>
      <c r="CY420" s="12"/>
      <c r="CZ420" s="11">
        <v>484600.0</v>
      </c>
      <c r="DA420" s="11">
        <v>486000.0</v>
      </c>
      <c r="DB420" s="11">
        <v>3040000.0</v>
      </c>
      <c r="DC420" s="11">
        <v>2700000.0</v>
      </c>
      <c r="DD420" s="11">
        <v>1330000.0</v>
      </c>
      <c r="DE420" s="11">
        <v>1710000.0</v>
      </c>
      <c r="DF420" s="11">
        <v>5440000.0</v>
      </c>
      <c r="DG420" s="11">
        <v>5040000.0</v>
      </c>
      <c r="DH420" s="11">
        <v>4490000.0</v>
      </c>
      <c r="DI420" s="11">
        <v>4770000.0</v>
      </c>
      <c r="DJ420" s="11">
        <v>5270000.0</v>
      </c>
      <c r="DK420" s="11">
        <v>1140000.0</v>
      </c>
      <c r="DL420" s="11">
        <v>860600.0</v>
      </c>
      <c r="DM420" s="11">
        <v>650400.0</v>
      </c>
      <c r="DN420" s="11">
        <v>710900.0</v>
      </c>
      <c r="DO420" s="11">
        <v>678100.0</v>
      </c>
      <c r="DP420" s="11">
        <v>1490000.0</v>
      </c>
      <c r="DQ420" s="11">
        <v>1570000.0</v>
      </c>
      <c r="DR420" s="11">
        <v>2470000.0</v>
      </c>
      <c r="DS420" s="11">
        <v>2440000.0</v>
      </c>
      <c r="DT420" s="11">
        <v>2780000.0</v>
      </c>
      <c r="DU420" s="13"/>
      <c r="DV420" s="12"/>
      <c r="DW420" s="12"/>
      <c r="DX420" s="13"/>
      <c r="DY420" s="12"/>
      <c r="DZ420" s="11">
        <v>1.002E7</v>
      </c>
      <c r="EA420" s="11">
        <v>8980000.0</v>
      </c>
      <c r="EB420" s="11">
        <v>7750000.0</v>
      </c>
      <c r="EC420" s="11">
        <v>6790000.0</v>
      </c>
      <c r="ED420" s="11">
        <v>5890000.0</v>
      </c>
      <c r="EE420" s="14">
        <v>0.131</v>
      </c>
      <c r="EF420" s="14">
        <v>0.333</v>
      </c>
      <c r="EG420" s="14">
        <v>0.323</v>
      </c>
      <c r="EH420" s="14">
        <v>0.206</v>
      </c>
    </row>
    <row r="421">
      <c r="A421" s="9">
        <f t="shared" si="2"/>
        <v>419</v>
      </c>
      <c r="B421" s="10" t="s">
        <v>555</v>
      </c>
      <c r="C421" s="11">
        <v>2.351E7</v>
      </c>
      <c r="D421" s="11">
        <v>2.083E7</v>
      </c>
      <c r="E421" s="11">
        <v>1.791E7</v>
      </c>
      <c r="F421" s="11">
        <v>1.705E7</v>
      </c>
      <c r="G421" s="11">
        <v>1.833E7</v>
      </c>
      <c r="H421" s="11">
        <v>1.688E7</v>
      </c>
      <c r="I421" s="11">
        <v>1.443E7</v>
      </c>
      <c r="J421" s="11">
        <v>9980000.0</v>
      </c>
      <c r="K421" s="11">
        <v>9510000.0</v>
      </c>
      <c r="L421" s="11">
        <v>1.023E7</v>
      </c>
      <c r="M421" s="11">
        <v>9380000.0</v>
      </c>
      <c r="N421" s="11">
        <v>7910000.0</v>
      </c>
      <c r="O421" s="11">
        <v>6620000.0</v>
      </c>
      <c r="P421" s="11">
        <v>6440000.0</v>
      </c>
      <c r="Q421" s="11">
        <v>7080000.0</v>
      </c>
      <c r="R421" s="11">
        <v>6400000.0</v>
      </c>
      <c r="S421" s="11">
        <v>5500000.0</v>
      </c>
      <c r="T421" s="11">
        <v>1130000.0</v>
      </c>
      <c r="U421" s="11">
        <v>1060000.0</v>
      </c>
      <c r="V421" s="11">
        <v>1130000.0</v>
      </c>
      <c r="W421" s="11">
        <v>975100.0</v>
      </c>
      <c r="X421" s="11">
        <v>861400.0</v>
      </c>
      <c r="Y421" s="11">
        <v>3260000.0</v>
      </c>
      <c r="Z421" s="11">
        <v>-15000.0</v>
      </c>
      <c r="AA421" s="11">
        <v>-159100.0</v>
      </c>
      <c r="AB421" s="11">
        <v>2570000.0</v>
      </c>
      <c r="AC421" s="11">
        <v>-255500.0</v>
      </c>
      <c r="AD421" s="11">
        <v>3310000.0</v>
      </c>
      <c r="AE421" s="11">
        <v>2960000.0</v>
      </c>
      <c r="AF421" s="11">
        <v>2940000.0</v>
      </c>
      <c r="AG421" s="11">
        <v>2610000.0</v>
      </c>
      <c r="AH421" s="11">
        <v>2040000.0</v>
      </c>
      <c r="AI421" s="11">
        <v>4550000.0</v>
      </c>
      <c r="AJ421" s="11">
        <v>4250000.0</v>
      </c>
      <c r="AK421" s="11">
        <v>4390000.0</v>
      </c>
      <c r="AL421" s="11">
        <v>4120000.0</v>
      </c>
      <c r="AM421" s="11">
        <v>3300000.0</v>
      </c>
      <c r="AN421" s="11">
        <v>2430000.0</v>
      </c>
      <c r="AO421" s="11">
        <v>2410000.0</v>
      </c>
      <c r="AP421" s="11">
        <v>2470000.0</v>
      </c>
      <c r="AQ421" s="11">
        <v>2150000.0</v>
      </c>
      <c r="AR421" s="11">
        <v>1750000.0</v>
      </c>
      <c r="AS421" s="11">
        <v>3950000.0</v>
      </c>
      <c r="AT421" s="11">
        <v>4020000.0</v>
      </c>
      <c r="AU421" s="11">
        <v>3480000.0</v>
      </c>
      <c r="AV421" s="11">
        <v>3520000.0</v>
      </c>
      <c r="AW421" s="11">
        <v>3800000.0</v>
      </c>
      <c r="AX421" s="11">
        <v>-635500.0</v>
      </c>
      <c r="AY421" s="11">
        <v>-583500.0</v>
      </c>
      <c r="AZ421" s="11">
        <v>-619600.0</v>
      </c>
      <c r="BA421" s="11">
        <v>-589600.0</v>
      </c>
      <c r="BB421" s="11">
        <v>-512900.0</v>
      </c>
      <c r="BC421" s="11">
        <v>-526700.0</v>
      </c>
      <c r="BD421" s="11">
        <v>-433400.0</v>
      </c>
      <c r="BE421" s="11">
        <v>-378300.0</v>
      </c>
      <c r="BF421" s="11">
        <v>-399800.0</v>
      </c>
      <c r="BG421" s="11">
        <v>-354100.0</v>
      </c>
      <c r="BH421" s="11">
        <v>1.991E7</v>
      </c>
      <c r="BI421" s="11">
        <v>787800.0</v>
      </c>
      <c r="BJ421" s="11">
        <v>630300.0</v>
      </c>
      <c r="BK421" s="11">
        <v>963700.0</v>
      </c>
      <c r="BL421" s="11">
        <v>790800.0</v>
      </c>
      <c r="BM421" s="11">
        <v>3270000.0</v>
      </c>
      <c r="BN421" s="11">
        <v>3110000.0</v>
      </c>
      <c r="BO421" s="11">
        <v>3520000.0</v>
      </c>
      <c r="BP421" s="11">
        <v>3190000.0</v>
      </c>
      <c r="BQ421" s="11">
        <v>2990000.0</v>
      </c>
      <c r="BR421" s="11">
        <v>1630000.0</v>
      </c>
      <c r="BS421" s="11">
        <v>1630000.0</v>
      </c>
      <c r="BT421" s="11">
        <v>1840000.0</v>
      </c>
      <c r="BU421" s="11">
        <v>1710000.0</v>
      </c>
      <c r="BV421" s="11">
        <v>1570000.0</v>
      </c>
      <c r="BW421" s="11">
        <v>2.56E7</v>
      </c>
      <c r="BX421" s="11">
        <v>7090000.0</v>
      </c>
      <c r="BY421" s="11">
        <v>6850000.0</v>
      </c>
      <c r="BZ421" s="11">
        <v>6670000.0</v>
      </c>
      <c r="CA421" s="11">
        <v>7840000.0</v>
      </c>
      <c r="CB421" s="11">
        <v>3070000.0</v>
      </c>
      <c r="CC421" s="11">
        <v>2250000.0</v>
      </c>
      <c r="CD421" s="11">
        <v>2450000.0</v>
      </c>
      <c r="CE421" s="11">
        <v>2350000.0</v>
      </c>
      <c r="CF421" s="11">
        <v>2300000.0</v>
      </c>
      <c r="CG421" s="11">
        <v>2.271E7</v>
      </c>
      <c r="CH421" s="11">
        <v>2.258E7</v>
      </c>
      <c r="CI421" s="11">
        <v>2.514E7</v>
      </c>
      <c r="CJ421" s="11">
        <v>2.383E7</v>
      </c>
      <c r="CK421" s="11">
        <v>2.101E7</v>
      </c>
      <c r="CL421" s="11">
        <v>6.208E7</v>
      </c>
      <c r="CM421" s="11">
        <v>4.783E7</v>
      </c>
      <c r="CN421" s="11">
        <v>4.665E7</v>
      </c>
      <c r="CO421" s="11">
        <v>4.53E7</v>
      </c>
      <c r="CP421" s="11">
        <v>4.822E7</v>
      </c>
      <c r="CQ421" s="11">
        <v>1510000.0</v>
      </c>
      <c r="CR421" s="11">
        <v>1500000.0</v>
      </c>
      <c r="CS421" s="11">
        <v>1510000.0</v>
      </c>
      <c r="CT421" s="11">
        <v>1490000.0</v>
      </c>
      <c r="CU421" s="11">
        <v>1390000.0</v>
      </c>
      <c r="CV421" s="11">
        <v>4930000.0</v>
      </c>
      <c r="CW421" s="11">
        <v>157800.0</v>
      </c>
      <c r="CX421" s="13"/>
      <c r="CY421" s="13"/>
      <c r="CZ421" s="13"/>
      <c r="DA421" s="12"/>
      <c r="DB421" s="11">
        <v>4930000.0</v>
      </c>
      <c r="DC421" s="11">
        <v>4840000.0</v>
      </c>
      <c r="DD421" s="11">
        <v>4790000.0</v>
      </c>
      <c r="DE421" s="11">
        <v>6870000.0</v>
      </c>
      <c r="DF421" s="11">
        <v>3.18E7</v>
      </c>
      <c r="DG421" s="11">
        <v>1.961E7</v>
      </c>
      <c r="DH421" s="11">
        <v>2.028E7</v>
      </c>
      <c r="DI421" s="11">
        <v>2.222E7</v>
      </c>
      <c r="DJ421" s="11">
        <v>2.446E7</v>
      </c>
      <c r="DK421" s="11">
        <v>33700.0</v>
      </c>
      <c r="DL421" s="11">
        <v>38300.0</v>
      </c>
      <c r="DM421" s="11">
        <v>45400.0</v>
      </c>
      <c r="DN421" s="11">
        <v>170100.0</v>
      </c>
      <c r="DO421" s="11">
        <v>401400.0</v>
      </c>
      <c r="DP421" s="11">
        <v>2.216E7</v>
      </c>
      <c r="DQ421" s="11">
        <v>9690000.0</v>
      </c>
      <c r="DR421" s="11">
        <v>1.033E7</v>
      </c>
      <c r="DS421" s="11">
        <v>9670000.0</v>
      </c>
      <c r="DT421" s="11">
        <v>1.203E7</v>
      </c>
      <c r="DU421" s="11">
        <v>1600000.0</v>
      </c>
      <c r="DV421" s="12"/>
      <c r="DW421" s="12"/>
      <c r="DX421" s="13"/>
      <c r="DY421" s="13"/>
      <c r="DZ421" s="11">
        <v>3.027E7</v>
      </c>
      <c r="EA421" s="11">
        <v>2.821E7</v>
      </c>
      <c r="EB421" s="11">
        <v>2.636E7</v>
      </c>
      <c r="EC421" s="11">
        <v>2.3E7</v>
      </c>
      <c r="ED421" s="11">
        <v>2.369E7</v>
      </c>
      <c r="EE421" s="14">
        <v>0.08</v>
      </c>
      <c r="EF421" s="14">
        <v>0.157</v>
      </c>
      <c r="EG421" s="14">
        <v>0.321</v>
      </c>
      <c r="EH421" s="14">
        <v>0.074</v>
      </c>
    </row>
    <row r="422">
      <c r="A422" s="9">
        <f t="shared" si="2"/>
        <v>420</v>
      </c>
      <c r="B422" s="10" t="s">
        <v>556</v>
      </c>
      <c r="C422" s="11">
        <v>362510.0</v>
      </c>
      <c r="D422" s="11">
        <v>564260.0</v>
      </c>
      <c r="E422" s="11">
        <v>535070.0</v>
      </c>
      <c r="F422" s="11">
        <v>375940.0</v>
      </c>
      <c r="G422" s="11">
        <v>355050.0</v>
      </c>
      <c r="H422" s="11">
        <v>356010.0</v>
      </c>
      <c r="I422" s="11">
        <v>365110.0</v>
      </c>
      <c r="J422" s="11">
        <v>153660.0</v>
      </c>
      <c r="K422" s="11">
        <v>34770.0</v>
      </c>
      <c r="L422" s="11">
        <v>72560.0</v>
      </c>
      <c r="M422" s="11">
        <v>144470.0</v>
      </c>
      <c r="N422" s="11">
        <v>157760.0</v>
      </c>
      <c r="O422" s="11">
        <v>14790.0</v>
      </c>
      <c r="P422" s="11">
        <v>15050.0</v>
      </c>
      <c r="Q422" s="11">
        <v>17180.0</v>
      </c>
      <c r="R422" s="11">
        <v>19390.0</v>
      </c>
      <c r="S422" s="11">
        <v>21610.0</v>
      </c>
      <c r="T422" s="12"/>
      <c r="U422" s="12"/>
      <c r="V422" s="12"/>
      <c r="W422" s="12"/>
      <c r="X422" s="12"/>
      <c r="Y422" s="11">
        <v>129010.0</v>
      </c>
      <c r="Z422" s="11">
        <v>11030.0</v>
      </c>
      <c r="AA422" s="11">
        <v>49000.0</v>
      </c>
      <c r="AB422" s="11">
        <v>43610.0</v>
      </c>
      <c r="AC422" s="11">
        <v>139750.0</v>
      </c>
      <c r="AD422" s="11">
        <v>72960.0</v>
      </c>
      <c r="AE422" s="11">
        <v>-47700.0</v>
      </c>
      <c r="AF422" s="11">
        <v>5930.0</v>
      </c>
      <c r="AG422" s="11">
        <v>9350.0</v>
      </c>
      <c r="AH422" s="11">
        <v>105430.0</v>
      </c>
      <c r="AI422" s="11">
        <v>254450.0</v>
      </c>
      <c r="AJ422" s="11">
        <v>123200.0</v>
      </c>
      <c r="AK422" s="11">
        <v>152140.0</v>
      </c>
      <c r="AL422" s="11">
        <v>209420.0</v>
      </c>
      <c r="AM422" s="11">
        <v>214850.0</v>
      </c>
      <c r="AN422" s="11">
        <v>73680.0</v>
      </c>
      <c r="AO422" s="11">
        <v>-46930.0</v>
      </c>
      <c r="AP422" s="11">
        <v>6600.0</v>
      </c>
      <c r="AQ422" s="11">
        <v>9260.0</v>
      </c>
      <c r="AR422" s="11">
        <v>105300.0</v>
      </c>
      <c r="AS422" s="11">
        <v>156470.0</v>
      </c>
      <c r="AT422" s="11">
        <v>54390.0</v>
      </c>
      <c r="AU422" s="11">
        <v>102230.0</v>
      </c>
      <c r="AV422" s="11">
        <v>194250.0</v>
      </c>
      <c r="AW422" s="11">
        <v>181520.0</v>
      </c>
      <c r="AX422" s="11">
        <v>-53880.0</v>
      </c>
      <c r="AY422" s="11">
        <v>-234970.0</v>
      </c>
      <c r="AZ422" s="11">
        <v>-298380.0</v>
      </c>
      <c r="BA422" s="11">
        <v>-235510.0</v>
      </c>
      <c r="BB422" s="11">
        <v>-144970.0</v>
      </c>
      <c r="BC422" s="11">
        <v>-28690.0</v>
      </c>
      <c r="BD422" s="11">
        <v>-11490.0</v>
      </c>
      <c r="BE422" s="11">
        <v>-23330.0</v>
      </c>
      <c r="BF422" s="11">
        <v>-66370.0</v>
      </c>
      <c r="BG422" s="11">
        <v>-49190.0</v>
      </c>
      <c r="BH422" s="11">
        <v>67360.0</v>
      </c>
      <c r="BI422" s="11">
        <v>94940.0</v>
      </c>
      <c r="BJ422" s="11">
        <v>77290.0</v>
      </c>
      <c r="BK422" s="11">
        <v>109300.0</v>
      </c>
      <c r="BL422" s="11">
        <v>166780.0</v>
      </c>
      <c r="BM422" s="11">
        <v>107850.0</v>
      </c>
      <c r="BN422" s="11">
        <v>60200.0</v>
      </c>
      <c r="BO422" s="11">
        <v>42210.0</v>
      </c>
      <c r="BP422" s="11">
        <v>34460.0</v>
      </c>
      <c r="BQ422" s="11">
        <v>40090.0</v>
      </c>
      <c r="BR422" s="11">
        <v>34090.0</v>
      </c>
      <c r="BS422" s="11">
        <v>32210.0</v>
      </c>
      <c r="BT422" s="11">
        <v>23680.0</v>
      </c>
      <c r="BU422" s="11">
        <v>7910.0</v>
      </c>
      <c r="BV422" s="11">
        <v>8840.0</v>
      </c>
      <c r="BW422" s="11">
        <v>218290.0</v>
      </c>
      <c r="BX422" s="11">
        <v>193320.0</v>
      </c>
      <c r="BY422" s="11">
        <v>167140.0</v>
      </c>
      <c r="BZ422" s="11">
        <v>178510.0</v>
      </c>
      <c r="CA422" s="11">
        <v>218250.0</v>
      </c>
      <c r="CB422" s="11">
        <v>1600000.0</v>
      </c>
      <c r="CC422" s="11">
        <v>1670000.0</v>
      </c>
      <c r="CD422" s="11">
        <v>1560000.0</v>
      </c>
      <c r="CE422" s="11">
        <v>1220000.0</v>
      </c>
      <c r="CF422" s="11">
        <v>1200000.0</v>
      </c>
      <c r="CG422" s="11"/>
      <c r="CH422" s="11"/>
      <c r="CI422" s="11"/>
      <c r="CJ422" s="11"/>
      <c r="CK422" s="11"/>
      <c r="CL422" s="11">
        <v>1830000.0</v>
      </c>
      <c r="CM422" s="11">
        <v>1860000.0</v>
      </c>
      <c r="CN422" s="11">
        <v>1730000.0</v>
      </c>
      <c r="CO422" s="11">
        <v>1400000.0</v>
      </c>
      <c r="CP422" s="11">
        <v>1420000.0</v>
      </c>
      <c r="CQ422" s="11">
        <v>7910.0</v>
      </c>
      <c r="CR422" s="11">
        <v>10890.0</v>
      </c>
      <c r="CS422" s="11">
        <v>8880.0</v>
      </c>
      <c r="CT422" s="11">
        <v>3570.0</v>
      </c>
      <c r="CU422" s="11">
        <v>1890.0</v>
      </c>
      <c r="CV422" s="11">
        <v>130240.0</v>
      </c>
      <c r="CW422" s="11"/>
      <c r="CX422" s="12"/>
      <c r="CY422" s="12"/>
      <c r="CZ422" s="12"/>
      <c r="DA422" s="12"/>
      <c r="DB422" s="11">
        <v>130240.0</v>
      </c>
      <c r="DC422" s="11">
        <v>123700.0</v>
      </c>
      <c r="DD422" s="11">
        <v>83030.0</v>
      </c>
      <c r="DE422" s="11">
        <v>74310.0</v>
      </c>
      <c r="DF422" s="11">
        <v>894770.0</v>
      </c>
      <c r="DG422" s="11">
        <v>1000000.0</v>
      </c>
      <c r="DH422" s="11">
        <v>804610.0</v>
      </c>
      <c r="DI422" s="11">
        <v>718730.0</v>
      </c>
      <c r="DJ422" s="11">
        <v>685910.0</v>
      </c>
      <c r="DK422" s="11">
        <v>4770.0</v>
      </c>
      <c r="DL422" s="11">
        <v>4390.0</v>
      </c>
      <c r="DM422" s="11">
        <v>3990.0</v>
      </c>
      <c r="DN422" s="11">
        <v>3410.0</v>
      </c>
      <c r="DO422" s="11">
        <v>2980.0</v>
      </c>
      <c r="DP422" s="11">
        <v>752830.0</v>
      </c>
      <c r="DQ422" s="11">
        <v>873460.0</v>
      </c>
      <c r="DR422" s="11">
        <v>721150.0</v>
      </c>
      <c r="DS422" s="11">
        <v>643970.0</v>
      </c>
      <c r="DT422" s="11">
        <v>630200.0</v>
      </c>
      <c r="DU422" s="13"/>
      <c r="DV422" s="12"/>
      <c r="DW422" s="12"/>
      <c r="DX422" s="12"/>
      <c r="DY422" s="12"/>
      <c r="DZ422" s="11">
        <v>932440.0</v>
      </c>
      <c r="EA422" s="11">
        <v>861670.0</v>
      </c>
      <c r="EB422" s="11">
        <v>925890.0</v>
      </c>
      <c r="EC422" s="11">
        <v>685010.0</v>
      </c>
      <c r="ED422" s="11">
        <v>737890.0</v>
      </c>
      <c r="EE422" s="14">
        <v>0.122</v>
      </c>
      <c r="EF422" s="14">
        <v>0.683</v>
      </c>
      <c r="EG422" s="14">
        <v>-0.012</v>
      </c>
      <c r="EH422" s="14">
        <v>0.006</v>
      </c>
    </row>
    <row r="423">
      <c r="A423" s="9">
        <f t="shared" si="2"/>
        <v>421</v>
      </c>
      <c r="B423" s="10" t="s">
        <v>557</v>
      </c>
      <c r="C423" s="15">
        <v>822330.0</v>
      </c>
      <c r="D423" s="15">
        <v>664960.0</v>
      </c>
      <c r="E423" s="15">
        <v>910180.0</v>
      </c>
      <c r="F423" s="15">
        <v>780930.0</v>
      </c>
      <c r="G423" s="15">
        <v>731730.0</v>
      </c>
      <c r="H423" s="15">
        <v>633970.0</v>
      </c>
      <c r="I423" s="15">
        <v>681100.0</v>
      </c>
      <c r="J423" s="15">
        <v>371110.0</v>
      </c>
      <c r="K423" s="15">
        <v>342980.0</v>
      </c>
      <c r="L423" s="15">
        <v>328700.0</v>
      </c>
      <c r="M423" s="15">
        <v>369440.0</v>
      </c>
      <c r="N423" s="15">
        <v>389010.0</v>
      </c>
      <c r="O423" s="15">
        <v>162820.0</v>
      </c>
      <c r="P423" s="15">
        <v>165580.0</v>
      </c>
      <c r="Q423" s="15">
        <v>165680.0</v>
      </c>
      <c r="R423" s="15">
        <v>147340.0</v>
      </c>
      <c r="S423" s="15">
        <v>150830.0</v>
      </c>
      <c r="T423" s="15"/>
      <c r="U423" s="15"/>
      <c r="V423" s="15"/>
      <c r="W423" s="15"/>
      <c r="X423" s="15"/>
      <c r="Y423" s="15">
        <v>198530.0</v>
      </c>
      <c r="Z423" s="15">
        <v>174190.0</v>
      </c>
      <c r="AA423" s="15">
        <v>-535600.0</v>
      </c>
      <c r="AB423" s="15">
        <v>215410.0</v>
      </c>
      <c r="AC423" s="15">
        <v>231000.0</v>
      </c>
      <c r="AD423" s="15">
        <v>138470.0</v>
      </c>
      <c r="AE423" s="15">
        <v>110610.0</v>
      </c>
      <c r="AF423" s="15">
        <v>-428310.0</v>
      </c>
      <c r="AG423" s="15">
        <v>153120.0</v>
      </c>
      <c r="AH423" s="15">
        <v>168650.0</v>
      </c>
      <c r="AI423" s="15">
        <v>250790.0</v>
      </c>
      <c r="AJ423" s="15">
        <v>209570.0</v>
      </c>
      <c r="AK423" s="15">
        <v>193670.0</v>
      </c>
      <c r="AL423" s="15">
        <v>252710.0</v>
      </c>
      <c r="AM423" s="15">
        <v>271020.0</v>
      </c>
      <c r="AN423" s="15">
        <v>100810.0</v>
      </c>
      <c r="AO423" s="15">
        <v>77640.0</v>
      </c>
      <c r="AP423" s="15">
        <v>-335980.0</v>
      </c>
      <c r="AQ423" s="15">
        <v>96610.0</v>
      </c>
      <c r="AR423" s="15">
        <v>103520.0</v>
      </c>
      <c r="AS423" s="15">
        <v>155180.0</v>
      </c>
      <c r="AT423" s="15">
        <v>140350.0</v>
      </c>
      <c r="AU423" s="15">
        <v>65730.0</v>
      </c>
      <c r="AV423" s="15">
        <v>118110.0</v>
      </c>
      <c r="AW423" s="15">
        <v>135420.0</v>
      </c>
      <c r="AX423" s="15">
        <v>-19420.0</v>
      </c>
      <c r="AY423" s="15">
        <v>-14280.0</v>
      </c>
      <c r="AZ423" s="15">
        <v>-13370.0</v>
      </c>
      <c r="BA423" s="15">
        <v>-5640.0</v>
      </c>
      <c r="BB423" s="15">
        <v>-6640.0</v>
      </c>
      <c r="BC423" s="15">
        <v>-46860.0</v>
      </c>
      <c r="BD423" s="15">
        <v>-51130.0</v>
      </c>
      <c r="BE423" s="15">
        <v>-69790.0</v>
      </c>
      <c r="BF423" s="15">
        <v>-67430.0</v>
      </c>
      <c r="BG423" s="15">
        <v>-66160.0</v>
      </c>
      <c r="BH423" s="15">
        <v>156780.0</v>
      </c>
      <c r="BI423" s="15">
        <v>185680.0</v>
      </c>
      <c r="BJ423" s="15">
        <v>148450.0</v>
      </c>
      <c r="BK423" s="15">
        <v>170790.0</v>
      </c>
      <c r="BL423" s="15">
        <v>177310.0</v>
      </c>
      <c r="BM423" s="15">
        <v>136870.0</v>
      </c>
      <c r="BN423" s="15">
        <v>137500.0</v>
      </c>
      <c r="BO423" s="15">
        <v>140190.0</v>
      </c>
      <c r="BP423" s="15">
        <v>141390.0</v>
      </c>
      <c r="BQ423" s="15">
        <v>139210.0</v>
      </c>
      <c r="BR423" s="15"/>
      <c r="BS423" s="15"/>
      <c r="BT423" s="15"/>
      <c r="BU423" s="15"/>
      <c r="BV423" s="15"/>
      <c r="BW423" s="15">
        <v>346920.0</v>
      </c>
      <c r="BX423" s="15">
        <v>382190.0</v>
      </c>
      <c r="BY423" s="15">
        <v>385630.0</v>
      </c>
      <c r="BZ423" s="15">
        <v>366150.0</v>
      </c>
      <c r="CA423" s="15">
        <v>372710.0</v>
      </c>
      <c r="CB423" s="15">
        <v>583350.0</v>
      </c>
      <c r="CC423" s="15">
        <v>240260.0</v>
      </c>
      <c r="CD423" s="15">
        <v>199590.0</v>
      </c>
      <c r="CE423" s="15">
        <v>205060.0</v>
      </c>
      <c r="CF423" s="15">
        <v>219580.0</v>
      </c>
      <c r="CG423" s="15">
        <v>343860.0</v>
      </c>
      <c r="CH423" s="15">
        <v>345310.0</v>
      </c>
      <c r="CI423" s="15">
        <v>339240.0</v>
      </c>
      <c r="CJ423" s="15">
        <v>697470.0</v>
      </c>
      <c r="CK423" s="15">
        <v>697470.0</v>
      </c>
      <c r="CL423" s="15">
        <v>2050000.0</v>
      </c>
      <c r="CM423" s="15">
        <v>1770000.0</v>
      </c>
      <c r="CN423" s="15">
        <v>1740000.0</v>
      </c>
      <c r="CO423" s="15">
        <v>2280000.0</v>
      </c>
      <c r="CP423" s="15">
        <v>2330000.0</v>
      </c>
      <c r="CQ423" s="15">
        <v>40930.0</v>
      </c>
      <c r="CR423" s="15">
        <v>43470.0</v>
      </c>
      <c r="CS423" s="15">
        <v>55030.0</v>
      </c>
      <c r="CT423" s="15">
        <v>50500.0</v>
      </c>
      <c r="CU423" s="15">
        <v>55020.0</v>
      </c>
      <c r="CV423" s="15">
        <v>357910.0</v>
      </c>
      <c r="CW423" s="15">
        <v>72820.0</v>
      </c>
      <c r="CX423" s="13"/>
      <c r="CY423" s="13"/>
      <c r="CZ423" s="13"/>
      <c r="DA423" s="12"/>
      <c r="DB423" s="15">
        <v>357910.0</v>
      </c>
      <c r="DC423" s="15">
        <v>316190.0</v>
      </c>
      <c r="DD423" s="15">
        <v>304920.0</v>
      </c>
      <c r="DE423" s="15">
        <v>286310.0</v>
      </c>
      <c r="DF423" s="15">
        <v>2290000.0</v>
      </c>
      <c r="DG423" s="15">
        <v>1980000.0</v>
      </c>
      <c r="DH423" s="15">
        <v>1950000.0</v>
      </c>
      <c r="DI423" s="15">
        <v>2030000.0</v>
      </c>
      <c r="DJ423" s="15">
        <v>2060000.0</v>
      </c>
      <c r="DK423" s="15">
        <v>15700.0</v>
      </c>
      <c r="DL423" s="15">
        <v>14700.0</v>
      </c>
      <c r="DM423" s="15">
        <v>14700.0</v>
      </c>
      <c r="DN423" s="15">
        <v>14700.0</v>
      </c>
      <c r="DO423" s="15">
        <v>14700.0</v>
      </c>
      <c r="DP423" s="15">
        <v>1760000.0</v>
      </c>
      <c r="DQ423" s="15">
        <v>1400000.0</v>
      </c>
      <c r="DR423" s="15">
        <v>1370000.0</v>
      </c>
      <c r="DS423" s="15">
        <v>1400000.0</v>
      </c>
      <c r="DT423" s="15">
        <v>1410000.0</v>
      </c>
      <c r="DU423" s="13"/>
      <c r="DV423" s="12"/>
      <c r="DW423" s="15"/>
      <c r="DX423" s="15"/>
      <c r="DY423" s="13"/>
      <c r="DZ423" s="15">
        <v>-241770.0</v>
      </c>
      <c r="EA423" s="15">
        <v>-202270.0</v>
      </c>
      <c r="EB423" s="15">
        <v>-215540.0</v>
      </c>
      <c r="EC423" s="15">
        <v>252770.0</v>
      </c>
      <c r="ED423" s="15">
        <v>267220.0</v>
      </c>
      <c r="EE423" s="17">
        <v>0.095</v>
      </c>
      <c r="EF423" s="17">
        <v>0.057</v>
      </c>
      <c r="EG423" s="17">
        <v>0.065</v>
      </c>
      <c r="EH423" s="17">
        <v>0.037</v>
      </c>
    </row>
    <row r="424">
      <c r="A424" s="9">
        <f t="shared" si="2"/>
        <v>422</v>
      </c>
      <c r="B424" s="10" t="s">
        <v>558</v>
      </c>
      <c r="C424" s="15">
        <v>1240000.0</v>
      </c>
      <c r="D424" s="15">
        <v>1160000.0</v>
      </c>
      <c r="E424" s="15">
        <v>1250000.0</v>
      </c>
      <c r="F424" s="15">
        <v>1210000.0</v>
      </c>
      <c r="G424" s="15">
        <v>1050000.0</v>
      </c>
      <c r="H424" s="15">
        <v>942160.0</v>
      </c>
      <c r="I424" s="15">
        <v>848900.0</v>
      </c>
      <c r="J424" s="15">
        <v>447770.0</v>
      </c>
      <c r="K424" s="15">
        <v>416930.0</v>
      </c>
      <c r="L424" s="15">
        <v>337980.0</v>
      </c>
      <c r="M424" s="15">
        <v>266450.0</v>
      </c>
      <c r="N424" s="15">
        <v>239990.0</v>
      </c>
      <c r="O424" s="15">
        <v>269260.0</v>
      </c>
      <c r="P424" s="15">
        <v>262480.0</v>
      </c>
      <c r="Q424" s="15">
        <v>245520.0</v>
      </c>
      <c r="R424" s="15">
        <v>228190.0</v>
      </c>
      <c r="S424" s="15">
        <v>196270.0</v>
      </c>
      <c r="T424" s="15">
        <v>88520.0</v>
      </c>
      <c r="U424" s="15">
        <v>86290.0</v>
      </c>
      <c r="V424" s="15">
        <v>77880.0</v>
      </c>
      <c r="W424" s="15">
        <v>69940.0</v>
      </c>
      <c r="X424" s="15">
        <v>57030.0</v>
      </c>
      <c r="Y424" s="15">
        <v>173210.0</v>
      </c>
      <c r="Z424" s="15">
        <v>149690.0</v>
      </c>
      <c r="AA424" s="15">
        <v>-12350.0</v>
      </c>
      <c r="AB424" s="15">
        <v>34840.0</v>
      </c>
      <c r="AC424" s="15">
        <v>0.0</v>
      </c>
      <c r="AD424" s="15">
        <v>198250.0</v>
      </c>
      <c r="AE424" s="15">
        <v>149960.0</v>
      </c>
      <c r="AF424" s="15">
        <v>62590.0</v>
      </c>
      <c r="AG424" s="15">
        <v>25040.0</v>
      </c>
      <c r="AH424" s="15">
        <v>40600.0</v>
      </c>
      <c r="AI424" s="15">
        <v>286360.0</v>
      </c>
      <c r="AJ424" s="15">
        <v>259720.0</v>
      </c>
      <c r="AK424" s="15">
        <v>188390.0</v>
      </c>
      <c r="AL424" s="15">
        <v>137020.0</v>
      </c>
      <c r="AM424" s="15">
        <v>122200.0</v>
      </c>
      <c r="AN424" s="15">
        <v>153250.0</v>
      </c>
      <c r="AO424" s="15">
        <v>104020.0</v>
      </c>
      <c r="AP424" s="15">
        <v>-1810.0</v>
      </c>
      <c r="AQ424" s="15">
        <v>15940.0</v>
      </c>
      <c r="AR424" s="15">
        <v>24270.0</v>
      </c>
      <c r="AS424" s="15">
        <v>229770.0</v>
      </c>
      <c r="AT424" s="15">
        <v>185570.0</v>
      </c>
      <c r="AU424" s="15">
        <v>181120.0</v>
      </c>
      <c r="AV424" s="15">
        <v>124740.0</v>
      </c>
      <c r="AW424" s="15">
        <v>118110.0</v>
      </c>
      <c r="AX424" s="15">
        <v>-98510.0</v>
      </c>
      <c r="AY424" s="15">
        <v>-87510.0</v>
      </c>
      <c r="AZ424" s="15">
        <v>-111160.0</v>
      </c>
      <c r="BA424" s="15">
        <v>-58550.0</v>
      </c>
      <c r="BB424" s="15">
        <v>-133240.0</v>
      </c>
      <c r="BC424" s="15">
        <v>0.0</v>
      </c>
      <c r="BD424" s="15">
        <v>0.0</v>
      </c>
      <c r="BE424" s="15">
        <v>0.0</v>
      </c>
      <c r="BF424" s="15">
        <v>0.0</v>
      </c>
      <c r="BG424" s="15">
        <v>0.0</v>
      </c>
      <c r="BH424" s="15">
        <v>264330.0</v>
      </c>
      <c r="BI424" s="15">
        <v>248550.0</v>
      </c>
      <c r="BJ424" s="15">
        <v>208380.0</v>
      </c>
      <c r="BK424" s="15">
        <v>277640.0</v>
      </c>
      <c r="BL424" s="15">
        <v>283120.0</v>
      </c>
      <c r="BM424" s="15">
        <v>260320.0</v>
      </c>
      <c r="BN424" s="15">
        <v>228410.0</v>
      </c>
      <c r="BO424" s="15">
        <v>200110.0</v>
      </c>
      <c r="BP424" s="15">
        <v>217220.0</v>
      </c>
      <c r="BQ424" s="15">
        <v>218500.0</v>
      </c>
      <c r="BR424" s="15">
        <v>236470.0</v>
      </c>
      <c r="BS424" s="15">
        <v>215440.0</v>
      </c>
      <c r="BT424" s="15">
        <v>216510.0</v>
      </c>
      <c r="BU424" s="15">
        <v>193480.0</v>
      </c>
      <c r="BV424" s="15">
        <v>202830.0</v>
      </c>
      <c r="BW424" s="15">
        <v>809960.0</v>
      </c>
      <c r="BX424" s="15">
        <v>734840.0</v>
      </c>
      <c r="BY424" s="15">
        <v>662320.0</v>
      </c>
      <c r="BZ424" s="15">
        <v>732780.0</v>
      </c>
      <c r="CA424" s="15">
        <v>750550.0</v>
      </c>
      <c r="CB424" s="15">
        <v>527000.0</v>
      </c>
      <c r="CC424" s="15">
        <v>446840.0</v>
      </c>
      <c r="CD424" s="15">
        <v>459170.0</v>
      </c>
      <c r="CE424" s="15">
        <v>401990.0</v>
      </c>
      <c r="CF424" s="15">
        <v>439340.0</v>
      </c>
      <c r="CG424" s="15">
        <v>141320.0</v>
      </c>
      <c r="CH424" s="15">
        <v>132440.0</v>
      </c>
      <c r="CI424" s="15">
        <v>134190.0</v>
      </c>
      <c r="CJ424" s="15">
        <v>129410.0</v>
      </c>
      <c r="CK424" s="15">
        <v>132910.0</v>
      </c>
      <c r="CL424" s="15">
        <v>1640000.0</v>
      </c>
      <c r="CM424" s="15">
        <v>1530000.0</v>
      </c>
      <c r="CN424" s="15">
        <v>1490000.0</v>
      </c>
      <c r="CO424" s="15">
        <v>1530000.0</v>
      </c>
      <c r="CP424" s="15">
        <v>1600000.0</v>
      </c>
      <c r="CQ424" s="15">
        <v>122150.0</v>
      </c>
      <c r="CR424" s="15">
        <v>117810.0</v>
      </c>
      <c r="CS424" s="15">
        <v>108000.0</v>
      </c>
      <c r="CT424" s="15">
        <v>87600.0</v>
      </c>
      <c r="CU424" s="15">
        <v>86460.0</v>
      </c>
      <c r="CV424" s="15">
        <v>285320.0</v>
      </c>
      <c r="CW424" s="15">
        <v>25900.0</v>
      </c>
      <c r="CX424" s="15">
        <v>10250.0</v>
      </c>
      <c r="CY424" s="15">
        <v>1010.0</v>
      </c>
      <c r="CZ424" s="16">
        <v>0.0</v>
      </c>
      <c r="DA424" s="15">
        <v>0.0</v>
      </c>
      <c r="DB424" s="15">
        <v>285320.0</v>
      </c>
      <c r="DC424" s="15">
        <v>254020.0</v>
      </c>
      <c r="DD424" s="15">
        <v>247160.0</v>
      </c>
      <c r="DE424" s="15">
        <v>185370.0</v>
      </c>
      <c r="DF424" s="15">
        <v>486600.0</v>
      </c>
      <c r="DG424" s="15">
        <v>533580.0</v>
      </c>
      <c r="DH424" s="15">
        <v>597580.0</v>
      </c>
      <c r="DI424" s="15">
        <v>689830.0</v>
      </c>
      <c r="DJ424" s="15">
        <v>735470.0</v>
      </c>
      <c r="DK424" s="15">
        <v>0.0</v>
      </c>
      <c r="DL424" s="15">
        <v>2800.0</v>
      </c>
      <c r="DM424" s="15">
        <v>0.0</v>
      </c>
      <c r="DN424" s="15">
        <v>0.0</v>
      </c>
      <c r="DO424" s="15">
        <v>0.0</v>
      </c>
      <c r="DP424" s="15">
        <v>92080.0</v>
      </c>
      <c r="DQ424" s="15">
        <v>187180.0</v>
      </c>
      <c r="DR424" s="15">
        <v>247890.0</v>
      </c>
      <c r="DS424" s="15">
        <v>414180.0</v>
      </c>
      <c r="DT424" s="15">
        <v>453940.0</v>
      </c>
      <c r="DU424" s="16">
        <v>0.0</v>
      </c>
      <c r="DV424" s="15">
        <v>0.0</v>
      </c>
      <c r="DW424" s="15">
        <v>0.0</v>
      </c>
      <c r="DX424" s="15">
        <v>0.0</v>
      </c>
      <c r="DY424" s="15">
        <v>0.0</v>
      </c>
      <c r="DZ424" s="15">
        <v>1110000.0</v>
      </c>
      <c r="EA424" s="15">
        <v>931460.0</v>
      </c>
      <c r="EB424" s="15">
        <v>831500.0</v>
      </c>
      <c r="EC424" s="15">
        <v>776020.0</v>
      </c>
      <c r="ED424" s="15">
        <v>795350.0</v>
      </c>
      <c r="EE424" s="17">
        <v>0.034</v>
      </c>
      <c r="EF424" s="17">
        <v>0.032</v>
      </c>
      <c r="EG424" s="17">
        <v>-0.042</v>
      </c>
      <c r="EH424" s="17">
        <v>0.021</v>
      </c>
    </row>
    <row r="425">
      <c r="A425" s="9">
        <f t="shared" si="2"/>
        <v>423</v>
      </c>
      <c r="B425" s="10" t="s">
        <v>559</v>
      </c>
      <c r="C425" s="15">
        <v>7.623E7</v>
      </c>
      <c r="D425" s="15">
        <v>6.716E7</v>
      </c>
      <c r="E425" s="15">
        <v>6.939E7</v>
      </c>
      <c r="F425" s="15">
        <v>5.947E7</v>
      </c>
      <c r="G425" s="15">
        <v>5.494E7</v>
      </c>
      <c r="H425" s="15">
        <v>5.537E7</v>
      </c>
      <c r="I425" s="15">
        <v>5.2E7</v>
      </c>
      <c r="J425" s="15">
        <v>2.327E7</v>
      </c>
      <c r="K425" s="15">
        <v>2.377E7</v>
      </c>
      <c r="L425" s="15">
        <v>2.199E7</v>
      </c>
      <c r="M425" s="15">
        <v>2.301E7</v>
      </c>
      <c r="N425" s="15">
        <v>2.137E7</v>
      </c>
      <c r="O425" s="15">
        <v>1.154E7</v>
      </c>
      <c r="P425" s="15">
        <v>8860000.0</v>
      </c>
      <c r="Q425" s="15">
        <v>8180000.0</v>
      </c>
      <c r="R425" s="15">
        <v>8750000.0</v>
      </c>
      <c r="S425" s="15">
        <v>8520000.0</v>
      </c>
      <c r="T425" s="15">
        <v>0.0</v>
      </c>
      <c r="U425" s="15">
        <v>0.0</v>
      </c>
      <c r="V425" s="15">
        <v>0.0</v>
      </c>
      <c r="W425" s="15">
        <v>0.0</v>
      </c>
      <c r="X425" s="15">
        <v>0.0</v>
      </c>
      <c r="Y425" s="15">
        <v>1.048E7</v>
      </c>
      <c r="Z425" s="15">
        <v>1.483E7</v>
      </c>
      <c r="AA425" s="15">
        <v>1.358E7</v>
      </c>
      <c r="AB425" s="15">
        <v>1.394E7</v>
      </c>
      <c r="AC425" s="15">
        <v>1.271E7</v>
      </c>
      <c r="AD425" s="15">
        <v>1.394E7</v>
      </c>
      <c r="AE425" s="15">
        <v>1.473E7</v>
      </c>
      <c r="AF425" s="15">
        <v>1.379E7</v>
      </c>
      <c r="AG425" s="15">
        <v>1.487E7</v>
      </c>
      <c r="AH425" s="15">
        <v>1.387E7</v>
      </c>
      <c r="AI425" s="15">
        <v>1.589E7</v>
      </c>
      <c r="AJ425" s="15">
        <v>1.793E7</v>
      </c>
      <c r="AK425" s="15">
        <v>1.659E7</v>
      </c>
      <c r="AL425" s="15">
        <v>1.679E7</v>
      </c>
      <c r="AM425" s="15">
        <v>1.52E7</v>
      </c>
      <c r="AN425" s="15">
        <v>1.044E7</v>
      </c>
      <c r="AO425" s="15">
        <v>1.26E7</v>
      </c>
      <c r="AP425" s="15">
        <v>8980000.0</v>
      </c>
      <c r="AQ425" s="15">
        <v>9390000.0</v>
      </c>
      <c r="AR425" s="15">
        <v>8380000.0</v>
      </c>
      <c r="AS425" s="15">
        <v>6610000.0</v>
      </c>
      <c r="AT425" s="15">
        <v>1.43E7</v>
      </c>
      <c r="AU425" s="15">
        <v>1.234E7</v>
      </c>
      <c r="AV425" s="15">
        <v>1.321E7</v>
      </c>
      <c r="AW425" s="15">
        <v>1.091E7</v>
      </c>
      <c r="AX425" s="15">
        <v>-4880000.0</v>
      </c>
      <c r="AY425" s="15">
        <v>-4470000.0</v>
      </c>
      <c r="AZ425" s="15">
        <v>-3620000.0</v>
      </c>
      <c r="BA425" s="15">
        <v>-4770000.0</v>
      </c>
      <c r="BB425" s="15">
        <v>-4270000.0</v>
      </c>
      <c r="BC425" s="15">
        <v>-2900000.0</v>
      </c>
      <c r="BD425" s="15">
        <v>-2520000.0</v>
      </c>
      <c r="BE425" s="15">
        <v>-2450000.0</v>
      </c>
      <c r="BF425" s="15">
        <v>-2310000.0</v>
      </c>
      <c r="BG425" s="15">
        <v>-3060000.0</v>
      </c>
      <c r="BH425" s="15">
        <v>5420000.0</v>
      </c>
      <c r="BI425" s="15">
        <v>4150000.0</v>
      </c>
      <c r="BJ425" s="15">
        <v>4020000.0</v>
      </c>
      <c r="BK425" s="15">
        <v>4610000.0</v>
      </c>
      <c r="BL425" s="15">
        <v>4270000.0</v>
      </c>
      <c r="BM425" s="15">
        <v>1.548E7</v>
      </c>
      <c r="BN425" s="15">
        <v>9330000.0</v>
      </c>
      <c r="BO425" s="15">
        <v>8630000.0</v>
      </c>
      <c r="BP425" s="15">
        <v>9070000.0</v>
      </c>
      <c r="BQ425" s="15">
        <v>8020000.0</v>
      </c>
      <c r="BR425" s="15">
        <v>1650000.0</v>
      </c>
      <c r="BS425" s="15">
        <v>1390000.0</v>
      </c>
      <c r="BT425" s="15">
        <v>1370000.0</v>
      </c>
      <c r="BU425" s="15">
        <v>1390000.0</v>
      </c>
      <c r="BV425" s="15">
        <v>1570000.0</v>
      </c>
      <c r="BW425" s="15">
        <v>2.353E7</v>
      </c>
      <c r="BX425" s="15">
        <v>1.551E7</v>
      </c>
      <c r="BY425" s="15">
        <v>1.461E7</v>
      </c>
      <c r="BZ425" s="15">
        <v>1.576E7</v>
      </c>
      <c r="CA425" s="15">
        <v>1.559E7</v>
      </c>
      <c r="CB425" s="15">
        <v>3.16E7</v>
      </c>
      <c r="CC425" s="15">
        <v>2.954E7</v>
      </c>
      <c r="CD425" s="15">
        <v>2.841E7</v>
      </c>
      <c r="CE425" s="15">
        <v>2.735E7</v>
      </c>
      <c r="CF425" s="15">
        <v>2.518E7</v>
      </c>
      <c r="CG425" s="15">
        <v>8.029E7</v>
      </c>
      <c r="CH425" s="15">
        <v>3.127E7</v>
      </c>
      <c r="CI425" s="15">
        <v>3.143E7</v>
      </c>
      <c r="CJ425" s="15">
        <v>2.781E7</v>
      </c>
      <c r="CK425" s="15">
        <v>2.783E7</v>
      </c>
      <c r="CL425" s="15">
        <v>1.9398E8</v>
      </c>
      <c r="CM425" s="15">
        <v>9.86E7</v>
      </c>
      <c r="CN425" s="15">
        <v>9.579E7</v>
      </c>
      <c r="CO425" s="15">
        <v>9.203E7</v>
      </c>
      <c r="CP425" s="15">
        <v>8.818E7</v>
      </c>
      <c r="CQ425" s="15">
        <v>1.378E7</v>
      </c>
      <c r="CR425" s="15">
        <v>6500000.0</v>
      </c>
      <c r="CS425" s="15">
        <v>6490000.0</v>
      </c>
      <c r="CT425" s="15">
        <v>6860000.0</v>
      </c>
      <c r="CU425" s="15">
        <v>5500000.0</v>
      </c>
      <c r="CV425" s="15">
        <v>3.134E7</v>
      </c>
      <c r="CW425" s="15">
        <v>0.0</v>
      </c>
      <c r="CX425" s="16">
        <v>0.0</v>
      </c>
      <c r="CY425" s="16">
        <v>0.0</v>
      </c>
      <c r="CZ425" s="16">
        <v>0.0</v>
      </c>
      <c r="DA425" s="15">
        <v>0.0</v>
      </c>
      <c r="DB425" s="15">
        <v>3.134E7</v>
      </c>
      <c r="DC425" s="15">
        <v>1.786E7</v>
      </c>
      <c r="DD425" s="15">
        <v>1.96E7</v>
      </c>
      <c r="DE425" s="15">
        <v>1.684E7</v>
      </c>
      <c r="DF425" s="15">
        <v>9.113E7</v>
      </c>
      <c r="DG425" s="15">
        <v>4.464E7</v>
      </c>
      <c r="DH425" s="15">
        <v>4.964E7</v>
      </c>
      <c r="DI425" s="15">
        <v>4.471E7</v>
      </c>
      <c r="DJ425" s="15">
        <v>3.953E7</v>
      </c>
      <c r="DK425" s="15">
        <v>3370000.0</v>
      </c>
      <c r="DL425" s="15">
        <v>2940000.0</v>
      </c>
      <c r="DM425" s="15">
        <v>3210000.0</v>
      </c>
      <c r="DN425" s="15">
        <v>4370000.0</v>
      </c>
      <c r="DO425" s="15">
        <v>2860000.0</v>
      </c>
      <c r="DP425" s="15">
        <v>3.813E7</v>
      </c>
      <c r="DQ425" s="15">
        <v>1.708E7</v>
      </c>
      <c r="DR425" s="15">
        <v>1.912E7</v>
      </c>
      <c r="DS425" s="15">
        <v>1.648E7</v>
      </c>
      <c r="DT425" s="15">
        <v>1.277E7</v>
      </c>
      <c r="DU425" s="16">
        <v>0.0</v>
      </c>
      <c r="DV425" s="15">
        <v>0.0</v>
      </c>
      <c r="DW425" s="15">
        <v>0.0</v>
      </c>
      <c r="DX425" s="16">
        <v>0.0</v>
      </c>
      <c r="DY425" s="15">
        <v>0.0</v>
      </c>
      <c r="DZ425" s="15">
        <v>8.888E7</v>
      </c>
      <c r="EA425" s="15">
        <v>4.877E7</v>
      </c>
      <c r="EB425" s="15">
        <v>4.132E7</v>
      </c>
      <c r="EC425" s="15">
        <v>4.327E7</v>
      </c>
      <c r="ED425" s="15">
        <v>4.453E7</v>
      </c>
      <c r="EE425" s="17">
        <v>0.169</v>
      </c>
      <c r="EF425" s="17">
        <v>0.277</v>
      </c>
      <c r="EG425" s="17">
        <v>-0.318</v>
      </c>
      <c r="EH425" s="17">
        <v>-0.09</v>
      </c>
    </row>
    <row r="426">
      <c r="A426" s="9">
        <f t="shared" si="2"/>
        <v>424</v>
      </c>
      <c r="B426" s="32" t="s">
        <v>560</v>
      </c>
      <c r="C426" s="11">
        <v>8950000.0</v>
      </c>
      <c r="D426" s="11">
        <v>8350000.0</v>
      </c>
      <c r="E426" s="11">
        <v>8750000.0</v>
      </c>
      <c r="F426" s="11">
        <v>8440000.0</v>
      </c>
      <c r="G426" s="11">
        <v>8590000.0</v>
      </c>
      <c r="H426" s="11">
        <v>7920000.0</v>
      </c>
      <c r="I426" s="11">
        <v>7270000.0</v>
      </c>
      <c r="J426" s="11">
        <v>2570000.0</v>
      </c>
      <c r="K426" s="11">
        <v>2440000.0</v>
      </c>
      <c r="L426" s="11">
        <v>2500000.0</v>
      </c>
      <c r="M426" s="11">
        <v>2370000.0</v>
      </c>
      <c r="N426" s="11">
        <v>2180000.0</v>
      </c>
      <c r="O426" s="11">
        <v>2120000.0</v>
      </c>
      <c r="P426" s="11">
        <v>1980000.0</v>
      </c>
      <c r="Q426" s="11">
        <v>1970000.0</v>
      </c>
      <c r="R426" s="11">
        <v>1880000.0</v>
      </c>
      <c r="S426" s="11">
        <v>1640000.0</v>
      </c>
      <c r="T426" s="12"/>
      <c r="U426" s="12"/>
      <c r="V426" s="12"/>
      <c r="W426" s="12"/>
      <c r="X426" s="12"/>
      <c r="Y426" s="11">
        <v>380880.0</v>
      </c>
      <c r="Z426" s="11">
        <v>451210.0</v>
      </c>
      <c r="AA426" s="11">
        <v>506700.0</v>
      </c>
      <c r="AB426" s="12"/>
      <c r="AC426" s="11">
        <v>535190.0</v>
      </c>
      <c r="AD426" s="11">
        <v>407700.0</v>
      </c>
      <c r="AE426" s="11">
        <v>431920.0</v>
      </c>
      <c r="AF426" s="11">
        <v>501340.0</v>
      </c>
      <c r="AG426" s="11">
        <v>458420.0</v>
      </c>
      <c r="AH426" s="11">
        <v>530880.0</v>
      </c>
      <c r="AI426" s="11">
        <v>759980.0</v>
      </c>
      <c r="AJ426" s="11">
        <v>684160.0</v>
      </c>
      <c r="AK426" s="11">
        <v>769550.0</v>
      </c>
      <c r="AL426" s="11">
        <v>723970.0</v>
      </c>
      <c r="AM426" s="11">
        <v>736690.0</v>
      </c>
      <c r="AN426" s="11">
        <v>297460.0</v>
      </c>
      <c r="AO426" s="11">
        <v>319860.0</v>
      </c>
      <c r="AP426" s="11">
        <v>323450.0</v>
      </c>
      <c r="AQ426" s="11">
        <v>287400.0</v>
      </c>
      <c r="AR426" s="11">
        <v>330390.0</v>
      </c>
      <c r="AS426" s="11">
        <v>404610.0</v>
      </c>
      <c r="AT426" s="11">
        <v>712760.0</v>
      </c>
      <c r="AU426" s="11">
        <v>746310.0</v>
      </c>
      <c r="AV426" s="11">
        <v>768990.0</v>
      </c>
      <c r="AW426" s="11">
        <v>643510.0</v>
      </c>
      <c r="AX426" s="11">
        <v>-218760.0</v>
      </c>
      <c r="AY426" s="11">
        <v>-198220.0</v>
      </c>
      <c r="AZ426" s="11">
        <v>-476690.0</v>
      </c>
      <c r="BA426" s="11">
        <v>-431560.0</v>
      </c>
      <c r="BB426" s="11">
        <v>-372430.0</v>
      </c>
      <c r="BC426" s="11">
        <v>-98310.0</v>
      </c>
      <c r="BD426" s="11">
        <v>-89270.0</v>
      </c>
      <c r="BE426" s="11">
        <v>-73100.0</v>
      </c>
      <c r="BF426" s="11">
        <v>-67970.0</v>
      </c>
      <c r="BG426" s="11">
        <v>-64720.0</v>
      </c>
      <c r="BH426" s="11">
        <v>69330.0</v>
      </c>
      <c r="BI426" s="11">
        <v>113650.0</v>
      </c>
      <c r="BJ426" s="11">
        <v>101250.0</v>
      </c>
      <c r="BK426" s="11">
        <v>164780.0</v>
      </c>
      <c r="BL426" s="11">
        <v>118940.0</v>
      </c>
      <c r="BM426" s="11">
        <v>58940.0</v>
      </c>
      <c r="BN426" s="11">
        <v>44110.0</v>
      </c>
      <c r="BO426" s="11">
        <v>64540.0</v>
      </c>
      <c r="BP426" s="11">
        <v>77510.0</v>
      </c>
      <c r="BQ426" s="11">
        <v>66830.0</v>
      </c>
      <c r="BR426" s="11">
        <v>2200000.0</v>
      </c>
      <c r="BS426" s="11">
        <v>1820000.0</v>
      </c>
      <c r="BT426" s="11">
        <v>1710000.0</v>
      </c>
      <c r="BU426" s="11">
        <v>1640000.0</v>
      </c>
      <c r="BV426" s="11">
        <v>1530000.0</v>
      </c>
      <c r="BW426" s="11">
        <v>2410000.0</v>
      </c>
      <c r="BX426" s="11">
        <v>2120000.0</v>
      </c>
      <c r="BY426" s="11">
        <v>2010000.0</v>
      </c>
      <c r="BZ426" s="11">
        <v>2000000.0</v>
      </c>
      <c r="CA426" s="11">
        <v>1810000.0</v>
      </c>
      <c r="CB426" s="11">
        <v>3730000.0</v>
      </c>
      <c r="CC426" s="11">
        <v>1570000.0</v>
      </c>
      <c r="CD426" s="11">
        <v>1680000.0</v>
      </c>
      <c r="CE426" s="11">
        <v>1520000.0</v>
      </c>
      <c r="CF426" s="11">
        <v>1350000.0</v>
      </c>
      <c r="CG426" s="11">
        <v>245860.0</v>
      </c>
      <c r="CH426" s="11">
        <v>250480.0</v>
      </c>
      <c r="CI426" s="11">
        <v>250480.0</v>
      </c>
      <c r="CJ426" s="11">
        <v>245060.0</v>
      </c>
      <c r="CK426" s="11">
        <v>200590.0</v>
      </c>
      <c r="CL426" s="11">
        <v>6630000.0</v>
      </c>
      <c r="CM426" s="11">
        <v>4190000.0</v>
      </c>
      <c r="CN426" s="11">
        <v>4200000.0</v>
      </c>
      <c r="CO426" s="11">
        <v>4060000.0</v>
      </c>
      <c r="CP426" s="11">
        <v>3560000.0</v>
      </c>
      <c r="CQ426" s="11">
        <v>1000000.0</v>
      </c>
      <c r="CR426" s="11">
        <v>889910.0</v>
      </c>
      <c r="CS426" s="11">
        <v>843080.0</v>
      </c>
      <c r="CT426" s="11">
        <v>755540.0</v>
      </c>
      <c r="CU426" s="11">
        <v>677860.0</v>
      </c>
      <c r="CV426" s="11">
        <v>2080000.0</v>
      </c>
      <c r="CW426" s="11">
        <v>422970.0</v>
      </c>
      <c r="CX426" s="11"/>
      <c r="CY426" s="11"/>
      <c r="CZ426" s="12"/>
      <c r="DA426" s="12"/>
      <c r="DB426" s="11">
        <v>2080000.0</v>
      </c>
      <c r="DC426" s="11">
        <v>1500000.0</v>
      </c>
      <c r="DD426" s="11">
        <v>1430000.0</v>
      </c>
      <c r="DE426" s="11">
        <v>1400000.0</v>
      </c>
      <c r="DF426" s="11">
        <v>4900000.0</v>
      </c>
      <c r="DG426" s="11">
        <v>2280000.0</v>
      </c>
      <c r="DH426" s="11">
        <v>2260000.0</v>
      </c>
      <c r="DI426" s="11">
        <v>2130000.0</v>
      </c>
      <c r="DJ426" s="11">
        <v>1770000.0</v>
      </c>
      <c r="DK426" s="12"/>
      <c r="DL426" s="12"/>
      <c r="DM426" s="12"/>
      <c r="DN426" s="12"/>
      <c r="DO426" s="12"/>
      <c r="DP426" s="11">
        <v>2680000.0</v>
      </c>
      <c r="DQ426" s="11">
        <v>54780.0</v>
      </c>
      <c r="DR426" s="11">
        <v>60080.0</v>
      </c>
      <c r="DS426" s="11">
        <v>4680.0</v>
      </c>
      <c r="DT426" s="11">
        <v>5320.0</v>
      </c>
      <c r="DU426" s="13"/>
      <c r="DV426" s="12"/>
      <c r="DW426" s="12"/>
      <c r="DX426" s="12"/>
      <c r="DY426" s="12"/>
      <c r="DZ426" s="11">
        <v>1730000.0</v>
      </c>
      <c r="EA426" s="11">
        <v>1900000.0</v>
      </c>
      <c r="EB426" s="11">
        <v>1940000.0</v>
      </c>
      <c r="EC426" s="11">
        <v>1930000.0</v>
      </c>
      <c r="ED426" s="11">
        <v>1790000.0</v>
      </c>
      <c r="EE426" s="14">
        <v>0.15</v>
      </c>
      <c r="EF426" s="14">
        <v>0.154</v>
      </c>
      <c r="EG426" s="14">
        <v>-2.0</v>
      </c>
      <c r="EH426" s="14">
        <v>-0.377</v>
      </c>
    </row>
    <row r="427">
      <c r="A427" s="9">
        <f t="shared" si="2"/>
        <v>425</v>
      </c>
      <c r="B427" s="10" t="s">
        <v>561</v>
      </c>
      <c r="C427" s="11">
        <v>130650.0</v>
      </c>
      <c r="D427" s="11">
        <v>134930.0</v>
      </c>
      <c r="E427" s="11">
        <v>130900.0</v>
      </c>
      <c r="F427" s="11">
        <v>127140.0</v>
      </c>
      <c r="G427" s="11">
        <v>146240.0</v>
      </c>
      <c r="H427" s="11">
        <v>177120.0</v>
      </c>
      <c r="I427" s="11">
        <v>145420.0</v>
      </c>
      <c r="J427" s="11">
        <v>69160.0</v>
      </c>
      <c r="K427" s="11">
        <v>61540.0</v>
      </c>
      <c r="L427" s="11">
        <v>65630.0</v>
      </c>
      <c r="M427" s="11">
        <v>103960.0</v>
      </c>
      <c r="N427" s="11">
        <v>89900.0</v>
      </c>
      <c r="O427" s="11">
        <v>9250.0</v>
      </c>
      <c r="P427" s="11">
        <v>8560.0</v>
      </c>
      <c r="Q427" s="11">
        <v>1690.0</v>
      </c>
      <c r="R427" s="11">
        <v>1890.0</v>
      </c>
      <c r="S427" s="11">
        <v>1810.0</v>
      </c>
      <c r="T427" s="12"/>
      <c r="U427" s="12"/>
      <c r="V427" s="12"/>
      <c r="W427" s="12"/>
      <c r="X427" s="12"/>
      <c r="Y427" s="11">
        <v>52420.0</v>
      </c>
      <c r="Z427" s="12"/>
      <c r="AA427" s="11"/>
      <c r="AB427" s="12"/>
      <c r="AC427" s="12"/>
      <c r="AD427" s="11">
        <v>3610.0</v>
      </c>
      <c r="AE427" s="11">
        <v>3610.0</v>
      </c>
      <c r="AF427" s="11">
        <v>17340.0</v>
      </c>
      <c r="AG427" s="11">
        <v>66850.0</v>
      </c>
      <c r="AH427" s="11">
        <v>60050.0</v>
      </c>
      <c r="AI427" s="11">
        <v>90780.0</v>
      </c>
      <c r="AJ427" s="11">
        <v>88650.0</v>
      </c>
      <c r="AK427" s="11">
        <v>101510.0</v>
      </c>
      <c r="AL427" s="11">
        <v>139740.0</v>
      </c>
      <c r="AM427" s="11">
        <v>112700.0</v>
      </c>
      <c r="AN427" s="11">
        <v>3620.0</v>
      </c>
      <c r="AO427" s="11">
        <v>3620.0</v>
      </c>
      <c r="AP427" s="11">
        <v>17260.0</v>
      </c>
      <c r="AQ427" s="11">
        <v>66730.0</v>
      </c>
      <c r="AR427" s="11">
        <v>59930.0</v>
      </c>
      <c r="AS427" s="11">
        <v>32620.0</v>
      </c>
      <c r="AT427" s="11">
        <v>42990.0</v>
      </c>
      <c r="AU427" s="11">
        <v>46770.0</v>
      </c>
      <c r="AV427" s="11">
        <v>103620.0</v>
      </c>
      <c r="AW427" s="11">
        <v>96940.0</v>
      </c>
      <c r="AX427" s="11"/>
      <c r="AY427" s="12">
        <v>-409.0</v>
      </c>
      <c r="AZ427" s="11"/>
      <c r="BA427" s="11">
        <v>-37470.0</v>
      </c>
      <c r="BB427" s="11">
        <v>-205050.0</v>
      </c>
      <c r="BC427" s="11">
        <v>-16390.0</v>
      </c>
      <c r="BD427" s="11">
        <v>-48420.0</v>
      </c>
      <c r="BE427" s="11">
        <v>-66730.0</v>
      </c>
      <c r="BF427" s="11">
        <v>-66730.0</v>
      </c>
      <c r="BG427" s="11">
        <v>-62080.0</v>
      </c>
      <c r="BH427" s="11">
        <v>16210.0</v>
      </c>
      <c r="BI427" s="11">
        <v>109920.0</v>
      </c>
      <c r="BJ427" s="11">
        <v>67460.0</v>
      </c>
      <c r="BK427" s="11">
        <v>57600.0</v>
      </c>
      <c r="BL427" s="11">
        <v>24290.0</v>
      </c>
      <c r="BM427" s="12">
        <v>143.0</v>
      </c>
      <c r="BN427" s="11">
        <v>1130.0</v>
      </c>
      <c r="BO427" s="11">
        <v>1040.0</v>
      </c>
      <c r="BP427" s="12">
        <v>978.0</v>
      </c>
      <c r="BQ427" s="12">
        <v>563.0</v>
      </c>
      <c r="BR427" s="11">
        <v>718.0</v>
      </c>
      <c r="BS427" s="11">
        <v>1220.0</v>
      </c>
      <c r="BT427" s="11">
        <v>799.0</v>
      </c>
      <c r="BU427" s="11">
        <v>834.0</v>
      </c>
      <c r="BV427" s="11">
        <v>348.0</v>
      </c>
      <c r="BW427" s="11">
        <v>18170.0</v>
      </c>
      <c r="BX427" s="11">
        <v>112960.0</v>
      </c>
      <c r="BY427" s="11">
        <v>70400.0</v>
      </c>
      <c r="BZ427" s="11">
        <v>60200.0</v>
      </c>
      <c r="CA427" s="11">
        <v>25810.0</v>
      </c>
      <c r="CB427" s="11">
        <v>916700.0</v>
      </c>
      <c r="CC427" s="11">
        <v>947380.0</v>
      </c>
      <c r="CD427" s="11">
        <v>977300.0</v>
      </c>
      <c r="CE427" s="11">
        <v>1010000.0</v>
      </c>
      <c r="CF427" s="11">
        <v>1040000.0</v>
      </c>
      <c r="CG427" s="11"/>
      <c r="CH427" s="11"/>
      <c r="CI427" s="11"/>
      <c r="CJ427" s="11"/>
      <c r="CK427" s="11"/>
      <c r="CL427" s="11">
        <v>989190.0</v>
      </c>
      <c r="CM427" s="11">
        <v>1060000.0</v>
      </c>
      <c r="CN427" s="11">
        <v>1050000.0</v>
      </c>
      <c r="CO427" s="11">
        <v>1110000.0</v>
      </c>
      <c r="CP427" s="11">
        <v>1110000.0</v>
      </c>
      <c r="CQ427" s="11">
        <v>5500.0</v>
      </c>
      <c r="CR427" s="11">
        <v>5740.0</v>
      </c>
      <c r="CS427" s="11">
        <v>4500.0</v>
      </c>
      <c r="CT427" s="11">
        <v>3060.0</v>
      </c>
      <c r="CU427" s="11">
        <v>4940.0</v>
      </c>
      <c r="CV427" s="11">
        <v>64640.0</v>
      </c>
      <c r="CW427" s="11"/>
      <c r="CX427" s="12"/>
      <c r="CY427" s="12"/>
      <c r="CZ427" s="12"/>
      <c r="DA427" s="12"/>
      <c r="DB427" s="11">
        <v>64640.0</v>
      </c>
      <c r="DC427" s="11">
        <v>272740.0</v>
      </c>
      <c r="DD427" s="11">
        <v>22900.0</v>
      </c>
      <c r="DE427" s="11">
        <v>53060.0</v>
      </c>
      <c r="DF427" s="11">
        <v>675480.0</v>
      </c>
      <c r="DG427" s="11">
        <v>736950.0</v>
      </c>
      <c r="DH427" s="11">
        <v>736000.0</v>
      </c>
      <c r="DI427" s="11">
        <v>738840.0</v>
      </c>
      <c r="DJ427" s="11">
        <v>740270.0</v>
      </c>
      <c r="DK427" s="11">
        <v>50000.0</v>
      </c>
      <c r="DL427" s="11">
        <v>1350.0</v>
      </c>
      <c r="DM427" s="11">
        <v>1350.0</v>
      </c>
      <c r="DN427" s="11">
        <v>26350.0</v>
      </c>
      <c r="DO427" s="11">
        <v>26350.0</v>
      </c>
      <c r="DP427" s="11">
        <v>607670.0</v>
      </c>
      <c r="DQ427" s="11">
        <v>461060.0</v>
      </c>
      <c r="DR427" s="11">
        <v>711700.0</v>
      </c>
      <c r="DS427" s="11">
        <v>684750.0</v>
      </c>
      <c r="DT427" s="11">
        <v>652820.0</v>
      </c>
      <c r="DU427" s="11">
        <v>126710.0</v>
      </c>
      <c r="DV427" s="11">
        <v>127100.0</v>
      </c>
      <c r="DW427" s="11">
        <v>73220.0</v>
      </c>
      <c r="DX427" s="11">
        <v>73220.0</v>
      </c>
      <c r="DY427" s="11">
        <v>73220.0</v>
      </c>
      <c r="DZ427" s="11">
        <v>313740.0</v>
      </c>
      <c r="EA427" s="11">
        <v>326500.0</v>
      </c>
      <c r="EB427" s="11">
        <v>318270.0</v>
      </c>
      <c r="EC427" s="11">
        <v>367740.0</v>
      </c>
      <c r="ED427" s="11">
        <v>367740.0</v>
      </c>
      <c r="EE427" s="14">
        <v>0.043</v>
      </c>
      <c r="EF427" s="14">
        <v>0.073</v>
      </c>
      <c r="EG427" s="14">
        <v>0.333</v>
      </c>
      <c r="EH427" s="23"/>
    </row>
    <row r="428">
      <c r="A428" s="9">
        <f t="shared" si="2"/>
        <v>426</v>
      </c>
      <c r="B428" s="32" t="s">
        <v>562</v>
      </c>
      <c r="C428" s="11">
        <v>650660.0</v>
      </c>
      <c r="D428" s="11">
        <v>610570.0</v>
      </c>
      <c r="E428" s="11">
        <v>615620.0</v>
      </c>
      <c r="F428" s="11">
        <v>568100.0</v>
      </c>
      <c r="G428" s="11">
        <v>471450.0</v>
      </c>
      <c r="H428" s="11">
        <v>376120.0</v>
      </c>
      <c r="I428" s="11">
        <v>304160.0</v>
      </c>
      <c r="J428" s="11">
        <v>304600.0</v>
      </c>
      <c r="K428" s="11">
        <v>297710.0</v>
      </c>
      <c r="L428" s="11">
        <v>253690.0</v>
      </c>
      <c r="M428" s="11">
        <v>209450.0</v>
      </c>
      <c r="N428" s="11">
        <v>170580.0</v>
      </c>
      <c r="O428" s="11">
        <v>276500.0</v>
      </c>
      <c r="P428" s="11">
        <v>260530.0</v>
      </c>
      <c r="Q428" s="11">
        <v>216620.0</v>
      </c>
      <c r="R428" s="11">
        <v>174450.0</v>
      </c>
      <c r="S428" s="11">
        <v>141430.0</v>
      </c>
      <c r="T428" s="12"/>
      <c r="U428" s="12"/>
      <c r="V428" s="12"/>
      <c r="W428" s="12"/>
      <c r="X428" s="12"/>
      <c r="Y428" s="11"/>
      <c r="Z428" s="11"/>
      <c r="AA428" s="11"/>
      <c r="AB428" s="12"/>
      <c r="AC428" s="12"/>
      <c r="AD428" s="11">
        <v>23930.0</v>
      </c>
      <c r="AE428" s="11">
        <v>31620.0</v>
      </c>
      <c r="AF428" s="11">
        <v>35510.0</v>
      </c>
      <c r="AG428" s="11">
        <v>35050.0</v>
      </c>
      <c r="AH428" s="11">
        <v>29030.0</v>
      </c>
      <c r="AI428" s="11">
        <v>51650.0</v>
      </c>
      <c r="AJ428" s="11">
        <v>49880.0</v>
      </c>
      <c r="AK428" s="11">
        <v>44400.0</v>
      </c>
      <c r="AL428" s="11">
        <v>39700.0</v>
      </c>
      <c r="AM428" s="11">
        <v>32090.0</v>
      </c>
      <c r="AN428" s="11">
        <v>18920.0</v>
      </c>
      <c r="AO428" s="11">
        <v>23160.0</v>
      </c>
      <c r="AP428" s="11">
        <v>23350.0</v>
      </c>
      <c r="AQ428" s="11">
        <v>21320.0</v>
      </c>
      <c r="AR428" s="11">
        <v>27440.0</v>
      </c>
      <c r="AS428" s="11">
        <v>6700.0</v>
      </c>
      <c r="AT428" s="11">
        <v>31100.0</v>
      </c>
      <c r="AU428" s="11">
        <v>29870.0</v>
      </c>
      <c r="AV428" s="11">
        <v>20250.0</v>
      </c>
      <c r="AW428" s="11">
        <v>14210.0</v>
      </c>
      <c r="AX428" s="11">
        <v>-30800.0</v>
      </c>
      <c r="AY428" s="11">
        <v>-53470.0</v>
      </c>
      <c r="AZ428" s="11">
        <v>-46700.0</v>
      </c>
      <c r="BA428" s="11">
        <v>-28910.0</v>
      </c>
      <c r="BB428" s="11">
        <v>-7360.0</v>
      </c>
      <c r="BC428" s="12"/>
      <c r="BD428" s="12"/>
      <c r="BE428" s="12"/>
      <c r="BF428" s="11">
        <v>-192.0</v>
      </c>
      <c r="BG428" s="11">
        <v>-60080.0</v>
      </c>
      <c r="BH428" s="11">
        <v>538.0</v>
      </c>
      <c r="BI428" s="11">
        <v>731.0</v>
      </c>
      <c r="BJ428" s="11">
        <v>2870.0</v>
      </c>
      <c r="BK428" s="11">
        <v>24040.0</v>
      </c>
      <c r="BL428" s="11">
        <v>37870.0</v>
      </c>
      <c r="BM428" s="11">
        <v>5050.0</v>
      </c>
      <c r="BN428" s="11">
        <v>5540.0</v>
      </c>
      <c r="BO428" s="11">
        <v>325.0</v>
      </c>
      <c r="BP428" s="11">
        <v>394.0</v>
      </c>
      <c r="BQ428" s="11">
        <v>96.0</v>
      </c>
      <c r="BR428" s="11">
        <v>147850.0</v>
      </c>
      <c r="BS428" s="11">
        <v>97690.0</v>
      </c>
      <c r="BT428" s="11">
        <v>89550.0</v>
      </c>
      <c r="BU428" s="11">
        <v>70370.0</v>
      </c>
      <c r="BV428" s="11">
        <v>55300.0</v>
      </c>
      <c r="BW428" s="11">
        <v>162190.0</v>
      </c>
      <c r="BX428" s="11">
        <v>118200.0</v>
      </c>
      <c r="BY428" s="11">
        <v>100380.0</v>
      </c>
      <c r="BZ428" s="11">
        <v>99660.0</v>
      </c>
      <c r="CA428" s="11">
        <v>96960.0</v>
      </c>
      <c r="CB428" s="11">
        <v>257500.0</v>
      </c>
      <c r="CC428" s="11">
        <v>167110.0</v>
      </c>
      <c r="CD428" s="11">
        <v>109710.0</v>
      </c>
      <c r="CE428" s="11">
        <v>52430.0</v>
      </c>
      <c r="CF428" s="11">
        <v>21530.0</v>
      </c>
      <c r="CG428" s="11"/>
      <c r="CH428" s="11"/>
      <c r="CI428" s="11">
        <v>402.0</v>
      </c>
      <c r="CJ428" s="11">
        <v>402.0</v>
      </c>
      <c r="CK428" s="11">
        <v>402.0</v>
      </c>
      <c r="CL428" s="11">
        <v>479430.0</v>
      </c>
      <c r="CM428" s="11">
        <v>306510.0</v>
      </c>
      <c r="CN428" s="11">
        <v>233970.0</v>
      </c>
      <c r="CO428" s="11">
        <v>160930.0</v>
      </c>
      <c r="CP428" s="11">
        <v>123700.0</v>
      </c>
      <c r="CQ428" s="11">
        <v>33050.0</v>
      </c>
      <c r="CR428" s="11">
        <v>25360.0</v>
      </c>
      <c r="CS428" s="11">
        <v>17320.0</v>
      </c>
      <c r="CT428" s="11">
        <v>9330.0</v>
      </c>
      <c r="CU428" s="11">
        <v>10610.0</v>
      </c>
      <c r="CV428" s="11">
        <v>78780.0</v>
      </c>
      <c r="CW428" s="11">
        <v>10670.0</v>
      </c>
      <c r="CX428" s="12"/>
      <c r="CY428" s="13"/>
      <c r="CZ428" s="13"/>
      <c r="DA428" s="12"/>
      <c r="DB428" s="11">
        <v>78780.0</v>
      </c>
      <c r="DC428" s="11">
        <v>52610.0</v>
      </c>
      <c r="DD428" s="11">
        <v>50300.0</v>
      </c>
      <c r="DE428" s="11">
        <v>35120.0</v>
      </c>
      <c r="DF428" s="11">
        <v>303320.0</v>
      </c>
      <c r="DG428" s="11">
        <v>146400.0</v>
      </c>
      <c r="DH428" s="11">
        <v>94620.0</v>
      </c>
      <c r="DI428" s="11">
        <v>47140.0</v>
      </c>
      <c r="DJ428" s="11">
        <v>33220.0</v>
      </c>
      <c r="DK428" s="11">
        <v>6480.0</v>
      </c>
      <c r="DL428" s="11">
        <v>8650.0</v>
      </c>
      <c r="DM428" s="11">
        <v>10540.0</v>
      </c>
      <c r="DN428" s="11">
        <v>1440.0</v>
      </c>
      <c r="DO428" s="12"/>
      <c r="DP428" s="11">
        <v>210660.0</v>
      </c>
      <c r="DQ428" s="11">
        <v>67860.0</v>
      </c>
      <c r="DR428" s="11">
        <v>28000.0</v>
      </c>
      <c r="DS428" s="11">
        <v>3380.0</v>
      </c>
      <c r="DT428" s="11">
        <v>4300.0</v>
      </c>
      <c r="DU428" s="13"/>
      <c r="DV428" s="12"/>
      <c r="DW428" s="12"/>
      <c r="DX428" s="12"/>
      <c r="DY428" s="12"/>
      <c r="DZ428" s="11">
        <v>178270.0</v>
      </c>
      <c r="EA428" s="11">
        <v>160350.0</v>
      </c>
      <c r="EB428" s="11">
        <v>136070.0</v>
      </c>
      <c r="EC428" s="11">
        <v>111180.0</v>
      </c>
      <c r="ED428" s="11">
        <v>88810.0</v>
      </c>
      <c r="EE428" s="14">
        <v>0.029</v>
      </c>
      <c r="EF428" s="14">
        <v>0.023</v>
      </c>
      <c r="EG428" s="14">
        <v>-0.119</v>
      </c>
      <c r="EH428" s="14">
        <v>0.173</v>
      </c>
    </row>
    <row r="429">
      <c r="A429" s="9">
        <f t="shared" si="2"/>
        <v>427</v>
      </c>
      <c r="B429" s="32" t="s">
        <v>563</v>
      </c>
      <c r="C429" s="11">
        <v>2.591E7</v>
      </c>
      <c r="D429" s="11">
        <v>2.518E7</v>
      </c>
      <c r="E429" s="11">
        <v>2.361E7</v>
      </c>
      <c r="F429" s="11">
        <v>2.282E7</v>
      </c>
      <c r="G429" s="11">
        <v>2.225E7</v>
      </c>
      <c r="H429" s="11">
        <v>2.072E7</v>
      </c>
      <c r="I429" s="11">
        <v>1.55E7</v>
      </c>
      <c r="J429" s="11">
        <v>6990000.0</v>
      </c>
      <c r="K429" s="11">
        <v>6880000.0</v>
      </c>
      <c r="L429" s="11">
        <v>6950000.0</v>
      </c>
      <c r="M429" s="11">
        <v>6320000.0</v>
      </c>
      <c r="N429" s="11">
        <v>4610000.0</v>
      </c>
      <c r="O429" s="11">
        <v>5390000.0</v>
      </c>
      <c r="P429" s="11">
        <v>5080000.0</v>
      </c>
      <c r="Q429" s="11">
        <v>4930000.0</v>
      </c>
      <c r="R429" s="11">
        <v>4610000.0</v>
      </c>
      <c r="S429" s="11">
        <v>3520000.0</v>
      </c>
      <c r="T429" s="11"/>
      <c r="U429" s="11"/>
      <c r="V429" s="11"/>
      <c r="W429" s="11"/>
      <c r="X429" s="11"/>
      <c r="Y429" s="11">
        <v>1260000.0</v>
      </c>
      <c r="Z429" s="11">
        <v>-933500.0</v>
      </c>
      <c r="AA429" s="11">
        <v>2000000.0</v>
      </c>
      <c r="AB429" s="11">
        <v>1700000.0</v>
      </c>
      <c r="AC429" s="11">
        <v>874400.0</v>
      </c>
      <c r="AD429" s="11">
        <v>1100000.0</v>
      </c>
      <c r="AE429" s="11">
        <v>-1310000.0</v>
      </c>
      <c r="AF429" s="11">
        <v>1700000.0</v>
      </c>
      <c r="AG429" s="11">
        <v>1330000.0</v>
      </c>
      <c r="AH429" s="11">
        <v>448200.0</v>
      </c>
      <c r="AI429" s="11">
        <v>2240000.0</v>
      </c>
      <c r="AJ429" s="11">
        <v>2430000.0</v>
      </c>
      <c r="AK429" s="11">
        <v>2630000.0</v>
      </c>
      <c r="AL429" s="11">
        <v>2350000.0</v>
      </c>
      <c r="AM429" s="11">
        <v>1580000.0</v>
      </c>
      <c r="AN429" s="11">
        <v>827000.0</v>
      </c>
      <c r="AO429" s="11">
        <v>-1590000.0</v>
      </c>
      <c r="AP429" s="11">
        <v>1710000.0</v>
      </c>
      <c r="AQ429" s="11">
        <v>896200.0</v>
      </c>
      <c r="AR429" s="11">
        <v>282400.0</v>
      </c>
      <c r="AS429" s="11">
        <v>1870000.0</v>
      </c>
      <c r="AT429" s="11">
        <v>1770000.0</v>
      </c>
      <c r="AU429" s="11">
        <v>1510000.0</v>
      </c>
      <c r="AV429" s="11">
        <v>1670000.0</v>
      </c>
      <c r="AW429" s="11">
        <v>780900.0</v>
      </c>
      <c r="AX429" s="11">
        <v>-1040000.0</v>
      </c>
      <c r="AY429" s="11">
        <v>-817100.0</v>
      </c>
      <c r="AZ429" s="11">
        <v>-632200.0</v>
      </c>
      <c r="BA429" s="11">
        <v>-565600.0</v>
      </c>
      <c r="BB429" s="11">
        <v>-480500.0</v>
      </c>
      <c r="BC429" s="12"/>
      <c r="BD429" s="12"/>
      <c r="BE429" s="12"/>
      <c r="BF429" s="12"/>
      <c r="BG429" s="12"/>
      <c r="BH429" s="11">
        <v>539200.0</v>
      </c>
      <c r="BI429" s="11">
        <v>422100.0</v>
      </c>
      <c r="BJ429" s="11">
        <v>1100000.0</v>
      </c>
      <c r="BK429" s="11">
        <v>870400.0</v>
      </c>
      <c r="BL429" s="11">
        <v>740100.0</v>
      </c>
      <c r="BM429" s="11">
        <v>113300.0</v>
      </c>
      <c r="BN429" s="11">
        <v>100900.0</v>
      </c>
      <c r="BO429" s="11">
        <v>90400.0</v>
      </c>
      <c r="BP429" s="11">
        <v>137900.0</v>
      </c>
      <c r="BQ429" s="11">
        <v>154700.0</v>
      </c>
      <c r="BR429" s="11">
        <v>3520000.0</v>
      </c>
      <c r="BS429" s="11">
        <v>3540000.0</v>
      </c>
      <c r="BT429" s="11">
        <v>3170000.0</v>
      </c>
      <c r="BU429" s="11">
        <v>2870000.0</v>
      </c>
      <c r="BV429" s="11">
        <v>2890000.0</v>
      </c>
      <c r="BW429" s="11">
        <v>4270000.0</v>
      </c>
      <c r="BX429" s="11">
        <v>4290000.0</v>
      </c>
      <c r="BY429" s="11">
        <v>4580000.0</v>
      </c>
      <c r="BZ429" s="11">
        <v>3940000.0</v>
      </c>
      <c r="CA429" s="11">
        <v>3940000.0</v>
      </c>
      <c r="CB429" s="11">
        <v>1.011E7</v>
      </c>
      <c r="CC429" s="11">
        <v>3450000.0</v>
      </c>
      <c r="CD429" s="11">
        <v>3200000.0</v>
      </c>
      <c r="CE429" s="11">
        <v>3120000.0</v>
      </c>
      <c r="CF429" s="11">
        <v>3130000.0</v>
      </c>
      <c r="CG429" s="11">
        <v>1980000.0</v>
      </c>
      <c r="CH429" s="11">
        <v>2300000.0</v>
      </c>
      <c r="CI429" s="11">
        <v>5030000.0</v>
      </c>
      <c r="CJ429" s="11">
        <v>5020000.0</v>
      </c>
      <c r="CK429" s="11">
        <v>5020000.0</v>
      </c>
      <c r="CL429" s="11">
        <v>1.957E7</v>
      </c>
      <c r="CM429" s="11">
        <v>1.367E7</v>
      </c>
      <c r="CN429" s="11">
        <v>1.648E7</v>
      </c>
      <c r="CO429" s="11">
        <v>1.595E7</v>
      </c>
      <c r="CP429" s="11">
        <v>1.61E7</v>
      </c>
      <c r="CQ429" s="11">
        <v>1340000.0</v>
      </c>
      <c r="CR429" s="11">
        <v>1420000.0</v>
      </c>
      <c r="CS429" s="11">
        <v>1170000.0</v>
      </c>
      <c r="CT429" s="11">
        <v>1120000.0</v>
      </c>
      <c r="CU429" s="11">
        <v>1250000.0</v>
      </c>
      <c r="CV429" s="11">
        <v>3550000.0</v>
      </c>
      <c r="CW429" s="11">
        <v>1280000.0</v>
      </c>
      <c r="CX429" s="12"/>
      <c r="CY429" s="12"/>
      <c r="CZ429" s="12"/>
      <c r="DA429" s="12"/>
      <c r="DB429" s="11">
        <v>3550000.0</v>
      </c>
      <c r="DC429" s="11">
        <v>2100000.0</v>
      </c>
      <c r="DD429" s="11">
        <v>2860000.0</v>
      </c>
      <c r="DE429" s="11">
        <v>2110000.0</v>
      </c>
      <c r="DF429" s="11">
        <v>1.332E7</v>
      </c>
      <c r="DG429" s="11">
        <v>8020000.0</v>
      </c>
      <c r="DH429" s="11">
        <v>9290000.0</v>
      </c>
      <c r="DI429" s="11">
        <v>1.056E7</v>
      </c>
      <c r="DJ429" s="11">
        <v>1.17E7</v>
      </c>
      <c r="DK429" s="11">
        <v>46800.0</v>
      </c>
      <c r="DL429" s="11">
        <v>24600.0</v>
      </c>
      <c r="DM429" s="11"/>
      <c r="DN429" s="11"/>
      <c r="DO429" s="11">
        <v>82000.0</v>
      </c>
      <c r="DP429" s="11">
        <v>8500000.0</v>
      </c>
      <c r="DQ429" s="11">
        <v>4270000.0</v>
      </c>
      <c r="DR429" s="11">
        <v>4760000.0</v>
      </c>
      <c r="DS429" s="11">
        <v>6170000.0</v>
      </c>
      <c r="DT429" s="11">
        <v>7240000.0</v>
      </c>
      <c r="DU429" s="13"/>
      <c r="DV429" s="12"/>
      <c r="DW429" s="12"/>
      <c r="DX429" s="12"/>
      <c r="DY429" s="12"/>
      <c r="DZ429" s="11">
        <v>6250000.0</v>
      </c>
      <c r="EA429" s="11">
        <v>5640000.0</v>
      </c>
      <c r="EB429" s="11">
        <v>7180000.0</v>
      </c>
      <c r="EC429" s="11">
        <v>5390000.0</v>
      </c>
      <c r="ED429" s="11">
        <v>4410000.0</v>
      </c>
      <c r="EE429" s="14">
        <v>0.026</v>
      </c>
      <c r="EF429" s="14">
        <v>0.054</v>
      </c>
      <c r="EG429" s="14">
        <v>0.224</v>
      </c>
      <c r="EH429" s="14">
        <v>0.035</v>
      </c>
    </row>
    <row r="430">
      <c r="A430" s="9">
        <f t="shared" si="2"/>
        <v>428</v>
      </c>
      <c r="B430" s="10" t="s">
        <v>564</v>
      </c>
      <c r="C430" s="15">
        <v>1360000.0</v>
      </c>
      <c r="D430" s="15">
        <v>1260000.0</v>
      </c>
      <c r="E430" s="15">
        <v>1370000.0</v>
      </c>
      <c r="F430" s="15">
        <v>1320000.0</v>
      </c>
      <c r="G430" s="15">
        <v>1280000.0</v>
      </c>
      <c r="H430" s="15">
        <v>828890.0</v>
      </c>
      <c r="I430" s="15">
        <v>810930.0</v>
      </c>
      <c r="J430" s="15">
        <v>671570.0</v>
      </c>
      <c r="K430" s="15">
        <v>647040.0</v>
      </c>
      <c r="L430" s="15">
        <v>620660.0</v>
      </c>
      <c r="M430" s="15">
        <v>637740.0</v>
      </c>
      <c r="N430" s="15">
        <v>604300.0</v>
      </c>
      <c r="O430" s="15">
        <v>238680.0</v>
      </c>
      <c r="P430" s="15">
        <v>246790.0</v>
      </c>
      <c r="Q430" s="15">
        <v>243830.0</v>
      </c>
      <c r="R430" s="15">
        <v>246810.0</v>
      </c>
      <c r="S430" s="15">
        <v>246600.0</v>
      </c>
      <c r="T430" s="15"/>
      <c r="U430" s="15"/>
      <c r="V430" s="15"/>
      <c r="W430" s="15"/>
      <c r="X430" s="15"/>
      <c r="Y430" s="15">
        <v>419190.0</v>
      </c>
      <c r="Z430" s="15">
        <v>398860.0</v>
      </c>
      <c r="AA430" s="15">
        <v>-8680.0</v>
      </c>
      <c r="AB430" s="15">
        <v>-149.0</v>
      </c>
      <c r="AC430" s="15">
        <v>285030.0</v>
      </c>
      <c r="AD430" s="15">
        <v>319260.0</v>
      </c>
      <c r="AE430" s="15">
        <v>289200.0</v>
      </c>
      <c r="AF430" s="15">
        <v>283330.0</v>
      </c>
      <c r="AG430" s="15">
        <v>313250.0</v>
      </c>
      <c r="AH430" s="15">
        <v>201590.0</v>
      </c>
      <c r="AI430" s="15">
        <v>475270.0</v>
      </c>
      <c r="AJ430" s="15">
        <v>445280.0</v>
      </c>
      <c r="AK430" s="15">
        <v>422070.0</v>
      </c>
      <c r="AL430" s="15">
        <v>433470.0</v>
      </c>
      <c r="AM430" s="15">
        <v>402950.0</v>
      </c>
      <c r="AN430" s="15">
        <v>242020.0</v>
      </c>
      <c r="AO430" s="15">
        <v>229910.0</v>
      </c>
      <c r="AP430" s="15">
        <v>271210.0</v>
      </c>
      <c r="AQ430" s="15">
        <v>195580.0</v>
      </c>
      <c r="AR430" s="15">
        <v>105230.0</v>
      </c>
      <c r="AS430" s="15">
        <v>297730.0</v>
      </c>
      <c r="AT430" s="15">
        <v>268960.0</v>
      </c>
      <c r="AU430" s="15">
        <v>283360.0</v>
      </c>
      <c r="AV430" s="15">
        <v>276830.0</v>
      </c>
      <c r="AW430" s="15">
        <v>251240.0</v>
      </c>
      <c r="AX430" s="15">
        <v>-36760.0</v>
      </c>
      <c r="AY430" s="15">
        <v>-51860.0</v>
      </c>
      <c r="AZ430" s="15">
        <v>-21060.0</v>
      </c>
      <c r="BA430" s="15">
        <v>-15170.0</v>
      </c>
      <c r="BB430" s="15">
        <v>-30250.0</v>
      </c>
      <c r="BC430" s="15">
        <v>-124090.0</v>
      </c>
      <c r="BD430" s="15">
        <v>-114830.0</v>
      </c>
      <c r="BE430" s="15">
        <v>-117000.0</v>
      </c>
      <c r="BF430" s="15">
        <v>-109700.0</v>
      </c>
      <c r="BG430" s="15">
        <v>-100520.0</v>
      </c>
      <c r="BH430" s="15">
        <v>706800.0</v>
      </c>
      <c r="BI430" s="15">
        <v>596600.0</v>
      </c>
      <c r="BJ430" s="15">
        <v>1110000.0</v>
      </c>
      <c r="BK430" s="15">
        <v>431170.0</v>
      </c>
      <c r="BL430" s="15">
        <v>332350.0</v>
      </c>
      <c r="BM430" s="15">
        <v>133190.0</v>
      </c>
      <c r="BN430" s="15">
        <v>140380.0</v>
      </c>
      <c r="BO430" s="15">
        <v>121850.0</v>
      </c>
      <c r="BP430" s="15">
        <v>85180.0</v>
      </c>
      <c r="BQ430" s="15">
        <v>128360.0</v>
      </c>
      <c r="BR430" s="15"/>
      <c r="BS430" s="15"/>
      <c r="BT430" s="15"/>
      <c r="BU430" s="15"/>
      <c r="BV430" s="15"/>
      <c r="BW430" s="15">
        <v>897000.0</v>
      </c>
      <c r="BX430" s="15">
        <v>798470.0</v>
      </c>
      <c r="BY430" s="15">
        <v>1290000.0</v>
      </c>
      <c r="BZ430" s="15">
        <v>606360.0</v>
      </c>
      <c r="CA430" s="15">
        <v>557820.0</v>
      </c>
      <c r="CB430" s="15">
        <v>594380.0</v>
      </c>
      <c r="CC430" s="15">
        <v>209200.0</v>
      </c>
      <c r="CD430" s="15">
        <v>181540.0</v>
      </c>
      <c r="CE430" s="15">
        <v>176660.0</v>
      </c>
      <c r="CF430" s="15">
        <v>182610.0</v>
      </c>
      <c r="CG430" s="15">
        <v>888290.0</v>
      </c>
      <c r="CH430" s="15">
        <v>888270.0</v>
      </c>
      <c r="CI430" s="15">
        <v>888310.0</v>
      </c>
      <c r="CJ430" s="15">
        <v>888270.0</v>
      </c>
      <c r="CK430" s="15">
        <v>889590.0</v>
      </c>
      <c r="CL430" s="15">
        <v>3920000.0</v>
      </c>
      <c r="CM430" s="15">
        <v>3460000.0</v>
      </c>
      <c r="CN430" s="15">
        <v>3940000.0</v>
      </c>
      <c r="CO430" s="15">
        <v>3230000.0</v>
      </c>
      <c r="CP430" s="15">
        <v>3200000.0</v>
      </c>
      <c r="CQ430" s="15">
        <v>89410.0</v>
      </c>
      <c r="CR430" s="15">
        <v>80040.0</v>
      </c>
      <c r="CS430" s="15">
        <v>53420.0</v>
      </c>
      <c r="CT430" s="15">
        <v>12680.0</v>
      </c>
      <c r="CU430" s="15">
        <v>18660.0</v>
      </c>
      <c r="CV430" s="15">
        <v>582430.0</v>
      </c>
      <c r="CW430" s="15">
        <v>35860.0</v>
      </c>
      <c r="CX430" s="15"/>
      <c r="CY430" s="15"/>
      <c r="CZ430" s="15"/>
      <c r="DA430" s="15"/>
      <c r="DB430" s="15">
        <v>582430.0</v>
      </c>
      <c r="DC430" s="15">
        <v>539580.0</v>
      </c>
      <c r="DD430" s="15">
        <v>485500.0</v>
      </c>
      <c r="DE430" s="15">
        <v>424200.0</v>
      </c>
      <c r="DF430" s="15">
        <v>4510000.0</v>
      </c>
      <c r="DG430" s="15">
        <v>4170000.0</v>
      </c>
      <c r="DH430" s="15">
        <v>4190000.0</v>
      </c>
      <c r="DI430" s="15">
        <v>3390000.0</v>
      </c>
      <c r="DJ430" s="15">
        <v>3420000.0</v>
      </c>
      <c r="DK430" s="15">
        <v>155990.0</v>
      </c>
      <c r="DL430" s="15">
        <v>148110.0</v>
      </c>
      <c r="DM430" s="15">
        <v>142350.0</v>
      </c>
      <c r="DN430" s="15">
        <v>115400.0</v>
      </c>
      <c r="DO430" s="15">
        <v>106880.0</v>
      </c>
      <c r="DP430" s="15">
        <v>3390000.0</v>
      </c>
      <c r="DQ430" s="15">
        <v>3020000.0</v>
      </c>
      <c r="DR430" s="15">
        <v>3040000.0</v>
      </c>
      <c r="DS430" s="15">
        <v>2410000.0</v>
      </c>
      <c r="DT430" s="15">
        <v>2430000.0</v>
      </c>
      <c r="DU430" s="13"/>
      <c r="DV430" s="12"/>
      <c r="DW430" s="12"/>
      <c r="DX430" s="15"/>
      <c r="DY430" s="13"/>
      <c r="DZ430" s="15">
        <v>-588010.0</v>
      </c>
      <c r="EA430" s="15">
        <v>-712800.0</v>
      </c>
      <c r="EB430" s="15">
        <v>-254540.0</v>
      </c>
      <c r="EC430" s="15">
        <v>-163260.0</v>
      </c>
      <c r="ED430" s="15">
        <v>-220950.0</v>
      </c>
      <c r="EE430" s="17">
        <v>0.222</v>
      </c>
      <c r="EF430" s="17">
        <v>0.154</v>
      </c>
      <c r="EG430" s="17">
        <v>0.021</v>
      </c>
      <c r="EH430" s="17">
        <v>0.068</v>
      </c>
    </row>
    <row r="431">
      <c r="A431" s="9">
        <f t="shared" si="2"/>
        <v>429</v>
      </c>
      <c r="B431" s="22" t="s">
        <v>565</v>
      </c>
      <c r="C431" s="11">
        <v>23870.0</v>
      </c>
      <c r="D431" s="11">
        <v>131890.0</v>
      </c>
      <c r="E431" s="11">
        <v>26680.0</v>
      </c>
      <c r="F431" s="11">
        <v>129160.0</v>
      </c>
      <c r="G431" s="12"/>
      <c r="H431" s="12"/>
      <c r="I431" s="12"/>
      <c r="J431" s="12"/>
      <c r="K431" s="12"/>
      <c r="L431" s="11">
        <v>-3080.0</v>
      </c>
      <c r="M431" s="11">
        <v>-1470.0</v>
      </c>
      <c r="N431" s="11">
        <v>-121.0</v>
      </c>
      <c r="O431" s="11">
        <v>230370.0</v>
      </c>
      <c r="P431" s="11">
        <v>160220.0</v>
      </c>
      <c r="Q431" s="11">
        <v>87060.0</v>
      </c>
      <c r="R431" s="11">
        <v>85960.0</v>
      </c>
      <c r="S431" s="11">
        <v>16560.0</v>
      </c>
      <c r="T431" s="11">
        <v>191880.0</v>
      </c>
      <c r="U431" s="11">
        <v>135280.0</v>
      </c>
      <c r="V431" s="11">
        <v>71380.0</v>
      </c>
      <c r="W431" s="11">
        <v>74230.0</v>
      </c>
      <c r="X431" s="11">
        <v>11450.0</v>
      </c>
      <c r="Y431" s="11">
        <v>-212980.0</v>
      </c>
      <c r="Z431" s="11">
        <v>-46570.0</v>
      </c>
      <c r="AA431" s="12"/>
      <c r="AB431" s="12"/>
      <c r="AC431" s="12"/>
      <c r="AD431" s="11">
        <v>-197970.0</v>
      </c>
      <c r="AE431" s="11">
        <v>-36240.0</v>
      </c>
      <c r="AF431" s="11">
        <v>-88190.0</v>
      </c>
      <c r="AG431" s="11">
        <v>-86650.0</v>
      </c>
      <c r="AH431" s="11">
        <v>-16790.0</v>
      </c>
      <c r="AI431" s="11">
        <v>-203690.0</v>
      </c>
      <c r="AJ431" s="11">
        <v>-31060.0</v>
      </c>
      <c r="AK431" s="11">
        <v>-87060.0</v>
      </c>
      <c r="AL431" s="11">
        <v>-85960.0</v>
      </c>
      <c r="AM431" s="11">
        <v>-16560.0</v>
      </c>
      <c r="AN431" s="11">
        <v>-197610.0</v>
      </c>
      <c r="AO431" s="11">
        <v>-36240.0</v>
      </c>
      <c r="AP431" s="11">
        <v>-88190.0</v>
      </c>
      <c r="AQ431" s="11">
        <v>-86650.0</v>
      </c>
      <c r="AR431" s="11">
        <v>-16790.0</v>
      </c>
      <c r="AS431" s="11">
        <v>-152830.0</v>
      </c>
      <c r="AT431" s="11">
        <v>50120.0</v>
      </c>
      <c r="AU431" s="11">
        <v>-76640.0</v>
      </c>
      <c r="AV431" s="11">
        <v>-71910.0</v>
      </c>
      <c r="AW431" s="11">
        <v>-14970.0</v>
      </c>
      <c r="AX431" s="11">
        <v>-17920.0</v>
      </c>
      <c r="AY431" s="11">
        <v>-3390.0</v>
      </c>
      <c r="AZ431" s="11">
        <v>-2880.0</v>
      </c>
      <c r="BA431" s="11">
        <v>-6130.0</v>
      </c>
      <c r="BB431" s="11">
        <v>-3060.0</v>
      </c>
      <c r="BC431" s="12"/>
      <c r="BD431" s="12"/>
      <c r="BE431" s="12"/>
      <c r="BF431" s="12"/>
      <c r="BG431" s="12"/>
      <c r="BH431" s="11">
        <v>415360.0</v>
      </c>
      <c r="BI431" s="11">
        <v>464300.0</v>
      </c>
      <c r="BJ431" s="11">
        <v>406230.0</v>
      </c>
      <c r="BK431" s="11">
        <v>178330.0</v>
      </c>
      <c r="BL431" s="11">
        <v>30740.0</v>
      </c>
      <c r="BM431" s="12"/>
      <c r="BN431" s="11">
        <v>8550.0</v>
      </c>
      <c r="BO431" s="11">
        <v>464.0</v>
      </c>
      <c r="BP431" s="11">
        <v>438.0</v>
      </c>
      <c r="BQ431" s="12"/>
      <c r="BR431" s="12"/>
      <c r="BS431" s="12"/>
      <c r="BT431" s="12"/>
      <c r="BU431" s="12"/>
      <c r="BV431" s="12"/>
      <c r="BW431" s="11">
        <v>430030.0</v>
      </c>
      <c r="BX431" s="11">
        <v>480840.0</v>
      </c>
      <c r="BY431" s="11">
        <v>409610.0</v>
      </c>
      <c r="BZ431" s="11">
        <v>181960.0</v>
      </c>
      <c r="CA431" s="11">
        <v>33430.0</v>
      </c>
      <c r="CB431" s="11">
        <v>80660.0</v>
      </c>
      <c r="CC431" s="11">
        <v>25160.0</v>
      </c>
      <c r="CD431" s="11">
        <v>14920.0</v>
      </c>
      <c r="CE431" s="11">
        <v>15260.0</v>
      </c>
      <c r="CF431" s="11">
        <v>3170.0</v>
      </c>
      <c r="CG431" s="12"/>
      <c r="CH431" s="12"/>
      <c r="CI431" s="12"/>
      <c r="CJ431" s="12"/>
      <c r="CK431" s="12"/>
      <c r="CL431" s="11">
        <v>553230.0</v>
      </c>
      <c r="CM431" s="11">
        <v>661980.0</v>
      </c>
      <c r="CN431" s="11">
        <v>486720.0</v>
      </c>
      <c r="CO431" s="11">
        <v>271070.0</v>
      </c>
      <c r="CP431" s="11">
        <v>36680.0</v>
      </c>
      <c r="CQ431" s="11">
        <v>2590.0</v>
      </c>
      <c r="CR431" s="11">
        <v>1890.0</v>
      </c>
      <c r="CS431" s="11">
        <v>2720.0</v>
      </c>
      <c r="CT431" s="11">
        <v>1960.0</v>
      </c>
      <c r="CU431" s="11">
        <v>1710.0</v>
      </c>
      <c r="CV431" s="11">
        <v>45340.0</v>
      </c>
      <c r="CW431" s="11">
        <v>3670.0</v>
      </c>
      <c r="CX431" s="12"/>
      <c r="CY431" s="12"/>
      <c r="CZ431" s="12"/>
      <c r="DA431" s="12"/>
      <c r="DB431" s="11">
        <v>45340.0</v>
      </c>
      <c r="DC431" s="11">
        <v>32790.0</v>
      </c>
      <c r="DD431" s="11">
        <v>14160.0</v>
      </c>
      <c r="DE431" s="11">
        <v>9110.0</v>
      </c>
      <c r="DF431" s="11">
        <v>158340.0</v>
      </c>
      <c r="DG431" s="11">
        <v>115140.0</v>
      </c>
      <c r="DH431" s="11">
        <v>20930.0</v>
      </c>
      <c r="DI431" s="11">
        <v>16550.0</v>
      </c>
      <c r="DJ431" s="11">
        <v>4010.0</v>
      </c>
      <c r="DK431" s="11">
        <v>41390.0</v>
      </c>
      <c r="DL431" s="11">
        <v>149380.0</v>
      </c>
      <c r="DM431" s="11">
        <v>61700.0</v>
      </c>
      <c r="DN431" s="11">
        <v>73530.0</v>
      </c>
      <c r="DO431" s="24">
        <v>84.0</v>
      </c>
      <c r="DP431" s="11">
        <v>68870.0</v>
      </c>
      <c r="DQ431" s="12"/>
      <c r="DR431" s="12"/>
      <c r="DS431" s="12"/>
      <c r="DT431" s="12"/>
      <c r="DU431" s="13"/>
      <c r="DV431" s="12"/>
      <c r="DW431" s="12"/>
      <c r="DX431" s="11">
        <v>348670.0</v>
      </c>
      <c r="DY431" s="11">
        <v>48310.0</v>
      </c>
      <c r="DZ431" s="11">
        <v>394890.0</v>
      </c>
      <c r="EA431" s="11">
        <v>546850.0</v>
      </c>
      <c r="EB431" s="11">
        <v>465800.0</v>
      </c>
      <c r="EC431" s="11">
        <v>254520.0</v>
      </c>
      <c r="ED431" s="11">
        <v>32670.0</v>
      </c>
      <c r="EE431" s="23"/>
      <c r="EF431" s="23"/>
      <c r="EG431" s="14">
        <v>0.067</v>
      </c>
      <c r="EH431" s="14">
        <v>0.07</v>
      </c>
    </row>
    <row r="432">
      <c r="A432" s="9">
        <f t="shared" si="2"/>
        <v>430</v>
      </c>
      <c r="B432" s="10" t="s">
        <v>566</v>
      </c>
      <c r="C432" s="12">
        <v>21720.0</v>
      </c>
      <c r="D432" s="12">
        <v>12340.0</v>
      </c>
      <c r="E432" s="12">
        <v>15550.0</v>
      </c>
      <c r="F432" s="12">
        <v>15550.0</v>
      </c>
      <c r="G432" s="12">
        <v>16070.0</v>
      </c>
      <c r="H432" s="12">
        <v>18330.0</v>
      </c>
      <c r="I432" s="12">
        <v>16210.0</v>
      </c>
      <c r="J432" s="12">
        <v>-15610.0</v>
      </c>
      <c r="K432" s="12">
        <v>-16840.0</v>
      </c>
      <c r="L432" s="12">
        <v>-15600.0</v>
      </c>
      <c r="M432" s="12">
        <v>-11210.0</v>
      </c>
      <c r="N432" s="12">
        <v>-16100.0</v>
      </c>
      <c r="O432" s="12">
        <v>7680.0</v>
      </c>
      <c r="P432" s="12">
        <v>7150.0</v>
      </c>
      <c r="Q432" s="12">
        <v>7640.0</v>
      </c>
      <c r="R432" s="12">
        <v>6540.0</v>
      </c>
      <c r="S432" s="12">
        <v>6370.0</v>
      </c>
      <c r="T432" s="12">
        <v>0.0</v>
      </c>
      <c r="U432" s="12">
        <v>0.0</v>
      </c>
      <c r="V432" s="12">
        <v>0.0</v>
      </c>
      <c r="W432" s="12">
        <v>0.0</v>
      </c>
      <c r="X432" s="12">
        <v>0.0</v>
      </c>
      <c r="Y432" s="15">
        <v>-25200.0</v>
      </c>
      <c r="Z432" s="15">
        <v>-35860.0</v>
      </c>
      <c r="AA432" s="15">
        <v>3650.0</v>
      </c>
      <c r="AB432" s="12">
        <v>-18140.0</v>
      </c>
      <c r="AC432" s="12">
        <v>-62770.0</v>
      </c>
      <c r="AD432" s="15">
        <v>-23090.0</v>
      </c>
      <c r="AE432" s="15">
        <v>-38650.0</v>
      </c>
      <c r="AF432" s="15">
        <v>-23910.0</v>
      </c>
      <c r="AG432" s="12">
        <v>-21340.0</v>
      </c>
      <c r="AH432" s="12">
        <v>-83810.0</v>
      </c>
      <c r="AI432" s="15">
        <v>-18810.0</v>
      </c>
      <c r="AJ432" s="15">
        <v>-19190.0</v>
      </c>
      <c r="AK432" s="15">
        <v>-17450.0</v>
      </c>
      <c r="AL432" s="12">
        <v>-12530.0</v>
      </c>
      <c r="AM432" s="12">
        <v>-20790.0</v>
      </c>
      <c r="AN432" s="15">
        <v>-18140.0</v>
      </c>
      <c r="AO432" s="15">
        <v>-30080.0</v>
      </c>
      <c r="AP432" s="15">
        <v>-19450.0</v>
      </c>
      <c r="AQ432" s="12">
        <v>-15500.0</v>
      </c>
      <c r="AR432" s="12">
        <v>-78980.0</v>
      </c>
      <c r="AS432" s="15">
        <v>-18800.0</v>
      </c>
      <c r="AT432" s="15">
        <v>-20950.0</v>
      </c>
      <c r="AU432" s="15">
        <v>16880.0</v>
      </c>
      <c r="AV432" s="12">
        <v>-10770.0</v>
      </c>
      <c r="AW432" s="12">
        <v>-22690.0</v>
      </c>
      <c r="AX432" s="15">
        <v>0.0</v>
      </c>
      <c r="AY432" s="15">
        <v>-1570.0</v>
      </c>
      <c r="AZ432" s="15">
        <v>-1090.0</v>
      </c>
      <c r="BA432" s="12">
        <v>-1680.0</v>
      </c>
      <c r="BB432" s="12">
        <v>-2540.0</v>
      </c>
      <c r="BC432" s="12">
        <v>0.0</v>
      </c>
      <c r="BD432" s="12">
        <v>0.0</v>
      </c>
      <c r="BE432" s="12">
        <v>0.0</v>
      </c>
      <c r="BF432" s="12">
        <v>0.0</v>
      </c>
      <c r="BG432" s="12">
        <v>0.0</v>
      </c>
      <c r="BH432" s="12">
        <v>8190.0</v>
      </c>
      <c r="BI432" s="12">
        <v>23210.0</v>
      </c>
      <c r="BJ432" s="12">
        <v>41440.0</v>
      </c>
      <c r="BK432" s="12">
        <v>15880.0</v>
      </c>
      <c r="BL432" s="12">
        <v>17570.0</v>
      </c>
      <c r="BM432" s="12">
        <v>4020.0</v>
      </c>
      <c r="BN432" s="12">
        <v>4070.0</v>
      </c>
      <c r="BO432" s="12">
        <v>4790.0</v>
      </c>
      <c r="BP432" s="12">
        <v>3220.0</v>
      </c>
      <c r="BQ432" s="12">
        <v>6700.0</v>
      </c>
      <c r="BR432" s="12">
        <v>3350.0</v>
      </c>
      <c r="BS432" s="12">
        <v>3580.0</v>
      </c>
      <c r="BT432" s="12">
        <v>3450.0</v>
      </c>
      <c r="BU432" s="12">
        <v>3190.0</v>
      </c>
      <c r="BV432" s="12">
        <v>3130.0</v>
      </c>
      <c r="BW432" s="12">
        <v>16540.0</v>
      </c>
      <c r="BX432" s="12">
        <v>31710.0</v>
      </c>
      <c r="BY432" s="12">
        <v>50350.0</v>
      </c>
      <c r="BZ432" s="12">
        <v>22950.0</v>
      </c>
      <c r="CA432" s="12">
        <v>28270.0</v>
      </c>
      <c r="CB432" s="12">
        <v>257260.0</v>
      </c>
      <c r="CC432" s="12">
        <v>258290.0</v>
      </c>
      <c r="CD432" s="12">
        <v>249000.0</v>
      </c>
      <c r="CE432" s="12">
        <v>252090.0</v>
      </c>
      <c r="CF432" s="12">
        <v>261500.0</v>
      </c>
      <c r="CG432" s="12">
        <v>0.0</v>
      </c>
      <c r="CH432" s="12">
        <v>0.0</v>
      </c>
      <c r="CI432" s="12">
        <v>0.0</v>
      </c>
      <c r="CJ432" s="12">
        <v>0.0</v>
      </c>
      <c r="CK432" s="12">
        <v>0.0</v>
      </c>
      <c r="CL432" s="12">
        <v>334900.0</v>
      </c>
      <c r="CM432" s="12">
        <v>343480.0</v>
      </c>
      <c r="CN432" s="12">
        <v>355430.0</v>
      </c>
      <c r="CO432" s="12">
        <v>319400.0</v>
      </c>
      <c r="CP432" s="12">
        <v>322280.0</v>
      </c>
      <c r="CQ432" s="12">
        <v>7930.0</v>
      </c>
      <c r="CR432" s="12">
        <v>5550.0</v>
      </c>
      <c r="CS432" s="12">
        <v>5760.0</v>
      </c>
      <c r="CT432" s="12">
        <v>5550.0</v>
      </c>
      <c r="CU432" s="12">
        <v>6350.0</v>
      </c>
      <c r="CV432" s="12">
        <v>14950.0</v>
      </c>
      <c r="CW432" s="12">
        <v>0.0</v>
      </c>
      <c r="CX432" s="12">
        <v>0.0</v>
      </c>
      <c r="CY432" s="12">
        <v>0.0</v>
      </c>
      <c r="CZ432" s="12">
        <v>0.0</v>
      </c>
      <c r="DA432" s="12">
        <v>0.0</v>
      </c>
      <c r="DB432" s="12">
        <v>14950.0</v>
      </c>
      <c r="DC432" s="12">
        <v>12490.0</v>
      </c>
      <c r="DD432" s="12">
        <v>15600.0</v>
      </c>
      <c r="DE432" s="12">
        <v>10510.0</v>
      </c>
      <c r="DF432" s="12">
        <v>124750.0</v>
      </c>
      <c r="DG432" s="12">
        <v>121230.0</v>
      </c>
      <c r="DH432" s="12">
        <v>125670.0</v>
      </c>
      <c r="DI432" s="12">
        <v>87790.0</v>
      </c>
      <c r="DJ432" s="12">
        <v>90220.0</v>
      </c>
      <c r="DK432" s="12">
        <v>24100.0</v>
      </c>
      <c r="DL432" s="12">
        <v>20090.0</v>
      </c>
      <c r="DM432" s="12">
        <v>24850.0</v>
      </c>
      <c r="DN432" s="12">
        <v>14440.0</v>
      </c>
      <c r="DO432" s="12">
        <v>3520.0</v>
      </c>
      <c r="DP432" s="12">
        <v>0.0</v>
      </c>
      <c r="DQ432" s="12">
        <v>0.0</v>
      </c>
      <c r="DR432" s="12">
        <v>0.0</v>
      </c>
      <c r="DS432" s="12">
        <v>0.0</v>
      </c>
      <c r="DT432" s="12">
        <v>0.0</v>
      </c>
      <c r="DU432" s="12">
        <v>0.0</v>
      </c>
      <c r="DV432" s="12">
        <v>0.0</v>
      </c>
      <c r="DW432" s="12">
        <v>0.0</v>
      </c>
      <c r="DX432" s="12">
        <v>0.0</v>
      </c>
      <c r="DY432" s="12">
        <v>0.0</v>
      </c>
      <c r="DZ432" s="15">
        <v>210150.0</v>
      </c>
      <c r="EA432" s="12">
        <v>222250.0</v>
      </c>
      <c r="EB432" s="12">
        <v>229760.0</v>
      </c>
      <c r="EC432" s="12">
        <v>231610.0</v>
      </c>
      <c r="ED432" s="12">
        <v>232060.0</v>
      </c>
      <c r="EE432" s="31">
        <v>0.348</v>
      </c>
      <c r="EF432" s="31">
        <v>1.194</v>
      </c>
      <c r="EG432" s="17" t="s">
        <v>155</v>
      </c>
      <c r="EH432" s="31">
        <v>0.0</v>
      </c>
    </row>
    <row r="433">
      <c r="A433" s="9">
        <f t="shared" si="2"/>
        <v>431</v>
      </c>
      <c r="B433" s="10" t="s">
        <v>567</v>
      </c>
      <c r="C433" s="11">
        <v>462520.0</v>
      </c>
      <c r="D433" s="11">
        <v>435120.0</v>
      </c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3"/>
      <c r="BD433" s="12"/>
      <c r="BE433" s="13"/>
      <c r="BF433" s="13"/>
      <c r="BG433" s="13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3"/>
      <c r="CY433" s="13"/>
      <c r="CZ433" s="13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4">
        <v>0.105</v>
      </c>
      <c r="EF433" s="14">
        <v>0.156</v>
      </c>
      <c r="EG433" s="14">
        <v>0.0</v>
      </c>
      <c r="EH433" s="14">
        <v>0.314</v>
      </c>
    </row>
    <row r="434">
      <c r="A434" s="9">
        <f t="shared" si="2"/>
        <v>432</v>
      </c>
      <c r="B434" s="32" t="s">
        <v>568</v>
      </c>
      <c r="C434" s="11">
        <v>2160000.0</v>
      </c>
      <c r="D434" s="11">
        <v>2040000.0</v>
      </c>
      <c r="E434" s="11">
        <v>2180000.0</v>
      </c>
      <c r="F434" s="11">
        <v>2170000.0</v>
      </c>
      <c r="G434" s="11">
        <v>2030000.0</v>
      </c>
      <c r="H434" s="11">
        <v>1970000.0</v>
      </c>
      <c r="I434" s="11">
        <v>1870000.0</v>
      </c>
      <c r="J434" s="11">
        <v>455770.0</v>
      </c>
      <c r="K434" s="11">
        <v>414020.0</v>
      </c>
      <c r="L434" s="11">
        <v>390110.0</v>
      </c>
      <c r="M434" s="11">
        <v>391620.0</v>
      </c>
      <c r="N434" s="11">
        <v>335050.0</v>
      </c>
      <c r="O434" s="11">
        <v>282260.0</v>
      </c>
      <c r="P434" s="11">
        <v>241440.0</v>
      </c>
      <c r="Q434" s="11">
        <v>229150.0</v>
      </c>
      <c r="R434" s="11">
        <v>240230.0</v>
      </c>
      <c r="S434" s="11">
        <v>226970.0</v>
      </c>
      <c r="T434" s="11">
        <v>7200.0</v>
      </c>
      <c r="U434" s="11">
        <v>7300.0</v>
      </c>
      <c r="V434" s="11">
        <v>7500.0</v>
      </c>
      <c r="W434" s="11">
        <v>6700.0</v>
      </c>
      <c r="X434" s="11">
        <v>6400.0</v>
      </c>
      <c r="Y434" s="11">
        <v>135450.0</v>
      </c>
      <c r="Z434" s="11">
        <v>160300.0</v>
      </c>
      <c r="AA434" s="11">
        <v>-850.0</v>
      </c>
      <c r="AB434" s="11">
        <v>148440.0</v>
      </c>
      <c r="AC434" s="11">
        <v>64910.0</v>
      </c>
      <c r="AD434" s="11">
        <v>66350.0</v>
      </c>
      <c r="AE434" s="11">
        <v>120360.0</v>
      </c>
      <c r="AF434" s="11">
        <v>129420.0</v>
      </c>
      <c r="AG434" s="11">
        <v>126680.0</v>
      </c>
      <c r="AH434" s="11">
        <v>-27570.0</v>
      </c>
      <c r="AI434" s="11">
        <v>273360.0</v>
      </c>
      <c r="AJ434" s="11">
        <v>260260.0</v>
      </c>
      <c r="AK434" s="11">
        <v>242860.0</v>
      </c>
      <c r="AL434" s="11">
        <v>233720.0</v>
      </c>
      <c r="AM434" s="11">
        <v>190960.0</v>
      </c>
      <c r="AN434" s="11">
        <v>44600.0</v>
      </c>
      <c r="AO434" s="11">
        <v>92710.0</v>
      </c>
      <c r="AP434" s="11">
        <v>151740.0</v>
      </c>
      <c r="AQ434" s="11">
        <v>99370.0</v>
      </c>
      <c r="AR434" s="11">
        <v>-46200.0</v>
      </c>
      <c r="AS434" s="11">
        <v>221660.0</v>
      </c>
      <c r="AT434" s="11">
        <v>203230.0</v>
      </c>
      <c r="AU434" s="11">
        <v>173480.0</v>
      </c>
      <c r="AV434" s="11">
        <v>174030.0</v>
      </c>
      <c r="AW434" s="11">
        <v>161010.0</v>
      </c>
      <c r="AX434" s="11">
        <v>-82720.0</v>
      </c>
      <c r="AY434" s="11">
        <v>-82380.0</v>
      </c>
      <c r="AZ434" s="11">
        <v>-73780.0</v>
      </c>
      <c r="BA434" s="11">
        <v>-82290.0</v>
      </c>
      <c r="BB434" s="11">
        <v>-51070.0</v>
      </c>
      <c r="BC434" s="12"/>
      <c r="BD434" s="12"/>
      <c r="BE434" s="12"/>
      <c r="BF434" s="12"/>
      <c r="BG434" s="12"/>
      <c r="BH434" s="11">
        <v>177610.0</v>
      </c>
      <c r="BI434" s="11">
        <v>126140.0</v>
      </c>
      <c r="BJ434" s="11">
        <v>188560.0</v>
      </c>
      <c r="BK434" s="11">
        <v>83910.0</v>
      </c>
      <c r="BL434" s="11">
        <v>101830.0</v>
      </c>
      <c r="BM434" s="11">
        <v>281030.0</v>
      </c>
      <c r="BN434" s="11">
        <v>287080.0</v>
      </c>
      <c r="BO434" s="11">
        <v>271600.0</v>
      </c>
      <c r="BP434" s="11">
        <v>244600.0</v>
      </c>
      <c r="BQ434" s="11">
        <v>226740.0</v>
      </c>
      <c r="BR434" s="11">
        <v>242230.0</v>
      </c>
      <c r="BS434" s="11">
        <v>250410.0</v>
      </c>
      <c r="BT434" s="11">
        <v>234040.0</v>
      </c>
      <c r="BU434" s="11">
        <v>225940.0</v>
      </c>
      <c r="BV434" s="11">
        <v>208390.0</v>
      </c>
      <c r="BW434" s="11">
        <v>734060.0</v>
      </c>
      <c r="BX434" s="11">
        <v>696590.0</v>
      </c>
      <c r="BY434" s="11">
        <v>721870.0</v>
      </c>
      <c r="BZ434" s="11">
        <v>578740.0</v>
      </c>
      <c r="CA434" s="11">
        <v>558950.0</v>
      </c>
      <c r="CB434" s="11">
        <v>746950.0</v>
      </c>
      <c r="CC434" s="11">
        <v>609750.0</v>
      </c>
      <c r="CD434" s="11">
        <v>575490.0</v>
      </c>
      <c r="CE434" s="11">
        <v>542090.0</v>
      </c>
      <c r="CF434" s="11">
        <v>534230.0</v>
      </c>
      <c r="CG434" s="11">
        <v>184190.0</v>
      </c>
      <c r="CH434" s="11">
        <v>180300.0</v>
      </c>
      <c r="CI434" s="11">
        <v>138450.0</v>
      </c>
      <c r="CJ434" s="11">
        <v>129290.0</v>
      </c>
      <c r="CK434" s="11">
        <v>128170.0</v>
      </c>
      <c r="CL434" s="11">
        <v>1940000.0</v>
      </c>
      <c r="CM434" s="11">
        <v>1780000.0</v>
      </c>
      <c r="CN434" s="11">
        <v>1680000.0</v>
      </c>
      <c r="CO434" s="11">
        <v>1480000.0</v>
      </c>
      <c r="CP434" s="11">
        <v>1500000.0</v>
      </c>
      <c r="CQ434" s="11">
        <v>84910.0</v>
      </c>
      <c r="CR434" s="11">
        <v>96360.0</v>
      </c>
      <c r="CS434" s="11">
        <v>94500.0</v>
      </c>
      <c r="CT434" s="11">
        <v>96180.0</v>
      </c>
      <c r="CU434" s="11">
        <v>96480.0</v>
      </c>
      <c r="CV434" s="11">
        <v>267670.0</v>
      </c>
      <c r="CW434" s="11">
        <v>20980.0</v>
      </c>
      <c r="CX434" s="12"/>
      <c r="CY434" s="12"/>
      <c r="CZ434" s="12"/>
      <c r="DA434" s="12"/>
      <c r="DB434" s="11">
        <v>267670.0</v>
      </c>
      <c r="DC434" s="11">
        <v>245310.0</v>
      </c>
      <c r="DD434" s="11">
        <v>222130.0</v>
      </c>
      <c r="DE434" s="11">
        <v>231180.0</v>
      </c>
      <c r="DF434" s="11">
        <v>1300000.0</v>
      </c>
      <c r="DG434" s="11">
        <v>1160000.0</v>
      </c>
      <c r="DH434" s="11">
        <v>944360.0</v>
      </c>
      <c r="DI434" s="11">
        <v>816090.0</v>
      </c>
      <c r="DJ434" s="11">
        <v>843580.0</v>
      </c>
      <c r="DK434" s="11">
        <v>16100.0</v>
      </c>
      <c r="DL434" s="11">
        <v>13470.0</v>
      </c>
      <c r="DM434" s="11">
        <v>11310.0</v>
      </c>
      <c r="DN434" s="11">
        <v>9300.0</v>
      </c>
      <c r="DO434" s="11">
        <v>18810.0</v>
      </c>
      <c r="DP434" s="11">
        <v>928340.0</v>
      </c>
      <c r="DQ434" s="11">
        <v>796400.0</v>
      </c>
      <c r="DR434" s="11">
        <v>625660.0</v>
      </c>
      <c r="DS434" s="11">
        <v>470750.0</v>
      </c>
      <c r="DT434" s="11">
        <v>468860.0</v>
      </c>
      <c r="DU434" s="12"/>
      <c r="DV434" s="12"/>
      <c r="DW434" s="12"/>
      <c r="DX434" s="12"/>
      <c r="DY434" s="12"/>
      <c r="DZ434" s="11">
        <v>624880.0</v>
      </c>
      <c r="EA434" s="11">
        <v>610440.0</v>
      </c>
      <c r="EB434" s="11">
        <v>722630.0</v>
      </c>
      <c r="EC434" s="11">
        <v>646880.0</v>
      </c>
      <c r="ED434" s="11">
        <v>642390.0</v>
      </c>
      <c r="EE434" s="33">
        <v>0.039</v>
      </c>
      <c r="EF434" s="33">
        <v>0.069</v>
      </c>
      <c r="EG434" s="33">
        <v>1.0</v>
      </c>
      <c r="EH434" s="33">
        <v>0.313</v>
      </c>
    </row>
    <row r="435">
      <c r="A435" s="9">
        <f t="shared" si="2"/>
        <v>433</v>
      </c>
      <c r="B435" s="10" t="s">
        <v>569</v>
      </c>
      <c r="C435" s="15">
        <v>4260000.0</v>
      </c>
      <c r="D435" s="15">
        <v>4060000.0</v>
      </c>
      <c r="E435" s="15">
        <v>3620000.0</v>
      </c>
      <c r="F435" s="15">
        <v>3430000.0</v>
      </c>
      <c r="G435" s="15">
        <v>2790000.0</v>
      </c>
      <c r="H435" s="15">
        <v>2470000.0</v>
      </c>
      <c r="I435" s="15">
        <v>2220000.0</v>
      </c>
      <c r="J435" s="15">
        <v>1400000.0</v>
      </c>
      <c r="K435" s="15">
        <v>1300000.0</v>
      </c>
      <c r="L435" s="15">
        <v>865990.0</v>
      </c>
      <c r="M435" s="15">
        <v>767690.0</v>
      </c>
      <c r="N435" s="15">
        <v>683130.0</v>
      </c>
      <c r="O435" s="15">
        <v>381990.0</v>
      </c>
      <c r="P435" s="15">
        <v>378360.0</v>
      </c>
      <c r="Q435" s="15">
        <v>344760.0</v>
      </c>
      <c r="R435" s="15">
        <v>313650.0</v>
      </c>
      <c r="S435" s="15">
        <v>277490.0</v>
      </c>
      <c r="T435" s="15"/>
      <c r="U435" s="15"/>
      <c r="V435" s="15"/>
      <c r="W435" s="15"/>
      <c r="X435" s="15"/>
      <c r="Y435" s="12"/>
      <c r="Z435" s="12"/>
      <c r="AA435" s="12"/>
      <c r="AB435" s="15"/>
      <c r="AC435" s="15">
        <v>397640.0</v>
      </c>
      <c r="AD435" s="15">
        <v>482640.0</v>
      </c>
      <c r="AE435" s="15">
        <v>428680.0</v>
      </c>
      <c r="AF435" s="15">
        <v>400150.0</v>
      </c>
      <c r="AG435" s="15">
        <v>344660.0</v>
      </c>
      <c r="AH435" s="15">
        <v>306220.0</v>
      </c>
      <c r="AI435" s="15">
        <v>689640.0</v>
      </c>
      <c r="AJ435" s="15">
        <v>619450.0</v>
      </c>
      <c r="AK435" s="15">
        <v>565600.0</v>
      </c>
      <c r="AL435" s="15">
        <v>492180.0</v>
      </c>
      <c r="AM435" s="15">
        <v>438070.0</v>
      </c>
      <c r="AN435" s="15">
        <v>400710.0</v>
      </c>
      <c r="AO435" s="15">
        <v>361970.0</v>
      </c>
      <c r="AP435" s="15">
        <v>277910.0</v>
      </c>
      <c r="AQ435" s="15">
        <v>214680.0</v>
      </c>
      <c r="AR435" s="15">
        <v>192790.0</v>
      </c>
      <c r="AS435" s="15">
        <v>496950.0</v>
      </c>
      <c r="AT435" s="15">
        <v>394170.0</v>
      </c>
      <c r="AU435" s="15">
        <v>339040.0</v>
      </c>
      <c r="AV435" s="15">
        <v>287270.0</v>
      </c>
      <c r="AW435" s="15">
        <v>291790.0</v>
      </c>
      <c r="AX435" s="15">
        <v>-88990.0</v>
      </c>
      <c r="AY435" s="15">
        <v>-119890.0</v>
      </c>
      <c r="AZ435" s="15">
        <v>-90010.0</v>
      </c>
      <c r="BA435" s="15">
        <v>-58560.0</v>
      </c>
      <c r="BB435" s="15">
        <v>-63280.0</v>
      </c>
      <c r="BC435" s="15">
        <v>-105720.0</v>
      </c>
      <c r="BD435" s="15">
        <v>-92170.0</v>
      </c>
      <c r="BE435" s="15">
        <v>-84300.0</v>
      </c>
      <c r="BF435" s="15">
        <v>-73930.0</v>
      </c>
      <c r="BG435" s="15">
        <v>-80330.0</v>
      </c>
      <c r="BH435" s="15">
        <v>483920.0</v>
      </c>
      <c r="BI435" s="15">
        <v>237420.0</v>
      </c>
      <c r="BJ435" s="15">
        <v>227530.0</v>
      </c>
      <c r="BK435" s="15">
        <v>169310.0</v>
      </c>
      <c r="BL435" s="15">
        <v>314390.0</v>
      </c>
      <c r="BM435" s="15">
        <v>210260.0</v>
      </c>
      <c r="BN435" s="15">
        <v>190090.0</v>
      </c>
      <c r="BO435" s="15">
        <v>173680.0</v>
      </c>
      <c r="BP435" s="15">
        <v>150370.0</v>
      </c>
      <c r="BQ435" s="15">
        <v>131580.0</v>
      </c>
      <c r="BR435" s="15">
        <v>52960.0</v>
      </c>
      <c r="BS435" s="15">
        <v>45980.0</v>
      </c>
      <c r="BT435" s="15">
        <v>39960.0</v>
      </c>
      <c r="BU435" s="15">
        <v>40180.0</v>
      </c>
      <c r="BV435" s="15">
        <v>36860.0</v>
      </c>
      <c r="BW435" s="15">
        <v>787620.0</v>
      </c>
      <c r="BX435" s="15">
        <v>566950.0</v>
      </c>
      <c r="BY435" s="15">
        <v>579780.0</v>
      </c>
      <c r="BZ435" s="15">
        <v>495870.0</v>
      </c>
      <c r="CA435" s="15">
        <v>602640.0</v>
      </c>
      <c r="CB435" s="15">
        <v>471670.0</v>
      </c>
      <c r="CC435" s="15">
        <v>234940.0</v>
      </c>
      <c r="CD435" s="15">
        <v>169590.0</v>
      </c>
      <c r="CE435" s="15">
        <v>138530.0</v>
      </c>
      <c r="CF435" s="15">
        <v>131890.0</v>
      </c>
      <c r="CG435" s="15">
        <v>15090.0</v>
      </c>
      <c r="CH435" s="15">
        <v>14920.0</v>
      </c>
      <c r="CI435" s="15">
        <v>15420.0</v>
      </c>
      <c r="CJ435" s="15">
        <v>16060.0</v>
      </c>
      <c r="CK435" s="15">
        <v>16100.0</v>
      </c>
      <c r="CL435" s="15">
        <v>1420000.0</v>
      </c>
      <c r="CM435" s="15">
        <v>943080.0</v>
      </c>
      <c r="CN435" s="15">
        <v>836750.0</v>
      </c>
      <c r="CO435" s="15">
        <v>716300.0</v>
      </c>
      <c r="CP435" s="15">
        <v>799850.0</v>
      </c>
      <c r="CQ435" s="15">
        <v>111100.0</v>
      </c>
      <c r="CR435" s="15">
        <v>92550.0</v>
      </c>
      <c r="CS435" s="15">
        <v>106890.0</v>
      </c>
      <c r="CT435" s="15">
        <v>111510.0</v>
      </c>
      <c r="CU435" s="15">
        <v>106930.0</v>
      </c>
      <c r="CV435" s="15">
        <v>453830.0</v>
      </c>
      <c r="CW435" s="15">
        <v>33320.0</v>
      </c>
      <c r="CX435" s="13"/>
      <c r="CY435" s="13"/>
      <c r="CZ435" s="13"/>
      <c r="DA435" s="12"/>
      <c r="DB435" s="15">
        <v>453830.0</v>
      </c>
      <c r="DC435" s="15">
        <v>379740.0</v>
      </c>
      <c r="DD435" s="15">
        <v>398290.0</v>
      </c>
      <c r="DE435" s="15">
        <v>403700.0</v>
      </c>
      <c r="DF435" s="15">
        <v>4830000.0</v>
      </c>
      <c r="DG435" s="15">
        <v>3980000.0</v>
      </c>
      <c r="DH435" s="15">
        <v>3570000.0</v>
      </c>
      <c r="DI435" s="15">
        <v>2600000.0</v>
      </c>
      <c r="DJ435" s="15">
        <v>2600000.0</v>
      </c>
      <c r="DK435" s="15">
        <v>11980.0</v>
      </c>
      <c r="DL435" s="15">
        <v>8720.0</v>
      </c>
      <c r="DM435" s="15">
        <v>8120.0</v>
      </c>
      <c r="DN435" s="15">
        <v>7260.0</v>
      </c>
      <c r="DO435" s="15">
        <v>6050.0</v>
      </c>
      <c r="DP435" s="15">
        <v>4270000.0</v>
      </c>
      <c r="DQ435" s="15">
        <v>3500000.0</v>
      </c>
      <c r="DR435" s="15">
        <v>3120000.0</v>
      </c>
      <c r="DS435" s="15">
        <v>2150000.0</v>
      </c>
      <c r="DT435" s="15">
        <v>2180000.0</v>
      </c>
      <c r="DU435" s="13"/>
      <c r="DV435" s="15"/>
      <c r="DW435" s="15"/>
      <c r="DX435" s="13"/>
      <c r="DY435" s="13"/>
      <c r="DZ435" s="15">
        <v>-3420000.0</v>
      </c>
      <c r="EA435" s="15">
        <v>-3040000.0</v>
      </c>
      <c r="EB435" s="15">
        <v>-2740000.0</v>
      </c>
      <c r="EC435" s="15">
        <v>-1880000.0</v>
      </c>
      <c r="ED435" s="15">
        <v>-1800000.0</v>
      </c>
      <c r="EE435" s="17">
        <v>0.062</v>
      </c>
      <c r="EF435" s="17">
        <v>0.113</v>
      </c>
      <c r="EG435" s="17">
        <v>0.335</v>
      </c>
      <c r="EH435" s="17">
        <v>0.175</v>
      </c>
    </row>
    <row r="436">
      <c r="A436" s="9">
        <f t="shared" si="2"/>
        <v>434</v>
      </c>
      <c r="B436" s="25" t="s">
        <v>570</v>
      </c>
      <c r="C436" s="15">
        <v>686400.0</v>
      </c>
      <c r="D436" s="15">
        <v>599720.0</v>
      </c>
      <c r="E436" s="15">
        <v>350590.0</v>
      </c>
      <c r="F436" s="15">
        <v>301330.0</v>
      </c>
      <c r="G436" s="15">
        <v>324300.0</v>
      </c>
      <c r="H436" s="15">
        <v>228510.0</v>
      </c>
      <c r="I436" s="15">
        <v>181930.0</v>
      </c>
      <c r="J436" s="15">
        <v>80240.0</v>
      </c>
      <c r="K436" s="15">
        <v>98030.0</v>
      </c>
      <c r="L436" s="15">
        <v>144540.0</v>
      </c>
      <c r="M436" s="15">
        <v>80220.0</v>
      </c>
      <c r="N436" s="15">
        <v>37530.0</v>
      </c>
      <c r="O436" s="15">
        <v>38230.0</v>
      </c>
      <c r="P436" s="15">
        <v>29790.0</v>
      </c>
      <c r="Q436" s="15">
        <v>16780.0</v>
      </c>
      <c r="R436" s="15">
        <v>20050.0</v>
      </c>
      <c r="S436" s="15">
        <v>13520.0</v>
      </c>
      <c r="T436" s="15">
        <v>5270.0</v>
      </c>
      <c r="U436" s="15">
        <v>2730.0</v>
      </c>
      <c r="V436" s="15">
        <v>0.0</v>
      </c>
      <c r="W436" s="15">
        <v>3990.0</v>
      </c>
      <c r="X436" s="15">
        <v>0.0</v>
      </c>
      <c r="Y436" s="15">
        <v>0.0</v>
      </c>
      <c r="Z436" s="15">
        <v>0.0</v>
      </c>
      <c r="AA436" s="15">
        <v>0.0</v>
      </c>
      <c r="AB436" s="15">
        <v>59970.0</v>
      </c>
      <c r="AC436" s="15">
        <v>22390.0</v>
      </c>
      <c r="AD436" s="15">
        <v>37950.0</v>
      </c>
      <c r="AE436" s="15">
        <v>73720.0</v>
      </c>
      <c r="AF436" s="15">
        <v>115670.0</v>
      </c>
      <c r="AG436" s="15">
        <v>51150.0</v>
      </c>
      <c r="AH436" s="15">
        <v>14180.0</v>
      </c>
      <c r="AI436" s="15">
        <v>89510.0</v>
      </c>
      <c r="AJ436" s="15">
        <v>90840.0</v>
      </c>
      <c r="AK436" s="15">
        <v>155430.0</v>
      </c>
      <c r="AL436" s="15">
        <v>93900.0</v>
      </c>
      <c r="AM436" s="15">
        <v>55350.0</v>
      </c>
      <c r="AN436" s="15">
        <v>28310.0</v>
      </c>
      <c r="AO436" s="15">
        <v>61370.0</v>
      </c>
      <c r="AP436" s="15">
        <v>97260.0</v>
      </c>
      <c r="AQ436" s="15">
        <v>43380.0</v>
      </c>
      <c r="AR436" s="15">
        <v>12950.0</v>
      </c>
      <c r="AS436" s="15">
        <v>102780.0</v>
      </c>
      <c r="AT436" s="15">
        <v>109660.0</v>
      </c>
      <c r="AU436" s="15">
        <v>142990.0</v>
      </c>
      <c r="AV436" s="15">
        <v>99820.0</v>
      </c>
      <c r="AW436" s="15">
        <v>81110.0</v>
      </c>
      <c r="AX436" s="15">
        <v>-286130.0</v>
      </c>
      <c r="AY436" s="15">
        <v>-142940.0</v>
      </c>
      <c r="AZ436" s="15">
        <v>-64300.0</v>
      </c>
      <c r="BA436" s="15">
        <v>-67300.0</v>
      </c>
      <c r="BB436" s="15">
        <v>-81310.0</v>
      </c>
      <c r="BC436" s="15">
        <v>0.0</v>
      </c>
      <c r="BD436" s="15">
        <v>0.0</v>
      </c>
      <c r="BE436" s="15">
        <v>0.0</v>
      </c>
      <c r="BF436" s="15">
        <v>0.0</v>
      </c>
      <c r="BG436" s="15">
        <v>0.0</v>
      </c>
      <c r="BH436" s="15">
        <v>114450.0</v>
      </c>
      <c r="BI436" s="15">
        <v>115830.0</v>
      </c>
      <c r="BJ436" s="15">
        <v>63710.0</v>
      </c>
      <c r="BK436" s="15">
        <v>31900.0</v>
      </c>
      <c r="BL436" s="15">
        <v>33550.0</v>
      </c>
      <c r="BM436" s="15">
        <v>5670.0</v>
      </c>
      <c r="BN436" s="15">
        <v>10110.0</v>
      </c>
      <c r="BO436" s="15">
        <v>21480.0</v>
      </c>
      <c r="BP436" s="15">
        <v>19410.0</v>
      </c>
      <c r="BQ436" s="15">
        <v>31240.0</v>
      </c>
      <c r="BR436" s="15">
        <v>37930.0</v>
      </c>
      <c r="BS436" s="15">
        <v>18780.0</v>
      </c>
      <c r="BT436" s="15">
        <v>17260.0</v>
      </c>
      <c r="BU436" s="15">
        <v>14010.0</v>
      </c>
      <c r="BV436" s="15">
        <v>11740.0</v>
      </c>
      <c r="BW436" s="15">
        <v>174330.0</v>
      </c>
      <c r="BX436" s="15">
        <v>160070.0</v>
      </c>
      <c r="BY436" s="15">
        <v>142360.0</v>
      </c>
      <c r="BZ436" s="15">
        <v>73360.0</v>
      </c>
      <c r="CA436" s="15">
        <v>88780.0</v>
      </c>
      <c r="CB436" s="15">
        <v>995220.0</v>
      </c>
      <c r="CC436" s="15">
        <v>611610.0</v>
      </c>
      <c r="CD436" s="15">
        <v>485460.0</v>
      </c>
      <c r="CE436" s="15">
        <v>557850.0</v>
      </c>
      <c r="CF436" s="15">
        <v>544330.0</v>
      </c>
      <c r="CG436" s="15">
        <v>0.0</v>
      </c>
      <c r="CH436" s="15">
        <v>0.0</v>
      </c>
      <c r="CI436" s="15">
        <v>0.0</v>
      </c>
      <c r="CJ436" s="15">
        <v>0.0</v>
      </c>
      <c r="CK436" s="15">
        <v>0.0</v>
      </c>
      <c r="CL436" s="15">
        <v>1200000.0</v>
      </c>
      <c r="CM436" s="15">
        <v>854920.0</v>
      </c>
      <c r="CN436" s="15">
        <v>748770.0</v>
      </c>
      <c r="CO436" s="15">
        <v>657200.0</v>
      </c>
      <c r="CP436" s="15">
        <v>660860.0</v>
      </c>
      <c r="CQ436" s="15">
        <v>12710.0</v>
      </c>
      <c r="CR436" s="15">
        <v>9200.0</v>
      </c>
      <c r="CS436" s="15">
        <v>19310.0</v>
      </c>
      <c r="CT436" s="15">
        <v>18760.0</v>
      </c>
      <c r="CU436" s="15">
        <v>17490.0</v>
      </c>
      <c r="CV436" s="15">
        <v>445150.0</v>
      </c>
      <c r="CW436" s="15">
        <v>229870.0</v>
      </c>
      <c r="CX436" s="15">
        <v>63340.0</v>
      </c>
      <c r="CY436" s="15">
        <v>58600.0</v>
      </c>
      <c r="CZ436" s="15">
        <v>81380.0</v>
      </c>
      <c r="DA436" s="15">
        <v>92520.0</v>
      </c>
      <c r="DB436" s="15">
        <v>445150.0</v>
      </c>
      <c r="DC436" s="15">
        <v>149850.0</v>
      </c>
      <c r="DD436" s="15">
        <v>216510.0</v>
      </c>
      <c r="DE436" s="15">
        <v>249940.0</v>
      </c>
      <c r="DF436" s="15">
        <v>634200.0</v>
      </c>
      <c r="DG436" s="15">
        <v>308330.0</v>
      </c>
      <c r="DH436" s="15">
        <v>330940.0</v>
      </c>
      <c r="DI436" s="15">
        <v>361970.0</v>
      </c>
      <c r="DJ436" s="15">
        <v>393950.0</v>
      </c>
      <c r="DK436" s="15">
        <v>0.0</v>
      </c>
      <c r="DL436" s="15">
        <v>0.0</v>
      </c>
      <c r="DM436" s="15">
        <v>0.0</v>
      </c>
      <c r="DN436" s="15">
        <v>0.0</v>
      </c>
      <c r="DO436" s="15">
        <v>0.0</v>
      </c>
      <c r="DP436" s="15">
        <v>151590.0</v>
      </c>
      <c r="DQ436" s="15">
        <v>133310.0</v>
      </c>
      <c r="DR436" s="15">
        <v>111430.0</v>
      </c>
      <c r="DS436" s="15">
        <v>112030.0</v>
      </c>
      <c r="DT436" s="15">
        <v>118550.0</v>
      </c>
      <c r="DU436" s="16">
        <v>0.0</v>
      </c>
      <c r="DV436" s="15">
        <v>0.0</v>
      </c>
      <c r="DW436" s="15">
        <v>0.0</v>
      </c>
      <c r="DX436" s="15">
        <v>0.0</v>
      </c>
      <c r="DY436" s="15">
        <v>0.0</v>
      </c>
      <c r="DZ436" s="15">
        <v>566640.0</v>
      </c>
      <c r="EA436" s="15">
        <v>525130.0</v>
      </c>
      <c r="EB436" s="15">
        <v>391730.0</v>
      </c>
      <c r="EC436" s="15">
        <v>270300.0</v>
      </c>
      <c r="ED436" s="15">
        <v>240360.0</v>
      </c>
      <c r="EE436" s="17">
        <v>0.121</v>
      </c>
      <c r="EF436" s="17">
        <v>0.225</v>
      </c>
      <c r="EG436" s="17">
        <v>0.596</v>
      </c>
      <c r="EH436" s="17">
        <v>1.125</v>
      </c>
    </row>
    <row r="437">
      <c r="A437" s="9">
        <f t="shared" si="2"/>
        <v>435</v>
      </c>
      <c r="B437" s="10" t="s">
        <v>571</v>
      </c>
      <c r="C437" s="15">
        <v>8780000.0</v>
      </c>
      <c r="D437" s="15">
        <v>7640000.0</v>
      </c>
      <c r="E437" s="15">
        <v>7810000.0</v>
      </c>
      <c r="F437" s="15">
        <v>8510000.0</v>
      </c>
      <c r="G437" s="15">
        <v>8080000.0</v>
      </c>
      <c r="H437" s="15">
        <v>7170000.0</v>
      </c>
      <c r="I437" s="15">
        <v>6930000.0</v>
      </c>
      <c r="J437" s="15">
        <v>1050000.0</v>
      </c>
      <c r="K437" s="15">
        <v>1500000.0</v>
      </c>
      <c r="L437" s="15">
        <v>1430000.0</v>
      </c>
      <c r="M437" s="15">
        <v>1290000.0</v>
      </c>
      <c r="N437" s="15">
        <v>1250000.0</v>
      </c>
      <c r="O437" s="15">
        <v>614400.0</v>
      </c>
      <c r="P437" s="15">
        <v>675400.0</v>
      </c>
      <c r="Q437" s="15">
        <v>644800.0</v>
      </c>
      <c r="R437" s="15">
        <v>636300.0</v>
      </c>
      <c r="S437" s="15">
        <v>630300.0</v>
      </c>
      <c r="T437" s="15"/>
      <c r="U437" s="15"/>
      <c r="V437" s="15"/>
      <c r="W437" s="15"/>
      <c r="X437" s="15"/>
      <c r="Y437" s="12"/>
      <c r="Z437" s="15">
        <v>831100.0</v>
      </c>
      <c r="AA437" s="15">
        <v>663200.0</v>
      </c>
      <c r="AB437" s="15">
        <v>12200.0</v>
      </c>
      <c r="AC437" s="15">
        <v>509500.0</v>
      </c>
      <c r="AD437" s="15">
        <v>-161000.0</v>
      </c>
      <c r="AE437" s="15">
        <v>782300.0</v>
      </c>
      <c r="AF437" s="15">
        <v>605700.0</v>
      </c>
      <c r="AG437" s="15">
        <v>637300.0</v>
      </c>
      <c r="AH437" s="15">
        <v>449700.0</v>
      </c>
      <c r="AI437" s="15">
        <v>794000.0</v>
      </c>
      <c r="AJ437" s="15">
        <v>1160000.0</v>
      </c>
      <c r="AK437" s="15">
        <v>1100000.0</v>
      </c>
      <c r="AL437" s="15">
        <v>927800.0</v>
      </c>
      <c r="AM437" s="15">
        <v>906900.0</v>
      </c>
      <c r="AN437" s="15">
        <v>-49200.0</v>
      </c>
      <c r="AO437" s="15">
        <v>718600.0</v>
      </c>
      <c r="AP437" s="15">
        <v>603800.0</v>
      </c>
      <c r="AQ437" s="15">
        <v>482500.0</v>
      </c>
      <c r="AR437" s="15">
        <v>359700.0</v>
      </c>
      <c r="AS437" s="15">
        <v>717400.0</v>
      </c>
      <c r="AT437" s="15">
        <v>1270000.0</v>
      </c>
      <c r="AU437" s="15">
        <v>1020000.0</v>
      </c>
      <c r="AV437" s="15">
        <v>916300.0</v>
      </c>
      <c r="AW437" s="15">
        <v>820400.0</v>
      </c>
      <c r="AX437" s="15">
        <v>-494000.0</v>
      </c>
      <c r="AY437" s="15">
        <v>-477900.0</v>
      </c>
      <c r="AZ437" s="15">
        <v>-418800.0</v>
      </c>
      <c r="BA437" s="15">
        <v>-318300.0</v>
      </c>
      <c r="BB437" s="15">
        <v>-251600.0</v>
      </c>
      <c r="BC437" s="15">
        <v>-322300.0</v>
      </c>
      <c r="BD437" s="15">
        <v>-370800.0</v>
      </c>
      <c r="BE437" s="15">
        <v>-313500.0</v>
      </c>
      <c r="BF437" s="15">
        <v>-279100.0</v>
      </c>
      <c r="BG437" s="15">
        <v>-268200.0</v>
      </c>
      <c r="BH437" s="15">
        <v>763300.0</v>
      </c>
      <c r="BI437" s="15">
        <v>457300.0</v>
      </c>
      <c r="BJ437" s="15">
        <v>146900.0</v>
      </c>
      <c r="BK437" s="15">
        <v>233100.0</v>
      </c>
      <c r="BL437" s="15">
        <v>274800.0</v>
      </c>
      <c r="BM437" s="15">
        <v>49800.0</v>
      </c>
      <c r="BN437" s="15">
        <v>88300.0</v>
      </c>
      <c r="BO437" s="15">
        <v>83700.0</v>
      </c>
      <c r="BP437" s="15">
        <v>75900.0</v>
      </c>
      <c r="BQ437" s="15">
        <v>64000.0</v>
      </c>
      <c r="BR437" s="15">
        <v>206900.0</v>
      </c>
      <c r="BS437" s="15">
        <v>207300.0</v>
      </c>
      <c r="BT437" s="15">
        <v>205300.0</v>
      </c>
      <c r="BU437" s="15">
        <v>178900.0</v>
      </c>
      <c r="BV437" s="15">
        <v>175400.0</v>
      </c>
      <c r="BW437" s="15">
        <v>1100000.0</v>
      </c>
      <c r="BX437" s="15">
        <v>892600.0</v>
      </c>
      <c r="BY437" s="15">
        <v>553600.0</v>
      </c>
      <c r="BZ437" s="15">
        <v>587900.0</v>
      </c>
      <c r="CA437" s="15">
        <v>820300.0</v>
      </c>
      <c r="CB437" s="15">
        <v>6730000.0</v>
      </c>
      <c r="CC437" s="15">
        <v>2550000.0</v>
      </c>
      <c r="CD437" s="15">
        <v>2430000.0</v>
      </c>
      <c r="CE437" s="15">
        <v>2270000.0</v>
      </c>
      <c r="CF437" s="15">
        <v>2040000.0</v>
      </c>
      <c r="CG437" s="15">
        <v>1040000.0</v>
      </c>
      <c r="CH437" s="15">
        <v>1180000.0</v>
      </c>
      <c r="CI437" s="15">
        <v>1180000.0</v>
      </c>
      <c r="CJ437" s="15">
        <v>1200000.0</v>
      </c>
      <c r="CK437" s="15">
        <v>872300.0</v>
      </c>
      <c r="CL437" s="15">
        <v>9950000.0</v>
      </c>
      <c r="CM437" s="15">
        <v>6220000.0</v>
      </c>
      <c r="CN437" s="15">
        <v>5770000.0</v>
      </c>
      <c r="CO437" s="15">
        <v>5290000.0</v>
      </c>
      <c r="CP437" s="15">
        <v>4580000.0</v>
      </c>
      <c r="CQ437" s="15">
        <v>249400.0</v>
      </c>
      <c r="CR437" s="15">
        <v>332600.0</v>
      </c>
      <c r="CS437" s="15">
        <v>277000.0</v>
      </c>
      <c r="CT437" s="15">
        <v>249500.0</v>
      </c>
      <c r="CU437" s="15">
        <v>241900.0</v>
      </c>
      <c r="CV437" s="15">
        <v>1790000.0</v>
      </c>
      <c r="CW437" s="15">
        <v>270000.0</v>
      </c>
      <c r="CX437" s="15"/>
      <c r="CY437" s="15"/>
      <c r="CZ437" s="15"/>
      <c r="DA437" s="15"/>
      <c r="DB437" s="15">
        <v>1790000.0</v>
      </c>
      <c r="DC437" s="15">
        <v>1470000.0</v>
      </c>
      <c r="DD437" s="15">
        <v>1380000.0</v>
      </c>
      <c r="DE437" s="15">
        <v>1290000.0</v>
      </c>
      <c r="DF437" s="15">
        <v>7610000.0</v>
      </c>
      <c r="DG437" s="15">
        <v>3830000.0</v>
      </c>
      <c r="DH437" s="15">
        <v>3570000.0</v>
      </c>
      <c r="DI437" s="15">
        <v>3190000.0</v>
      </c>
      <c r="DJ437" s="15">
        <v>2630000.0</v>
      </c>
      <c r="DK437" s="15"/>
      <c r="DL437" s="15"/>
      <c r="DM437" s="15"/>
      <c r="DN437" s="15"/>
      <c r="DO437" s="15"/>
      <c r="DP437" s="15">
        <v>5210000.0</v>
      </c>
      <c r="DQ437" s="15">
        <v>1100000.0</v>
      </c>
      <c r="DR437" s="15">
        <v>1090000.0</v>
      </c>
      <c r="DS437" s="15">
        <v>936600.0</v>
      </c>
      <c r="DT437" s="15">
        <v>564000.0</v>
      </c>
      <c r="DU437" s="13"/>
      <c r="DV437" s="12"/>
      <c r="DW437" s="12"/>
      <c r="DX437" s="15"/>
      <c r="DY437" s="15"/>
      <c r="DZ437" s="15">
        <v>2330000.0</v>
      </c>
      <c r="EA437" s="15">
        <v>2390000.0</v>
      </c>
      <c r="EB437" s="15">
        <v>2190000.0</v>
      </c>
      <c r="EC437" s="15">
        <v>2100000.0</v>
      </c>
      <c r="ED437" s="15">
        <v>1950000.0</v>
      </c>
      <c r="EE437" s="17">
        <v>0.139</v>
      </c>
      <c r="EF437" s="17">
        <v>0.142</v>
      </c>
      <c r="EG437" s="17">
        <v>0.244</v>
      </c>
      <c r="EH437" s="17">
        <v>0.079</v>
      </c>
    </row>
    <row r="438">
      <c r="A438" s="9">
        <f t="shared" si="2"/>
        <v>436</v>
      </c>
      <c r="B438" s="22" t="s">
        <v>572</v>
      </c>
      <c r="C438" s="11">
        <v>227030.0</v>
      </c>
      <c r="D438" s="11">
        <v>203080.0</v>
      </c>
      <c r="E438" s="11">
        <v>23900.0</v>
      </c>
      <c r="F438" s="11">
        <v>6180.0</v>
      </c>
      <c r="G438" s="11">
        <v>1030.0</v>
      </c>
      <c r="H438" s="11">
        <v>295.0</v>
      </c>
      <c r="I438" s="11">
        <v>184.0</v>
      </c>
      <c r="J438" s="12"/>
      <c r="K438" s="12"/>
      <c r="L438" s="12"/>
      <c r="M438" s="12"/>
      <c r="N438" s="12"/>
      <c r="O438" s="11">
        <v>150840.0</v>
      </c>
      <c r="P438" s="11">
        <v>66620.0</v>
      </c>
      <c r="Q438" s="11">
        <v>51950.0</v>
      </c>
      <c r="R438" s="11">
        <v>59200.0</v>
      </c>
      <c r="S438" s="11">
        <v>62480.0</v>
      </c>
      <c r="T438" s="11">
        <v>108090.0</v>
      </c>
      <c r="U438" s="11">
        <v>45710.0</v>
      </c>
      <c r="V438" s="11">
        <v>35890.0</v>
      </c>
      <c r="W438" s="11">
        <v>41690.0</v>
      </c>
      <c r="X438" s="11">
        <v>43970.0</v>
      </c>
      <c r="Y438" s="12"/>
      <c r="Z438" s="11">
        <v>-90960.0</v>
      </c>
      <c r="AA438" s="11">
        <v>-9040.0</v>
      </c>
      <c r="AB438" s="12"/>
      <c r="AC438" s="12"/>
      <c r="AD438" s="11">
        <v>-120460.0</v>
      </c>
      <c r="AE438" s="11">
        <v>-88850.0</v>
      </c>
      <c r="AF438" s="11">
        <v>-60200.0</v>
      </c>
      <c r="AG438" s="11">
        <v>-59510.0</v>
      </c>
      <c r="AH438" s="11">
        <v>-62840.0</v>
      </c>
      <c r="AI438" s="11">
        <v>-126930.0</v>
      </c>
      <c r="AJ438" s="11">
        <v>-60450.0</v>
      </c>
      <c r="AK438" s="11">
        <v>-50920.0</v>
      </c>
      <c r="AL438" s="11">
        <v>-58910.0</v>
      </c>
      <c r="AM438" s="11">
        <v>-62300.0</v>
      </c>
      <c r="AN438" s="11">
        <v>-120460.0</v>
      </c>
      <c r="AO438" s="11">
        <v>-88850.0</v>
      </c>
      <c r="AP438" s="11">
        <v>-60200.0</v>
      </c>
      <c r="AQ438" s="11">
        <v>-59510.0</v>
      </c>
      <c r="AR438" s="11">
        <v>-62840.0</v>
      </c>
      <c r="AS438" s="11">
        <v>8270.0</v>
      </c>
      <c r="AT438" s="11">
        <v>18300.0</v>
      </c>
      <c r="AU438" s="11">
        <v>-45330.0</v>
      </c>
      <c r="AV438" s="11">
        <v>-48750.0</v>
      </c>
      <c r="AW438" s="11">
        <v>-48800.0</v>
      </c>
      <c r="AX438" s="11">
        <v>-6350.0</v>
      </c>
      <c r="AY438" s="11">
        <v>-359.0</v>
      </c>
      <c r="AZ438" s="11">
        <v>-133.0</v>
      </c>
      <c r="BA438" s="11">
        <v>-449.0</v>
      </c>
      <c r="BB438" s="11">
        <v>-1130.0</v>
      </c>
      <c r="BC438" s="12"/>
      <c r="BD438" s="12"/>
      <c r="BE438" s="12"/>
      <c r="BF438" s="12"/>
      <c r="BG438" s="12"/>
      <c r="BH438" s="11">
        <v>348880.0</v>
      </c>
      <c r="BI438" s="11">
        <v>302630.0</v>
      </c>
      <c r="BJ438" s="11">
        <v>113680.0</v>
      </c>
      <c r="BK438" s="11">
        <v>45870.0</v>
      </c>
      <c r="BL438" s="11">
        <v>94610.0</v>
      </c>
      <c r="BM438" s="11">
        <v>200350.0</v>
      </c>
      <c r="BN438" s="11">
        <v>100000.0</v>
      </c>
      <c r="BO438" s="11">
        <v>1580.0</v>
      </c>
      <c r="BP438" s="11">
        <v>295.0</v>
      </c>
      <c r="BQ438" s="12"/>
      <c r="BR438" s="12"/>
      <c r="BS438" s="12"/>
      <c r="BT438" s="12"/>
      <c r="BU438" s="12"/>
      <c r="BV438" s="12"/>
      <c r="BW438" s="11">
        <v>556170.0</v>
      </c>
      <c r="BX438" s="11">
        <v>405510.0</v>
      </c>
      <c r="BY438" s="11">
        <v>118680.0</v>
      </c>
      <c r="BZ438" s="11">
        <v>47830.0</v>
      </c>
      <c r="CA438" s="11">
        <v>96140.0</v>
      </c>
      <c r="CB438" s="11">
        <v>37180.0</v>
      </c>
      <c r="CC438" s="11">
        <v>2720.0</v>
      </c>
      <c r="CD438" s="11">
        <v>1510.0</v>
      </c>
      <c r="CE438" s="11">
        <v>2230.0</v>
      </c>
      <c r="CF438" s="11">
        <v>2680.0</v>
      </c>
      <c r="CG438" s="12"/>
      <c r="CH438" s="12"/>
      <c r="CI438" s="12"/>
      <c r="CJ438" s="12"/>
      <c r="CK438" s="12"/>
      <c r="CL438" s="11">
        <v>597410.0</v>
      </c>
      <c r="CM438" s="11">
        <v>409040.0</v>
      </c>
      <c r="CN438" s="11">
        <v>121000.0</v>
      </c>
      <c r="CO438" s="11">
        <v>51250.0</v>
      </c>
      <c r="CP438" s="11">
        <v>100020.0</v>
      </c>
      <c r="CQ438" s="11">
        <v>6080.0</v>
      </c>
      <c r="CR438" s="11">
        <v>5010.0</v>
      </c>
      <c r="CS438" s="11">
        <v>4920.0</v>
      </c>
      <c r="CT438" s="11">
        <v>4320.0</v>
      </c>
      <c r="CU438" s="11">
        <v>2620.0</v>
      </c>
      <c r="CV438" s="11">
        <v>241740.0</v>
      </c>
      <c r="CW438" s="11">
        <v>3310.0</v>
      </c>
      <c r="CX438" s="12"/>
      <c r="CY438" s="12"/>
      <c r="CZ438" s="12"/>
      <c r="DA438" s="12"/>
      <c r="DB438" s="11">
        <v>241740.0</v>
      </c>
      <c r="DC438" s="11">
        <v>94060.0</v>
      </c>
      <c r="DD438" s="11">
        <v>16830.0</v>
      </c>
      <c r="DE438" s="11">
        <v>10040.0</v>
      </c>
      <c r="DF438" s="11">
        <v>445210.0</v>
      </c>
      <c r="DG438" s="11">
        <v>208350.0</v>
      </c>
      <c r="DH438" s="11">
        <v>19920.0</v>
      </c>
      <c r="DI438" s="11">
        <v>10040.0</v>
      </c>
      <c r="DJ438" s="11">
        <v>9000.0</v>
      </c>
      <c r="DK438" s="11">
        <v>3890.0</v>
      </c>
      <c r="DL438" s="11">
        <v>744.0</v>
      </c>
      <c r="DM438" s="11">
        <v>744.0</v>
      </c>
      <c r="DN438" s="11">
        <v>1120.0</v>
      </c>
      <c r="DO438" s="11">
        <v>1120.0</v>
      </c>
      <c r="DP438" s="11">
        <v>20140.0</v>
      </c>
      <c r="DQ438" s="12"/>
      <c r="DR438" s="12"/>
      <c r="DS438" s="12"/>
      <c r="DT438" s="12"/>
      <c r="DU438" s="13"/>
      <c r="DV438" s="12"/>
      <c r="DW438" s="12"/>
      <c r="DX438" s="13"/>
      <c r="DY438" s="13"/>
      <c r="DZ438" s="11">
        <v>152200.0</v>
      </c>
      <c r="EA438" s="11">
        <v>200690.0</v>
      </c>
      <c r="EB438" s="11">
        <v>101090.0</v>
      </c>
      <c r="EC438" s="11">
        <v>41210.0</v>
      </c>
      <c r="ED438" s="11">
        <v>91020.0</v>
      </c>
      <c r="EE438" s="14">
        <v>0.744</v>
      </c>
      <c r="EF438" s="14">
        <v>1.367</v>
      </c>
      <c r="EG438" s="14">
        <v>-5.3</v>
      </c>
      <c r="EH438" s="14">
        <v>-2.523</v>
      </c>
    </row>
    <row r="439">
      <c r="A439" s="9">
        <f t="shared" si="2"/>
        <v>437</v>
      </c>
      <c r="B439" s="22" t="s">
        <v>573</v>
      </c>
      <c r="C439" s="11">
        <v>17690.0</v>
      </c>
      <c r="D439" s="11">
        <v>36520.0</v>
      </c>
      <c r="E439" s="11">
        <v>29560.0</v>
      </c>
      <c r="F439" s="11">
        <v>18560.0</v>
      </c>
      <c r="G439" s="11">
        <v>49170.0</v>
      </c>
      <c r="H439" s="11">
        <v>14030.0</v>
      </c>
      <c r="I439" s="11">
        <v>19120.0</v>
      </c>
      <c r="J439" s="11">
        <v>25420.0</v>
      </c>
      <c r="K439" s="11">
        <v>14300.0</v>
      </c>
      <c r="L439" s="11">
        <v>42540.0</v>
      </c>
      <c r="M439" s="11">
        <v>8740.0</v>
      </c>
      <c r="N439" s="11">
        <v>15220.0</v>
      </c>
      <c r="O439" s="11">
        <v>44570.0</v>
      </c>
      <c r="P439" s="11">
        <v>37920.0</v>
      </c>
      <c r="Q439" s="11">
        <v>44770.0</v>
      </c>
      <c r="R439" s="11">
        <v>41100.0</v>
      </c>
      <c r="S439" s="11">
        <v>35880.0</v>
      </c>
      <c r="T439" s="11">
        <v>30210.0</v>
      </c>
      <c r="U439" s="11">
        <v>25500.0</v>
      </c>
      <c r="V439" s="11">
        <v>31610.0</v>
      </c>
      <c r="W439" s="11">
        <v>29270.0</v>
      </c>
      <c r="X439" s="11">
        <v>24320.0</v>
      </c>
      <c r="Y439" s="12"/>
      <c r="Z439" s="12"/>
      <c r="AA439" s="12"/>
      <c r="AB439" s="11">
        <v>-32370.0</v>
      </c>
      <c r="AC439" s="12"/>
      <c r="AD439" s="11">
        <v>-20580.0</v>
      </c>
      <c r="AE439" s="11">
        <v>-25320.0</v>
      </c>
      <c r="AF439" s="11">
        <v>-3700.0</v>
      </c>
      <c r="AG439" s="11">
        <v>-34510.0</v>
      </c>
      <c r="AH439" s="11">
        <v>-22660.0</v>
      </c>
      <c r="AI439" s="11">
        <v>-18860.0</v>
      </c>
      <c r="AJ439" s="11">
        <v>-23370.0</v>
      </c>
      <c r="AK439" s="11">
        <v>-1800.0</v>
      </c>
      <c r="AL439" s="11">
        <v>-31950.0</v>
      </c>
      <c r="AM439" s="11">
        <v>-20240.0</v>
      </c>
      <c r="AN439" s="11">
        <v>-20580.0</v>
      </c>
      <c r="AO439" s="11">
        <v>-25320.0</v>
      </c>
      <c r="AP439" s="11">
        <v>-3700.0</v>
      </c>
      <c r="AQ439" s="11">
        <v>-34510.0</v>
      </c>
      <c r="AR439" s="11">
        <v>-22660.0</v>
      </c>
      <c r="AS439" s="11">
        <v>10270.0</v>
      </c>
      <c r="AT439" s="11">
        <v>-20760.0</v>
      </c>
      <c r="AU439" s="11">
        <v>-1340.0</v>
      </c>
      <c r="AV439" s="11">
        <v>-27470.0</v>
      </c>
      <c r="AW439" s="11">
        <v>-20560.0</v>
      </c>
      <c r="AX439" s="11">
        <v>-155.0</v>
      </c>
      <c r="AY439" s="11">
        <v>-93.0</v>
      </c>
      <c r="AZ439" s="11">
        <v>-69.0</v>
      </c>
      <c r="BA439" s="11">
        <v>-147.0</v>
      </c>
      <c r="BB439" s="11">
        <v>-225.0</v>
      </c>
      <c r="BC439" s="12"/>
      <c r="BD439" s="12"/>
      <c r="BE439" s="12"/>
      <c r="BF439" s="12"/>
      <c r="BG439" s="12"/>
      <c r="BH439" s="11">
        <v>64670.0</v>
      </c>
      <c r="BI439" s="11">
        <v>34320.0</v>
      </c>
      <c r="BJ439" s="11">
        <v>36760.0</v>
      </c>
      <c r="BK439" s="11">
        <v>25000.0</v>
      </c>
      <c r="BL439" s="11">
        <v>29040.0</v>
      </c>
      <c r="BM439" s="11">
        <v>2310.0</v>
      </c>
      <c r="BN439" s="11">
        <v>1760.0</v>
      </c>
      <c r="BO439" s="11">
        <v>2380.0</v>
      </c>
      <c r="BP439" s="11">
        <v>1150.0</v>
      </c>
      <c r="BQ439" s="11">
        <v>2220.0</v>
      </c>
      <c r="BR439" s="11">
        <v>3380.0</v>
      </c>
      <c r="BS439" s="11">
        <v>3420.0</v>
      </c>
      <c r="BT439" s="11">
        <v>3160.0</v>
      </c>
      <c r="BU439" s="11">
        <v>3780.0</v>
      </c>
      <c r="BV439" s="11">
        <v>3920.0</v>
      </c>
      <c r="BW439" s="11">
        <v>71830.0</v>
      </c>
      <c r="BX439" s="11">
        <v>41740.0</v>
      </c>
      <c r="BY439" s="11">
        <v>45360.0</v>
      </c>
      <c r="BZ439" s="11">
        <v>32430.0</v>
      </c>
      <c r="CA439" s="11">
        <v>38320.0</v>
      </c>
      <c r="CB439" s="11">
        <v>6540.0</v>
      </c>
      <c r="CC439" s="11">
        <v>605.0</v>
      </c>
      <c r="CD439" s="11">
        <v>929.0</v>
      </c>
      <c r="CE439" s="11">
        <v>1300.0</v>
      </c>
      <c r="CF439" s="11">
        <v>1570.0</v>
      </c>
      <c r="CG439" s="11">
        <v>6400.0</v>
      </c>
      <c r="CH439" s="11">
        <v>6400.0</v>
      </c>
      <c r="CI439" s="11">
        <v>6400.0</v>
      </c>
      <c r="CJ439" s="11">
        <v>6400.0</v>
      </c>
      <c r="CK439" s="11">
        <v>6400.0</v>
      </c>
      <c r="CL439" s="11">
        <v>86020.0</v>
      </c>
      <c r="CM439" s="11">
        <v>50000.0</v>
      </c>
      <c r="CN439" s="11">
        <v>53110.0</v>
      </c>
      <c r="CO439" s="11">
        <v>40510.0</v>
      </c>
      <c r="CP439" s="11">
        <v>46770.0</v>
      </c>
      <c r="CQ439" s="11">
        <v>2110.0</v>
      </c>
      <c r="CR439" s="11">
        <v>1590.0</v>
      </c>
      <c r="CS439" s="11">
        <v>1520.0</v>
      </c>
      <c r="CT439" s="11">
        <v>2090.0</v>
      </c>
      <c r="CU439" s="11">
        <v>1290.0</v>
      </c>
      <c r="CV439" s="11">
        <v>36770.0</v>
      </c>
      <c r="CW439" s="11">
        <v>2040.0</v>
      </c>
      <c r="CX439" s="12"/>
      <c r="CY439" s="12"/>
      <c r="CZ439" s="12"/>
      <c r="DA439" s="12"/>
      <c r="DB439" s="11">
        <v>36770.0</v>
      </c>
      <c r="DC439" s="11">
        <v>7660.0</v>
      </c>
      <c r="DD439" s="11">
        <v>15830.0</v>
      </c>
      <c r="DE439" s="11">
        <v>28750.0</v>
      </c>
      <c r="DF439" s="11">
        <v>63160.0</v>
      </c>
      <c r="DG439" s="11">
        <v>30000.0</v>
      </c>
      <c r="DH439" s="11">
        <v>31630.0</v>
      </c>
      <c r="DI439" s="11">
        <v>32170.0</v>
      </c>
      <c r="DJ439" s="11">
        <v>31890.0</v>
      </c>
      <c r="DK439" s="11">
        <v>150.0</v>
      </c>
      <c r="DL439" s="11">
        <v>150.0</v>
      </c>
      <c r="DM439" s="11">
        <v>150.0</v>
      </c>
      <c r="DN439" s="11">
        <v>150.0</v>
      </c>
      <c r="DO439" s="24">
        <v>250.0</v>
      </c>
      <c r="DP439" s="11">
        <v>24780.0</v>
      </c>
      <c r="DQ439" s="11">
        <v>20530.0</v>
      </c>
      <c r="DR439" s="11">
        <v>12630.0</v>
      </c>
      <c r="DS439" s="12"/>
      <c r="DT439" s="11">
        <v>19680.0</v>
      </c>
      <c r="DU439" s="13"/>
      <c r="DV439" s="12"/>
      <c r="DW439" s="12"/>
      <c r="DX439" s="13"/>
      <c r="DY439" s="13"/>
      <c r="DZ439" s="11">
        <v>22860.0</v>
      </c>
      <c r="EA439" s="11">
        <v>20000.0</v>
      </c>
      <c r="EB439" s="11">
        <v>21490.0</v>
      </c>
      <c r="EC439" s="11">
        <v>8340.0</v>
      </c>
      <c r="ED439" s="11">
        <v>14880.0</v>
      </c>
      <c r="EE439" s="14">
        <v>0.118</v>
      </c>
      <c r="EF439" s="14">
        <v>0.756</v>
      </c>
      <c r="EG439" s="14">
        <v>6.0</v>
      </c>
      <c r="EH439" s="14">
        <v>1.063</v>
      </c>
    </row>
    <row r="440">
      <c r="A440" s="9">
        <f t="shared" si="2"/>
        <v>438</v>
      </c>
      <c r="B440" s="10" t="s">
        <v>574</v>
      </c>
      <c r="C440" s="11">
        <v>1570000.0</v>
      </c>
      <c r="D440" s="11">
        <v>1440000.0</v>
      </c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2"/>
      <c r="U440" s="12"/>
      <c r="V440" s="12"/>
      <c r="W440" s="12"/>
      <c r="X440" s="12"/>
      <c r="Y440" s="12"/>
      <c r="Z440" s="12"/>
      <c r="AA440" s="11"/>
      <c r="AB440" s="12"/>
      <c r="AC440" s="12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2"/>
      <c r="BD440" s="12"/>
      <c r="BE440" s="12"/>
      <c r="BF440" s="12"/>
      <c r="BG440" s="12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2"/>
      <c r="BS440" s="12"/>
      <c r="BT440" s="12"/>
      <c r="BU440" s="12"/>
      <c r="BV440" s="12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2"/>
      <c r="CY440" s="12"/>
      <c r="CZ440" s="12"/>
      <c r="DA440" s="12"/>
      <c r="DB440" s="11"/>
      <c r="DC440" s="11"/>
      <c r="DD440" s="11"/>
      <c r="DE440" s="11"/>
      <c r="DF440" s="11"/>
      <c r="DG440" s="11"/>
      <c r="DH440" s="11"/>
      <c r="DI440" s="11"/>
      <c r="DJ440" s="11"/>
      <c r="DK440" s="12"/>
      <c r="DL440" s="11"/>
      <c r="DM440" s="11"/>
      <c r="DN440" s="11"/>
      <c r="DO440" s="12"/>
      <c r="DP440" s="11"/>
      <c r="DQ440" s="12"/>
      <c r="DR440" s="12"/>
      <c r="DS440" s="12"/>
      <c r="DT440" s="12"/>
      <c r="DU440" s="13"/>
      <c r="DV440" s="12"/>
      <c r="DW440" s="12"/>
      <c r="DX440" s="12"/>
      <c r="DY440" s="12"/>
      <c r="DZ440" s="11"/>
      <c r="EA440" s="11"/>
      <c r="EB440" s="11"/>
      <c r="EC440" s="11"/>
      <c r="ED440" s="11"/>
      <c r="EE440" s="14">
        <v>0.007</v>
      </c>
      <c r="EF440" s="14">
        <v>0.0</v>
      </c>
      <c r="EG440" s="14">
        <v>0.889</v>
      </c>
      <c r="EH440" s="14">
        <v>-7.092</v>
      </c>
    </row>
    <row r="441">
      <c r="A441" s="9">
        <f t="shared" si="2"/>
        <v>439</v>
      </c>
      <c r="B441" s="25" t="s">
        <v>575</v>
      </c>
      <c r="C441" s="15">
        <v>130130.0</v>
      </c>
      <c r="D441" s="15">
        <v>117000.0</v>
      </c>
      <c r="E441" s="15">
        <v>117610.0</v>
      </c>
      <c r="F441" s="15">
        <v>117440.0</v>
      </c>
      <c r="G441" s="15">
        <v>124750.0</v>
      </c>
      <c r="H441" s="15">
        <v>137870.0</v>
      </c>
      <c r="I441" s="15">
        <v>144270.0</v>
      </c>
      <c r="J441" s="15">
        <v>57610.0</v>
      </c>
      <c r="K441" s="15">
        <v>55750.0</v>
      </c>
      <c r="L441" s="15">
        <v>56000.0</v>
      </c>
      <c r="M441" s="15">
        <v>59390.0</v>
      </c>
      <c r="N441" s="15">
        <v>58580.0</v>
      </c>
      <c r="O441" s="15">
        <v>63760.0</v>
      </c>
      <c r="P441" s="15">
        <v>63050.0</v>
      </c>
      <c r="Q441" s="15">
        <v>60790.0</v>
      </c>
      <c r="R441" s="15">
        <v>58860.0</v>
      </c>
      <c r="S441" s="15">
        <v>58080.0</v>
      </c>
      <c r="T441" s="15">
        <v>35750.0</v>
      </c>
      <c r="U441" s="15">
        <v>37770.0</v>
      </c>
      <c r="V441" s="15">
        <v>38320.0</v>
      </c>
      <c r="W441" s="15">
        <v>37570.0</v>
      </c>
      <c r="X441" s="15">
        <v>37730.0</v>
      </c>
      <c r="Y441" s="15">
        <v>0.0</v>
      </c>
      <c r="Z441" s="15">
        <v>0.0</v>
      </c>
      <c r="AA441" s="15">
        <v>-6460.0</v>
      </c>
      <c r="AB441" s="15">
        <v>1490.0</v>
      </c>
      <c r="AC441" s="15">
        <v>-1400.0</v>
      </c>
      <c r="AD441" s="15">
        <v>-2750.0</v>
      </c>
      <c r="AE441" s="15">
        <v>-3830.0</v>
      </c>
      <c r="AF441" s="15">
        <v>-3100.0</v>
      </c>
      <c r="AG441" s="15">
        <v>5410.0</v>
      </c>
      <c r="AH441" s="15">
        <v>1890.0</v>
      </c>
      <c r="AI441" s="15">
        <v>-2860.0</v>
      </c>
      <c r="AJ441" s="15">
        <v>-4010.0</v>
      </c>
      <c r="AK441" s="15">
        <v>-1320.0</v>
      </c>
      <c r="AL441" s="15">
        <v>6240.0</v>
      </c>
      <c r="AM441" s="15">
        <v>3140.0</v>
      </c>
      <c r="AN441" s="15">
        <v>-1190.0</v>
      </c>
      <c r="AO441" s="15">
        <v>-1960.0</v>
      </c>
      <c r="AP441" s="15">
        <v>-3000.0</v>
      </c>
      <c r="AQ441" s="15">
        <v>4810.0</v>
      </c>
      <c r="AR441" s="15">
        <v>1560.0</v>
      </c>
      <c r="AS441" s="15">
        <v>10470.0</v>
      </c>
      <c r="AT441" s="15">
        <v>8690.0</v>
      </c>
      <c r="AU441" s="15">
        <v>8500.0</v>
      </c>
      <c r="AV441" s="15">
        <v>16520.0</v>
      </c>
      <c r="AW441" s="15">
        <v>12220.0</v>
      </c>
      <c r="AX441" s="15">
        <v>-5640.0</v>
      </c>
      <c r="AY441" s="15">
        <v>-1180.0</v>
      </c>
      <c r="AZ441" s="15">
        <v>0.0</v>
      </c>
      <c r="BA441" s="15">
        <v>-2100.0</v>
      </c>
      <c r="BB441" s="15">
        <v>-2300.0</v>
      </c>
      <c r="BC441" s="15">
        <v>0.0</v>
      </c>
      <c r="BD441" s="15">
        <v>0.0</v>
      </c>
      <c r="BE441" s="15">
        <v>0.0</v>
      </c>
      <c r="BF441" s="15">
        <v>0.0</v>
      </c>
      <c r="BG441" s="15">
        <v>0.0</v>
      </c>
      <c r="BH441" s="15">
        <v>68400.0</v>
      </c>
      <c r="BI441" s="15">
        <v>48350.0</v>
      </c>
      <c r="BJ441" s="15">
        <v>46550.0</v>
      </c>
      <c r="BK441" s="15">
        <v>46850.0</v>
      </c>
      <c r="BL441" s="15">
        <v>31940.0</v>
      </c>
      <c r="BM441" s="15">
        <v>17220.0</v>
      </c>
      <c r="BN441" s="15">
        <v>14940.0</v>
      </c>
      <c r="BO441" s="15">
        <v>14440.0</v>
      </c>
      <c r="BP441" s="15">
        <v>19680.0</v>
      </c>
      <c r="BQ441" s="15">
        <v>20170.0</v>
      </c>
      <c r="BR441" s="15">
        <v>7460.0</v>
      </c>
      <c r="BS441" s="15">
        <v>9820.0</v>
      </c>
      <c r="BT441" s="15">
        <v>9420.0</v>
      </c>
      <c r="BU441" s="15">
        <v>9750.0</v>
      </c>
      <c r="BV441" s="15">
        <v>11450.0</v>
      </c>
      <c r="BW441" s="15">
        <v>94790.0</v>
      </c>
      <c r="BX441" s="15">
        <v>75320.0</v>
      </c>
      <c r="BY441" s="15">
        <v>72550.0</v>
      </c>
      <c r="BZ441" s="15">
        <v>78000.0</v>
      </c>
      <c r="CA441" s="15">
        <v>65930.0</v>
      </c>
      <c r="CB441" s="15">
        <v>18460.0</v>
      </c>
      <c r="CC441" s="15">
        <v>2750.0</v>
      </c>
      <c r="CD441" s="15">
        <v>3180.0</v>
      </c>
      <c r="CE441" s="15">
        <v>4130.0</v>
      </c>
      <c r="CF441" s="15">
        <v>3760.0</v>
      </c>
      <c r="CG441" s="15">
        <v>6240.0</v>
      </c>
      <c r="CH441" s="15">
        <v>6240.0</v>
      </c>
      <c r="CI441" s="15">
        <v>6240.0</v>
      </c>
      <c r="CJ441" s="15">
        <v>6240.0</v>
      </c>
      <c r="CK441" s="15">
        <v>5280.0</v>
      </c>
      <c r="CL441" s="15">
        <v>205930.0</v>
      </c>
      <c r="CM441" s="15">
        <v>179890.0</v>
      </c>
      <c r="CN441" s="15">
        <v>185200.0</v>
      </c>
      <c r="CO441" s="15">
        <v>185940.0</v>
      </c>
      <c r="CP441" s="15">
        <v>183960.0</v>
      </c>
      <c r="CQ441" s="15">
        <v>8510.0</v>
      </c>
      <c r="CR441" s="15">
        <v>9580.0</v>
      </c>
      <c r="CS441" s="15">
        <v>8660.0</v>
      </c>
      <c r="CT441" s="15">
        <v>12540.0</v>
      </c>
      <c r="CU441" s="15">
        <v>13100.0</v>
      </c>
      <c r="CV441" s="15">
        <v>25240.0</v>
      </c>
      <c r="CW441" s="15">
        <v>2570.0</v>
      </c>
      <c r="CX441" s="15">
        <v>0.0</v>
      </c>
      <c r="CY441" s="16">
        <v>0.0</v>
      </c>
      <c r="CZ441" s="16">
        <v>0.0</v>
      </c>
      <c r="DA441" s="15">
        <v>0.0</v>
      </c>
      <c r="DB441" s="15">
        <v>25240.0</v>
      </c>
      <c r="DC441" s="15">
        <v>22700.0</v>
      </c>
      <c r="DD441" s="15">
        <v>21480.0</v>
      </c>
      <c r="DE441" s="15">
        <v>25900.0</v>
      </c>
      <c r="DF441" s="15">
        <v>52830.0</v>
      </c>
      <c r="DG441" s="15">
        <v>38030.0</v>
      </c>
      <c r="DH441" s="15">
        <v>38250.0</v>
      </c>
      <c r="DI441" s="15">
        <v>40400.0</v>
      </c>
      <c r="DJ441" s="15">
        <v>40640.0</v>
      </c>
      <c r="DK441" s="15">
        <v>62880.0</v>
      </c>
      <c r="DL441" s="15">
        <v>75540.0</v>
      </c>
      <c r="DM441" s="15">
        <v>82670.0</v>
      </c>
      <c r="DN441" s="15">
        <v>78090.0</v>
      </c>
      <c r="DO441" s="15">
        <v>91510.0</v>
      </c>
      <c r="DP441" s="15">
        <v>10440.0</v>
      </c>
      <c r="DQ441" s="15">
        <v>0.0</v>
      </c>
      <c r="DR441" s="15">
        <v>0.0</v>
      </c>
      <c r="DS441" s="15">
        <v>0.0</v>
      </c>
      <c r="DT441" s="15">
        <v>0.0</v>
      </c>
      <c r="DU441" s="16">
        <v>0.0</v>
      </c>
      <c r="DV441" s="15">
        <v>0.0</v>
      </c>
      <c r="DW441" s="15">
        <v>0.0</v>
      </c>
      <c r="DX441" s="15">
        <v>0.0</v>
      </c>
      <c r="DY441" s="15">
        <v>0.0</v>
      </c>
      <c r="DZ441" s="15">
        <v>153090.0</v>
      </c>
      <c r="EA441" s="15">
        <v>141870.0</v>
      </c>
      <c r="EB441" s="15">
        <v>146950.0</v>
      </c>
      <c r="EC441" s="15">
        <v>145550.0</v>
      </c>
      <c r="ED441" s="15">
        <v>143320.0</v>
      </c>
      <c r="EE441" s="17">
        <v>0.045</v>
      </c>
      <c r="EF441" s="17">
        <v>0.127</v>
      </c>
      <c r="EG441" s="17">
        <v>-1.0</v>
      </c>
      <c r="EH441" s="17">
        <v>0.732</v>
      </c>
    </row>
    <row r="442">
      <c r="A442" s="9">
        <f t="shared" si="2"/>
        <v>440</v>
      </c>
      <c r="B442" s="10" t="s">
        <v>576</v>
      </c>
      <c r="C442" s="11">
        <v>169250.0</v>
      </c>
      <c r="D442" s="11">
        <v>163480.0</v>
      </c>
      <c r="E442" s="11">
        <v>220730.0</v>
      </c>
      <c r="F442" s="11">
        <v>226190.0</v>
      </c>
      <c r="G442" s="11">
        <v>161900.0</v>
      </c>
      <c r="H442" s="11">
        <v>114260.0</v>
      </c>
      <c r="I442" s="11">
        <v>157710.0</v>
      </c>
      <c r="J442" s="11">
        <v>67680.0</v>
      </c>
      <c r="K442" s="11">
        <v>68670.0</v>
      </c>
      <c r="L442" s="11">
        <v>-25960.0</v>
      </c>
      <c r="M442" s="11">
        <v>-68560.0</v>
      </c>
      <c r="N442" s="11">
        <v>-22830.0</v>
      </c>
      <c r="O442" s="11">
        <v>30760.0</v>
      </c>
      <c r="P442" s="11">
        <v>29520.0</v>
      </c>
      <c r="Q442" s="11">
        <v>26330.0</v>
      </c>
      <c r="R442" s="11">
        <v>25510.0</v>
      </c>
      <c r="S442" s="11">
        <v>25340.0</v>
      </c>
      <c r="T442" s="12"/>
      <c r="U442" s="12"/>
      <c r="V442" s="12"/>
      <c r="W442" s="12"/>
      <c r="X442" s="12"/>
      <c r="Y442" s="11">
        <v>22940.0</v>
      </c>
      <c r="Z442" s="12"/>
      <c r="AA442" s="11">
        <v>-483690.0</v>
      </c>
      <c r="AB442" s="11">
        <v>-88570.0</v>
      </c>
      <c r="AC442" s="12"/>
      <c r="AD442" s="11">
        <v>-8950.0</v>
      </c>
      <c r="AE442" s="11">
        <v>16570.0</v>
      </c>
      <c r="AF442" s="11">
        <v>-506110.0</v>
      </c>
      <c r="AG442" s="11">
        <v>-107860.0</v>
      </c>
      <c r="AH442" s="11">
        <v>-59580.0</v>
      </c>
      <c r="AI442" s="11">
        <v>85830.0</v>
      </c>
      <c r="AJ442" s="11">
        <v>91360.0</v>
      </c>
      <c r="AK442" s="11">
        <v>34710.0</v>
      </c>
      <c r="AL442" s="11">
        <v>-12500.0</v>
      </c>
      <c r="AM442" s="11">
        <v>28170.0</v>
      </c>
      <c r="AN442" s="11">
        <v>-10540.0</v>
      </c>
      <c r="AO442" s="11">
        <v>16580.0</v>
      </c>
      <c r="AP442" s="11">
        <v>-511710.0</v>
      </c>
      <c r="AQ442" s="11">
        <v>-164240.0</v>
      </c>
      <c r="AR442" s="11">
        <v>-64710.0</v>
      </c>
      <c r="AS442" s="11">
        <v>49530.0</v>
      </c>
      <c r="AT442" s="11">
        <v>77100.0</v>
      </c>
      <c r="AU442" s="11">
        <v>23380.0</v>
      </c>
      <c r="AV442" s="11">
        <v>-20900.0</v>
      </c>
      <c r="AW442" s="11">
        <v>24140.0</v>
      </c>
      <c r="AX442" s="11">
        <v>-2930.0</v>
      </c>
      <c r="AY442" s="11">
        <v>-2830.0</v>
      </c>
      <c r="AZ442" s="11">
        <v>-125890.0</v>
      </c>
      <c r="BA442" s="11">
        <v>-51130.0</v>
      </c>
      <c r="BB442" s="11">
        <v>-155560.0</v>
      </c>
      <c r="BC442" s="11">
        <v>-5770.0</v>
      </c>
      <c r="BD442" s="11">
        <v>-5770.0</v>
      </c>
      <c r="BE442" s="11">
        <v>-5770.0</v>
      </c>
      <c r="BF442" s="11">
        <v>-5770.0</v>
      </c>
      <c r="BG442" s="11">
        <v>-5770.0</v>
      </c>
      <c r="BH442" s="11">
        <v>107290.0</v>
      </c>
      <c r="BI442" s="11">
        <v>126830.0</v>
      </c>
      <c r="BJ442" s="11">
        <v>40230.0</v>
      </c>
      <c r="BK442" s="11">
        <v>98140.0</v>
      </c>
      <c r="BL442" s="11">
        <v>193220.0</v>
      </c>
      <c r="BM442" s="11">
        <v>7890.0</v>
      </c>
      <c r="BN442" s="11">
        <v>2950.0</v>
      </c>
      <c r="BO442" s="11">
        <v>87600.0</v>
      </c>
      <c r="BP442" s="11">
        <v>6010.0</v>
      </c>
      <c r="BQ442" s="11">
        <v>9620.0</v>
      </c>
      <c r="BR442" s="11">
        <v>5530.0</v>
      </c>
      <c r="BS442" s="11">
        <v>5840.0</v>
      </c>
      <c r="BT442" s="11">
        <v>5770.0</v>
      </c>
      <c r="BU442" s="11">
        <v>5860.0</v>
      </c>
      <c r="BV442" s="11">
        <v>6250.0</v>
      </c>
      <c r="BW442" s="11">
        <v>137040.0</v>
      </c>
      <c r="BX442" s="11">
        <v>141970.0</v>
      </c>
      <c r="BY442" s="11">
        <v>138760.0</v>
      </c>
      <c r="BZ442" s="11">
        <v>115320.0</v>
      </c>
      <c r="CA442" s="11">
        <v>215010.0</v>
      </c>
      <c r="CB442" s="11">
        <v>904370.0</v>
      </c>
      <c r="CC442" s="11">
        <v>1010000.0</v>
      </c>
      <c r="CD442" s="11">
        <v>1080000.0</v>
      </c>
      <c r="CE442" s="11">
        <v>1470000.0</v>
      </c>
      <c r="CF442" s="11">
        <v>1510000.0</v>
      </c>
      <c r="CG442" s="11"/>
      <c r="CH442" s="11"/>
      <c r="CI442" s="11"/>
      <c r="CJ442" s="11"/>
      <c r="CK442" s="11"/>
      <c r="CL442" s="11">
        <v>1070000.0</v>
      </c>
      <c r="CM442" s="11">
        <v>1190000.0</v>
      </c>
      <c r="CN442" s="11">
        <v>1250000.0</v>
      </c>
      <c r="CO442" s="11">
        <v>1670000.0</v>
      </c>
      <c r="CP442" s="11">
        <v>1840000.0</v>
      </c>
      <c r="CQ442" s="11">
        <v>11390.0</v>
      </c>
      <c r="CR442" s="11">
        <v>11070.0</v>
      </c>
      <c r="CS442" s="11">
        <v>7950.0</v>
      </c>
      <c r="CT442" s="11">
        <v>6570.0</v>
      </c>
      <c r="CU442" s="11">
        <v>8960.0</v>
      </c>
      <c r="CV442" s="11">
        <v>65480.0</v>
      </c>
      <c r="CW442" s="11"/>
      <c r="CX442" s="12"/>
      <c r="CY442" s="12"/>
      <c r="CZ442" s="12"/>
      <c r="DA442" s="12"/>
      <c r="DB442" s="11">
        <v>65480.0</v>
      </c>
      <c r="DC442" s="11">
        <v>125160.0</v>
      </c>
      <c r="DD442" s="11">
        <v>80440.0</v>
      </c>
      <c r="DE442" s="11">
        <v>78230.0</v>
      </c>
      <c r="DF442" s="11">
        <v>501220.0</v>
      </c>
      <c r="DG442" s="11">
        <v>560110.0</v>
      </c>
      <c r="DH442" s="11">
        <v>621960.0</v>
      </c>
      <c r="DI442" s="11">
        <v>612070.0</v>
      </c>
      <c r="DJ442" s="11">
        <v>618600.0</v>
      </c>
      <c r="DK442" s="11">
        <v>22680.0</v>
      </c>
      <c r="DL442" s="11">
        <v>27850.0</v>
      </c>
      <c r="DM442" s="11">
        <v>28830.0</v>
      </c>
      <c r="DN442" s="11">
        <v>29010.0</v>
      </c>
      <c r="DO442" s="11">
        <v>62490.0</v>
      </c>
      <c r="DP442" s="11">
        <v>434750.0</v>
      </c>
      <c r="DQ442" s="11">
        <v>434110.0</v>
      </c>
      <c r="DR442" s="11">
        <v>540620.0</v>
      </c>
      <c r="DS442" s="11">
        <v>533110.0</v>
      </c>
      <c r="DT442" s="11">
        <v>559090.0</v>
      </c>
      <c r="DU442" s="24">
        <v>26.0</v>
      </c>
      <c r="DV442" s="11">
        <v>26.0</v>
      </c>
      <c r="DW442" s="11">
        <v>26.0</v>
      </c>
      <c r="DX442" s="11">
        <v>26.0</v>
      </c>
      <c r="DY442" s="11">
        <v>26.0</v>
      </c>
      <c r="DZ442" s="11">
        <v>570060.0</v>
      </c>
      <c r="EA442" s="11">
        <v>627680.0</v>
      </c>
      <c r="EB442" s="11">
        <v>624760.0</v>
      </c>
      <c r="EC442" s="11">
        <v>1060000.0</v>
      </c>
      <c r="ED442" s="11">
        <v>1220000.0</v>
      </c>
      <c r="EE442" s="14">
        <v>0.061</v>
      </c>
      <c r="EF442" s="14">
        <v>0.023</v>
      </c>
      <c r="EG442" s="14">
        <v>-0.375</v>
      </c>
      <c r="EH442" s="14">
        <v>-1.444</v>
      </c>
    </row>
    <row r="443">
      <c r="A443" s="9">
        <f t="shared" si="2"/>
        <v>441</v>
      </c>
      <c r="B443" s="22" t="s">
        <v>577</v>
      </c>
      <c r="C443" s="11">
        <v>35400.0</v>
      </c>
      <c r="D443" s="11">
        <v>15920.0</v>
      </c>
      <c r="E443" s="11">
        <v>22240.0</v>
      </c>
      <c r="F443" s="11">
        <v>10880.0</v>
      </c>
      <c r="G443" s="11">
        <v>6480.0</v>
      </c>
      <c r="H443" s="11">
        <v>7020.0</v>
      </c>
      <c r="I443" s="12"/>
      <c r="J443" s="12"/>
      <c r="K443" s="12"/>
      <c r="L443" s="12"/>
      <c r="M443" s="12"/>
      <c r="N443" s="12"/>
      <c r="O443" s="11">
        <v>104130.0</v>
      </c>
      <c r="P443" s="11">
        <v>56440.0</v>
      </c>
      <c r="Q443" s="11">
        <v>26910.0</v>
      </c>
      <c r="R443" s="11">
        <v>15200.0</v>
      </c>
      <c r="S443" s="12"/>
      <c r="T443" s="11">
        <v>78230.0</v>
      </c>
      <c r="U443" s="11">
        <v>43360.0</v>
      </c>
      <c r="V443" s="11">
        <v>19120.0</v>
      </c>
      <c r="W443" s="11">
        <v>9100.0</v>
      </c>
      <c r="X443" s="12"/>
      <c r="Y443" s="11">
        <v>-96960.0</v>
      </c>
      <c r="Z443" s="12"/>
      <c r="AA443" s="11">
        <v>-21970.0</v>
      </c>
      <c r="AB443" s="12"/>
      <c r="AC443" s="12"/>
      <c r="AD443" s="11">
        <v>-92880.0</v>
      </c>
      <c r="AE443" s="11">
        <v>-46040.0</v>
      </c>
      <c r="AF443" s="11">
        <v>-21100.0</v>
      </c>
      <c r="AG443" s="11">
        <v>-8260.0</v>
      </c>
      <c r="AH443" s="12"/>
      <c r="AI443" s="11">
        <v>-81890.0</v>
      </c>
      <c r="AJ443" s="11">
        <v>-45560.0</v>
      </c>
      <c r="AK443" s="11">
        <v>-20420.0</v>
      </c>
      <c r="AL443" s="11">
        <v>-8190.0</v>
      </c>
      <c r="AM443" s="12"/>
      <c r="AN443" s="11">
        <v>-92880.0</v>
      </c>
      <c r="AO443" s="11">
        <v>-46040.0</v>
      </c>
      <c r="AP443" s="11">
        <v>-21100.0</v>
      </c>
      <c r="AQ443" s="11">
        <v>-8250.0</v>
      </c>
      <c r="AR443" s="12"/>
      <c r="AS443" s="11">
        <v>-73640.0</v>
      </c>
      <c r="AT443" s="11">
        <v>-53860.0</v>
      </c>
      <c r="AU443" s="11">
        <v>-24170.0</v>
      </c>
      <c r="AV443" s="11">
        <v>92270.0</v>
      </c>
      <c r="AW443" s="12"/>
      <c r="AX443" s="11">
        <v>-24670.0</v>
      </c>
      <c r="AY443" s="11">
        <v>-15680.0</v>
      </c>
      <c r="AZ443" s="11">
        <v>-5570.0</v>
      </c>
      <c r="BA443" s="11">
        <v>-2080.0</v>
      </c>
      <c r="BB443" s="12"/>
      <c r="BC443" s="12"/>
      <c r="BD443" s="12"/>
      <c r="BE443" s="12"/>
      <c r="BF443" s="12"/>
      <c r="BG443" s="12"/>
      <c r="BH443" s="11">
        <v>180890.0</v>
      </c>
      <c r="BI443" s="11">
        <v>103190.0</v>
      </c>
      <c r="BJ443" s="11">
        <v>62800.0</v>
      </c>
      <c r="BK443" s="11">
        <v>93420.0</v>
      </c>
      <c r="BL443" s="12"/>
      <c r="BM443" s="11">
        <v>965.0</v>
      </c>
      <c r="BN443" s="11">
        <v>1030.0</v>
      </c>
      <c r="BO443" s="11">
        <v>22.0</v>
      </c>
      <c r="BP443" s="11">
        <v>386.0</v>
      </c>
      <c r="BQ443" s="12"/>
      <c r="BR443" s="12"/>
      <c r="BS443" s="12"/>
      <c r="BT443" s="12"/>
      <c r="BU443" s="12"/>
      <c r="BV443" s="12"/>
      <c r="BW443" s="11">
        <v>193670.0</v>
      </c>
      <c r="BX443" s="11">
        <v>113130.0</v>
      </c>
      <c r="BY443" s="11">
        <v>64260.0</v>
      </c>
      <c r="BZ443" s="11">
        <v>94400.0</v>
      </c>
      <c r="CA443" s="12"/>
      <c r="CB443" s="11">
        <v>39570.0</v>
      </c>
      <c r="CC443" s="11">
        <v>21150.0</v>
      </c>
      <c r="CD443" s="11">
        <v>8140.0</v>
      </c>
      <c r="CE443" s="11">
        <v>3540.0</v>
      </c>
      <c r="CF443" s="12"/>
      <c r="CG443" s="12"/>
      <c r="CH443" s="12"/>
      <c r="CI443" s="12"/>
      <c r="CJ443" s="12"/>
      <c r="CK443" s="12"/>
      <c r="CL443" s="11">
        <v>235230.0</v>
      </c>
      <c r="CM443" s="11">
        <v>138600.0</v>
      </c>
      <c r="CN443" s="11">
        <v>72680.0</v>
      </c>
      <c r="CO443" s="11">
        <v>98410.0</v>
      </c>
      <c r="CP443" s="12"/>
      <c r="CQ443" s="11">
        <v>2040.0</v>
      </c>
      <c r="CR443" s="11">
        <v>2220.0</v>
      </c>
      <c r="CS443" s="11">
        <v>1810.0</v>
      </c>
      <c r="CT443" s="11">
        <v>1290.0</v>
      </c>
      <c r="CU443" s="12"/>
      <c r="CV443" s="11">
        <v>26930.0</v>
      </c>
      <c r="CW443" s="12"/>
      <c r="CX443" s="12"/>
      <c r="CY443" s="12"/>
      <c r="CZ443" s="12"/>
      <c r="DA443" s="12"/>
      <c r="DB443" s="11">
        <v>26930.0</v>
      </c>
      <c r="DC443" s="11">
        <v>14080.0</v>
      </c>
      <c r="DD443" s="11">
        <v>9200.0</v>
      </c>
      <c r="DE443" s="11">
        <v>8340.0</v>
      </c>
      <c r="DF443" s="11">
        <v>96920.0</v>
      </c>
      <c r="DG443" s="11">
        <v>98640.0</v>
      </c>
      <c r="DH443" s="11">
        <v>99050.0</v>
      </c>
      <c r="DI443" s="11">
        <v>103160.0</v>
      </c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3"/>
      <c r="DV443" s="11">
        <v>5.0</v>
      </c>
      <c r="DW443" s="11">
        <v>3.0</v>
      </c>
      <c r="DX443" s="24">
        <v>3.0</v>
      </c>
      <c r="DY443" s="13"/>
      <c r="DZ443" s="11">
        <v>138310.0</v>
      </c>
      <c r="EA443" s="11">
        <v>39960.0</v>
      </c>
      <c r="EB443" s="11">
        <v>-26370.0</v>
      </c>
      <c r="EC443" s="11">
        <v>-4750.0</v>
      </c>
      <c r="ED443" s="12"/>
      <c r="EE443" s="14">
        <v>0.856</v>
      </c>
      <c r="EF443" s="23"/>
      <c r="EG443" s="14">
        <v>-0.068</v>
      </c>
      <c r="EH443" s="14">
        <v>0.091</v>
      </c>
    </row>
    <row r="444">
      <c r="A444" s="9">
        <f t="shared" si="2"/>
        <v>442</v>
      </c>
      <c r="B444" s="10" t="s">
        <v>578</v>
      </c>
      <c r="C444" s="11">
        <v>1.196E7</v>
      </c>
      <c r="D444" s="11">
        <v>1.17E7</v>
      </c>
      <c r="E444" s="11">
        <v>1.139E7</v>
      </c>
      <c r="F444" s="11">
        <v>1.14E7</v>
      </c>
      <c r="G444" s="11">
        <v>1.088E7</v>
      </c>
      <c r="H444" s="11">
        <v>1.071E7</v>
      </c>
      <c r="I444" s="11">
        <v>1.378E7</v>
      </c>
      <c r="J444" s="11">
        <v>2860000.0</v>
      </c>
      <c r="K444" s="11">
        <v>2630000.0</v>
      </c>
      <c r="L444" s="11">
        <v>2680000.0</v>
      </c>
      <c r="M444" s="11">
        <v>2770000.0</v>
      </c>
      <c r="N444" s="11">
        <v>3320000.0</v>
      </c>
      <c r="O444" s="11">
        <v>1100000.0</v>
      </c>
      <c r="P444" s="11">
        <v>1130000.0</v>
      </c>
      <c r="Q444" s="11">
        <v>1060000.0</v>
      </c>
      <c r="R444" s="11">
        <v>1080000.0</v>
      </c>
      <c r="S444" s="11">
        <v>1460000.0</v>
      </c>
      <c r="T444" s="12"/>
      <c r="U444" s="12"/>
      <c r="V444" s="12"/>
      <c r="W444" s="12"/>
      <c r="X444" s="12"/>
      <c r="Y444" s="11">
        <v>1600000.0</v>
      </c>
      <c r="Z444" s="11">
        <v>1470000.0</v>
      </c>
      <c r="AA444" s="11">
        <v>192400.0</v>
      </c>
      <c r="AB444" s="11">
        <v>-43410.0</v>
      </c>
      <c r="AC444" s="11">
        <v>1100000.0</v>
      </c>
      <c r="AD444" s="11">
        <v>1200000.0</v>
      </c>
      <c r="AE444" s="11">
        <v>1050000.0</v>
      </c>
      <c r="AF444" s="11">
        <v>1400000.0</v>
      </c>
      <c r="AG444" s="11">
        <v>1620000.0</v>
      </c>
      <c r="AH444" s="11">
        <v>723140.0</v>
      </c>
      <c r="AI444" s="11">
        <v>2370000.0</v>
      </c>
      <c r="AJ444" s="11">
        <v>2090000.0</v>
      </c>
      <c r="AK444" s="11">
        <v>2180000.0</v>
      </c>
      <c r="AL444" s="11">
        <v>2190000.0</v>
      </c>
      <c r="AM444" s="11">
        <v>2500000.0</v>
      </c>
      <c r="AN444" s="11">
        <v>706830.0</v>
      </c>
      <c r="AO444" s="11">
        <v>624320.0</v>
      </c>
      <c r="AP444" s="11">
        <v>901280.0</v>
      </c>
      <c r="AQ444" s="11">
        <v>1030000.0</v>
      </c>
      <c r="AR444" s="11">
        <v>269730.0</v>
      </c>
      <c r="AS444" s="11">
        <v>2070000.0</v>
      </c>
      <c r="AT444" s="11">
        <v>1780000.0</v>
      </c>
      <c r="AU444" s="11">
        <v>1910000.0</v>
      </c>
      <c r="AV444" s="11">
        <v>1960000.0</v>
      </c>
      <c r="AW444" s="11">
        <v>1560000.0</v>
      </c>
      <c r="AX444" s="11">
        <v>-766550.0</v>
      </c>
      <c r="AY444" s="11">
        <v>-987140.0</v>
      </c>
      <c r="AZ444" s="11">
        <v>-905250.0</v>
      </c>
      <c r="BA444" s="11">
        <v>-829100.0</v>
      </c>
      <c r="BB444" s="11">
        <v>-708000.0</v>
      </c>
      <c r="BC444" s="13"/>
      <c r="BD444" s="13"/>
      <c r="BE444" s="13"/>
      <c r="BF444" s="13"/>
      <c r="BG444" s="13"/>
      <c r="BH444" s="11">
        <v>1220000.0</v>
      </c>
      <c r="BI444" s="11">
        <v>418360.0</v>
      </c>
      <c r="BJ444" s="11">
        <v>551750.0</v>
      </c>
      <c r="BK444" s="11">
        <v>981760.0</v>
      </c>
      <c r="BL444" s="11">
        <v>1990000.0</v>
      </c>
      <c r="BM444" s="11">
        <v>2310000.0</v>
      </c>
      <c r="BN444" s="11">
        <v>2400000.0</v>
      </c>
      <c r="BO444" s="11">
        <v>2160000.0</v>
      </c>
      <c r="BP444" s="11">
        <v>1790000.0</v>
      </c>
      <c r="BQ444" s="11">
        <v>2220000.0</v>
      </c>
      <c r="BR444" s="11">
        <v>97950.0</v>
      </c>
      <c r="BS444" s="11">
        <v>107380.0</v>
      </c>
      <c r="BT444" s="11">
        <v>181800.0</v>
      </c>
      <c r="BU444" s="11">
        <v>160420.0</v>
      </c>
      <c r="BV444" s="11">
        <v>185580.0</v>
      </c>
      <c r="BW444" s="11">
        <v>3690000.0</v>
      </c>
      <c r="BX444" s="11">
        <v>8420000.0</v>
      </c>
      <c r="BY444" s="11">
        <v>8770000.0</v>
      </c>
      <c r="BZ444" s="11">
        <v>3990000.0</v>
      </c>
      <c r="CA444" s="11">
        <v>4500000.0</v>
      </c>
      <c r="CB444" s="11">
        <v>6300000.0</v>
      </c>
      <c r="CC444" s="11">
        <v>3390000.0</v>
      </c>
      <c r="CD444" s="11">
        <v>3150000.0</v>
      </c>
      <c r="CE444" s="11">
        <v>2860000.0</v>
      </c>
      <c r="CF444" s="11">
        <v>2790000.0</v>
      </c>
      <c r="CG444" s="11">
        <v>6790000.0</v>
      </c>
      <c r="CH444" s="11">
        <v>6840000.0</v>
      </c>
      <c r="CI444" s="11">
        <v>6610000.0</v>
      </c>
      <c r="CJ444" s="11">
        <v>6020000.0</v>
      </c>
      <c r="CK444" s="11">
        <v>9290000.0</v>
      </c>
      <c r="CL444" s="11">
        <v>1.808E7</v>
      </c>
      <c r="CM444" s="11">
        <v>1.932E7</v>
      </c>
      <c r="CN444" s="11">
        <v>1.918E7</v>
      </c>
      <c r="CO444" s="11">
        <v>1.915E7</v>
      </c>
      <c r="CP444" s="11">
        <v>1.902E7</v>
      </c>
      <c r="CQ444" s="11">
        <v>403840.0</v>
      </c>
      <c r="CR444" s="11">
        <v>463270.0</v>
      </c>
      <c r="CS444" s="11">
        <v>509120.0</v>
      </c>
      <c r="CT444" s="11">
        <v>456620.0</v>
      </c>
      <c r="CU444" s="11">
        <v>846050.0</v>
      </c>
      <c r="CV444" s="11">
        <v>2370000.0</v>
      </c>
      <c r="CW444" s="11">
        <v>343910.0</v>
      </c>
      <c r="CX444" s="12"/>
      <c r="CY444" s="13"/>
      <c r="CZ444" s="13"/>
      <c r="DA444" s="12"/>
      <c r="DB444" s="11">
        <v>2370000.0</v>
      </c>
      <c r="DC444" s="11">
        <v>4890000.0</v>
      </c>
      <c r="DD444" s="11">
        <v>3070000.0</v>
      </c>
      <c r="DE444" s="11">
        <v>2710000.0</v>
      </c>
      <c r="DF444" s="11">
        <v>1.458E7</v>
      </c>
      <c r="DG444" s="11">
        <v>1.429E7</v>
      </c>
      <c r="DH444" s="11">
        <v>1.328E7</v>
      </c>
      <c r="DI444" s="11">
        <v>1.333E7</v>
      </c>
      <c r="DJ444" s="11">
        <v>1.307E7</v>
      </c>
      <c r="DK444" s="11">
        <v>278500.0</v>
      </c>
      <c r="DL444" s="11">
        <v>260040.0</v>
      </c>
      <c r="DM444" s="11">
        <v>283230.0</v>
      </c>
      <c r="DN444" s="11">
        <v>522040.0</v>
      </c>
      <c r="DO444" s="11">
        <v>167490.0</v>
      </c>
      <c r="DP444" s="11">
        <v>1.07E7</v>
      </c>
      <c r="DQ444" s="11">
        <v>8170000.0</v>
      </c>
      <c r="DR444" s="11">
        <v>9160000.0</v>
      </c>
      <c r="DS444" s="11">
        <v>8940000.0</v>
      </c>
      <c r="DT444" s="11">
        <v>9000000.0</v>
      </c>
      <c r="DU444" s="13"/>
      <c r="DV444" s="12"/>
      <c r="DW444" s="12"/>
      <c r="DX444" s="13"/>
      <c r="DY444" s="13"/>
      <c r="DZ444" s="11">
        <v>2130000.0</v>
      </c>
      <c r="EA444" s="11">
        <v>3700000.0</v>
      </c>
      <c r="EB444" s="11">
        <v>4690000.0</v>
      </c>
      <c r="EC444" s="11">
        <v>4650000.0</v>
      </c>
      <c r="ED444" s="11">
        <v>4870000.0</v>
      </c>
      <c r="EE444" s="14">
        <v>0.022</v>
      </c>
      <c r="EF444" s="14">
        <v>0.043</v>
      </c>
      <c r="EG444" s="14">
        <v>0.245</v>
      </c>
      <c r="EH444" s="14">
        <v>0.175</v>
      </c>
    </row>
    <row r="445">
      <c r="A445" s="9">
        <f t="shared" si="2"/>
        <v>443</v>
      </c>
      <c r="B445" s="22" t="s">
        <v>579</v>
      </c>
      <c r="C445" s="11">
        <v>74240.0</v>
      </c>
      <c r="D445" s="11">
        <v>35300.0</v>
      </c>
      <c r="E445" s="11">
        <v>35220.0</v>
      </c>
      <c r="F445" s="11">
        <v>8200.0</v>
      </c>
      <c r="G445" s="11">
        <v>327.0</v>
      </c>
      <c r="H445" s="11">
        <v>11040.0</v>
      </c>
      <c r="I445" s="11">
        <v>4050.0</v>
      </c>
      <c r="J445" s="11">
        <v>9670.0</v>
      </c>
      <c r="K445" s="11">
        <v>-17220.0</v>
      </c>
      <c r="L445" s="12"/>
      <c r="M445" s="12"/>
      <c r="N445" s="12"/>
      <c r="O445" s="11">
        <v>128870.0</v>
      </c>
      <c r="P445" s="11">
        <v>133310.0</v>
      </c>
      <c r="Q445" s="11">
        <v>86330.0</v>
      </c>
      <c r="R445" s="11">
        <v>117040.0</v>
      </c>
      <c r="S445" s="11">
        <v>106040.0</v>
      </c>
      <c r="T445" s="11">
        <v>62330.0</v>
      </c>
      <c r="U445" s="11">
        <v>74950.0</v>
      </c>
      <c r="V445" s="11">
        <v>64990.0</v>
      </c>
      <c r="W445" s="11">
        <v>84490.0</v>
      </c>
      <c r="X445" s="11">
        <v>86940.0</v>
      </c>
      <c r="Y445" s="11">
        <v>-142340.0</v>
      </c>
      <c r="Z445" s="11">
        <v>-153320.0</v>
      </c>
      <c r="AA445" s="11">
        <v>-96010.0</v>
      </c>
      <c r="AB445" s="11">
        <v>-110710.0</v>
      </c>
      <c r="AC445" s="11">
        <v>-106740.0</v>
      </c>
      <c r="AD445" s="11">
        <v>-152600.0</v>
      </c>
      <c r="AE445" s="11">
        <v>-158900.0</v>
      </c>
      <c r="AF445" s="11">
        <v>-95150.0</v>
      </c>
      <c r="AG445" s="11">
        <v>-112440.0</v>
      </c>
      <c r="AH445" s="11">
        <v>-106790.0</v>
      </c>
      <c r="AI445" s="11">
        <v>-97660.0</v>
      </c>
      <c r="AJ445" s="11">
        <v>-136040.0</v>
      </c>
      <c r="AK445" s="11">
        <v>-86010.0</v>
      </c>
      <c r="AL445" s="11">
        <v>-105990.0</v>
      </c>
      <c r="AM445" s="11">
        <v>-101990.0</v>
      </c>
      <c r="AN445" s="11">
        <v>-152600.0</v>
      </c>
      <c r="AO445" s="11">
        <v>-158900.0</v>
      </c>
      <c r="AP445" s="11">
        <v>-95150.0</v>
      </c>
      <c r="AQ445" s="11">
        <v>-112440.0</v>
      </c>
      <c r="AR445" s="11">
        <v>-106790.0</v>
      </c>
      <c r="AS445" s="11">
        <v>-119250.0</v>
      </c>
      <c r="AT445" s="11">
        <v>-131300.0</v>
      </c>
      <c r="AU445" s="11">
        <v>-77520.0</v>
      </c>
      <c r="AV445" s="11">
        <v>-107050.0</v>
      </c>
      <c r="AW445" s="11">
        <v>-92560.0</v>
      </c>
      <c r="AX445" s="11">
        <v>-29400.0</v>
      </c>
      <c r="AY445" s="11">
        <v>-15190.0</v>
      </c>
      <c r="AZ445" s="11">
        <v>-669.0</v>
      </c>
      <c r="BA445" s="11">
        <v>-7760.0</v>
      </c>
      <c r="BB445" s="11">
        <v>-6970.0</v>
      </c>
      <c r="BC445" s="12"/>
      <c r="BD445" s="12"/>
      <c r="BE445" s="12"/>
      <c r="BF445" s="12"/>
      <c r="BG445" s="12"/>
      <c r="BH445" s="11">
        <v>151060.0</v>
      </c>
      <c r="BI445" s="11">
        <v>145540.0</v>
      </c>
      <c r="BJ445" s="11">
        <v>191850.0</v>
      </c>
      <c r="BK445" s="11">
        <v>81420.0</v>
      </c>
      <c r="BL445" s="11">
        <v>196130.0</v>
      </c>
      <c r="BM445" s="11">
        <v>8890.0</v>
      </c>
      <c r="BN445" s="11">
        <v>3700.0</v>
      </c>
      <c r="BO445" s="11">
        <v>854.0</v>
      </c>
      <c r="BP445" s="11">
        <v>1340.0</v>
      </c>
      <c r="BQ445" s="11">
        <v>1390.0</v>
      </c>
      <c r="BR445" s="11">
        <v>41330.0</v>
      </c>
      <c r="BS445" s="11">
        <v>19020.0</v>
      </c>
      <c r="BT445" s="11">
        <v>312.0</v>
      </c>
      <c r="BU445" s="12"/>
      <c r="BV445" s="12"/>
      <c r="BW445" s="11">
        <v>208650.0</v>
      </c>
      <c r="BX445" s="11">
        <v>174360.0</v>
      </c>
      <c r="BY445" s="11">
        <v>198020.0</v>
      </c>
      <c r="BZ445" s="11">
        <v>89600.0</v>
      </c>
      <c r="CA445" s="11">
        <v>199950.0</v>
      </c>
      <c r="CB445" s="11">
        <v>62270.0</v>
      </c>
      <c r="CC445" s="11">
        <v>17060.0</v>
      </c>
      <c r="CD445" s="11">
        <v>16620.0</v>
      </c>
      <c r="CE445" s="11">
        <v>17170.0</v>
      </c>
      <c r="CF445" s="11">
        <v>13800.0</v>
      </c>
      <c r="CG445" s="11">
        <v>2080.0</v>
      </c>
      <c r="CH445" s="11">
        <v>2140.0</v>
      </c>
      <c r="CI445" s="11">
        <v>2240.0</v>
      </c>
      <c r="CJ445" s="11">
        <v>1970.0</v>
      </c>
      <c r="CK445" s="11">
        <v>2040.0</v>
      </c>
      <c r="CL445" s="11">
        <v>279070.0</v>
      </c>
      <c r="CM445" s="11">
        <v>210880.0</v>
      </c>
      <c r="CN445" s="11">
        <v>218790.0</v>
      </c>
      <c r="CO445" s="11">
        <v>109680.0</v>
      </c>
      <c r="CP445" s="11">
        <v>216630.0</v>
      </c>
      <c r="CQ445" s="11">
        <v>9280.0</v>
      </c>
      <c r="CR445" s="11">
        <v>5280.0</v>
      </c>
      <c r="CS445" s="11">
        <v>4540.0</v>
      </c>
      <c r="CT445" s="11">
        <v>3800.0</v>
      </c>
      <c r="CU445" s="11">
        <v>3430.0</v>
      </c>
      <c r="CV445" s="11">
        <v>53050.0</v>
      </c>
      <c r="CW445" s="11">
        <v>3040.0</v>
      </c>
      <c r="CX445" s="12"/>
      <c r="CY445" s="12"/>
      <c r="CZ445" s="12"/>
      <c r="DA445" s="12"/>
      <c r="DB445" s="11">
        <v>53050.0</v>
      </c>
      <c r="DC445" s="11">
        <v>38030.0</v>
      </c>
      <c r="DD445" s="11">
        <v>18590.0</v>
      </c>
      <c r="DE445" s="11">
        <v>20040.0</v>
      </c>
      <c r="DF445" s="11">
        <v>270780.0</v>
      </c>
      <c r="DG445" s="11">
        <v>147820.0</v>
      </c>
      <c r="DH445" s="11">
        <v>19240.0</v>
      </c>
      <c r="DI445" s="11">
        <v>20480.0</v>
      </c>
      <c r="DJ445" s="11">
        <v>29550.0</v>
      </c>
      <c r="DK445" s="11">
        <v>216.0</v>
      </c>
      <c r="DL445" s="11">
        <v>619.0</v>
      </c>
      <c r="DM445" s="11">
        <v>629.0</v>
      </c>
      <c r="DN445" s="24">
        <v>602.0</v>
      </c>
      <c r="DO445" s="11">
        <v>609.0</v>
      </c>
      <c r="DP445" s="11">
        <v>216450.0</v>
      </c>
      <c r="DQ445" s="11">
        <v>100870.0</v>
      </c>
      <c r="DR445" s="12"/>
      <c r="DS445" s="12"/>
      <c r="DT445" s="12"/>
      <c r="DU445" s="13"/>
      <c r="DV445" s="12"/>
      <c r="DW445" s="12"/>
      <c r="DX445" s="13"/>
      <c r="DY445" s="13"/>
      <c r="DZ445" s="11">
        <v>8290.0</v>
      </c>
      <c r="EA445" s="11">
        <v>63070.0</v>
      </c>
      <c r="EB445" s="11">
        <v>199550.0</v>
      </c>
      <c r="EC445" s="11">
        <v>89200.0</v>
      </c>
      <c r="ED445" s="11">
        <v>187080.0</v>
      </c>
      <c r="EE445" s="14">
        <v>0.267</v>
      </c>
      <c r="EF445" s="14">
        <v>0.7</v>
      </c>
      <c r="EG445" s="14">
        <v>-1.208</v>
      </c>
      <c r="EH445" s="14">
        <v>-0.32</v>
      </c>
    </row>
    <row r="446">
      <c r="A446" s="9">
        <f t="shared" si="2"/>
        <v>444</v>
      </c>
      <c r="B446" s="25" t="s">
        <v>580</v>
      </c>
      <c r="C446" s="12">
        <v>51000.0</v>
      </c>
      <c r="D446" s="12">
        <v>49500.0</v>
      </c>
      <c r="E446" s="12">
        <v>45960.0</v>
      </c>
      <c r="F446" s="12">
        <v>47020.0</v>
      </c>
      <c r="G446" s="12">
        <v>46740.0</v>
      </c>
      <c r="H446" s="12">
        <v>45870.0</v>
      </c>
      <c r="I446" s="12">
        <v>46540.0</v>
      </c>
      <c r="J446" s="12">
        <v>13540.0</v>
      </c>
      <c r="K446" s="12">
        <v>14450.0</v>
      </c>
      <c r="L446" s="12">
        <v>14410.0</v>
      </c>
      <c r="M446" s="12">
        <v>14240.0</v>
      </c>
      <c r="N446" s="12">
        <v>13400.0</v>
      </c>
      <c r="O446" s="12">
        <v>7520.0</v>
      </c>
      <c r="P446" s="12">
        <v>7310.0</v>
      </c>
      <c r="Q446" s="12">
        <v>7350.0</v>
      </c>
      <c r="R446" s="12">
        <v>7400.0</v>
      </c>
      <c r="S446" s="12">
        <v>7410.0</v>
      </c>
      <c r="T446" s="12">
        <v>0.0</v>
      </c>
      <c r="U446" s="12">
        <v>0.0</v>
      </c>
      <c r="V446" s="12">
        <v>0.0</v>
      </c>
      <c r="W446" s="12">
        <v>0.0</v>
      </c>
      <c r="X446" s="12">
        <v>0.0</v>
      </c>
      <c r="Y446" s="12">
        <v>3840.0</v>
      </c>
      <c r="Z446" s="12">
        <v>6720.0</v>
      </c>
      <c r="AA446" s="12">
        <v>0.0</v>
      </c>
      <c r="AB446" s="12">
        <v>6570.0</v>
      </c>
      <c r="AC446" s="12">
        <v>6070.0</v>
      </c>
      <c r="AD446" s="12">
        <v>7290.0</v>
      </c>
      <c r="AE446" s="12">
        <v>9070.0</v>
      </c>
      <c r="AF446" s="12">
        <v>6540.0</v>
      </c>
      <c r="AG446" s="12">
        <v>6390.0</v>
      </c>
      <c r="AH446" s="12">
        <v>8600.0</v>
      </c>
      <c r="AI446" s="12">
        <v>9200.0</v>
      </c>
      <c r="AJ446" s="12">
        <v>10430.0</v>
      </c>
      <c r="AK446" s="12">
        <v>10630.0</v>
      </c>
      <c r="AL446" s="12">
        <v>10280.0</v>
      </c>
      <c r="AM446" s="12">
        <v>11310.0</v>
      </c>
      <c r="AN446" s="12">
        <v>5410.0</v>
      </c>
      <c r="AO446" s="12">
        <v>6780.0</v>
      </c>
      <c r="AP446" s="12">
        <v>8290.0</v>
      </c>
      <c r="AQ446" s="12">
        <v>3740.0</v>
      </c>
      <c r="AR446" s="12">
        <v>5200.0</v>
      </c>
      <c r="AS446" s="12">
        <v>6780.0</v>
      </c>
      <c r="AT446" s="12">
        <v>6950.0</v>
      </c>
      <c r="AU446" s="12">
        <v>5830.0</v>
      </c>
      <c r="AV446" s="12">
        <v>6810.0</v>
      </c>
      <c r="AW446" s="12">
        <v>7060.0</v>
      </c>
      <c r="AX446" s="12">
        <v>-6450.0</v>
      </c>
      <c r="AY446" s="12">
        <v>0.0</v>
      </c>
      <c r="AZ446" s="12">
        <v>-1880.0</v>
      </c>
      <c r="BA446" s="12">
        <v>-2580.0</v>
      </c>
      <c r="BB446" s="12">
        <v>-1450.0</v>
      </c>
      <c r="BC446" s="12">
        <v>-3640.0</v>
      </c>
      <c r="BD446" s="12">
        <v>-2930.0</v>
      </c>
      <c r="BE446" s="12">
        <v>-2940.0</v>
      </c>
      <c r="BF446" s="12">
        <v>-1840.0</v>
      </c>
      <c r="BG446" s="12">
        <v>-1840.0</v>
      </c>
      <c r="BH446" s="12">
        <v>7580.0</v>
      </c>
      <c r="BI446" s="12">
        <v>3950.0</v>
      </c>
      <c r="BJ446" s="12">
        <v>0.0</v>
      </c>
      <c r="BK446" s="12">
        <v>0.0</v>
      </c>
      <c r="BL446" s="12">
        <v>0.0</v>
      </c>
      <c r="BM446" s="12">
        <v>0.0</v>
      </c>
      <c r="BN446" s="12">
        <v>0.0</v>
      </c>
      <c r="BO446" s="12">
        <v>1040.0</v>
      </c>
      <c r="BP446" s="12">
        <v>0.0</v>
      </c>
      <c r="BQ446" s="12">
        <v>0.0</v>
      </c>
      <c r="BR446" s="12">
        <v>0.0</v>
      </c>
      <c r="BS446" s="12">
        <v>0.0</v>
      </c>
      <c r="BT446" s="12">
        <v>0.0</v>
      </c>
      <c r="BU446" s="12">
        <v>0.0</v>
      </c>
      <c r="BV446" s="12">
        <v>0.0</v>
      </c>
      <c r="BW446" s="12">
        <v>9710.0</v>
      </c>
      <c r="BX446" s="12">
        <v>6230.0</v>
      </c>
      <c r="BY446" s="12">
        <v>4630.0</v>
      </c>
      <c r="BZ446" s="12">
        <v>27540.0</v>
      </c>
      <c r="CA446" s="12">
        <v>27510.0</v>
      </c>
      <c r="CB446" s="12">
        <v>50260.0</v>
      </c>
      <c r="CC446" s="12">
        <v>48140.0</v>
      </c>
      <c r="CD446" s="12">
        <v>51000.0</v>
      </c>
      <c r="CE446" s="12">
        <v>52720.0</v>
      </c>
      <c r="CF446" s="12">
        <v>53540.0</v>
      </c>
      <c r="CG446" s="12">
        <v>0.0</v>
      </c>
      <c r="CH446" s="12">
        <v>0.0</v>
      </c>
      <c r="CI446" s="12">
        <v>0.0</v>
      </c>
      <c r="CJ446" s="12">
        <v>0.0</v>
      </c>
      <c r="CK446" s="12">
        <v>0.0</v>
      </c>
      <c r="CL446" s="12">
        <v>82470.0</v>
      </c>
      <c r="CM446" s="12">
        <v>78950.0</v>
      </c>
      <c r="CN446" s="12">
        <v>80280.0</v>
      </c>
      <c r="CO446" s="12">
        <v>81290.0</v>
      </c>
      <c r="CP446" s="12">
        <v>82450.0</v>
      </c>
      <c r="CQ446" s="12">
        <v>0.0</v>
      </c>
      <c r="CR446" s="12">
        <v>0.0</v>
      </c>
      <c r="CS446" s="12">
        <v>0.0</v>
      </c>
      <c r="CT446" s="12">
        <v>0.0</v>
      </c>
      <c r="CU446" s="12">
        <v>0.0</v>
      </c>
      <c r="CV446" s="12">
        <v>4810.0</v>
      </c>
      <c r="CW446" s="12">
        <v>0.0</v>
      </c>
      <c r="CX446" s="12">
        <v>0.0</v>
      </c>
      <c r="CY446" s="12">
        <v>0.0</v>
      </c>
      <c r="CZ446" s="12">
        <v>0.0</v>
      </c>
      <c r="DA446" s="12">
        <v>0.0</v>
      </c>
      <c r="DB446" s="12">
        <v>4810.0</v>
      </c>
      <c r="DC446" s="12">
        <v>4540.0</v>
      </c>
      <c r="DD446" s="12">
        <v>4370.0</v>
      </c>
      <c r="DE446" s="12">
        <v>4790.0</v>
      </c>
      <c r="DF446" s="12">
        <v>18500.0</v>
      </c>
      <c r="DG446" s="12">
        <v>16070.0</v>
      </c>
      <c r="DH446" s="12">
        <v>21060.0</v>
      </c>
      <c r="DI446" s="12">
        <v>27480.0</v>
      </c>
      <c r="DJ446" s="12">
        <v>30460.0</v>
      </c>
      <c r="DK446" s="12">
        <v>0.0</v>
      </c>
      <c r="DL446" s="12">
        <v>0.0</v>
      </c>
      <c r="DM446" s="12">
        <v>0.0</v>
      </c>
      <c r="DN446" s="12">
        <v>0.0</v>
      </c>
      <c r="DO446" s="12">
        <v>0.0</v>
      </c>
      <c r="DP446" s="12">
        <v>0.0</v>
      </c>
      <c r="DQ446" s="12">
        <v>0.0</v>
      </c>
      <c r="DR446" s="12">
        <v>3240.0</v>
      </c>
      <c r="DS446" s="12">
        <v>3840.0</v>
      </c>
      <c r="DT446" s="12">
        <v>5900.0</v>
      </c>
      <c r="DU446" s="13">
        <v>0.0</v>
      </c>
      <c r="DV446" s="12">
        <v>0.0</v>
      </c>
      <c r="DW446" s="12">
        <v>0.0</v>
      </c>
      <c r="DX446" s="13">
        <v>0.0</v>
      </c>
      <c r="DY446" s="13">
        <v>0.0</v>
      </c>
      <c r="DZ446" s="12">
        <v>63970.0</v>
      </c>
      <c r="EA446" s="12">
        <v>62890.0</v>
      </c>
      <c r="EB446" s="12">
        <v>59220.0</v>
      </c>
      <c r="EC446" s="12">
        <v>53810.0</v>
      </c>
      <c r="ED446" s="12">
        <v>51990.0</v>
      </c>
      <c r="EE446" s="17">
        <v>0.0</v>
      </c>
      <c r="EF446" s="17">
        <v>0.0</v>
      </c>
      <c r="EG446" s="23" t="s">
        <v>155</v>
      </c>
      <c r="EH446" s="17"/>
    </row>
    <row r="447">
      <c r="A447" s="9">
        <f t="shared" si="2"/>
        <v>445</v>
      </c>
      <c r="B447" s="10" t="s">
        <v>581</v>
      </c>
      <c r="C447" s="15">
        <v>1.699E7</v>
      </c>
      <c r="D447" s="15">
        <v>1.741E7</v>
      </c>
      <c r="E447" s="15">
        <v>1.958E7</v>
      </c>
      <c r="F447" s="15">
        <v>2.075E7</v>
      </c>
      <c r="G447" s="15">
        <v>2.173E7</v>
      </c>
      <c r="H447" s="15">
        <v>7610000.0</v>
      </c>
      <c r="I447" s="15">
        <v>7110000.0</v>
      </c>
      <c r="J447" s="15">
        <v>2660000.0</v>
      </c>
      <c r="K447" s="15">
        <v>3840000.0</v>
      </c>
      <c r="L447" s="15">
        <v>3620000.0</v>
      </c>
      <c r="M447" s="15">
        <v>1420000.0</v>
      </c>
      <c r="N447" s="15">
        <v>1230000.0</v>
      </c>
      <c r="O447" s="15">
        <v>1660000.0</v>
      </c>
      <c r="P447" s="15">
        <v>1560000.0</v>
      </c>
      <c r="Q447" s="15">
        <v>1530000.0</v>
      </c>
      <c r="R447" s="15">
        <v>957000.0</v>
      </c>
      <c r="S447" s="15">
        <v>1030000.0</v>
      </c>
      <c r="T447" s="15">
        <v>0.0</v>
      </c>
      <c r="U447" s="15">
        <v>0.0</v>
      </c>
      <c r="V447" s="15">
        <v>0.0</v>
      </c>
      <c r="W447" s="15">
        <v>0.0</v>
      </c>
      <c r="X447" s="15">
        <v>0.0</v>
      </c>
      <c r="Y447" s="15">
        <v>-5770000.0</v>
      </c>
      <c r="Z447" s="15">
        <v>1430000.0</v>
      </c>
      <c r="AA447" s="15">
        <v>-1030000.0</v>
      </c>
      <c r="AB447" s="15">
        <v>-186000.0</v>
      </c>
      <c r="AC447" s="15">
        <v>60000.0</v>
      </c>
      <c r="AD447" s="15">
        <v>-5230000.0</v>
      </c>
      <c r="AE447" s="15">
        <v>1520000.0</v>
      </c>
      <c r="AF447" s="15">
        <v>1300000.0</v>
      </c>
      <c r="AG447" s="15">
        <v>-174000.0</v>
      </c>
      <c r="AH447" s="15">
        <v>10000.0</v>
      </c>
      <c r="AI447" s="15">
        <v>3030000.0</v>
      </c>
      <c r="AJ447" s="15">
        <v>4300000.0</v>
      </c>
      <c r="AK447" s="15">
        <v>4100000.0</v>
      </c>
      <c r="AL447" s="15">
        <v>1120000.0</v>
      </c>
      <c r="AM447" s="15">
        <v>872000.0</v>
      </c>
      <c r="AN447" s="15">
        <v>-5370000.0</v>
      </c>
      <c r="AO447" s="15">
        <v>1220000.0</v>
      </c>
      <c r="AP447" s="15">
        <v>1520000.0</v>
      </c>
      <c r="AQ447" s="15">
        <v>-123000.0</v>
      </c>
      <c r="AR447" s="15">
        <v>71000.0</v>
      </c>
      <c r="AS447" s="15">
        <v>3050000.0</v>
      </c>
      <c r="AT447" s="15">
        <v>1780000.0</v>
      </c>
      <c r="AU447" s="15">
        <v>2570000.0</v>
      </c>
      <c r="AV447" s="15">
        <v>978000.0</v>
      </c>
      <c r="AW447" s="15">
        <v>802000.0</v>
      </c>
      <c r="AX447" s="15">
        <v>-866000.0</v>
      </c>
      <c r="AY447" s="15">
        <v>-952000.0</v>
      </c>
      <c r="AZ447" s="15">
        <v>-763000.0</v>
      </c>
      <c r="BA447" s="15">
        <v>-487000.0</v>
      </c>
      <c r="BB447" s="15">
        <v>-641000.0</v>
      </c>
      <c r="BC447" s="15">
        <v>-214000.0</v>
      </c>
      <c r="BD447" s="15">
        <v>-210000.0</v>
      </c>
      <c r="BE447" s="15">
        <v>-174000.0</v>
      </c>
      <c r="BF447" s="15">
        <v>-78000.0</v>
      </c>
      <c r="BG447" s="15">
        <v>-430000.0</v>
      </c>
      <c r="BH447" s="15">
        <v>3680000.0</v>
      </c>
      <c r="BI447" s="15">
        <v>2900000.0</v>
      </c>
      <c r="BJ447" s="15">
        <v>2590000.0</v>
      </c>
      <c r="BK447" s="15">
        <v>1260000.0</v>
      </c>
      <c r="BL447" s="15">
        <v>1240000.0</v>
      </c>
      <c r="BM447" s="15">
        <v>4390000.0</v>
      </c>
      <c r="BN447" s="15">
        <v>5180000.0</v>
      </c>
      <c r="BO447" s="15">
        <v>5480000.0</v>
      </c>
      <c r="BP447" s="15">
        <v>1640000.0</v>
      </c>
      <c r="BQ447" s="15">
        <v>1830000.0</v>
      </c>
      <c r="BR447" s="15">
        <v>0.0</v>
      </c>
      <c r="BS447" s="15">
        <v>0.0</v>
      </c>
      <c r="BT447" s="15">
        <v>0.0</v>
      </c>
      <c r="BU447" s="15">
        <v>0.0</v>
      </c>
      <c r="BV447" s="15">
        <v>0.0</v>
      </c>
      <c r="BW447" s="15">
        <v>8990000.0</v>
      </c>
      <c r="BX447" s="15">
        <v>9070000.0</v>
      </c>
      <c r="BY447" s="15">
        <v>9620000.0</v>
      </c>
      <c r="BZ447" s="15">
        <v>3250000.0</v>
      </c>
      <c r="CA447" s="15">
        <v>3410000.0</v>
      </c>
      <c r="CB447" s="15">
        <v>4980000.0</v>
      </c>
      <c r="CC447" s="15">
        <v>3180000.0</v>
      </c>
      <c r="CD447" s="15">
        <v>3360000.0</v>
      </c>
      <c r="CE447" s="15">
        <v>903000.0</v>
      </c>
      <c r="CF447" s="15">
        <v>1030000.0</v>
      </c>
      <c r="CG447" s="15">
        <v>2020000.0</v>
      </c>
      <c r="CH447" s="15">
        <v>7610000.0</v>
      </c>
      <c r="CI447" s="15">
        <v>7620000.0</v>
      </c>
      <c r="CJ447" s="15">
        <v>1860000.0</v>
      </c>
      <c r="CK447" s="15">
        <v>1280000.0</v>
      </c>
      <c r="CL447" s="15">
        <v>2.601E7</v>
      </c>
      <c r="CM447" s="15">
        <v>2.957E7</v>
      </c>
      <c r="CN447" s="15">
        <v>3.392E7</v>
      </c>
      <c r="CO447" s="15">
        <v>8660000.0</v>
      </c>
      <c r="CP447" s="15">
        <v>7740000.0</v>
      </c>
      <c r="CQ447" s="15">
        <v>1600000.0</v>
      </c>
      <c r="CR447" s="15">
        <v>1670000.0</v>
      </c>
      <c r="CS447" s="15">
        <v>1510000.0</v>
      </c>
      <c r="CT447" s="15">
        <v>410000.0</v>
      </c>
      <c r="CU447" s="15">
        <v>341000.0</v>
      </c>
      <c r="CV447" s="15">
        <v>7900000.0</v>
      </c>
      <c r="CW447" s="15">
        <v>1020000.0</v>
      </c>
      <c r="CX447" s="15">
        <v>694000.0</v>
      </c>
      <c r="CY447" s="15">
        <v>863000.0</v>
      </c>
      <c r="CZ447" s="15">
        <v>646000.0</v>
      </c>
      <c r="DA447" s="15">
        <v>559000.0</v>
      </c>
      <c r="DB447" s="15">
        <v>7900000.0</v>
      </c>
      <c r="DC447" s="15">
        <v>9450000.0</v>
      </c>
      <c r="DD447" s="15">
        <v>9850000.0</v>
      </c>
      <c r="DE447" s="15">
        <v>2950000.0</v>
      </c>
      <c r="DF447" s="15">
        <v>2.088E7</v>
      </c>
      <c r="DG447" s="15">
        <v>1.785E7</v>
      </c>
      <c r="DH447" s="15">
        <v>2.008E7</v>
      </c>
      <c r="DI447" s="15">
        <v>6500000.0</v>
      </c>
      <c r="DJ447" s="15">
        <v>5700000.0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9740000.0</v>
      </c>
      <c r="DQ447" s="15">
        <v>5470000.0</v>
      </c>
      <c r="DR447" s="15">
        <v>6090000.0</v>
      </c>
      <c r="DS447" s="15">
        <v>2230000.0</v>
      </c>
      <c r="DT447" s="15">
        <v>1930000.0</v>
      </c>
      <c r="DU447" s="16">
        <v>0.0</v>
      </c>
      <c r="DV447" s="15">
        <v>0.0</v>
      </c>
      <c r="DW447" s="15">
        <v>0.0</v>
      </c>
      <c r="DX447" s="16">
        <v>0.0</v>
      </c>
      <c r="DY447" s="15">
        <v>0.0</v>
      </c>
      <c r="DZ447" s="15">
        <v>4790000.0</v>
      </c>
      <c r="EA447" s="15">
        <v>1.14E7</v>
      </c>
      <c r="EB447" s="15">
        <v>1.349E7</v>
      </c>
      <c r="EC447" s="15">
        <v>1890000.0</v>
      </c>
      <c r="ED447" s="15">
        <v>2030000.0</v>
      </c>
      <c r="EE447" s="17">
        <v>0.126</v>
      </c>
      <c r="EF447" s="17">
        <v>0.184</v>
      </c>
      <c r="EG447" s="17">
        <v>0.237</v>
      </c>
      <c r="EH447" s="17">
        <v>0.095</v>
      </c>
    </row>
    <row r="448">
      <c r="A448" s="9">
        <f t="shared" si="2"/>
        <v>446</v>
      </c>
      <c r="B448" s="32" t="s">
        <v>582</v>
      </c>
      <c r="C448" s="11"/>
      <c r="D448" s="11">
        <v>458260.0</v>
      </c>
      <c r="E448" s="11">
        <v>474040.0</v>
      </c>
      <c r="F448" s="11">
        <v>473760.0</v>
      </c>
      <c r="G448" s="11">
        <v>467980.0</v>
      </c>
      <c r="H448" s="11">
        <v>450280.0</v>
      </c>
      <c r="I448" s="11">
        <v>442220.0</v>
      </c>
      <c r="J448" s="11">
        <v>179640.0</v>
      </c>
      <c r="K448" s="11">
        <v>182640.0</v>
      </c>
      <c r="L448" s="11">
        <v>179280.0</v>
      </c>
      <c r="M448" s="11">
        <v>174660.0</v>
      </c>
      <c r="N448" s="11">
        <v>175480.0</v>
      </c>
      <c r="O448" s="11">
        <v>180660.0</v>
      </c>
      <c r="P448" s="11">
        <v>183870.0</v>
      </c>
      <c r="Q448" s="11">
        <v>193230.0</v>
      </c>
      <c r="R448" s="11">
        <v>173280.0</v>
      </c>
      <c r="S448" s="11">
        <v>176770.0</v>
      </c>
      <c r="T448" s="12"/>
      <c r="U448" s="12"/>
      <c r="V448" s="12"/>
      <c r="W448" s="12"/>
      <c r="X448" s="12"/>
      <c r="Y448" s="11">
        <v>-4390.0</v>
      </c>
      <c r="Z448" s="11">
        <v>-10310.0</v>
      </c>
      <c r="AA448" s="11">
        <v>-18040.0</v>
      </c>
      <c r="AB448" s="11">
        <v>977.0</v>
      </c>
      <c r="AC448" s="11">
        <v>-5090.0</v>
      </c>
      <c r="AD448" s="11">
        <v>-7690.0</v>
      </c>
      <c r="AE448" s="11">
        <v>-13580.0</v>
      </c>
      <c r="AF448" s="11">
        <v>-21400.0</v>
      </c>
      <c r="AG448" s="11">
        <v>-2090.0</v>
      </c>
      <c r="AH448" s="11">
        <v>-8150.0</v>
      </c>
      <c r="AI448" s="11">
        <v>23540.0</v>
      </c>
      <c r="AJ448" s="11">
        <v>27420.0</v>
      </c>
      <c r="AK448" s="11">
        <v>17130.0</v>
      </c>
      <c r="AL448" s="11">
        <v>31600.0</v>
      </c>
      <c r="AM448" s="11">
        <v>27070.0</v>
      </c>
      <c r="AN448" s="11">
        <v>-7800.0</v>
      </c>
      <c r="AO448" s="11">
        <v>-13530.0</v>
      </c>
      <c r="AP448" s="11">
        <v>-18830.0</v>
      </c>
      <c r="AQ448" s="11">
        <v>-2260.0</v>
      </c>
      <c r="AR448" s="11">
        <v>-8410.0</v>
      </c>
      <c r="AS448" s="11">
        <v>20060.0</v>
      </c>
      <c r="AT448" s="11">
        <v>15740.0</v>
      </c>
      <c r="AU448" s="11">
        <v>30960.0</v>
      </c>
      <c r="AV448" s="11">
        <v>34960.0</v>
      </c>
      <c r="AW448" s="11">
        <v>18380.0</v>
      </c>
      <c r="AX448" s="11">
        <v>-13400.0</v>
      </c>
      <c r="AY448" s="11">
        <v>-12960.0</v>
      </c>
      <c r="AZ448" s="11">
        <v>-22570.0</v>
      </c>
      <c r="BA448" s="11">
        <v>-29240.0</v>
      </c>
      <c r="BB448" s="11">
        <v>-33450.0</v>
      </c>
      <c r="BC448" s="12"/>
      <c r="BD448" s="12"/>
      <c r="BE448" s="12"/>
      <c r="BF448" s="12"/>
      <c r="BG448" s="12"/>
      <c r="BH448" s="11">
        <v>4340.0</v>
      </c>
      <c r="BI448" s="11">
        <v>4870.0</v>
      </c>
      <c r="BJ448" s="11">
        <v>5360.0</v>
      </c>
      <c r="BK448" s="11">
        <v>5570.0</v>
      </c>
      <c r="BL448" s="11">
        <v>5170.0</v>
      </c>
      <c r="BM448" s="11">
        <v>6220.0</v>
      </c>
      <c r="BN448" s="11">
        <v>4420.0</v>
      </c>
      <c r="BO448" s="11">
        <v>3050.0</v>
      </c>
      <c r="BP448" s="11">
        <v>7110.0</v>
      </c>
      <c r="BQ448" s="11">
        <v>4720.0</v>
      </c>
      <c r="BR448" s="11">
        <v>102420.0</v>
      </c>
      <c r="BS448" s="11">
        <v>106840.0</v>
      </c>
      <c r="BT448" s="11">
        <v>103330.0</v>
      </c>
      <c r="BU448" s="11">
        <v>117450.0</v>
      </c>
      <c r="BV448" s="11">
        <v>125010.0</v>
      </c>
      <c r="BW448" s="11">
        <v>123860.0</v>
      </c>
      <c r="BX448" s="11">
        <v>127660.0</v>
      </c>
      <c r="BY448" s="11">
        <v>121670.0</v>
      </c>
      <c r="BZ448" s="11">
        <v>138950.0</v>
      </c>
      <c r="CA448" s="11">
        <v>143160.0</v>
      </c>
      <c r="CB448" s="11">
        <v>264690.0</v>
      </c>
      <c r="CC448" s="11">
        <v>92530.0</v>
      </c>
      <c r="CD448" s="11">
        <v>111030.0</v>
      </c>
      <c r="CE448" s="11">
        <v>124350.0</v>
      </c>
      <c r="CF448" s="11">
        <v>124960.0</v>
      </c>
      <c r="CG448" s="12"/>
      <c r="CH448" s="12"/>
      <c r="CI448" s="12"/>
      <c r="CJ448" s="12"/>
      <c r="CK448" s="12"/>
      <c r="CL448" s="11">
        <v>390920.0</v>
      </c>
      <c r="CM448" s="11">
        <v>226080.0</v>
      </c>
      <c r="CN448" s="11">
        <v>240410.0</v>
      </c>
      <c r="CO448" s="11">
        <v>269330.0</v>
      </c>
      <c r="CP448" s="11">
        <v>274350.0</v>
      </c>
      <c r="CQ448" s="11">
        <v>31760.0</v>
      </c>
      <c r="CR448" s="11">
        <v>34420.0</v>
      </c>
      <c r="CS448" s="11">
        <v>33990.0</v>
      </c>
      <c r="CT448" s="11">
        <v>31260.0</v>
      </c>
      <c r="CU448" s="11">
        <v>30680.0</v>
      </c>
      <c r="CV448" s="11">
        <v>130360.0</v>
      </c>
      <c r="CW448" s="11">
        <v>80480.0</v>
      </c>
      <c r="CX448" s="11">
        <v>41910.0</v>
      </c>
      <c r="CY448" s="11">
        <v>47390.0</v>
      </c>
      <c r="CZ448" s="11">
        <v>44100.0</v>
      </c>
      <c r="DA448" s="11">
        <v>41980.0</v>
      </c>
      <c r="DB448" s="11">
        <v>130360.0</v>
      </c>
      <c r="DC448" s="11">
        <v>107930.0</v>
      </c>
      <c r="DD448" s="11">
        <v>109810.0</v>
      </c>
      <c r="DE448" s="11">
        <v>115700.0</v>
      </c>
      <c r="DF448" s="11">
        <v>332490.0</v>
      </c>
      <c r="DG448" s="11">
        <v>167440.0</v>
      </c>
      <c r="DH448" s="11">
        <v>170420.0</v>
      </c>
      <c r="DI448" s="11">
        <v>180810.0</v>
      </c>
      <c r="DJ448" s="11">
        <v>185940.0</v>
      </c>
      <c r="DK448" s="12"/>
      <c r="DL448" s="12"/>
      <c r="DM448" s="12"/>
      <c r="DN448" s="12"/>
      <c r="DO448" s="12"/>
      <c r="DP448" s="11">
        <v>196860.0</v>
      </c>
      <c r="DQ448" s="11">
        <v>14760.0</v>
      </c>
      <c r="DR448" s="11">
        <v>10670.0</v>
      </c>
      <c r="DS448" s="11">
        <v>12060.0</v>
      </c>
      <c r="DT448" s="11">
        <v>19000.0</v>
      </c>
      <c r="DU448" s="13"/>
      <c r="DV448" s="12"/>
      <c r="DW448" s="12"/>
      <c r="DX448" s="12"/>
      <c r="DY448" s="12"/>
      <c r="DZ448" s="11">
        <v>58420.0</v>
      </c>
      <c r="EA448" s="11">
        <v>58640.0</v>
      </c>
      <c r="EB448" s="11">
        <v>69990.0</v>
      </c>
      <c r="EC448" s="11">
        <v>88520.0</v>
      </c>
      <c r="ED448" s="11">
        <v>88400.0</v>
      </c>
      <c r="EE448" s="14">
        <v>0.0</v>
      </c>
      <c r="EF448" s="14"/>
      <c r="EG448" s="14">
        <v>0.0</v>
      </c>
      <c r="EH448" s="14"/>
    </row>
    <row r="449">
      <c r="A449" s="9">
        <f t="shared" si="2"/>
        <v>447</v>
      </c>
      <c r="B449" s="32" t="s">
        <v>583</v>
      </c>
      <c r="C449" s="11">
        <v>3450000.0</v>
      </c>
      <c r="D449" s="11">
        <v>3340000.0</v>
      </c>
      <c r="E449" s="11">
        <v>3340000.0</v>
      </c>
      <c r="F449" s="11">
        <v>3130000.0</v>
      </c>
      <c r="G449" s="11">
        <v>2820000.0</v>
      </c>
      <c r="H449" s="11">
        <v>2670000.0</v>
      </c>
      <c r="I449" s="11">
        <v>2020000.0</v>
      </c>
      <c r="J449" s="11">
        <v>372400.0</v>
      </c>
      <c r="K449" s="11">
        <v>385710.0</v>
      </c>
      <c r="L449" s="11">
        <v>369630.0</v>
      </c>
      <c r="M449" s="11">
        <v>464020.0</v>
      </c>
      <c r="N449" s="11">
        <v>333020.0</v>
      </c>
      <c r="O449" s="11">
        <v>254590.0</v>
      </c>
      <c r="P449" s="11">
        <v>269140.0</v>
      </c>
      <c r="Q449" s="11">
        <v>249860.0</v>
      </c>
      <c r="R449" s="11">
        <v>216450.0</v>
      </c>
      <c r="S449" s="11">
        <v>178700.0</v>
      </c>
      <c r="T449" s="11"/>
      <c r="U449" s="11"/>
      <c r="V449" s="11"/>
      <c r="W449" s="11"/>
      <c r="X449" s="11"/>
      <c r="Y449" s="11">
        <v>117730.0</v>
      </c>
      <c r="Z449" s="11">
        <v>116410.0</v>
      </c>
      <c r="AA449" s="12"/>
      <c r="AB449" s="11">
        <v>230610.0</v>
      </c>
      <c r="AC449" s="12"/>
      <c r="AD449" s="11">
        <v>78540.0</v>
      </c>
      <c r="AE449" s="11">
        <v>88040.0</v>
      </c>
      <c r="AF449" s="11">
        <v>93100.0</v>
      </c>
      <c r="AG449" s="11">
        <v>206330.0</v>
      </c>
      <c r="AH449" s="11">
        <v>135580.0</v>
      </c>
      <c r="AI449" s="11">
        <v>335410.0</v>
      </c>
      <c r="AJ449" s="11">
        <v>296170.0</v>
      </c>
      <c r="AK449" s="11">
        <v>289880.0</v>
      </c>
      <c r="AL449" s="11">
        <v>372510.0</v>
      </c>
      <c r="AM449" s="11">
        <v>250360.0</v>
      </c>
      <c r="AN449" s="11">
        <v>57220.0</v>
      </c>
      <c r="AO449" s="11">
        <v>62910.0</v>
      </c>
      <c r="AP449" s="11">
        <v>137670.0</v>
      </c>
      <c r="AQ449" s="11">
        <v>128740.0</v>
      </c>
      <c r="AR449" s="11">
        <v>84320.0</v>
      </c>
      <c r="AS449" s="11">
        <v>58000.0</v>
      </c>
      <c r="AT449" s="11">
        <v>124450.0</v>
      </c>
      <c r="AU449" s="11">
        <v>160530.0</v>
      </c>
      <c r="AV449" s="11">
        <v>261490.0</v>
      </c>
      <c r="AW449" s="11">
        <v>141900.0</v>
      </c>
      <c r="AX449" s="11">
        <v>-120570.0</v>
      </c>
      <c r="AY449" s="11">
        <v>-20920.0</v>
      </c>
      <c r="AZ449" s="11">
        <v>-87840.0</v>
      </c>
      <c r="BA449" s="11">
        <v>-186010.0</v>
      </c>
      <c r="BB449" s="11">
        <v>-103000.0</v>
      </c>
      <c r="BC449" s="12"/>
      <c r="BD449" s="12"/>
      <c r="BE449" s="12"/>
      <c r="BF449" s="12"/>
      <c r="BG449" s="12"/>
      <c r="BH449" s="11">
        <v>56120.0</v>
      </c>
      <c r="BI449" s="11">
        <v>129900.0</v>
      </c>
      <c r="BJ449" s="11">
        <v>84030.0</v>
      </c>
      <c r="BK449" s="11">
        <v>33790.0</v>
      </c>
      <c r="BL449" s="11">
        <v>21290.0</v>
      </c>
      <c r="BM449" s="11">
        <v>1070000.0</v>
      </c>
      <c r="BN449" s="11">
        <v>844640.0</v>
      </c>
      <c r="BO449" s="11">
        <v>715740.0</v>
      </c>
      <c r="BP449" s="11">
        <v>706400.0</v>
      </c>
      <c r="BQ449" s="11">
        <v>592560.0</v>
      </c>
      <c r="BR449" s="11">
        <v>98320.0</v>
      </c>
      <c r="BS449" s="11">
        <v>94390.0</v>
      </c>
      <c r="BT449" s="11">
        <v>79040.0</v>
      </c>
      <c r="BU449" s="11">
        <v>73610.0</v>
      </c>
      <c r="BV449" s="11">
        <v>48650.0</v>
      </c>
      <c r="BW449" s="11">
        <v>1260000.0</v>
      </c>
      <c r="BX449" s="11">
        <v>1100000.0</v>
      </c>
      <c r="BY449" s="11">
        <v>908660.0</v>
      </c>
      <c r="BZ449" s="11">
        <v>851230.0</v>
      </c>
      <c r="CA449" s="11">
        <v>696630.0</v>
      </c>
      <c r="CB449" s="11">
        <v>446210.0</v>
      </c>
      <c r="CC449" s="11">
        <v>424750.0</v>
      </c>
      <c r="CD449" s="11">
        <v>414770.0</v>
      </c>
      <c r="CE449" s="11">
        <v>326670.0</v>
      </c>
      <c r="CF449" s="11">
        <v>231560.0</v>
      </c>
      <c r="CG449" s="11">
        <v>325750.0</v>
      </c>
      <c r="CH449" s="11">
        <v>325750.0</v>
      </c>
      <c r="CI449" s="11">
        <v>321740.0</v>
      </c>
      <c r="CJ449" s="11">
        <v>310160.0</v>
      </c>
      <c r="CK449" s="11">
        <v>271650.0</v>
      </c>
      <c r="CL449" s="11">
        <v>2220000.0</v>
      </c>
      <c r="CM449" s="11">
        <v>2100000.0</v>
      </c>
      <c r="CN449" s="11">
        <v>1870000.0</v>
      </c>
      <c r="CO449" s="11">
        <v>1720000.0</v>
      </c>
      <c r="CP449" s="11">
        <v>1360000.0</v>
      </c>
      <c r="CQ449" s="11">
        <v>119610.0</v>
      </c>
      <c r="CR449" s="11">
        <v>119490.0</v>
      </c>
      <c r="CS449" s="11">
        <v>92360.0</v>
      </c>
      <c r="CT449" s="11">
        <v>115490.0</v>
      </c>
      <c r="CU449" s="11">
        <v>71830.0</v>
      </c>
      <c r="CV449" s="11">
        <v>323030.0</v>
      </c>
      <c r="CW449" s="11">
        <v>26580.0</v>
      </c>
      <c r="CX449" s="12"/>
      <c r="CY449" s="12"/>
      <c r="CZ449" s="12"/>
      <c r="DA449" s="12"/>
      <c r="DB449" s="11">
        <v>323030.0</v>
      </c>
      <c r="DC449" s="11">
        <v>284990.0</v>
      </c>
      <c r="DD449" s="11">
        <v>259610.0</v>
      </c>
      <c r="DE449" s="11">
        <v>322630.0</v>
      </c>
      <c r="DF449" s="11">
        <v>1350000.0</v>
      </c>
      <c r="DG449" s="11">
        <v>1290000.0</v>
      </c>
      <c r="DH449" s="11">
        <v>1140000.0</v>
      </c>
      <c r="DI449" s="11">
        <v>1160000.0</v>
      </c>
      <c r="DJ449" s="11">
        <v>851660.0</v>
      </c>
      <c r="DK449" s="11">
        <v>3750.0</v>
      </c>
      <c r="DL449" s="11">
        <v>4250.0</v>
      </c>
      <c r="DM449" s="11">
        <v>5250.0</v>
      </c>
      <c r="DN449" s="11">
        <v>9000.0</v>
      </c>
      <c r="DO449" s="11">
        <v>4000.0</v>
      </c>
      <c r="DP449" s="11">
        <v>888010.0</v>
      </c>
      <c r="DQ449" s="11">
        <v>867570.0</v>
      </c>
      <c r="DR449" s="11">
        <v>733840.0</v>
      </c>
      <c r="DS449" s="11">
        <v>706200.0</v>
      </c>
      <c r="DT449" s="11">
        <v>521840.0</v>
      </c>
      <c r="DU449" s="12"/>
      <c r="DV449" s="12"/>
      <c r="DW449" s="12"/>
      <c r="DX449" s="12"/>
      <c r="DY449" s="12"/>
      <c r="DZ449" s="11">
        <v>868600.0</v>
      </c>
      <c r="EA449" s="11">
        <v>804170.0</v>
      </c>
      <c r="EB449" s="11">
        <v>725000.0</v>
      </c>
      <c r="EC449" s="11">
        <v>557290.0</v>
      </c>
      <c r="ED449" s="11">
        <v>507200.0</v>
      </c>
      <c r="EE449" s="33">
        <v>0.093</v>
      </c>
      <c r="EF449" s="33">
        <v>0.165</v>
      </c>
      <c r="EG449" s="33">
        <v>7.0</v>
      </c>
      <c r="EH449" s="33">
        <v>0.221</v>
      </c>
    </row>
    <row r="450">
      <c r="A450" s="9">
        <f t="shared" si="2"/>
        <v>448</v>
      </c>
      <c r="B450" s="10" t="s">
        <v>584</v>
      </c>
      <c r="C450" s="15">
        <v>5970000.0</v>
      </c>
      <c r="D450" s="15">
        <v>5550000.0</v>
      </c>
      <c r="E450" s="15">
        <v>5470000.0</v>
      </c>
      <c r="F450" s="15">
        <v>4930000.0</v>
      </c>
      <c r="G450" s="15">
        <v>5160000.0</v>
      </c>
      <c r="H450" s="15">
        <v>4810000.0</v>
      </c>
      <c r="I450" s="15">
        <v>4370000.0</v>
      </c>
      <c r="J450" s="15">
        <v>4080000.0</v>
      </c>
      <c r="K450" s="15">
        <v>3590000.0</v>
      </c>
      <c r="L450" s="15">
        <v>3870000.0</v>
      </c>
      <c r="M450" s="15">
        <v>3530000.0</v>
      </c>
      <c r="N450" s="15">
        <v>3010000.0</v>
      </c>
      <c r="O450" s="15">
        <v>2690000.0</v>
      </c>
      <c r="P450" s="15">
        <v>2590000.0</v>
      </c>
      <c r="Q450" s="15">
        <v>2440000.0</v>
      </c>
      <c r="R450" s="15">
        <v>2280000.0</v>
      </c>
      <c r="S450" s="15">
        <v>2150000.0</v>
      </c>
      <c r="T450" s="15">
        <v>1550000.0</v>
      </c>
      <c r="U450" s="15">
        <v>1420000.0</v>
      </c>
      <c r="V450" s="15">
        <v>1330000.0</v>
      </c>
      <c r="W450" s="15">
        <v>1170000.0</v>
      </c>
      <c r="X450" s="15">
        <v>1120000.0</v>
      </c>
      <c r="Y450" s="15">
        <v>1380000.0</v>
      </c>
      <c r="Z450" s="15">
        <v>1040000.0</v>
      </c>
      <c r="AA450" s="15">
        <v>1420000.0</v>
      </c>
      <c r="AB450" s="15">
        <v>1230000.0</v>
      </c>
      <c r="AC450" s="15">
        <v>854000.0</v>
      </c>
      <c r="AD450" s="15">
        <v>1510000.0</v>
      </c>
      <c r="AE450" s="15">
        <v>1080000.0</v>
      </c>
      <c r="AF450" s="15">
        <v>1450000.0</v>
      </c>
      <c r="AG450" s="15">
        <v>1210000.0</v>
      </c>
      <c r="AH450" s="15">
        <v>877000.0</v>
      </c>
      <c r="AI450" s="15">
        <v>1540000.0</v>
      </c>
      <c r="AJ450" s="15">
        <v>1150000.0</v>
      </c>
      <c r="AK450" s="15">
        <v>1580000.0</v>
      </c>
      <c r="AL450" s="15">
        <v>1420000.0</v>
      </c>
      <c r="AM450" s="15">
        <v>1060000.0</v>
      </c>
      <c r="AN450" s="15">
        <v>3040000.0</v>
      </c>
      <c r="AO450" s="15">
        <v>1020000.0</v>
      </c>
      <c r="AP450" s="15">
        <v>1040000.0</v>
      </c>
      <c r="AQ450" s="15">
        <v>967000.0</v>
      </c>
      <c r="AR450" s="15">
        <v>1160000.0</v>
      </c>
      <c r="AS450" s="15">
        <v>1800000.0</v>
      </c>
      <c r="AT450" s="15">
        <v>1550000.0</v>
      </c>
      <c r="AU450" s="15">
        <v>1690000.0</v>
      </c>
      <c r="AV450" s="15">
        <v>1380000.0</v>
      </c>
      <c r="AW450" s="15">
        <v>1220000.0</v>
      </c>
      <c r="AX450" s="15">
        <v>-140000.0</v>
      </c>
      <c r="AY450" s="15">
        <v>-119000.0</v>
      </c>
      <c r="AZ450" s="15">
        <v>-107000.0</v>
      </c>
      <c r="BA450" s="15">
        <v>-123000.0</v>
      </c>
      <c r="BB450" s="15">
        <v>-93000.0</v>
      </c>
      <c r="BC450" s="16">
        <v>0.0</v>
      </c>
      <c r="BD450" s="16">
        <v>0.0</v>
      </c>
      <c r="BE450" s="16">
        <v>0.0</v>
      </c>
      <c r="BF450" s="16">
        <v>0.0</v>
      </c>
      <c r="BG450" s="16">
        <v>0.0</v>
      </c>
      <c r="BH450" s="15">
        <v>5740000.0</v>
      </c>
      <c r="BI450" s="15">
        <v>5450000.0</v>
      </c>
      <c r="BJ450" s="15">
        <v>5330000.0</v>
      </c>
      <c r="BK450" s="15">
        <v>4530000.0</v>
      </c>
      <c r="BL450" s="15">
        <v>3830000.0</v>
      </c>
      <c r="BM450" s="15">
        <v>461000.0</v>
      </c>
      <c r="BN450" s="15">
        <v>623000.0</v>
      </c>
      <c r="BO450" s="15">
        <v>385000.0</v>
      </c>
      <c r="BP450" s="15">
        <v>359000.0</v>
      </c>
      <c r="BQ450" s="15">
        <v>233000.0</v>
      </c>
      <c r="BR450" s="15">
        <v>0.0</v>
      </c>
      <c r="BS450" s="15">
        <v>0.0</v>
      </c>
      <c r="BT450" s="15">
        <v>0.0</v>
      </c>
      <c r="BU450" s="15">
        <v>0.0</v>
      </c>
      <c r="BV450" s="15">
        <v>33000.0</v>
      </c>
      <c r="BW450" s="15">
        <v>6520000.0</v>
      </c>
      <c r="BX450" s="15">
        <v>6380000.0</v>
      </c>
      <c r="BY450" s="15">
        <v>6000000.0</v>
      </c>
      <c r="BZ450" s="15">
        <v>5200000.0</v>
      </c>
      <c r="CA450" s="15">
        <v>4350000.0</v>
      </c>
      <c r="CB450" s="15">
        <v>642000.0</v>
      </c>
      <c r="CC450" s="15">
        <v>448000.0</v>
      </c>
      <c r="CD450" s="15">
        <v>453000.0</v>
      </c>
      <c r="CE450" s="15">
        <v>434000.0</v>
      </c>
      <c r="CF450" s="15">
        <v>439000.0</v>
      </c>
      <c r="CG450" s="15">
        <v>1890000.0</v>
      </c>
      <c r="CH450" s="15">
        <v>1890000.0</v>
      </c>
      <c r="CI450" s="15">
        <v>1880000.0</v>
      </c>
      <c r="CJ450" s="15">
        <v>1710000.0</v>
      </c>
      <c r="CK450" s="15">
        <v>1710000.0</v>
      </c>
      <c r="CL450" s="15">
        <v>1.111E7</v>
      </c>
      <c r="CM450" s="15">
        <v>8960000.0</v>
      </c>
      <c r="CN450" s="15">
        <v>8580000.0</v>
      </c>
      <c r="CO450" s="15">
        <v>7720000.0</v>
      </c>
      <c r="CP450" s="15">
        <v>7050000.0</v>
      </c>
      <c r="CQ450" s="15">
        <v>68000.0</v>
      </c>
      <c r="CR450" s="15">
        <v>113000.0</v>
      </c>
      <c r="CS450" s="15">
        <v>48000.0</v>
      </c>
      <c r="CT450" s="15">
        <v>87000.0</v>
      </c>
      <c r="CU450" s="15">
        <v>89000.0</v>
      </c>
      <c r="CV450" s="15">
        <v>2660000.0</v>
      </c>
      <c r="CW450" s="15">
        <v>69000.0</v>
      </c>
      <c r="CX450" s="16">
        <v>0.0</v>
      </c>
      <c r="CY450" s="16">
        <v>0.0</v>
      </c>
      <c r="CZ450" s="16">
        <v>0.0</v>
      </c>
      <c r="DA450" s="15">
        <v>0.0</v>
      </c>
      <c r="DB450" s="15">
        <v>2660000.0</v>
      </c>
      <c r="DC450" s="15">
        <v>2270000.0</v>
      </c>
      <c r="DD450" s="15">
        <v>2490000.0</v>
      </c>
      <c r="DE450" s="15">
        <v>2420000.0</v>
      </c>
      <c r="DF450" s="15">
        <v>3650000.0</v>
      </c>
      <c r="DG450" s="15">
        <v>3630000.0</v>
      </c>
      <c r="DH450" s="15">
        <v>3990000.0</v>
      </c>
      <c r="DI450" s="15">
        <v>3660000.0</v>
      </c>
      <c r="DJ450" s="15">
        <v>3650000.0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552000.0</v>
      </c>
      <c r="DQ450" s="15">
        <v>994000.0</v>
      </c>
      <c r="DR450" s="15">
        <v>992000.0</v>
      </c>
      <c r="DS450" s="15">
        <v>990000.0</v>
      </c>
      <c r="DT450" s="15">
        <v>991000.0</v>
      </c>
      <c r="DU450" s="16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7460000.0</v>
      </c>
      <c r="EA450" s="15">
        <v>5330000.0</v>
      </c>
      <c r="EB450" s="15">
        <v>4600000.0</v>
      </c>
      <c r="EC450" s="15">
        <v>4060000.0</v>
      </c>
      <c r="ED450" s="15">
        <v>3400000.0</v>
      </c>
      <c r="EE450" s="17">
        <v>0.126</v>
      </c>
      <c r="EF450" s="17">
        <v>0.134</v>
      </c>
      <c r="EG450" s="17">
        <v>0.102</v>
      </c>
      <c r="EH450" s="17">
        <v>6.059</v>
      </c>
    </row>
    <row r="451">
      <c r="A451" s="9">
        <f t="shared" si="2"/>
        <v>449</v>
      </c>
      <c r="B451" s="10" t="s">
        <v>585</v>
      </c>
      <c r="C451" s="15">
        <v>3240000.0</v>
      </c>
      <c r="D451" s="15">
        <v>3080000.0</v>
      </c>
      <c r="E451" s="15">
        <v>3220000.0</v>
      </c>
      <c r="F451" s="15">
        <v>3140000.0</v>
      </c>
      <c r="G451" s="15">
        <v>3150000.0</v>
      </c>
      <c r="H451" s="15">
        <v>3260000.0</v>
      </c>
      <c r="I451" s="15">
        <v>3000000.0</v>
      </c>
      <c r="J451" s="15">
        <v>375300.0</v>
      </c>
      <c r="K451" s="15">
        <v>396620.0</v>
      </c>
      <c r="L451" s="15">
        <v>411650.0</v>
      </c>
      <c r="M451" s="15">
        <v>462250.0</v>
      </c>
      <c r="N451" s="15">
        <v>449430.0</v>
      </c>
      <c r="O451" s="15">
        <v>157000.0</v>
      </c>
      <c r="P451" s="15">
        <v>137990.0</v>
      </c>
      <c r="Q451" s="15">
        <v>132820.0</v>
      </c>
      <c r="R451" s="15">
        <v>127590.0</v>
      </c>
      <c r="S451" s="15">
        <v>133470.0</v>
      </c>
      <c r="T451" s="15"/>
      <c r="U451" s="15"/>
      <c r="V451" s="15"/>
      <c r="W451" s="15"/>
      <c r="X451" s="12"/>
      <c r="Y451" s="15">
        <v>188500.0</v>
      </c>
      <c r="Z451" s="15">
        <v>227410.0</v>
      </c>
      <c r="AA451" s="15">
        <v>-21680.0</v>
      </c>
      <c r="AB451" s="15">
        <v>-16640.0</v>
      </c>
      <c r="AC451" s="15">
        <v>312300.0</v>
      </c>
      <c r="AD451" s="15">
        <v>171800.0</v>
      </c>
      <c r="AE451" s="15">
        <v>170220.0</v>
      </c>
      <c r="AF451" s="15">
        <v>208510.0</v>
      </c>
      <c r="AG451" s="15">
        <v>286390.0</v>
      </c>
      <c r="AH451" s="15">
        <v>284280.0</v>
      </c>
      <c r="AI451" s="15">
        <v>365900.0</v>
      </c>
      <c r="AJ451" s="15">
        <v>410020.0</v>
      </c>
      <c r="AK451" s="15">
        <v>435240.0</v>
      </c>
      <c r="AL451" s="15">
        <v>491020.0</v>
      </c>
      <c r="AM451" s="15">
        <v>461210.0</v>
      </c>
      <c r="AN451" s="15">
        <v>154900.0</v>
      </c>
      <c r="AO451" s="15">
        <v>125880.0</v>
      </c>
      <c r="AP451" s="15">
        <v>150820.0</v>
      </c>
      <c r="AQ451" s="15">
        <v>200620.0</v>
      </c>
      <c r="AR451" s="15">
        <v>196690.0</v>
      </c>
      <c r="AS451" s="15">
        <v>212700.0</v>
      </c>
      <c r="AT451" s="15">
        <v>284450.0</v>
      </c>
      <c r="AU451" s="15">
        <v>315110.0</v>
      </c>
      <c r="AV451" s="15">
        <v>394700.0</v>
      </c>
      <c r="AW451" s="15">
        <v>368610.0</v>
      </c>
      <c r="AX451" s="15">
        <v>-167600.0</v>
      </c>
      <c r="AY451" s="15">
        <v>-101280.0</v>
      </c>
      <c r="AZ451" s="15">
        <v>-102570.0</v>
      </c>
      <c r="BA451" s="15">
        <v>-112790.0</v>
      </c>
      <c r="BB451" s="15">
        <v>-140260.0</v>
      </c>
      <c r="BC451" s="15">
        <v>-60300.0</v>
      </c>
      <c r="BD451" s="15">
        <v>-70010.0</v>
      </c>
      <c r="BE451" s="15">
        <v>-70770.0</v>
      </c>
      <c r="BF451" s="15">
        <v>-74070.0</v>
      </c>
      <c r="BG451" s="15">
        <v>-70830.0</v>
      </c>
      <c r="BH451" s="15">
        <v>13400.0</v>
      </c>
      <c r="BI451" s="15">
        <v>10870.0</v>
      </c>
      <c r="BJ451" s="15">
        <v>9060.0</v>
      </c>
      <c r="BK451" s="15">
        <v>31450.0</v>
      </c>
      <c r="BL451" s="15">
        <v>55120.0</v>
      </c>
      <c r="BM451" s="15">
        <v>69600.0</v>
      </c>
      <c r="BN451" s="15">
        <v>53660.0</v>
      </c>
      <c r="BO451" s="15">
        <v>44660.0</v>
      </c>
      <c r="BP451" s="15">
        <v>45610.0</v>
      </c>
      <c r="BQ451" s="15">
        <v>46590.0</v>
      </c>
      <c r="BR451" s="15">
        <v>70300.0</v>
      </c>
      <c r="BS451" s="15">
        <v>70970.0</v>
      </c>
      <c r="BT451" s="15">
        <v>71380.0</v>
      </c>
      <c r="BU451" s="15">
        <v>70560.0</v>
      </c>
      <c r="BV451" s="15">
        <v>23040.0</v>
      </c>
      <c r="BW451" s="15">
        <v>177000.0</v>
      </c>
      <c r="BX451" s="15">
        <v>156280.0</v>
      </c>
      <c r="BY451" s="15">
        <v>144330.0</v>
      </c>
      <c r="BZ451" s="15">
        <v>178440.0</v>
      </c>
      <c r="CA451" s="15">
        <v>189720.0</v>
      </c>
      <c r="CB451" s="15">
        <v>755100.0</v>
      </c>
      <c r="CC451" s="15">
        <v>938930.0</v>
      </c>
      <c r="CD451" s="15">
        <v>1000000.0</v>
      </c>
      <c r="CE451" s="15">
        <v>1040000.0</v>
      </c>
      <c r="CF451" s="15">
        <v>1030000.0</v>
      </c>
      <c r="CG451" s="15">
        <v>165500.0</v>
      </c>
      <c r="CH451" s="15">
        <v>163810.0</v>
      </c>
      <c r="CI451" s="15">
        <v>163950.0</v>
      </c>
      <c r="CJ451" s="12"/>
      <c r="CK451" s="15">
        <v>132380.0</v>
      </c>
      <c r="CL451" s="15">
        <v>1300000.0</v>
      </c>
      <c r="CM451" s="15">
        <v>1390000.0</v>
      </c>
      <c r="CN451" s="15">
        <v>1480000.0</v>
      </c>
      <c r="CO451" s="15">
        <v>1460000.0</v>
      </c>
      <c r="CP451" s="15">
        <v>1440000.0</v>
      </c>
      <c r="CQ451" s="15">
        <v>97500.0</v>
      </c>
      <c r="CR451" s="15">
        <v>104660.0</v>
      </c>
      <c r="CS451" s="15">
        <v>104230.0</v>
      </c>
      <c r="CT451" s="15">
        <v>95410.0</v>
      </c>
      <c r="CU451" s="15">
        <v>92950.0</v>
      </c>
      <c r="CV451" s="15">
        <v>421600.0</v>
      </c>
      <c r="CW451" s="15"/>
      <c r="CX451" s="13"/>
      <c r="CY451" s="13"/>
      <c r="CZ451" s="13"/>
      <c r="DA451" s="12"/>
      <c r="DB451" s="15">
        <v>421600.0</v>
      </c>
      <c r="DC451" s="15">
        <v>434340.0</v>
      </c>
      <c r="DD451" s="15">
        <v>436360.0</v>
      </c>
      <c r="DE451" s="15">
        <v>435650.0</v>
      </c>
      <c r="DF451" s="15">
        <v>2080000.0</v>
      </c>
      <c r="DG451" s="15">
        <v>2110000.0</v>
      </c>
      <c r="DH451" s="15">
        <v>1980000.0</v>
      </c>
      <c r="DI451" s="15">
        <v>1680000.0</v>
      </c>
      <c r="DJ451" s="15">
        <v>1510000.0</v>
      </c>
      <c r="DK451" s="15"/>
      <c r="DL451" s="15"/>
      <c r="DM451" s="15"/>
      <c r="DN451" s="12"/>
      <c r="DO451" s="13"/>
      <c r="DP451" s="15">
        <v>1210000.0</v>
      </c>
      <c r="DQ451" s="15">
        <v>1500000.0</v>
      </c>
      <c r="DR451" s="15">
        <v>1320000.0</v>
      </c>
      <c r="DS451" s="15">
        <v>1110000.0</v>
      </c>
      <c r="DT451" s="15">
        <v>970830.0</v>
      </c>
      <c r="DU451" s="13"/>
      <c r="DV451" s="15"/>
      <c r="DW451" s="15"/>
      <c r="DX451" s="15"/>
      <c r="DY451" s="13"/>
      <c r="DZ451" s="15">
        <v>-778200.0</v>
      </c>
      <c r="EA451" s="15">
        <v>-718310.0</v>
      </c>
      <c r="EB451" s="15">
        <v>-493680.0</v>
      </c>
      <c r="EC451" s="15">
        <v>-225580.0</v>
      </c>
      <c r="ED451" s="15">
        <v>-78460.0</v>
      </c>
      <c r="EE451" s="17">
        <v>0.039</v>
      </c>
      <c r="EF451" s="17">
        <v>0.108</v>
      </c>
      <c r="EG451" s="17">
        <v>0.969</v>
      </c>
      <c r="EH451" s="17">
        <v>0.262</v>
      </c>
    </row>
    <row r="452">
      <c r="A452" s="9">
        <f t="shared" si="2"/>
        <v>450</v>
      </c>
      <c r="B452" s="10" t="s">
        <v>586</v>
      </c>
      <c r="C452" s="11">
        <v>2420000.0</v>
      </c>
      <c r="D452" s="11">
        <v>2230000.0</v>
      </c>
      <c r="E452" s="11">
        <v>2180000.0</v>
      </c>
      <c r="F452" s="11">
        <v>2440000.0</v>
      </c>
      <c r="G452" s="11">
        <v>1940000.0</v>
      </c>
      <c r="H452" s="11">
        <v>1720000.0</v>
      </c>
      <c r="I452" s="11">
        <v>1510000.0</v>
      </c>
      <c r="J452" s="11">
        <v>347650.0</v>
      </c>
      <c r="K452" s="11">
        <v>383730.0</v>
      </c>
      <c r="L452" s="11">
        <v>306310.0</v>
      </c>
      <c r="M452" s="11">
        <v>286440.0</v>
      </c>
      <c r="N452" s="11">
        <v>266120.0</v>
      </c>
      <c r="O452" s="11">
        <v>312080.0</v>
      </c>
      <c r="P452" s="11">
        <v>329460.0</v>
      </c>
      <c r="Q452" s="11">
        <v>286240.0</v>
      </c>
      <c r="R452" s="11">
        <v>270930.0</v>
      </c>
      <c r="S452" s="11">
        <v>236510.0</v>
      </c>
      <c r="T452" s="11">
        <v>16900.0</v>
      </c>
      <c r="U452" s="11">
        <v>18200.0</v>
      </c>
      <c r="V452" s="12"/>
      <c r="W452" s="12"/>
      <c r="X452" s="12"/>
      <c r="Y452" s="11">
        <v>33810.0</v>
      </c>
      <c r="Z452" s="11">
        <v>53570.0</v>
      </c>
      <c r="AA452" s="11">
        <v>19090.0</v>
      </c>
      <c r="AB452" s="11">
        <v>15610.0</v>
      </c>
      <c r="AC452" s="11">
        <v>22910.0</v>
      </c>
      <c r="AD452" s="11">
        <v>21880.0</v>
      </c>
      <c r="AE452" s="11">
        <v>38020.0</v>
      </c>
      <c r="AF452" s="11">
        <v>4350.0</v>
      </c>
      <c r="AG452" s="11">
        <v>1380.0</v>
      </c>
      <c r="AH452" s="11">
        <v>11530.0</v>
      </c>
      <c r="AI452" s="11">
        <v>73950.0</v>
      </c>
      <c r="AJ452" s="11">
        <v>90900.0</v>
      </c>
      <c r="AK452" s="11">
        <v>52800.0</v>
      </c>
      <c r="AL452" s="11">
        <v>47640.0</v>
      </c>
      <c r="AM452" s="11">
        <v>53750.0</v>
      </c>
      <c r="AN452" s="11">
        <v>14850.0</v>
      </c>
      <c r="AO452" s="11">
        <v>28720.0</v>
      </c>
      <c r="AP452" s="11">
        <v>12620.0</v>
      </c>
      <c r="AQ452" s="11">
        <v>1590.0</v>
      </c>
      <c r="AR452" s="11">
        <v>7850.0</v>
      </c>
      <c r="AS452" s="11">
        <v>84530.0</v>
      </c>
      <c r="AT452" s="11">
        <v>94250.0</v>
      </c>
      <c r="AU452" s="11">
        <v>48720.0</v>
      </c>
      <c r="AV452" s="11">
        <v>59740.0</v>
      </c>
      <c r="AW452" s="11">
        <v>70840.0</v>
      </c>
      <c r="AX452" s="11">
        <v>-23930.0</v>
      </c>
      <c r="AY452" s="11">
        <v>-24100.0</v>
      </c>
      <c r="AZ452" s="11">
        <v>-20730.0</v>
      </c>
      <c r="BA452" s="11">
        <v>-46890.0</v>
      </c>
      <c r="BB452" s="11">
        <v>-14740.0</v>
      </c>
      <c r="BC452" s="12"/>
      <c r="BD452" s="12"/>
      <c r="BE452" s="12"/>
      <c r="BF452" s="12"/>
      <c r="BG452" s="12"/>
      <c r="BH452" s="11">
        <v>34630.0</v>
      </c>
      <c r="BI452" s="11">
        <v>40280.0</v>
      </c>
      <c r="BJ452" s="11">
        <v>23510.0</v>
      </c>
      <c r="BK452" s="11">
        <v>16650.0</v>
      </c>
      <c r="BL452" s="11">
        <v>56520.0</v>
      </c>
      <c r="BM452" s="11">
        <v>289460.0</v>
      </c>
      <c r="BN452" s="11">
        <v>340230.0</v>
      </c>
      <c r="BO452" s="11">
        <v>314830.0</v>
      </c>
      <c r="BP452" s="11">
        <v>239190.0</v>
      </c>
      <c r="BQ452" s="11">
        <v>197460.0</v>
      </c>
      <c r="BR452" s="12"/>
      <c r="BS452" s="12"/>
      <c r="BT452" s="12"/>
      <c r="BU452" s="12"/>
      <c r="BV452" s="12"/>
      <c r="BW452" s="11">
        <v>336190.0</v>
      </c>
      <c r="BX452" s="11">
        <v>393730.0</v>
      </c>
      <c r="BY452" s="11">
        <v>348300.0</v>
      </c>
      <c r="BZ452" s="11">
        <v>268300.0</v>
      </c>
      <c r="CA452" s="11">
        <v>260820.0</v>
      </c>
      <c r="CB452" s="11">
        <v>78260.0</v>
      </c>
      <c r="CC452" s="11">
        <v>61960.0</v>
      </c>
      <c r="CD452" s="11">
        <v>63060.0</v>
      </c>
      <c r="CE452" s="11">
        <v>57450.0</v>
      </c>
      <c r="CF452" s="11">
        <v>27300.0</v>
      </c>
      <c r="CG452" s="11">
        <v>309590.0</v>
      </c>
      <c r="CH452" s="11">
        <v>309590.0</v>
      </c>
      <c r="CI452" s="11">
        <v>307310.0</v>
      </c>
      <c r="CJ452" s="11">
        <v>307310.0</v>
      </c>
      <c r="CK452" s="11">
        <v>308490.0</v>
      </c>
      <c r="CL452" s="11">
        <v>826670.0</v>
      </c>
      <c r="CM452" s="11">
        <v>878330.0</v>
      </c>
      <c r="CN452" s="11">
        <v>838080.0</v>
      </c>
      <c r="CO452" s="11">
        <v>766770.0</v>
      </c>
      <c r="CP452" s="11">
        <v>754720.0</v>
      </c>
      <c r="CQ452" s="11">
        <v>187520.0</v>
      </c>
      <c r="CR452" s="11">
        <v>216280.0</v>
      </c>
      <c r="CS452" s="11">
        <v>193750.0</v>
      </c>
      <c r="CT452" s="11">
        <v>135390.0</v>
      </c>
      <c r="CU452" s="11">
        <v>103990.0</v>
      </c>
      <c r="CV452" s="11">
        <v>230410.0</v>
      </c>
      <c r="CW452" s="11">
        <v>5810.0</v>
      </c>
      <c r="CX452" s="12"/>
      <c r="CY452" s="12"/>
      <c r="CZ452" s="12"/>
      <c r="DA452" s="12"/>
      <c r="DB452" s="11">
        <v>230410.0</v>
      </c>
      <c r="DC452" s="11">
        <v>266910.0</v>
      </c>
      <c r="DD452" s="11">
        <v>234330.0</v>
      </c>
      <c r="DE452" s="11">
        <v>167940.0</v>
      </c>
      <c r="DF452" s="11">
        <v>443350.0</v>
      </c>
      <c r="DG452" s="11">
        <v>488390.0</v>
      </c>
      <c r="DH452" s="11">
        <v>479210.0</v>
      </c>
      <c r="DI452" s="11">
        <v>408620.0</v>
      </c>
      <c r="DJ452" s="11">
        <v>359470.0</v>
      </c>
      <c r="DK452" s="12"/>
      <c r="DL452" s="11"/>
      <c r="DM452" s="11"/>
      <c r="DN452" s="11"/>
      <c r="DO452" s="12"/>
      <c r="DP452" s="11">
        <v>187770.0</v>
      </c>
      <c r="DQ452" s="11">
        <v>183170.0</v>
      </c>
      <c r="DR452" s="11">
        <v>210920.0</v>
      </c>
      <c r="DS452" s="11">
        <v>203560.0</v>
      </c>
      <c r="DT452" s="11">
        <v>196660.0</v>
      </c>
      <c r="DU452" s="13"/>
      <c r="DV452" s="12"/>
      <c r="DW452" s="12"/>
      <c r="DX452" s="12"/>
      <c r="DY452" s="12"/>
      <c r="DZ452" s="11">
        <v>383310.0</v>
      </c>
      <c r="EA452" s="11">
        <v>389930.0</v>
      </c>
      <c r="EB452" s="11">
        <v>358870.0</v>
      </c>
      <c r="EC452" s="11">
        <v>358150.0</v>
      </c>
      <c r="ED452" s="11">
        <v>395250.0</v>
      </c>
      <c r="EE452" s="14">
        <v>0.018</v>
      </c>
      <c r="EF452" s="14">
        <v>0.095</v>
      </c>
      <c r="EG452" s="14">
        <v>0.727</v>
      </c>
      <c r="EH452" s="14">
        <v>0.204</v>
      </c>
    </row>
    <row r="453">
      <c r="A453" s="9">
        <f t="shared" si="2"/>
        <v>451</v>
      </c>
      <c r="B453" s="22" t="s">
        <v>587</v>
      </c>
      <c r="C453" s="11">
        <v>24460.0</v>
      </c>
      <c r="D453" s="11">
        <v>27240.0</v>
      </c>
      <c r="E453" s="11">
        <v>20530.0</v>
      </c>
      <c r="F453" s="11">
        <v>31940.0</v>
      </c>
      <c r="G453" s="11">
        <v>13730.0</v>
      </c>
      <c r="H453" s="11">
        <v>6050.0</v>
      </c>
      <c r="I453" s="11">
        <v>1630.0</v>
      </c>
      <c r="J453" s="12"/>
      <c r="K453" s="12"/>
      <c r="L453" s="12"/>
      <c r="M453" s="12"/>
      <c r="N453" s="12"/>
      <c r="O453" s="11">
        <v>158620.0</v>
      </c>
      <c r="P453" s="11">
        <v>142410.0</v>
      </c>
      <c r="Q453" s="11">
        <v>130980.0</v>
      </c>
      <c r="R453" s="11">
        <v>102040.0</v>
      </c>
      <c r="S453" s="11">
        <v>36470.0</v>
      </c>
      <c r="T453" s="11">
        <v>94070.0</v>
      </c>
      <c r="U453" s="11">
        <v>90650.0</v>
      </c>
      <c r="V453" s="11">
        <v>80480.0</v>
      </c>
      <c r="W453" s="11">
        <v>55780.0</v>
      </c>
      <c r="X453" s="11">
        <v>18850.0</v>
      </c>
      <c r="Y453" s="12"/>
      <c r="Z453" s="12"/>
      <c r="AA453" s="12"/>
      <c r="AB453" s="12"/>
      <c r="AC453" s="11">
        <v>-71010.0</v>
      </c>
      <c r="AD453" s="11">
        <v>-133750.0</v>
      </c>
      <c r="AE453" s="11">
        <v>-109950.0</v>
      </c>
      <c r="AF453" s="11">
        <v>-120320.0</v>
      </c>
      <c r="AG453" s="11">
        <v>-97180.0</v>
      </c>
      <c r="AH453" s="11">
        <v>-72900.0</v>
      </c>
      <c r="AI453" s="11">
        <v>-138090.0</v>
      </c>
      <c r="AJ453" s="11">
        <v>-110470.0</v>
      </c>
      <c r="AK453" s="11">
        <v>-117250.0</v>
      </c>
      <c r="AL453" s="11">
        <v>-95990.0</v>
      </c>
      <c r="AM453" s="11">
        <v>-34840.0</v>
      </c>
      <c r="AN453" s="11">
        <v>-133750.0</v>
      </c>
      <c r="AO453" s="11">
        <v>-109950.0</v>
      </c>
      <c r="AP453" s="11">
        <v>-120320.0</v>
      </c>
      <c r="AQ453" s="11">
        <v>-97180.0</v>
      </c>
      <c r="AR453" s="11">
        <v>-72900.0</v>
      </c>
      <c r="AS453" s="11">
        <v>-49990.0</v>
      </c>
      <c r="AT453" s="11">
        <v>-45710.0</v>
      </c>
      <c r="AU453" s="11">
        <v>-9420.0</v>
      </c>
      <c r="AV453" s="11">
        <v>-50250.0</v>
      </c>
      <c r="AW453" s="11">
        <v>-5400.0</v>
      </c>
      <c r="AX453" s="11">
        <v>-6170.0</v>
      </c>
      <c r="AY453" s="11">
        <v>-4750.0</v>
      </c>
      <c r="AZ453" s="11">
        <v>-2060.0</v>
      </c>
      <c r="BA453" s="11">
        <v>-3490.0</v>
      </c>
      <c r="BB453" s="11">
        <v>-1430.0</v>
      </c>
      <c r="BC453" s="12"/>
      <c r="BD453" s="12"/>
      <c r="BE453" s="12"/>
      <c r="BF453" s="12"/>
      <c r="BG453" s="12"/>
      <c r="BH453" s="11">
        <v>457140.0</v>
      </c>
      <c r="BI453" s="11">
        <v>368960.0</v>
      </c>
      <c r="BJ453" s="11">
        <v>329140.0</v>
      </c>
      <c r="BK453" s="11">
        <v>185320.0</v>
      </c>
      <c r="BL453" s="11">
        <v>143500.0</v>
      </c>
      <c r="BM453" s="11">
        <v>418.0</v>
      </c>
      <c r="BN453" s="11">
        <v>30.0</v>
      </c>
      <c r="BO453" s="11">
        <v>679.0</v>
      </c>
      <c r="BP453" s="11">
        <v>88.0</v>
      </c>
      <c r="BQ453" s="11">
        <v>1020.0</v>
      </c>
      <c r="BR453" s="12"/>
      <c r="BS453" s="12"/>
      <c r="BT453" s="12"/>
      <c r="BU453" s="12"/>
      <c r="BV453" s="12"/>
      <c r="BW453" s="11">
        <v>463840.0</v>
      </c>
      <c r="BX453" s="11">
        <v>374780.0</v>
      </c>
      <c r="BY453" s="11">
        <v>332200.0</v>
      </c>
      <c r="BZ453" s="11">
        <v>187180.0</v>
      </c>
      <c r="CA453" s="11">
        <v>144990.0</v>
      </c>
      <c r="CB453" s="11">
        <v>39650.0</v>
      </c>
      <c r="CC453" s="11">
        <v>40230.0</v>
      </c>
      <c r="CD453" s="11">
        <v>39440.0</v>
      </c>
      <c r="CE453" s="11">
        <v>40380.0</v>
      </c>
      <c r="CF453" s="11">
        <v>2130.0</v>
      </c>
      <c r="CG453" s="12"/>
      <c r="CH453" s="12"/>
      <c r="CI453" s="12"/>
      <c r="CJ453" s="12"/>
      <c r="CK453" s="12"/>
      <c r="CL453" s="11">
        <v>508890.0</v>
      </c>
      <c r="CM453" s="11">
        <v>420390.0</v>
      </c>
      <c r="CN453" s="11">
        <v>373260.0</v>
      </c>
      <c r="CO453" s="11">
        <v>229180.0</v>
      </c>
      <c r="CP453" s="11">
        <v>149360.0</v>
      </c>
      <c r="CQ453" s="11">
        <v>5840.0</v>
      </c>
      <c r="CR453" s="11">
        <v>5330.0</v>
      </c>
      <c r="CS453" s="11">
        <v>4020.0</v>
      </c>
      <c r="CT453" s="11">
        <v>4640.0</v>
      </c>
      <c r="CU453" s="11">
        <v>1380.0</v>
      </c>
      <c r="CV453" s="11">
        <v>59960.0</v>
      </c>
      <c r="CW453" s="11">
        <v>5800.0</v>
      </c>
      <c r="CX453" s="12"/>
      <c r="CY453" s="11">
        <v>7500.0</v>
      </c>
      <c r="CZ453" s="11">
        <v>10000.0</v>
      </c>
      <c r="DA453" s="12"/>
      <c r="DB453" s="11">
        <v>59960.0</v>
      </c>
      <c r="DC453" s="11">
        <v>35900.0</v>
      </c>
      <c r="DD453" s="11">
        <v>36710.0</v>
      </c>
      <c r="DE453" s="11">
        <v>33080.0</v>
      </c>
      <c r="DF453" s="11">
        <v>246450.0</v>
      </c>
      <c r="DG453" s="11">
        <v>184220.0</v>
      </c>
      <c r="DH453" s="11">
        <v>165180.0</v>
      </c>
      <c r="DI453" s="11">
        <v>94580.0</v>
      </c>
      <c r="DJ453" s="11">
        <v>32560.0</v>
      </c>
      <c r="DK453" s="11">
        <v>5290.0</v>
      </c>
      <c r="DL453" s="11">
        <v>5380.0</v>
      </c>
      <c r="DM453" s="11">
        <v>1620.0</v>
      </c>
      <c r="DN453" s="11">
        <v>1620.0</v>
      </c>
      <c r="DO453" s="12"/>
      <c r="DP453" s="11">
        <v>23280.0</v>
      </c>
      <c r="DQ453" s="11">
        <v>32420.0</v>
      </c>
      <c r="DR453" s="11">
        <v>33430.0</v>
      </c>
      <c r="DS453" s="11">
        <v>35100.0</v>
      </c>
      <c r="DT453" s="12"/>
      <c r="DU453" s="13"/>
      <c r="DV453" s="12"/>
      <c r="DW453" s="12"/>
      <c r="DX453" s="13"/>
      <c r="DY453" s="11">
        <v>199920.0</v>
      </c>
      <c r="DZ453" s="11">
        <v>262440.0</v>
      </c>
      <c r="EA453" s="11">
        <v>236160.0</v>
      </c>
      <c r="EB453" s="11">
        <v>208080.0</v>
      </c>
      <c r="EC453" s="11">
        <v>134610.0</v>
      </c>
      <c r="ED453" s="11">
        <v>116800.0</v>
      </c>
      <c r="EE453" s="14">
        <v>0.459</v>
      </c>
      <c r="EF453" s="14">
        <v>0.899</v>
      </c>
      <c r="EG453" s="14">
        <v>0.456</v>
      </c>
      <c r="EH453" s="14">
        <v>-1.326</v>
      </c>
    </row>
    <row r="454">
      <c r="A454" s="9">
        <f t="shared" si="2"/>
        <v>452</v>
      </c>
      <c r="B454" s="10" t="s">
        <v>588</v>
      </c>
      <c r="C454" s="11">
        <v>225190.0</v>
      </c>
      <c r="D454" s="11">
        <v>192580.0</v>
      </c>
      <c r="E454" s="11">
        <v>292380.0</v>
      </c>
      <c r="F454" s="11">
        <v>310090.0</v>
      </c>
      <c r="G454" s="11">
        <v>236780.0</v>
      </c>
      <c r="H454" s="11">
        <v>124490.0</v>
      </c>
      <c r="I454" s="11">
        <v>103860.0</v>
      </c>
      <c r="J454" s="11">
        <v>39620.0</v>
      </c>
      <c r="K454" s="11">
        <v>73430.0</v>
      </c>
      <c r="L454" s="11">
        <v>30850.0</v>
      </c>
      <c r="M454" s="11">
        <v>-43350.0</v>
      </c>
      <c r="N454" s="11">
        <v>-53430.0</v>
      </c>
      <c r="O454" s="11">
        <v>35040.0</v>
      </c>
      <c r="P454" s="11">
        <v>36160.0</v>
      </c>
      <c r="Q454" s="11">
        <v>33130.0</v>
      </c>
      <c r="R454" s="11">
        <v>22910.0</v>
      </c>
      <c r="S454" s="11">
        <v>25540.0</v>
      </c>
      <c r="T454" s="12"/>
      <c r="U454" s="12"/>
      <c r="V454" s="12"/>
      <c r="W454" s="12"/>
      <c r="X454" s="12"/>
      <c r="Y454" s="11">
        <v>1030.0</v>
      </c>
      <c r="Z454" s="11">
        <v>37400.0</v>
      </c>
      <c r="AA454" s="11">
        <v>-17210.0</v>
      </c>
      <c r="AB454" s="11">
        <v>-201710.0</v>
      </c>
      <c r="AC454" s="11">
        <v>-50870.0</v>
      </c>
      <c r="AD454" s="11">
        <v>-21700.0</v>
      </c>
      <c r="AE454" s="11">
        <v>12570.0</v>
      </c>
      <c r="AF454" s="11">
        <v>-43800.0</v>
      </c>
      <c r="AG454" s="11">
        <v>-223520.0</v>
      </c>
      <c r="AH454" s="11">
        <v>-148300.0</v>
      </c>
      <c r="AI454" s="11">
        <v>57890.0</v>
      </c>
      <c r="AJ454" s="11">
        <v>74990.0</v>
      </c>
      <c r="AK454" s="11">
        <v>31420.0</v>
      </c>
      <c r="AL454" s="11">
        <v>-27370.0</v>
      </c>
      <c r="AM454" s="11">
        <v>-35970.0</v>
      </c>
      <c r="AN454" s="11">
        <v>-21700.0</v>
      </c>
      <c r="AO454" s="11">
        <v>12570.0</v>
      </c>
      <c r="AP454" s="11">
        <v>-43800.0</v>
      </c>
      <c r="AQ454" s="11">
        <v>-223520.0</v>
      </c>
      <c r="AR454" s="11">
        <v>-148300.0</v>
      </c>
      <c r="AS454" s="11">
        <v>35160.0</v>
      </c>
      <c r="AT454" s="11">
        <v>45470.0</v>
      </c>
      <c r="AU454" s="11">
        <v>7390.0</v>
      </c>
      <c r="AV454" s="11">
        <v>-45430.0</v>
      </c>
      <c r="AW454" s="11">
        <v>-43790.0</v>
      </c>
      <c r="AX454" s="11">
        <v>-202030.0</v>
      </c>
      <c r="AY454" s="11">
        <v>-56060.0</v>
      </c>
      <c r="AZ454" s="11">
        <v>-176790.0</v>
      </c>
      <c r="BA454" s="11">
        <v>-22350.0</v>
      </c>
      <c r="BB454" s="11">
        <v>-1750.0</v>
      </c>
      <c r="BC454" s="12"/>
      <c r="BD454" s="12"/>
      <c r="BE454" s="12"/>
      <c r="BF454" s="12"/>
      <c r="BG454" s="12"/>
      <c r="BH454" s="11">
        <v>59060.0</v>
      </c>
      <c r="BI454" s="11">
        <v>67210.0</v>
      </c>
      <c r="BJ454" s="11">
        <v>60750.0</v>
      </c>
      <c r="BK454" s="11">
        <v>76520.0</v>
      </c>
      <c r="BL454" s="11">
        <v>24900.0</v>
      </c>
      <c r="BM454" s="11">
        <v>19980.0</v>
      </c>
      <c r="BN454" s="11">
        <v>19790.0</v>
      </c>
      <c r="BO454" s="11">
        <v>17250.0</v>
      </c>
      <c r="BP454" s="11">
        <v>5090.0</v>
      </c>
      <c r="BQ454" s="11">
        <v>7080.0</v>
      </c>
      <c r="BR454" s="11">
        <v>15820.0</v>
      </c>
      <c r="BS454" s="11">
        <v>16140.0</v>
      </c>
      <c r="BT454" s="11">
        <v>14110.0</v>
      </c>
      <c r="BU454" s="11">
        <v>10880.0</v>
      </c>
      <c r="BV454" s="11">
        <v>5570.0</v>
      </c>
      <c r="BW454" s="11">
        <v>100130.0</v>
      </c>
      <c r="BX454" s="11">
        <v>118470.0</v>
      </c>
      <c r="BY454" s="11">
        <v>105220.0</v>
      </c>
      <c r="BZ454" s="11">
        <v>104270.0</v>
      </c>
      <c r="CA454" s="11">
        <v>41030.0</v>
      </c>
      <c r="CB454" s="11">
        <v>874610.0</v>
      </c>
      <c r="CC454" s="11">
        <v>685680.0</v>
      </c>
      <c r="CD454" s="11">
        <v>693060.0</v>
      </c>
      <c r="CE454" s="11">
        <v>568230.0</v>
      </c>
      <c r="CF454" s="11">
        <v>734180.0</v>
      </c>
      <c r="CG454" s="11"/>
      <c r="CH454" s="11"/>
      <c r="CI454" s="11"/>
      <c r="CJ454" s="11"/>
      <c r="CK454" s="11"/>
      <c r="CL454" s="11">
        <v>1000000.0</v>
      </c>
      <c r="CM454" s="11">
        <v>846210.0</v>
      </c>
      <c r="CN454" s="11">
        <v>808350.0</v>
      </c>
      <c r="CO454" s="11">
        <v>686380.0</v>
      </c>
      <c r="CP454" s="11">
        <v>786600.0</v>
      </c>
      <c r="CQ454" s="11">
        <v>13480.0</v>
      </c>
      <c r="CR454" s="11">
        <v>14160.0</v>
      </c>
      <c r="CS454" s="11">
        <v>7470.0</v>
      </c>
      <c r="CT454" s="11">
        <v>7140.0</v>
      </c>
      <c r="CU454" s="11">
        <v>8220.0</v>
      </c>
      <c r="CV454" s="11">
        <v>102220.0</v>
      </c>
      <c r="CW454" s="11">
        <v>13260.0</v>
      </c>
      <c r="CX454" s="12"/>
      <c r="CY454" s="12"/>
      <c r="CZ454" s="12"/>
      <c r="DA454" s="12"/>
      <c r="DB454" s="11">
        <v>102220.0</v>
      </c>
      <c r="DC454" s="11">
        <v>62990.0</v>
      </c>
      <c r="DD454" s="11">
        <v>30820.0</v>
      </c>
      <c r="DE454" s="11">
        <v>25580.0</v>
      </c>
      <c r="DF454" s="11">
        <v>520580.0</v>
      </c>
      <c r="DG454" s="11">
        <v>366600.0</v>
      </c>
      <c r="DH454" s="11">
        <v>347180.0</v>
      </c>
      <c r="DI454" s="11">
        <v>285900.0</v>
      </c>
      <c r="DJ454" s="11">
        <v>268260.0</v>
      </c>
      <c r="DK454" s="11">
        <v>75.0</v>
      </c>
      <c r="DL454" s="11">
        <v>10950.0</v>
      </c>
      <c r="DM454" s="12">
        <v>75.0</v>
      </c>
      <c r="DN454" s="12">
        <v>75.0</v>
      </c>
      <c r="DO454" s="11">
        <v>141.0</v>
      </c>
      <c r="DP454" s="11">
        <v>418370.0</v>
      </c>
      <c r="DQ454" s="11">
        <v>301580.0</v>
      </c>
      <c r="DR454" s="11">
        <v>313680.0</v>
      </c>
      <c r="DS454" s="11">
        <v>255940.0</v>
      </c>
      <c r="DT454" s="11">
        <v>225580.0</v>
      </c>
      <c r="DU454" s="13"/>
      <c r="DV454" s="12"/>
      <c r="DW454" s="12"/>
      <c r="DX454" s="12"/>
      <c r="DY454" s="12"/>
      <c r="DZ454" s="11">
        <v>481500.0</v>
      </c>
      <c r="EA454" s="11">
        <v>479610.0</v>
      </c>
      <c r="EB454" s="11">
        <v>461170.0</v>
      </c>
      <c r="EC454" s="11">
        <v>400480.0</v>
      </c>
      <c r="ED454" s="11">
        <v>518340.0</v>
      </c>
      <c r="EE454" s="14">
        <v>0.233</v>
      </c>
      <c r="EF454" s="14">
        <v>0.163</v>
      </c>
      <c r="EG454" s="14">
        <v>-0.167</v>
      </c>
      <c r="EH454" s="14">
        <v>-0.956</v>
      </c>
    </row>
    <row r="455">
      <c r="A455" s="9">
        <f t="shared" si="2"/>
        <v>453</v>
      </c>
      <c r="B455" s="10" t="s">
        <v>589</v>
      </c>
      <c r="C455" s="15">
        <v>554790.0</v>
      </c>
      <c r="D455" s="15">
        <v>399030.0</v>
      </c>
      <c r="E455" s="15">
        <v>817260.0</v>
      </c>
      <c r="F455" s="15">
        <v>594440.0</v>
      </c>
      <c r="G455" s="15">
        <v>508200.0</v>
      </c>
      <c r="H455" s="15">
        <v>573330.0</v>
      </c>
      <c r="I455" s="15">
        <v>612920.0</v>
      </c>
      <c r="J455" s="15">
        <v>121070.0</v>
      </c>
      <c r="K455" s="15">
        <v>40250.0</v>
      </c>
      <c r="L455" s="15">
        <v>105210.0</v>
      </c>
      <c r="M455" s="15">
        <v>167550.0</v>
      </c>
      <c r="N455" s="15">
        <v>124240.0</v>
      </c>
      <c r="O455" s="15">
        <v>53180.0</v>
      </c>
      <c r="P455" s="15">
        <v>74330.0</v>
      </c>
      <c r="Q455" s="15">
        <v>89880.0</v>
      </c>
      <c r="R455" s="15">
        <v>71560.0</v>
      </c>
      <c r="S455" s="15">
        <v>80440.0</v>
      </c>
      <c r="T455" s="15">
        <v>0.0</v>
      </c>
      <c r="U455" s="15">
        <v>0.0</v>
      </c>
      <c r="V455" s="15">
        <v>0.0</v>
      </c>
      <c r="W455" s="15">
        <v>0.0</v>
      </c>
      <c r="X455" s="15">
        <v>0.0</v>
      </c>
      <c r="Y455" s="15">
        <v>180740.0</v>
      </c>
      <c r="Z455" s="15">
        <v>-615120.0</v>
      </c>
      <c r="AA455" s="15">
        <v>-30710.0</v>
      </c>
      <c r="AB455" s="15">
        <v>89990.0</v>
      </c>
      <c r="AC455" s="15">
        <v>-2370000.0</v>
      </c>
      <c r="AD455" s="15">
        <v>135030.0</v>
      </c>
      <c r="AE455" s="15">
        <v>-604170.0</v>
      </c>
      <c r="AF455" s="15">
        <v>1030.0</v>
      </c>
      <c r="AG455" s="15">
        <v>64520.0</v>
      </c>
      <c r="AH455" s="15">
        <v>-2360000.0</v>
      </c>
      <c r="AI455" s="15">
        <v>277350.0</v>
      </c>
      <c r="AJ455" s="15">
        <v>105610.0</v>
      </c>
      <c r="AK455" s="15">
        <v>106810.0</v>
      </c>
      <c r="AL455" s="15">
        <v>197590.0</v>
      </c>
      <c r="AM455" s="15">
        <v>160550.0</v>
      </c>
      <c r="AN455" s="15">
        <v>91420.0</v>
      </c>
      <c r="AO455" s="15">
        <v>-469060.0</v>
      </c>
      <c r="AP455" s="15">
        <v>-9270.0</v>
      </c>
      <c r="AQ455" s="15">
        <v>-3550.0</v>
      </c>
      <c r="AR455" s="15">
        <v>-1930000.0</v>
      </c>
      <c r="AS455" s="15">
        <v>214930.0</v>
      </c>
      <c r="AT455" s="15">
        <v>85960.0</v>
      </c>
      <c r="AU455" s="15">
        <v>36320.0</v>
      </c>
      <c r="AV455" s="15">
        <v>150590.0</v>
      </c>
      <c r="AW455" s="15">
        <v>285760.0</v>
      </c>
      <c r="AX455" s="15">
        <v>-284630.0</v>
      </c>
      <c r="AY455" s="15">
        <v>-355240.0</v>
      </c>
      <c r="AZ455" s="15">
        <v>-401260.0</v>
      </c>
      <c r="BA455" s="15">
        <v>-394390.0</v>
      </c>
      <c r="BB455" s="15">
        <v>-444020.0</v>
      </c>
      <c r="BC455" s="15">
        <v>0.0</v>
      </c>
      <c r="BD455" s="15">
        <v>0.0</v>
      </c>
      <c r="BE455" s="15">
        <v>-13770.0</v>
      </c>
      <c r="BF455" s="15">
        <v>0.0</v>
      </c>
      <c r="BG455" s="15">
        <v>-14400.0</v>
      </c>
      <c r="BH455" s="15">
        <v>239720.0</v>
      </c>
      <c r="BI455" s="15">
        <v>404040.0</v>
      </c>
      <c r="BJ455" s="15">
        <v>614360.0</v>
      </c>
      <c r="BK455" s="15">
        <v>1230000.0</v>
      </c>
      <c r="BL455" s="15">
        <v>432220.0</v>
      </c>
      <c r="BM455" s="15">
        <v>82340.0</v>
      </c>
      <c r="BN455" s="15">
        <v>89110.0</v>
      </c>
      <c r="BO455" s="15">
        <v>74670.0</v>
      </c>
      <c r="BP455" s="15">
        <v>55540.0</v>
      </c>
      <c r="BQ455" s="15">
        <v>67000.0</v>
      </c>
      <c r="BR455" s="15">
        <v>211670.0</v>
      </c>
      <c r="BS455" s="15">
        <v>188320.0</v>
      </c>
      <c r="BT455" s="15">
        <v>211550.0</v>
      </c>
      <c r="BU455" s="15">
        <v>162040.0</v>
      </c>
      <c r="BV455" s="15">
        <v>243960.0</v>
      </c>
      <c r="BW455" s="15">
        <v>565200.0</v>
      </c>
      <c r="BX455" s="15">
        <v>702970.0</v>
      </c>
      <c r="BY455" s="15">
        <v>924070.0</v>
      </c>
      <c r="BZ455" s="15">
        <v>1460000.0</v>
      </c>
      <c r="CA455" s="15">
        <v>794900.0</v>
      </c>
      <c r="CB455" s="15">
        <v>5300000.0</v>
      </c>
      <c r="CC455" s="15">
        <v>5450000.0</v>
      </c>
      <c r="CD455" s="15">
        <v>5300000.0</v>
      </c>
      <c r="CE455" s="15">
        <v>4890000.0</v>
      </c>
      <c r="CF455" s="15">
        <v>6600000.0</v>
      </c>
      <c r="CG455" s="15">
        <v>120070.0</v>
      </c>
      <c r="CH455" s="15">
        <v>126460.0</v>
      </c>
      <c r="CI455" s="15">
        <v>116010.0</v>
      </c>
      <c r="CJ455" s="15">
        <v>0.0</v>
      </c>
      <c r="CK455" s="15">
        <v>69840.0</v>
      </c>
      <c r="CL455" s="15">
        <v>6030000.0</v>
      </c>
      <c r="CM455" s="15">
        <v>6320000.0</v>
      </c>
      <c r="CN455" s="15">
        <v>6380000.0</v>
      </c>
      <c r="CO455" s="15">
        <v>6430000.0</v>
      </c>
      <c r="CP455" s="15">
        <v>7590000.0</v>
      </c>
      <c r="CQ455" s="15">
        <v>87020.0</v>
      </c>
      <c r="CR455" s="15">
        <v>53220.0</v>
      </c>
      <c r="CS455" s="15">
        <v>75280.0</v>
      </c>
      <c r="CT455" s="15">
        <v>58620.0</v>
      </c>
      <c r="CU455" s="15">
        <v>135220.0</v>
      </c>
      <c r="CV455" s="15">
        <v>287520.0</v>
      </c>
      <c r="CW455" s="15">
        <v>0.0</v>
      </c>
      <c r="CX455" s="16">
        <v>0.0</v>
      </c>
      <c r="CY455" s="16">
        <v>0.0</v>
      </c>
      <c r="CZ455" s="16">
        <v>0.0</v>
      </c>
      <c r="DA455" s="15">
        <v>0.0</v>
      </c>
      <c r="DB455" s="15">
        <v>287520.0</v>
      </c>
      <c r="DC455" s="15">
        <v>193540.0</v>
      </c>
      <c r="DD455" s="15">
        <v>142870.0</v>
      </c>
      <c r="DE455" s="15">
        <v>121640.0</v>
      </c>
      <c r="DF455" s="15">
        <v>1520000.0</v>
      </c>
      <c r="DG455" s="15">
        <v>1750000.0</v>
      </c>
      <c r="DH455" s="15">
        <v>1710000.0</v>
      </c>
      <c r="DI455" s="15">
        <v>1640000.0</v>
      </c>
      <c r="DJ455" s="15">
        <v>2140000.0</v>
      </c>
      <c r="DK455" s="15">
        <v>3990.0</v>
      </c>
      <c r="DL455" s="15">
        <v>18370.0</v>
      </c>
      <c r="DM455" s="15">
        <v>15810.0</v>
      </c>
      <c r="DN455" s="15">
        <v>0.0</v>
      </c>
      <c r="DO455" s="15">
        <v>0.0</v>
      </c>
      <c r="DP455" s="15">
        <v>555280.0</v>
      </c>
      <c r="DQ455" s="15">
        <v>822910.0</v>
      </c>
      <c r="DR455" s="15">
        <v>744120.0</v>
      </c>
      <c r="DS455" s="15">
        <v>793350.0</v>
      </c>
      <c r="DT455" s="15">
        <v>818730.0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4430000.0</v>
      </c>
      <c r="EA455" s="15">
        <v>4480000.0</v>
      </c>
      <c r="EB455" s="15">
        <v>4570000.0</v>
      </c>
      <c r="EC455" s="15">
        <v>4670000.0</v>
      </c>
      <c r="ED455" s="15">
        <v>5210000.0</v>
      </c>
      <c r="EE455" s="17">
        <v>0.307</v>
      </c>
      <c r="EF455" s="17">
        <v>0.573</v>
      </c>
      <c r="EG455" s="17">
        <v>-1.0</v>
      </c>
      <c r="EH455" s="17">
        <v>-0.375</v>
      </c>
    </row>
    <row r="456">
      <c r="A456" s="9">
        <f t="shared" si="2"/>
        <v>454</v>
      </c>
      <c r="B456" s="22" t="s">
        <v>590</v>
      </c>
      <c r="C456" s="11">
        <v>225160.0</v>
      </c>
      <c r="D456" s="11">
        <v>193100.0</v>
      </c>
      <c r="E456" s="11">
        <v>195890.0</v>
      </c>
      <c r="F456" s="11">
        <v>213310.0</v>
      </c>
      <c r="G456" s="11">
        <v>236710.0</v>
      </c>
      <c r="H456" s="11">
        <v>189480.0</v>
      </c>
      <c r="I456" s="11">
        <v>66230.0</v>
      </c>
      <c r="J456" s="11">
        <v>135000.0</v>
      </c>
      <c r="K456" s="11">
        <v>151400.0</v>
      </c>
      <c r="L456" s="11">
        <v>179520.0</v>
      </c>
      <c r="M456" s="11">
        <v>134180.0</v>
      </c>
      <c r="N456" s="11">
        <v>50580.0</v>
      </c>
      <c r="O456" s="11">
        <v>113180.0</v>
      </c>
      <c r="P456" s="11">
        <v>104930.0</v>
      </c>
      <c r="Q456" s="11">
        <v>103720.0</v>
      </c>
      <c r="R456" s="11">
        <v>81720.0</v>
      </c>
      <c r="S456" s="11">
        <v>48020.0</v>
      </c>
      <c r="T456" s="11">
        <v>36810.0</v>
      </c>
      <c r="U456" s="11">
        <v>44420.0</v>
      </c>
      <c r="V456" s="11">
        <v>32610.0</v>
      </c>
      <c r="W456" s="11">
        <v>30260.0</v>
      </c>
      <c r="X456" s="11">
        <v>27860.0</v>
      </c>
      <c r="Y456" s="12"/>
      <c r="Z456" s="11">
        <v>36620.0</v>
      </c>
      <c r="AA456" s="11">
        <v>73990.0</v>
      </c>
      <c r="AB456" s="11">
        <v>51600.0</v>
      </c>
      <c r="AC456" s="12"/>
      <c r="AD456" s="11">
        <v>22000.0</v>
      </c>
      <c r="AE456" s="11">
        <v>34040.0</v>
      </c>
      <c r="AF456" s="11">
        <v>72950.0</v>
      </c>
      <c r="AG456" s="11">
        <v>53430.0</v>
      </c>
      <c r="AH456" s="11">
        <v>2570.0</v>
      </c>
      <c r="AI456" s="11">
        <v>26470.0</v>
      </c>
      <c r="AJ456" s="11">
        <v>50140.0</v>
      </c>
      <c r="AK456" s="11">
        <v>79550.0</v>
      </c>
      <c r="AL456" s="11">
        <v>54050.0</v>
      </c>
      <c r="AM456" s="11">
        <v>2670.0</v>
      </c>
      <c r="AN456" s="11">
        <v>14310.0</v>
      </c>
      <c r="AO456" s="11">
        <v>31900.0</v>
      </c>
      <c r="AP456" s="11">
        <v>51940.0</v>
      </c>
      <c r="AQ456" s="11">
        <v>81450.0</v>
      </c>
      <c r="AR456" s="11">
        <v>2570.0</v>
      </c>
      <c r="AS456" s="11">
        <v>55660.0</v>
      </c>
      <c r="AT456" s="11">
        <v>52380.0</v>
      </c>
      <c r="AU456" s="11">
        <v>58920.0</v>
      </c>
      <c r="AV456" s="11">
        <v>53210.0</v>
      </c>
      <c r="AW456" s="11">
        <v>-9720.0</v>
      </c>
      <c r="AX456" s="11">
        <v>-777.0</v>
      </c>
      <c r="AY456" s="11">
        <v>-133.0</v>
      </c>
      <c r="AZ456" s="11">
        <v>-5190.0</v>
      </c>
      <c r="BA456" s="11">
        <v>-20690.0</v>
      </c>
      <c r="BB456" s="11">
        <v>-1880.0</v>
      </c>
      <c r="BC456" s="12"/>
      <c r="BD456" s="12"/>
      <c r="BE456" s="12"/>
      <c r="BF456" s="12"/>
      <c r="BG456" s="12"/>
      <c r="BH456" s="11">
        <v>109780.0</v>
      </c>
      <c r="BI456" s="11">
        <v>78790.0</v>
      </c>
      <c r="BJ456" s="11">
        <v>114660.0</v>
      </c>
      <c r="BK456" s="11">
        <v>52820.0</v>
      </c>
      <c r="BL456" s="11">
        <v>79080.0</v>
      </c>
      <c r="BM456" s="11">
        <v>48000.0</v>
      </c>
      <c r="BN456" s="11">
        <v>66490.0</v>
      </c>
      <c r="BO456" s="11">
        <v>53820.0</v>
      </c>
      <c r="BP456" s="11">
        <v>42190.0</v>
      </c>
      <c r="BQ456" s="11">
        <v>26270.0</v>
      </c>
      <c r="BR456" s="11">
        <v>9030.0</v>
      </c>
      <c r="BS456" s="11">
        <v>8300.0</v>
      </c>
      <c r="BT456" s="11">
        <v>5120.0</v>
      </c>
      <c r="BU456" s="11">
        <v>2740.0</v>
      </c>
      <c r="BV456" s="11">
        <v>15040.0</v>
      </c>
      <c r="BW456" s="11">
        <v>179450.0</v>
      </c>
      <c r="BX456" s="11">
        <v>163840.0</v>
      </c>
      <c r="BY456" s="11">
        <v>188700.0</v>
      </c>
      <c r="BZ456" s="11">
        <v>109110.0</v>
      </c>
      <c r="CA456" s="11">
        <v>122260.0</v>
      </c>
      <c r="CB456" s="11">
        <v>5920.0</v>
      </c>
      <c r="CC456" s="11">
        <v>2400.0</v>
      </c>
      <c r="CD456" s="11">
        <v>6820.0</v>
      </c>
      <c r="CE456" s="11">
        <v>3320.0</v>
      </c>
      <c r="CF456" s="11">
        <v>2210.0</v>
      </c>
      <c r="CG456" s="11">
        <v>39740.0</v>
      </c>
      <c r="CH456" s="11">
        <v>39740.0</v>
      </c>
      <c r="CI456" s="11">
        <v>39740.0</v>
      </c>
      <c r="CJ456" s="11">
        <v>39740.0</v>
      </c>
      <c r="CK456" s="12"/>
      <c r="CL456" s="11">
        <v>255640.0</v>
      </c>
      <c r="CM456" s="11">
        <v>239290.0</v>
      </c>
      <c r="CN456" s="11">
        <v>273110.0</v>
      </c>
      <c r="CO456" s="11">
        <v>214320.0</v>
      </c>
      <c r="CP456" s="11">
        <v>124610.0</v>
      </c>
      <c r="CQ456" s="11">
        <v>5460.0</v>
      </c>
      <c r="CR456" s="11">
        <v>9920.0</v>
      </c>
      <c r="CS456" s="11">
        <v>11980.0</v>
      </c>
      <c r="CT456" s="11">
        <v>14720.0</v>
      </c>
      <c r="CU456" s="11">
        <v>3860.0</v>
      </c>
      <c r="CV456" s="11">
        <v>38820.0</v>
      </c>
      <c r="CW456" s="11">
        <v>1100.0</v>
      </c>
      <c r="CX456" s="12"/>
      <c r="CY456" s="12"/>
      <c r="CZ456" s="12"/>
      <c r="DA456" s="12"/>
      <c r="DB456" s="11">
        <v>38820.0</v>
      </c>
      <c r="DC456" s="11">
        <v>39690.0</v>
      </c>
      <c r="DD456" s="11">
        <v>47300.0</v>
      </c>
      <c r="DE456" s="11">
        <v>40970.0</v>
      </c>
      <c r="DF456" s="11">
        <v>76460.0</v>
      </c>
      <c r="DG456" s="11">
        <v>78530.0</v>
      </c>
      <c r="DH456" s="11">
        <v>93970.0</v>
      </c>
      <c r="DI456" s="11">
        <v>63090.0</v>
      </c>
      <c r="DJ456" s="11">
        <v>34260.0</v>
      </c>
      <c r="DK456" s="12"/>
      <c r="DL456" s="12"/>
      <c r="DM456" s="12"/>
      <c r="DN456" s="12"/>
      <c r="DO456" s="12"/>
      <c r="DP456" s="11">
        <v>36560.0</v>
      </c>
      <c r="DQ456" s="11">
        <v>38160.0</v>
      </c>
      <c r="DR456" s="11">
        <v>42910.0</v>
      </c>
      <c r="DS456" s="12"/>
      <c r="DT456" s="12"/>
      <c r="DU456" s="13"/>
      <c r="DV456" s="12"/>
      <c r="DW456" s="12"/>
      <c r="DX456" s="13"/>
      <c r="DY456" s="13"/>
      <c r="DZ456" s="11">
        <v>179170.0</v>
      </c>
      <c r="EA456" s="11">
        <v>160760.0</v>
      </c>
      <c r="EB456" s="11">
        <v>179140.0</v>
      </c>
      <c r="EC456" s="11">
        <v>151230.0</v>
      </c>
      <c r="ED456" s="11">
        <v>90340.0</v>
      </c>
      <c r="EE456" s="14">
        <v>0.044</v>
      </c>
      <c r="EF456" s="14">
        <v>0.189</v>
      </c>
      <c r="EG456" s="14">
        <v>1.478</v>
      </c>
      <c r="EH456" s="14">
        <v>0.4</v>
      </c>
    </row>
    <row r="457">
      <c r="A457" s="9">
        <f t="shared" si="2"/>
        <v>455</v>
      </c>
      <c r="B457" s="32" t="s">
        <v>591</v>
      </c>
      <c r="C457" s="11">
        <v>5160000.0</v>
      </c>
      <c r="D457" s="11">
        <v>4680000.0</v>
      </c>
      <c r="E457" s="11">
        <v>4610000.0</v>
      </c>
      <c r="F457" s="11">
        <v>4280000.0</v>
      </c>
      <c r="G457" s="11">
        <v>3910000.0</v>
      </c>
      <c r="H457" s="11">
        <v>3650000.0</v>
      </c>
      <c r="I457" s="11">
        <v>3120000.0</v>
      </c>
      <c r="J457" s="11">
        <v>939500.0</v>
      </c>
      <c r="K457" s="11">
        <v>901800.0</v>
      </c>
      <c r="L457" s="11">
        <v>821100.0</v>
      </c>
      <c r="M457" s="11">
        <v>784100.0</v>
      </c>
      <c r="N457" s="11">
        <v>690500.0</v>
      </c>
      <c r="O457" s="11">
        <v>247000.0</v>
      </c>
      <c r="P457" s="11">
        <v>220200.0</v>
      </c>
      <c r="Q457" s="11">
        <v>171700.0</v>
      </c>
      <c r="R457" s="11">
        <v>135300.0</v>
      </c>
      <c r="S457" s="11">
        <v>136300.0</v>
      </c>
      <c r="T457" s="12"/>
      <c r="U457" s="12"/>
      <c r="V457" s="12"/>
      <c r="W457" s="12"/>
      <c r="X457" s="12"/>
      <c r="Y457" s="11">
        <v>704000.0</v>
      </c>
      <c r="Z457" s="11">
        <v>629600.0</v>
      </c>
      <c r="AA457" s="11">
        <v>-10700.0</v>
      </c>
      <c r="AB457" s="11">
        <v>-7400.0</v>
      </c>
      <c r="AC457" s="11">
        <v>526300.0</v>
      </c>
      <c r="AD457" s="11">
        <v>562300.0</v>
      </c>
      <c r="AE457" s="11">
        <v>493200.0</v>
      </c>
      <c r="AF457" s="11">
        <v>496400.0</v>
      </c>
      <c r="AG457" s="11">
        <v>482000.0</v>
      </c>
      <c r="AH457" s="11">
        <v>395600.0</v>
      </c>
      <c r="AI457" s="11">
        <v>911200.0</v>
      </c>
      <c r="AJ457" s="11">
        <v>881300.0</v>
      </c>
      <c r="AK457" s="11">
        <v>833200.0</v>
      </c>
      <c r="AL457" s="11">
        <v>821400.0</v>
      </c>
      <c r="AM457" s="11">
        <v>693900.0</v>
      </c>
      <c r="AN457" s="11">
        <v>358000.0</v>
      </c>
      <c r="AO457" s="11">
        <v>290300.0</v>
      </c>
      <c r="AP457" s="11">
        <v>270600.0</v>
      </c>
      <c r="AQ457" s="11">
        <v>246800.0</v>
      </c>
      <c r="AR457" s="11">
        <v>183000.0</v>
      </c>
      <c r="AS457" s="11">
        <v>635300.0</v>
      </c>
      <c r="AT457" s="11">
        <v>762400.0</v>
      </c>
      <c r="AU457" s="11">
        <v>658300.0</v>
      </c>
      <c r="AV457" s="11">
        <v>634400.0</v>
      </c>
      <c r="AW457" s="11">
        <v>484800.0</v>
      </c>
      <c r="AX457" s="11">
        <v>-404100.0</v>
      </c>
      <c r="AY457" s="11">
        <v>-270500.0</v>
      </c>
      <c r="AZ457" s="11">
        <v>-245000.0</v>
      </c>
      <c r="BA457" s="11">
        <v>-202900.0</v>
      </c>
      <c r="BB457" s="11">
        <v>-156500.0</v>
      </c>
      <c r="BC457" s="11">
        <v>-108700.0</v>
      </c>
      <c r="BD457" s="11">
        <v>-100800.0</v>
      </c>
      <c r="BE457" s="11">
        <v>-91500.0</v>
      </c>
      <c r="BF457" s="11">
        <v>-83800.0</v>
      </c>
      <c r="BG457" s="11">
        <v>-80300.0</v>
      </c>
      <c r="BH457" s="11">
        <v>152200.0</v>
      </c>
      <c r="BI457" s="11">
        <v>128200.0</v>
      </c>
      <c r="BJ457" s="11">
        <v>116800.0</v>
      </c>
      <c r="BK457" s="11">
        <v>101400.0</v>
      </c>
      <c r="BL457" s="11">
        <v>107500.0</v>
      </c>
      <c r="BM457" s="11">
        <v>506100.0</v>
      </c>
      <c r="BN457" s="11">
        <v>467700.0</v>
      </c>
      <c r="BO457" s="11">
        <v>472100.0</v>
      </c>
      <c r="BP457" s="11">
        <v>443800.0</v>
      </c>
      <c r="BQ457" s="11">
        <v>410500.0</v>
      </c>
      <c r="BR457" s="12"/>
      <c r="BS457" s="12"/>
      <c r="BT457" s="12"/>
      <c r="BU457" s="12"/>
      <c r="BV457" s="12"/>
      <c r="BW457" s="11">
        <v>755800.0</v>
      </c>
      <c r="BX457" s="11">
        <v>662100.0</v>
      </c>
      <c r="BY457" s="11">
        <v>702200.0</v>
      </c>
      <c r="BZ457" s="11">
        <v>654500.0</v>
      </c>
      <c r="CA457" s="11">
        <v>598700.0</v>
      </c>
      <c r="CB457" s="11">
        <v>2240000.0</v>
      </c>
      <c r="CC457" s="11">
        <v>1630000.0</v>
      </c>
      <c r="CD457" s="11">
        <v>1520000.0</v>
      </c>
      <c r="CE457" s="11">
        <v>1390000.0</v>
      </c>
      <c r="CF457" s="11">
        <v>1310000.0</v>
      </c>
      <c r="CG457" s="11">
        <v>2310000.0</v>
      </c>
      <c r="CH457" s="11">
        <v>2100000.0</v>
      </c>
      <c r="CI457" s="11">
        <v>1970000.0</v>
      </c>
      <c r="CJ457" s="11">
        <v>1930000.0</v>
      </c>
      <c r="CK457" s="11">
        <v>1890000.0</v>
      </c>
      <c r="CL457" s="11">
        <v>6080000.0</v>
      </c>
      <c r="CM457" s="11">
        <v>5180000.0</v>
      </c>
      <c r="CN457" s="11">
        <v>4860000.0</v>
      </c>
      <c r="CO457" s="11">
        <v>4680000.0</v>
      </c>
      <c r="CP457" s="11">
        <v>4610000.0</v>
      </c>
      <c r="CQ457" s="11">
        <v>94600.0</v>
      </c>
      <c r="CR457" s="11">
        <v>90000.0</v>
      </c>
      <c r="CS457" s="11">
        <v>78400.0</v>
      </c>
      <c r="CT457" s="11">
        <v>68300.0</v>
      </c>
      <c r="CU457" s="11">
        <v>61600.0</v>
      </c>
      <c r="CV457" s="11">
        <v>721000.0</v>
      </c>
      <c r="CW457" s="11">
        <v>40400.0</v>
      </c>
      <c r="CX457" s="12"/>
      <c r="CY457" s="12"/>
      <c r="CZ457" s="12"/>
      <c r="DA457" s="12"/>
      <c r="DB457" s="11">
        <v>721000.0</v>
      </c>
      <c r="DC457" s="11">
        <v>672500.0</v>
      </c>
      <c r="DD457" s="11">
        <v>517500.0</v>
      </c>
      <c r="DE457" s="11">
        <v>475600.0</v>
      </c>
      <c r="DF457" s="11">
        <v>4150000.0</v>
      </c>
      <c r="DG457" s="11">
        <v>3360000.0</v>
      </c>
      <c r="DH457" s="11">
        <v>3250000.0</v>
      </c>
      <c r="DI457" s="11">
        <v>3610000.0</v>
      </c>
      <c r="DJ457" s="11">
        <v>3710000.0</v>
      </c>
      <c r="DK457" s="11">
        <v>90900.0</v>
      </c>
      <c r="DL457" s="11">
        <v>74200.0</v>
      </c>
      <c r="DM457" s="11">
        <v>56100.0</v>
      </c>
      <c r="DN457" s="11">
        <v>46500.0</v>
      </c>
      <c r="DO457" s="11">
        <v>51800.0</v>
      </c>
      <c r="DP457" s="11">
        <v>3270000.0</v>
      </c>
      <c r="DQ457" s="11">
        <v>2480000.0</v>
      </c>
      <c r="DR457" s="11">
        <v>2550000.0</v>
      </c>
      <c r="DS457" s="11">
        <v>2980000.0</v>
      </c>
      <c r="DT457" s="11">
        <v>3130000.0</v>
      </c>
      <c r="DU457" s="12"/>
      <c r="DV457" s="12"/>
      <c r="DW457" s="12"/>
      <c r="DX457" s="12"/>
      <c r="DY457" s="12"/>
      <c r="DZ457" s="11">
        <v>1350000.0</v>
      </c>
      <c r="EA457" s="11">
        <v>1280000.0</v>
      </c>
      <c r="EB457" s="11">
        <v>1150000.0</v>
      </c>
      <c r="EC457" s="11">
        <v>735900.0</v>
      </c>
      <c r="ED457" s="11">
        <v>611400.0</v>
      </c>
      <c r="EE457" s="14">
        <v>0.1</v>
      </c>
      <c r="EF457" s="14">
        <v>0.062</v>
      </c>
      <c r="EG457" s="14">
        <v>0.024</v>
      </c>
      <c r="EH457" s="14">
        <v>0.049</v>
      </c>
    </row>
    <row r="458">
      <c r="A458" s="9">
        <f t="shared" si="2"/>
        <v>456</v>
      </c>
      <c r="B458" s="22" t="s">
        <v>592</v>
      </c>
      <c r="C458" s="12"/>
      <c r="D458" s="12"/>
      <c r="E458" s="11">
        <v>26690.0</v>
      </c>
      <c r="F458" s="12"/>
      <c r="G458" s="12"/>
      <c r="H458" s="12"/>
      <c r="I458" s="12"/>
      <c r="J458" s="11">
        <v>24110.0</v>
      </c>
      <c r="K458" s="11">
        <v>-56.0</v>
      </c>
      <c r="L458" s="11">
        <v>-4.0</v>
      </c>
      <c r="M458" s="12"/>
      <c r="N458" s="12"/>
      <c r="O458" s="11">
        <v>64570.0</v>
      </c>
      <c r="P458" s="11">
        <v>37720.0</v>
      </c>
      <c r="Q458" s="11">
        <v>12010.0</v>
      </c>
      <c r="R458" s="11">
        <v>2390.0</v>
      </c>
      <c r="S458" s="12"/>
      <c r="T458" s="11">
        <v>46810.0</v>
      </c>
      <c r="U458" s="11">
        <v>28540.0</v>
      </c>
      <c r="V458" s="11">
        <v>9290.0</v>
      </c>
      <c r="W458" s="11">
        <v>1730.0</v>
      </c>
      <c r="X458" s="12"/>
      <c r="Y458" s="11">
        <v>-40430.0</v>
      </c>
      <c r="Z458" s="11">
        <v>-34620.0</v>
      </c>
      <c r="AA458" s="12"/>
      <c r="AB458" s="12"/>
      <c r="AC458" s="12"/>
      <c r="AD458" s="11">
        <v>-37840.0</v>
      </c>
      <c r="AE458" s="11">
        <v>-40730.0</v>
      </c>
      <c r="AF458" s="11">
        <v>-11940.0</v>
      </c>
      <c r="AG458" s="11">
        <v>-2540.0</v>
      </c>
      <c r="AH458" s="12"/>
      <c r="AI458" s="11">
        <v>-40370.0</v>
      </c>
      <c r="AJ458" s="11">
        <v>-37720.0</v>
      </c>
      <c r="AK458" s="11">
        <v>-12010.0</v>
      </c>
      <c r="AL458" s="11">
        <v>-2390.0</v>
      </c>
      <c r="AM458" s="12"/>
      <c r="AN458" s="11">
        <v>-37840.0</v>
      </c>
      <c r="AO458" s="11">
        <v>-47250.0</v>
      </c>
      <c r="AP458" s="11">
        <v>-11940.0</v>
      </c>
      <c r="AQ458" s="11">
        <v>-2540.0</v>
      </c>
      <c r="AR458" s="12"/>
      <c r="AS458" s="11">
        <v>-31650.0</v>
      </c>
      <c r="AT458" s="11">
        <v>-33140.0</v>
      </c>
      <c r="AU458" s="11">
        <v>-9720.0</v>
      </c>
      <c r="AV458" s="11">
        <v>-2060.0</v>
      </c>
      <c r="AW458" s="12"/>
      <c r="AX458" s="11">
        <v>-227.0</v>
      </c>
      <c r="AY458" s="11">
        <v>-150.0</v>
      </c>
      <c r="AZ458" s="11">
        <v>-53.0</v>
      </c>
      <c r="BA458" s="12"/>
      <c r="BB458" s="12"/>
      <c r="BC458" s="12"/>
      <c r="BD458" s="12"/>
      <c r="BE458" s="12"/>
      <c r="BF458" s="12"/>
      <c r="BG458" s="12"/>
      <c r="BH458" s="11">
        <v>191160.0</v>
      </c>
      <c r="BI458" s="11">
        <v>157150.0</v>
      </c>
      <c r="BJ458" s="11">
        <v>5500.0</v>
      </c>
      <c r="BK458" s="11">
        <v>1960.0</v>
      </c>
      <c r="BL458" s="12"/>
      <c r="BM458" s="11">
        <v>85.0</v>
      </c>
      <c r="BN458" s="11">
        <v>34.0</v>
      </c>
      <c r="BO458" s="11">
        <v>67.0</v>
      </c>
      <c r="BP458" s="11">
        <v>5.0</v>
      </c>
      <c r="BQ458" s="12"/>
      <c r="BR458" s="12"/>
      <c r="BS458" s="12"/>
      <c r="BT458" s="12"/>
      <c r="BU458" s="12"/>
      <c r="BV458" s="12"/>
      <c r="BW458" s="11">
        <v>195920.0</v>
      </c>
      <c r="BX458" s="11">
        <v>158970.0</v>
      </c>
      <c r="BY458" s="11">
        <v>6050.0</v>
      </c>
      <c r="BZ458" s="11">
        <v>1970.0</v>
      </c>
      <c r="CA458" s="12"/>
      <c r="CB458" s="11">
        <v>5270.0</v>
      </c>
      <c r="CC458" s="11">
        <v>209.0</v>
      </c>
      <c r="CD458" s="11">
        <v>114.0</v>
      </c>
      <c r="CE458" s="12"/>
      <c r="CF458" s="12"/>
      <c r="CG458" s="12"/>
      <c r="CH458" s="12"/>
      <c r="CI458" s="12"/>
      <c r="CJ458" s="12"/>
      <c r="CK458" s="12"/>
      <c r="CL458" s="11">
        <v>203820.0</v>
      </c>
      <c r="CM458" s="11">
        <v>160110.0</v>
      </c>
      <c r="CN458" s="11">
        <v>6340.0</v>
      </c>
      <c r="CO458" s="11">
        <v>1980.0</v>
      </c>
      <c r="CP458" s="12"/>
      <c r="CQ458" s="11">
        <v>3470.0</v>
      </c>
      <c r="CR458" s="11">
        <v>2210.0</v>
      </c>
      <c r="CS458" s="11">
        <v>938.0</v>
      </c>
      <c r="CT458" s="11">
        <v>153.0</v>
      </c>
      <c r="CU458" s="12"/>
      <c r="CV458" s="11">
        <v>10430.0</v>
      </c>
      <c r="CW458" s="11">
        <v>554.0</v>
      </c>
      <c r="CX458" s="12"/>
      <c r="CY458" s="12"/>
      <c r="CZ458" s="12"/>
      <c r="DA458" s="12"/>
      <c r="DB458" s="11">
        <v>10430.0</v>
      </c>
      <c r="DC458" s="11">
        <v>4790.0</v>
      </c>
      <c r="DD458" s="11">
        <v>2240.0</v>
      </c>
      <c r="DE458" s="11">
        <v>293.0</v>
      </c>
      <c r="DF458" s="11">
        <v>32390.0</v>
      </c>
      <c r="DG458" s="11">
        <v>5110.0</v>
      </c>
      <c r="DH458" s="11">
        <v>2510.0</v>
      </c>
      <c r="DI458" s="11">
        <v>653.0</v>
      </c>
      <c r="DJ458" s="12"/>
      <c r="DK458" s="12"/>
      <c r="DL458" s="12"/>
      <c r="DM458" s="12"/>
      <c r="DN458" s="12"/>
      <c r="DO458" s="12"/>
      <c r="DP458" s="11">
        <v>20700.0</v>
      </c>
      <c r="DQ458" s="12"/>
      <c r="DR458" s="12"/>
      <c r="DS458" s="11">
        <v>315.0</v>
      </c>
      <c r="DT458" s="12"/>
      <c r="DU458" s="13"/>
      <c r="DV458" s="12"/>
      <c r="DW458" s="11">
        <v>17030.0</v>
      </c>
      <c r="DX458" s="11">
        <v>3800.0</v>
      </c>
      <c r="DY458" s="13"/>
      <c r="DZ458" s="11">
        <v>171430.0</v>
      </c>
      <c r="EA458" s="11">
        <v>155010.0</v>
      </c>
      <c r="EB458" s="11">
        <v>3830.0</v>
      </c>
      <c r="EC458" s="11">
        <v>1320.0</v>
      </c>
      <c r="ED458" s="12"/>
      <c r="EE458" s="23"/>
      <c r="EF458" s="23"/>
      <c r="EG458" s="14">
        <v>-0.293</v>
      </c>
      <c r="EH458" s="14">
        <v>0.284</v>
      </c>
    </row>
    <row r="459">
      <c r="A459" s="9">
        <f t="shared" si="2"/>
        <v>457</v>
      </c>
      <c r="B459" s="22" t="s">
        <v>593</v>
      </c>
      <c r="C459" s="11">
        <v>47670.0</v>
      </c>
      <c r="D459" s="11">
        <v>24530.0</v>
      </c>
      <c r="E459" s="12"/>
      <c r="F459" s="12"/>
      <c r="G459" s="12"/>
      <c r="H459" s="12"/>
      <c r="I459" s="12"/>
      <c r="J459" s="11">
        <v>-486.0</v>
      </c>
      <c r="K459" s="11">
        <v>-54.0</v>
      </c>
      <c r="L459" s="11">
        <v>-41.0</v>
      </c>
      <c r="M459" s="11">
        <v>-23.0</v>
      </c>
      <c r="N459" s="11">
        <v>-11.0</v>
      </c>
      <c r="O459" s="11">
        <v>68420.0</v>
      </c>
      <c r="P459" s="11">
        <v>50990.0</v>
      </c>
      <c r="Q459" s="11">
        <v>41480.0</v>
      </c>
      <c r="R459" s="11">
        <v>46100.0</v>
      </c>
      <c r="S459" s="11">
        <v>12960.0</v>
      </c>
      <c r="T459" s="11">
        <v>51790.0</v>
      </c>
      <c r="U459" s="11">
        <v>37090.0</v>
      </c>
      <c r="V459" s="11">
        <v>29520.0</v>
      </c>
      <c r="W459" s="11">
        <v>33010.0</v>
      </c>
      <c r="X459" s="11">
        <v>8120.0</v>
      </c>
      <c r="Y459" s="12"/>
      <c r="Z459" s="12"/>
      <c r="AA459" s="12"/>
      <c r="AB459" s="11">
        <v>-46490.0</v>
      </c>
      <c r="AC459" s="12"/>
      <c r="AD459" s="11">
        <v>-70250.0</v>
      </c>
      <c r="AE459" s="11">
        <v>-52390.0</v>
      </c>
      <c r="AF459" s="11">
        <v>-42450.0</v>
      </c>
      <c r="AG459" s="11">
        <v>-47090.0</v>
      </c>
      <c r="AH459" s="11">
        <v>-13320.0</v>
      </c>
      <c r="AI459" s="11">
        <v>-68420.0</v>
      </c>
      <c r="AJ459" s="11">
        <v>-50990.0</v>
      </c>
      <c r="AK459" s="11">
        <v>-41480.0</v>
      </c>
      <c r="AL459" s="11">
        <v>-46100.0</v>
      </c>
      <c r="AM459" s="11">
        <v>-12960.0</v>
      </c>
      <c r="AN459" s="11">
        <v>-70250.0</v>
      </c>
      <c r="AO459" s="11">
        <v>-52390.0</v>
      </c>
      <c r="AP459" s="11">
        <v>-42450.0</v>
      </c>
      <c r="AQ459" s="11">
        <v>-47090.0</v>
      </c>
      <c r="AR459" s="11">
        <v>-13320.0</v>
      </c>
      <c r="AS459" s="11">
        <v>-63180.0</v>
      </c>
      <c r="AT459" s="11">
        <v>-42670.0</v>
      </c>
      <c r="AU459" s="11">
        <v>-38370.0</v>
      </c>
      <c r="AV459" s="11">
        <v>-37970.0</v>
      </c>
      <c r="AW459" s="11">
        <v>-9130.0</v>
      </c>
      <c r="AX459" s="11">
        <v>-475.0</v>
      </c>
      <c r="AY459" s="11">
        <v>-142.0</v>
      </c>
      <c r="AZ459" s="11">
        <v>-44.0</v>
      </c>
      <c r="BA459" s="11">
        <v>-58.0</v>
      </c>
      <c r="BB459" s="11">
        <v>-45.0</v>
      </c>
      <c r="BC459" s="12"/>
      <c r="BD459" s="12"/>
      <c r="BE459" s="12"/>
      <c r="BF459" s="12"/>
      <c r="BG459" s="12"/>
      <c r="BH459" s="11">
        <v>94990.0</v>
      </c>
      <c r="BI459" s="11">
        <v>100350.0</v>
      </c>
      <c r="BJ459" s="11">
        <v>41780.0</v>
      </c>
      <c r="BK459" s="11">
        <v>59940.0</v>
      </c>
      <c r="BL459" s="11">
        <v>4780.0</v>
      </c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1">
        <v>100380.0</v>
      </c>
      <c r="BX459" s="11">
        <v>101850.0</v>
      </c>
      <c r="BY459" s="11">
        <v>42490.0</v>
      </c>
      <c r="BZ459" s="11">
        <v>60520.0</v>
      </c>
      <c r="CA459" s="11">
        <v>5500.0</v>
      </c>
      <c r="CB459" s="11">
        <v>2240.0</v>
      </c>
      <c r="CC459" s="11">
        <v>167.0</v>
      </c>
      <c r="CD459" s="11">
        <v>79.0</v>
      </c>
      <c r="CE459" s="11">
        <v>76.0</v>
      </c>
      <c r="CF459" s="11">
        <v>41.0</v>
      </c>
      <c r="CG459" s="12"/>
      <c r="CH459" s="12"/>
      <c r="CI459" s="12"/>
      <c r="CJ459" s="12"/>
      <c r="CK459" s="12"/>
      <c r="CL459" s="11">
        <v>105140.0</v>
      </c>
      <c r="CM459" s="11">
        <v>102450.0</v>
      </c>
      <c r="CN459" s="11">
        <v>42880.0</v>
      </c>
      <c r="CO459" s="11">
        <v>60740.0</v>
      </c>
      <c r="CP459" s="11">
        <v>5580.0</v>
      </c>
      <c r="CQ459" s="11">
        <v>6410.0</v>
      </c>
      <c r="CR459" s="11">
        <v>5830.0</v>
      </c>
      <c r="CS459" s="11">
        <v>3180.0</v>
      </c>
      <c r="CT459" s="12"/>
      <c r="CU459" s="12"/>
      <c r="CV459" s="11">
        <v>16950.0</v>
      </c>
      <c r="CW459" s="11">
        <v>534.0</v>
      </c>
      <c r="CX459" s="12"/>
      <c r="CY459" s="12"/>
      <c r="CZ459" s="12"/>
      <c r="DA459" s="11">
        <v>5440.0</v>
      </c>
      <c r="DB459" s="11">
        <v>16950.0</v>
      </c>
      <c r="DC459" s="11">
        <v>10020.0</v>
      </c>
      <c r="DD459" s="11">
        <v>7270.0</v>
      </c>
      <c r="DE459" s="11">
        <v>5290.0</v>
      </c>
      <c r="DF459" s="11">
        <v>48660.0</v>
      </c>
      <c r="DG459" s="11">
        <v>35860.0</v>
      </c>
      <c r="DH459" s="11">
        <v>20360.0</v>
      </c>
      <c r="DI459" s="11">
        <v>20020.0</v>
      </c>
      <c r="DJ459" s="11">
        <v>10730.0</v>
      </c>
      <c r="DK459" s="12"/>
      <c r="DL459" s="12"/>
      <c r="DM459" s="12"/>
      <c r="DN459" s="11">
        <v>65.0</v>
      </c>
      <c r="DO459" s="12"/>
      <c r="DP459" s="11">
        <v>31710.0</v>
      </c>
      <c r="DQ459" s="11">
        <v>25620.0</v>
      </c>
      <c r="DR459" s="11">
        <v>13090.0</v>
      </c>
      <c r="DS459" s="11">
        <v>14730.0</v>
      </c>
      <c r="DT459" s="12"/>
      <c r="DU459" s="13"/>
      <c r="DV459" s="12"/>
      <c r="DW459" s="12"/>
      <c r="DX459" s="13"/>
      <c r="DY459" s="11">
        <v>22570.0</v>
      </c>
      <c r="DZ459" s="11">
        <v>56480.0</v>
      </c>
      <c r="EA459" s="11">
        <v>66590.0</v>
      </c>
      <c r="EB459" s="11">
        <v>22520.0</v>
      </c>
      <c r="EC459" s="11">
        <v>40720.0</v>
      </c>
      <c r="ED459" s="11">
        <v>-5150.0</v>
      </c>
      <c r="EE459" s="23"/>
      <c r="EF459" s="14">
        <v>2.648</v>
      </c>
      <c r="EG459" s="14">
        <v>0.155</v>
      </c>
      <c r="EH459" s="14">
        <v>-0.054</v>
      </c>
    </row>
    <row r="460">
      <c r="A460" s="9">
        <f t="shared" si="2"/>
        <v>458</v>
      </c>
      <c r="B460" s="25" t="s">
        <v>594</v>
      </c>
      <c r="C460" s="15">
        <v>1.526E7</v>
      </c>
      <c r="D460" s="15">
        <v>1.431E7</v>
      </c>
      <c r="E460" s="15">
        <v>1.484E7</v>
      </c>
      <c r="F460" s="15">
        <v>1.368E7</v>
      </c>
      <c r="G460" s="15">
        <v>1.182E7</v>
      </c>
      <c r="H460" s="15">
        <v>1.126E7</v>
      </c>
      <c r="I460" s="15">
        <v>1.078E7</v>
      </c>
      <c r="J460" s="15">
        <v>1.145E7</v>
      </c>
      <c r="K460" s="15">
        <v>1.086E7</v>
      </c>
      <c r="L460" s="15">
        <v>9380000.0</v>
      </c>
      <c r="M460" s="15">
        <v>9100000.0</v>
      </c>
      <c r="N460" s="15">
        <v>8670000.0</v>
      </c>
      <c r="O460" s="15">
        <v>8930000.0</v>
      </c>
      <c r="P460" s="15">
        <v>8430000.0</v>
      </c>
      <c r="Q460" s="15">
        <v>7440000.0</v>
      </c>
      <c r="R460" s="15">
        <v>7290000.0</v>
      </c>
      <c r="S460" s="15">
        <v>7100000.0</v>
      </c>
      <c r="T460" s="15">
        <v>202000.0</v>
      </c>
      <c r="U460" s="15">
        <v>181000.0</v>
      </c>
      <c r="V460" s="15">
        <v>179000.0</v>
      </c>
      <c r="W460" s="15">
        <v>191300.0</v>
      </c>
      <c r="X460" s="15">
        <v>178100.0</v>
      </c>
      <c r="Y460" s="15">
        <v>2270000.0</v>
      </c>
      <c r="Z460" s="15">
        <v>-263000.0</v>
      </c>
      <c r="AA460" s="15">
        <v>1620000.0</v>
      </c>
      <c r="AB460" s="15">
        <v>1680000.0</v>
      </c>
      <c r="AC460" s="15">
        <v>1570000.0</v>
      </c>
      <c r="AD460" s="15">
        <v>2310000.0</v>
      </c>
      <c r="AE460" s="15">
        <v>1980000.0</v>
      </c>
      <c r="AF460" s="15">
        <v>1620000.0</v>
      </c>
      <c r="AG460" s="15">
        <v>1560000.0</v>
      </c>
      <c r="AH460" s="15">
        <v>1560000.0</v>
      </c>
      <c r="AI460" s="15">
        <v>3070000.0</v>
      </c>
      <c r="AJ460" s="15">
        <v>2960000.0</v>
      </c>
      <c r="AK460" s="15">
        <v>2400000.0</v>
      </c>
      <c r="AL460" s="15">
        <v>2220000.0</v>
      </c>
      <c r="AM460" s="15">
        <v>1980000.0</v>
      </c>
      <c r="AN460" s="15">
        <v>1790000.0</v>
      </c>
      <c r="AO460" s="15">
        <v>1110000.0</v>
      </c>
      <c r="AP460" s="15">
        <v>1250000.0</v>
      </c>
      <c r="AQ460" s="15">
        <v>1110000.0</v>
      </c>
      <c r="AR460" s="15">
        <v>1090000.0</v>
      </c>
      <c r="AS460" s="15">
        <v>2520000.0</v>
      </c>
      <c r="AT460" s="15">
        <v>2560000.0</v>
      </c>
      <c r="AU460" s="15">
        <v>1800000.0</v>
      </c>
      <c r="AV460" s="15">
        <v>1790000.0</v>
      </c>
      <c r="AW460" s="15">
        <v>1940000.0</v>
      </c>
      <c r="AX460" s="15">
        <v>-744000.0</v>
      </c>
      <c r="AY460" s="15">
        <v>-629000.0</v>
      </c>
      <c r="AZ460" s="15">
        <v>-504000.0</v>
      </c>
      <c r="BA460" s="15">
        <v>-525300.0</v>
      </c>
      <c r="BB460" s="15">
        <v>-473000.0</v>
      </c>
      <c r="BC460" s="15">
        <v>-609000.0</v>
      </c>
      <c r="BD460" s="15">
        <v>-546000.0</v>
      </c>
      <c r="BE460" s="15">
        <v>-486000.0</v>
      </c>
      <c r="BF460" s="15">
        <v>-422500.0</v>
      </c>
      <c r="BG460" s="15">
        <v>-349900.0</v>
      </c>
      <c r="BH460" s="15">
        <v>2990000.0</v>
      </c>
      <c r="BI460" s="15">
        <v>2720000.0</v>
      </c>
      <c r="BJ460" s="15">
        <v>1740000.0</v>
      </c>
      <c r="BK460" s="15">
        <v>1380000.0</v>
      </c>
      <c r="BL460" s="15">
        <v>1530000.0</v>
      </c>
      <c r="BM460" s="15">
        <v>1830000.0</v>
      </c>
      <c r="BN460" s="15">
        <v>1490000.0</v>
      </c>
      <c r="BO460" s="15">
        <v>1400000.0</v>
      </c>
      <c r="BP460" s="15">
        <v>1260000.0</v>
      </c>
      <c r="BQ460" s="15">
        <v>1170000.0</v>
      </c>
      <c r="BR460" s="15">
        <v>2010000.0</v>
      </c>
      <c r="BS460" s="15">
        <v>1620000.0</v>
      </c>
      <c r="BT460" s="15">
        <v>1480000.0</v>
      </c>
      <c r="BU460" s="15">
        <v>1260000.0</v>
      </c>
      <c r="BV460" s="15">
        <v>1220000.0</v>
      </c>
      <c r="BW460" s="15">
        <v>7210000.0</v>
      </c>
      <c r="BX460" s="15">
        <v>6170000.0</v>
      </c>
      <c r="BY460" s="15">
        <v>4960000.0</v>
      </c>
      <c r="BZ460" s="15">
        <v>4230000.0</v>
      </c>
      <c r="CA460" s="15">
        <v>4470000.0</v>
      </c>
      <c r="CB460" s="15">
        <v>2070000.0</v>
      </c>
      <c r="CC460" s="15">
        <v>1820000.0</v>
      </c>
      <c r="CD460" s="15">
        <v>1670000.0</v>
      </c>
      <c r="CE460" s="15">
        <v>1580000.0</v>
      </c>
      <c r="CF460" s="15">
        <v>1490000.0</v>
      </c>
      <c r="CG460" s="15">
        <v>1870000.0</v>
      </c>
      <c r="CH460" s="15">
        <v>1930000.0</v>
      </c>
      <c r="CI460" s="15">
        <v>1920000.0</v>
      </c>
      <c r="CJ460" s="15">
        <v>1230000.0</v>
      </c>
      <c r="CK460" s="15">
        <v>1140000.0</v>
      </c>
      <c r="CL460" s="15">
        <v>1.316E7</v>
      </c>
      <c r="CM460" s="15">
        <v>1.257E7</v>
      </c>
      <c r="CN460" s="15">
        <v>1.157E7</v>
      </c>
      <c r="CO460" s="15">
        <v>9220000.0</v>
      </c>
      <c r="CP460" s="15">
        <v>8240000.0</v>
      </c>
      <c r="CQ460" s="15">
        <v>1490000.0</v>
      </c>
      <c r="CR460" s="15">
        <v>1180000.0</v>
      </c>
      <c r="CS460" s="15">
        <v>835000.0</v>
      </c>
      <c r="CT460" s="15">
        <v>716700.0</v>
      </c>
      <c r="CU460" s="15">
        <v>635400.0</v>
      </c>
      <c r="CV460" s="15">
        <v>4610000.0</v>
      </c>
      <c r="CW460" s="15"/>
      <c r="CX460" s="15"/>
      <c r="CY460" s="15"/>
      <c r="CZ460" s="15">
        <v>331500.0</v>
      </c>
      <c r="DA460" s="15">
        <v>29800.0</v>
      </c>
      <c r="DB460" s="15">
        <v>4610000.0</v>
      </c>
      <c r="DC460" s="15">
        <v>3310000.0</v>
      </c>
      <c r="DD460" s="15">
        <v>2820000.0</v>
      </c>
      <c r="DE460" s="15">
        <v>2680000.0</v>
      </c>
      <c r="DF460" s="15">
        <v>8750000.0</v>
      </c>
      <c r="DG460" s="15">
        <v>7860000.0</v>
      </c>
      <c r="DH460" s="15">
        <v>7170000.0</v>
      </c>
      <c r="DI460" s="15">
        <v>5640000.0</v>
      </c>
      <c r="DJ460" s="15">
        <v>4580000.0</v>
      </c>
      <c r="DK460" s="15">
        <v>177000.0</v>
      </c>
      <c r="DL460" s="15">
        <v>843000.0</v>
      </c>
      <c r="DM460" s="15">
        <v>1030000.0</v>
      </c>
      <c r="DN460" s="15">
        <v>1110000.0</v>
      </c>
      <c r="DO460" s="15">
        <v>420300.0</v>
      </c>
      <c r="DP460" s="15">
        <v>2900000.0</v>
      </c>
      <c r="DQ460" s="15">
        <v>3360000.0</v>
      </c>
      <c r="DR460" s="15">
        <v>3380000.0</v>
      </c>
      <c r="DS460" s="15">
        <v>1910000.0</v>
      </c>
      <c r="DT460" s="15">
        <v>1610000.0</v>
      </c>
      <c r="DU460" s="13"/>
      <c r="DV460" s="12"/>
      <c r="DW460" s="12"/>
      <c r="DX460" s="13"/>
      <c r="DY460" s="13"/>
      <c r="DZ460" s="15">
        <v>4390000.0</v>
      </c>
      <c r="EA460" s="15">
        <v>4690000.0</v>
      </c>
      <c r="EB460" s="15">
        <v>4380000.0</v>
      </c>
      <c r="EC460" s="15">
        <v>3570000.0</v>
      </c>
      <c r="ED460" s="15">
        <v>3640000.0</v>
      </c>
      <c r="EE460" s="17">
        <v>0.071</v>
      </c>
      <c r="EF460" s="17">
        <v>0.138</v>
      </c>
      <c r="EG460" s="17">
        <v>0.164</v>
      </c>
      <c r="EH460" s="17">
        <v>0.132</v>
      </c>
    </row>
    <row r="461">
      <c r="A461" s="9">
        <f t="shared" si="2"/>
        <v>459</v>
      </c>
      <c r="B461" s="25" t="s">
        <v>595</v>
      </c>
      <c r="C461" s="15">
        <v>316090.0</v>
      </c>
      <c r="D461" s="15">
        <v>295560.0</v>
      </c>
      <c r="E461" s="15">
        <v>282850.0</v>
      </c>
      <c r="F461" s="15">
        <v>267440.0</v>
      </c>
      <c r="G461" s="15">
        <v>269890.0</v>
      </c>
      <c r="H461" s="15">
        <v>229570.0</v>
      </c>
      <c r="I461" s="15">
        <v>191410.0</v>
      </c>
      <c r="J461" s="15">
        <v>161820.0</v>
      </c>
      <c r="K461" s="15">
        <v>162740.0</v>
      </c>
      <c r="L461" s="15">
        <v>164730.0</v>
      </c>
      <c r="M461" s="15">
        <v>132240.0</v>
      </c>
      <c r="N461" s="15">
        <v>100330.0</v>
      </c>
      <c r="O461" s="15">
        <v>137860.0</v>
      </c>
      <c r="P461" s="15">
        <v>136580.0</v>
      </c>
      <c r="Q461" s="15">
        <v>131450.0</v>
      </c>
      <c r="R461" s="15">
        <v>109160.0</v>
      </c>
      <c r="S461" s="15">
        <v>74760.0</v>
      </c>
      <c r="T461" s="12"/>
      <c r="U461" s="12"/>
      <c r="V461" s="12"/>
      <c r="W461" s="12"/>
      <c r="X461" s="12"/>
      <c r="Y461" s="15">
        <v>29950.0</v>
      </c>
      <c r="Z461" s="12"/>
      <c r="AA461" s="12"/>
      <c r="AB461" s="15">
        <v>20340.0</v>
      </c>
      <c r="AC461" s="12"/>
      <c r="AD461" s="15">
        <v>24070.0</v>
      </c>
      <c r="AE461" s="15">
        <v>17960.0</v>
      </c>
      <c r="AF461" s="15">
        <v>22470.0</v>
      </c>
      <c r="AG461" s="15">
        <v>9810.0</v>
      </c>
      <c r="AH461" s="15">
        <v>8680.0</v>
      </c>
      <c r="AI461" s="15">
        <v>43270.0</v>
      </c>
      <c r="AJ461" s="15">
        <v>44020.0</v>
      </c>
      <c r="AK461" s="15">
        <v>47180.0</v>
      </c>
      <c r="AL461" s="15">
        <v>36230.0</v>
      </c>
      <c r="AM461" s="15">
        <v>35860.0</v>
      </c>
      <c r="AN461" s="15">
        <v>17880.0</v>
      </c>
      <c r="AO461" s="15">
        <v>15530.0</v>
      </c>
      <c r="AP461" s="15">
        <v>33480.0</v>
      </c>
      <c r="AQ461" s="15">
        <v>5310.0</v>
      </c>
      <c r="AR461" s="15">
        <v>4360.0</v>
      </c>
      <c r="AS461" s="15">
        <v>44310.0</v>
      </c>
      <c r="AT461" s="15">
        <v>55580.0</v>
      </c>
      <c r="AU461" s="15">
        <v>12380.0</v>
      </c>
      <c r="AV461" s="15">
        <v>2120.0</v>
      </c>
      <c r="AW461" s="15">
        <v>24520.0</v>
      </c>
      <c r="AX461" s="15">
        <v>-9420.0</v>
      </c>
      <c r="AY461" s="15">
        <v>-8870.0</v>
      </c>
      <c r="AZ461" s="15">
        <v>-7540.0</v>
      </c>
      <c r="BA461" s="15">
        <v>-9220.0</v>
      </c>
      <c r="BB461" s="15">
        <v>-10240.0</v>
      </c>
      <c r="BC461" s="13"/>
      <c r="BD461" s="13"/>
      <c r="BE461" s="13"/>
      <c r="BF461" s="15">
        <v>-68000.0</v>
      </c>
      <c r="BG461" s="13"/>
      <c r="BH461" s="15">
        <v>46170.0</v>
      </c>
      <c r="BI461" s="15">
        <v>51210.0</v>
      </c>
      <c r="BJ461" s="15">
        <v>10060.0</v>
      </c>
      <c r="BK461" s="15">
        <v>15300.0</v>
      </c>
      <c r="BL461" s="15">
        <v>14000.0</v>
      </c>
      <c r="BM461" s="15">
        <v>29720.0</v>
      </c>
      <c r="BN461" s="15">
        <v>36720.0</v>
      </c>
      <c r="BO461" s="15">
        <v>44630.0</v>
      </c>
      <c r="BP461" s="15">
        <v>37830.0</v>
      </c>
      <c r="BQ461" s="15">
        <v>22480.0</v>
      </c>
      <c r="BR461" s="15">
        <v>46210.0</v>
      </c>
      <c r="BS461" s="15">
        <v>46340.0</v>
      </c>
      <c r="BT461" s="15">
        <v>62680.0</v>
      </c>
      <c r="BU461" s="15">
        <v>69400.0</v>
      </c>
      <c r="BV461" s="15">
        <v>31260.0</v>
      </c>
      <c r="BW461" s="15">
        <v>132360.0</v>
      </c>
      <c r="BX461" s="15">
        <v>141740.0</v>
      </c>
      <c r="BY461" s="15">
        <v>123640.0</v>
      </c>
      <c r="BZ461" s="15">
        <v>124900.0</v>
      </c>
      <c r="CA461" s="15">
        <v>70720.0</v>
      </c>
      <c r="CB461" s="15">
        <v>30840.0</v>
      </c>
      <c r="CC461" s="15">
        <v>21800.0</v>
      </c>
      <c r="CD461" s="15">
        <v>18040.0</v>
      </c>
      <c r="CE461" s="15">
        <v>17150.0</v>
      </c>
      <c r="CF461" s="15">
        <v>9850.0</v>
      </c>
      <c r="CG461" s="15">
        <v>171320.0</v>
      </c>
      <c r="CH461" s="15">
        <v>157260.0</v>
      </c>
      <c r="CI461" s="15">
        <v>157260.0</v>
      </c>
      <c r="CJ461" s="15">
        <v>157260.0</v>
      </c>
      <c r="CK461" s="15">
        <v>157260.0</v>
      </c>
      <c r="CL461" s="15">
        <v>453100.0</v>
      </c>
      <c r="CM461" s="15">
        <v>435860.0</v>
      </c>
      <c r="CN461" s="15">
        <v>417240.0</v>
      </c>
      <c r="CO461" s="15">
        <v>414730.0</v>
      </c>
      <c r="CP461" s="15">
        <v>361070.0</v>
      </c>
      <c r="CQ461" s="15">
        <v>12390.0</v>
      </c>
      <c r="CR461" s="15">
        <v>20480.0</v>
      </c>
      <c r="CS461" s="15">
        <v>26780.0</v>
      </c>
      <c r="CT461" s="15">
        <v>37940.0</v>
      </c>
      <c r="CU461" s="15">
        <v>24830.0</v>
      </c>
      <c r="CV461" s="15">
        <v>51120.0</v>
      </c>
      <c r="CW461" s="15">
        <v>3080.0</v>
      </c>
      <c r="CX461" s="12"/>
      <c r="CY461" s="12"/>
      <c r="CZ461" s="12"/>
      <c r="DA461" s="12"/>
      <c r="DB461" s="15">
        <v>51120.0</v>
      </c>
      <c r="DC461" s="15">
        <v>43020.0</v>
      </c>
      <c r="DD461" s="15">
        <v>51360.0</v>
      </c>
      <c r="DE461" s="15">
        <v>80270.0</v>
      </c>
      <c r="DF461" s="15">
        <v>210930.0</v>
      </c>
      <c r="DG461" s="15">
        <v>206530.0</v>
      </c>
      <c r="DH461" s="15">
        <v>223380.0</v>
      </c>
      <c r="DI461" s="15">
        <v>273870.0</v>
      </c>
      <c r="DJ461" s="15">
        <v>224180.0</v>
      </c>
      <c r="DK461" s="15">
        <v>2880.0</v>
      </c>
      <c r="DL461" s="15">
        <v>2880.0</v>
      </c>
      <c r="DM461" s="15">
        <v>2880.0</v>
      </c>
      <c r="DN461" s="12"/>
      <c r="DO461" s="12"/>
      <c r="DP461" s="15">
        <v>137330.0</v>
      </c>
      <c r="DQ461" s="15">
        <v>140520.0</v>
      </c>
      <c r="DR461" s="15">
        <v>147700.0</v>
      </c>
      <c r="DS461" s="15">
        <v>156180.0</v>
      </c>
      <c r="DT461" s="15">
        <v>134590.0</v>
      </c>
      <c r="DU461" s="12"/>
      <c r="DV461" s="12"/>
      <c r="DW461" s="12"/>
      <c r="DX461" s="12"/>
      <c r="DY461" s="15">
        <v>197300.0</v>
      </c>
      <c r="DZ461" s="15">
        <v>242170.0</v>
      </c>
      <c r="EA461" s="15">
        <v>229330.0</v>
      </c>
      <c r="EB461" s="15">
        <v>193860.0</v>
      </c>
      <c r="EC461" s="15">
        <v>140860.0</v>
      </c>
      <c r="ED461" s="15">
        <v>136900.0</v>
      </c>
      <c r="EE461" s="17">
        <v>0.06</v>
      </c>
      <c r="EF461" s="17">
        <v>0.088</v>
      </c>
      <c r="EG461" s="17">
        <v>3.25</v>
      </c>
      <c r="EH461" s="17">
        <v>1.379</v>
      </c>
    </row>
    <row r="462">
      <c r="A462" s="9">
        <f t="shared" si="2"/>
        <v>460</v>
      </c>
      <c r="B462" s="22" t="s">
        <v>596</v>
      </c>
      <c r="C462" s="12"/>
      <c r="D462" s="12"/>
      <c r="E462" s="12"/>
      <c r="F462" s="12"/>
      <c r="G462" s="12"/>
      <c r="H462" s="11">
        <v>75.0</v>
      </c>
      <c r="I462" s="11">
        <v>75.0</v>
      </c>
      <c r="J462" s="11">
        <v>-559.0</v>
      </c>
      <c r="K462" s="11">
        <v>-216.0</v>
      </c>
      <c r="L462" s="11">
        <v>-39.0</v>
      </c>
      <c r="M462" s="11">
        <v>-18.0</v>
      </c>
      <c r="N462" s="12"/>
      <c r="O462" s="11">
        <v>50000.0</v>
      </c>
      <c r="P462" s="11">
        <v>46760.0</v>
      </c>
      <c r="Q462" s="11">
        <v>20350.0</v>
      </c>
      <c r="R462" s="11">
        <v>3510.0</v>
      </c>
      <c r="S462" s="11">
        <v>7750.0</v>
      </c>
      <c r="T462" s="11">
        <v>25840.0</v>
      </c>
      <c r="U462" s="11">
        <v>20490.0</v>
      </c>
      <c r="V462" s="11">
        <v>16400.0</v>
      </c>
      <c r="W462" s="11">
        <v>2090.0</v>
      </c>
      <c r="X462" s="11">
        <v>4840.0</v>
      </c>
      <c r="Y462" s="12"/>
      <c r="Z462" s="11">
        <v>-47570.0</v>
      </c>
      <c r="AA462" s="12"/>
      <c r="AB462" s="11">
        <v>-8950.0</v>
      </c>
      <c r="AC462" s="11">
        <v>-18060.0</v>
      </c>
      <c r="AD462" s="11">
        <v>-50870.0</v>
      </c>
      <c r="AE462" s="11">
        <v>-47060.0</v>
      </c>
      <c r="AF462" s="11">
        <v>-21210.0</v>
      </c>
      <c r="AG462" s="11">
        <v>-8950.0</v>
      </c>
      <c r="AH462" s="11">
        <v>-18060.0</v>
      </c>
      <c r="AI462" s="11">
        <v>-50000.0</v>
      </c>
      <c r="AJ462" s="11">
        <v>-46760.0</v>
      </c>
      <c r="AK462" s="11">
        <v>-20350.0</v>
      </c>
      <c r="AL462" s="11">
        <v>-3620.0</v>
      </c>
      <c r="AM462" s="11">
        <v>-7930.0</v>
      </c>
      <c r="AN462" s="11">
        <v>-50870.0</v>
      </c>
      <c r="AO462" s="11">
        <v>-47190.0</v>
      </c>
      <c r="AP462" s="11">
        <v>-21210.0</v>
      </c>
      <c r="AQ462" s="11">
        <v>-8270.0</v>
      </c>
      <c r="AR462" s="11">
        <v>-18060.0</v>
      </c>
      <c r="AS462" s="11">
        <v>-38920.0</v>
      </c>
      <c r="AT462" s="11">
        <v>-31370.0</v>
      </c>
      <c r="AU462" s="11">
        <v>-15940.0</v>
      </c>
      <c r="AV462" s="11">
        <v>-3680.0</v>
      </c>
      <c r="AW462" s="11">
        <v>-7340.0</v>
      </c>
      <c r="AX462" s="11">
        <v>-40.0</v>
      </c>
      <c r="AY462" s="11">
        <v>-235.0</v>
      </c>
      <c r="AZ462" s="11">
        <v>-237.0</v>
      </c>
      <c r="BA462" s="12"/>
      <c r="BB462" s="11">
        <v>-260.0</v>
      </c>
      <c r="BC462" s="12"/>
      <c r="BD462" s="12"/>
      <c r="BE462" s="12"/>
      <c r="BF462" s="12"/>
      <c r="BG462" s="12"/>
      <c r="BH462" s="11">
        <v>56320.0</v>
      </c>
      <c r="BI462" s="11">
        <v>48650.0</v>
      </c>
      <c r="BJ462" s="11">
        <v>24150.0</v>
      </c>
      <c r="BK462" s="11">
        <v>811.0</v>
      </c>
      <c r="BL462" s="11">
        <v>3330.0</v>
      </c>
      <c r="BM462" s="11">
        <v>26.0</v>
      </c>
      <c r="BN462" s="12"/>
      <c r="BO462" s="12"/>
      <c r="BP462" s="12"/>
      <c r="BQ462" s="12"/>
      <c r="BR462" s="12"/>
      <c r="BS462" s="12"/>
      <c r="BT462" s="12"/>
      <c r="BU462" s="12"/>
      <c r="BV462" s="12"/>
      <c r="BW462" s="11">
        <v>57710.0</v>
      </c>
      <c r="BX462" s="11">
        <v>50340.0</v>
      </c>
      <c r="BY462" s="11">
        <v>24510.0</v>
      </c>
      <c r="BZ462" s="11">
        <v>983.0</v>
      </c>
      <c r="CA462" s="11">
        <v>3730.0</v>
      </c>
      <c r="CB462" s="11">
        <v>1130.0</v>
      </c>
      <c r="CC462" s="11">
        <v>248.0</v>
      </c>
      <c r="CD462" s="11">
        <v>278.0</v>
      </c>
      <c r="CE462" s="11">
        <v>93.0</v>
      </c>
      <c r="CF462" s="11">
        <v>186.0</v>
      </c>
      <c r="CG462" s="12"/>
      <c r="CH462" s="12"/>
      <c r="CI462" s="12"/>
      <c r="CJ462" s="12"/>
      <c r="CK462" s="11">
        <v>5780.0</v>
      </c>
      <c r="CL462" s="11">
        <v>58950.0</v>
      </c>
      <c r="CM462" s="11">
        <v>50720.0</v>
      </c>
      <c r="CN462" s="11">
        <v>24780.0</v>
      </c>
      <c r="CO462" s="11">
        <v>9230.0</v>
      </c>
      <c r="CP462" s="11">
        <v>19550.0</v>
      </c>
      <c r="CQ462" s="11">
        <v>1870.0</v>
      </c>
      <c r="CR462" s="11">
        <v>747.0</v>
      </c>
      <c r="CS462" s="11">
        <v>1530.0</v>
      </c>
      <c r="CT462" s="12"/>
      <c r="CU462" s="12"/>
      <c r="CV462" s="11">
        <v>11810.0</v>
      </c>
      <c r="CW462" s="11">
        <v>499.0</v>
      </c>
      <c r="CX462" s="12"/>
      <c r="CY462" s="12"/>
      <c r="CZ462" s="12"/>
      <c r="DA462" s="12"/>
      <c r="DB462" s="11">
        <v>11810.0</v>
      </c>
      <c r="DC462" s="11">
        <v>7810.0</v>
      </c>
      <c r="DD462" s="11">
        <v>3420.0</v>
      </c>
      <c r="DE462" s="11">
        <v>369.0</v>
      </c>
      <c r="DF462" s="11">
        <v>22730.0</v>
      </c>
      <c r="DG462" s="11">
        <v>7810.0</v>
      </c>
      <c r="DH462" s="11">
        <v>3420.0</v>
      </c>
      <c r="DI462" s="11">
        <v>4670.0</v>
      </c>
      <c r="DJ462" s="11">
        <v>7320.0</v>
      </c>
      <c r="DK462" s="12"/>
      <c r="DL462" s="12"/>
      <c r="DM462" s="12"/>
      <c r="DN462" s="11">
        <v>51.0</v>
      </c>
      <c r="DO462" s="24">
        <v>51.0</v>
      </c>
      <c r="DP462" s="11">
        <v>10930.0</v>
      </c>
      <c r="DQ462" s="12"/>
      <c r="DR462" s="12"/>
      <c r="DS462" s="12"/>
      <c r="DT462" s="12"/>
      <c r="DU462" s="13"/>
      <c r="DV462" s="12"/>
      <c r="DW462" s="12"/>
      <c r="DX462" s="24">
        <v>2.0</v>
      </c>
      <c r="DY462" s="24">
        <v>2.0</v>
      </c>
      <c r="DZ462" s="11">
        <v>36210.0</v>
      </c>
      <c r="EA462" s="11">
        <v>42910.0</v>
      </c>
      <c r="EB462" s="11">
        <v>21360.0</v>
      </c>
      <c r="EC462" s="11">
        <v>4560.0</v>
      </c>
      <c r="ED462" s="11">
        <v>12220.0</v>
      </c>
      <c r="EE462" s="23"/>
      <c r="EF462" s="23"/>
      <c r="EG462" s="14">
        <v>0.048</v>
      </c>
      <c r="EH462" s="14">
        <v>0.045</v>
      </c>
    </row>
    <row r="463">
      <c r="A463" s="9">
        <f t="shared" si="2"/>
        <v>461</v>
      </c>
      <c r="B463" s="25" t="s">
        <v>597</v>
      </c>
      <c r="C463" s="15">
        <v>1670000.0</v>
      </c>
      <c r="D463" s="15">
        <v>1470000.0</v>
      </c>
      <c r="E463" s="15">
        <v>1700000.0</v>
      </c>
      <c r="F463" s="15">
        <v>1240000.0</v>
      </c>
      <c r="G463" s="15">
        <v>1050000.0</v>
      </c>
      <c r="H463" s="15">
        <v>872210.0</v>
      </c>
      <c r="I463" s="15">
        <v>843790.0</v>
      </c>
      <c r="J463" s="15">
        <v>766400.0</v>
      </c>
      <c r="K463" s="15">
        <v>578130.0</v>
      </c>
      <c r="L463" s="15">
        <v>480640.0</v>
      </c>
      <c r="M463" s="15">
        <v>387530.0</v>
      </c>
      <c r="N463" s="15">
        <v>355840.0</v>
      </c>
      <c r="O463" s="15">
        <v>620180.0</v>
      </c>
      <c r="P463" s="15">
        <v>446270.0</v>
      </c>
      <c r="Q463" s="15">
        <v>390350.0</v>
      </c>
      <c r="R463" s="15">
        <v>340840.0</v>
      </c>
      <c r="S463" s="15">
        <v>330690.0</v>
      </c>
      <c r="T463" s="15">
        <v>50580.0</v>
      </c>
      <c r="U463" s="15">
        <v>40750.0</v>
      </c>
      <c r="V463" s="15">
        <v>36570.0</v>
      </c>
      <c r="W463" s="15">
        <v>33320.0</v>
      </c>
      <c r="X463" s="15">
        <v>33210.0</v>
      </c>
      <c r="Y463" s="15">
        <v>138450.0</v>
      </c>
      <c r="Z463" s="15">
        <v>138290.0</v>
      </c>
      <c r="AA463" s="15">
        <v>71340.0</v>
      </c>
      <c r="AB463" s="15">
        <v>43770.0</v>
      </c>
      <c r="AC463" s="15">
        <v>28610.0</v>
      </c>
      <c r="AD463" s="15">
        <v>95770.0</v>
      </c>
      <c r="AE463" s="15">
        <v>131270.0</v>
      </c>
      <c r="AF463" s="15">
        <v>68060.0</v>
      </c>
      <c r="AG463" s="15">
        <v>58390.0</v>
      </c>
      <c r="AH463" s="15">
        <v>20060.0</v>
      </c>
      <c r="AI463" s="15">
        <v>212060.0</v>
      </c>
      <c r="AJ463" s="15">
        <v>151820.0</v>
      </c>
      <c r="AK463" s="15">
        <v>107890.0</v>
      </c>
      <c r="AL463" s="15">
        <v>63270.0</v>
      </c>
      <c r="AM463" s="15">
        <v>42530.0</v>
      </c>
      <c r="AN463" s="15">
        <v>79410.0</v>
      </c>
      <c r="AO463" s="15">
        <v>104740.0</v>
      </c>
      <c r="AP463" s="15">
        <v>40810.0</v>
      </c>
      <c r="AQ463" s="15">
        <v>189900.0</v>
      </c>
      <c r="AR463" s="15">
        <v>14570.0</v>
      </c>
      <c r="AS463" s="15">
        <v>86550.0</v>
      </c>
      <c r="AT463" s="15">
        <v>92280.0</v>
      </c>
      <c r="AU463" s="15">
        <v>117700.0</v>
      </c>
      <c r="AV463" s="15">
        <v>77710.0</v>
      </c>
      <c r="AW463" s="15">
        <v>30580.0</v>
      </c>
      <c r="AX463" s="15">
        <v>-54700.0</v>
      </c>
      <c r="AY463" s="15">
        <v>-36830.0</v>
      </c>
      <c r="AZ463" s="15">
        <v>-26200.0</v>
      </c>
      <c r="BA463" s="15">
        <v>-16150.0</v>
      </c>
      <c r="BB463" s="15">
        <v>-14370.0</v>
      </c>
      <c r="BC463" s="15">
        <v>-3780.0</v>
      </c>
      <c r="BD463" s="15">
        <v>-3790.0</v>
      </c>
      <c r="BE463" s="15">
        <v>-3770.0</v>
      </c>
      <c r="BF463" s="15">
        <v>-3760.0</v>
      </c>
      <c r="BG463" s="15">
        <v>-3390.0</v>
      </c>
      <c r="BH463" s="15">
        <v>106670.0</v>
      </c>
      <c r="BI463" s="15">
        <v>63980.0</v>
      </c>
      <c r="BJ463" s="15">
        <v>85670.0</v>
      </c>
      <c r="BK463" s="15">
        <v>125980.0</v>
      </c>
      <c r="BL463" s="15">
        <v>49800.0</v>
      </c>
      <c r="BM463" s="15">
        <v>150370.0</v>
      </c>
      <c r="BN463" s="15">
        <v>72090.0</v>
      </c>
      <c r="BO463" s="15">
        <v>95270.0</v>
      </c>
      <c r="BP463" s="15">
        <v>128500.0</v>
      </c>
      <c r="BQ463" s="15">
        <v>116090.0</v>
      </c>
      <c r="BR463" s="15">
        <v>456640.0</v>
      </c>
      <c r="BS463" s="15">
        <v>338060.0</v>
      </c>
      <c r="BT463" s="15">
        <v>262490.0</v>
      </c>
      <c r="BU463" s="15">
        <v>189400.0</v>
      </c>
      <c r="BV463" s="15">
        <v>208880.0</v>
      </c>
      <c r="BW463" s="15">
        <v>788600.0</v>
      </c>
      <c r="BX463" s="15">
        <v>524430.0</v>
      </c>
      <c r="BY463" s="15">
        <v>465530.0</v>
      </c>
      <c r="BZ463" s="15">
        <v>459910.0</v>
      </c>
      <c r="CA463" s="15">
        <v>390980.0</v>
      </c>
      <c r="CB463" s="15">
        <v>292860.0</v>
      </c>
      <c r="CC463" s="15">
        <v>88470.0</v>
      </c>
      <c r="CD463" s="15">
        <v>70230.0</v>
      </c>
      <c r="CE463" s="15">
        <v>54480.0</v>
      </c>
      <c r="CF463" s="15">
        <v>55810.0</v>
      </c>
      <c r="CG463" s="15">
        <v>203740.0</v>
      </c>
      <c r="CH463" s="15">
        <v>55820.0</v>
      </c>
      <c r="CI463" s="15">
        <v>56430.0</v>
      </c>
      <c r="CJ463" s="15">
        <v>25590.0</v>
      </c>
      <c r="CK463" s="15">
        <v>26500.0</v>
      </c>
      <c r="CL463" s="15">
        <v>1960000.0</v>
      </c>
      <c r="CM463" s="15">
        <v>1050000.0</v>
      </c>
      <c r="CN463" s="15">
        <v>991160.0</v>
      </c>
      <c r="CO463" s="15">
        <v>801280.0</v>
      </c>
      <c r="CP463" s="15">
        <v>631220.0</v>
      </c>
      <c r="CQ463" s="15">
        <v>67840.0</v>
      </c>
      <c r="CR463" s="15">
        <v>42470.0</v>
      </c>
      <c r="CS463" s="15">
        <v>63200.0</v>
      </c>
      <c r="CT463" s="15">
        <v>54570.0</v>
      </c>
      <c r="CU463" s="15">
        <v>54790.0</v>
      </c>
      <c r="CV463" s="15">
        <v>523250.0</v>
      </c>
      <c r="CW463" s="15">
        <v>171000.0</v>
      </c>
      <c r="CX463" s="15">
        <v>40300.0</v>
      </c>
      <c r="CY463" s="15">
        <v>87760.0</v>
      </c>
      <c r="CZ463" s="15">
        <v>11970.0</v>
      </c>
      <c r="DA463" s="15">
        <v>14970.0</v>
      </c>
      <c r="DB463" s="15">
        <v>523250.0</v>
      </c>
      <c r="DC463" s="15">
        <v>303240.0</v>
      </c>
      <c r="DD463" s="15">
        <v>314370.0</v>
      </c>
      <c r="DE463" s="15">
        <v>186850.0</v>
      </c>
      <c r="DF463" s="15">
        <v>1190000.0</v>
      </c>
      <c r="DG463" s="15">
        <v>318640.0</v>
      </c>
      <c r="DH463" s="15">
        <v>331780.0</v>
      </c>
      <c r="DI463" s="15">
        <v>192680.0</v>
      </c>
      <c r="DJ463" s="15">
        <v>218280.0</v>
      </c>
      <c r="DK463" s="15">
        <v>90130.0</v>
      </c>
      <c r="DL463" s="15">
        <v>72240.0</v>
      </c>
      <c r="DM463" s="15">
        <v>70500.0</v>
      </c>
      <c r="DN463" s="15">
        <v>49000.0</v>
      </c>
      <c r="DO463" s="15">
        <v>53320.0</v>
      </c>
      <c r="DP463" s="15">
        <v>581510.0</v>
      </c>
      <c r="DQ463" s="15">
        <v>7570.0</v>
      </c>
      <c r="DR463" s="15">
        <v>9540.0</v>
      </c>
      <c r="DS463" s="15">
        <v>256.0</v>
      </c>
      <c r="DT463" s="15">
        <v>394.0</v>
      </c>
      <c r="DU463" s="13"/>
      <c r="DV463" s="12"/>
      <c r="DW463" s="12"/>
      <c r="DX463" s="13"/>
      <c r="DY463" s="13"/>
      <c r="DZ463" s="15">
        <v>767350.0</v>
      </c>
      <c r="EA463" s="15">
        <v>724570.0</v>
      </c>
      <c r="EB463" s="15">
        <v>649630.0</v>
      </c>
      <c r="EC463" s="15">
        <v>598910.0</v>
      </c>
      <c r="ED463" s="15">
        <v>412950.0</v>
      </c>
      <c r="EE463" s="17">
        <v>0.129</v>
      </c>
      <c r="EF463" s="17">
        <v>0.114</v>
      </c>
      <c r="EG463" s="17">
        <v>4.0</v>
      </c>
      <c r="EH463" s="17">
        <v>1.063</v>
      </c>
    </row>
    <row r="464">
      <c r="A464" s="9">
        <f t="shared" si="2"/>
        <v>462</v>
      </c>
      <c r="B464" s="10" t="s">
        <v>598</v>
      </c>
      <c r="C464" s="11">
        <v>8760000.0</v>
      </c>
      <c r="D464" s="11">
        <v>8740000.0</v>
      </c>
      <c r="E464" s="11">
        <v>9170000.0</v>
      </c>
      <c r="F464" s="11">
        <v>8130000.0</v>
      </c>
      <c r="G464" s="11">
        <v>7690000.0</v>
      </c>
      <c r="H464" s="11">
        <v>7550000.0</v>
      </c>
      <c r="I464" s="11">
        <v>6720000.0</v>
      </c>
      <c r="J464" s="11">
        <v>1360000.0</v>
      </c>
      <c r="K464" s="11">
        <v>1210000.0</v>
      </c>
      <c r="L464" s="11">
        <v>1140000.0</v>
      </c>
      <c r="M464" s="11">
        <v>1030000.0</v>
      </c>
      <c r="N464" s="11">
        <v>944480.0</v>
      </c>
      <c r="O464" s="11">
        <v>893450.0</v>
      </c>
      <c r="P464" s="11">
        <v>799160.0</v>
      </c>
      <c r="Q464" s="11">
        <v>753160.0</v>
      </c>
      <c r="R464" s="11">
        <v>721640.0</v>
      </c>
      <c r="S464" s="11">
        <v>656570.0</v>
      </c>
      <c r="T464" s="11"/>
      <c r="U464" s="11"/>
      <c r="V464" s="11"/>
      <c r="W464" s="11"/>
      <c r="X464" s="11"/>
      <c r="Y464" s="11">
        <v>460890.0</v>
      </c>
      <c r="Z464" s="11">
        <v>403080.0</v>
      </c>
      <c r="AA464" s="11">
        <v>-59400.0</v>
      </c>
      <c r="AB464" s="11">
        <v>-3870.0</v>
      </c>
      <c r="AC464" s="11">
        <v>-824.0</v>
      </c>
      <c r="AD464" s="11">
        <v>450890.0</v>
      </c>
      <c r="AE464" s="11">
        <v>395030.0</v>
      </c>
      <c r="AF464" s="11">
        <v>318750.0</v>
      </c>
      <c r="AG464" s="11">
        <v>296490.0</v>
      </c>
      <c r="AH464" s="11">
        <v>278820.0</v>
      </c>
      <c r="AI464" s="11">
        <v>554500.0</v>
      </c>
      <c r="AJ464" s="11">
        <v>487210.0</v>
      </c>
      <c r="AK464" s="11">
        <v>478460.0</v>
      </c>
      <c r="AL464" s="11">
        <v>392110.0</v>
      </c>
      <c r="AM464" s="11">
        <v>362100.0</v>
      </c>
      <c r="AN464" s="11">
        <v>325140.0</v>
      </c>
      <c r="AO464" s="11">
        <v>285880.0</v>
      </c>
      <c r="AP464" s="11">
        <v>228050.0</v>
      </c>
      <c r="AQ464" s="11">
        <v>185080.0</v>
      </c>
      <c r="AR464" s="11">
        <v>172350.0</v>
      </c>
      <c r="AS464" s="11">
        <v>356540.0</v>
      </c>
      <c r="AT464" s="11">
        <v>271100.0</v>
      </c>
      <c r="AU464" s="11">
        <v>366610.0</v>
      </c>
      <c r="AV464" s="11">
        <v>264560.0</v>
      </c>
      <c r="AW464" s="11">
        <v>266670.0</v>
      </c>
      <c r="AX464" s="11">
        <v>-48430.0</v>
      </c>
      <c r="AY464" s="11">
        <v>-43480.0</v>
      </c>
      <c r="AZ464" s="11">
        <v>-34680.0</v>
      </c>
      <c r="BA464" s="11">
        <v>-39650.0</v>
      </c>
      <c r="BB464" s="11">
        <v>-35460.0</v>
      </c>
      <c r="BC464" s="11">
        <v>-17950.0</v>
      </c>
      <c r="BD464" s="11">
        <v>-18640.0</v>
      </c>
      <c r="BE464" s="11">
        <v>-18970.0</v>
      </c>
      <c r="BF464" s="11">
        <v>-19450.0</v>
      </c>
      <c r="BG464" s="11">
        <v>-20100.0</v>
      </c>
      <c r="BH464" s="11">
        <v>359920.0</v>
      </c>
      <c r="BI464" s="11">
        <v>366210.0</v>
      </c>
      <c r="BJ464" s="11">
        <v>469390.0</v>
      </c>
      <c r="BK464" s="11">
        <v>466660.0</v>
      </c>
      <c r="BL464" s="11">
        <v>491060.0</v>
      </c>
      <c r="BM464" s="11">
        <v>2210000.0</v>
      </c>
      <c r="BN464" s="11">
        <v>1940000.0</v>
      </c>
      <c r="BO464" s="11">
        <v>1730000.0</v>
      </c>
      <c r="BP464" s="11">
        <v>1630000.0</v>
      </c>
      <c r="BQ464" s="11">
        <v>1480000.0</v>
      </c>
      <c r="BR464" s="11">
        <v>40450.0</v>
      </c>
      <c r="BS464" s="11">
        <v>42320.0</v>
      </c>
      <c r="BT464" s="11">
        <v>42720.0</v>
      </c>
      <c r="BU464" s="11">
        <v>37430.0</v>
      </c>
      <c r="BV464" s="11">
        <v>37550.0</v>
      </c>
      <c r="BW464" s="11">
        <v>2660000.0</v>
      </c>
      <c r="BX464" s="11">
        <v>2390000.0</v>
      </c>
      <c r="BY464" s="11">
        <v>2280000.0</v>
      </c>
      <c r="BZ464" s="11">
        <v>2170000.0</v>
      </c>
      <c r="CA464" s="11">
        <v>2070000.0</v>
      </c>
      <c r="CB464" s="11">
        <v>401660.0</v>
      </c>
      <c r="CC464" s="11">
        <v>134350.0</v>
      </c>
      <c r="CD464" s="11">
        <v>127160.0</v>
      </c>
      <c r="CE464" s="11">
        <v>127950.0</v>
      </c>
      <c r="CF464" s="11">
        <v>122020.0</v>
      </c>
      <c r="CG464" s="11">
        <v>1060000.0</v>
      </c>
      <c r="CH464" s="11">
        <v>990890.0</v>
      </c>
      <c r="CI464" s="11">
        <v>964890.0</v>
      </c>
      <c r="CJ464" s="11">
        <v>979630.0</v>
      </c>
      <c r="CK464" s="11">
        <v>843170.0</v>
      </c>
      <c r="CL464" s="11">
        <v>4830000.0</v>
      </c>
      <c r="CM464" s="11">
        <v>4090000.0</v>
      </c>
      <c r="CN464" s="11">
        <v>3970000.0</v>
      </c>
      <c r="CO464" s="11">
        <v>3850000.0</v>
      </c>
      <c r="CP464" s="11">
        <v>3540000.0</v>
      </c>
      <c r="CQ464" s="11">
        <v>665400.0</v>
      </c>
      <c r="CR464" s="11">
        <v>652090.0</v>
      </c>
      <c r="CS464" s="11">
        <v>567840.0</v>
      </c>
      <c r="CT464" s="11">
        <v>501210.0</v>
      </c>
      <c r="CU464" s="11">
        <v>488250.0</v>
      </c>
      <c r="CV464" s="11">
        <v>1940000.0</v>
      </c>
      <c r="CW464" s="11">
        <v>53140.0</v>
      </c>
      <c r="CX464" s="12"/>
      <c r="CY464" s="12"/>
      <c r="CZ464" s="12"/>
      <c r="DA464" s="12"/>
      <c r="DB464" s="11">
        <v>1940000.0</v>
      </c>
      <c r="DC464" s="11">
        <v>1730000.0</v>
      </c>
      <c r="DD464" s="11">
        <v>1650000.0</v>
      </c>
      <c r="DE464" s="11">
        <v>1510000.0</v>
      </c>
      <c r="DF464" s="11">
        <v>2770000.0</v>
      </c>
      <c r="DG464" s="11">
        <v>2350000.0</v>
      </c>
      <c r="DH464" s="11">
        <v>2290000.0</v>
      </c>
      <c r="DI464" s="11">
        <v>2310000.0</v>
      </c>
      <c r="DJ464" s="11">
        <v>2060000.0</v>
      </c>
      <c r="DK464" s="12"/>
      <c r="DL464" s="11">
        <v>2900.0</v>
      </c>
      <c r="DM464" s="11">
        <v>2310.0</v>
      </c>
      <c r="DN464" s="11">
        <v>8790.0</v>
      </c>
      <c r="DO464" s="11"/>
      <c r="DP464" s="11">
        <v>499090.0</v>
      </c>
      <c r="DQ464" s="11">
        <v>279760.0</v>
      </c>
      <c r="DR464" s="11">
        <v>294790.0</v>
      </c>
      <c r="DS464" s="11">
        <v>408300.0</v>
      </c>
      <c r="DT464" s="11">
        <v>297560.0</v>
      </c>
      <c r="DU464" s="13"/>
      <c r="DV464" s="12"/>
      <c r="DW464" s="12"/>
      <c r="DX464" s="13"/>
      <c r="DY464" s="13"/>
      <c r="DZ464" s="11">
        <v>2060000.0</v>
      </c>
      <c r="EA464" s="11">
        <v>1740000.0</v>
      </c>
      <c r="EB464" s="11">
        <v>1670000.0</v>
      </c>
      <c r="EC464" s="11">
        <v>1540000.0</v>
      </c>
      <c r="ED464" s="11">
        <v>1480000.0</v>
      </c>
      <c r="EE464" s="14">
        <v>0.084</v>
      </c>
      <c r="EF464" s="14">
        <v>0.12</v>
      </c>
      <c r="EG464" s="14">
        <v>0.007</v>
      </c>
      <c r="EH464" s="14">
        <v>0.04</v>
      </c>
    </row>
    <row r="465">
      <c r="A465" s="9">
        <f t="shared" si="2"/>
        <v>463</v>
      </c>
      <c r="B465" s="25" t="s">
        <v>599</v>
      </c>
      <c r="C465" s="15">
        <v>119470.0</v>
      </c>
      <c r="D465" s="15">
        <v>103150.0</v>
      </c>
      <c r="E465" s="15">
        <v>87270.0</v>
      </c>
      <c r="F465" s="15">
        <v>85620.0</v>
      </c>
      <c r="G465" s="15">
        <v>122900.0</v>
      </c>
      <c r="H465" s="15">
        <v>92000.0</v>
      </c>
      <c r="I465" s="15">
        <v>81690.0</v>
      </c>
      <c r="J465" s="15">
        <v>15090.0</v>
      </c>
      <c r="K465" s="15">
        <v>18490.0</v>
      </c>
      <c r="L465" s="15">
        <v>43110.0</v>
      </c>
      <c r="M465" s="15">
        <v>31030.0</v>
      </c>
      <c r="N465" s="15">
        <v>28690.0</v>
      </c>
      <c r="O465" s="15">
        <v>40710.0</v>
      </c>
      <c r="P465" s="15">
        <v>36620.0</v>
      </c>
      <c r="Q465" s="15">
        <v>32790.0</v>
      </c>
      <c r="R465" s="15">
        <v>29930.0</v>
      </c>
      <c r="S465" s="15">
        <v>31880.0</v>
      </c>
      <c r="T465" s="15">
        <v>19440.0</v>
      </c>
      <c r="U465" s="15">
        <v>15390.0</v>
      </c>
      <c r="V465" s="15">
        <v>12540.0</v>
      </c>
      <c r="W465" s="15">
        <v>9920.0</v>
      </c>
      <c r="X465" s="15">
        <v>9120.0</v>
      </c>
      <c r="Y465" s="15">
        <v>-36430.0</v>
      </c>
      <c r="Z465" s="15">
        <v>0.0</v>
      </c>
      <c r="AA465" s="15">
        <v>7290.0</v>
      </c>
      <c r="AB465" s="15">
        <v>2900.0</v>
      </c>
      <c r="AC465" s="15">
        <v>-4170.0</v>
      </c>
      <c r="AD465" s="15">
        <v>-35930.0</v>
      </c>
      <c r="AE465" s="15">
        <v>-17900.0</v>
      </c>
      <c r="AF465" s="15">
        <v>8380.0</v>
      </c>
      <c r="AG465" s="15">
        <v>2630.0</v>
      </c>
      <c r="AH465" s="15">
        <v>-4460.0</v>
      </c>
      <c r="AI465" s="15">
        <v>-18480.0</v>
      </c>
      <c r="AJ465" s="15">
        <v>-12520.0</v>
      </c>
      <c r="AK465" s="15">
        <v>13500.0</v>
      </c>
      <c r="AL465" s="15">
        <v>3230.0</v>
      </c>
      <c r="AM465" s="15">
        <v>0.0</v>
      </c>
      <c r="AN465" s="15">
        <v>-35980.0</v>
      </c>
      <c r="AO465" s="15">
        <v>-17450.0</v>
      </c>
      <c r="AP465" s="15">
        <v>8220.0</v>
      </c>
      <c r="AQ465" s="15">
        <v>2620.0</v>
      </c>
      <c r="AR465" s="15">
        <v>-2270.0</v>
      </c>
      <c r="AS465" s="15">
        <v>-15150.0</v>
      </c>
      <c r="AT465" s="15">
        <v>1470.0</v>
      </c>
      <c r="AU465" s="15">
        <v>11700.0</v>
      </c>
      <c r="AV465" s="15">
        <v>-5550.0</v>
      </c>
      <c r="AW465" s="15">
        <v>-3920.0</v>
      </c>
      <c r="AX465" s="15">
        <v>-10790.0</v>
      </c>
      <c r="AY465" s="15">
        <v>-6580.0</v>
      </c>
      <c r="AZ465" s="15">
        <v>-9600.0</v>
      </c>
      <c r="BA465" s="15">
        <v>-5780.0</v>
      </c>
      <c r="BB465" s="15">
        <v>-2800.0</v>
      </c>
      <c r="BC465" s="15">
        <v>0.0</v>
      </c>
      <c r="BD465" s="15">
        <v>0.0</v>
      </c>
      <c r="BE465" s="15">
        <v>0.0</v>
      </c>
      <c r="BF465" s="15">
        <v>-39210.0</v>
      </c>
      <c r="BG465" s="15">
        <v>0.0</v>
      </c>
      <c r="BH465" s="15">
        <v>21980.0</v>
      </c>
      <c r="BI465" s="15">
        <v>63200.0</v>
      </c>
      <c r="BJ465" s="15">
        <v>68750.0</v>
      </c>
      <c r="BK465" s="15">
        <v>64870.0</v>
      </c>
      <c r="BL465" s="15">
        <v>112260.0</v>
      </c>
      <c r="BM465" s="15">
        <v>19550.0</v>
      </c>
      <c r="BN465" s="15">
        <v>19280.0</v>
      </c>
      <c r="BO465" s="15">
        <v>22270.0</v>
      </c>
      <c r="BP465" s="15">
        <v>18430.0</v>
      </c>
      <c r="BQ465" s="15">
        <v>17320.0</v>
      </c>
      <c r="BR465" s="15">
        <v>24050.0</v>
      </c>
      <c r="BS465" s="15">
        <v>20850.0</v>
      </c>
      <c r="BT465" s="15">
        <v>25140.0</v>
      </c>
      <c r="BU465" s="15">
        <v>24150.0</v>
      </c>
      <c r="BV465" s="15">
        <v>17130.0</v>
      </c>
      <c r="BW465" s="15">
        <v>71970.0</v>
      </c>
      <c r="BX465" s="15">
        <v>109420.0</v>
      </c>
      <c r="BY465" s="15">
        <v>124690.0</v>
      </c>
      <c r="BZ465" s="15">
        <v>111220.0</v>
      </c>
      <c r="CA465" s="15">
        <v>151690.0</v>
      </c>
      <c r="CB465" s="15">
        <v>37220.0</v>
      </c>
      <c r="CC465" s="15">
        <v>18220.0</v>
      </c>
      <c r="CD465" s="15">
        <v>16640.0</v>
      </c>
      <c r="CE465" s="15">
        <v>12210.0</v>
      </c>
      <c r="CF465" s="15">
        <v>8930.0</v>
      </c>
      <c r="CG465" s="15">
        <v>0.0</v>
      </c>
      <c r="CH465" s="15">
        <v>0.0</v>
      </c>
      <c r="CI465" s="15">
        <v>0.0</v>
      </c>
      <c r="CJ465" s="15">
        <v>0.0</v>
      </c>
      <c r="CK465" s="15">
        <v>0.0</v>
      </c>
      <c r="CL465" s="15">
        <v>109560.0</v>
      </c>
      <c r="CM465" s="15">
        <v>129270.0</v>
      </c>
      <c r="CN465" s="15">
        <v>144080.0</v>
      </c>
      <c r="CO465" s="15">
        <v>127210.0</v>
      </c>
      <c r="CP465" s="15">
        <v>160910.0</v>
      </c>
      <c r="CQ465" s="15">
        <v>10700.0</v>
      </c>
      <c r="CR465" s="15">
        <v>13000.0</v>
      </c>
      <c r="CS465" s="15">
        <v>11820.0</v>
      </c>
      <c r="CT465" s="15">
        <v>10580.0</v>
      </c>
      <c r="CU465" s="15">
        <v>7190.0</v>
      </c>
      <c r="CV465" s="15">
        <v>30720.0</v>
      </c>
      <c r="CW465" s="15">
        <v>5500.0</v>
      </c>
      <c r="CX465" s="15">
        <v>0.0</v>
      </c>
      <c r="CY465" s="16">
        <v>0.0</v>
      </c>
      <c r="CZ465" s="16">
        <v>0.0</v>
      </c>
      <c r="DA465" s="15">
        <v>0.0</v>
      </c>
      <c r="DB465" s="15">
        <v>30720.0</v>
      </c>
      <c r="DC465" s="15">
        <v>20570.0</v>
      </c>
      <c r="DD465" s="15">
        <v>21640.0</v>
      </c>
      <c r="DE465" s="15">
        <v>18260.0</v>
      </c>
      <c r="DF465" s="15">
        <v>32820.0</v>
      </c>
      <c r="DG465" s="15">
        <v>22460.0</v>
      </c>
      <c r="DH465" s="15">
        <v>23310.0</v>
      </c>
      <c r="DI465" s="15">
        <v>19890.0</v>
      </c>
      <c r="DJ465" s="15">
        <v>25470.0</v>
      </c>
      <c r="DK465" s="15">
        <v>0.0</v>
      </c>
      <c r="DL465" s="15">
        <v>0.0</v>
      </c>
      <c r="DM465" s="15">
        <v>0.0</v>
      </c>
      <c r="DN465" s="15">
        <v>0.0</v>
      </c>
      <c r="DO465" s="15">
        <v>0.0</v>
      </c>
      <c r="DP465" s="15">
        <v>0.0</v>
      </c>
      <c r="DQ465" s="15">
        <v>0.0</v>
      </c>
      <c r="DR465" s="15">
        <v>0.0</v>
      </c>
      <c r="DS465" s="15">
        <v>0.0</v>
      </c>
      <c r="DT465" s="15">
        <v>0.0</v>
      </c>
      <c r="DU465" s="16">
        <v>0.0</v>
      </c>
      <c r="DV465" s="15">
        <v>0.0</v>
      </c>
      <c r="DW465" s="15">
        <v>0.0</v>
      </c>
      <c r="DX465" s="15">
        <v>0.0</v>
      </c>
      <c r="DY465" s="15">
        <v>0.0</v>
      </c>
      <c r="DZ465" s="15">
        <v>76750.0</v>
      </c>
      <c r="EA465" s="15">
        <v>106810.0</v>
      </c>
      <c r="EB465" s="15">
        <v>120770.0</v>
      </c>
      <c r="EC465" s="15">
        <v>107320.0</v>
      </c>
      <c r="ED465" s="15">
        <v>135440.0</v>
      </c>
      <c r="EE465" s="17">
        <v>0.013</v>
      </c>
      <c r="EF465" s="17">
        <v>0.046</v>
      </c>
      <c r="EG465" s="17">
        <v>-0.3</v>
      </c>
      <c r="EH465" s="17">
        <v>-0.176</v>
      </c>
    </row>
    <row r="466">
      <c r="A466" s="9">
        <f t="shared" si="2"/>
        <v>464</v>
      </c>
      <c r="B466" s="25" t="s">
        <v>600</v>
      </c>
      <c r="C466" s="15">
        <v>8720000.0</v>
      </c>
      <c r="D466" s="15">
        <v>8180000.0</v>
      </c>
      <c r="E466" s="15">
        <v>9250000.0</v>
      </c>
      <c r="F466" s="15">
        <v>1.012E7</v>
      </c>
      <c r="G466" s="15">
        <v>9510000.0</v>
      </c>
      <c r="H466" s="15">
        <v>8950000.0</v>
      </c>
      <c r="I466" s="15">
        <v>9560000.0</v>
      </c>
      <c r="J466" s="15">
        <v>2250000.0</v>
      </c>
      <c r="K466" s="15">
        <v>2430000.0</v>
      </c>
      <c r="L466" s="15">
        <v>2480000.0</v>
      </c>
      <c r="M466" s="15">
        <v>2460000.0</v>
      </c>
      <c r="N466" s="15">
        <v>2710000.0</v>
      </c>
      <c r="O466" s="15">
        <v>925000.0</v>
      </c>
      <c r="P466" s="15">
        <v>956000.0</v>
      </c>
      <c r="Q466" s="15">
        <v>956000.0</v>
      </c>
      <c r="R466" s="15">
        <v>913000.0</v>
      </c>
      <c r="S466" s="15">
        <v>985000.0</v>
      </c>
      <c r="T466" s="15">
        <v>234000.0</v>
      </c>
      <c r="U466" s="15">
        <v>235000.0</v>
      </c>
      <c r="V466" s="15">
        <v>227000.0</v>
      </c>
      <c r="W466" s="15">
        <v>219000.0</v>
      </c>
      <c r="X466" s="15">
        <v>242000.0</v>
      </c>
      <c r="Y466" s="15">
        <v>1200000.0</v>
      </c>
      <c r="Z466" s="15">
        <v>1490000.0</v>
      </c>
      <c r="AA466" s="15">
        <v>-115000.0</v>
      </c>
      <c r="AB466" s="15">
        <v>1380000.0</v>
      </c>
      <c r="AC466" s="15">
        <v>-226000.0</v>
      </c>
      <c r="AD466" s="15">
        <v>902000.0</v>
      </c>
      <c r="AE466" s="15">
        <v>1310000.0</v>
      </c>
      <c r="AF466" s="15">
        <v>1290000.0</v>
      </c>
      <c r="AG466" s="15">
        <v>1050000.0</v>
      </c>
      <c r="AH466" s="15">
        <v>1130000.0</v>
      </c>
      <c r="AI466" s="15">
        <v>1930000.0</v>
      </c>
      <c r="AJ466" s="15">
        <v>2070000.0</v>
      </c>
      <c r="AK466" s="15">
        <v>2110000.0</v>
      </c>
      <c r="AL466" s="15">
        <v>2120000.0</v>
      </c>
      <c r="AM466" s="15">
        <v>2290000.0</v>
      </c>
      <c r="AN466" s="15">
        <v>759000.0</v>
      </c>
      <c r="AO466" s="15">
        <v>1080000.0</v>
      </c>
      <c r="AP466" s="15">
        <v>1380000.0</v>
      </c>
      <c r="AQ466" s="15">
        <v>854000.0</v>
      </c>
      <c r="AR466" s="15">
        <v>848000.0</v>
      </c>
      <c r="AS466" s="15">
        <v>1500000.0</v>
      </c>
      <c r="AT466" s="15">
        <v>1540000.0</v>
      </c>
      <c r="AU466" s="15">
        <v>1660000.0</v>
      </c>
      <c r="AV466" s="15">
        <v>1390000.0</v>
      </c>
      <c r="AW466" s="15">
        <v>1620000.0</v>
      </c>
      <c r="AX466" s="15">
        <v>-425000.0</v>
      </c>
      <c r="AY466" s="15">
        <v>-528000.0</v>
      </c>
      <c r="AZ466" s="15">
        <v>-649000.0</v>
      </c>
      <c r="BA466" s="15">
        <v>-626000.0</v>
      </c>
      <c r="BB466" s="15">
        <v>-652000.0</v>
      </c>
      <c r="BC466" s="15">
        <v>-343000.0</v>
      </c>
      <c r="BD466" s="15">
        <v>-318000.0</v>
      </c>
      <c r="BE466" s="15">
        <v>-296000.0</v>
      </c>
      <c r="BF466" s="15">
        <v>-272000.0</v>
      </c>
      <c r="BG466" s="15">
        <v>-238000.0</v>
      </c>
      <c r="BH466" s="15">
        <v>204000.0</v>
      </c>
      <c r="BI466" s="15">
        <v>226000.0</v>
      </c>
      <c r="BJ466" s="15">
        <v>191000.0</v>
      </c>
      <c r="BK466" s="15">
        <v>181000.0</v>
      </c>
      <c r="BL466" s="15">
        <v>293000.0</v>
      </c>
      <c r="BM466" s="15">
        <v>1440000.0</v>
      </c>
      <c r="BN466" s="15">
        <v>1480000.0</v>
      </c>
      <c r="BO466" s="15">
        <v>1390000.0</v>
      </c>
      <c r="BP466" s="15">
        <v>1210000.0</v>
      </c>
      <c r="BQ466" s="15">
        <v>1040000.0</v>
      </c>
      <c r="BR466" s="15">
        <v>1660000.0</v>
      </c>
      <c r="BS466" s="15">
        <v>1580000.0</v>
      </c>
      <c r="BT466" s="15">
        <v>1510000.0</v>
      </c>
      <c r="BU466" s="15">
        <v>1400000.0</v>
      </c>
      <c r="BV466" s="15">
        <v>1480000.0</v>
      </c>
      <c r="BW466" s="15">
        <v>3320000.0</v>
      </c>
      <c r="BX466" s="15">
        <v>3370000.0</v>
      </c>
      <c r="BY466" s="15">
        <v>3140000.0</v>
      </c>
      <c r="BZ466" s="15">
        <v>2870000.0</v>
      </c>
      <c r="CA466" s="15">
        <v>2880000.0</v>
      </c>
      <c r="CB466" s="15">
        <v>5770000.0</v>
      </c>
      <c r="CC466" s="15">
        <v>5600000.0</v>
      </c>
      <c r="CD466" s="15">
        <v>5610000.0</v>
      </c>
      <c r="CE466" s="15">
        <v>5280000.0</v>
      </c>
      <c r="CF466" s="15">
        <v>5130000.0</v>
      </c>
      <c r="CG466" s="15">
        <v>4430000.0</v>
      </c>
      <c r="CH466" s="15">
        <v>4470000.0</v>
      </c>
      <c r="CI466" s="15">
        <v>4530000.0</v>
      </c>
      <c r="CJ466" s="15">
        <v>4460000.0</v>
      </c>
      <c r="CK466" s="15">
        <v>4520000.0</v>
      </c>
      <c r="CL466" s="15">
        <v>1.601E7</v>
      </c>
      <c r="CM466" s="15">
        <v>1.6E7</v>
      </c>
      <c r="CN466" s="15">
        <v>1.6E7</v>
      </c>
      <c r="CO466" s="15">
        <v>1.546E7</v>
      </c>
      <c r="CP466" s="15">
        <v>1.558E7</v>
      </c>
      <c r="CQ466" s="15">
        <v>890000.0</v>
      </c>
      <c r="CR466" s="15">
        <v>914000.0</v>
      </c>
      <c r="CS466" s="15">
        <v>842000.0</v>
      </c>
      <c r="CT466" s="15">
        <v>704000.0</v>
      </c>
      <c r="CU466" s="15">
        <v>699000.0</v>
      </c>
      <c r="CV466" s="15">
        <v>1790000.0</v>
      </c>
      <c r="CW466" s="15">
        <v>226000.0</v>
      </c>
      <c r="CX466" s="15"/>
      <c r="CY466" s="15"/>
      <c r="CZ466" s="15"/>
      <c r="DA466" s="15"/>
      <c r="DB466" s="15">
        <v>1790000.0</v>
      </c>
      <c r="DC466" s="15">
        <v>1850000.0</v>
      </c>
      <c r="DD466" s="15">
        <v>1980000.0</v>
      </c>
      <c r="DE466" s="15">
        <v>1800000.0</v>
      </c>
      <c r="DF466" s="15">
        <v>9980000.0</v>
      </c>
      <c r="DG466" s="15">
        <v>1.012E7</v>
      </c>
      <c r="DH466" s="15">
        <v>1.052E7</v>
      </c>
      <c r="DI466" s="15">
        <v>1.085E7</v>
      </c>
      <c r="DJ466" s="15">
        <v>1.156E7</v>
      </c>
      <c r="DK466" s="15">
        <v>176000.0</v>
      </c>
      <c r="DL466" s="15">
        <v>130000.0</v>
      </c>
      <c r="DM466" s="15">
        <v>101000.0</v>
      </c>
      <c r="DN466" s="15">
        <v>156000.0</v>
      </c>
      <c r="DO466" s="15">
        <v>176000.0</v>
      </c>
      <c r="DP466" s="15">
        <v>5750000.0</v>
      </c>
      <c r="DQ466" s="15">
        <v>5930000.0</v>
      </c>
      <c r="DR466" s="15">
        <v>6150000.0</v>
      </c>
      <c r="DS466" s="15">
        <v>6310000.0</v>
      </c>
      <c r="DT466" s="15">
        <v>6580000.0</v>
      </c>
      <c r="DU466" s="13"/>
      <c r="DV466" s="12"/>
      <c r="DW466" s="12"/>
      <c r="DX466" s="13"/>
      <c r="DY466" s="13"/>
      <c r="DZ466" s="15">
        <v>5960000.0</v>
      </c>
      <c r="EA466" s="15">
        <v>5800000.0</v>
      </c>
      <c r="EB466" s="15">
        <v>5400000.0</v>
      </c>
      <c r="EC466" s="15">
        <v>4530000.0</v>
      </c>
      <c r="ED466" s="15">
        <v>3940000.0</v>
      </c>
      <c r="EE466" s="23"/>
      <c r="EF466" s="23"/>
      <c r="EG466" s="23">
        <v>0.187</v>
      </c>
      <c r="EH466" s="23">
        <v>0.047</v>
      </c>
    </row>
    <row r="467">
      <c r="A467" s="9">
        <f t="shared" si="2"/>
        <v>465</v>
      </c>
      <c r="B467" s="10" t="s">
        <v>601</v>
      </c>
      <c r="C467" s="11">
        <v>1.687E7</v>
      </c>
      <c r="D467" s="11">
        <v>1.666E7</v>
      </c>
      <c r="E467" s="11">
        <v>1.837E7</v>
      </c>
      <c r="F467" s="11">
        <v>1.741E7</v>
      </c>
      <c r="G467" s="11">
        <v>1.526E7</v>
      </c>
      <c r="H467" s="11">
        <v>1.452E7</v>
      </c>
      <c r="I467" s="11">
        <v>1.625E7</v>
      </c>
      <c r="J467" s="11">
        <v>7590000.0</v>
      </c>
      <c r="K467" s="11">
        <v>7210000.0</v>
      </c>
      <c r="L467" s="11">
        <v>6260000.0</v>
      </c>
      <c r="M467" s="11">
        <v>6210000.0</v>
      </c>
      <c r="N467" s="11">
        <v>6940000.0</v>
      </c>
      <c r="O467" s="11">
        <v>4460000.0</v>
      </c>
      <c r="P467" s="11">
        <v>4270000.0</v>
      </c>
      <c r="Q467" s="11">
        <v>3620000.0</v>
      </c>
      <c r="R467" s="11">
        <v>3460000.0</v>
      </c>
      <c r="S467" s="11">
        <v>3740000.0</v>
      </c>
      <c r="T467" s="11">
        <v>454000.0</v>
      </c>
      <c r="U467" s="11">
        <v>436000.0</v>
      </c>
      <c r="V467" s="11">
        <v>340000.0</v>
      </c>
      <c r="W467" s="11">
        <v>320000.0</v>
      </c>
      <c r="X467" s="11">
        <v>336000.0</v>
      </c>
      <c r="Y467" s="11">
        <v>3090000.0</v>
      </c>
      <c r="Z467" s="11">
        <v>-67000.0</v>
      </c>
      <c r="AA467" s="11">
        <v>2530000.0</v>
      </c>
      <c r="AB467" s="11">
        <v>-158000.0</v>
      </c>
      <c r="AC467" s="11">
        <v>-148000.0</v>
      </c>
      <c r="AD467" s="11">
        <v>2860000.0</v>
      </c>
      <c r="AE467" s="11">
        <v>2670000.0</v>
      </c>
      <c r="AF467" s="11">
        <v>2340000.0</v>
      </c>
      <c r="AG467" s="11">
        <v>2320000.0</v>
      </c>
      <c r="AH467" s="11">
        <v>3810000.0</v>
      </c>
      <c r="AI467" s="11">
        <v>3950000.0</v>
      </c>
      <c r="AJ467" s="11">
        <v>3700000.0</v>
      </c>
      <c r="AK467" s="11">
        <v>3280000.0</v>
      </c>
      <c r="AL467" s="11">
        <v>3320000.0</v>
      </c>
      <c r="AM467" s="11">
        <v>3780000.0</v>
      </c>
      <c r="AN467" s="11">
        <v>2310000.0</v>
      </c>
      <c r="AO467" s="11">
        <v>2200000.0</v>
      </c>
      <c r="AP467" s="11">
        <v>1640000.0</v>
      </c>
      <c r="AQ467" s="11">
        <v>1590000.0</v>
      </c>
      <c r="AR467" s="11">
        <v>2520000.0</v>
      </c>
      <c r="AS467" s="11">
        <v>3010000.0</v>
      </c>
      <c r="AT467" s="11">
        <v>2890000.0</v>
      </c>
      <c r="AU467" s="11">
        <v>1910000.0</v>
      </c>
      <c r="AV467" s="11">
        <v>2880000.0</v>
      </c>
      <c r="AW467" s="11">
        <v>2530000.0</v>
      </c>
      <c r="AX467" s="11">
        <v>-594000.0</v>
      </c>
      <c r="AY467" s="11">
        <v>-617000.0</v>
      </c>
      <c r="AZ467" s="11">
        <v>-476000.0</v>
      </c>
      <c r="BA467" s="11">
        <v>-447000.0</v>
      </c>
      <c r="BB467" s="11">
        <v>-588000.0</v>
      </c>
      <c r="BC467" s="11">
        <v>-1210000.0</v>
      </c>
      <c r="BD467" s="11">
        <v>-1230000.0</v>
      </c>
      <c r="BE467" s="11">
        <v>-1240000.0</v>
      </c>
      <c r="BF467" s="11">
        <v>-1230000.0</v>
      </c>
      <c r="BG467" s="11">
        <v>-1270000.0</v>
      </c>
      <c r="BH467" s="11">
        <v>1490000.0</v>
      </c>
      <c r="BI467" s="11">
        <v>1090000.0</v>
      </c>
      <c r="BJ467" s="11">
        <v>3060000.0</v>
      </c>
      <c r="BK467" s="11">
        <v>3180000.0</v>
      </c>
      <c r="BL467" s="11">
        <v>3050000.0</v>
      </c>
      <c r="BM467" s="11">
        <v>3440000.0</v>
      </c>
      <c r="BN467" s="11">
        <v>3340000.0</v>
      </c>
      <c r="BO467" s="11">
        <v>3070000.0</v>
      </c>
      <c r="BP467" s="11">
        <v>2700000.0</v>
      </c>
      <c r="BQ467" s="11">
        <v>2870000.0</v>
      </c>
      <c r="BR467" s="11">
        <v>1880000.0</v>
      </c>
      <c r="BS467" s="11">
        <v>1810000.0</v>
      </c>
      <c r="BT467" s="11">
        <v>1700000.0</v>
      </c>
      <c r="BU467" s="11">
        <v>1210000.0</v>
      </c>
      <c r="BV467" s="11">
        <v>1270000.0</v>
      </c>
      <c r="BW467" s="11">
        <v>7140000.0</v>
      </c>
      <c r="BX467" s="11">
        <v>6620000.0</v>
      </c>
      <c r="BY467" s="11">
        <v>8250000.0</v>
      </c>
      <c r="BZ467" s="11">
        <v>9960000.0</v>
      </c>
      <c r="CA467" s="11">
        <v>1.005E7</v>
      </c>
      <c r="CB467" s="11">
        <v>3640000.0</v>
      </c>
      <c r="CC467" s="11">
        <v>3560000.0</v>
      </c>
      <c r="CD467" s="11">
        <v>3320000.0</v>
      </c>
      <c r="CE467" s="11">
        <v>2930000.0</v>
      </c>
      <c r="CF467" s="11">
        <v>2930000.0</v>
      </c>
      <c r="CG467" s="11">
        <v>6540000.0</v>
      </c>
      <c r="CH467" s="11">
        <v>6460000.0</v>
      </c>
      <c r="CI467" s="11">
        <v>5320000.0</v>
      </c>
      <c r="CJ467" s="11">
        <v>3910000.0</v>
      </c>
      <c r="CK467" s="11">
        <v>3850000.0</v>
      </c>
      <c r="CL467" s="11">
        <v>2.05E7</v>
      </c>
      <c r="CM467" s="11">
        <v>2.039E7</v>
      </c>
      <c r="CN467" s="11">
        <v>1.959E7</v>
      </c>
      <c r="CO467" s="11">
        <v>2.173E7</v>
      </c>
      <c r="CP467" s="11">
        <v>2.209E7</v>
      </c>
      <c r="CQ467" s="11">
        <v>1870000.0</v>
      </c>
      <c r="CR467" s="11">
        <v>1940000.0</v>
      </c>
      <c r="CS467" s="11">
        <v>1780000.0</v>
      </c>
      <c r="CT467" s="11">
        <v>1520000.0</v>
      </c>
      <c r="CU467" s="11">
        <v>1540000.0</v>
      </c>
      <c r="CV467" s="11">
        <v>5980000.0</v>
      </c>
      <c r="CW467" s="11">
        <v>929000.0</v>
      </c>
      <c r="CX467" s="11">
        <v>935000.0</v>
      </c>
      <c r="CY467" s="11">
        <v>592000.0</v>
      </c>
      <c r="CZ467" s="11">
        <v>2320000.0</v>
      </c>
      <c r="DA467" s="11">
        <v>2260000.0</v>
      </c>
      <c r="DB467" s="11">
        <v>5980000.0</v>
      </c>
      <c r="DC467" s="11">
        <v>6160000.0</v>
      </c>
      <c r="DD467" s="11">
        <v>5050000.0</v>
      </c>
      <c r="DE467" s="11">
        <v>8010000.0</v>
      </c>
      <c r="DF467" s="11">
        <v>1.222E7</v>
      </c>
      <c r="DG467" s="11">
        <v>1.14E7</v>
      </c>
      <c r="DH467" s="11">
        <v>1.082E7</v>
      </c>
      <c r="DI467" s="11">
        <v>1.411E7</v>
      </c>
      <c r="DJ467" s="11">
        <v>1.396E7</v>
      </c>
      <c r="DK467" s="12"/>
      <c r="DL467" s="12"/>
      <c r="DM467" s="12"/>
      <c r="DN467" s="12"/>
      <c r="DO467" s="12"/>
      <c r="DP467" s="11">
        <v>4280000.0</v>
      </c>
      <c r="DQ467" s="11">
        <v>3140000.0</v>
      </c>
      <c r="DR467" s="11">
        <v>3790000.0</v>
      </c>
      <c r="DS467" s="11">
        <v>4050000.0</v>
      </c>
      <c r="DT467" s="11">
        <v>4290000.0</v>
      </c>
      <c r="DU467" s="13"/>
      <c r="DV467" s="12"/>
      <c r="DW467" s="12"/>
      <c r="DX467" s="12"/>
      <c r="DY467" s="13"/>
      <c r="DZ467" s="11">
        <v>8230000.0</v>
      </c>
      <c r="EA467" s="11">
        <v>8950000.0</v>
      </c>
      <c r="EB467" s="11">
        <v>8720000.0</v>
      </c>
      <c r="EC467" s="11">
        <v>7570000.0</v>
      </c>
      <c r="ED467" s="11">
        <v>8080000.0</v>
      </c>
      <c r="EE467" s="14">
        <v>0.014</v>
      </c>
      <c r="EF467" s="14">
        <v>0.083</v>
      </c>
      <c r="EG467" s="14">
        <v>0.333</v>
      </c>
      <c r="EH467" s="14">
        <v>0.153</v>
      </c>
    </row>
    <row r="468">
      <c r="A468" s="9">
        <f t="shared" si="2"/>
        <v>466</v>
      </c>
      <c r="B468" s="22" t="s">
        <v>602</v>
      </c>
      <c r="C468" s="11">
        <v>2750000.0</v>
      </c>
      <c r="D468" s="11">
        <v>2690000.0</v>
      </c>
      <c r="E468" s="11">
        <v>2910000.0</v>
      </c>
      <c r="F468" s="11">
        <v>2950000.0</v>
      </c>
      <c r="G468" s="11">
        <v>3470000.0</v>
      </c>
      <c r="H468" s="11">
        <v>4010000.0</v>
      </c>
      <c r="I468" s="11">
        <v>3270000.0</v>
      </c>
      <c r="J468" s="11">
        <v>1350000.0</v>
      </c>
      <c r="K468" s="11">
        <v>1350000.0</v>
      </c>
      <c r="L468" s="11">
        <v>1250000.0</v>
      </c>
      <c r="M468" s="11">
        <v>1380000.0</v>
      </c>
      <c r="N468" s="11">
        <v>1190000.0</v>
      </c>
      <c r="O468" s="11">
        <v>763150.0</v>
      </c>
      <c r="P468" s="11">
        <v>783280.0</v>
      </c>
      <c r="Q468" s="11">
        <v>763400.0</v>
      </c>
      <c r="R468" s="11">
        <v>920600.0</v>
      </c>
      <c r="S468" s="11">
        <v>778000.0</v>
      </c>
      <c r="T468" s="11">
        <v>130730.0</v>
      </c>
      <c r="U468" s="11">
        <v>185830.0</v>
      </c>
      <c r="V468" s="11">
        <v>172070.0</v>
      </c>
      <c r="W468" s="11">
        <v>183370.0</v>
      </c>
      <c r="X468" s="11">
        <v>102200.0</v>
      </c>
      <c r="Y468" s="11">
        <v>210510.0</v>
      </c>
      <c r="Z468" s="11">
        <v>-469130.0</v>
      </c>
      <c r="AA468" s="11">
        <v>-1010000.0</v>
      </c>
      <c r="AB468" s="11">
        <v>-3470000.0</v>
      </c>
      <c r="AC468" s="11">
        <v>-1010000.0</v>
      </c>
      <c r="AD468" s="11">
        <v>-344900.0</v>
      </c>
      <c r="AE468" s="11">
        <v>-938830.0</v>
      </c>
      <c r="AF468" s="11">
        <v>-1480000.0</v>
      </c>
      <c r="AG468" s="11">
        <v>-3920000.0</v>
      </c>
      <c r="AH468" s="11">
        <v>-1440000.0</v>
      </c>
      <c r="AI468" s="11">
        <v>1190000.0</v>
      </c>
      <c r="AJ468" s="11">
        <v>1290000.0</v>
      </c>
      <c r="AK468" s="11">
        <v>1470000.0</v>
      </c>
      <c r="AL468" s="11">
        <v>1440000.0</v>
      </c>
      <c r="AM468" s="11">
        <v>1040000.0</v>
      </c>
      <c r="AN468" s="11">
        <v>-360580.0</v>
      </c>
      <c r="AO468" s="11">
        <v>-961770.0</v>
      </c>
      <c r="AP468" s="11">
        <v>-1230000.0</v>
      </c>
      <c r="AQ468" s="11">
        <v>-3220000.0</v>
      </c>
      <c r="AR468" s="11">
        <v>-300120.0</v>
      </c>
      <c r="AS468" s="11">
        <v>98050.0</v>
      </c>
      <c r="AT468" s="11">
        <v>267270.0</v>
      </c>
      <c r="AU468" s="11">
        <v>553990.0</v>
      </c>
      <c r="AV468" s="11">
        <v>524440.0</v>
      </c>
      <c r="AW468" s="11">
        <v>62030.0</v>
      </c>
      <c r="AX468" s="11">
        <v>-67690.0</v>
      </c>
      <c r="AY468" s="11">
        <v>-86400.0</v>
      </c>
      <c r="AZ468" s="11">
        <v>-125650.0</v>
      </c>
      <c r="BA468" s="11">
        <v>-158060.0</v>
      </c>
      <c r="BB468" s="11">
        <v>-125740.0</v>
      </c>
      <c r="BC468" s="12"/>
      <c r="BD468" s="12"/>
      <c r="BE468" s="12"/>
      <c r="BF468" s="12"/>
      <c r="BG468" s="12"/>
      <c r="BH468" s="11">
        <v>1700000.0</v>
      </c>
      <c r="BI468" s="11">
        <v>1450000.0</v>
      </c>
      <c r="BJ468" s="11">
        <v>1310000.0</v>
      </c>
      <c r="BK468" s="11">
        <v>799320.0</v>
      </c>
      <c r="BL468" s="11">
        <v>857760.0</v>
      </c>
      <c r="BM468" s="11">
        <v>515520.0</v>
      </c>
      <c r="BN468" s="11">
        <v>510350.0</v>
      </c>
      <c r="BO468" s="11">
        <v>529480.0</v>
      </c>
      <c r="BP468" s="11">
        <v>1040000.0</v>
      </c>
      <c r="BQ468" s="11">
        <v>1730000.0</v>
      </c>
      <c r="BR468" s="11">
        <v>327870.0</v>
      </c>
      <c r="BS468" s="11">
        <v>322180.0</v>
      </c>
      <c r="BT468" s="11">
        <v>391440.0</v>
      </c>
      <c r="BU468" s="11">
        <v>555670.0</v>
      </c>
      <c r="BV468" s="11">
        <v>744670.0</v>
      </c>
      <c r="BW468" s="11">
        <v>2590000.0</v>
      </c>
      <c r="BX468" s="11">
        <v>2340000.0</v>
      </c>
      <c r="BY468" s="11">
        <v>2270000.0</v>
      </c>
      <c r="BZ468" s="11">
        <v>2560000.0</v>
      </c>
      <c r="CA468" s="11">
        <v>3480000.0</v>
      </c>
      <c r="CB468" s="11">
        <v>556570.0</v>
      </c>
      <c r="CC468" s="11">
        <v>498890.0</v>
      </c>
      <c r="CD468" s="11">
        <v>523970.0</v>
      </c>
      <c r="CE468" s="11">
        <v>669600.0</v>
      </c>
      <c r="CF468" s="11">
        <v>670570.0</v>
      </c>
      <c r="CG468" s="11">
        <v>3600000.0</v>
      </c>
      <c r="CH468" s="11">
        <v>3760000.0</v>
      </c>
      <c r="CI468" s="11">
        <v>4450000.0</v>
      </c>
      <c r="CJ468" s="11">
        <v>4730000.0</v>
      </c>
      <c r="CK468" s="11">
        <v>7300000.0</v>
      </c>
      <c r="CL468" s="11">
        <v>9390000.0</v>
      </c>
      <c r="CM468" s="11">
        <v>1.013E7</v>
      </c>
      <c r="CN468" s="11">
        <v>1.164E7</v>
      </c>
      <c r="CO468" s="11">
        <v>1.428E7</v>
      </c>
      <c r="CP468" s="11">
        <v>1.935E7</v>
      </c>
      <c r="CQ468" s="11">
        <v>101530.0</v>
      </c>
      <c r="CR468" s="11">
        <v>96020.0</v>
      </c>
      <c r="CS468" s="11">
        <v>85350.0</v>
      </c>
      <c r="CT468" s="11">
        <v>126710.0</v>
      </c>
      <c r="CU468" s="11">
        <v>344270.0</v>
      </c>
      <c r="CV468" s="11">
        <v>1460000.0</v>
      </c>
      <c r="CW468" s="11">
        <v>10760.0</v>
      </c>
      <c r="CX468" s="12"/>
      <c r="CY468" s="12"/>
      <c r="CZ468" s="12"/>
      <c r="DA468" s="12"/>
      <c r="DB468" s="11">
        <v>1460000.0</v>
      </c>
      <c r="DC468" s="11">
        <v>1950000.0</v>
      </c>
      <c r="DD468" s="11">
        <v>2220000.0</v>
      </c>
      <c r="DE468" s="11">
        <v>2630000.0</v>
      </c>
      <c r="DF468" s="11">
        <v>1.026E7</v>
      </c>
      <c r="DG468" s="11">
        <v>1.063E7</v>
      </c>
      <c r="DH468" s="11">
        <v>1.115E7</v>
      </c>
      <c r="DI468" s="11">
        <v>1.157E7</v>
      </c>
      <c r="DJ468" s="11">
        <v>1.338E7</v>
      </c>
      <c r="DK468" s="11">
        <v>18400.0</v>
      </c>
      <c r="DL468" s="11">
        <v>738.0</v>
      </c>
      <c r="DM468" s="11">
        <v>1460.0</v>
      </c>
      <c r="DN468" s="11">
        <v>11370.0</v>
      </c>
      <c r="DO468" s="11">
        <v>19060.0</v>
      </c>
      <c r="DP468" s="11">
        <v>8440000.0</v>
      </c>
      <c r="DQ468" s="11">
        <v>8220000.0</v>
      </c>
      <c r="DR468" s="11">
        <v>8240000.0</v>
      </c>
      <c r="DS468" s="11">
        <v>8140000.0</v>
      </c>
      <c r="DT468" s="11">
        <v>8250000.0</v>
      </c>
      <c r="DU468" s="13"/>
      <c r="DV468" s="12"/>
      <c r="DW468" s="12"/>
      <c r="DX468" s="13"/>
      <c r="DY468" s="13"/>
      <c r="DZ468" s="11">
        <v>-866540.0</v>
      </c>
      <c r="EA468" s="11">
        <v>-498280.0</v>
      </c>
      <c r="EB468" s="11">
        <v>484880.0</v>
      </c>
      <c r="EC468" s="11">
        <v>2700000.0</v>
      </c>
      <c r="ED468" s="11">
        <v>5970000.0</v>
      </c>
      <c r="EE468" s="14">
        <v>0.041</v>
      </c>
      <c r="EF468" s="14">
        <v>0.095</v>
      </c>
      <c r="EG468" s="14">
        <v>0.912</v>
      </c>
      <c r="EH468" s="14">
        <v>0.517</v>
      </c>
    </row>
    <row r="469">
      <c r="A469" s="9">
        <f t="shared" si="2"/>
        <v>467</v>
      </c>
      <c r="B469" s="25" t="s">
        <v>603</v>
      </c>
      <c r="C469" s="15">
        <v>1040000.0</v>
      </c>
      <c r="D469" s="15">
        <v>711400.0</v>
      </c>
      <c r="E469" s="15">
        <v>624330.0</v>
      </c>
      <c r="F469" s="15">
        <v>316160.0</v>
      </c>
      <c r="G469" s="15">
        <v>286170.0</v>
      </c>
      <c r="H469" s="15">
        <v>322590.0</v>
      </c>
      <c r="I469" s="15">
        <v>357250.0</v>
      </c>
      <c r="J469" s="15">
        <v>221250.0</v>
      </c>
      <c r="K469" s="15">
        <v>94450.0</v>
      </c>
      <c r="L469" s="15">
        <v>56040.0</v>
      </c>
      <c r="M469" s="15">
        <v>58010.0</v>
      </c>
      <c r="N469" s="15">
        <v>108220.0</v>
      </c>
      <c r="O469" s="15">
        <v>115920.0</v>
      </c>
      <c r="P469" s="15">
        <v>87920.0</v>
      </c>
      <c r="Q469" s="15">
        <v>78500.0</v>
      </c>
      <c r="R469" s="15">
        <v>116930.0</v>
      </c>
      <c r="S469" s="15">
        <v>129350.0</v>
      </c>
      <c r="T469" s="15">
        <v>40380.0</v>
      </c>
      <c r="U469" s="15">
        <v>32590.0</v>
      </c>
      <c r="V469" s="15">
        <v>33160.0</v>
      </c>
      <c r="W469" s="15">
        <v>50700.0</v>
      </c>
      <c r="X469" s="15">
        <v>50820.0</v>
      </c>
      <c r="Y469" s="15">
        <v>102730.0</v>
      </c>
      <c r="Z469" s="15">
        <v>1600.0</v>
      </c>
      <c r="AA469" s="15">
        <v>-40180.0</v>
      </c>
      <c r="AB469" s="15">
        <v>-62600.0</v>
      </c>
      <c r="AC469" s="15">
        <v>-19010.0</v>
      </c>
      <c r="AD469" s="15">
        <v>90110.0</v>
      </c>
      <c r="AE469" s="15">
        <v>-10230.0</v>
      </c>
      <c r="AF469" s="15">
        <v>-45340.0</v>
      </c>
      <c r="AG469" s="15">
        <v>-65990.0</v>
      </c>
      <c r="AH469" s="15">
        <v>-20700.0</v>
      </c>
      <c r="AI469" s="15">
        <v>119450.0</v>
      </c>
      <c r="AJ469" s="15">
        <v>16190.0</v>
      </c>
      <c r="AK469" s="15">
        <v>-13460.0</v>
      </c>
      <c r="AL469" s="15">
        <v>-48290.0</v>
      </c>
      <c r="AM469" s="15">
        <v>-10600.0</v>
      </c>
      <c r="AN469" s="15">
        <v>161150.0</v>
      </c>
      <c r="AO469" s="15">
        <v>-11630.0</v>
      </c>
      <c r="AP469" s="15">
        <v>-45190.0</v>
      </c>
      <c r="AQ469" s="15">
        <v>-67460.0</v>
      </c>
      <c r="AR469" s="15">
        <v>-22080.0</v>
      </c>
      <c r="AS469" s="15">
        <v>139070.0</v>
      </c>
      <c r="AT469" s="15">
        <v>16130.0</v>
      </c>
      <c r="AU469" s="15">
        <v>-28440.0</v>
      </c>
      <c r="AV469" s="15">
        <v>-32950.0</v>
      </c>
      <c r="AW469" s="15">
        <v>-21310.0</v>
      </c>
      <c r="AX469" s="15">
        <v>-14790.0</v>
      </c>
      <c r="AY469" s="15">
        <v>-4150.0</v>
      </c>
      <c r="AZ469" s="15">
        <v>-4120.0</v>
      </c>
      <c r="BA469" s="15">
        <v>-12850.0</v>
      </c>
      <c r="BB469" s="15">
        <v>-12760.0</v>
      </c>
      <c r="BC469" s="15">
        <v>0.0</v>
      </c>
      <c r="BD469" s="15">
        <v>0.0</v>
      </c>
      <c r="BE469" s="15">
        <v>0.0</v>
      </c>
      <c r="BF469" s="15">
        <v>0.0</v>
      </c>
      <c r="BG469" s="15">
        <v>0.0</v>
      </c>
      <c r="BH469" s="15">
        <v>296110.0</v>
      </c>
      <c r="BI469" s="15">
        <v>106240.0</v>
      </c>
      <c r="BJ469" s="15">
        <v>29140.0</v>
      </c>
      <c r="BK469" s="15">
        <v>17760.0</v>
      </c>
      <c r="BL469" s="15">
        <v>28450.0</v>
      </c>
      <c r="BM469" s="15">
        <v>160470.0</v>
      </c>
      <c r="BN469" s="15">
        <v>78940.0</v>
      </c>
      <c r="BO469" s="15">
        <v>65350.0</v>
      </c>
      <c r="BP469" s="15">
        <v>61020.0</v>
      </c>
      <c r="BQ469" s="15">
        <v>46100.0</v>
      </c>
      <c r="BR469" s="15">
        <v>32060.0</v>
      </c>
      <c r="BS469" s="15">
        <v>16270.0</v>
      </c>
      <c r="BT469" s="15">
        <v>26000.0</v>
      </c>
      <c r="BU469" s="15">
        <v>31960.0</v>
      </c>
      <c r="BV469" s="15">
        <v>40800.0</v>
      </c>
      <c r="BW469" s="15">
        <v>499660.0</v>
      </c>
      <c r="BX469" s="15">
        <v>222300.0</v>
      </c>
      <c r="BY469" s="15">
        <v>130450.0</v>
      </c>
      <c r="BZ469" s="15">
        <v>117860.0</v>
      </c>
      <c r="CA469" s="15">
        <v>121770.0</v>
      </c>
      <c r="CB469" s="15">
        <v>39050.0</v>
      </c>
      <c r="CC469" s="15">
        <v>21000.0</v>
      </c>
      <c r="CD469" s="15">
        <v>26480.0</v>
      </c>
      <c r="CE469" s="15">
        <v>31440.0</v>
      </c>
      <c r="CF469" s="15">
        <v>32120.0</v>
      </c>
      <c r="CG469" s="15">
        <v>24780.0</v>
      </c>
      <c r="CH469" s="15">
        <v>24780.0</v>
      </c>
      <c r="CI469" s="15">
        <v>3660.0</v>
      </c>
      <c r="CJ469" s="15">
        <v>3660.0</v>
      </c>
      <c r="CK469" s="15">
        <v>3750.0</v>
      </c>
      <c r="CL469" s="15">
        <v>713220.0</v>
      </c>
      <c r="CM469" s="15">
        <v>339940.0</v>
      </c>
      <c r="CN469" s="15">
        <v>169150.0</v>
      </c>
      <c r="CO469" s="15">
        <v>163580.0</v>
      </c>
      <c r="CP469" s="15">
        <v>165530.0</v>
      </c>
      <c r="CQ469" s="15">
        <v>57470.0</v>
      </c>
      <c r="CR469" s="15">
        <v>48790.0</v>
      </c>
      <c r="CS469" s="15">
        <v>28750.0</v>
      </c>
      <c r="CT469" s="15">
        <v>31700.0</v>
      </c>
      <c r="CU469" s="15">
        <v>25570.0</v>
      </c>
      <c r="CV469" s="15">
        <v>199310.0</v>
      </c>
      <c r="CW469" s="15">
        <v>3170.0</v>
      </c>
      <c r="CX469" s="15">
        <v>0.0</v>
      </c>
      <c r="CY469" s="15">
        <v>0.0</v>
      </c>
      <c r="CZ469" s="15">
        <v>10100.0</v>
      </c>
      <c r="DA469" s="15">
        <v>17000.0</v>
      </c>
      <c r="DB469" s="15">
        <v>199310.0</v>
      </c>
      <c r="DC469" s="15">
        <v>147160.0</v>
      </c>
      <c r="DD469" s="15">
        <v>91740.0</v>
      </c>
      <c r="DE469" s="15">
        <v>82770.0</v>
      </c>
      <c r="DF469" s="15">
        <v>441010.0</v>
      </c>
      <c r="DG469" s="15">
        <v>332160.0</v>
      </c>
      <c r="DH469" s="15">
        <v>178270.0</v>
      </c>
      <c r="DI469" s="15">
        <v>162280.0</v>
      </c>
      <c r="DJ469" s="15">
        <v>124080.0</v>
      </c>
      <c r="DK469" s="15">
        <v>0.0</v>
      </c>
      <c r="DL469" s="15">
        <v>0.0</v>
      </c>
      <c r="DM469" s="15">
        <v>0.0</v>
      </c>
      <c r="DN469" s="15">
        <v>0.0</v>
      </c>
      <c r="DO469" s="15">
        <v>0.0</v>
      </c>
      <c r="DP469" s="15">
        <v>112200.0</v>
      </c>
      <c r="DQ469" s="15">
        <v>81630.0</v>
      </c>
      <c r="DR469" s="15">
        <v>32320.0</v>
      </c>
      <c r="DS469" s="15">
        <v>20770.0</v>
      </c>
      <c r="DT469" s="15">
        <v>0.0</v>
      </c>
      <c r="DU469" s="16">
        <v>0.0</v>
      </c>
      <c r="DV469" s="15">
        <v>0.0</v>
      </c>
      <c r="DW469" s="15">
        <v>0.0</v>
      </c>
      <c r="DX469" s="15">
        <v>0.0</v>
      </c>
      <c r="DY469" s="15">
        <v>0.0</v>
      </c>
      <c r="DZ469" s="15">
        <v>272210.0</v>
      </c>
      <c r="EA469" s="15">
        <v>7780.0</v>
      </c>
      <c r="EB469" s="15">
        <v>-9130.0</v>
      </c>
      <c r="EC469" s="15">
        <v>1300.0</v>
      </c>
      <c r="ED469" s="15">
        <v>41450.0</v>
      </c>
      <c r="EE469" s="17">
        <v>0.245</v>
      </c>
      <c r="EF469" s="17">
        <v>0.471</v>
      </c>
      <c r="EG469" s="17">
        <v>0.188</v>
      </c>
      <c r="EH469" s="17">
        <v>0.239</v>
      </c>
    </row>
    <row r="470">
      <c r="A470" s="9">
        <f t="shared" si="2"/>
        <v>468</v>
      </c>
      <c r="B470" s="25" t="s">
        <v>604</v>
      </c>
      <c r="C470" s="15">
        <v>2770000.0</v>
      </c>
      <c r="D470" s="15">
        <v>2720000.0</v>
      </c>
      <c r="E470" s="15">
        <v>2490000.0</v>
      </c>
      <c r="F470" s="15">
        <v>1800000.0</v>
      </c>
      <c r="G470" s="15">
        <v>1760000.0</v>
      </c>
      <c r="H470" s="15">
        <v>1630000.0</v>
      </c>
      <c r="I470" s="15">
        <v>1630000.0</v>
      </c>
      <c r="J470" s="15">
        <v>1020000.0</v>
      </c>
      <c r="K470" s="15">
        <v>819400.0</v>
      </c>
      <c r="L470" s="15">
        <v>800100.0</v>
      </c>
      <c r="M470" s="15">
        <v>712400.0</v>
      </c>
      <c r="N470" s="15">
        <v>759600.0</v>
      </c>
      <c r="O470" s="15">
        <v>592400.0</v>
      </c>
      <c r="P470" s="15">
        <v>494100.0</v>
      </c>
      <c r="Q470" s="15">
        <v>499400.0</v>
      </c>
      <c r="R470" s="15">
        <v>461600.0</v>
      </c>
      <c r="S470" s="15">
        <v>484000.0</v>
      </c>
      <c r="T470" s="15">
        <v>31700.0</v>
      </c>
      <c r="U470" s="15">
        <v>22400.0</v>
      </c>
      <c r="V470" s="15">
        <v>22000.0</v>
      </c>
      <c r="W470" s="15">
        <v>26600.0</v>
      </c>
      <c r="X470" s="15">
        <v>24900.0</v>
      </c>
      <c r="Y470" s="15">
        <v>231700.0</v>
      </c>
      <c r="Z470" s="15">
        <v>271700.0</v>
      </c>
      <c r="AA470" s="15">
        <v>2400.0</v>
      </c>
      <c r="AB470" s="15">
        <v>219300.0</v>
      </c>
      <c r="AC470" s="15">
        <v>34300.0</v>
      </c>
      <c r="AD470" s="15">
        <v>73100.0</v>
      </c>
      <c r="AE470" s="15">
        <v>175200.0</v>
      </c>
      <c r="AF470" s="15">
        <v>273300.0</v>
      </c>
      <c r="AG470" s="15">
        <v>165700.0</v>
      </c>
      <c r="AH470" s="15">
        <v>-700.0</v>
      </c>
      <c r="AI470" s="15">
        <v>523400.0</v>
      </c>
      <c r="AJ470" s="15">
        <v>370400.0</v>
      </c>
      <c r="AK470" s="15">
        <v>350900.0</v>
      </c>
      <c r="AL470" s="15">
        <v>285100.0</v>
      </c>
      <c r="AM470" s="15">
        <v>317400.0</v>
      </c>
      <c r="AN470" s="15">
        <v>64700.0</v>
      </c>
      <c r="AO470" s="15">
        <v>93500.0</v>
      </c>
      <c r="AP470" s="15">
        <v>201500.0</v>
      </c>
      <c r="AQ470" s="15">
        <v>127700.0</v>
      </c>
      <c r="AR470" s="15">
        <v>-4000.0</v>
      </c>
      <c r="AS470" s="15">
        <v>149500.0</v>
      </c>
      <c r="AT470" s="15">
        <v>228700.0</v>
      </c>
      <c r="AU470" s="15">
        <v>196400.0</v>
      </c>
      <c r="AV470" s="15">
        <v>193900.0</v>
      </c>
      <c r="AW470" s="15">
        <v>161800.0</v>
      </c>
      <c r="AX470" s="15">
        <v>-55100.0</v>
      </c>
      <c r="AY470" s="15">
        <v>-24200.0</v>
      </c>
      <c r="AZ470" s="15">
        <v>-25200.0</v>
      </c>
      <c r="BA470" s="15">
        <v>-28700.0</v>
      </c>
      <c r="BB470" s="15">
        <v>-40400.0</v>
      </c>
      <c r="BC470" s="15">
        <v>-91000.0</v>
      </c>
      <c r="BD470" s="15">
        <v>-70000.0</v>
      </c>
      <c r="BE470" s="15">
        <v>-69100.0</v>
      </c>
      <c r="BF470" s="15">
        <v>-62700.0</v>
      </c>
      <c r="BG470" s="15">
        <v>-15500.0</v>
      </c>
      <c r="BH470" s="15">
        <v>258500.0</v>
      </c>
      <c r="BI470" s="15">
        <v>522100.0</v>
      </c>
      <c r="BJ470" s="15">
        <v>378000.0</v>
      </c>
      <c r="BK470" s="15">
        <v>287300.0</v>
      </c>
      <c r="BL470" s="15">
        <v>502100.0</v>
      </c>
      <c r="BM470" s="15">
        <v>379800.0</v>
      </c>
      <c r="BN470" s="15">
        <v>261100.0</v>
      </c>
      <c r="BO470" s="15">
        <v>267300.0</v>
      </c>
      <c r="BP470" s="15">
        <v>241500.0</v>
      </c>
      <c r="BQ470" s="15">
        <v>240100.0</v>
      </c>
      <c r="BR470" s="15">
        <v>469300.0</v>
      </c>
      <c r="BS470" s="15">
        <v>323100.0</v>
      </c>
      <c r="BT470" s="15">
        <v>317100.0</v>
      </c>
      <c r="BU470" s="15">
        <v>289200.0</v>
      </c>
      <c r="BV470" s="15">
        <v>275900.0</v>
      </c>
      <c r="BW470" s="15">
        <v>2040000.0</v>
      </c>
      <c r="BX470" s="15">
        <v>1170000.0</v>
      </c>
      <c r="BY470" s="15">
        <v>1020000.0</v>
      </c>
      <c r="BZ470" s="15">
        <v>889500.0</v>
      </c>
      <c r="CA470" s="15">
        <v>1130000.0</v>
      </c>
      <c r="CB470" s="15">
        <v>362000.0</v>
      </c>
      <c r="CC470" s="15">
        <v>166700.0</v>
      </c>
      <c r="CD470" s="15">
        <v>176500.0</v>
      </c>
      <c r="CE470" s="15">
        <v>201700.0</v>
      </c>
      <c r="CF470" s="15">
        <v>205600.0</v>
      </c>
      <c r="CG470" s="15">
        <v>1000000.0</v>
      </c>
      <c r="CH470" s="15">
        <v>244200.0</v>
      </c>
      <c r="CI470" s="15">
        <v>230000.0</v>
      </c>
      <c r="CJ470" s="15">
        <v>229700.0</v>
      </c>
      <c r="CK470" s="15">
        <v>38100.0</v>
      </c>
      <c r="CL470" s="15">
        <v>5450000.0</v>
      </c>
      <c r="CM470" s="15">
        <v>3180000.0</v>
      </c>
      <c r="CN470" s="15">
        <v>1820000.0</v>
      </c>
      <c r="CO470" s="15">
        <v>1730000.0</v>
      </c>
      <c r="CP470" s="15">
        <v>1630000.0</v>
      </c>
      <c r="CQ470" s="15">
        <v>299000.0</v>
      </c>
      <c r="CR470" s="15">
        <v>228900.0</v>
      </c>
      <c r="CS470" s="15">
        <v>219300.0</v>
      </c>
      <c r="CT470" s="15">
        <v>217000.0</v>
      </c>
      <c r="CU470" s="15">
        <v>167000.0</v>
      </c>
      <c r="CV470" s="15">
        <v>1070000.0</v>
      </c>
      <c r="CW470" s="15">
        <v>31900.0</v>
      </c>
      <c r="CX470" s="15">
        <v>247300.0</v>
      </c>
      <c r="CY470" s="15">
        <v>104100.0</v>
      </c>
      <c r="CZ470" s="15">
        <v>57400.0</v>
      </c>
      <c r="DA470" s="15">
        <v>5200.0</v>
      </c>
      <c r="DB470" s="15">
        <v>1070000.0</v>
      </c>
      <c r="DC470" s="15">
        <v>751200.0</v>
      </c>
      <c r="DD470" s="15">
        <v>582000.0</v>
      </c>
      <c r="DE470" s="15">
        <v>533100.0</v>
      </c>
      <c r="DF470" s="15">
        <v>4910000.0</v>
      </c>
      <c r="DG470" s="15">
        <v>3150000.0</v>
      </c>
      <c r="DH470" s="15">
        <v>1740000.0</v>
      </c>
      <c r="DI470" s="15">
        <v>1760000.0</v>
      </c>
      <c r="DJ470" s="15">
        <v>1690000.0</v>
      </c>
      <c r="DK470" s="15"/>
      <c r="DL470" s="15">
        <v>1250000.0</v>
      </c>
      <c r="DM470" s="15"/>
      <c r="DN470" s="15"/>
      <c r="DO470" s="15"/>
      <c r="DP470" s="15">
        <v>3460000.0</v>
      </c>
      <c r="DQ470" s="15">
        <v>2210000.0</v>
      </c>
      <c r="DR470" s="15">
        <v>978500.0</v>
      </c>
      <c r="DS470" s="15">
        <v>981700.0</v>
      </c>
      <c r="DT470" s="15">
        <v>995000.0</v>
      </c>
      <c r="DU470" s="13"/>
      <c r="DV470" s="12"/>
      <c r="DW470" s="12"/>
      <c r="DX470" s="13"/>
      <c r="DY470" s="13"/>
      <c r="DZ470" s="15">
        <v>543800.0</v>
      </c>
      <c r="EA470" s="15">
        <v>24500.0</v>
      </c>
      <c r="EB470" s="15">
        <v>85100.0</v>
      </c>
      <c r="EC470" s="15">
        <v>-30000.0</v>
      </c>
      <c r="ED470" s="15">
        <v>-60100.0</v>
      </c>
      <c r="EE470" s="17">
        <v>0.004</v>
      </c>
      <c r="EF470" s="17">
        <v>0.025</v>
      </c>
      <c r="EG470" s="17">
        <v>-0.138</v>
      </c>
      <c r="EH470" s="17">
        <v>-0.024</v>
      </c>
    </row>
    <row r="471">
      <c r="A471" s="9">
        <f t="shared" si="2"/>
        <v>469</v>
      </c>
      <c r="B471" s="10" t="s">
        <v>605</v>
      </c>
      <c r="C471" s="15">
        <v>659500.0</v>
      </c>
      <c r="D471" s="15">
        <v>604130.0</v>
      </c>
      <c r="E471" s="15">
        <v>656880.0</v>
      </c>
      <c r="F471" s="15">
        <v>647090.0</v>
      </c>
      <c r="G471" s="15">
        <v>619470.0</v>
      </c>
      <c r="H471" s="15">
        <v>529760.0</v>
      </c>
      <c r="I471" s="15">
        <v>426030.0</v>
      </c>
      <c r="J471" s="15">
        <v>85010.0</v>
      </c>
      <c r="K471" s="15">
        <v>79290.0</v>
      </c>
      <c r="L471" s="15">
        <v>96690.0</v>
      </c>
      <c r="M471" s="15">
        <v>117980.0</v>
      </c>
      <c r="N471" s="15">
        <v>113390.0</v>
      </c>
      <c r="O471" s="15">
        <v>145250.0</v>
      </c>
      <c r="P471" s="15">
        <v>185660.0</v>
      </c>
      <c r="Q471" s="15">
        <v>208060.0</v>
      </c>
      <c r="R471" s="15">
        <v>170000.0</v>
      </c>
      <c r="S471" s="15">
        <v>117540.0</v>
      </c>
      <c r="T471" s="15">
        <v>23470.0</v>
      </c>
      <c r="U471" s="15">
        <v>29480.0</v>
      </c>
      <c r="V471" s="15">
        <v>32130.0</v>
      </c>
      <c r="W471" s="15">
        <v>32330.0</v>
      </c>
      <c r="X471" s="15">
        <v>27170.0</v>
      </c>
      <c r="Y471" s="15">
        <v>-63680.0</v>
      </c>
      <c r="Z471" s="15">
        <v>-109990.0</v>
      </c>
      <c r="AA471" s="15">
        <v>-290690.0</v>
      </c>
      <c r="AB471" s="15">
        <v>-138050.0</v>
      </c>
      <c r="AC471" s="15">
        <v>7280.0</v>
      </c>
      <c r="AD471" s="15">
        <v>-143920.0</v>
      </c>
      <c r="AE471" s="15">
        <v>-233530.0</v>
      </c>
      <c r="AF471" s="15">
        <v>-362000.0</v>
      </c>
      <c r="AG471" s="15">
        <v>-157840.0</v>
      </c>
      <c r="AH471" s="15">
        <v>0.0</v>
      </c>
      <c r="AI471" s="15">
        <v>38030.0</v>
      </c>
      <c r="AJ471" s="15">
        <v>5660.0</v>
      </c>
      <c r="AK471" s="15">
        <v>-5100.0</v>
      </c>
      <c r="AL471" s="15">
        <v>20070.0</v>
      </c>
      <c r="AM471" s="15">
        <v>32290.0</v>
      </c>
      <c r="AN471" s="15">
        <v>-153440.0</v>
      </c>
      <c r="AO471" s="15">
        <v>-236600.0</v>
      </c>
      <c r="AP471" s="15">
        <v>-357110.0</v>
      </c>
      <c r="AQ471" s="15">
        <v>-112930.0</v>
      </c>
      <c r="AR471" s="15">
        <v>-2130.0</v>
      </c>
      <c r="AS471" s="15">
        <v>-8900.0</v>
      </c>
      <c r="AT471" s="15">
        <v>-74110.0</v>
      </c>
      <c r="AU471" s="15">
        <v>-52050.0</v>
      </c>
      <c r="AV471" s="15">
        <v>-39300.0</v>
      </c>
      <c r="AW471" s="15">
        <v>22580.0</v>
      </c>
      <c r="AX471" s="15">
        <v>-20290.0</v>
      </c>
      <c r="AY471" s="15">
        <v>-43450.0</v>
      </c>
      <c r="AZ471" s="15">
        <v>-74990.0</v>
      </c>
      <c r="BA471" s="15">
        <v>-54170.0</v>
      </c>
      <c r="BB471" s="15">
        <v>-20650.0</v>
      </c>
      <c r="BC471" s="16">
        <v>0.0</v>
      </c>
      <c r="BD471" s="16">
        <v>0.0</v>
      </c>
      <c r="BE471" s="16">
        <v>0.0</v>
      </c>
      <c r="BF471" s="16">
        <v>0.0</v>
      </c>
      <c r="BG471" s="16">
        <v>0.0</v>
      </c>
      <c r="BH471" s="15">
        <v>24460.0</v>
      </c>
      <c r="BI471" s="15">
        <v>39960.0</v>
      </c>
      <c r="BJ471" s="15">
        <v>51870.0</v>
      </c>
      <c r="BK471" s="15">
        <v>68680.0</v>
      </c>
      <c r="BL471" s="15">
        <v>225840.0</v>
      </c>
      <c r="BM471" s="15">
        <v>88220.0</v>
      </c>
      <c r="BN471" s="15">
        <v>101720.0</v>
      </c>
      <c r="BO471" s="15">
        <v>113550.0</v>
      </c>
      <c r="BP471" s="15">
        <v>120490.0</v>
      </c>
      <c r="BQ471" s="15">
        <v>93450.0</v>
      </c>
      <c r="BR471" s="15">
        <v>26700.0</v>
      </c>
      <c r="BS471" s="15">
        <v>34650.0</v>
      </c>
      <c r="BT471" s="15">
        <v>28350.0</v>
      </c>
      <c r="BU471" s="15">
        <v>25990.0</v>
      </c>
      <c r="BV471" s="15">
        <v>15000.0</v>
      </c>
      <c r="BW471" s="15">
        <v>158970.0</v>
      </c>
      <c r="BX471" s="15">
        <v>191830.0</v>
      </c>
      <c r="BY471" s="15">
        <v>228170.0</v>
      </c>
      <c r="BZ471" s="15">
        <v>253600.0</v>
      </c>
      <c r="CA471" s="15">
        <v>359210.0</v>
      </c>
      <c r="CB471" s="15">
        <v>184480.0</v>
      </c>
      <c r="CC471" s="15">
        <v>176580.0</v>
      </c>
      <c r="CD471" s="15">
        <v>195030.0</v>
      </c>
      <c r="CE471" s="15">
        <v>166050.0</v>
      </c>
      <c r="CF471" s="15">
        <v>39070.0</v>
      </c>
      <c r="CG471" s="15">
        <v>159610.0</v>
      </c>
      <c r="CH471" s="15">
        <v>159560.0</v>
      </c>
      <c r="CI471" s="15">
        <v>159700.0</v>
      </c>
      <c r="CJ471" s="15">
        <v>327840.0</v>
      </c>
      <c r="CK471" s="15">
        <v>93800.0</v>
      </c>
      <c r="CL471" s="15">
        <v>669180.0</v>
      </c>
      <c r="CM471" s="15">
        <v>717680.0</v>
      </c>
      <c r="CN471" s="15">
        <v>861160.0</v>
      </c>
      <c r="CO471" s="15">
        <v>1100000.0</v>
      </c>
      <c r="CP471" s="15">
        <v>638390.0</v>
      </c>
      <c r="CQ471" s="15">
        <v>137090.0</v>
      </c>
      <c r="CR471" s="15">
        <v>135050.0</v>
      </c>
      <c r="CS471" s="15">
        <v>140070.0</v>
      </c>
      <c r="CT471" s="15">
        <v>120570.0</v>
      </c>
      <c r="CU471" s="15">
        <v>84770.0</v>
      </c>
      <c r="CV471" s="15">
        <v>222330.0</v>
      </c>
      <c r="CW471" s="15">
        <v>8320.0</v>
      </c>
      <c r="CX471" s="15">
        <v>0.0</v>
      </c>
      <c r="CY471" s="16">
        <v>0.0</v>
      </c>
      <c r="CZ471" s="16">
        <v>0.0</v>
      </c>
      <c r="DA471" s="15">
        <v>0.0</v>
      </c>
      <c r="DB471" s="15">
        <v>222330.0</v>
      </c>
      <c r="DC471" s="15">
        <v>212190.0</v>
      </c>
      <c r="DD471" s="15">
        <v>239440.0</v>
      </c>
      <c r="DE471" s="15">
        <v>261140.0</v>
      </c>
      <c r="DF471" s="15">
        <v>1040000.0</v>
      </c>
      <c r="DG471" s="15">
        <v>943420.0</v>
      </c>
      <c r="DH471" s="15">
        <v>886060.0</v>
      </c>
      <c r="DI471" s="15">
        <v>800440.0</v>
      </c>
      <c r="DJ471" s="15">
        <v>284100.0</v>
      </c>
      <c r="DK471" s="15">
        <v>78890.0</v>
      </c>
      <c r="DL471" s="15">
        <v>83140.0</v>
      </c>
      <c r="DM471" s="15">
        <v>137300.0</v>
      </c>
      <c r="DN471" s="15">
        <v>156530.0</v>
      </c>
      <c r="DO471" s="15">
        <v>0.0</v>
      </c>
      <c r="DP471" s="15">
        <v>781020.0</v>
      </c>
      <c r="DQ471" s="15">
        <v>686940.0</v>
      </c>
      <c r="DR471" s="15">
        <v>598960.0</v>
      </c>
      <c r="DS471" s="15">
        <v>468230.0</v>
      </c>
      <c r="DT471" s="15">
        <v>70100.0</v>
      </c>
      <c r="DU471" s="16">
        <v>0.0</v>
      </c>
      <c r="DV471" s="15">
        <v>0.0</v>
      </c>
      <c r="DW471" s="15">
        <v>0.0</v>
      </c>
      <c r="DX471" s="16">
        <v>0.0</v>
      </c>
      <c r="DY471" s="16">
        <v>0.0</v>
      </c>
      <c r="DZ471" s="15">
        <v>-374560.0</v>
      </c>
      <c r="EA471" s="15">
        <v>-225740.0</v>
      </c>
      <c r="EB471" s="15">
        <v>-24900.0</v>
      </c>
      <c r="EC471" s="15">
        <v>299550.0</v>
      </c>
      <c r="ED471" s="15">
        <v>354290.0</v>
      </c>
      <c r="EE471" s="17">
        <v>0.023</v>
      </c>
      <c r="EF471" s="17">
        <v>0.0</v>
      </c>
      <c r="EG471" s="17">
        <v>-0.147</v>
      </c>
      <c r="EH471" s="17">
        <v>-0.094</v>
      </c>
    </row>
    <row r="472">
      <c r="A472" s="9">
        <f t="shared" si="2"/>
        <v>470</v>
      </c>
      <c r="B472" s="22" t="s">
        <v>606</v>
      </c>
      <c r="C472" s="11">
        <v>113030.0</v>
      </c>
      <c r="D472" s="11">
        <v>130100.0</v>
      </c>
      <c r="E472" s="11">
        <v>205200.0</v>
      </c>
      <c r="F472" s="11">
        <v>206630.0</v>
      </c>
      <c r="G472" s="11">
        <v>102810.0</v>
      </c>
      <c r="H472" s="11">
        <v>88270.0</v>
      </c>
      <c r="I472" s="11">
        <v>160880.0</v>
      </c>
      <c r="J472" s="12"/>
      <c r="K472" s="12"/>
      <c r="L472" s="12"/>
      <c r="M472" s="12"/>
      <c r="N472" s="12"/>
      <c r="O472" s="11">
        <v>165200.0</v>
      </c>
      <c r="P472" s="11">
        <v>115780.0</v>
      </c>
      <c r="Q472" s="11">
        <v>76060.0</v>
      </c>
      <c r="R472" s="11">
        <v>55770.0</v>
      </c>
      <c r="S472" s="11">
        <v>36090.0</v>
      </c>
      <c r="T472" s="11">
        <v>142210.0</v>
      </c>
      <c r="U472" s="11">
        <v>94860.0</v>
      </c>
      <c r="V472" s="11">
        <v>57450.0</v>
      </c>
      <c r="W472" s="11">
        <v>40460.0</v>
      </c>
      <c r="X472" s="11">
        <v>23190.0</v>
      </c>
      <c r="Y472" s="12"/>
      <c r="Z472" s="11">
        <v>88270.0</v>
      </c>
      <c r="AA472" s="11">
        <v>24460.0</v>
      </c>
      <c r="AB472" s="11">
        <v>30870.0</v>
      </c>
      <c r="AC472" s="11">
        <v>124500.0</v>
      </c>
      <c r="AD472" s="11">
        <v>45560.0</v>
      </c>
      <c r="AE472" s="11">
        <v>93120.0</v>
      </c>
      <c r="AF472" s="11">
        <v>26950.0</v>
      </c>
      <c r="AG472" s="11">
        <v>32560.0</v>
      </c>
      <c r="AH472" s="11">
        <v>125460.0</v>
      </c>
      <c r="AI472" s="11">
        <v>40000.0</v>
      </c>
      <c r="AJ472" s="11">
        <v>90850.0</v>
      </c>
      <c r="AK472" s="11">
        <v>26750.0</v>
      </c>
      <c r="AL472" s="11">
        <v>32500.0</v>
      </c>
      <c r="AM472" s="11">
        <v>124790.0</v>
      </c>
      <c r="AN472" s="11">
        <v>46380.0</v>
      </c>
      <c r="AO472" s="11">
        <v>71960.0</v>
      </c>
      <c r="AP472" s="11">
        <v>17710.0</v>
      </c>
      <c r="AQ472" s="11">
        <v>21670.0</v>
      </c>
      <c r="AR472" s="11">
        <v>78990.0</v>
      </c>
      <c r="AS472" s="11">
        <v>71420.0</v>
      </c>
      <c r="AT472" s="11">
        <v>29220.0</v>
      </c>
      <c r="AU472" s="11">
        <v>52650.0</v>
      </c>
      <c r="AV472" s="11">
        <v>35810.0</v>
      </c>
      <c r="AW472" s="11">
        <v>76670.0</v>
      </c>
      <c r="AX472" s="11">
        <v>-5420.0</v>
      </c>
      <c r="AY472" s="11">
        <v>-2980.0</v>
      </c>
      <c r="AZ472" s="11">
        <v>-2510.0</v>
      </c>
      <c r="BA472" s="11">
        <v>-4740.0</v>
      </c>
      <c r="BB472" s="11">
        <v>-2340.0</v>
      </c>
      <c r="BC472" s="12"/>
      <c r="BD472" s="12"/>
      <c r="BE472" s="12"/>
      <c r="BF472" s="12"/>
      <c r="BG472" s="12"/>
      <c r="BH472" s="11">
        <v>335240.0</v>
      </c>
      <c r="BI472" s="11">
        <v>308730.0</v>
      </c>
      <c r="BJ472" s="11">
        <v>223670.0</v>
      </c>
      <c r="BK472" s="11">
        <v>210080.0</v>
      </c>
      <c r="BL472" s="11">
        <v>145210.0</v>
      </c>
      <c r="BM472" s="11">
        <v>51310.0</v>
      </c>
      <c r="BN472" s="11">
        <v>67210.0</v>
      </c>
      <c r="BO472" s="11">
        <v>10610.0</v>
      </c>
      <c r="BP472" s="11">
        <v>12840.0</v>
      </c>
      <c r="BQ472" s="11">
        <v>15720.0</v>
      </c>
      <c r="BR472" s="12"/>
      <c r="BS472" s="12"/>
      <c r="BT472" s="12"/>
      <c r="BU472" s="12"/>
      <c r="BV472" s="12"/>
      <c r="BW472" s="11">
        <v>401850.0</v>
      </c>
      <c r="BX472" s="11">
        <v>380390.0</v>
      </c>
      <c r="BY472" s="11">
        <v>237820.0</v>
      </c>
      <c r="BZ472" s="11">
        <v>232160.0</v>
      </c>
      <c r="CA472" s="11">
        <v>170640.0</v>
      </c>
      <c r="CB472" s="11">
        <v>10930.0</v>
      </c>
      <c r="CC472" s="11">
        <v>8370.0</v>
      </c>
      <c r="CD472" s="11">
        <v>8050.0</v>
      </c>
      <c r="CE472" s="11">
        <v>8000.0</v>
      </c>
      <c r="CF472" s="11">
        <v>5890.0</v>
      </c>
      <c r="CG472" s="12"/>
      <c r="CH472" s="12"/>
      <c r="CI472" s="12"/>
      <c r="CJ472" s="12"/>
      <c r="CK472" s="12"/>
      <c r="CL472" s="11">
        <v>491040.0</v>
      </c>
      <c r="CM472" s="11">
        <v>415170.0</v>
      </c>
      <c r="CN472" s="11">
        <v>327850.0</v>
      </c>
      <c r="CO472" s="11">
        <v>281360.0</v>
      </c>
      <c r="CP472" s="11">
        <v>246010.0</v>
      </c>
      <c r="CQ472" s="11">
        <v>6690.0</v>
      </c>
      <c r="CR472" s="11">
        <v>4750.0</v>
      </c>
      <c r="CS472" s="11">
        <v>3710.0</v>
      </c>
      <c r="CT472" s="11">
        <v>3380.0</v>
      </c>
      <c r="CU472" s="11">
        <v>1540.0</v>
      </c>
      <c r="CV472" s="11">
        <v>22610.0</v>
      </c>
      <c r="CW472" s="12"/>
      <c r="CX472" s="12"/>
      <c r="CY472" s="12"/>
      <c r="CZ472" s="12"/>
      <c r="DA472" s="12"/>
      <c r="DB472" s="11">
        <v>22610.0</v>
      </c>
      <c r="DC472" s="11">
        <v>16030.0</v>
      </c>
      <c r="DD472" s="11">
        <v>20980.0</v>
      </c>
      <c r="DE472" s="11">
        <v>7890.0</v>
      </c>
      <c r="DF472" s="11">
        <v>28550.0</v>
      </c>
      <c r="DG472" s="11">
        <v>21490.0</v>
      </c>
      <c r="DH472" s="11">
        <v>26180.0</v>
      </c>
      <c r="DI472" s="11">
        <v>11420.0</v>
      </c>
      <c r="DJ472" s="11">
        <v>9860.0</v>
      </c>
      <c r="DK472" s="11">
        <v>65620.0</v>
      </c>
      <c r="DL472" s="11">
        <v>17000.0</v>
      </c>
      <c r="DM472" s="11">
        <v>70650.0</v>
      </c>
      <c r="DN472" s="11">
        <v>32730.0</v>
      </c>
      <c r="DO472" s="11">
        <v>64850.0</v>
      </c>
      <c r="DP472" s="11">
        <v>1830.0</v>
      </c>
      <c r="DQ472" s="11">
        <v>1920.0</v>
      </c>
      <c r="DR472" s="11">
        <v>1140.0</v>
      </c>
      <c r="DS472" s="11">
        <v>617.0</v>
      </c>
      <c r="DT472" s="11">
        <v>692.0</v>
      </c>
      <c r="DU472" s="13"/>
      <c r="DV472" s="12"/>
      <c r="DW472" s="12"/>
      <c r="DX472" s="13"/>
      <c r="DY472" s="13"/>
      <c r="DZ472" s="11">
        <v>462490.0</v>
      </c>
      <c r="EA472" s="11">
        <v>393680.0</v>
      </c>
      <c r="EB472" s="11">
        <v>301680.0</v>
      </c>
      <c r="EC472" s="11">
        <v>269940.0</v>
      </c>
      <c r="ED472" s="11">
        <v>236160.0</v>
      </c>
      <c r="EE472" s="14">
        <v>0.213</v>
      </c>
      <c r="EF472" s="14">
        <v>0.606</v>
      </c>
      <c r="EG472" s="14">
        <v>0.155</v>
      </c>
      <c r="EH472" s="14">
        <v>0.208</v>
      </c>
    </row>
    <row r="473">
      <c r="A473" s="9">
        <f t="shared" si="2"/>
        <v>471</v>
      </c>
      <c r="B473" s="10" t="s">
        <v>607</v>
      </c>
      <c r="C473" s="15">
        <v>1760000.0</v>
      </c>
      <c r="D473" s="15">
        <v>1640000.0</v>
      </c>
      <c r="E473" s="15">
        <v>1590000.0</v>
      </c>
      <c r="F473" s="15">
        <v>1550000.0</v>
      </c>
      <c r="G473" s="15">
        <v>1340000.0</v>
      </c>
      <c r="H473" s="15">
        <v>1160000.0</v>
      </c>
      <c r="I473" s="15">
        <v>1110000.0</v>
      </c>
      <c r="J473" s="15">
        <v>645230.0</v>
      </c>
      <c r="K473" s="15">
        <v>657680.0</v>
      </c>
      <c r="L473" s="15">
        <v>573350.0</v>
      </c>
      <c r="M473" s="15">
        <v>456950.0</v>
      </c>
      <c r="N473" s="15">
        <v>455550.0</v>
      </c>
      <c r="O473" s="15">
        <v>398030.0</v>
      </c>
      <c r="P473" s="15">
        <v>360190.0</v>
      </c>
      <c r="Q473" s="15">
        <v>319280.0</v>
      </c>
      <c r="R473" s="15">
        <v>308890.0</v>
      </c>
      <c r="S473" s="15">
        <v>304810.0</v>
      </c>
      <c r="T473" s="15">
        <v>121140.0</v>
      </c>
      <c r="U473" s="15">
        <v>118460.0</v>
      </c>
      <c r="V473" s="15">
        <v>106950.0</v>
      </c>
      <c r="W473" s="15">
        <v>106990.0</v>
      </c>
      <c r="X473" s="15">
        <v>105900.0</v>
      </c>
      <c r="Y473" s="15">
        <v>361280.0</v>
      </c>
      <c r="Z473" s="15">
        <v>289100.0</v>
      </c>
      <c r="AA473" s="15">
        <v>216990.0</v>
      </c>
      <c r="AB473" s="15">
        <v>140120.0</v>
      </c>
      <c r="AC473" s="15">
        <v>-10790.0</v>
      </c>
      <c r="AD473" s="15">
        <v>318050.0</v>
      </c>
      <c r="AE473" s="15">
        <v>254430.0</v>
      </c>
      <c r="AF473" s="15">
        <v>184730.0</v>
      </c>
      <c r="AG473" s="15">
        <v>120000.0</v>
      </c>
      <c r="AH473" s="15">
        <v>92190.0</v>
      </c>
      <c r="AI473" s="15">
        <v>388600.0</v>
      </c>
      <c r="AJ473" s="15">
        <v>424760.0</v>
      </c>
      <c r="AK473" s="15">
        <v>356300.0</v>
      </c>
      <c r="AL473" s="15">
        <v>248140.0</v>
      </c>
      <c r="AM473" s="15">
        <v>252390.0</v>
      </c>
      <c r="AN473" s="15">
        <v>254860.0</v>
      </c>
      <c r="AO473" s="15">
        <v>240760.0</v>
      </c>
      <c r="AP473" s="15">
        <v>85070.0</v>
      </c>
      <c r="AQ473" s="15">
        <v>97150.0</v>
      </c>
      <c r="AR473" s="15">
        <v>80300.0</v>
      </c>
      <c r="AS473" s="15">
        <v>382300.0</v>
      </c>
      <c r="AT473" s="15">
        <v>312580.0</v>
      </c>
      <c r="AU473" s="15">
        <v>293370.0</v>
      </c>
      <c r="AV473" s="15">
        <v>207560.0</v>
      </c>
      <c r="AW473" s="15">
        <v>120920.0</v>
      </c>
      <c r="AX473" s="15">
        <v>-112360.0</v>
      </c>
      <c r="AY473" s="15">
        <v>-110150.0</v>
      </c>
      <c r="AZ473" s="15">
        <v>-93600.0</v>
      </c>
      <c r="BA473" s="15">
        <v>-65260.0</v>
      </c>
      <c r="BB473" s="15">
        <v>-71980.0</v>
      </c>
      <c r="BC473" s="15">
        <v>-40570.0</v>
      </c>
      <c r="BD473" s="15">
        <v>-39590.0</v>
      </c>
      <c r="BE473" s="15">
        <v>-9900.0</v>
      </c>
      <c r="BF473" s="15">
        <v>0.0</v>
      </c>
      <c r="BG473" s="15">
        <v>0.0</v>
      </c>
      <c r="BH473" s="15">
        <v>351910.0</v>
      </c>
      <c r="BI473" s="15">
        <v>482060.0</v>
      </c>
      <c r="BJ473" s="15">
        <v>625410.0</v>
      </c>
      <c r="BK473" s="15">
        <v>406390.0</v>
      </c>
      <c r="BL473" s="15">
        <v>352010.0</v>
      </c>
      <c r="BM473" s="15">
        <v>234410.0</v>
      </c>
      <c r="BN473" s="15">
        <v>222060.0</v>
      </c>
      <c r="BO473" s="15">
        <v>183430.0</v>
      </c>
      <c r="BP473" s="15">
        <v>165680.0</v>
      </c>
      <c r="BQ473" s="15">
        <v>141410.0</v>
      </c>
      <c r="BR473" s="15">
        <v>287100.0</v>
      </c>
      <c r="BS473" s="15">
        <v>268140.0</v>
      </c>
      <c r="BT473" s="15">
        <v>198090.0</v>
      </c>
      <c r="BU473" s="15">
        <v>183530.0</v>
      </c>
      <c r="BV473" s="15">
        <v>173180.0</v>
      </c>
      <c r="BW473" s="15">
        <v>932400.0</v>
      </c>
      <c r="BX473" s="15">
        <v>1030000.0</v>
      </c>
      <c r="BY473" s="15">
        <v>1060000.0</v>
      </c>
      <c r="BZ473" s="15">
        <v>800130.0</v>
      </c>
      <c r="CA473" s="15">
        <v>708790.0</v>
      </c>
      <c r="CB473" s="15">
        <v>529700.0</v>
      </c>
      <c r="CC473" s="15">
        <v>419530.0</v>
      </c>
      <c r="CD473" s="15">
        <v>359520.0</v>
      </c>
      <c r="CE473" s="15">
        <v>321560.0</v>
      </c>
      <c r="CF473" s="15">
        <v>321300.0</v>
      </c>
      <c r="CG473" s="15">
        <v>695040.0</v>
      </c>
      <c r="CH473" s="15">
        <v>550200.0</v>
      </c>
      <c r="CI473" s="15">
        <v>359690.0</v>
      </c>
      <c r="CJ473" s="15">
        <v>345270.0</v>
      </c>
      <c r="CK473" s="15">
        <v>342110.0</v>
      </c>
      <c r="CL473" s="15">
        <v>2520000.0</v>
      </c>
      <c r="CM473" s="15">
        <v>2320000.0</v>
      </c>
      <c r="CN473" s="15">
        <v>1980000.0</v>
      </c>
      <c r="CO473" s="15">
        <v>1700000.0</v>
      </c>
      <c r="CP473" s="15">
        <v>1650000.0</v>
      </c>
      <c r="CQ473" s="15">
        <v>84210.0</v>
      </c>
      <c r="CR473" s="15">
        <v>93060.0</v>
      </c>
      <c r="CS473" s="15">
        <v>68760.0</v>
      </c>
      <c r="CT473" s="15">
        <v>61620.0</v>
      </c>
      <c r="CU473" s="15">
        <v>36920.0</v>
      </c>
      <c r="CV473" s="15">
        <v>264430.0</v>
      </c>
      <c r="CW473" s="15">
        <v>10030.0</v>
      </c>
      <c r="CX473" s="15">
        <v>0.0</v>
      </c>
      <c r="CY473" s="16">
        <v>0.0</v>
      </c>
      <c r="CZ473" s="16">
        <v>0.0</v>
      </c>
      <c r="DA473" s="15">
        <v>0.0</v>
      </c>
      <c r="DB473" s="15">
        <v>264430.0</v>
      </c>
      <c r="DC473" s="15">
        <v>269670.0</v>
      </c>
      <c r="DD473" s="15">
        <v>290970.0</v>
      </c>
      <c r="DE473" s="15">
        <v>261570.0</v>
      </c>
      <c r="DF473" s="15">
        <v>1350000.0</v>
      </c>
      <c r="DG473" s="15">
        <v>1310000.0</v>
      </c>
      <c r="DH473" s="15">
        <v>983150.0</v>
      </c>
      <c r="DI473" s="15">
        <v>800310.0</v>
      </c>
      <c r="DJ473" s="15">
        <v>843810.0</v>
      </c>
      <c r="DK473" s="15">
        <v>0.0</v>
      </c>
      <c r="DL473" s="15">
        <v>0.0</v>
      </c>
      <c r="DM473" s="15">
        <v>0.0</v>
      </c>
      <c r="DN473" s="15">
        <v>0.0</v>
      </c>
      <c r="DO473" s="15">
        <v>0.0</v>
      </c>
      <c r="DP473" s="15">
        <v>976310.0</v>
      </c>
      <c r="DQ473" s="15">
        <v>934860.0</v>
      </c>
      <c r="DR473" s="15">
        <v>574380.0</v>
      </c>
      <c r="DS473" s="15">
        <v>484680.0</v>
      </c>
      <c r="DT473" s="15">
        <v>606040.0</v>
      </c>
      <c r="DU473" s="16">
        <v>0.0</v>
      </c>
      <c r="DV473" s="15">
        <v>0.0</v>
      </c>
      <c r="DW473" s="15">
        <v>0.0</v>
      </c>
      <c r="DX473" s="15">
        <v>0.0</v>
      </c>
      <c r="DY473" s="15">
        <v>0.0</v>
      </c>
      <c r="DZ473" s="15">
        <v>1170000.0</v>
      </c>
      <c r="EA473" s="15">
        <v>1010000.0</v>
      </c>
      <c r="EB473" s="15">
        <v>993020.0</v>
      </c>
      <c r="EC473" s="15">
        <v>899220.0</v>
      </c>
      <c r="ED473" s="15">
        <v>802880.0</v>
      </c>
      <c r="EE473" s="17">
        <v>0.098</v>
      </c>
      <c r="EF473" s="17">
        <v>0.199</v>
      </c>
      <c r="EG473" s="17">
        <v>0.058</v>
      </c>
      <c r="EH473" s="17">
        <v>0.024</v>
      </c>
    </row>
    <row r="474">
      <c r="A474" s="9">
        <f t="shared" si="2"/>
        <v>472</v>
      </c>
      <c r="B474" s="22" t="s">
        <v>608</v>
      </c>
      <c r="C474" s="11">
        <v>113260.0</v>
      </c>
      <c r="D474" s="11">
        <v>47170.0</v>
      </c>
      <c r="E474" s="11">
        <v>34930.0</v>
      </c>
      <c r="F474" s="12"/>
      <c r="G474" s="12"/>
      <c r="H474" s="12"/>
      <c r="I474" s="12"/>
      <c r="J474" s="11">
        <v>22780.0</v>
      </c>
      <c r="K474" s="11">
        <v>-9.0</v>
      </c>
      <c r="L474" s="11">
        <v>-218.0</v>
      </c>
      <c r="M474" s="11">
        <v>-326.0</v>
      </c>
      <c r="N474" s="11">
        <v>-416.0</v>
      </c>
      <c r="O474" s="11">
        <v>117570.0</v>
      </c>
      <c r="P474" s="11">
        <v>35630.0</v>
      </c>
      <c r="Q474" s="11">
        <v>11510.0</v>
      </c>
      <c r="R474" s="11">
        <v>19640.0</v>
      </c>
      <c r="S474" s="11">
        <v>30560.0</v>
      </c>
      <c r="T474" s="11">
        <v>3970.0</v>
      </c>
      <c r="U474" s="11">
        <v>6490.0</v>
      </c>
      <c r="V474" s="11">
        <v>6690.0</v>
      </c>
      <c r="W474" s="11">
        <v>12610.0</v>
      </c>
      <c r="X474" s="11">
        <v>20680.0</v>
      </c>
      <c r="Y474" s="11">
        <v>-98950.0</v>
      </c>
      <c r="Z474" s="11">
        <v>-46140.0</v>
      </c>
      <c r="AA474" s="12"/>
      <c r="AB474" s="12"/>
      <c r="AC474" s="12"/>
      <c r="AD474" s="11">
        <v>-105060.0</v>
      </c>
      <c r="AE474" s="11">
        <v>-46800.0</v>
      </c>
      <c r="AF474" s="11">
        <v>-11730.0</v>
      </c>
      <c r="AG474" s="11">
        <v>-19970.0</v>
      </c>
      <c r="AH474" s="11">
        <v>-31020.0</v>
      </c>
      <c r="AI474" s="11">
        <v>-89780.0</v>
      </c>
      <c r="AJ474" s="11">
        <v>-35630.0</v>
      </c>
      <c r="AK474" s="11">
        <v>-11510.0</v>
      </c>
      <c r="AL474" s="11">
        <v>-19640.0</v>
      </c>
      <c r="AM474" s="11">
        <v>-30560.0</v>
      </c>
      <c r="AN474" s="11">
        <v>-90030.0</v>
      </c>
      <c r="AO474" s="11">
        <v>-46870.0</v>
      </c>
      <c r="AP474" s="11">
        <v>-4480.0</v>
      </c>
      <c r="AQ474" s="11">
        <v>-20070.0</v>
      </c>
      <c r="AR474" s="11">
        <v>-31110.0</v>
      </c>
      <c r="AS474" s="11">
        <v>-93380.0</v>
      </c>
      <c r="AT474" s="11">
        <v>-25670.0</v>
      </c>
      <c r="AU474" s="11">
        <v>-13220.0</v>
      </c>
      <c r="AV474" s="11">
        <v>-17080.0</v>
      </c>
      <c r="AW474" s="11">
        <v>-32380.0</v>
      </c>
      <c r="AX474" s="11">
        <v>-4570.0</v>
      </c>
      <c r="AY474" s="11">
        <v>-9.0</v>
      </c>
      <c r="AZ474" s="12"/>
      <c r="BA474" s="12"/>
      <c r="BB474" s="12"/>
      <c r="BC474" s="12"/>
      <c r="BD474" s="12"/>
      <c r="BE474" s="12"/>
      <c r="BF474" s="12"/>
      <c r="BG474" s="12"/>
      <c r="BH474" s="11">
        <v>129800.0</v>
      </c>
      <c r="BI474" s="11">
        <v>93160.0</v>
      </c>
      <c r="BJ474" s="12"/>
      <c r="BK474" s="11">
        <v>187.0</v>
      </c>
      <c r="BL474" s="11">
        <v>4000.0</v>
      </c>
      <c r="BM474" s="11">
        <v>10660.0</v>
      </c>
      <c r="BN474" s="12"/>
      <c r="BO474" s="11">
        <v>72640.0</v>
      </c>
      <c r="BP474" s="12"/>
      <c r="BQ474" s="12"/>
      <c r="BR474" s="11">
        <v>6410.0</v>
      </c>
      <c r="BS474" s="12"/>
      <c r="BT474" s="12"/>
      <c r="BU474" s="12"/>
      <c r="BV474" s="12"/>
      <c r="BW474" s="11">
        <v>152200.0</v>
      </c>
      <c r="BX474" s="11">
        <v>94340.0</v>
      </c>
      <c r="BY474" s="11">
        <v>72820.0</v>
      </c>
      <c r="BZ474" s="11">
        <v>211.0</v>
      </c>
      <c r="CA474" s="11">
        <v>4020.0</v>
      </c>
      <c r="CB474" s="11">
        <v>4970.0</v>
      </c>
      <c r="CC474" s="12"/>
      <c r="CD474" s="12"/>
      <c r="CE474" s="12"/>
      <c r="CF474" s="12"/>
      <c r="CG474" s="11">
        <v>21210.0</v>
      </c>
      <c r="CH474" s="11">
        <v>21210.0</v>
      </c>
      <c r="CI474" s="11">
        <v>21210.0</v>
      </c>
      <c r="CJ474" s="11">
        <v>21210.0</v>
      </c>
      <c r="CK474" s="11">
        <v>21210.0</v>
      </c>
      <c r="CL474" s="11">
        <v>240440.0</v>
      </c>
      <c r="CM474" s="11">
        <v>171840.0</v>
      </c>
      <c r="CN474" s="11">
        <v>152230.0</v>
      </c>
      <c r="CO474" s="11">
        <v>77500.0</v>
      </c>
      <c r="CP474" s="11">
        <v>81300.0</v>
      </c>
      <c r="CQ474" s="11">
        <v>5800.0</v>
      </c>
      <c r="CR474" s="12"/>
      <c r="CS474" s="12"/>
      <c r="CT474" s="11">
        <v>2880.0</v>
      </c>
      <c r="CU474" s="11">
        <v>230.0</v>
      </c>
      <c r="CV474" s="11">
        <v>24440.0</v>
      </c>
      <c r="CW474" s="11">
        <v>1200.0</v>
      </c>
      <c r="CX474" s="12"/>
      <c r="CY474" s="11">
        <v>211330.0</v>
      </c>
      <c r="CZ474" s="11">
        <v>59760.0</v>
      </c>
      <c r="DA474" s="11">
        <v>46170.0</v>
      </c>
      <c r="DB474" s="11">
        <v>24440.0</v>
      </c>
      <c r="DC474" s="11">
        <v>5280.0</v>
      </c>
      <c r="DD474" s="11">
        <v>212750.0</v>
      </c>
      <c r="DE474" s="11">
        <v>63310.0</v>
      </c>
      <c r="DF474" s="11">
        <v>160990.0</v>
      </c>
      <c r="DG474" s="11">
        <v>87460.0</v>
      </c>
      <c r="DH474" s="11">
        <v>227780.0</v>
      </c>
      <c r="DI474" s="11">
        <v>84600.0</v>
      </c>
      <c r="DJ474" s="11">
        <v>69300.0</v>
      </c>
      <c r="DK474" s="12"/>
      <c r="DL474" s="12"/>
      <c r="DM474" s="12"/>
      <c r="DN474" s="12"/>
      <c r="DO474" s="12"/>
      <c r="DP474" s="11">
        <v>95350.0</v>
      </c>
      <c r="DQ474" s="11">
        <v>16900.0</v>
      </c>
      <c r="DR474" s="12"/>
      <c r="DS474" s="12"/>
      <c r="DT474" s="12"/>
      <c r="DU474" s="13"/>
      <c r="DV474" s="12"/>
      <c r="DW474" s="12"/>
      <c r="DX474" s="13"/>
      <c r="DY474" s="13"/>
      <c r="DZ474" s="11">
        <v>79460.0</v>
      </c>
      <c r="EA474" s="11">
        <v>84380.0</v>
      </c>
      <c r="EB474" s="11">
        <v>-75540.0</v>
      </c>
      <c r="EC474" s="11">
        <v>-7110.0</v>
      </c>
      <c r="ED474" s="11">
        <v>12000.0</v>
      </c>
      <c r="EE474" s="14">
        <v>0.369</v>
      </c>
      <c r="EF474" s="14">
        <v>0.516</v>
      </c>
      <c r="EG474" s="14">
        <v>0.386</v>
      </c>
      <c r="EH474" s="14">
        <v>0.195</v>
      </c>
    </row>
    <row r="475">
      <c r="A475" s="9">
        <f t="shared" si="2"/>
        <v>473</v>
      </c>
      <c r="B475" s="25" t="s">
        <v>609</v>
      </c>
      <c r="C475" s="15">
        <v>1970000.0</v>
      </c>
      <c r="D475" s="15">
        <v>1930000.0</v>
      </c>
      <c r="E475" s="15">
        <v>2140000.0</v>
      </c>
      <c r="F475" s="15">
        <v>2230000.0</v>
      </c>
      <c r="G475" s="15">
        <v>2300000.0</v>
      </c>
      <c r="H475" s="15">
        <v>2360000.0</v>
      </c>
      <c r="I475" s="15">
        <v>2420000.0</v>
      </c>
      <c r="J475" s="15">
        <v>967200.0</v>
      </c>
      <c r="K475" s="15">
        <v>1030000.0</v>
      </c>
      <c r="L475" s="15">
        <v>1130000.0</v>
      </c>
      <c r="M475" s="15">
        <v>1160000.0</v>
      </c>
      <c r="N475" s="15">
        <v>1190000.0</v>
      </c>
      <c r="O475" s="15">
        <v>667800.0</v>
      </c>
      <c r="P475" s="15">
        <v>748100.0</v>
      </c>
      <c r="Q475" s="15">
        <v>775900.0</v>
      </c>
      <c r="R475" s="15">
        <v>809500.0</v>
      </c>
      <c r="S475" s="15">
        <v>872100.0</v>
      </c>
      <c r="T475" s="15">
        <v>53500.0</v>
      </c>
      <c r="U475" s="15">
        <v>61100.0</v>
      </c>
      <c r="V475" s="15">
        <v>67600.0</v>
      </c>
      <c r="W475" s="15">
        <v>71900.0</v>
      </c>
      <c r="X475" s="15">
        <v>71000.0</v>
      </c>
      <c r="Y475" s="15">
        <v>-327400.0</v>
      </c>
      <c r="Z475" s="15">
        <v>-68000.0</v>
      </c>
      <c r="AA475" s="15">
        <v>-346900.0</v>
      </c>
      <c r="AB475" s="15">
        <v>284800.0</v>
      </c>
      <c r="AC475" s="15">
        <v>-346800.0</v>
      </c>
      <c r="AD475" s="15">
        <v>-390300.0</v>
      </c>
      <c r="AE475" s="15">
        <v>163800.0</v>
      </c>
      <c r="AF475" s="15">
        <v>-52900.0</v>
      </c>
      <c r="AG475" s="15">
        <v>219900.0</v>
      </c>
      <c r="AH475" s="15">
        <v>-458700.0</v>
      </c>
      <c r="AI475" s="15">
        <v>391300.0</v>
      </c>
      <c r="AJ475" s="15">
        <v>382100.0</v>
      </c>
      <c r="AK475" s="15">
        <v>451500.0</v>
      </c>
      <c r="AL475" s="15">
        <v>448900.0</v>
      </c>
      <c r="AM475" s="15">
        <v>407200.0</v>
      </c>
      <c r="AN475" s="15">
        <v>-372200.0</v>
      </c>
      <c r="AO475" s="15">
        <v>103300.0</v>
      </c>
      <c r="AP475" s="15">
        <v>5700.0</v>
      </c>
      <c r="AQ475" s="15">
        <v>178700.0</v>
      </c>
      <c r="AR475" s="15">
        <v>-296100.0</v>
      </c>
      <c r="AS475" s="15">
        <v>190600.0</v>
      </c>
      <c r="AT475" s="15">
        <v>259400.0</v>
      </c>
      <c r="AU475" s="15">
        <v>313600.0</v>
      </c>
      <c r="AV475" s="15">
        <v>176400.0</v>
      </c>
      <c r="AW475" s="15">
        <v>148800.0</v>
      </c>
      <c r="AX475" s="15">
        <v>-58000.0</v>
      </c>
      <c r="AY475" s="15">
        <v>-62000.0</v>
      </c>
      <c r="AZ475" s="15">
        <v>-69000.0</v>
      </c>
      <c r="BA475" s="15">
        <v>-69500.0</v>
      </c>
      <c r="BB475" s="15">
        <v>-99400.0</v>
      </c>
      <c r="BC475" s="15"/>
      <c r="BD475" s="15"/>
      <c r="BE475" s="15"/>
      <c r="BF475" s="15"/>
      <c r="BG475" s="15">
        <v>-93200.0</v>
      </c>
      <c r="BH475" s="15">
        <v>341600.0</v>
      </c>
      <c r="BI475" s="15">
        <v>266400.0</v>
      </c>
      <c r="BJ475" s="15">
        <v>502900.0</v>
      </c>
      <c r="BK475" s="15">
        <v>738900.0</v>
      </c>
      <c r="BL475" s="15">
        <v>712100.0</v>
      </c>
      <c r="BM475" s="15">
        <v>277500.0</v>
      </c>
      <c r="BN475" s="15">
        <v>281600.0</v>
      </c>
      <c r="BO475" s="15">
        <v>290900.0</v>
      </c>
      <c r="BP475" s="15">
        <v>351500.0</v>
      </c>
      <c r="BQ475" s="15">
        <v>434300.0</v>
      </c>
      <c r="BR475" s="15">
        <v>357200.0</v>
      </c>
      <c r="BS475" s="15">
        <v>329500.0</v>
      </c>
      <c r="BT475" s="15">
        <v>333500.0</v>
      </c>
      <c r="BU475" s="15">
        <v>309200.0</v>
      </c>
      <c r="BV475" s="15">
        <v>332800.0</v>
      </c>
      <c r="BW475" s="15">
        <v>1040000.0</v>
      </c>
      <c r="BX475" s="15">
        <v>951200.0</v>
      </c>
      <c r="BY475" s="15">
        <v>1190000.0</v>
      </c>
      <c r="BZ475" s="15">
        <v>1450000.0</v>
      </c>
      <c r="CA475" s="15">
        <v>1640000.0</v>
      </c>
      <c r="CB475" s="15">
        <v>396000.0</v>
      </c>
      <c r="CC475" s="15">
        <v>424100.0</v>
      </c>
      <c r="CD475" s="15">
        <v>453400.0</v>
      </c>
      <c r="CE475" s="15">
        <v>486100.0</v>
      </c>
      <c r="CF475" s="15">
        <v>476100.0</v>
      </c>
      <c r="CG475" s="15">
        <v>1030000.0</v>
      </c>
      <c r="CH475" s="15">
        <v>1450000.0</v>
      </c>
      <c r="CI475" s="15">
        <v>1450000.0</v>
      </c>
      <c r="CJ475" s="15">
        <v>1420000.0</v>
      </c>
      <c r="CK475" s="15">
        <v>1420000.0</v>
      </c>
      <c r="CL475" s="15">
        <v>3420000.0</v>
      </c>
      <c r="CM475" s="15">
        <v>3950000.0</v>
      </c>
      <c r="CN475" s="15">
        <v>4190000.0</v>
      </c>
      <c r="CO475" s="15">
        <v>4770000.0</v>
      </c>
      <c r="CP475" s="15">
        <v>4990000.0</v>
      </c>
      <c r="CQ475" s="15">
        <v>222800.0</v>
      </c>
      <c r="CR475" s="15">
        <v>238400.0</v>
      </c>
      <c r="CS475" s="15">
        <v>223600.0</v>
      </c>
      <c r="CT475" s="15">
        <v>196500.0</v>
      </c>
      <c r="CU475" s="15">
        <v>236900.0</v>
      </c>
      <c r="CV475" s="15">
        <v>659600.0</v>
      </c>
      <c r="CW475" s="15">
        <v>14400.0</v>
      </c>
      <c r="CX475" s="15">
        <v>8200.0</v>
      </c>
      <c r="CY475" s="15">
        <v>19400.0</v>
      </c>
      <c r="CZ475" s="15">
        <v>18500.0</v>
      </c>
      <c r="DA475" s="15">
        <v>17500.0</v>
      </c>
      <c r="DB475" s="15">
        <v>659600.0</v>
      </c>
      <c r="DC475" s="15">
        <v>717000.0</v>
      </c>
      <c r="DD475" s="15">
        <v>524400.0</v>
      </c>
      <c r="DE475" s="15">
        <v>868200.0</v>
      </c>
      <c r="DF475" s="15">
        <v>2120000.0</v>
      </c>
      <c r="DG475" s="15">
        <v>2210000.0</v>
      </c>
      <c r="DH475" s="15">
        <v>2450000.0</v>
      </c>
      <c r="DI475" s="15">
        <v>2940000.0</v>
      </c>
      <c r="DJ475" s="15">
        <v>3130000.0</v>
      </c>
      <c r="DK475" s="15"/>
      <c r="DL475" s="15"/>
      <c r="DM475" s="15"/>
      <c r="DN475" s="15"/>
      <c r="DO475" s="15"/>
      <c r="DP475" s="15">
        <v>1100000.0</v>
      </c>
      <c r="DQ475" s="15">
        <v>1100000.0</v>
      </c>
      <c r="DR475" s="15">
        <v>1530000.0</v>
      </c>
      <c r="DS475" s="15">
        <v>1540000.0</v>
      </c>
      <c r="DT475" s="15">
        <v>1700000.0</v>
      </c>
      <c r="DU475" s="15"/>
      <c r="DV475" s="15"/>
      <c r="DW475" s="15"/>
      <c r="DX475" s="15"/>
      <c r="DY475" s="15"/>
      <c r="DZ475" s="15">
        <v>1300000.0</v>
      </c>
      <c r="EA475" s="15">
        <v>1740000.0</v>
      </c>
      <c r="EB475" s="15">
        <v>1740000.0</v>
      </c>
      <c r="EC475" s="15">
        <v>1830000.0</v>
      </c>
      <c r="ED475" s="15">
        <v>1860000.0</v>
      </c>
      <c r="EE475" s="31">
        <v>0.036</v>
      </c>
      <c r="EF475" s="31">
        <v>0.051</v>
      </c>
      <c r="EG475" s="17">
        <v>-0.195</v>
      </c>
      <c r="EH475" s="31">
        <v>0.182</v>
      </c>
    </row>
    <row r="476">
      <c r="A476" s="9">
        <f t="shared" si="2"/>
        <v>474</v>
      </c>
      <c r="B476" s="10" t="s">
        <v>610</v>
      </c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3"/>
      <c r="BD476" s="13"/>
      <c r="BE476" s="13"/>
      <c r="BF476" s="13"/>
      <c r="BG476" s="13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3"/>
      <c r="DV476" s="12"/>
      <c r="DW476" s="12"/>
      <c r="DX476" s="13"/>
      <c r="DY476" s="12"/>
      <c r="DZ476" s="12"/>
      <c r="EA476" s="12"/>
      <c r="EB476" s="12"/>
      <c r="EC476" s="12"/>
      <c r="ED476" s="12"/>
      <c r="EE476" s="23"/>
      <c r="EF476" s="23"/>
      <c r="EG476" s="23"/>
      <c r="EH476" s="23"/>
    </row>
    <row r="477">
      <c r="A477" s="9">
        <f t="shared" si="2"/>
        <v>475</v>
      </c>
      <c r="B477" s="22" t="s">
        <v>611</v>
      </c>
      <c r="C477" s="11">
        <v>108620.0</v>
      </c>
      <c r="D477" s="11">
        <v>23650.0</v>
      </c>
      <c r="E477" s="11">
        <v>23800.0</v>
      </c>
      <c r="F477" s="11">
        <v>21700.0</v>
      </c>
      <c r="G477" s="11">
        <v>10000.0</v>
      </c>
      <c r="H477" s="11">
        <v>8010.0</v>
      </c>
      <c r="I477" s="11">
        <v>2560.0</v>
      </c>
      <c r="J477" s="12"/>
      <c r="K477" s="12"/>
      <c r="L477" s="12"/>
      <c r="M477" s="12"/>
      <c r="N477" s="12"/>
      <c r="O477" s="11">
        <v>200100.0</v>
      </c>
      <c r="P477" s="11">
        <v>148750.0</v>
      </c>
      <c r="Q477" s="11">
        <v>145200.0</v>
      </c>
      <c r="R477" s="11">
        <v>118240.0</v>
      </c>
      <c r="S477" s="11">
        <v>133690.0</v>
      </c>
      <c r="T477" s="11">
        <v>132640.0</v>
      </c>
      <c r="U477" s="11">
        <v>105830.0</v>
      </c>
      <c r="V477" s="11">
        <v>109660.0</v>
      </c>
      <c r="W477" s="11">
        <v>91460.0</v>
      </c>
      <c r="X477" s="11">
        <v>111210.0</v>
      </c>
      <c r="Y477" s="12"/>
      <c r="Z477" s="12"/>
      <c r="AA477" s="12"/>
      <c r="AB477" s="12"/>
      <c r="AC477" s="12"/>
      <c r="AD477" s="11">
        <v>-170240.0</v>
      </c>
      <c r="AE477" s="11">
        <v>-123570.0</v>
      </c>
      <c r="AF477" s="11">
        <v>-134650.0</v>
      </c>
      <c r="AG477" s="11">
        <v>-110210.0</v>
      </c>
      <c r="AH477" s="11">
        <v>-132380.0</v>
      </c>
      <c r="AI477" s="11">
        <v>-176300.0</v>
      </c>
      <c r="AJ477" s="11">
        <v>-127050.0</v>
      </c>
      <c r="AK477" s="11">
        <v>-135200.0</v>
      </c>
      <c r="AL477" s="11">
        <v>-110240.0</v>
      </c>
      <c r="AM477" s="11">
        <v>-131130.0</v>
      </c>
      <c r="AN477" s="11">
        <v>-170300.0</v>
      </c>
      <c r="AO477" s="11">
        <v>-123630.0</v>
      </c>
      <c r="AP477" s="11">
        <v>-134310.0</v>
      </c>
      <c r="AQ477" s="11">
        <v>-110210.0</v>
      </c>
      <c r="AR477" s="11">
        <v>-132380.0</v>
      </c>
      <c r="AS477" s="11">
        <v>-157210.0</v>
      </c>
      <c r="AT477" s="11">
        <v>-121600.0</v>
      </c>
      <c r="AU477" s="11">
        <v>-120430.0</v>
      </c>
      <c r="AV477" s="11">
        <v>-96480.0</v>
      </c>
      <c r="AW477" s="11">
        <v>-72930.0</v>
      </c>
      <c r="AX477" s="11">
        <v>-594.0</v>
      </c>
      <c r="AY477" s="11">
        <v>-299.0</v>
      </c>
      <c r="AZ477" s="11">
        <v>-984.0</v>
      </c>
      <c r="BA477" s="11">
        <v>-624.0</v>
      </c>
      <c r="BB477" s="11">
        <v>-183.0</v>
      </c>
      <c r="BC477" s="12"/>
      <c r="BD477" s="12"/>
      <c r="BE477" s="12"/>
      <c r="BF477" s="12"/>
      <c r="BG477" s="12"/>
      <c r="BH477" s="11">
        <v>381090.0</v>
      </c>
      <c r="BI477" s="11">
        <v>240300.0</v>
      </c>
      <c r="BJ477" s="11">
        <v>276440.0</v>
      </c>
      <c r="BK477" s="11">
        <v>242190.0</v>
      </c>
      <c r="BL477" s="11">
        <v>208320.0</v>
      </c>
      <c r="BM477" s="11">
        <v>3510.0</v>
      </c>
      <c r="BN477" s="11">
        <v>20750.0</v>
      </c>
      <c r="BO477" s="11">
        <v>631.0</v>
      </c>
      <c r="BP477" s="11">
        <v>318.0</v>
      </c>
      <c r="BQ477" s="11">
        <v>262.0</v>
      </c>
      <c r="BR477" s="12"/>
      <c r="BS477" s="12"/>
      <c r="BT477" s="12"/>
      <c r="BU477" s="12"/>
      <c r="BV477" s="12"/>
      <c r="BW477" s="11">
        <v>399180.0</v>
      </c>
      <c r="BX477" s="11">
        <v>272540.0</v>
      </c>
      <c r="BY477" s="11">
        <v>285800.0</v>
      </c>
      <c r="BZ477" s="11">
        <v>248670.0</v>
      </c>
      <c r="CA477" s="11">
        <v>213060.0</v>
      </c>
      <c r="CB477" s="11">
        <v>23430.0</v>
      </c>
      <c r="CC477" s="11">
        <v>2060.0</v>
      </c>
      <c r="CD477" s="11">
        <v>2530.0</v>
      </c>
      <c r="CE477" s="11">
        <v>3120.0</v>
      </c>
      <c r="CF477" s="11">
        <v>4090.0</v>
      </c>
      <c r="CG477" s="12"/>
      <c r="CH477" s="12"/>
      <c r="CI477" s="12"/>
      <c r="CJ477" s="12"/>
      <c r="CK477" s="12"/>
      <c r="CL477" s="11">
        <v>430360.0</v>
      </c>
      <c r="CM477" s="11">
        <v>275500.0</v>
      </c>
      <c r="CN477" s="11">
        <v>289360.0</v>
      </c>
      <c r="CO477" s="11">
        <v>252440.0</v>
      </c>
      <c r="CP477" s="11">
        <v>217900.0</v>
      </c>
      <c r="CQ477" s="11">
        <v>8780.0</v>
      </c>
      <c r="CR477" s="11">
        <v>4780.0</v>
      </c>
      <c r="CS477" s="11">
        <v>7000.0</v>
      </c>
      <c r="CT477" s="11">
        <v>4990.0</v>
      </c>
      <c r="CU477" s="11">
        <v>4650.0</v>
      </c>
      <c r="CV477" s="11">
        <v>34390.0</v>
      </c>
      <c r="CW477" s="11">
        <v>3040.0</v>
      </c>
      <c r="CX477" s="12"/>
      <c r="CY477" s="12"/>
      <c r="CZ477" s="12"/>
      <c r="DA477" s="12"/>
      <c r="DB477" s="11">
        <v>34390.0</v>
      </c>
      <c r="DC477" s="11">
        <v>37830.0</v>
      </c>
      <c r="DD477" s="11">
        <v>24660.0</v>
      </c>
      <c r="DE477" s="11">
        <v>21620.0</v>
      </c>
      <c r="DF477" s="11">
        <v>99220.0</v>
      </c>
      <c r="DG477" s="11">
        <v>42490.0</v>
      </c>
      <c r="DH477" s="11">
        <v>53990.0</v>
      </c>
      <c r="DI477" s="11">
        <v>50740.0</v>
      </c>
      <c r="DJ477" s="11">
        <v>48370.0</v>
      </c>
      <c r="DK477" s="11">
        <v>1510.0</v>
      </c>
      <c r="DL477" s="11">
        <v>462.0</v>
      </c>
      <c r="DM477" s="12"/>
      <c r="DN477" s="12"/>
      <c r="DO477" s="12"/>
      <c r="DP477" s="11">
        <v>55220.0</v>
      </c>
      <c r="DQ477" s="11">
        <v>53.0</v>
      </c>
      <c r="DR477" s="12"/>
      <c r="DS477" s="11">
        <v>110.0</v>
      </c>
      <c r="DT477" s="11">
        <v>730.0</v>
      </c>
      <c r="DU477" s="11">
        <v>37430.0</v>
      </c>
      <c r="DV477" s="12"/>
      <c r="DW477" s="12"/>
      <c r="DX477" s="13"/>
      <c r="DY477" s="13"/>
      <c r="DZ477" s="11">
        <v>331140.0</v>
      </c>
      <c r="EA477" s="11">
        <v>233010.0</v>
      </c>
      <c r="EB477" s="11">
        <v>235370.0</v>
      </c>
      <c r="EC477" s="11">
        <v>201700.0</v>
      </c>
      <c r="ED477" s="11">
        <v>169530.0</v>
      </c>
      <c r="EE477" s="14">
        <v>0.772</v>
      </c>
      <c r="EF477" s="14">
        <v>0.788</v>
      </c>
      <c r="EG477" s="14">
        <v>0.049</v>
      </c>
      <c r="EH477" s="14">
        <v>0.106</v>
      </c>
    </row>
    <row r="478">
      <c r="A478" s="9">
        <f t="shared" si="2"/>
        <v>476</v>
      </c>
      <c r="B478" s="22" t="s">
        <v>612</v>
      </c>
      <c r="C478" s="12"/>
      <c r="D478" s="12"/>
      <c r="E478" s="12"/>
      <c r="F478" s="12"/>
      <c r="G478" s="12"/>
      <c r="H478" s="12"/>
      <c r="I478" s="12"/>
      <c r="J478" s="11">
        <v>-23.0</v>
      </c>
      <c r="K478" s="11">
        <v>-6.0</v>
      </c>
      <c r="L478" s="11">
        <v>0.0</v>
      </c>
      <c r="M478" s="12"/>
      <c r="N478" s="12"/>
      <c r="O478" s="11">
        <v>4.0</v>
      </c>
      <c r="P478" s="11">
        <v>8610.0</v>
      </c>
      <c r="Q478" s="11">
        <v>1710.0</v>
      </c>
      <c r="R478" s="12"/>
      <c r="S478" s="12"/>
      <c r="T478" s="11">
        <v>18.0</v>
      </c>
      <c r="U478" s="11">
        <v>4940.0</v>
      </c>
      <c r="V478" s="11">
        <v>1330.0</v>
      </c>
      <c r="W478" s="12"/>
      <c r="X478" s="12"/>
      <c r="Y478" s="12"/>
      <c r="Z478" s="11">
        <v>-11030.0</v>
      </c>
      <c r="AA478" s="11">
        <v>-1880.0</v>
      </c>
      <c r="AB478" s="12"/>
      <c r="AC478" s="12"/>
      <c r="AD478" s="11">
        <v>-25600.0</v>
      </c>
      <c r="AE478" s="11">
        <v>-13250.0</v>
      </c>
      <c r="AF478" s="11">
        <v>-2260.0</v>
      </c>
      <c r="AG478" s="12"/>
      <c r="AH478" s="12"/>
      <c r="AI478" s="11">
        <v>-4.0</v>
      </c>
      <c r="AJ478" s="11">
        <v>-8610.0</v>
      </c>
      <c r="AK478" s="11">
        <v>-1710.0</v>
      </c>
      <c r="AL478" s="12"/>
      <c r="AM478" s="12"/>
      <c r="AN478" s="11">
        <v>-25600.0</v>
      </c>
      <c r="AO478" s="11">
        <v>-13250.0</v>
      </c>
      <c r="AP478" s="11">
        <v>-2260.0</v>
      </c>
      <c r="AQ478" s="12"/>
      <c r="AR478" s="12"/>
      <c r="AS478" s="11">
        <v>-23.0</v>
      </c>
      <c r="AT478" s="11">
        <v>-7530.0</v>
      </c>
      <c r="AU478" s="11">
        <v>-662.0</v>
      </c>
      <c r="AV478" s="12"/>
      <c r="AW478" s="12"/>
      <c r="AX478" s="11">
        <v>0.0</v>
      </c>
      <c r="AY478" s="11">
        <v>-35.0</v>
      </c>
      <c r="AZ478" s="11">
        <v>-2.0</v>
      </c>
      <c r="BA478" s="12"/>
      <c r="BB478" s="12"/>
      <c r="BC478" s="12"/>
      <c r="BD478" s="12"/>
      <c r="BE478" s="12"/>
      <c r="BF478" s="12"/>
      <c r="BG478" s="12"/>
      <c r="BH478" s="11">
        <v>53.0</v>
      </c>
      <c r="BI478" s="11">
        <v>65910.0</v>
      </c>
      <c r="BJ478" s="11">
        <v>7100.0</v>
      </c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1">
        <v>55.0</v>
      </c>
      <c r="BX478" s="11">
        <v>67100.0</v>
      </c>
      <c r="BY478" s="11">
        <v>7150.0</v>
      </c>
      <c r="BZ478" s="12"/>
      <c r="CA478" s="12"/>
      <c r="CB478" s="11">
        <v>0.0</v>
      </c>
      <c r="CC478" s="11">
        <v>64.0</v>
      </c>
      <c r="CD478" s="11">
        <v>2.0</v>
      </c>
      <c r="CE478" s="12"/>
      <c r="CF478" s="12"/>
      <c r="CG478" s="12"/>
      <c r="CH478" s="12"/>
      <c r="CI478" s="12"/>
      <c r="CJ478" s="12"/>
      <c r="CK478" s="12"/>
      <c r="CL478" s="11">
        <v>56.0</v>
      </c>
      <c r="CM478" s="11">
        <v>67160.0</v>
      </c>
      <c r="CN478" s="11">
        <v>7150.0</v>
      </c>
      <c r="CO478" s="12"/>
      <c r="CP478" s="12"/>
      <c r="CQ478" s="11">
        <v>2.0</v>
      </c>
      <c r="CR478" s="11">
        <v>1120.0</v>
      </c>
      <c r="CS478" s="12"/>
      <c r="CT478" s="12"/>
      <c r="CU478" s="12"/>
      <c r="CV478" s="11">
        <v>4.0</v>
      </c>
      <c r="CW478" s="12"/>
      <c r="CX478" s="12"/>
      <c r="CY478" s="12"/>
      <c r="CZ478" s="12"/>
      <c r="DA478" s="12"/>
      <c r="DB478" s="11">
        <v>4.0</v>
      </c>
      <c r="DC478" s="11">
        <v>2030.0</v>
      </c>
      <c r="DD478" s="11">
        <v>569.0</v>
      </c>
      <c r="DE478" s="12"/>
      <c r="DF478" s="11">
        <v>4.0</v>
      </c>
      <c r="DG478" s="11">
        <v>2230.0</v>
      </c>
      <c r="DH478" s="11">
        <v>9400.0</v>
      </c>
      <c r="DI478" s="12"/>
      <c r="DJ478" s="12"/>
      <c r="DK478" s="12"/>
      <c r="DL478" s="12"/>
      <c r="DM478" s="12"/>
      <c r="DN478" s="12"/>
      <c r="DO478" s="12"/>
      <c r="DP478" s="12"/>
      <c r="DQ478" s="12"/>
      <c r="DR478" s="11">
        <v>8060.0</v>
      </c>
      <c r="DS478" s="12"/>
      <c r="DT478" s="12"/>
      <c r="DU478" s="13"/>
      <c r="DV478" s="12"/>
      <c r="DW478" s="12"/>
      <c r="DX478" s="13"/>
      <c r="DY478" s="13"/>
      <c r="DZ478" s="11">
        <v>42.0</v>
      </c>
      <c r="EA478" s="11">
        <v>64940.0</v>
      </c>
      <c r="EB478" s="11">
        <v>-2250.0</v>
      </c>
      <c r="EC478" s="12"/>
      <c r="ED478" s="12"/>
      <c r="EE478" s="23"/>
      <c r="EF478" s="23"/>
      <c r="EG478" s="14">
        <v>0.178</v>
      </c>
      <c r="EH478" s="14">
        <v>0.026</v>
      </c>
    </row>
    <row r="479">
      <c r="A479" s="9">
        <f t="shared" si="2"/>
        <v>477</v>
      </c>
      <c r="B479" s="10" t="s">
        <v>613</v>
      </c>
      <c r="C479" s="15">
        <v>7650000.0</v>
      </c>
      <c r="D479" s="15">
        <v>3130000.0</v>
      </c>
      <c r="E479" s="15">
        <v>2530000.0</v>
      </c>
      <c r="F479" s="15">
        <v>2060000.0</v>
      </c>
      <c r="G479" s="15">
        <v>1480000.0</v>
      </c>
      <c r="H479" s="15">
        <v>892900.0</v>
      </c>
      <c r="I479" s="15">
        <v>719780.0</v>
      </c>
      <c r="J479" s="15">
        <v>1120000.0</v>
      </c>
      <c r="K479" s="15">
        <v>842990.0</v>
      </c>
      <c r="L479" s="15">
        <v>561240.0</v>
      </c>
      <c r="M479" s="15">
        <v>289790.0</v>
      </c>
      <c r="N479" s="15">
        <v>216080.0</v>
      </c>
      <c r="O479" s="15">
        <v>672120.0</v>
      </c>
      <c r="P479" s="15">
        <v>502390.0</v>
      </c>
      <c r="Q479" s="15">
        <v>354950.0</v>
      </c>
      <c r="R479" s="15">
        <v>190670.0</v>
      </c>
      <c r="S479" s="15">
        <v>143880.0</v>
      </c>
      <c r="T479" s="15">
        <v>0.0</v>
      </c>
      <c r="U479" s="15">
        <v>0.0</v>
      </c>
      <c r="V479" s="15">
        <v>0.0</v>
      </c>
      <c r="W479" s="15">
        <v>0.0</v>
      </c>
      <c r="X479" s="15">
        <v>0.0</v>
      </c>
      <c r="Y479" s="15">
        <v>364090.0</v>
      </c>
      <c r="Z479" s="15">
        <v>308400.0</v>
      </c>
      <c r="AA479" s="15">
        <v>-149220.0</v>
      </c>
      <c r="AB479" s="15">
        <v>89730.0</v>
      </c>
      <c r="AC479" s="15">
        <v>102710.0</v>
      </c>
      <c r="AD479" s="15">
        <v>124980.0</v>
      </c>
      <c r="AE479" s="15">
        <v>135620.0</v>
      </c>
      <c r="AF479" s="15">
        <v>-43390.0</v>
      </c>
      <c r="AG479" s="15">
        <v>38050.0</v>
      </c>
      <c r="AH479" s="15">
        <v>44600.0</v>
      </c>
      <c r="AI479" s="15">
        <v>673080.0</v>
      </c>
      <c r="AJ479" s="15">
        <v>498020.0</v>
      </c>
      <c r="AK479" s="15">
        <v>312180.0</v>
      </c>
      <c r="AL479" s="15">
        <v>162570.0</v>
      </c>
      <c r="AM479" s="15">
        <v>129130.0</v>
      </c>
      <c r="AN479" s="15">
        <v>81000.0</v>
      </c>
      <c r="AO479" s="15">
        <v>95240.0</v>
      </c>
      <c r="AP479" s="15">
        <v>73380.0</v>
      </c>
      <c r="AQ479" s="15">
        <v>24800.0</v>
      </c>
      <c r="AR479" s="15">
        <v>114180.0</v>
      </c>
      <c r="AS479" s="15">
        <v>312530.0</v>
      </c>
      <c r="AT479" s="15">
        <v>322610.0</v>
      </c>
      <c r="AU479" s="15">
        <v>129790.0</v>
      </c>
      <c r="AV479" s="15">
        <v>94710.0</v>
      </c>
      <c r="AW479" s="15">
        <v>56000.0</v>
      </c>
      <c r="AX479" s="15">
        <v>-170770.0</v>
      </c>
      <c r="AY479" s="15">
        <v>-147420.0</v>
      </c>
      <c r="AZ479" s="15">
        <v>-83160.0</v>
      </c>
      <c r="BA479" s="15">
        <v>-47380.0</v>
      </c>
      <c r="BB479" s="15">
        <v>-36760.0</v>
      </c>
      <c r="BC479" s="16">
        <v>0.0</v>
      </c>
      <c r="BD479" s="16">
        <v>0.0</v>
      </c>
      <c r="BE479" s="16">
        <v>0.0</v>
      </c>
      <c r="BF479" s="16">
        <v>0.0</v>
      </c>
      <c r="BG479" s="16">
        <v>0.0</v>
      </c>
      <c r="BH479" s="15">
        <v>244460.0</v>
      </c>
      <c r="BI479" s="15">
        <v>272600.0</v>
      </c>
      <c r="BJ479" s="15">
        <v>155490.0</v>
      </c>
      <c r="BK479" s="15">
        <v>63440.0</v>
      </c>
      <c r="BL479" s="15">
        <v>83550.0</v>
      </c>
      <c r="BM479" s="15">
        <v>57710.0</v>
      </c>
      <c r="BN479" s="15">
        <v>76230.0</v>
      </c>
      <c r="BO479" s="15">
        <v>50850.0</v>
      </c>
      <c r="BP479" s="15">
        <v>14690.0</v>
      </c>
      <c r="BQ479" s="15">
        <v>9980.0</v>
      </c>
      <c r="BR479" s="15">
        <v>18380.0</v>
      </c>
      <c r="BS479" s="15">
        <v>20600.0</v>
      </c>
      <c r="BT479" s="15">
        <v>16870.0</v>
      </c>
      <c r="BU479" s="15">
        <v>11060.0</v>
      </c>
      <c r="BV479" s="15">
        <v>11740.0</v>
      </c>
      <c r="BW479" s="15">
        <v>604640.0</v>
      </c>
      <c r="BX479" s="15">
        <v>573200.0</v>
      </c>
      <c r="BY479" s="15">
        <v>251030.0</v>
      </c>
      <c r="BZ479" s="15">
        <v>101750.0</v>
      </c>
      <c r="CA479" s="15">
        <v>116180.0</v>
      </c>
      <c r="CB479" s="15">
        <v>2800000.0</v>
      </c>
      <c r="CC479" s="15">
        <v>2880000.0</v>
      </c>
      <c r="CD479" s="15">
        <v>1500000.0</v>
      </c>
      <c r="CE479" s="15">
        <v>612340.0</v>
      </c>
      <c r="CF479" s="15">
        <v>642640.0</v>
      </c>
      <c r="CG479" s="15">
        <v>909720.0</v>
      </c>
      <c r="CH479" s="15">
        <v>1010000.0</v>
      </c>
      <c r="CI479" s="15">
        <v>747110.0</v>
      </c>
      <c r="CJ479" s="15">
        <v>66830.0</v>
      </c>
      <c r="CK479" s="15">
        <v>66830.0</v>
      </c>
      <c r="CL479" s="15">
        <v>5640000.0</v>
      </c>
      <c r="CM479" s="15">
        <v>5910000.0</v>
      </c>
      <c r="CN479" s="15">
        <v>3550000.0</v>
      </c>
      <c r="CO479" s="15">
        <v>1290000.0</v>
      </c>
      <c r="CP479" s="15">
        <v>1330000.0</v>
      </c>
      <c r="CQ479" s="15">
        <v>61950.0</v>
      </c>
      <c r="CR479" s="15">
        <v>58520.0</v>
      </c>
      <c r="CS479" s="15">
        <v>34780.0</v>
      </c>
      <c r="CT479" s="15">
        <v>21580.0</v>
      </c>
      <c r="CU479" s="15">
        <v>17010.0</v>
      </c>
      <c r="CV479" s="15">
        <v>688450.0</v>
      </c>
      <c r="CW479" s="15">
        <v>19990.0</v>
      </c>
      <c r="CX479" s="16">
        <v>0.0</v>
      </c>
      <c r="CY479" s="16">
        <v>0.0</v>
      </c>
      <c r="CZ479" s="16">
        <v>0.0</v>
      </c>
      <c r="DA479" s="15">
        <v>0.0</v>
      </c>
      <c r="DB479" s="15">
        <v>688450.0</v>
      </c>
      <c r="DC479" s="15">
        <v>402180.0</v>
      </c>
      <c r="DD479" s="15">
        <v>223750.0</v>
      </c>
      <c r="DE479" s="15">
        <v>102040.0</v>
      </c>
      <c r="DF479" s="15">
        <v>4520000.0</v>
      </c>
      <c r="DG479" s="15">
        <v>4880000.0</v>
      </c>
      <c r="DH479" s="15">
        <v>2600000.0</v>
      </c>
      <c r="DI479" s="15">
        <v>995590.0</v>
      </c>
      <c r="DJ479" s="15">
        <v>1050000.0</v>
      </c>
      <c r="DK479" s="15">
        <v>181840.0</v>
      </c>
      <c r="DL479" s="15">
        <v>39640.0</v>
      </c>
      <c r="DM479" s="15">
        <v>27960.0</v>
      </c>
      <c r="DN479" s="15">
        <v>15510.0</v>
      </c>
      <c r="DO479" s="15">
        <v>1290.0</v>
      </c>
      <c r="DP479" s="15">
        <v>3470000.0</v>
      </c>
      <c r="DQ479" s="15">
        <v>4220000.0</v>
      </c>
      <c r="DR479" s="15">
        <v>2190000.0</v>
      </c>
      <c r="DS479" s="15">
        <v>795880.0</v>
      </c>
      <c r="DT479" s="15">
        <v>861710.0</v>
      </c>
      <c r="DU479" s="16">
        <v>0.0</v>
      </c>
      <c r="DV479" s="15">
        <v>0.0</v>
      </c>
      <c r="DW479" s="15">
        <v>0.0</v>
      </c>
      <c r="DX479" s="16">
        <v>0.0</v>
      </c>
      <c r="DY479" s="16">
        <v>0.0</v>
      </c>
      <c r="DZ479" s="15">
        <v>1120000.0</v>
      </c>
      <c r="EA479" s="15">
        <v>1030000.0</v>
      </c>
      <c r="EB479" s="15">
        <v>941600.0</v>
      </c>
      <c r="EC479" s="15">
        <v>298450.0</v>
      </c>
      <c r="ED479" s="15">
        <v>270670.0</v>
      </c>
      <c r="EE479" s="17">
        <v>1.137</v>
      </c>
      <c r="EF479" s="17">
        <v>1.22</v>
      </c>
      <c r="EG479" s="23" t="s">
        <v>614</v>
      </c>
      <c r="EH479" s="17">
        <v>-0.78</v>
      </c>
    </row>
    <row r="480">
      <c r="A480" s="9">
        <f t="shared" si="2"/>
        <v>478</v>
      </c>
      <c r="B480" s="10" t="s">
        <v>615</v>
      </c>
      <c r="C480" s="15">
        <v>4820000.0</v>
      </c>
      <c r="D480" s="15">
        <v>3990000.0</v>
      </c>
      <c r="E480" s="15">
        <v>1.047E7</v>
      </c>
      <c r="F480" s="15">
        <v>7890000.0</v>
      </c>
      <c r="G480" s="15">
        <v>1.878E7</v>
      </c>
      <c r="H480" s="15">
        <v>2.144E7</v>
      </c>
      <c r="I480" s="15">
        <v>2.03E7</v>
      </c>
      <c r="J480" s="15">
        <v>1430000.0</v>
      </c>
      <c r="K480" s="15">
        <v>711980.0</v>
      </c>
      <c r="L480" s="15">
        <v>3510000.0</v>
      </c>
      <c r="M480" s="15">
        <v>4280000.0</v>
      </c>
      <c r="N480" s="15">
        <v>3750000.0</v>
      </c>
      <c r="O480" s="15">
        <v>1250000.0</v>
      </c>
      <c r="P480" s="15">
        <v>1180000.0</v>
      </c>
      <c r="Q480" s="15">
        <v>2090000.0</v>
      </c>
      <c r="R480" s="15">
        <v>2330000.0</v>
      </c>
      <c r="S480" s="15">
        <v>2040000.0</v>
      </c>
      <c r="T480" s="15">
        <v>78440.0</v>
      </c>
      <c r="U480" s="15">
        <v>70870.0</v>
      </c>
      <c r="V480" s="15">
        <v>157560.0</v>
      </c>
      <c r="W480" s="15">
        <v>161990.0</v>
      </c>
      <c r="X480" s="15">
        <v>142300.0</v>
      </c>
      <c r="Y480" s="15">
        <v>-712860.0</v>
      </c>
      <c r="Z480" s="15">
        <v>-176780.0</v>
      </c>
      <c r="AA480" s="15">
        <v>-43000.0</v>
      </c>
      <c r="AB480" s="15">
        <v>670550.0</v>
      </c>
      <c r="AC480" s="15">
        <v>995600.0</v>
      </c>
      <c r="AD480" s="15">
        <v>-400430.0</v>
      </c>
      <c r="AE480" s="15">
        <v>-1060000.0</v>
      </c>
      <c r="AF480" s="15">
        <v>984580.0</v>
      </c>
      <c r="AG480" s="15">
        <v>556780.0</v>
      </c>
      <c r="AH480" s="15">
        <v>1100000.0</v>
      </c>
      <c r="AI480" s="15">
        <v>163120.0</v>
      </c>
      <c r="AJ480" s="15">
        <v>-372810.0</v>
      </c>
      <c r="AK480" s="15">
        <v>2220000.0</v>
      </c>
      <c r="AL480" s="15">
        <v>2320000.0</v>
      </c>
      <c r="AM480" s="15">
        <v>2190000.0</v>
      </c>
      <c r="AN480" s="15">
        <v>-870370.0</v>
      </c>
      <c r="AO480" s="15">
        <v>-1000000.0</v>
      </c>
      <c r="AP480" s="15">
        <v>850700.0</v>
      </c>
      <c r="AQ480" s="15">
        <v>585430.0</v>
      </c>
      <c r="AR480" s="15">
        <v>241600.0</v>
      </c>
      <c r="AS480" s="15">
        <v>1800000.0</v>
      </c>
      <c r="AT480" s="15">
        <v>1290000.0</v>
      </c>
      <c r="AU480" s="15">
        <v>3250000.0</v>
      </c>
      <c r="AV480" s="15">
        <v>894530.0</v>
      </c>
      <c r="AW480" s="15">
        <v>3830000.0</v>
      </c>
      <c r="AX480" s="15">
        <v>-2250000.0</v>
      </c>
      <c r="AY480" s="15">
        <v>-1630000.0</v>
      </c>
      <c r="AZ480" s="15">
        <v>-2270000.0</v>
      </c>
      <c r="BA480" s="15">
        <v>-3100000.0</v>
      </c>
      <c r="BB480" s="15">
        <v>-2590000.0</v>
      </c>
      <c r="BC480" s="15">
        <v>-7300.0</v>
      </c>
      <c r="BD480" s="15">
        <v>-139650.0</v>
      </c>
      <c r="BE480" s="15">
        <v>-173040.0</v>
      </c>
      <c r="BF480" s="15">
        <v>-99800.0</v>
      </c>
      <c r="BG480" s="15">
        <v>-182360.0</v>
      </c>
      <c r="BH480" s="15">
        <v>5100000.0</v>
      </c>
      <c r="BI480" s="15">
        <v>1.172E7</v>
      </c>
      <c r="BJ480" s="15">
        <v>1.203E7</v>
      </c>
      <c r="BK480" s="15">
        <v>9900000.0</v>
      </c>
      <c r="BL480" s="15">
        <v>1.091E7</v>
      </c>
      <c r="BM480" s="15">
        <v>3110000.0</v>
      </c>
      <c r="BN480" s="15">
        <v>4200000.0</v>
      </c>
      <c r="BO480" s="15">
        <v>3740000.0</v>
      </c>
      <c r="BP480" s="15">
        <v>3170000.0</v>
      </c>
      <c r="BQ480" s="15">
        <v>4220000.0</v>
      </c>
      <c r="BR480" s="15">
        <v>5260000.0</v>
      </c>
      <c r="BS480" s="15">
        <v>9710000.0</v>
      </c>
      <c r="BT480" s="15">
        <v>7110000.0</v>
      </c>
      <c r="BU480" s="15">
        <v>8140000.0</v>
      </c>
      <c r="BV480" s="15">
        <v>9040000.0</v>
      </c>
      <c r="BW480" s="15">
        <v>3.455E7</v>
      </c>
      <c r="BX480" s="15">
        <v>2.74E7</v>
      </c>
      <c r="BY480" s="15">
        <v>2.342E7</v>
      </c>
      <c r="BZ480" s="15">
        <v>2.21E7</v>
      </c>
      <c r="CA480" s="15">
        <v>2.504E7</v>
      </c>
      <c r="CB480" s="15">
        <v>4060000.0</v>
      </c>
      <c r="CC480" s="15">
        <v>7610000.0</v>
      </c>
      <c r="CD480" s="15">
        <v>6960000.0</v>
      </c>
      <c r="CE480" s="15">
        <v>7020000.0</v>
      </c>
      <c r="CF480" s="15">
        <v>7920000.0</v>
      </c>
      <c r="CG480" s="15">
        <v>40360.0</v>
      </c>
      <c r="CH480" s="15">
        <v>40230.0</v>
      </c>
      <c r="CI480" s="15">
        <v>39730.0</v>
      </c>
      <c r="CJ480" s="15">
        <v>68100.0</v>
      </c>
      <c r="CK480" s="15">
        <v>69050.0</v>
      </c>
      <c r="CL480" s="15">
        <v>4.261E7</v>
      </c>
      <c r="CM480" s="15">
        <v>4.376E7</v>
      </c>
      <c r="CN480" s="15">
        <v>3.961E7</v>
      </c>
      <c r="CO480" s="15">
        <v>3.802E7</v>
      </c>
      <c r="CP480" s="15">
        <v>4.557E7</v>
      </c>
      <c r="CQ480" s="15">
        <v>1440000.0</v>
      </c>
      <c r="CR480" s="15">
        <v>3460000.0</v>
      </c>
      <c r="CS480" s="15">
        <v>2730000.0</v>
      </c>
      <c r="CT480" s="15">
        <v>3100000.0</v>
      </c>
      <c r="CU480" s="15">
        <v>4040000.0</v>
      </c>
      <c r="CV480" s="15">
        <v>2.574E7</v>
      </c>
      <c r="CW480" s="15">
        <v>59970.0</v>
      </c>
      <c r="CX480" s="15">
        <v>694700.0</v>
      </c>
      <c r="CY480" s="15">
        <v>1290000.0</v>
      </c>
      <c r="CZ480" s="15">
        <v>1660000.0</v>
      </c>
      <c r="DA480" s="15">
        <v>856360.0</v>
      </c>
      <c r="DB480" s="15">
        <v>2.574E7</v>
      </c>
      <c r="DC480" s="15">
        <v>1.173E7</v>
      </c>
      <c r="DD480" s="15">
        <v>9270000.0</v>
      </c>
      <c r="DE480" s="15">
        <v>1.037E7</v>
      </c>
      <c r="DF480" s="15">
        <v>2.805E7</v>
      </c>
      <c r="DG480" s="15">
        <v>2.849E7</v>
      </c>
      <c r="DH480" s="15">
        <v>2.579E7</v>
      </c>
      <c r="DI480" s="15">
        <v>2.517E7</v>
      </c>
      <c r="DJ480" s="15">
        <v>3.056E7</v>
      </c>
      <c r="DK480" s="15">
        <v>95610.0</v>
      </c>
      <c r="DL480" s="15">
        <v>751220.0</v>
      </c>
      <c r="DM480" s="15">
        <v>865450.0</v>
      </c>
      <c r="DN480" s="15">
        <v>2260000.0</v>
      </c>
      <c r="DO480" s="15">
        <v>5220000.0</v>
      </c>
      <c r="DP480" s="15">
        <v>442030.0</v>
      </c>
      <c r="DQ480" s="15">
        <v>1.344E7</v>
      </c>
      <c r="DR480" s="15">
        <v>1.26E7</v>
      </c>
      <c r="DS480" s="15">
        <v>1.059E7</v>
      </c>
      <c r="DT480" s="15">
        <v>1.293E7</v>
      </c>
      <c r="DU480" s="16">
        <v>0.0</v>
      </c>
      <c r="DV480" s="15">
        <v>0.0</v>
      </c>
      <c r="DW480" s="15">
        <v>0.0</v>
      </c>
      <c r="DX480" s="16">
        <v>0.0</v>
      </c>
      <c r="DY480" s="16">
        <v>0.0</v>
      </c>
      <c r="DZ480" s="15">
        <v>1.408E7</v>
      </c>
      <c r="EA480" s="15">
        <v>1.481E7</v>
      </c>
      <c r="EB480" s="15">
        <v>1.335E7</v>
      </c>
      <c r="EC480" s="15">
        <v>1.246E7</v>
      </c>
      <c r="ED480" s="15">
        <v>1.453E7</v>
      </c>
      <c r="EE480" s="17">
        <v>0.226</v>
      </c>
      <c r="EF480" s="17">
        <v>0.311</v>
      </c>
      <c r="EG480" s="17">
        <v>-0.697</v>
      </c>
      <c r="EH480" s="17">
        <v>-1.309</v>
      </c>
    </row>
    <row r="481">
      <c r="A481" s="9">
        <f t="shared" si="2"/>
        <v>479</v>
      </c>
      <c r="B481" s="10" t="s">
        <v>616</v>
      </c>
      <c r="C481" s="15">
        <v>231860.0</v>
      </c>
      <c r="D481" s="15">
        <v>196380.0</v>
      </c>
      <c r="E481" s="15">
        <v>270130.0</v>
      </c>
      <c r="F481" s="15">
        <v>261250.0</v>
      </c>
      <c r="G481" s="15">
        <v>252990.0</v>
      </c>
      <c r="H481" s="15">
        <v>274430.0</v>
      </c>
      <c r="I481" s="15">
        <v>284180.0</v>
      </c>
      <c r="J481" s="15">
        <v>113520.0</v>
      </c>
      <c r="K481" s="15">
        <v>124820.0</v>
      </c>
      <c r="L481" s="15">
        <v>86940.0</v>
      </c>
      <c r="M481" s="15">
        <v>100530.0</v>
      </c>
      <c r="N481" s="15">
        <v>127790.0</v>
      </c>
      <c r="O481" s="15">
        <v>32200.0</v>
      </c>
      <c r="P481" s="15">
        <v>60440.0</v>
      </c>
      <c r="Q481" s="15">
        <v>59610.0</v>
      </c>
      <c r="R481" s="15">
        <v>60340.0</v>
      </c>
      <c r="S481" s="15">
        <v>48940.0</v>
      </c>
      <c r="T481" s="15">
        <v>0.0</v>
      </c>
      <c r="U481" s="15">
        <v>0.0</v>
      </c>
      <c r="V481" s="15">
        <v>0.0</v>
      </c>
      <c r="W481" s="15">
        <v>0.0</v>
      </c>
      <c r="X481" s="15">
        <v>0.0</v>
      </c>
      <c r="Y481" s="15">
        <v>-397340.0</v>
      </c>
      <c r="Z481" s="15">
        <v>41280.0</v>
      </c>
      <c r="AA481" s="15">
        <v>35740.0</v>
      </c>
      <c r="AB481" s="15">
        <v>-6110.0</v>
      </c>
      <c r="AC481" s="15">
        <v>68940.0</v>
      </c>
      <c r="AD481" s="15">
        <v>-403130.0</v>
      </c>
      <c r="AE481" s="15">
        <v>0.0</v>
      </c>
      <c r="AF481" s="15">
        <v>22490.0</v>
      </c>
      <c r="AG481" s="15">
        <v>26000.0</v>
      </c>
      <c r="AH481" s="15">
        <v>62510.0</v>
      </c>
      <c r="AI481" s="15">
        <v>213740.0</v>
      </c>
      <c r="AJ481" s="15">
        <v>182660.0</v>
      </c>
      <c r="AK481" s="15">
        <v>165550.0</v>
      </c>
      <c r="AL481" s="15">
        <v>170780.0</v>
      </c>
      <c r="AM481" s="15">
        <v>197800.0</v>
      </c>
      <c r="AN481" s="15">
        <v>-423870.0</v>
      </c>
      <c r="AO481" s="15">
        <v>-22580.0</v>
      </c>
      <c r="AP481" s="15">
        <v>3810.0</v>
      </c>
      <c r="AQ481" s="15">
        <v>3800.0</v>
      </c>
      <c r="AR481" s="15">
        <v>40340.0</v>
      </c>
      <c r="AS481" s="15">
        <v>76800.0</v>
      </c>
      <c r="AT481" s="15">
        <v>85780.0</v>
      </c>
      <c r="AU481" s="15">
        <v>101690.0</v>
      </c>
      <c r="AV481" s="15">
        <v>237530.0</v>
      </c>
      <c r="AW481" s="15">
        <v>122150.0</v>
      </c>
      <c r="AX481" s="15">
        <v>-109010.0</v>
      </c>
      <c r="AY481" s="15">
        <v>-187990.0</v>
      </c>
      <c r="AZ481" s="15">
        <v>-174160.0</v>
      </c>
      <c r="BA481" s="15">
        <v>-214460.0</v>
      </c>
      <c r="BB481" s="15">
        <v>-278070.0</v>
      </c>
      <c r="BC481" s="16">
        <v>0.0</v>
      </c>
      <c r="BD481" s="16">
        <v>0.0</v>
      </c>
      <c r="BE481" s="16">
        <v>0.0</v>
      </c>
      <c r="BF481" s="16">
        <v>0.0</v>
      </c>
      <c r="BG481" s="16">
        <v>0.0</v>
      </c>
      <c r="BH481" s="15">
        <v>146020.0</v>
      </c>
      <c r="BI481" s="15">
        <v>94130.0</v>
      </c>
      <c r="BJ481" s="15">
        <v>119250.0</v>
      </c>
      <c r="BK481" s="15">
        <v>184600.0</v>
      </c>
      <c r="BL481" s="15">
        <v>155990.0</v>
      </c>
      <c r="BM481" s="15">
        <v>205150.0</v>
      </c>
      <c r="BN481" s="15">
        <v>245080.0</v>
      </c>
      <c r="BO481" s="15">
        <v>243020.0</v>
      </c>
      <c r="BP481" s="15">
        <v>188600.0</v>
      </c>
      <c r="BQ481" s="15">
        <v>210130.0</v>
      </c>
      <c r="BR481" s="15">
        <v>0.0</v>
      </c>
      <c r="BS481" s="15">
        <v>0.0</v>
      </c>
      <c r="BT481" s="15">
        <v>0.0</v>
      </c>
      <c r="BU481" s="15">
        <v>0.0</v>
      </c>
      <c r="BV481" s="15">
        <v>0.0</v>
      </c>
      <c r="BW481" s="15">
        <v>351600.0</v>
      </c>
      <c r="BX481" s="15">
        <v>339560.0</v>
      </c>
      <c r="BY481" s="15">
        <v>362480.0</v>
      </c>
      <c r="BZ481" s="15">
        <v>373480.0</v>
      </c>
      <c r="CA481" s="15">
        <v>366590.0</v>
      </c>
      <c r="CB481" s="15">
        <v>10920.0</v>
      </c>
      <c r="CC481" s="15">
        <v>10010.0</v>
      </c>
      <c r="CD481" s="15">
        <v>10350.0</v>
      </c>
      <c r="CE481" s="15">
        <v>10690.0</v>
      </c>
      <c r="CF481" s="15">
        <v>9270.0</v>
      </c>
      <c r="CG481" s="15">
        <v>0.0</v>
      </c>
      <c r="CH481" s="15">
        <v>3800.0</v>
      </c>
      <c r="CI481" s="15">
        <v>4990.0</v>
      </c>
      <c r="CJ481" s="15">
        <v>5100.0</v>
      </c>
      <c r="CK481" s="15">
        <v>1880.0</v>
      </c>
      <c r="CL481" s="15">
        <v>1090000.0</v>
      </c>
      <c r="CM481" s="15">
        <v>1410000.0</v>
      </c>
      <c r="CN481" s="15">
        <v>1340000.0</v>
      </c>
      <c r="CO481" s="15">
        <v>1250000.0</v>
      </c>
      <c r="CP481" s="15">
        <v>1150000.0</v>
      </c>
      <c r="CQ481" s="15">
        <v>33670.0</v>
      </c>
      <c r="CR481" s="15">
        <v>25780.0</v>
      </c>
      <c r="CS481" s="15">
        <v>21080.0</v>
      </c>
      <c r="CT481" s="15">
        <v>24180.0</v>
      </c>
      <c r="CU481" s="15">
        <v>10680.0</v>
      </c>
      <c r="CV481" s="15">
        <v>318670.0</v>
      </c>
      <c r="CW481" s="15">
        <v>133290.0</v>
      </c>
      <c r="CX481" s="15">
        <v>87760.0</v>
      </c>
      <c r="CY481" s="15">
        <v>83630.0</v>
      </c>
      <c r="CZ481" s="15">
        <v>73780.0</v>
      </c>
      <c r="DA481" s="15">
        <v>68160.0</v>
      </c>
      <c r="DB481" s="15">
        <v>318670.0</v>
      </c>
      <c r="DC481" s="15">
        <v>239330.0</v>
      </c>
      <c r="DD481" s="15">
        <v>316100.0</v>
      </c>
      <c r="DE481" s="15">
        <v>290690.0</v>
      </c>
      <c r="DF481" s="15">
        <v>431920.0</v>
      </c>
      <c r="DG481" s="15">
        <v>406900.0</v>
      </c>
      <c r="DH481" s="15">
        <v>459820.0</v>
      </c>
      <c r="DI481" s="15">
        <v>438780.0</v>
      </c>
      <c r="DJ481" s="15">
        <v>393480.0</v>
      </c>
      <c r="DK481" s="15">
        <v>3410.0</v>
      </c>
      <c r="DL481" s="15">
        <v>28360.0</v>
      </c>
      <c r="DM481" s="15">
        <v>29950.0</v>
      </c>
      <c r="DN481" s="15">
        <v>31010.0</v>
      </c>
      <c r="DO481" s="15">
        <v>30530.0</v>
      </c>
      <c r="DP481" s="15">
        <v>71920.0</v>
      </c>
      <c r="DQ481" s="15">
        <v>124980.0</v>
      </c>
      <c r="DR481" s="15">
        <v>89840.0</v>
      </c>
      <c r="DS481" s="15">
        <v>92630.0</v>
      </c>
      <c r="DT481" s="15">
        <v>218270.0</v>
      </c>
      <c r="DU481" s="16">
        <v>0.0</v>
      </c>
      <c r="DV481" s="15">
        <v>0.0</v>
      </c>
      <c r="DW481" s="15">
        <v>0.0</v>
      </c>
      <c r="DX481" s="16">
        <v>0.0</v>
      </c>
      <c r="DY481" s="16">
        <v>0.0</v>
      </c>
      <c r="DZ481" s="15">
        <v>521460.0</v>
      </c>
      <c r="EA481" s="15">
        <v>865690.0</v>
      </c>
      <c r="EB481" s="15">
        <v>804460.0</v>
      </c>
      <c r="EC481" s="15">
        <v>740330.0</v>
      </c>
      <c r="ED481" s="15">
        <v>697330.0</v>
      </c>
      <c r="EE481" s="17">
        <v>0.0</v>
      </c>
      <c r="EF481" s="17">
        <v>0.0</v>
      </c>
      <c r="EG481" s="17">
        <v>-3.143</v>
      </c>
      <c r="EH481" s="17">
        <v>-2.725</v>
      </c>
    </row>
    <row r="482">
      <c r="A482" s="9">
        <f t="shared" si="2"/>
        <v>480</v>
      </c>
      <c r="B482" s="22" t="s">
        <v>617</v>
      </c>
      <c r="C482" s="11">
        <v>10570.0</v>
      </c>
      <c r="D482" s="11">
        <v>9540.0</v>
      </c>
      <c r="E482" s="12"/>
      <c r="F482" s="12"/>
      <c r="G482" s="12"/>
      <c r="H482" s="12"/>
      <c r="I482" s="12"/>
      <c r="J482" s="11">
        <v>-4220.0</v>
      </c>
      <c r="K482" s="11">
        <v>-797.0</v>
      </c>
      <c r="L482" s="11">
        <v>-530.0</v>
      </c>
      <c r="M482" s="11">
        <v>-427.0</v>
      </c>
      <c r="N482" s="11">
        <v>-288.0</v>
      </c>
      <c r="O482" s="11">
        <v>65140.0</v>
      </c>
      <c r="P482" s="11">
        <v>47270.0</v>
      </c>
      <c r="Q482" s="11">
        <v>33720.0</v>
      </c>
      <c r="R482" s="11">
        <v>26250.0</v>
      </c>
      <c r="S482" s="11">
        <v>18140.0</v>
      </c>
      <c r="T482" s="11">
        <v>48730.0</v>
      </c>
      <c r="U482" s="11">
        <v>33210.0</v>
      </c>
      <c r="V482" s="11">
        <v>25200.0</v>
      </c>
      <c r="W482" s="11">
        <v>19530.0</v>
      </c>
      <c r="X482" s="11">
        <v>10530.0</v>
      </c>
      <c r="Y482" s="11">
        <v>-68230.0</v>
      </c>
      <c r="Z482" s="11">
        <v>-46810.0</v>
      </c>
      <c r="AA482" s="12"/>
      <c r="AB482" s="12"/>
      <c r="AC482" s="12"/>
      <c r="AD482" s="11">
        <v>-66580.0</v>
      </c>
      <c r="AE482" s="11">
        <v>-42600.0</v>
      </c>
      <c r="AF482" s="11">
        <v>-36720.0</v>
      </c>
      <c r="AG482" s="11">
        <v>-25400.0</v>
      </c>
      <c r="AH482" s="11">
        <v>-17240.0</v>
      </c>
      <c r="AI482" s="11">
        <v>-65140.0</v>
      </c>
      <c r="AJ482" s="11">
        <v>-47270.0</v>
      </c>
      <c r="AK482" s="11">
        <v>-33720.0</v>
      </c>
      <c r="AL482" s="11">
        <v>-25780.0</v>
      </c>
      <c r="AM482" s="11">
        <v>-18140.0</v>
      </c>
      <c r="AN482" s="11">
        <v>-62660.0</v>
      </c>
      <c r="AO482" s="11">
        <v>-38220.0</v>
      </c>
      <c r="AP482" s="11">
        <v>-33530.0</v>
      </c>
      <c r="AQ482" s="11">
        <v>-22010.0</v>
      </c>
      <c r="AR482" s="11">
        <v>-15010.0</v>
      </c>
      <c r="AS482" s="11">
        <v>-43510.0</v>
      </c>
      <c r="AT482" s="11">
        <v>-39270.0</v>
      </c>
      <c r="AU482" s="11">
        <v>-24700.0</v>
      </c>
      <c r="AV482" s="11">
        <v>-17640.0</v>
      </c>
      <c r="AW482" s="11">
        <v>-14580.0</v>
      </c>
      <c r="AX482" s="11">
        <v>-20130.0</v>
      </c>
      <c r="AY482" s="11">
        <v>-14230.0</v>
      </c>
      <c r="AZ482" s="11">
        <v>-1690.0</v>
      </c>
      <c r="BA482" s="11">
        <v>-1750.0</v>
      </c>
      <c r="BB482" s="11">
        <v>-269.0</v>
      </c>
      <c r="BC482" s="12"/>
      <c r="BD482" s="12"/>
      <c r="BE482" s="12"/>
      <c r="BF482" s="12"/>
      <c r="BG482" s="12"/>
      <c r="BH482" s="11">
        <v>73170.0</v>
      </c>
      <c r="BI482" s="11">
        <v>134370.0</v>
      </c>
      <c r="BJ482" s="11">
        <v>185530.0</v>
      </c>
      <c r="BK482" s="11">
        <v>37650.0</v>
      </c>
      <c r="BL482" s="11">
        <v>45630.0</v>
      </c>
      <c r="BM482" s="11">
        <v>5820.0</v>
      </c>
      <c r="BN482" s="11">
        <v>9680.0</v>
      </c>
      <c r="BO482" s="11">
        <v>4540.0</v>
      </c>
      <c r="BP482" s="11">
        <v>4400.0</v>
      </c>
      <c r="BQ482" s="11">
        <v>5910.0</v>
      </c>
      <c r="BR482" s="11">
        <v>386.0</v>
      </c>
      <c r="BS482" s="11">
        <v>1400.0</v>
      </c>
      <c r="BT482" s="11">
        <v>176.0</v>
      </c>
      <c r="BU482" s="11">
        <v>145.0</v>
      </c>
      <c r="BV482" s="11">
        <v>166.0</v>
      </c>
      <c r="BW482" s="11">
        <v>81580.0</v>
      </c>
      <c r="BX482" s="11">
        <v>149910.0</v>
      </c>
      <c r="BY482" s="11">
        <v>191570.0</v>
      </c>
      <c r="BZ482" s="11">
        <v>42530.0</v>
      </c>
      <c r="CA482" s="11">
        <v>51930.0</v>
      </c>
      <c r="CB482" s="11">
        <v>35640.0</v>
      </c>
      <c r="CC482" s="11">
        <v>15270.0</v>
      </c>
      <c r="CD482" s="11">
        <v>3410.0</v>
      </c>
      <c r="CE482" s="11">
        <v>2250.0</v>
      </c>
      <c r="CF482" s="11">
        <v>918.0</v>
      </c>
      <c r="CG482" s="12"/>
      <c r="CH482" s="12"/>
      <c r="CI482" s="12"/>
      <c r="CJ482" s="12"/>
      <c r="CK482" s="12"/>
      <c r="CL482" s="11">
        <v>118550.0</v>
      </c>
      <c r="CM482" s="11">
        <v>167840.0</v>
      </c>
      <c r="CN482" s="11">
        <v>195260.0</v>
      </c>
      <c r="CO482" s="11">
        <v>44970.0</v>
      </c>
      <c r="CP482" s="11">
        <v>53000.0</v>
      </c>
      <c r="CQ482" s="11">
        <v>5070.0</v>
      </c>
      <c r="CR482" s="11">
        <v>13400.0</v>
      </c>
      <c r="CS482" s="11">
        <v>4970.0</v>
      </c>
      <c r="CT482" s="11">
        <v>4830.0</v>
      </c>
      <c r="CU482" s="11">
        <v>3670.0</v>
      </c>
      <c r="CV482" s="11">
        <v>19880.0</v>
      </c>
      <c r="CW482" s="12"/>
      <c r="CX482" s="12"/>
      <c r="CY482" s="24">
        <v>824.0</v>
      </c>
      <c r="CZ482" s="24">
        <v>50.0</v>
      </c>
      <c r="DA482" s="11">
        <v>557.0</v>
      </c>
      <c r="DB482" s="11">
        <v>19880.0</v>
      </c>
      <c r="DC482" s="11">
        <v>20650.0</v>
      </c>
      <c r="DD482" s="11">
        <v>11610.0</v>
      </c>
      <c r="DE482" s="11">
        <v>6350.0</v>
      </c>
      <c r="DF482" s="11">
        <v>32990.0</v>
      </c>
      <c r="DG482" s="11">
        <v>22240.0</v>
      </c>
      <c r="DH482" s="11">
        <v>13840.0</v>
      </c>
      <c r="DI482" s="11">
        <v>9330.0</v>
      </c>
      <c r="DJ482" s="11">
        <v>5870.0</v>
      </c>
      <c r="DK482" s="11">
        <v>17.0</v>
      </c>
      <c r="DL482" s="12"/>
      <c r="DM482" s="11">
        <v>168.0</v>
      </c>
      <c r="DN482" s="12"/>
      <c r="DO482" s="12"/>
      <c r="DP482" s="11">
        <v>12600.0</v>
      </c>
      <c r="DQ482" s="11">
        <v>1240.0</v>
      </c>
      <c r="DR482" s="11">
        <v>2020.0</v>
      </c>
      <c r="DS482" s="11">
        <v>2820.0</v>
      </c>
      <c r="DT482" s="11">
        <v>151.0</v>
      </c>
      <c r="DU482" s="13"/>
      <c r="DV482" s="12"/>
      <c r="DW482" s="12"/>
      <c r="DX482" s="13"/>
      <c r="DY482" s="13"/>
      <c r="DZ482" s="11">
        <v>85560.0</v>
      </c>
      <c r="EA482" s="11">
        <v>145600.0</v>
      </c>
      <c r="EB482" s="11">
        <v>181420.0</v>
      </c>
      <c r="EC482" s="11">
        <v>35640.0</v>
      </c>
      <c r="ED482" s="11">
        <v>47130.0</v>
      </c>
      <c r="EE482" s="14">
        <v>0.999</v>
      </c>
      <c r="EF482" s="14">
        <v>1.096</v>
      </c>
      <c r="EG482" s="14">
        <v>-0.14</v>
      </c>
      <c r="EH482" s="23"/>
    </row>
    <row r="483">
      <c r="A483" s="9">
        <f t="shared" si="2"/>
        <v>481</v>
      </c>
      <c r="B483" s="25" t="s">
        <v>618</v>
      </c>
      <c r="C483" s="12"/>
      <c r="D483" s="12"/>
      <c r="E483" s="15">
        <v>180540.0</v>
      </c>
      <c r="F483" s="15">
        <v>175780.0</v>
      </c>
      <c r="G483" s="15">
        <v>177330.0</v>
      </c>
      <c r="H483" s="15">
        <v>171660.0</v>
      </c>
      <c r="I483" s="15">
        <v>155540.0</v>
      </c>
      <c r="J483" s="15">
        <v>40890.0</v>
      </c>
      <c r="K483" s="15">
        <v>43620.0</v>
      </c>
      <c r="L483" s="15">
        <v>43150.0</v>
      </c>
      <c r="M483" s="15">
        <v>41940.0</v>
      </c>
      <c r="N483" s="15">
        <v>40590.0</v>
      </c>
      <c r="O483" s="15">
        <v>31620.0</v>
      </c>
      <c r="P483" s="15">
        <v>29810.0</v>
      </c>
      <c r="Q483" s="15">
        <v>28550.0</v>
      </c>
      <c r="R483" s="15">
        <v>29260.0</v>
      </c>
      <c r="S483" s="15">
        <v>27780.0</v>
      </c>
      <c r="T483" s="15">
        <v>1600.0</v>
      </c>
      <c r="U483" s="15">
        <v>1500.0</v>
      </c>
      <c r="V483" s="15">
        <v>1600.0</v>
      </c>
      <c r="W483" s="15">
        <v>1500.0</v>
      </c>
      <c r="X483" s="15">
        <v>1500.0</v>
      </c>
      <c r="Y483" s="12"/>
      <c r="Z483" s="12"/>
      <c r="AA483" s="12"/>
      <c r="AB483" s="12"/>
      <c r="AC483" s="12"/>
      <c r="AD483" s="15">
        <v>8930.0</v>
      </c>
      <c r="AE483" s="15">
        <v>26440.0</v>
      </c>
      <c r="AF483" s="15">
        <v>15520.0</v>
      </c>
      <c r="AG483" s="15">
        <v>15540.0</v>
      </c>
      <c r="AH483" s="15">
        <v>15670.0</v>
      </c>
      <c r="AI483" s="15">
        <v>13310.0</v>
      </c>
      <c r="AJ483" s="15">
        <v>17670.0</v>
      </c>
      <c r="AK483" s="15">
        <v>18510.0</v>
      </c>
      <c r="AL483" s="15">
        <v>17930.0</v>
      </c>
      <c r="AM483" s="15">
        <v>18040.0</v>
      </c>
      <c r="AN483" s="15">
        <v>7260.0</v>
      </c>
      <c r="AO483" s="15">
        <v>20440.0</v>
      </c>
      <c r="AP483" s="15">
        <v>14060.0</v>
      </c>
      <c r="AQ483" s="15">
        <v>11490.0</v>
      </c>
      <c r="AR483" s="15">
        <v>11610.0</v>
      </c>
      <c r="AS483" s="15">
        <v>16040.0</v>
      </c>
      <c r="AT483" s="15">
        <v>6510.0</v>
      </c>
      <c r="AU483" s="15">
        <v>13360.0</v>
      </c>
      <c r="AV483" s="15">
        <v>12170.0</v>
      </c>
      <c r="AW483" s="15">
        <v>15460.0</v>
      </c>
      <c r="AX483" s="15">
        <v>-2190.0</v>
      </c>
      <c r="AY483" s="15">
        <v>-2820.0</v>
      </c>
      <c r="AZ483" s="15">
        <v>-2750.0</v>
      </c>
      <c r="BA483" s="15">
        <v>-2650.0</v>
      </c>
      <c r="BB483" s="15">
        <v>-5070.0</v>
      </c>
      <c r="BC483" s="15">
        <v>-7200.0</v>
      </c>
      <c r="BD483" s="15">
        <v>-7220.0</v>
      </c>
      <c r="BE483" s="15">
        <v>-6610.0</v>
      </c>
      <c r="BF483" s="15">
        <v>-6280.0</v>
      </c>
      <c r="BG483" s="15">
        <v>-6070.0</v>
      </c>
      <c r="BH483" s="15">
        <v>5880.0</v>
      </c>
      <c r="BI483" s="15">
        <v>2820.0</v>
      </c>
      <c r="BJ483" s="15">
        <v>1570.0</v>
      </c>
      <c r="BK483" s="15">
        <v>1010.0</v>
      </c>
      <c r="BL483" s="15">
        <v>1980.0</v>
      </c>
      <c r="BM483" s="15">
        <v>35450.0</v>
      </c>
      <c r="BN483" s="15">
        <v>40680.0</v>
      </c>
      <c r="BO483" s="15">
        <v>39350.0</v>
      </c>
      <c r="BP483" s="15">
        <v>35890.0</v>
      </c>
      <c r="BQ483" s="15">
        <v>38980.0</v>
      </c>
      <c r="BR483" s="15">
        <v>42270.0</v>
      </c>
      <c r="BS483" s="15">
        <v>39120.0</v>
      </c>
      <c r="BT483" s="15">
        <v>35160.0</v>
      </c>
      <c r="BU483" s="15">
        <v>33800.0</v>
      </c>
      <c r="BV483" s="15">
        <v>25860.0</v>
      </c>
      <c r="BW483" s="15">
        <v>86920.0</v>
      </c>
      <c r="BX483" s="15">
        <v>87860.0</v>
      </c>
      <c r="BY483" s="15">
        <v>80260.0</v>
      </c>
      <c r="BZ483" s="15">
        <v>75620.0</v>
      </c>
      <c r="CA483" s="15">
        <v>72820.0</v>
      </c>
      <c r="CB483" s="15">
        <v>16190.0</v>
      </c>
      <c r="CC483" s="15">
        <v>15500.0</v>
      </c>
      <c r="CD483" s="15">
        <v>14290.0</v>
      </c>
      <c r="CE483" s="15">
        <v>13710.0</v>
      </c>
      <c r="CF483" s="15">
        <v>14360.0</v>
      </c>
      <c r="CG483" s="15">
        <v>26750.0</v>
      </c>
      <c r="CH483" s="15">
        <v>26380.0</v>
      </c>
      <c r="CI483" s="15">
        <v>21550.0</v>
      </c>
      <c r="CJ483" s="15">
        <v>21460.0</v>
      </c>
      <c r="CK483" s="15">
        <v>20050.0</v>
      </c>
      <c r="CL483" s="15">
        <v>148780.0</v>
      </c>
      <c r="CM483" s="15">
        <v>149530.0</v>
      </c>
      <c r="CN483" s="15">
        <v>156110.0</v>
      </c>
      <c r="CO483" s="15">
        <v>150760.0</v>
      </c>
      <c r="CP483" s="15">
        <v>143740.0</v>
      </c>
      <c r="CQ483" s="15">
        <v>7770.0</v>
      </c>
      <c r="CR483" s="15">
        <v>5630.0</v>
      </c>
      <c r="CS483" s="15">
        <v>4300.0</v>
      </c>
      <c r="CT483" s="15">
        <v>4380.0</v>
      </c>
      <c r="CU483" s="15">
        <v>2550.0</v>
      </c>
      <c r="CV483" s="15">
        <v>18210.0</v>
      </c>
      <c r="CW483" s="15">
        <v>621.0</v>
      </c>
      <c r="CX483" s="12"/>
      <c r="CY483" s="12"/>
      <c r="CZ483" s="12"/>
      <c r="DA483" s="15">
        <v>19780.0</v>
      </c>
      <c r="DB483" s="15">
        <v>18210.0</v>
      </c>
      <c r="DC483" s="15">
        <v>16700.0</v>
      </c>
      <c r="DD483" s="15">
        <v>19540.0</v>
      </c>
      <c r="DE483" s="15">
        <v>18420.0</v>
      </c>
      <c r="DF483" s="15">
        <v>22610.0</v>
      </c>
      <c r="DG483" s="15">
        <v>21210.0</v>
      </c>
      <c r="DH483" s="15">
        <v>44440.0</v>
      </c>
      <c r="DI483" s="15">
        <v>49050.0</v>
      </c>
      <c r="DJ483" s="15">
        <v>47260.0</v>
      </c>
      <c r="DK483" s="12"/>
      <c r="DL483" s="12"/>
      <c r="DM483" s="15">
        <v>20280.0</v>
      </c>
      <c r="DN483" s="15">
        <v>19030.0</v>
      </c>
      <c r="DO483" s="15">
        <v>19640.0</v>
      </c>
      <c r="DP483" s="15">
        <v>475.0</v>
      </c>
      <c r="DQ483" s="12"/>
      <c r="DR483" s="15">
        <v>21870.0</v>
      </c>
      <c r="DS483" s="15">
        <v>24190.0</v>
      </c>
      <c r="DT483" s="15">
        <v>1750.0</v>
      </c>
      <c r="DU483" s="13"/>
      <c r="DV483" s="12"/>
      <c r="DW483" s="12"/>
      <c r="DX483" s="12"/>
      <c r="DY483" s="13"/>
      <c r="DZ483" s="15">
        <v>126170.0</v>
      </c>
      <c r="EA483" s="15">
        <v>128320.0</v>
      </c>
      <c r="EB483" s="15">
        <v>111670.0</v>
      </c>
      <c r="EC483" s="15">
        <v>101710.0</v>
      </c>
      <c r="ED483" s="15">
        <v>96480.0</v>
      </c>
      <c r="EE483" s="23"/>
      <c r="EF483" s="23"/>
      <c r="EG483" s="17">
        <v>1.0</v>
      </c>
      <c r="EH483" s="17">
        <v>1.016</v>
      </c>
    </row>
    <row r="484">
      <c r="A484" s="9">
        <f t="shared" si="2"/>
        <v>482</v>
      </c>
      <c r="B484" s="10" t="s">
        <v>619</v>
      </c>
      <c r="C484" s="11">
        <v>793560.0</v>
      </c>
      <c r="D484" s="11">
        <v>733190.0</v>
      </c>
      <c r="E484" s="11">
        <v>812970.0</v>
      </c>
      <c r="F484" s="11">
        <v>771580.0</v>
      </c>
      <c r="G484" s="11">
        <v>685740.0</v>
      </c>
      <c r="H484" s="11">
        <v>571460.0</v>
      </c>
      <c r="I484" s="11">
        <v>537290.0</v>
      </c>
      <c r="J484" s="11">
        <v>284960.0</v>
      </c>
      <c r="K484" s="11">
        <v>262860.0</v>
      </c>
      <c r="L484" s="11">
        <v>232480.0</v>
      </c>
      <c r="M484" s="11">
        <v>209020.0</v>
      </c>
      <c r="N484" s="11">
        <v>193590.0</v>
      </c>
      <c r="O484" s="11">
        <v>172110.0</v>
      </c>
      <c r="P484" s="11">
        <v>162430.0</v>
      </c>
      <c r="Q484" s="11">
        <v>148430.0</v>
      </c>
      <c r="R484" s="11">
        <v>131490.0</v>
      </c>
      <c r="S484" s="11">
        <v>130170.0</v>
      </c>
      <c r="T484" s="11">
        <v>14500.0</v>
      </c>
      <c r="U484" s="12"/>
      <c r="V484" s="11">
        <v>15500.0</v>
      </c>
      <c r="W484" s="11">
        <v>12860.0</v>
      </c>
      <c r="X484" s="11">
        <v>23500.0</v>
      </c>
      <c r="Y484" s="11">
        <v>107550.0</v>
      </c>
      <c r="Z484" s="11">
        <v>97430.0</v>
      </c>
      <c r="AA484" s="12"/>
      <c r="AB484" s="11">
        <v>70430.0</v>
      </c>
      <c r="AC484" s="11">
        <v>62530.0</v>
      </c>
      <c r="AD484" s="11">
        <v>102220.0</v>
      </c>
      <c r="AE484" s="11">
        <v>88020.0</v>
      </c>
      <c r="AF484" s="11">
        <v>80150.0</v>
      </c>
      <c r="AG484" s="11">
        <v>68420.0</v>
      </c>
      <c r="AH484" s="11">
        <v>61520.0</v>
      </c>
      <c r="AI484" s="11">
        <v>152900.0</v>
      </c>
      <c r="AJ484" s="11">
        <v>138180.0</v>
      </c>
      <c r="AK484" s="11">
        <v>116280.0</v>
      </c>
      <c r="AL484" s="11">
        <v>101100.0</v>
      </c>
      <c r="AM484" s="11">
        <v>82010.0</v>
      </c>
      <c r="AN484" s="11">
        <v>81040.0</v>
      </c>
      <c r="AO484" s="11">
        <v>92140.0</v>
      </c>
      <c r="AP484" s="11">
        <v>53700.0</v>
      </c>
      <c r="AQ484" s="11">
        <v>45880.0</v>
      </c>
      <c r="AR484" s="11">
        <v>41740.0</v>
      </c>
      <c r="AS484" s="11">
        <v>105140.0</v>
      </c>
      <c r="AT484" s="11">
        <v>93260.0</v>
      </c>
      <c r="AU484" s="11">
        <v>67340.0</v>
      </c>
      <c r="AV484" s="11">
        <v>73860.0</v>
      </c>
      <c r="AW484" s="11">
        <v>65750.0</v>
      </c>
      <c r="AX484" s="11">
        <v>-45570.0</v>
      </c>
      <c r="AY484" s="11">
        <v>-30160.0</v>
      </c>
      <c r="AZ484" s="11">
        <v>-38730.0</v>
      </c>
      <c r="BA484" s="11">
        <v>-22510.0</v>
      </c>
      <c r="BB484" s="11">
        <v>-19350.0</v>
      </c>
      <c r="BC484" s="11">
        <v>-8300.0</v>
      </c>
      <c r="BD484" s="11">
        <v>-8280.0</v>
      </c>
      <c r="BE484" s="11">
        <v>-8260.0</v>
      </c>
      <c r="BF484" s="11">
        <v>-8250.0</v>
      </c>
      <c r="BG484" s="11">
        <v>-8370.0</v>
      </c>
      <c r="BH484" s="11">
        <v>61810.0</v>
      </c>
      <c r="BI484" s="11">
        <v>30480.0</v>
      </c>
      <c r="BJ484" s="11">
        <v>45520.0</v>
      </c>
      <c r="BK484" s="11">
        <v>53830.0</v>
      </c>
      <c r="BL484" s="11">
        <v>39410.0</v>
      </c>
      <c r="BM484" s="11">
        <v>289740.0</v>
      </c>
      <c r="BN484" s="11">
        <v>216770.0</v>
      </c>
      <c r="BO484" s="11">
        <v>207870.0</v>
      </c>
      <c r="BP484" s="11">
        <v>150230.0</v>
      </c>
      <c r="BQ484" s="11">
        <v>130990.0</v>
      </c>
      <c r="BR484" s="11">
        <v>128830.0</v>
      </c>
      <c r="BS484" s="11">
        <v>135420.0</v>
      </c>
      <c r="BT484" s="11">
        <v>124520.0</v>
      </c>
      <c r="BU484" s="11">
        <v>105540.0</v>
      </c>
      <c r="BV484" s="11">
        <v>99790.0</v>
      </c>
      <c r="BW484" s="11">
        <v>495190.0</v>
      </c>
      <c r="BX484" s="11">
        <v>396020.0</v>
      </c>
      <c r="BY484" s="11">
        <v>392790.0</v>
      </c>
      <c r="BZ484" s="11">
        <v>323480.0</v>
      </c>
      <c r="CA484" s="11">
        <v>298250.0</v>
      </c>
      <c r="CB484" s="11">
        <v>161470.0</v>
      </c>
      <c r="CC484" s="11">
        <v>134950.0</v>
      </c>
      <c r="CD484" s="11">
        <v>132750.0</v>
      </c>
      <c r="CE484" s="11">
        <v>92410.0</v>
      </c>
      <c r="CF484" s="11">
        <v>77360.0</v>
      </c>
      <c r="CG484" s="11">
        <v>409220.0</v>
      </c>
      <c r="CH484" s="11">
        <v>381650.0</v>
      </c>
      <c r="CI484" s="11">
        <v>377880.0</v>
      </c>
      <c r="CJ484" s="11">
        <v>323620.0</v>
      </c>
      <c r="CK484" s="11">
        <v>291160.0</v>
      </c>
      <c r="CL484" s="11">
        <v>1470000.0</v>
      </c>
      <c r="CM484" s="11">
        <v>1270000.0</v>
      </c>
      <c r="CN484" s="11">
        <v>1260000.0</v>
      </c>
      <c r="CO484" s="11">
        <v>978370.0</v>
      </c>
      <c r="CP484" s="11">
        <v>864210.0</v>
      </c>
      <c r="CQ484" s="11">
        <v>71370.0</v>
      </c>
      <c r="CR484" s="11">
        <v>63030.0</v>
      </c>
      <c r="CS484" s="11">
        <v>54790.0</v>
      </c>
      <c r="CT484" s="11">
        <v>42070.0</v>
      </c>
      <c r="CU484" s="11">
        <v>37860.0</v>
      </c>
      <c r="CV484" s="11">
        <v>251640.0</v>
      </c>
      <c r="CW484" s="12"/>
      <c r="CX484" s="12"/>
      <c r="CY484" s="13"/>
      <c r="CZ484" s="13"/>
      <c r="DA484" s="12"/>
      <c r="DB484" s="11">
        <v>251640.0</v>
      </c>
      <c r="DC484" s="11">
        <v>200530.0</v>
      </c>
      <c r="DD484" s="11">
        <v>194970.0</v>
      </c>
      <c r="DE484" s="11">
        <v>158080.0</v>
      </c>
      <c r="DF484" s="11">
        <v>640500.0</v>
      </c>
      <c r="DG484" s="11">
        <v>505710.0</v>
      </c>
      <c r="DH484" s="11">
        <v>588530.0</v>
      </c>
      <c r="DI484" s="11">
        <v>363260.0</v>
      </c>
      <c r="DJ484" s="11">
        <v>280030.0</v>
      </c>
      <c r="DK484" s="12"/>
      <c r="DL484" s="12"/>
      <c r="DM484" s="12"/>
      <c r="DN484" s="12"/>
      <c r="DO484" s="12"/>
      <c r="DP484" s="11">
        <v>294980.0</v>
      </c>
      <c r="DQ484" s="11">
        <v>216820.0</v>
      </c>
      <c r="DR484" s="11">
        <v>272950.0</v>
      </c>
      <c r="DS484" s="11">
        <v>90000.0</v>
      </c>
      <c r="DT484" s="11">
        <v>30000.0</v>
      </c>
      <c r="DU484" s="13"/>
      <c r="DV484" s="13"/>
      <c r="DW484" s="13"/>
      <c r="DX484" s="13"/>
      <c r="DY484" s="12"/>
      <c r="DZ484" s="11">
        <v>826220.0</v>
      </c>
      <c r="EA484" s="11">
        <v>759410.0</v>
      </c>
      <c r="EB484" s="11">
        <v>671920.0</v>
      </c>
      <c r="EC484" s="11">
        <v>615110.0</v>
      </c>
      <c r="ED484" s="11">
        <v>584180.0</v>
      </c>
      <c r="EE484" s="14">
        <v>0.003</v>
      </c>
      <c r="EF484" s="14">
        <v>0.017</v>
      </c>
      <c r="EG484" s="14">
        <v>0.193</v>
      </c>
      <c r="EH484" s="14">
        <v>0.098</v>
      </c>
    </row>
    <row r="485">
      <c r="A485" s="9">
        <f t="shared" si="2"/>
        <v>483</v>
      </c>
      <c r="B485" s="10" t="s">
        <v>620</v>
      </c>
      <c r="C485" s="11">
        <v>5080000.0</v>
      </c>
      <c r="D485" s="11">
        <v>4840000.0</v>
      </c>
      <c r="E485" s="11">
        <v>1.605E7</v>
      </c>
      <c r="F485" s="11">
        <v>1.324E7</v>
      </c>
      <c r="G485" s="11">
        <v>1.215E7</v>
      </c>
      <c r="H485" s="11">
        <v>1.252E7</v>
      </c>
      <c r="I485" s="11">
        <v>1.207E7</v>
      </c>
      <c r="J485" s="11">
        <v>4180000.0</v>
      </c>
      <c r="K485" s="11">
        <v>3510000.0</v>
      </c>
      <c r="L485" s="11">
        <v>3590000.0</v>
      </c>
      <c r="M485" s="11">
        <v>3680000.0</v>
      </c>
      <c r="N485" s="11">
        <v>3490000.0</v>
      </c>
      <c r="O485" s="11">
        <v>3150000.0</v>
      </c>
      <c r="P485" s="11">
        <v>2620000.0</v>
      </c>
      <c r="Q485" s="11">
        <v>2550000.0</v>
      </c>
      <c r="R485" s="11">
        <v>2600000.0</v>
      </c>
      <c r="S485" s="11">
        <v>2440000.0</v>
      </c>
      <c r="T485" s="11">
        <v>1310000.0</v>
      </c>
      <c r="U485" s="11">
        <v>1030000.0</v>
      </c>
      <c r="V485" s="11">
        <v>953410.0</v>
      </c>
      <c r="W485" s="11">
        <v>981930.0</v>
      </c>
      <c r="X485" s="11">
        <v>945720.0</v>
      </c>
      <c r="Y485" s="11">
        <v>931330.0</v>
      </c>
      <c r="Z485" s="11">
        <v>861630.0</v>
      </c>
      <c r="AA485" s="11">
        <v>1150000.0</v>
      </c>
      <c r="AB485" s="11">
        <v>1150000.0</v>
      </c>
      <c r="AC485" s="12"/>
      <c r="AD485" s="11">
        <v>877550.0</v>
      </c>
      <c r="AE485" s="11">
        <v>853240.0</v>
      </c>
      <c r="AF485" s="11">
        <v>1020000.0</v>
      </c>
      <c r="AG485" s="11">
        <v>1070000.0</v>
      </c>
      <c r="AH485" s="11">
        <v>965690.0</v>
      </c>
      <c r="AI485" s="11">
        <v>1520000.0</v>
      </c>
      <c r="AJ485" s="11">
        <v>1310000.0</v>
      </c>
      <c r="AK485" s="11">
        <v>1450000.0</v>
      </c>
      <c r="AL485" s="11">
        <v>1550000.0</v>
      </c>
      <c r="AM485" s="11">
        <v>1520000.0</v>
      </c>
      <c r="AN485" s="11">
        <v>811860.0</v>
      </c>
      <c r="AO485" s="11">
        <v>743280.0</v>
      </c>
      <c r="AP485" s="11">
        <v>860070.0</v>
      </c>
      <c r="AQ485" s="11">
        <v>909440.0</v>
      </c>
      <c r="AR485" s="11">
        <v>786790.0</v>
      </c>
      <c r="AS485" s="11">
        <v>-189970.0</v>
      </c>
      <c r="AT485" s="11">
        <v>689060.0</v>
      </c>
      <c r="AU485" s="11">
        <v>362910.0</v>
      </c>
      <c r="AV485" s="11">
        <v>798470.0</v>
      </c>
      <c r="AW485" s="11">
        <v>1690000.0</v>
      </c>
      <c r="AX485" s="11">
        <v>-490280.0</v>
      </c>
      <c r="AY485" s="11">
        <v>-367800.0</v>
      </c>
      <c r="AZ485" s="11">
        <v>-388040.0</v>
      </c>
      <c r="BA485" s="11">
        <v>-476860.0</v>
      </c>
      <c r="BB485" s="11">
        <v>-385320.0</v>
      </c>
      <c r="BC485" s="11">
        <v>-205650.0</v>
      </c>
      <c r="BD485" s="11">
        <v>-270740.0</v>
      </c>
      <c r="BE485" s="11">
        <v>-270850.0</v>
      </c>
      <c r="BF485" s="11">
        <v>-262750.0</v>
      </c>
      <c r="BG485" s="11">
        <v>-239210.0</v>
      </c>
      <c r="BH485" s="11">
        <v>771180.0</v>
      </c>
      <c r="BI485" s="11">
        <v>840490.0</v>
      </c>
      <c r="BJ485" s="11">
        <v>599110.0</v>
      </c>
      <c r="BK485" s="11">
        <v>943160.0</v>
      </c>
      <c r="BL485" s="11">
        <v>1290000.0</v>
      </c>
      <c r="BM485" s="11">
        <v>7460000.0</v>
      </c>
      <c r="BN485" s="11">
        <v>6870000.0</v>
      </c>
      <c r="BO485" s="11">
        <v>5200000.0</v>
      </c>
      <c r="BP485" s="11">
        <v>5020000.0</v>
      </c>
      <c r="BQ485" s="11">
        <v>4030000.0</v>
      </c>
      <c r="BR485" s="11">
        <v>4210000.0</v>
      </c>
      <c r="BS485" s="11">
        <v>4270000.0</v>
      </c>
      <c r="BT485" s="11">
        <v>3130000.0</v>
      </c>
      <c r="BU485" s="11">
        <v>3230000.0</v>
      </c>
      <c r="BV485" s="11">
        <v>3260000.0</v>
      </c>
      <c r="BW485" s="11">
        <v>1.266E7</v>
      </c>
      <c r="BX485" s="11">
        <v>1.225E7</v>
      </c>
      <c r="BY485" s="11">
        <v>9060000.0</v>
      </c>
      <c r="BZ485" s="11">
        <v>9440000.0</v>
      </c>
      <c r="CA485" s="11">
        <v>8880000.0</v>
      </c>
      <c r="CB485" s="11">
        <v>3910000.0</v>
      </c>
      <c r="CC485" s="11">
        <v>2570000.0</v>
      </c>
      <c r="CD485" s="11">
        <v>1720000.0</v>
      </c>
      <c r="CE485" s="11">
        <v>1820000.0</v>
      </c>
      <c r="CF485" s="11">
        <v>1750000.0</v>
      </c>
      <c r="CG485" s="11">
        <v>4630000.0</v>
      </c>
      <c r="CH485" s="11">
        <v>3820000.0</v>
      </c>
      <c r="CI485" s="11">
        <v>2250000.0</v>
      </c>
      <c r="CJ485" s="11">
        <v>2370000.0</v>
      </c>
      <c r="CK485" s="11">
        <v>2420000.0</v>
      </c>
      <c r="CL485" s="11">
        <v>2.534E7</v>
      </c>
      <c r="CM485" s="11">
        <v>2.41E7</v>
      </c>
      <c r="CN485" s="11">
        <v>1.637E7</v>
      </c>
      <c r="CO485" s="11">
        <v>1.675E7</v>
      </c>
      <c r="CP485" s="11">
        <v>1.605E7</v>
      </c>
      <c r="CQ485" s="11">
        <v>3200000.0</v>
      </c>
      <c r="CR485" s="11">
        <v>2900000.0</v>
      </c>
      <c r="CS485" s="11">
        <v>2200000.0</v>
      </c>
      <c r="CT485" s="11">
        <v>1980000.0</v>
      </c>
      <c r="CU485" s="11">
        <v>1350000.0</v>
      </c>
      <c r="CV485" s="11">
        <v>1.096E7</v>
      </c>
      <c r="CW485" s="11">
        <v>935910.0</v>
      </c>
      <c r="CX485" s="11">
        <v>780310.0</v>
      </c>
      <c r="CY485" s="11">
        <v>464330.0</v>
      </c>
      <c r="CZ485" s="11">
        <v>19350.0</v>
      </c>
      <c r="DA485" s="12"/>
      <c r="DB485" s="11">
        <v>1.096E7</v>
      </c>
      <c r="DC485" s="11">
        <v>1.088E7</v>
      </c>
      <c r="DD485" s="11">
        <v>7250000.0</v>
      </c>
      <c r="DE485" s="11">
        <v>7410000.0</v>
      </c>
      <c r="DF485" s="11">
        <v>1.788E7</v>
      </c>
      <c r="DG485" s="11">
        <v>1.718E7</v>
      </c>
      <c r="DH485" s="11">
        <v>1.04E7</v>
      </c>
      <c r="DI485" s="11">
        <v>1.072E7</v>
      </c>
      <c r="DJ485" s="11">
        <v>1.06E7</v>
      </c>
      <c r="DK485" s="11">
        <v>701160.0</v>
      </c>
      <c r="DL485" s="11">
        <v>749170.0</v>
      </c>
      <c r="DM485" s="11">
        <v>655610.0</v>
      </c>
      <c r="DN485" s="11">
        <v>729270.0</v>
      </c>
      <c r="DO485" s="11">
        <v>537100.0</v>
      </c>
      <c r="DP485" s="11">
        <v>2640000.0</v>
      </c>
      <c r="DQ485" s="11">
        <v>1960000.0</v>
      </c>
      <c r="DR485" s="11">
        <v>848400.0</v>
      </c>
      <c r="DS485" s="11">
        <v>660200.0</v>
      </c>
      <c r="DT485" s="11">
        <v>1530000.0</v>
      </c>
      <c r="DU485" s="13"/>
      <c r="DV485" s="13"/>
      <c r="DW485" s="13"/>
      <c r="DX485" s="13"/>
      <c r="DY485" s="13"/>
      <c r="DZ485" s="11">
        <v>7400000.0</v>
      </c>
      <c r="EA485" s="11">
        <v>6850000.0</v>
      </c>
      <c r="EB485" s="11">
        <v>5930000.0</v>
      </c>
      <c r="EC485" s="11">
        <v>6000000.0</v>
      </c>
      <c r="ED485" s="11">
        <v>5410000.0</v>
      </c>
      <c r="EE485" s="14">
        <v>0.027</v>
      </c>
      <c r="EF485" s="14">
        <v>0.026</v>
      </c>
      <c r="EG485" s="14">
        <v>-0.45</v>
      </c>
      <c r="EH485" s="23"/>
    </row>
    <row r="486">
      <c r="A486" s="9">
        <f t="shared" si="2"/>
        <v>484</v>
      </c>
      <c r="B486" s="22" t="s">
        <v>621</v>
      </c>
      <c r="C486" s="11">
        <v>172510.0</v>
      </c>
      <c r="D486" s="11">
        <v>246010.0</v>
      </c>
      <c r="E486" s="11">
        <v>148360.0</v>
      </c>
      <c r="F486" s="12"/>
      <c r="G486" s="12"/>
      <c r="H486" s="12"/>
      <c r="I486" s="12"/>
      <c r="J486" s="12"/>
      <c r="K486" s="11">
        <v>-265.0</v>
      </c>
      <c r="L486" s="11">
        <v>-258.0</v>
      </c>
      <c r="M486" s="11">
        <v>-252.0</v>
      </c>
      <c r="N486" s="11">
        <v>-236.0</v>
      </c>
      <c r="O486" s="11">
        <v>241150.0</v>
      </c>
      <c r="P486" s="11">
        <v>204320.0</v>
      </c>
      <c r="Q486" s="11">
        <v>168720.0</v>
      </c>
      <c r="R486" s="11">
        <v>75900.0</v>
      </c>
      <c r="S486" s="11">
        <v>49800.0</v>
      </c>
      <c r="T486" s="11">
        <v>175610.0</v>
      </c>
      <c r="U486" s="11">
        <v>171490.0</v>
      </c>
      <c r="V486" s="11">
        <v>147600.0</v>
      </c>
      <c r="W486" s="11">
        <v>57870.0</v>
      </c>
      <c r="X486" s="11">
        <v>29800.0</v>
      </c>
      <c r="Y486" s="12"/>
      <c r="Z486" s="12"/>
      <c r="AA486" s="12"/>
      <c r="AB486" s="12"/>
      <c r="AC486" s="12"/>
      <c r="AD486" s="11">
        <v>-97170.0</v>
      </c>
      <c r="AE486" s="11">
        <v>-201810.0</v>
      </c>
      <c r="AF486" s="11">
        <v>-166990.0</v>
      </c>
      <c r="AG486" s="11">
        <v>-74980.0</v>
      </c>
      <c r="AH486" s="11">
        <v>-49780.0</v>
      </c>
      <c r="AI486" s="11">
        <v>-92780.0</v>
      </c>
      <c r="AJ486" s="11">
        <v>-204320.0</v>
      </c>
      <c r="AK486" s="11">
        <v>-168720.0</v>
      </c>
      <c r="AL486" s="11">
        <v>-75900.0</v>
      </c>
      <c r="AM486" s="11">
        <v>-49800.0</v>
      </c>
      <c r="AN486" s="11">
        <v>-97170.0</v>
      </c>
      <c r="AO486" s="11">
        <v>-201810.0</v>
      </c>
      <c r="AP486" s="11">
        <v>-166990.0</v>
      </c>
      <c r="AQ486" s="11">
        <v>-74980.0</v>
      </c>
      <c r="AR486" s="11">
        <v>-49780.0</v>
      </c>
      <c r="AS486" s="11">
        <v>-70340.0</v>
      </c>
      <c r="AT486" s="11">
        <v>-148640.0</v>
      </c>
      <c r="AU486" s="11">
        <v>-131300.0</v>
      </c>
      <c r="AV486" s="11">
        <v>-47730.0</v>
      </c>
      <c r="AW486" s="11">
        <v>-38160.0</v>
      </c>
      <c r="AX486" s="11">
        <v>-953.0</v>
      </c>
      <c r="AY486" s="11">
        <v>-151.0</v>
      </c>
      <c r="AZ486" s="11">
        <v>-19.0</v>
      </c>
      <c r="BA486" s="11">
        <v>-94.0</v>
      </c>
      <c r="BB486" s="11">
        <v>-325.0</v>
      </c>
      <c r="BC486" s="12"/>
      <c r="BD486" s="12"/>
      <c r="BE486" s="12"/>
      <c r="BF486" s="12"/>
      <c r="BG486" s="12"/>
      <c r="BH486" s="11">
        <v>201710.0</v>
      </c>
      <c r="BI486" s="11">
        <v>136020.0</v>
      </c>
      <c r="BJ486" s="11">
        <v>200200.0</v>
      </c>
      <c r="BK486" s="11">
        <v>211580.0</v>
      </c>
      <c r="BL486" s="11">
        <v>212260.0</v>
      </c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1">
        <v>211710.0</v>
      </c>
      <c r="BX486" s="11">
        <v>142630.0</v>
      </c>
      <c r="BY486" s="11">
        <v>203920.0</v>
      </c>
      <c r="BZ486" s="11">
        <v>213580.0</v>
      </c>
      <c r="CA486" s="11">
        <v>214390.0</v>
      </c>
      <c r="CB486" s="11">
        <v>2680.0</v>
      </c>
      <c r="CC486" s="11">
        <v>520.0</v>
      </c>
      <c r="CD486" s="11">
        <v>435.0</v>
      </c>
      <c r="CE486" s="11">
        <v>674.0</v>
      </c>
      <c r="CF486" s="11">
        <v>807.0</v>
      </c>
      <c r="CG486" s="12"/>
      <c r="CH486" s="12"/>
      <c r="CI486" s="12"/>
      <c r="CJ486" s="12"/>
      <c r="CK486" s="12"/>
      <c r="CL486" s="11">
        <v>214450.0</v>
      </c>
      <c r="CM486" s="11">
        <v>143450.0</v>
      </c>
      <c r="CN486" s="11">
        <v>277840.0</v>
      </c>
      <c r="CO486" s="11">
        <v>245210.0</v>
      </c>
      <c r="CP486" s="11">
        <v>295570.0</v>
      </c>
      <c r="CQ486" s="11">
        <v>28860.0</v>
      </c>
      <c r="CR486" s="11">
        <v>44890.0</v>
      </c>
      <c r="CS486" s="11">
        <v>20380.0</v>
      </c>
      <c r="CT486" s="12"/>
      <c r="CU486" s="12"/>
      <c r="CV486" s="11">
        <v>66080.0</v>
      </c>
      <c r="CW486" s="11">
        <v>454.0</v>
      </c>
      <c r="CX486" s="12"/>
      <c r="CY486" s="12"/>
      <c r="CZ486" s="12"/>
      <c r="DA486" s="12"/>
      <c r="DB486" s="11">
        <v>66080.0</v>
      </c>
      <c r="DC486" s="11">
        <v>64330.0</v>
      </c>
      <c r="DD486" s="11">
        <v>33140.0</v>
      </c>
      <c r="DE486" s="11">
        <v>15590.0</v>
      </c>
      <c r="DF486" s="11">
        <v>194500.0</v>
      </c>
      <c r="DG486" s="11">
        <v>64330.0</v>
      </c>
      <c r="DH486" s="11">
        <v>33140.0</v>
      </c>
      <c r="DI486" s="11">
        <v>16610.0</v>
      </c>
      <c r="DJ486" s="11">
        <v>8310.0</v>
      </c>
      <c r="DK486" s="12"/>
      <c r="DL486" s="11">
        <v>243.0</v>
      </c>
      <c r="DM486" s="11">
        <v>73420.0</v>
      </c>
      <c r="DN486" s="11">
        <v>30910.0</v>
      </c>
      <c r="DO486" s="11">
        <v>80320.0</v>
      </c>
      <c r="DP486" s="11">
        <v>128420.0</v>
      </c>
      <c r="DQ486" s="12"/>
      <c r="DR486" s="12"/>
      <c r="DS486" s="11">
        <v>1020.0</v>
      </c>
      <c r="DT486" s="11">
        <v>2690.0</v>
      </c>
      <c r="DU486" s="13"/>
      <c r="DV486" s="13"/>
      <c r="DW486" s="12"/>
      <c r="DX486" s="12"/>
      <c r="DY486" s="13"/>
      <c r="DZ486" s="11">
        <v>19950.0</v>
      </c>
      <c r="EA486" s="11">
        <v>79120.0</v>
      </c>
      <c r="EB486" s="11">
        <v>244690.0</v>
      </c>
      <c r="EC486" s="11">
        <v>228600.0</v>
      </c>
      <c r="ED486" s="11">
        <v>287260.0</v>
      </c>
      <c r="EE486" s="14">
        <v>0.414</v>
      </c>
      <c r="EF486" s="14">
        <v>1.26</v>
      </c>
      <c r="EG486" s="14">
        <v>1.526</v>
      </c>
      <c r="EH486" s="14">
        <v>0.381</v>
      </c>
    </row>
    <row r="487">
      <c r="A487" s="9">
        <f t="shared" si="2"/>
        <v>485</v>
      </c>
      <c r="B487" s="32" t="s">
        <v>622</v>
      </c>
      <c r="C487" s="11">
        <v>654370.0</v>
      </c>
      <c r="D487" s="11">
        <v>606970.0</v>
      </c>
      <c r="E487" s="11">
        <v>589840.0</v>
      </c>
      <c r="F487" s="11">
        <v>746680.0</v>
      </c>
      <c r="G487" s="11">
        <v>766780.0</v>
      </c>
      <c r="H487" s="11">
        <v>763390.0</v>
      </c>
      <c r="I487" s="11">
        <v>794200.0</v>
      </c>
      <c r="J487" s="11">
        <v>323130.0</v>
      </c>
      <c r="K487" s="11">
        <v>411490.0</v>
      </c>
      <c r="L487" s="11">
        <v>415960.0</v>
      </c>
      <c r="M487" s="11">
        <v>419720.0</v>
      </c>
      <c r="N487" s="11">
        <v>442240.0</v>
      </c>
      <c r="O487" s="11">
        <v>311510.0</v>
      </c>
      <c r="P487" s="11">
        <v>357160.0</v>
      </c>
      <c r="Q487" s="11">
        <v>367100.0</v>
      </c>
      <c r="R487" s="11">
        <v>361770.0</v>
      </c>
      <c r="S487" s="11">
        <v>353060.0</v>
      </c>
      <c r="T487" s="12"/>
      <c r="U487" s="12"/>
      <c r="V487" s="12"/>
      <c r="W487" s="12"/>
      <c r="X487" s="12"/>
      <c r="Y487" s="11">
        <v>14640.0</v>
      </c>
      <c r="Z487" s="11">
        <v>33950.0</v>
      </c>
      <c r="AA487" s="12"/>
      <c r="AB487" s="12"/>
      <c r="AC487" s="11"/>
      <c r="AD487" s="11">
        <v>14190.0</v>
      </c>
      <c r="AE487" s="11">
        <v>33860.0</v>
      </c>
      <c r="AF487" s="11">
        <v>49070.0</v>
      </c>
      <c r="AG487" s="11">
        <v>57000.0</v>
      </c>
      <c r="AH487" s="11">
        <v>87960.0</v>
      </c>
      <c r="AI487" s="11"/>
      <c r="AJ487" s="11">
        <v>73960.0</v>
      </c>
      <c r="AK487" s="11">
        <v>68700.0</v>
      </c>
      <c r="AL487" s="11">
        <v>78070.0</v>
      </c>
      <c r="AM487" s="11">
        <v>108530.0</v>
      </c>
      <c r="AN487" s="11">
        <v>8900.0</v>
      </c>
      <c r="AO487" s="11">
        <v>25700.0</v>
      </c>
      <c r="AP487" s="11">
        <v>36370.0</v>
      </c>
      <c r="AQ487" s="11">
        <v>36190.0</v>
      </c>
      <c r="AR487" s="11">
        <v>56640.0</v>
      </c>
      <c r="AS487" s="11"/>
      <c r="AT487" s="11">
        <v>55250.0</v>
      </c>
      <c r="AU487" s="11">
        <v>42500.0</v>
      </c>
      <c r="AV487" s="11">
        <v>78630.0</v>
      </c>
      <c r="AW487" s="11">
        <v>58370.0</v>
      </c>
      <c r="AX487" s="12"/>
      <c r="AY487" s="11">
        <v>-9120.0</v>
      </c>
      <c r="AZ487" s="11">
        <v>-18770.0</v>
      </c>
      <c r="BA487" s="11">
        <v>-17650.0</v>
      </c>
      <c r="BB487" s="11">
        <v>-22970.0</v>
      </c>
      <c r="BC487" s="12"/>
      <c r="BD487" s="11">
        <v>-46990.0</v>
      </c>
      <c r="BE487" s="11">
        <v>-29510.0</v>
      </c>
      <c r="BF487" s="11">
        <v>-20030.0</v>
      </c>
      <c r="BG487" s="11">
        <v>-16650.0</v>
      </c>
      <c r="BH487" s="11">
        <v>72280.0</v>
      </c>
      <c r="BI487" s="11">
        <v>20820.0</v>
      </c>
      <c r="BJ487" s="11">
        <v>22360.0</v>
      </c>
      <c r="BK487" s="11">
        <v>57700.0</v>
      </c>
      <c r="BL487" s="11">
        <v>52660.0</v>
      </c>
      <c r="BM487" s="11">
        <v>8090.0</v>
      </c>
      <c r="BN487" s="11">
        <v>14250.0</v>
      </c>
      <c r="BO487" s="11">
        <v>12360.0</v>
      </c>
      <c r="BP487" s="11">
        <v>12290.0</v>
      </c>
      <c r="BQ487" s="11">
        <v>9470.0</v>
      </c>
      <c r="BR487" s="11">
        <v>126100.0</v>
      </c>
      <c r="BS487" s="11">
        <v>162390.0</v>
      </c>
      <c r="BT487" s="11">
        <v>163010.0</v>
      </c>
      <c r="BU487" s="11">
        <v>149480.0</v>
      </c>
      <c r="BV487" s="11">
        <v>162320.0</v>
      </c>
      <c r="BW487" s="11">
        <v>229950.0</v>
      </c>
      <c r="BX487" s="11">
        <v>216290.0</v>
      </c>
      <c r="BY487" s="11">
        <v>214430.0</v>
      </c>
      <c r="BZ487" s="11">
        <v>243100.0</v>
      </c>
      <c r="CA487" s="11">
        <v>248200.0</v>
      </c>
      <c r="CB487" s="11">
        <v>346020.0</v>
      </c>
      <c r="CC487" s="11">
        <v>245250.0</v>
      </c>
      <c r="CD487" s="11">
        <v>267900.0</v>
      </c>
      <c r="CE487" s="11">
        <v>270200.0</v>
      </c>
      <c r="CF487" s="11">
        <v>273620.0</v>
      </c>
      <c r="CG487" s="11">
        <v>25390.0</v>
      </c>
      <c r="CH487" s="11">
        <v>25390.0</v>
      </c>
      <c r="CI487" s="11">
        <v>25430.0</v>
      </c>
      <c r="CJ487" s="11">
        <v>25430.0</v>
      </c>
      <c r="CK487" s="11"/>
      <c r="CL487" s="11">
        <v>622790.0</v>
      </c>
      <c r="CM487" s="11">
        <v>510350.0</v>
      </c>
      <c r="CN487" s="11">
        <v>530430.0</v>
      </c>
      <c r="CO487" s="11">
        <v>568220.0</v>
      </c>
      <c r="CP487" s="11">
        <v>577410.0</v>
      </c>
      <c r="CQ487" s="11">
        <v>25600.0</v>
      </c>
      <c r="CR487" s="11">
        <v>34390.0</v>
      </c>
      <c r="CS487" s="11">
        <v>18770.0</v>
      </c>
      <c r="CT487" s="11">
        <v>16960.0</v>
      </c>
      <c r="CU487" s="11">
        <v>15440.0</v>
      </c>
      <c r="CV487" s="11">
        <v>138980.0</v>
      </c>
      <c r="CW487" s="11"/>
      <c r="CX487" s="11"/>
      <c r="CY487" s="11"/>
      <c r="CZ487" s="11"/>
      <c r="DA487" s="11"/>
      <c r="DB487" s="11">
        <v>138980.0</v>
      </c>
      <c r="DC487" s="11">
        <v>122830.0</v>
      </c>
      <c r="DD487" s="11">
        <v>121260.0</v>
      </c>
      <c r="DE487" s="11">
        <v>126450.0</v>
      </c>
      <c r="DF487" s="11">
        <v>294730.0</v>
      </c>
      <c r="DG487" s="11">
        <v>146420.0</v>
      </c>
      <c r="DH487" s="11">
        <v>146560.0</v>
      </c>
      <c r="DI487" s="11">
        <v>167330.0</v>
      </c>
      <c r="DJ487" s="11">
        <v>185210.0</v>
      </c>
      <c r="DK487" s="11"/>
      <c r="DL487" s="11"/>
      <c r="DM487" s="11"/>
      <c r="DN487" s="11">
        <v>7330.0</v>
      </c>
      <c r="DO487" s="11">
        <v>7820.0</v>
      </c>
      <c r="DP487" s="11">
        <v>152110.0</v>
      </c>
      <c r="DQ487" s="11">
        <v>516.0</v>
      </c>
      <c r="DR487" s="11">
        <v>1100.0</v>
      </c>
      <c r="DS487" s="11">
        <v>11610.0</v>
      </c>
      <c r="DT487" s="11">
        <v>38840.0</v>
      </c>
      <c r="DU487" s="13"/>
      <c r="DV487" s="12"/>
      <c r="DW487" s="12"/>
      <c r="DX487" s="12"/>
      <c r="DY487" s="12"/>
      <c r="DZ487" s="11">
        <v>328070.0</v>
      </c>
      <c r="EA487" s="11">
        <v>363870.0</v>
      </c>
      <c r="EB487" s="11">
        <v>383730.0</v>
      </c>
      <c r="EC487" s="11">
        <v>400710.0</v>
      </c>
      <c r="ED487" s="11">
        <v>392000.0</v>
      </c>
      <c r="EE487" s="14">
        <v>0.06</v>
      </c>
      <c r="EF487" s="14">
        <v>0.105</v>
      </c>
      <c r="EG487" s="14">
        <v>0.722</v>
      </c>
      <c r="EH487" s="14">
        <v>0.197</v>
      </c>
    </row>
    <row r="488">
      <c r="A488" s="9">
        <f t="shared" si="2"/>
        <v>486</v>
      </c>
      <c r="B488" s="10" t="s">
        <v>623</v>
      </c>
      <c r="C488" s="11">
        <v>1.782E7</v>
      </c>
      <c r="D488" s="11">
        <v>1.721E7</v>
      </c>
      <c r="E488" s="11">
        <v>2.139E7</v>
      </c>
      <c r="F488" s="11">
        <v>2.161E7</v>
      </c>
      <c r="G488" s="11">
        <v>2.04E7</v>
      </c>
      <c r="H488" s="11">
        <v>1.975E7</v>
      </c>
      <c r="I488" s="11">
        <v>2.086E7</v>
      </c>
      <c r="J488" s="11">
        <v>7050000.0</v>
      </c>
      <c r="K488" s="11">
        <v>7110000.0</v>
      </c>
      <c r="L488" s="11">
        <v>6670000.0</v>
      </c>
      <c r="M488" s="11">
        <v>6350000.0</v>
      </c>
      <c r="N488" s="11">
        <v>6550000.0</v>
      </c>
      <c r="O488" s="11">
        <v>3990000.0</v>
      </c>
      <c r="P488" s="11">
        <v>4130000.0</v>
      </c>
      <c r="Q488" s="11">
        <v>3990000.0</v>
      </c>
      <c r="R488" s="11">
        <v>3880000.0</v>
      </c>
      <c r="S488" s="11">
        <v>4050000.0</v>
      </c>
      <c r="T488" s="11">
        <v>606000.0</v>
      </c>
      <c r="U488" s="11">
        <v>584000.0</v>
      </c>
      <c r="V488" s="11">
        <v>584000.0</v>
      </c>
      <c r="W488" s="11">
        <v>589000.0</v>
      </c>
      <c r="X488" s="11">
        <v>625000.0</v>
      </c>
      <c r="Y488" s="11">
        <v>2940000.0</v>
      </c>
      <c r="Z488" s="11">
        <v>2710000.0</v>
      </c>
      <c r="AA488" s="11">
        <v>-120000.0</v>
      </c>
      <c r="AB488" s="11">
        <v>-215000.0</v>
      </c>
      <c r="AC488" s="11">
        <v>-176000.0</v>
      </c>
      <c r="AD488" s="11">
        <v>2590000.0</v>
      </c>
      <c r="AE488" s="11">
        <v>2420000.0</v>
      </c>
      <c r="AF488" s="11">
        <v>3370000.0</v>
      </c>
      <c r="AG488" s="11">
        <v>2120000.0</v>
      </c>
      <c r="AH488" s="11">
        <v>2150000.0</v>
      </c>
      <c r="AI488" s="11">
        <v>3950000.0</v>
      </c>
      <c r="AJ488" s="11">
        <v>3890000.0</v>
      </c>
      <c r="AK488" s="11">
        <v>3590000.0</v>
      </c>
      <c r="AL488" s="11">
        <v>3400000.0</v>
      </c>
      <c r="AM488" s="11">
        <v>3430000.0</v>
      </c>
      <c r="AN488" s="11">
        <v>2210000.0</v>
      </c>
      <c r="AO488" s="11">
        <v>2150000.0</v>
      </c>
      <c r="AP488" s="11">
        <v>2990000.0</v>
      </c>
      <c r="AQ488" s="11">
        <v>1920000.0</v>
      </c>
      <c r="AR488" s="11">
        <v>1980000.0</v>
      </c>
      <c r="AS488" s="11">
        <v>3450000.0</v>
      </c>
      <c r="AT488" s="11">
        <v>2660000.0</v>
      </c>
      <c r="AU488" s="11">
        <v>2670000.0</v>
      </c>
      <c r="AV488" s="11">
        <v>2570000.0</v>
      </c>
      <c r="AW488" s="11">
        <v>2370000.0</v>
      </c>
      <c r="AX488" s="11">
        <v>-587000.0</v>
      </c>
      <c r="AY488" s="11">
        <v>-565000.0</v>
      </c>
      <c r="AZ488" s="11">
        <v>-520000.0</v>
      </c>
      <c r="BA488" s="11">
        <v>-497000.0</v>
      </c>
      <c r="BB488" s="11">
        <v>-506000.0</v>
      </c>
      <c r="BC488" s="11">
        <v>-1200000.0</v>
      </c>
      <c r="BD488" s="11">
        <v>-1150000.0</v>
      </c>
      <c r="BE488" s="11">
        <v>-1070000.0</v>
      </c>
      <c r="BF488" s="11">
        <v>-1040000.0</v>
      </c>
      <c r="BG488" s="11">
        <v>-1030000.0</v>
      </c>
      <c r="BH488" s="11">
        <v>591000.0</v>
      </c>
      <c r="BI488" s="11">
        <v>440000.0</v>
      </c>
      <c r="BJ488" s="11">
        <v>1100000.0</v>
      </c>
      <c r="BK488" s="11">
        <v>746000.0</v>
      </c>
      <c r="BL488" s="11">
        <v>445000.0</v>
      </c>
      <c r="BM488" s="11">
        <v>3540000.0</v>
      </c>
      <c r="BN488" s="11">
        <v>3950000.0</v>
      </c>
      <c r="BO488" s="11">
        <v>4060000.0</v>
      </c>
      <c r="BP488" s="11">
        <v>3560000.0</v>
      </c>
      <c r="BQ488" s="11">
        <v>3480000.0</v>
      </c>
      <c r="BR488" s="11">
        <v>2810000.0</v>
      </c>
      <c r="BS488" s="11">
        <v>2790000.0</v>
      </c>
      <c r="BT488" s="11">
        <v>2620000.0</v>
      </c>
      <c r="BU488" s="11">
        <v>2350000.0</v>
      </c>
      <c r="BV488" s="11">
        <v>2320000.0</v>
      </c>
      <c r="BW488" s="11">
        <v>8730000.0</v>
      </c>
      <c r="BX488" s="11">
        <v>7590000.0</v>
      </c>
      <c r="BY488" s="11">
        <v>8340000.0</v>
      </c>
      <c r="BZ488" s="11">
        <v>7030000.0</v>
      </c>
      <c r="CA488" s="11">
        <v>6620000.0</v>
      </c>
      <c r="CB488" s="11">
        <v>3930000.0</v>
      </c>
      <c r="CC488" s="11">
        <v>3470000.0</v>
      </c>
      <c r="CD488" s="11">
        <v>3500000.0</v>
      </c>
      <c r="CE488" s="11">
        <v>3440000.0</v>
      </c>
      <c r="CF488" s="11">
        <v>3570000.0</v>
      </c>
      <c r="CG488" s="11">
        <v>1.346E7</v>
      </c>
      <c r="CH488" s="11">
        <v>1.333E7</v>
      </c>
      <c r="CI488" s="11">
        <v>1.357E7</v>
      </c>
      <c r="CJ488" s="11">
        <v>1.32E7</v>
      </c>
      <c r="CK488" s="11">
        <v>1.348E7</v>
      </c>
      <c r="CL488" s="11">
        <v>3.281E7</v>
      </c>
      <c r="CM488" s="11">
        <v>3.109E7</v>
      </c>
      <c r="CN488" s="11">
        <v>3.262E7</v>
      </c>
      <c r="CO488" s="11">
        <v>3.048E7</v>
      </c>
      <c r="CP488" s="11">
        <v>3.1E7</v>
      </c>
      <c r="CQ488" s="11">
        <v>2110000.0</v>
      </c>
      <c r="CR488" s="11">
        <v>2130000.0</v>
      </c>
      <c r="CS488" s="11">
        <v>2170000.0</v>
      </c>
      <c r="CT488" s="11">
        <v>1720000.0</v>
      </c>
      <c r="CU488" s="11">
        <v>1760000.0</v>
      </c>
      <c r="CV488" s="11">
        <v>5130000.0</v>
      </c>
      <c r="CW488" s="11">
        <v>376000.0</v>
      </c>
      <c r="CX488" s="11">
        <v>414000.0</v>
      </c>
      <c r="CY488" s="11">
        <v>6000.0</v>
      </c>
      <c r="CZ488" s="11">
        <v>14000.0</v>
      </c>
      <c r="DA488" s="11">
        <v>426000.0</v>
      </c>
      <c r="DB488" s="11">
        <v>5130000.0</v>
      </c>
      <c r="DC488" s="11">
        <v>5150000.0</v>
      </c>
      <c r="DD488" s="11">
        <v>5080000.0</v>
      </c>
      <c r="DE488" s="11">
        <v>5490000.0</v>
      </c>
      <c r="DF488" s="11">
        <v>1.667E7</v>
      </c>
      <c r="DG488" s="11">
        <v>1.495E7</v>
      </c>
      <c r="DH488" s="11">
        <v>1.533E7</v>
      </c>
      <c r="DI488" s="11">
        <v>1.548E7</v>
      </c>
      <c r="DJ488" s="11">
        <v>1.577E7</v>
      </c>
      <c r="DK488" s="11"/>
      <c r="DL488" s="11"/>
      <c r="DM488" s="12"/>
      <c r="DN488" s="11"/>
      <c r="DO488" s="11"/>
      <c r="DP488" s="28">
        <v>8150000.0</v>
      </c>
      <c r="DQ488" s="28">
        <v>6770000.0</v>
      </c>
      <c r="DR488" s="28">
        <v>7170000.0</v>
      </c>
      <c r="DS488" s="28">
        <v>6710000.0</v>
      </c>
      <c r="DT488" s="28">
        <v>7750000.0</v>
      </c>
      <c r="DU488" s="12"/>
      <c r="DV488" s="13"/>
      <c r="DW488" s="12"/>
      <c r="DX488" s="12"/>
      <c r="DY488" s="12"/>
      <c r="DZ488" s="11">
        <v>1.608E7</v>
      </c>
      <c r="EA488" s="11">
        <v>1.611E7</v>
      </c>
      <c r="EB488" s="11">
        <v>1.725E7</v>
      </c>
      <c r="EC488" s="11">
        <v>1.495E7</v>
      </c>
      <c r="ED488" s="11">
        <v>1.519E7</v>
      </c>
      <c r="EE488" s="14">
        <v>0.055</v>
      </c>
      <c r="EF488" s="14">
        <v>0.207</v>
      </c>
      <c r="EG488" s="14">
        <v>0.321</v>
      </c>
      <c r="EH488" s="14">
        <v>0.082</v>
      </c>
    </row>
    <row r="489">
      <c r="A489" s="9">
        <f t="shared" si="2"/>
        <v>487</v>
      </c>
      <c r="B489" s="22" t="s">
        <v>624</v>
      </c>
      <c r="C489" s="12"/>
      <c r="D489" s="12"/>
      <c r="E489" s="12"/>
      <c r="F489" s="12"/>
      <c r="G489" s="12"/>
      <c r="H489" s="12"/>
      <c r="I489" s="12"/>
      <c r="J489" s="11">
        <v>-17.0</v>
      </c>
      <c r="K489" s="11">
        <v>-6.0</v>
      </c>
      <c r="L489" s="12"/>
      <c r="M489" s="12"/>
      <c r="N489" s="12"/>
      <c r="O489" s="11">
        <v>26620.0</v>
      </c>
      <c r="P489" s="11">
        <v>15160.0</v>
      </c>
      <c r="Q489" s="12"/>
      <c r="R489" s="12"/>
      <c r="S489" s="12"/>
      <c r="T489" s="11">
        <v>21350.0</v>
      </c>
      <c r="U489" s="11">
        <v>13680.0</v>
      </c>
      <c r="V489" s="12"/>
      <c r="W489" s="12"/>
      <c r="X489" s="12"/>
      <c r="Y489" s="11">
        <v>-57240.0</v>
      </c>
      <c r="Z489" s="11">
        <v>-16140.0</v>
      </c>
      <c r="AA489" s="12"/>
      <c r="AB489" s="12"/>
      <c r="AC489" s="12"/>
      <c r="AD489" s="11">
        <v>-57200.0</v>
      </c>
      <c r="AE489" s="11">
        <v>-16150.0</v>
      </c>
      <c r="AF489" s="12"/>
      <c r="AG489" s="12"/>
      <c r="AH489" s="12"/>
      <c r="AI489" s="11">
        <v>-26620.0</v>
      </c>
      <c r="AJ489" s="11">
        <v>-15160.0</v>
      </c>
      <c r="AK489" s="12"/>
      <c r="AL489" s="12"/>
      <c r="AM489" s="12"/>
      <c r="AN489" s="11">
        <v>-57420.0</v>
      </c>
      <c r="AO489" s="11">
        <v>-16180.0</v>
      </c>
      <c r="AP489" s="12"/>
      <c r="AQ489" s="12"/>
      <c r="AR489" s="12"/>
      <c r="AS489" s="11">
        <v>-25460.0</v>
      </c>
      <c r="AT489" s="11">
        <v>-12470.0</v>
      </c>
      <c r="AU489" s="12"/>
      <c r="AV489" s="12"/>
      <c r="AW489" s="12"/>
      <c r="AX489" s="11">
        <v>-139.0</v>
      </c>
      <c r="AY489" s="11">
        <v>-39.0</v>
      </c>
      <c r="AZ489" s="12"/>
      <c r="BA489" s="12"/>
      <c r="BB489" s="12"/>
      <c r="BC489" s="12"/>
      <c r="BD489" s="12"/>
      <c r="BE489" s="12"/>
      <c r="BF489" s="12"/>
      <c r="BG489" s="12"/>
      <c r="BH489" s="11">
        <v>93360.0</v>
      </c>
      <c r="BI489" s="11">
        <v>11260.0</v>
      </c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1">
        <v>95330.0</v>
      </c>
      <c r="BX489" s="11">
        <v>11320.0</v>
      </c>
      <c r="BY489" s="12"/>
      <c r="BZ489" s="12"/>
      <c r="CA489" s="12"/>
      <c r="CB489" s="11">
        <v>155.0</v>
      </c>
      <c r="CC489" s="11">
        <v>33.0</v>
      </c>
      <c r="CD489" s="12"/>
      <c r="CE489" s="12"/>
      <c r="CF489" s="12"/>
      <c r="CG489" s="12"/>
      <c r="CH489" s="12"/>
      <c r="CI489" s="12"/>
      <c r="CJ489" s="12"/>
      <c r="CK489" s="12"/>
      <c r="CL489" s="11">
        <v>95550.0</v>
      </c>
      <c r="CM489" s="11">
        <v>11370.0</v>
      </c>
      <c r="CN489" s="12"/>
      <c r="CO489" s="12"/>
      <c r="CP489" s="12"/>
      <c r="CQ489" s="11">
        <v>989.0</v>
      </c>
      <c r="CR489" s="11">
        <v>1510.0</v>
      </c>
      <c r="CS489" s="12"/>
      <c r="CT489" s="12"/>
      <c r="CU489" s="12"/>
      <c r="CV489" s="11">
        <v>5610.0</v>
      </c>
      <c r="CW489" s="12"/>
      <c r="CX489" s="11">
        <v>1670.0</v>
      </c>
      <c r="CY489" s="12"/>
      <c r="CZ489" s="12"/>
      <c r="DA489" s="12"/>
      <c r="DB489" s="11">
        <v>5610.0</v>
      </c>
      <c r="DC489" s="11">
        <v>4350.0</v>
      </c>
      <c r="DD489" s="12"/>
      <c r="DE489" s="12"/>
      <c r="DF489" s="11">
        <v>5610.0</v>
      </c>
      <c r="DG489" s="11">
        <v>27430.0</v>
      </c>
      <c r="DH489" s="12"/>
      <c r="DI489" s="12"/>
      <c r="DJ489" s="12"/>
      <c r="DK489" s="12"/>
      <c r="DL489" s="12"/>
      <c r="DM489" s="12"/>
      <c r="DN489" s="12"/>
      <c r="DO489" s="12"/>
      <c r="DP489" s="12"/>
      <c r="DQ489" s="11">
        <v>23070.0</v>
      </c>
      <c r="DR489" s="12"/>
      <c r="DS489" s="12"/>
      <c r="DT489" s="12"/>
      <c r="DU489" s="13"/>
      <c r="DV489" s="12"/>
      <c r="DW489" s="12"/>
      <c r="DX489" s="13"/>
      <c r="DY489" s="13"/>
      <c r="DZ489" s="11">
        <v>89940.0</v>
      </c>
      <c r="EA489" s="11">
        <v>-16060.0</v>
      </c>
      <c r="EB489" s="12"/>
      <c r="EC489" s="12"/>
      <c r="ED489" s="12"/>
      <c r="EE489" s="23"/>
      <c r="EF489" s="23"/>
      <c r="EG489" s="14">
        <v>-0.024</v>
      </c>
      <c r="EH489" s="14">
        <v>-6.545</v>
      </c>
    </row>
    <row r="490">
      <c r="A490" s="9">
        <f t="shared" si="2"/>
        <v>488</v>
      </c>
      <c r="B490" s="22" t="s">
        <v>625</v>
      </c>
      <c r="C490" s="11">
        <v>29560.0</v>
      </c>
      <c r="D490" s="11">
        <v>1750.0</v>
      </c>
      <c r="E490" s="11">
        <v>959.0</v>
      </c>
      <c r="F490" s="12"/>
      <c r="G490" s="12"/>
      <c r="H490" s="12"/>
      <c r="I490" s="12"/>
      <c r="J490" s="11">
        <v>506.0</v>
      </c>
      <c r="K490" s="11">
        <v>-63.0</v>
      </c>
      <c r="L490" s="11">
        <v>-13.0</v>
      </c>
      <c r="M490" s="12"/>
      <c r="N490" s="12"/>
      <c r="O490" s="11">
        <v>19110.0</v>
      </c>
      <c r="P490" s="11">
        <v>10260.0</v>
      </c>
      <c r="Q490" s="11">
        <v>7140.0</v>
      </c>
      <c r="R490" s="12"/>
      <c r="S490" s="12"/>
      <c r="T490" s="11">
        <v>11560.0</v>
      </c>
      <c r="U490" s="11">
        <v>5630.0</v>
      </c>
      <c r="V490" s="11">
        <v>3930.0</v>
      </c>
      <c r="W490" s="12"/>
      <c r="X490" s="12"/>
      <c r="Y490" s="12"/>
      <c r="Z490" s="11">
        <v>-12900.0</v>
      </c>
      <c r="AA490" s="11">
        <v>-7190.0</v>
      </c>
      <c r="AB490" s="12"/>
      <c r="AC490" s="12"/>
      <c r="AD490" s="11">
        <v>-18320.0</v>
      </c>
      <c r="AE490" s="11">
        <v>-12740.0</v>
      </c>
      <c r="AF490" s="11">
        <v>-7160.0</v>
      </c>
      <c r="AG490" s="12"/>
      <c r="AH490" s="12"/>
      <c r="AI490" s="11">
        <v>-18150.0</v>
      </c>
      <c r="AJ490" s="11">
        <v>-10260.0</v>
      </c>
      <c r="AK490" s="11">
        <v>-7140.0</v>
      </c>
      <c r="AL490" s="12"/>
      <c r="AM490" s="12"/>
      <c r="AN490" s="11">
        <v>-18320.0</v>
      </c>
      <c r="AO490" s="11">
        <v>-12740.0</v>
      </c>
      <c r="AP490" s="11">
        <v>-7160.0</v>
      </c>
      <c r="AQ490" s="12"/>
      <c r="AR490" s="12"/>
      <c r="AS490" s="11">
        <v>-18030.0</v>
      </c>
      <c r="AT490" s="11">
        <v>-8150.0</v>
      </c>
      <c r="AU490" s="11">
        <v>-4720.0</v>
      </c>
      <c r="AV490" s="12"/>
      <c r="AW490" s="12"/>
      <c r="AX490" s="11">
        <v>-1850.0</v>
      </c>
      <c r="AY490" s="11">
        <v>-236.0</v>
      </c>
      <c r="AZ490" s="11">
        <v>-130.0</v>
      </c>
      <c r="BA490" s="12"/>
      <c r="BB490" s="12"/>
      <c r="BC490" s="12"/>
      <c r="BD490" s="12"/>
      <c r="BE490" s="12"/>
      <c r="BF490" s="12"/>
      <c r="BG490" s="12"/>
      <c r="BH490" s="11">
        <v>12070.0</v>
      </c>
      <c r="BI490" s="11">
        <v>26740.0</v>
      </c>
      <c r="BJ490" s="11">
        <v>13160.0</v>
      </c>
      <c r="BK490" s="12"/>
      <c r="BL490" s="12"/>
      <c r="BM490" s="11">
        <v>473.0</v>
      </c>
      <c r="BN490" s="12"/>
      <c r="BO490" s="12"/>
      <c r="BP490" s="12"/>
      <c r="BQ490" s="12"/>
      <c r="BR490" s="11">
        <v>380.0</v>
      </c>
      <c r="BS490" s="12"/>
      <c r="BT490" s="12"/>
      <c r="BU490" s="12"/>
      <c r="BV490" s="12"/>
      <c r="BW490" s="11">
        <v>15010.0</v>
      </c>
      <c r="BX490" s="11">
        <v>27500.0</v>
      </c>
      <c r="BY490" s="11">
        <v>13290.0</v>
      </c>
      <c r="BZ490" s="12"/>
      <c r="CA490" s="12"/>
      <c r="CB490" s="11">
        <v>1280.0</v>
      </c>
      <c r="CC490" s="11">
        <v>773.0</v>
      </c>
      <c r="CD490" s="11">
        <v>119.0</v>
      </c>
      <c r="CE490" s="12"/>
      <c r="CF490" s="12"/>
      <c r="CG490" s="12"/>
      <c r="CH490" s="12"/>
      <c r="CI490" s="12"/>
      <c r="CJ490" s="12"/>
      <c r="CK490" s="12"/>
      <c r="CL490" s="11">
        <v>17070.0</v>
      </c>
      <c r="CM490" s="11">
        <v>28330.0</v>
      </c>
      <c r="CN490" s="11">
        <v>13440.0</v>
      </c>
      <c r="CO490" s="12"/>
      <c r="CP490" s="12"/>
      <c r="CQ490" s="11">
        <v>575.0</v>
      </c>
      <c r="CR490" s="11">
        <v>1420.0</v>
      </c>
      <c r="CS490" s="11">
        <v>539.0</v>
      </c>
      <c r="CT490" s="12"/>
      <c r="CU490" s="12"/>
      <c r="CV490" s="11">
        <v>1960.0</v>
      </c>
      <c r="CW490" s="11">
        <v>133.0</v>
      </c>
      <c r="CX490" s="12"/>
      <c r="CY490" s="12"/>
      <c r="CZ490" s="12"/>
      <c r="DA490" s="12"/>
      <c r="DB490" s="11">
        <v>1960.0</v>
      </c>
      <c r="DC490" s="11">
        <v>2020.0</v>
      </c>
      <c r="DD490" s="11">
        <v>793.0</v>
      </c>
      <c r="DE490" s="12"/>
      <c r="DF490" s="11">
        <v>6520.0</v>
      </c>
      <c r="DG490" s="11">
        <v>2020.0</v>
      </c>
      <c r="DH490" s="11">
        <v>1310.0</v>
      </c>
      <c r="DI490" s="12"/>
      <c r="DJ490" s="12"/>
      <c r="DK490" s="12"/>
      <c r="DL490" s="12"/>
      <c r="DM490" s="12"/>
      <c r="DN490" s="12"/>
      <c r="DO490" s="12"/>
      <c r="DP490" s="11">
        <v>4560.0</v>
      </c>
      <c r="DQ490" s="12"/>
      <c r="DR490" s="12"/>
      <c r="DS490" s="12"/>
      <c r="DT490" s="12"/>
      <c r="DU490" s="13"/>
      <c r="DV490" s="12"/>
      <c r="DW490" s="11">
        <v>19000.0</v>
      </c>
      <c r="DX490" s="13"/>
      <c r="DY490" s="13"/>
      <c r="DZ490" s="11">
        <v>10550.0</v>
      </c>
      <c r="EA490" s="11">
        <v>26300.0</v>
      </c>
      <c r="EB490" s="11">
        <v>12130.0</v>
      </c>
      <c r="EC490" s="12"/>
      <c r="ED490" s="12"/>
      <c r="EE490" s="23"/>
      <c r="EF490" s="14">
        <v>1.311</v>
      </c>
      <c r="EG490" s="14">
        <v>0.115</v>
      </c>
      <c r="EH490" s="14">
        <v>-0.214</v>
      </c>
    </row>
    <row r="491">
      <c r="A491" s="9">
        <f t="shared" si="2"/>
        <v>489</v>
      </c>
      <c r="B491" s="10" t="s">
        <v>626</v>
      </c>
      <c r="C491" s="11">
        <v>929780.0</v>
      </c>
      <c r="D491" s="11">
        <v>1330000.0</v>
      </c>
      <c r="E491" s="11">
        <v>833040.0</v>
      </c>
      <c r="F491" s="11">
        <v>508600.0</v>
      </c>
      <c r="G491" s="11">
        <v>455140.0</v>
      </c>
      <c r="H491" s="11">
        <v>618570.0</v>
      </c>
      <c r="I491" s="11">
        <v>763360.0</v>
      </c>
      <c r="J491" s="11">
        <v>212280.0</v>
      </c>
      <c r="K491" s="11">
        <v>-24570.0</v>
      </c>
      <c r="L491" s="11">
        <v>35340.0</v>
      </c>
      <c r="M491" s="11">
        <v>198000.0</v>
      </c>
      <c r="N491" s="11">
        <v>347630.0</v>
      </c>
      <c r="O491" s="11">
        <v>58990.0</v>
      </c>
      <c r="P491" s="11">
        <v>52420.0</v>
      </c>
      <c r="Q491" s="11">
        <v>37440.0</v>
      </c>
      <c r="R491" s="11">
        <v>40360.0</v>
      </c>
      <c r="S491" s="11">
        <v>41610.0</v>
      </c>
      <c r="T491" s="12"/>
      <c r="U491" s="12"/>
      <c r="V491" s="12"/>
      <c r="W491" s="12"/>
      <c r="X491" s="12"/>
      <c r="Y491" s="11">
        <v>144890.0</v>
      </c>
      <c r="Z491" s="11">
        <v>-85620.0</v>
      </c>
      <c r="AA491" s="11">
        <v>-6210.0</v>
      </c>
      <c r="AB491" s="11">
        <v>158180.0</v>
      </c>
      <c r="AC491" s="11">
        <v>305920.0</v>
      </c>
      <c r="AD491" s="11">
        <v>86100.0</v>
      </c>
      <c r="AE491" s="11">
        <v>-106720.0</v>
      </c>
      <c r="AF491" s="11">
        <v>-26650.0</v>
      </c>
      <c r="AG491" s="11">
        <v>147700.0</v>
      </c>
      <c r="AH491" s="11">
        <v>274450.0</v>
      </c>
      <c r="AI491" s="11">
        <v>454240.0</v>
      </c>
      <c r="AJ491" s="11">
        <v>148730.0</v>
      </c>
      <c r="AK491" s="11">
        <v>197610.0</v>
      </c>
      <c r="AL491" s="11">
        <v>364090.0</v>
      </c>
      <c r="AM491" s="11">
        <v>495500.0</v>
      </c>
      <c r="AN491" s="11">
        <v>100270.0</v>
      </c>
      <c r="AO491" s="11">
        <v>-93300.0</v>
      </c>
      <c r="AP491" s="11">
        <v>1230.0</v>
      </c>
      <c r="AQ491" s="11">
        <v>184460.0</v>
      </c>
      <c r="AR491" s="11">
        <v>315890.0</v>
      </c>
      <c r="AS491" s="11">
        <v>243010.0</v>
      </c>
      <c r="AT491" s="12">
        <v>685.0</v>
      </c>
      <c r="AU491" s="11">
        <v>187380.0</v>
      </c>
      <c r="AV491" s="11">
        <v>396040.0</v>
      </c>
      <c r="AW491" s="11">
        <v>406280.0</v>
      </c>
      <c r="AX491" s="11">
        <v>-7200.0</v>
      </c>
      <c r="AY491" s="11">
        <v>-201790.0</v>
      </c>
      <c r="AZ491" s="11">
        <v>-157720.0</v>
      </c>
      <c r="BA491" s="11">
        <v>-309800.0</v>
      </c>
      <c r="BB491" s="11">
        <v>-324770.0</v>
      </c>
      <c r="BC491" s="11">
        <v>-23240.0</v>
      </c>
      <c r="BD491" s="11">
        <v>-19190.0</v>
      </c>
      <c r="BE491" s="11">
        <v>-39130.0</v>
      </c>
      <c r="BF491" s="11">
        <v>-196020.0</v>
      </c>
      <c r="BG491" s="11">
        <v>-124450.0</v>
      </c>
      <c r="BH491" s="11">
        <v>264550.0</v>
      </c>
      <c r="BI491" s="11">
        <v>151450.0</v>
      </c>
      <c r="BJ491" s="11">
        <v>119630.0</v>
      </c>
      <c r="BK491" s="11">
        <v>195960.0</v>
      </c>
      <c r="BL491" s="11">
        <v>121200.0</v>
      </c>
      <c r="BM491" s="11">
        <v>256140.0</v>
      </c>
      <c r="BN491" s="11">
        <v>228170.0</v>
      </c>
      <c r="BO491" s="11">
        <v>93430.0</v>
      </c>
      <c r="BP491" s="11">
        <v>137990.0</v>
      </c>
      <c r="BQ491" s="11">
        <v>183000.0</v>
      </c>
      <c r="BR491" s="11">
        <v>163370.0</v>
      </c>
      <c r="BS491" s="12"/>
      <c r="BT491" s="12"/>
      <c r="BU491" s="12"/>
      <c r="BV491" s="12"/>
      <c r="BW491" s="11">
        <v>695380.0</v>
      </c>
      <c r="BX491" s="11">
        <v>416370.0</v>
      </c>
      <c r="BY491" s="11">
        <v>213060.0</v>
      </c>
      <c r="BZ491" s="11">
        <v>333950.0</v>
      </c>
      <c r="CA491" s="11">
        <v>326480.0</v>
      </c>
      <c r="CB491" s="11">
        <v>2890000.0</v>
      </c>
      <c r="CC491" s="11">
        <v>3080000.0</v>
      </c>
      <c r="CD491" s="11">
        <v>1950000.0</v>
      </c>
      <c r="CE491" s="11">
        <v>2340000.0</v>
      </c>
      <c r="CF491" s="11">
        <v>2190000.0</v>
      </c>
      <c r="CG491" s="11"/>
      <c r="CH491" s="11"/>
      <c r="CI491" s="11"/>
      <c r="CJ491" s="11"/>
      <c r="CK491" s="11"/>
      <c r="CL491" s="11">
        <v>3710000.0</v>
      </c>
      <c r="CM491" s="11">
        <v>3610000.0</v>
      </c>
      <c r="CN491" s="11">
        <v>2340000.0</v>
      </c>
      <c r="CO491" s="11">
        <v>2890000.0</v>
      </c>
      <c r="CP491" s="11">
        <v>2800000.0</v>
      </c>
      <c r="CQ491" s="11">
        <v>20260.0</v>
      </c>
      <c r="CR491" s="11">
        <v>14230.0</v>
      </c>
      <c r="CS491" s="11">
        <v>16050.0</v>
      </c>
      <c r="CT491" s="11">
        <v>17170.0</v>
      </c>
      <c r="CU491" s="11">
        <v>21200.0</v>
      </c>
      <c r="CV491" s="11">
        <v>281560.0</v>
      </c>
      <c r="CW491" s="11">
        <v>168140.0</v>
      </c>
      <c r="CX491" s="11">
        <v>173970.0</v>
      </c>
      <c r="CY491" s="11">
        <v>81090.0</v>
      </c>
      <c r="CZ491" s="11">
        <v>112940.0</v>
      </c>
      <c r="DA491" s="11">
        <v>92080.0</v>
      </c>
      <c r="DB491" s="11">
        <v>281560.0</v>
      </c>
      <c r="DC491" s="11">
        <v>251170.0</v>
      </c>
      <c r="DD491" s="11">
        <v>132200.0</v>
      </c>
      <c r="DE491" s="11">
        <v>179280.0</v>
      </c>
      <c r="DF491" s="11">
        <v>1650000.0</v>
      </c>
      <c r="DG491" s="11">
        <v>1630000.0</v>
      </c>
      <c r="DH491" s="11">
        <v>803310.0</v>
      </c>
      <c r="DI491" s="11">
        <v>1100000.0</v>
      </c>
      <c r="DJ491" s="11">
        <v>1040000.0</v>
      </c>
      <c r="DK491" s="11">
        <v>98620.0</v>
      </c>
      <c r="DL491" s="11">
        <v>69790.0</v>
      </c>
      <c r="DM491" s="11">
        <v>158500.0</v>
      </c>
      <c r="DN491" s="11">
        <v>191290.0</v>
      </c>
      <c r="DO491" s="11">
        <v>258550.0</v>
      </c>
      <c r="DP491" s="11">
        <v>1360000.0</v>
      </c>
      <c r="DQ491" s="11">
        <v>1370000.0</v>
      </c>
      <c r="DR491" s="11">
        <v>667350.0</v>
      </c>
      <c r="DS491" s="11">
        <v>916280.0</v>
      </c>
      <c r="DT491" s="11">
        <v>876760.0</v>
      </c>
      <c r="DU491" s="13"/>
      <c r="DV491" s="12"/>
      <c r="DW491" s="12"/>
      <c r="DX491" s="12"/>
      <c r="DY491" s="12"/>
      <c r="DZ491" s="11">
        <v>2060000.0</v>
      </c>
      <c r="EA491" s="11">
        <v>1980000.0</v>
      </c>
      <c r="EB491" s="11">
        <v>1540000.0</v>
      </c>
      <c r="EC491" s="11">
        <v>1790000.0</v>
      </c>
      <c r="ED491" s="11">
        <v>1750000.0</v>
      </c>
      <c r="EE491" s="14">
        <v>0.489</v>
      </c>
      <c r="EF491" s="14">
        <v>0.901</v>
      </c>
      <c r="EG491" s="14">
        <v>0.043</v>
      </c>
      <c r="EH491" s="14">
        <v>0.138</v>
      </c>
    </row>
    <row r="492">
      <c r="A492" s="9">
        <f t="shared" si="2"/>
        <v>490</v>
      </c>
      <c r="B492" s="22" t="s">
        <v>627</v>
      </c>
      <c r="C492" s="11">
        <v>76070.0</v>
      </c>
      <c r="D492" s="11">
        <v>7970.0</v>
      </c>
      <c r="E492" s="12"/>
      <c r="F492" s="12"/>
      <c r="G492" s="12"/>
      <c r="H492" s="12"/>
      <c r="I492" s="12"/>
      <c r="J492" s="11">
        <v>-905.0</v>
      </c>
      <c r="K492" s="11">
        <v>-262.0</v>
      </c>
      <c r="L492" s="11">
        <v>-244.0</v>
      </c>
      <c r="M492" s="11">
        <v>-69.0</v>
      </c>
      <c r="N492" s="11">
        <v>-58.0</v>
      </c>
      <c r="O492" s="11">
        <v>51840.0</v>
      </c>
      <c r="P492" s="11">
        <v>77380.0</v>
      </c>
      <c r="Q492" s="11">
        <v>35440.0</v>
      </c>
      <c r="R492" s="11">
        <v>11970.0</v>
      </c>
      <c r="S492" s="11">
        <v>41990.0</v>
      </c>
      <c r="T492" s="11">
        <v>22230.0</v>
      </c>
      <c r="U492" s="11">
        <v>43420.0</v>
      </c>
      <c r="V492" s="11">
        <v>23540.0</v>
      </c>
      <c r="W492" s="11">
        <v>6580.0</v>
      </c>
      <c r="X492" s="11">
        <v>34410.0</v>
      </c>
      <c r="Y492" s="11">
        <v>-80790.0</v>
      </c>
      <c r="Z492" s="11">
        <v>-125690.0</v>
      </c>
      <c r="AA492" s="11">
        <v>-69700.0</v>
      </c>
      <c r="AB492" s="12"/>
      <c r="AC492" s="12"/>
      <c r="AD492" s="11">
        <v>-80030.0</v>
      </c>
      <c r="AE492" s="11">
        <v>-125710.0</v>
      </c>
      <c r="AF492" s="11">
        <v>-105300.0</v>
      </c>
      <c r="AG492" s="11">
        <v>-13020.0</v>
      </c>
      <c r="AH492" s="11">
        <v>-43160.0</v>
      </c>
      <c r="AI492" s="11">
        <v>-51840.0</v>
      </c>
      <c r="AJ492" s="11">
        <v>-77380.0</v>
      </c>
      <c r="AK492" s="11">
        <v>-35440.0</v>
      </c>
      <c r="AL492" s="11">
        <v>-11970.0</v>
      </c>
      <c r="AM492" s="11">
        <v>-41990.0</v>
      </c>
      <c r="AN492" s="11">
        <v>-80030.0</v>
      </c>
      <c r="AO492" s="11">
        <v>-125710.0</v>
      </c>
      <c r="AP492" s="11">
        <v>-105310.0</v>
      </c>
      <c r="AQ492" s="11">
        <v>-13020.0</v>
      </c>
      <c r="AR492" s="11">
        <v>-43160.0</v>
      </c>
      <c r="AS492" s="11">
        <v>-55620.0</v>
      </c>
      <c r="AT492" s="11">
        <v>-56500.0</v>
      </c>
      <c r="AU492" s="11">
        <v>-19240.0</v>
      </c>
      <c r="AV492" s="11">
        <v>-16250.0</v>
      </c>
      <c r="AW492" s="11">
        <v>-37910.0</v>
      </c>
      <c r="AX492" s="11">
        <v>-164.0</v>
      </c>
      <c r="AY492" s="11">
        <v>-7.0</v>
      </c>
      <c r="AZ492" s="11">
        <v>-6.0</v>
      </c>
      <c r="BA492" s="12"/>
      <c r="BB492" s="11">
        <v>-226.0</v>
      </c>
      <c r="BC492" s="12"/>
      <c r="BD492" s="24">
        <v>-157.0</v>
      </c>
      <c r="BE492" s="12"/>
      <c r="BF492" s="12"/>
      <c r="BG492" s="12"/>
      <c r="BH492" s="11">
        <v>24110.0</v>
      </c>
      <c r="BI492" s="11">
        <v>1760.0</v>
      </c>
      <c r="BJ492" s="11">
        <v>1700.0</v>
      </c>
      <c r="BK492" s="11">
        <v>11480.0</v>
      </c>
      <c r="BL492" s="11">
        <v>37750.0</v>
      </c>
      <c r="BM492" s="11">
        <v>686.0</v>
      </c>
      <c r="BN492" s="11">
        <v>316.0</v>
      </c>
      <c r="BO492" s="11">
        <v>313.0</v>
      </c>
      <c r="BP492" s="12"/>
      <c r="BQ492" s="12"/>
      <c r="BR492" s="12"/>
      <c r="BS492" s="12"/>
      <c r="BT492" s="12"/>
      <c r="BU492" s="12"/>
      <c r="BV492" s="12"/>
      <c r="BW492" s="11">
        <v>26420.0</v>
      </c>
      <c r="BX492" s="11">
        <v>2480.0</v>
      </c>
      <c r="BY492" s="11">
        <v>2350.0</v>
      </c>
      <c r="BZ492" s="11">
        <v>12510.0</v>
      </c>
      <c r="CA492" s="11">
        <v>39730.0</v>
      </c>
      <c r="CB492" s="11">
        <v>554.0</v>
      </c>
      <c r="CC492" s="11">
        <v>593.0</v>
      </c>
      <c r="CD492" s="11">
        <v>848.0</v>
      </c>
      <c r="CE492" s="11">
        <v>109.0</v>
      </c>
      <c r="CF492" s="11">
        <v>186.0</v>
      </c>
      <c r="CG492" s="12"/>
      <c r="CH492" s="12"/>
      <c r="CI492" s="12"/>
      <c r="CJ492" s="12"/>
      <c r="CK492" s="12"/>
      <c r="CL492" s="11">
        <v>28300.0</v>
      </c>
      <c r="CM492" s="11">
        <v>4010.0</v>
      </c>
      <c r="CN492" s="11">
        <v>3950.0</v>
      </c>
      <c r="CO492" s="11">
        <v>12820.0</v>
      </c>
      <c r="CP492" s="11">
        <v>40110.0</v>
      </c>
      <c r="CQ492" s="11">
        <v>6010.0</v>
      </c>
      <c r="CR492" s="11">
        <v>8880.0</v>
      </c>
      <c r="CS492" s="11">
        <v>9000.0</v>
      </c>
      <c r="CT492" s="12"/>
      <c r="CU492" s="11">
        <v>4020.0</v>
      </c>
      <c r="CV492" s="11">
        <v>12660.0</v>
      </c>
      <c r="CW492" s="11">
        <v>197.0</v>
      </c>
      <c r="CX492" s="11">
        <v>4010.0</v>
      </c>
      <c r="CY492" s="12"/>
      <c r="CZ492" s="12"/>
      <c r="DA492" s="12"/>
      <c r="DB492" s="11">
        <v>12660.0</v>
      </c>
      <c r="DC492" s="11">
        <v>27330.0</v>
      </c>
      <c r="DD492" s="11">
        <v>103350.0</v>
      </c>
      <c r="DE492" s="11">
        <v>902.0</v>
      </c>
      <c r="DF492" s="11">
        <v>12660.0</v>
      </c>
      <c r="DG492" s="11">
        <v>27370.0</v>
      </c>
      <c r="DH492" s="11">
        <v>103630.0</v>
      </c>
      <c r="DI492" s="11">
        <v>902.0</v>
      </c>
      <c r="DJ492" s="11">
        <v>16300.0</v>
      </c>
      <c r="DK492" s="12"/>
      <c r="DL492" s="12"/>
      <c r="DM492" s="12"/>
      <c r="DN492" s="11">
        <v>200.0</v>
      </c>
      <c r="DO492" s="24">
        <v>200.0</v>
      </c>
      <c r="DP492" s="12"/>
      <c r="DQ492" s="12"/>
      <c r="DR492" s="12"/>
      <c r="DS492" s="12"/>
      <c r="DT492" s="11">
        <v>7210.0</v>
      </c>
      <c r="DU492" s="13"/>
      <c r="DV492" s="12"/>
      <c r="DW492" s="11">
        <v>189870.0</v>
      </c>
      <c r="DX492" s="13"/>
      <c r="DY492" s="13"/>
      <c r="DZ492" s="11">
        <v>15640.0</v>
      </c>
      <c r="EA492" s="11">
        <v>-23360.0</v>
      </c>
      <c r="EB492" s="11">
        <v>-99680.0</v>
      </c>
      <c r="EC492" s="11">
        <v>11910.0</v>
      </c>
      <c r="ED492" s="11">
        <v>23810.0</v>
      </c>
      <c r="EE492" s="14">
        <v>1.657</v>
      </c>
      <c r="EF492" s="14">
        <v>0.442</v>
      </c>
      <c r="EG492" s="14">
        <v>-1.459</v>
      </c>
      <c r="EH492" s="14">
        <v>-0.402</v>
      </c>
    </row>
    <row r="493">
      <c r="A493" s="9">
        <f t="shared" si="2"/>
        <v>491</v>
      </c>
      <c r="B493" s="10" t="s">
        <v>628</v>
      </c>
      <c r="C493" s="15">
        <v>80000.0</v>
      </c>
      <c r="D493" s="15">
        <v>9200.0</v>
      </c>
      <c r="E493" s="15">
        <v>2680.0</v>
      </c>
      <c r="F493" s="15">
        <v>6280.0</v>
      </c>
      <c r="G493" s="15">
        <v>12160.0</v>
      </c>
      <c r="H493" s="15">
        <v>25110.0</v>
      </c>
      <c r="I493" s="15">
        <v>43240.0</v>
      </c>
      <c r="J493" s="15">
        <v>-8370.0</v>
      </c>
      <c r="K493" s="15">
        <v>-5620.0</v>
      </c>
      <c r="L493" s="15">
        <v>-4680.0</v>
      </c>
      <c r="M493" s="15">
        <v>-2990.0</v>
      </c>
      <c r="N493" s="15">
        <v>5440.0</v>
      </c>
      <c r="O493" s="15">
        <v>72650.0</v>
      </c>
      <c r="P493" s="15">
        <v>70790.0</v>
      </c>
      <c r="Q493" s="15">
        <v>73680.0</v>
      </c>
      <c r="R493" s="15">
        <v>77970.0</v>
      </c>
      <c r="S493" s="15">
        <v>75060.0</v>
      </c>
      <c r="T493" s="15">
        <v>52100.0</v>
      </c>
      <c r="U493" s="15">
        <v>50660.0</v>
      </c>
      <c r="V493" s="15">
        <v>53920.0</v>
      </c>
      <c r="W493" s="15">
        <v>63040.0</v>
      </c>
      <c r="X493" s="15">
        <v>58040.0</v>
      </c>
      <c r="Y493" s="15">
        <v>-79600.0</v>
      </c>
      <c r="Z493" s="15">
        <v>-81470.0</v>
      </c>
      <c r="AA493" s="15">
        <v>-2860.0</v>
      </c>
      <c r="AB493" s="15">
        <v>-83750.0</v>
      </c>
      <c r="AC493" s="15">
        <v>-76110.0</v>
      </c>
      <c r="AD493" s="15">
        <v>-68020.0</v>
      </c>
      <c r="AE493" s="15">
        <v>-74720.0</v>
      </c>
      <c r="AF493" s="15">
        <v>-74910.0</v>
      </c>
      <c r="AG493" s="15">
        <v>-75070.0</v>
      </c>
      <c r="AH493" s="15">
        <v>-66880.0</v>
      </c>
      <c r="AI493" s="15">
        <v>-71160.0</v>
      </c>
      <c r="AJ493" s="15">
        <v>-69150.0</v>
      </c>
      <c r="AK493" s="15">
        <v>-70640.0</v>
      </c>
      <c r="AL493" s="15">
        <v>-72210.0</v>
      </c>
      <c r="AM493" s="15">
        <v>-60170.0</v>
      </c>
      <c r="AN493" s="15">
        <v>-64530.0</v>
      </c>
      <c r="AO493" s="15">
        <v>-74630.0</v>
      </c>
      <c r="AP493" s="15">
        <v>-74950.0</v>
      </c>
      <c r="AQ493" s="15">
        <v>-75210.0</v>
      </c>
      <c r="AR493" s="15">
        <v>-66880.0</v>
      </c>
      <c r="AS493" s="15">
        <v>-62940.0</v>
      </c>
      <c r="AT493" s="15">
        <v>-54510.0</v>
      </c>
      <c r="AU493" s="15">
        <v>-57300.0</v>
      </c>
      <c r="AV493" s="15">
        <v>-44890.0</v>
      </c>
      <c r="AW493" s="15">
        <v>-48200.0</v>
      </c>
      <c r="AX493" s="15">
        <v>-3210.0</v>
      </c>
      <c r="AY493" s="15">
        <v>-1340.0</v>
      </c>
      <c r="AZ493" s="15">
        <v>-2120.0</v>
      </c>
      <c r="BA493" s="15">
        <v>-3100.0</v>
      </c>
      <c r="BB493" s="15">
        <v>-7790.0</v>
      </c>
      <c r="BC493" s="13"/>
      <c r="BD493" s="13"/>
      <c r="BE493" s="13"/>
      <c r="BF493" s="13"/>
      <c r="BG493" s="13"/>
      <c r="BH493" s="15">
        <v>162070.0</v>
      </c>
      <c r="BI493" s="15">
        <v>203530.0</v>
      </c>
      <c r="BJ493" s="15">
        <v>249110.0</v>
      </c>
      <c r="BK493" s="15">
        <v>339290.0</v>
      </c>
      <c r="BL493" s="15">
        <v>391740.0</v>
      </c>
      <c r="BM493" s="15">
        <v>4180.0</v>
      </c>
      <c r="BN493" s="15">
        <v>2790.0</v>
      </c>
      <c r="BO493" s="15">
        <v>2820.0</v>
      </c>
      <c r="BP493" s="15">
        <v>4520.0</v>
      </c>
      <c r="BQ493" s="15">
        <v>13680.0</v>
      </c>
      <c r="BR493" s="12"/>
      <c r="BS493" s="12"/>
      <c r="BT493" s="12"/>
      <c r="BU493" s="12"/>
      <c r="BV493" s="12"/>
      <c r="BW493" s="15">
        <v>169340.0</v>
      </c>
      <c r="BX493" s="15">
        <v>207340.0</v>
      </c>
      <c r="BY493" s="15">
        <v>252700.0</v>
      </c>
      <c r="BZ493" s="15">
        <v>344420.0</v>
      </c>
      <c r="CA493" s="15">
        <v>406130.0</v>
      </c>
      <c r="CB493" s="15">
        <v>18150.0</v>
      </c>
      <c r="CC493" s="15">
        <v>11910.0</v>
      </c>
      <c r="CD493" s="15">
        <v>16640.0</v>
      </c>
      <c r="CE493" s="15">
        <v>24950.0</v>
      </c>
      <c r="CF493" s="15">
        <v>31890.0</v>
      </c>
      <c r="CG493" s="15"/>
      <c r="CH493" s="12"/>
      <c r="CI493" s="12"/>
      <c r="CJ493" s="12"/>
      <c r="CK493" s="12"/>
      <c r="CL493" s="15">
        <v>246490.0</v>
      </c>
      <c r="CM493" s="15">
        <v>219320.0</v>
      </c>
      <c r="CN493" s="15">
        <v>269410.0</v>
      </c>
      <c r="CO493" s="15">
        <v>369420.0</v>
      </c>
      <c r="CP493" s="15">
        <v>438110.0</v>
      </c>
      <c r="CQ493" s="15">
        <v>3460.0</v>
      </c>
      <c r="CR493" s="15">
        <v>3790.0</v>
      </c>
      <c r="CS493" s="15">
        <v>3850.0</v>
      </c>
      <c r="CT493" s="15">
        <v>5120.0</v>
      </c>
      <c r="CU493" s="15">
        <v>6890.0</v>
      </c>
      <c r="CV493" s="15">
        <v>19790.0</v>
      </c>
      <c r="CW493" s="15"/>
      <c r="CX493" s="15"/>
      <c r="CY493" s="13"/>
      <c r="CZ493" s="13"/>
      <c r="DA493" s="12"/>
      <c r="DB493" s="15">
        <v>19790.0</v>
      </c>
      <c r="DC493" s="15">
        <v>20290.0</v>
      </c>
      <c r="DD493" s="15">
        <v>16190.0</v>
      </c>
      <c r="DE493" s="15">
        <v>20110.0</v>
      </c>
      <c r="DF493" s="15">
        <v>27020.0</v>
      </c>
      <c r="DG493" s="15">
        <v>20510.0</v>
      </c>
      <c r="DH493" s="15">
        <v>16620.0</v>
      </c>
      <c r="DI493" s="15">
        <v>20760.0</v>
      </c>
      <c r="DJ493" s="15">
        <v>23200.0</v>
      </c>
      <c r="DK493" s="15"/>
      <c r="DL493" s="15"/>
      <c r="DM493" s="15"/>
      <c r="DN493" s="12"/>
      <c r="DO493" s="13"/>
      <c r="DP493" s="15">
        <v>7170.0</v>
      </c>
      <c r="DQ493" s="15"/>
      <c r="DR493" s="12"/>
      <c r="DS493" s="12"/>
      <c r="DT493" s="12"/>
      <c r="DU493" s="13"/>
      <c r="DV493" s="12"/>
      <c r="DW493" s="15"/>
      <c r="DX493" s="15"/>
      <c r="DY493" s="13"/>
      <c r="DZ493" s="15">
        <v>173200.0</v>
      </c>
      <c r="EA493" s="15">
        <v>187040.0</v>
      </c>
      <c r="EB493" s="15">
        <v>240860.0</v>
      </c>
      <c r="EC493" s="15">
        <v>335940.0</v>
      </c>
      <c r="ED493" s="15">
        <v>403700.0</v>
      </c>
      <c r="EE493" s="17">
        <v>0.0</v>
      </c>
      <c r="EF493" s="17">
        <v>0.0</v>
      </c>
      <c r="EG493" s="17">
        <v>-0.143</v>
      </c>
      <c r="EH493" s="17">
        <v>-0.165</v>
      </c>
    </row>
    <row r="494">
      <c r="A494" s="9">
        <f t="shared" si="2"/>
        <v>492</v>
      </c>
      <c r="B494" s="32" t="s">
        <v>629</v>
      </c>
      <c r="C494" s="11"/>
      <c r="D494" s="11"/>
      <c r="E494" s="11">
        <v>383100.0</v>
      </c>
      <c r="F494" s="11">
        <v>448510.0</v>
      </c>
      <c r="G494" s="11">
        <v>415580.0</v>
      </c>
      <c r="H494" s="11">
        <v>392670.0</v>
      </c>
      <c r="I494" s="11">
        <v>421390.0</v>
      </c>
      <c r="J494" s="11">
        <v>118770.0</v>
      </c>
      <c r="K494" s="11">
        <v>147360.0</v>
      </c>
      <c r="L494" s="11">
        <v>135740.0</v>
      </c>
      <c r="M494" s="11">
        <v>121160.0</v>
      </c>
      <c r="N494" s="11">
        <v>129300.0</v>
      </c>
      <c r="O494" s="11">
        <v>115300.0</v>
      </c>
      <c r="P494" s="11">
        <v>131250.0</v>
      </c>
      <c r="Q494" s="11">
        <v>120990.0</v>
      </c>
      <c r="R494" s="11">
        <v>111440.0</v>
      </c>
      <c r="S494" s="11">
        <v>112490.0</v>
      </c>
      <c r="T494" s="11">
        <v>100.0</v>
      </c>
      <c r="U494" s="11">
        <v>800.0</v>
      </c>
      <c r="V494" s="11">
        <v>1070.0</v>
      </c>
      <c r="W494" s="11">
        <v>940.0</v>
      </c>
      <c r="X494" s="11">
        <v>2170.0</v>
      </c>
      <c r="Y494" s="11"/>
      <c r="Z494" s="11">
        <v>15220.0</v>
      </c>
      <c r="AA494" s="12"/>
      <c r="AB494" s="12"/>
      <c r="AC494" s="12"/>
      <c r="AD494" s="11">
        <v>5780.0</v>
      </c>
      <c r="AE494" s="11">
        <v>16380.0</v>
      </c>
      <c r="AF494" s="11">
        <v>17870.0</v>
      </c>
      <c r="AG494" s="11">
        <v>10260.0</v>
      </c>
      <c r="AH494" s="11">
        <v>18360.0</v>
      </c>
      <c r="AI494" s="11">
        <v>11710.0</v>
      </c>
      <c r="AJ494" s="11">
        <v>22770.0</v>
      </c>
      <c r="AK494" s="11">
        <v>21760.0</v>
      </c>
      <c r="AL494" s="11">
        <v>17640.0</v>
      </c>
      <c r="AM494" s="11">
        <v>25300.0</v>
      </c>
      <c r="AN494" s="11">
        <v>1270.0</v>
      </c>
      <c r="AO494" s="11">
        <v>12010.0</v>
      </c>
      <c r="AP494" s="11">
        <v>12460.0</v>
      </c>
      <c r="AQ494" s="11">
        <v>6760.0</v>
      </c>
      <c r="AR494" s="11">
        <v>13570.0</v>
      </c>
      <c r="AS494" s="11">
        <v>4460.0</v>
      </c>
      <c r="AT494" s="11">
        <v>5560.0</v>
      </c>
      <c r="AU494" s="11">
        <v>14920.0</v>
      </c>
      <c r="AV494" s="11">
        <v>46080.0</v>
      </c>
      <c r="AW494" s="11">
        <v>19130.0</v>
      </c>
      <c r="AX494" s="11">
        <v>-8680.0</v>
      </c>
      <c r="AY494" s="11">
        <v>-12180.0</v>
      </c>
      <c r="AZ494" s="11">
        <v>-8560.0</v>
      </c>
      <c r="BA494" s="11">
        <v>-11020.0</v>
      </c>
      <c r="BB494" s="11">
        <v>-12860.0</v>
      </c>
      <c r="BC494" s="12"/>
      <c r="BD494" s="12"/>
      <c r="BE494" s="12"/>
      <c r="BF494" s="12"/>
      <c r="BG494" s="12"/>
      <c r="BH494" s="11">
        <v>50760.0</v>
      </c>
      <c r="BI494" s="11">
        <v>47010.0</v>
      </c>
      <c r="BJ494" s="11">
        <v>62880.0</v>
      </c>
      <c r="BK494" s="11">
        <v>45290.0</v>
      </c>
      <c r="BL494" s="11">
        <v>22700.0</v>
      </c>
      <c r="BM494" s="11">
        <v>80670.0</v>
      </c>
      <c r="BN494" s="11">
        <v>89300.0</v>
      </c>
      <c r="BO494" s="11">
        <v>85880.0</v>
      </c>
      <c r="BP494" s="11">
        <v>71070.0</v>
      </c>
      <c r="BQ494" s="11">
        <v>92800.0</v>
      </c>
      <c r="BR494" s="11">
        <v>77040.0</v>
      </c>
      <c r="BS494" s="11">
        <v>72350.0</v>
      </c>
      <c r="BT494" s="11">
        <v>59210.0</v>
      </c>
      <c r="BU494" s="11">
        <v>52770.0</v>
      </c>
      <c r="BV494" s="11">
        <v>81260.0</v>
      </c>
      <c r="BW494" s="11">
        <v>213760.0</v>
      </c>
      <c r="BX494" s="11">
        <v>218860.0</v>
      </c>
      <c r="BY494" s="11">
        <v>213110.0</v>
      </c>
      <c r="BZ494" s="11">
        <v>172800.0</v>
      </c>
      <c r="CA494" s="11">
        <v>200600.0</v>
      </c>
      <c r="CB494" s="11">
        <v>82190.0</v>
      </c>
      <c r="CC494" s="11">
        <v>28450.0</v>
      </c>
      <c r="CD494" s="11">
        <v>25890.0</v>
      </c>
      <c r="CE494" s="11">
        <v>22690.0</v>
      </c>
      <c r="CF494" s="11">
        <v>21910.0</v>
      </c>
      <c r="CG494" s="11"/>
      <c r="CH494" s="11"/>
      <c r="CI494" s="11"/>
      <c r="CJ494" s="11"/>
      <c r="CK494" s="11"/>
      <c r="CL494" s="11">
        <v>301670.0</v>
      </c>
      <c r="CM494" s="11">
        <v>252270.0</v>
      </c>
      <c r="CN494" s="11">
        <v>244990.0</v>
      </c>
      <c r="CO494" s="11">
        <v>201260.0</v>
      </c>
      <c r="CP494" s="11">
        <v>228720.0</v>
      </c>
      <c r="CQ494" s="11">
        <v>77230.0</v>
      </c>
      <c r="CR494" s="11">
        <v>83170.0</v>
      </c>
      <c r="CS494" s="11">
        <v>78460.0</v>
      </c>
      <c r="CT494" s="11">
        <v>62510.0</v>
      </c>
      <c r="CU494" s="11">
        <v>68940.0</v>
      </c>
      <c r="CV494" s="11">
        <v>173980.0</v>
      </c>
      <c r="CW494" s="11">
        <v>74820.0</v>
      </c>
      <c r="CX494" s="11">
        <v>29500.0</v>
      </c>
      <c r="CY494" s="11">
        <v>37730.0</v>
      </c>
      <c r="CZ494" s="11">
        <v>29230.0</v>
      </c>
      <c r="DA494" s="11">
        <v>44840.0</v>
      </c>
      <c r="DB494" s="11">
        <v>173980.0</v>
      </c>
      <c r="DC494" s="11">
        <v>138760.0</v>
      </c>
      <c r="DD494" s="11">
        <v>140410.0</v>
      </c>
      <c r="DE494" s="11">
        <v>113710.0</v>
      </c>
      <c r="DF494" s="11">
        <v>182520.0</v>
      </c>
      <c r="DG494" s="11">
        <v>139120.0</v>
      </c>
      <c r="DH494" s="11">
        <v>142290.0</v>
      </c>
      <c r="DI494" s="11">
        <v>116960.0</v>
      </c>
      <c r="DJ494" s="11">
        <v>149930.0</v>
      </c>
      <c r="DK494" s="11"/>
      <c r="DL494" s="11"/>
      <c r="DM494" s="12"/>
      <c r="DN494" s="12"/>
      <c r="DO494" s="12"/>
      <c r="DP494" s="11">
        <v>8540.0</v>
      </c>
      <c r="DQ494" s="11"/>
      <c r="DR494" s="11"/>
      <c r="DS494" s="12"/>
      <c r="DT494" s="11"/>
      <c r="DU494" s="13"/>
      <c r="DV494" s="12"/>
      <c r="DW494" s="12"/>
      <c r="DX494" s="12"/>
      <c r="DY494" s="12"/>
      <c r="DZ494" s="11">
        <v>120660.0</v>
      </c>
      <c r="EA494" s="11">
        <v>114710.0</v>
      </c>
      <c r="EB494" s="11">
        <v>103760.0</v>
      </c>
      <c r="EC494" s="11">
        <v>84910.0</v>
      </c>
      <c r="ED494" s="11">
        <v>78850.0</v>
      </c>
      <c r="EE494" s="14"/>
      <c r="EF494" s="14"/>
      <c r="EG494" s="29" t="s">
        <v>155</v>
      </c>
      <c r="EH494" s="14"/>
    </row>
    <row r="495">
      <c r="A495" s="9">
        <f t="shared" si="2"/>
        <v>493</v>
      </c>
      <c r="B495" s="22" t="s">
        <v>630</v>
      </c>
      <c r="C495" s="12"/>
      <c r="D495" s="12"/>
      <c r="E495" s="12"/>
      <c r="F495" s="12"/>
      <c r="G495" s="12"/>
      <c r="H495" s="12"/>
      <c r="I495" s="12"/>
      <c r="J495" s="11">
        <v>-1760.0</v>
      </c>
      <c r="K495" s="11">
        <v>-1940.0</v>
      </c>
      <c r="L495" s="11">
        <v>-834.0</v>
      </c>
      <c r="M495" s="11">
        <v>-495.0</v>
      </c>
      <c r="N495" s="12"/>
      <c r="O495" s="11">
        <v>84590.0</v>
      </c>
      <c r="P495" s="11">
        <v>56170.0</v>
      </c>
      <c r="Q495" s="11">
        <v>26700.0</v>
      </c>
      <c r="R495" s="11">
        <v>12530.0</v>
      </c>
      <c r="S495" s="12"/>
      <c r="T495" s="11">
        <v>63130.0</v>
      </c>
      <c r="U495" s="11">
        <v>39890.0</v>
      </c>
      <c r="V495" s="11">
        <v>19960.0</v>
      </c>
      <c r="W495" s="11">
        <v>9130.0</v>
      </c>
      <c r="X495" s="12"/>
      <c r="Y495" s="12"/>
      <c r="Z495" s="11">
        <v>-58510.0</v>
      </c>
      <c r="AA495" s="11">
        <v>-27830.0</v>
      </c>
      <c r="AB495" s="11">
        <v>-13050.0</v>
      </c>
      <c r="AC495" s="12"/>
      <c r="AD495" s="11">
        <v>-85280.0</v>
      </c>
      <c r="AE495" s="11">
        <v>-56950.0</v>
      </c>
      <c r="AF495" s="11">
        <v>-28050.0</v>
      </c>
      <c r="AG495" s="11">
        <v>-13330.0</v>
      </c>
      <c r="AH495" s="12"/>
      <c r="AI495" s="11">
        <v>-84590.0</v>
      </c>
      <c r="AJ495" s="11">
        <v>-56170.0</v>
      </c>
      <c r="AK495" s="11">
        <v>-26700.0</v>
      </c>
      <c r="AL495" s="11">
        <v>-12530.0</v>
      </c>
      <c r="AM495" s="12"/>
      <c r="AN495" s="11">
        <v>-85470.0</v>
      </c>
      <c r="AO495" s="11">
        <v>-56950.0</v>
      </c>
      <c r="AP495" s="11">
        <v>-28050.0</v>
      </c>
      <c r="AQ495" s="11">
        <v>-13330.0</v>
      </c>
      <c r="AR495" s="12"/>
      <c r="AS495" s="11">
        <v>-71980.0</v>
      </c>
      <c r="AT495" s="11">
        <v>-47280.0</v>
      </c>
      <c r="AU495" s="11">
        <v>-23270.0</v>
      </c>
      <c r="AV495" s="11">
        <v>-12310.0</v>
      </c>
      <c r="AW495" s="12"/>
      <c r="AX495" s="11">
        <v>-3030.0</v>
      </c>
      <c r="AY495" s="11">
        <v>-5460.0</v>
      </c>
      <c r="AZ495" s="11">
        <v>-1740.0</v>
      </c>
      <c r="BA495" s="11">
        <v>-1250.0</v>
      </c>
      <c r="BB495" s="12"/>
      <c r="BC495" s="12"/>
      <c r="BD495" s="12"/>
      <c r="BE495" s="12"/>
      <c r="BF495" s="12"/>
      <c r="BG495" s="12"/>
      <c r="BH495" s="11">
        <v>77830.0</v>
      </c>
      <c r="BI495" s="11">
        <v>147920.0</v>
      </c>
      <c r="BJ495" s="11">
        <v>38250.0</v>
      </c>
      <c r="BK495" s="11">
        <v>15540.0</v>
      </c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1">
        <v>81010.0</v>
      </c>
      <c r="BX495" s="11">
        <v>151620.0</v>
      </c>
      <c r="BY495" s="11">
        <v>38780.0</v>
      </c>
      <c r="BZ495" s="11">
        <v>15720.0</v>
      </c>
      <c r="CA495" s="12"/>
      <c r="CB495" s="11">
        <v>8340.0</v>
      </c>
      <c r="CC495" s="11">
        <v>6930.0</v>
      </c>
      <c r="CD495" s="11">
        <v>3500.0</v>
      </c>
      <c r="CE495" s="11">
        <v>2500.0</v>
      </c>
      <c r="CF495" s="12"/>
      <c r="CG495" s="12"/>
      <c r="CH495" s="12"/>
      <c r="CI495" s="12"/>
      <c r="CJ495" s="12"/>
      <c r="CK495" s="12"/>
      <c r="CL495" s="11">
        <v>90920.0</v>
      </c>
      <c r="CM495" s="11">
        <v>159870.0</v>
      </c>
      <c r="CN495" s="11">
        <v>43790.0</v>
      </c>
      <c r="CO495" s="11">
        <v>18570.0</v>
      </c>
      <c r="CP495" s="12"/>
      <c r="CQ495" s="11">
        <v>620.0</v>
      </c>
      <c r="CR495" s="11">
        <v>1520.0</v>
      </c>
      <c r="CS495" s="11">
        <v>1410.0</v>
      </c>
      <c r="CT495" s="11">
        <v>637.0</v>
      </c>
      <c r="CU495" s="12"/>
      <c r="CV495" s="11">
        <v>9740.0</v>
      </c>
      <c r="CW495" s="12"/>
      <c r="CX495" s="12"/>
      <c r="CY495" s="12"/>
      <c r="CZ495" s="12"/>
      <c r="DA495" s="12"/>
      <c r="DB495" s="11">
        <v>9740.0</v>
      </c>
      <c r="DC495" s="11">
        <v>9240.0</v>
      </c>
      <c r="DD495" s="11">
        <v>3840.0</v>
      </c>
      <c r="DE495" s="11">
        <v>2250.0</v>
      </c>
      <c r="DF495" s="11">
        <v>30720.0</v>
      </c>
      <c r="DG495" s="11">
        <v>22920.0</v>
      </c>
      <c r="DH495" s="11">
        <v>14810.0</v>
      </c>
      <c r="DI495" s="11">
        <v>13040.0</v>
      </c>
      <c r="DJ495" s="12"/>
      <c r="DK495" s="11">
        <v>1500.0</v>
      </c>
      <c r="DL495" s="11">
        <v>1250.0</v>
      </c>
      <c r="DM495" s="11">
        <v>1500.0</v>
      </c>
      <c r="DN495" s="11">
        <v>250.0</v>
      </c>
      <c r="DO495" s="12"/>
      <c r="DP495" s="11">
        <v>19630.0</v>
      </c>
      <c r="DQ495" s="11">
        <v>12310.0</v>
      </c>
      <c r="DR495" s="11">
        <v>9970.0</v>
      </c>
      <c r="DS495" s="11">
        <v>9930.0</v>
      </c>
      <c r="DT495" s="12"/>
      <c r="DU495" s="13"/>
      <c r="DV495" s="12"/>
      <c r="DW495" s="11">
        <v>83700.0</v>
      </c>
      <c r="DX495" s="11">
        <v>33860.0</v>
      </c>
      <c r="DY495" s="13"/>
      <c r="DZ495" s="11">
        <v>60200.0</v>
      </c>
      <c r="EA495" s="11">
        <v>136950.0</v>
      </c>
      <c r="EB495" s="11">
        <v>28980.0</v>
      </c>
      <c r="EC495" s="11">
        <v>5530.0</v>
      </c>
      <c r="ED495" s="12"/>
      <c r="EE495" s="23"/>
      <c r="EF495" s="23"/>
      <c r="EG495" s="14">
        <v>0.192</v>
      </c>
      <c r="EH495" s="14">
        <v>0.002</v>
      </c>
    </row>
    <row r="496">
      <c r="A496" s="9">
        <f t="shared" si="2"/>
        <v>494</v>
      </c>
      <c r="B496" s="22" t="s">
        <v>631</v>
      </c>
      <c r="C496" s="11">
        <v>14820.0</v>
      </c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1">
        <v>7150.0</v>
      </c>
      <c r="P496" s="11">
        <v>8010.0</v>
      </c>
      <c r="Q496" s="11">
        <v>11230.0</v>
      </c>
      <c r="R496" s="11">
        <v>10540.0</v>
      </c>
      <c r="S496" s="11">
        <v>11820.0</v>
      </c>
      <c r="T496" s="11">
        <v>3420.0</v>
      </c>
      <c r="U496" s="11">
        <v>4100.0</v>
      </c>
      <c r="V496" s="11">
        <v>7140.0</v>
      </c>
      <c r="W496" s="11">
        <v>6950.0</v>
      </c>
      <c r="X496" s="11">
        <v>8150.0</v>
      </c>
      <c r="Y496" s="12"/>
      <c r="Z496" s="11">
        <v>-7580.0</v>
      </c>
      <c r="AA496" s="11">
        <v>-12240.0</v>
      </c>
      <c r="AB496" s="11">
        <v>-9950.0</v>
      </c>
      <c r="AC496" s="12"/>
      <c r="AD496" s="11">
        <v>-7130.0</v>
      </c>
      <c r="AE496" s="11">
        <v>-7570.0</v>
      </c>
      <c r="AF496" s="11">
        <v>-12230.0</v>
      </c>
      <c r="AG496" s="11">
        <v>-10750.0</v>
      </c>
      <c r="AH496" s="11">
        <v>-12120.0</v>
      </c>
      <c r="AI496" s="11">
        <v>-7150.0</v>
      </c>
      <c r="AJ496" s="11">
        <v>-8010.0</v>
      </c>
      <c r="AK496" s="11">
        <v>-11230.0</v>
      </c>
      <c r="AL496" s="11">
        <v>-10540.0</v>
      </c>
      <c r="AM496" s="11">
        <v>-11820.0</v>
      </c>
      <c r="AN496" s="11">
        <v>-7130.0</v>
      </c>
      <c r="AO496" s="11">
        <v>-7570.0</v>
      </c>
      <c r="AP496" s="11">
        <v>-12230.0</v>
      </c>
      <c r="AQ496" s="11">
        <v>-10750.0</v>
      </c>
      <c r="AR496" s="11">
        <v>-12120.0</v>
      </c>
      <c r="AS496" s="11">
        <v>-5760.0</v>
      </c>
      <c r="AT496" s="11">
        <v>-6980.0</v>
      </c>
      <c r="AU496" s="11">
        <v>-8720.0</v>
      </c>
      <c r="AV496" s="11">
        <v>-8710.0</v>
      </c>
      <c r="AW496" s="11">
        <v>-10500.0</v>
      </c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1">
        <v>5660.0</v>
      </c>
      <c r="BI496" s="11">
        <v>5320.0</v>
      </c>
      <c r="BJ496" s="11">
        <v>7680.0</v>
      </c>
      <c r="BK496" s="11">
        <v>9010.0</v>
      </c>
      <c r="BL496" s="11">
        <v>8690.0</v>
      </c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1">
        <v>6250.0</v>
      </c>
      <c r="BX496" s="11">
        <v>5650.0</v>
      </c>
      <c r="BY496" s="11">
        <v>7930.0</v>
      </c>
      <c r="BZ496" s="11">
        <v>9280.0</v>
      </c>
      <c r="CA496" s="11">
        <v>9520.0</v>
      </c>
      <c r="CB496" s="11">
        <v>139.0</v>
      </c>
      <c r="CC496" s="12"/>
      <c r="CD496" s="12"/>
      <c r="CE496" s="12"/>
      <c r="CF496" s="12"/>
      <c r="CG496" s="12"/>
      <c r="CH496" s="12"/>
      <c r="CI496" s="12"/>
      <c r="CJ496" s="12"/>
      <c r="CK496" s="12"/>
      <c r="CL496" s="11">
        <v>6400.0</v>
      </c>
      <c r="CM496" s="11">
        <v>5660.0</v>
      </c>
      <c r="CN496" s="11">
        <v>7940.0</v>
      </c>
      <c r="CO496" s="11">
        <v>9290.0</v>
      </c>
      <c r="CP496" s="11">
        <v>9530.0</v>
      </c>
      <c r="CQ496" s="12"/>
      <c r="CR496" s="11">
        <v>476.0</v>
      </c>
      <c r="CS496" s="11">
        <v>1050.0</v>
      </c>
      <c r="CT496" s="12"/>
      <c r="CU496" s="12"/>
      <c r="CV496" s="11">
        <v>2020.0</v>
      </c>
      <c r="CW496" s="11">
        <v>139.0</v>
      </c>
      <c r="CX496" s="12"/>
      <c r="CY496" s="12"/>
      <c r="CZ496" s="12"/>
      <c r="DA496" s="12"/>
      <c r="DB496" s="11">
        <v>2020.0</v>
      </c>
      <c r="DC496" s="11">
        <v>1630.0</v>
      </c>
      <c r="DD496" s="11">
        <v>2070.0</v>
      </c>
      <c r="DE496" s="11">
        <v>1410.0</v>
      </c>
      <c r="DF496" s="11">
        <v>2020.0</v>
      </c>
      <c r="DG496" s="11">
        <v>1630.0</v>
      </c>
      <c r="DH496" s="11">
        <v>5780.0</v>
      </c>
      <c r="DI496" s="11">
        <v>5510.0</v>
      </c>
      <c r="DJ496" s="11">
        <v>6070.0</v>
      </c>
      <c r="DK496" s="12"/>
      <c r="DL496" s="12"/>
      <c r="DM496" s="12"/>
      <c r="DN496" s="12"/>
      <c r="DO496" s="12"/>
      <c r="DP496" s="12"/>
      <c r="DQ496" s="12"/>
      <c r="DR496" s="12"/>
      <c r="DS496" s="12"/>
      <c r="DT496" s="11">
        <v>4230.0</v>
      </c>
      <c r="DU496" s="13"/>
      <c r="DV496" s="12"/>
      <c r="DW496" s="12"/>
      <c r="DX496" s="13"/>
      <c r="DY496" s="13"/>
      <c r="DZ496" s="11">
        <v>4380.0</v>
      </c>
      <c r="EA496" s="11">
        <v>4030.0</v>
      </c>
      <c r="EB496" s="11">
        <v>2170.0</v>
      </c>
      <c r="EC496" s="11">
        <v>3790.0</v>
      </c>
      <c r="ED496" s="11">
        <v>3460.0</v>
      </c>
      <c r="EE496" s="23"/>
      <c r="EF496" s="14">
        <v>0.242</v>
      </c>
      <c r="EG496" s="14">
        <v>-2.5</v>
      </c>
      <c r="EH496" s="14">
        <v>-0.67</v>
      </c>
    </row>
    <row r="497">
      <c r="A497" s="9">
        <f t="shared" si="2"/>
        <v>495</v>
      </c>
      <c r="B497" s="32" t="s">
        <v>632</v>
      </c>
      <c r="C497" s="11">
        <v>5020000.0</v>
      </c>
      <c r="D497" s="11">
        <v>4230000.0</v>
      </c>
      <c r="E497" s="11">
        <v>4350000.0</v>
      </c>
      <c r="F497" s="11">
        <v>3720000.0</v>
      </c>
      <c r="G497" s="11">
        <v>3440000.0</v>
      </c>
      <c r="H497" s="11">
        <v>2960000.0</v>
      </c>
      <c r="I497" s="11">
        <v>2490000.0</v>
      </c>
      <c r="J497" s="11">
        <v>3190000.0</v>
      </c>
      <c r="K497" s="11">
        <v>2800000.0</v>
      </c>
      <c r="L497" s="11">
        <v>2550000.0</v>
      </c>
      <c r="M497" s="11">
        <v>2160000.0</v>
      </c>
      <c r="N497" s="11">
        <v>1810000.0</v>
      </c>
      <c r="O497" s="11">
        <v>1990000.0</v>
      </c>
      <c r="P497" s="11">
        <v>1710000.0</v>
      </c>
      <c r="Q497" s="11">
        <v>1540000.0</v>
      </c>
      <c r="R497" s="11">
        <v>1340000.0</v>
      </c>
      <c r="S497" s="11">
        <v>1230000.0</v>
      </c>
      <c r="T497" s="11">
        <v>752700.0</v>
      </c>
      <c r="U497" s="11">
        <v>622200.0</v>
      </c>
      <c r="V497" s="11">
        <v>552600.0</v>
      </c>
      <c r="W497" s="11">
        <v>442200.0</v>
      </c>
      <c r="X497" s="11">
        <v>383100.0</v>
      </c>
      <c r="Y497" s="11">
        <v>1110000.0</v>
      </c>
      <c r="Z497" s="11">
        <v>778600.0</v>
      </c>
      <c r="AA497" s="11">
        <v>1020000.0</v>
      </c>
      <c r="AB497" s="11">
        <v>750600.0</v>
      </c>
      <c r="AC497" s="11">
        <v>-400.0</v>
      </c>
      <c r="AD497" s="11">
        <v>1170000.0</v>
      </c>
      <c r="AE497" s="11">
        <v>761400.0</v>
      </c>
      <c r="AF497" s="11">
        <v>1030000.0</v>
      </c>
      <c r="AG497" s="11">
        <v>737900.0</v>
      </c>
      <c r="AH497" s="11">
        <v>622400.0</v>
      </c>
      <c r="AI497" s="11">
        <v>1310000.0</v>
      </c>
      <c r="AJ497" s="11">
        <v>1170000.0</v>
      </c>
      <c r="AK497" s="11">
        <v>1100000.0</v>
      </c>
      <c r="AL497" s="11">
        <v>886700.0</v>
      </c>
      <c r="AM497" s="11">
        <v>641700.0</v>
      </c>
      <c r="AN497" s="11">
        <v>1050000.0</v>
      </c>
      <c r="AO497" s="11">
        <v>722200.0</v>
      </c>
      <c r="AP497" s="11">
        <v>583600.0</v>
      </c>
      <c r="AQ497" s="11">
        <v>569500.0</v>
      </c>
      <c r="AR497" s="11">
        <v>494900.0</v>
      </c>
      <c r="AS497" s="11">
        <v>1180000.0</v>
      </c>
      <c r="AT497" s="11">
        <v>926800.0</v>
      </c>
      <c r="AU497" s="11">
        <v>1000000.0</v>
      </c>
      <c r="AV497" s="11">
        <v>704400.0</v>
      </c>
      <c r="AW497" s="11">
        <v>549700.0</v>
      </c>
      <c r="AX497" s="11">
        <v>-278400.0</v>
      </c>
      <c r="AY497" s="11">
        <v>-241700.0</v>
      </c>
      <c r="AZ497" s="11">
        <v>-175500.0</v>
      </c>
      <c r="BA497" s="11">
        <v>-217400.0</v>
      </c>
      <c r="BB497" s="11">
        <v>-106500.0</v>
      </c>
      <c r="BC497" s="12"/>
      <c r="BD497" s="12"/>
      <c r="BE497" s="12"/>
      <c r="BF497" s="12"/>
      <c r="BG497" s="12"/>
      <c r="BH497" s="11">
        <v>1520000.0</v>
      </c>
      <c r="BI497" s="11">
        <v>956500.0</v>
      </c>
      <c r="BJ497" s="11">
        <v>1340000.0</v>
      </c>
      <c r="BK497" s="11">
        <v>1270000.0</v>
      </c>
      <c r="BL497" s="11">
        <v>1220000.0</v>
      </c>
      <c r="BM497" s="11">
        <v>599100.0</v>
      </c>
      <c r="BN497" s="11">
        <v>537300.0</v>
      </c>
      <c r="BO497" s="11">
        <v>462200.0</v>
      </c>
      <c r="BP497" s="11">
        <v>414600.0</v>
      </c>
      <c r="BQ497" s="11">
        <v>371800.0</v>
      </c>
      <c r="BR497" s="11">
        <v>640900.0</v>
      </c>
      <c r="BS497" s="11">
        <v>607000.0</v>
      </c>
      <c r="BT497" s="11">
        <v>554900.0</v>
      </c>
      <c r="BU497" s="11">
        <v>396600.0</v>
      </c>
      <c r="BV497" s="11">
        <v>339900.0</v>
      </c>
      <c r="BW497" s="11">
        <v>2980000.0</v>
      </c>
      <c r="BX497" s="11">
        <v>2290000.0</v>
      </c>
      <c r="BY497" s="11">
        <v>2530000.0</v>
      </c>
      <c r="BZ497" s="11">
        <v>2240000.0</v>
      </c>
      <c r="CA497" s="11">
        <v>2050000.0</v>
      </c>
      <c r="CB497" s="11">
        <v>1140000.0</v>
      </c>
      <c r="CC497" s="11">
        <v>867500.0</v>
      </c>
      <c r="CD497" s="11">
        <v>679700.0</v>
      </c>
      <c r="CE497" s="11">
        <v>580000.0</v>
      </c>
      <c r="CF497" s="11">
        <v>482500.0</v>
      </c>
      <c r="CG497" s="11">
        <v>1170000.0</v>
      </c>
      <c r="CH497" s="11">
        <v>1110000.0</v>
      </c>
      <c r="CI497" s="11">
        <v>1130000.0</v>
      </c>
      <c r="CJ497" s="11">
        <v>626100.0</v>
      </c>
      <c r="CK497" s="11">
        <v>628300.0</v>
      </c>
      <c r="CL497" s="11">
        <v>6490000.0</v>
      </c>
      <c r="CM497" s="11">
        <v>5320000.0</v>
      </c>
      <c r="CN497" s="11">
        <v>5700000.0</v>
      </c>
      <c r="CO497" s="11">
        <v>4510000.0</v>
      </c>
      <c r="CP497" s="11">
        <v>4060000.0</v>
      </c>
      <c r="CQ497" s="11">
        <v>180400.0</v>
      </c>
      <c r="CR497" s="11">
        <v>134000.0</v>
      </c>
      <c r="CS497" s="11">
        <v>116600.0</v>
      </c>
      <c r="CT497" s="11">
        <v>97100.0</v>
      </c>
      <c r="CU497" s="11">
        <v>63900.0</v>
      </c>
      <c r="CV497" s="11">
        <v>902400.0</v>
      </c>
      <c r="CW497" s="11">
        <v>25500.0</v>
      </c>
      <c r="CX497" s="12"/>
      <c r="CY497" s="12"/>
      <c r="CZ497" s="12"/>
      <c r="DA497" s="12"/>
      <c r="DB497" s="11">
        <v>902400.0</v>
      </c>
      <c r="DC497" s="11">
        <v>876600.0</v>
      </c>
      <c r="DD497" s="11">
        <v>1400000.0</v>
      </c>
      <c r="DE497" s="11">
        <v>532500.0</v>
      </c>
      <c r="DF497" s="11">
        <v>2340000.0</v>
      </c>
      <c r="DG497" s="11">
        <v>2180000.0</v>
      </c>
      <c r="DH497" s="11">
        <v>2740000.0</v>
      </c>
      <c r="DI497" s="11">
        <v>1890000.0</v>
      </c>
      <c r="DJ497" s="11">
        <v>1550000.0</v>
      </c>
      <c r="DK497" s="11">
        <v>585500.0</v>
      </c>
      <c r="DL497" s="11">
        <v>506300.0</v>
      </c>
      <c r="DM497" s="11">
        <v>567000.0</v>
      </c>
      <c r="DN497" s="11">
        <v>532100.0</v>
      </c>
      <c r="DO497" s="11">
        <v>379900.0</v>
      </c>
      <c r="DP497" s="11">
        <v>653300.0</v>
      </c>
      <c r="DQ497" s="11">
        <v>593800.0</v>
      </c>
      <c r="DR497" s="11">
        <v>438400.0</v>
      </c>
      <c r="DS497" s="11">
        <v>822300.0</v>
      </c>
      <c r="DT497" s="11">
        <v>596900.0</v>
      </c>
      <c r="DU497" s="12"/>
      <c r="DV497" s="12"/>
      <c r="DW497" s="12"/>
      <c r="DX497" s="12"/>
      <c r="DY497" s="12"/>
      <c r="DZ497" s="11">
        <v>4150000.0</v>
      </c>
      <c r="EA497" s="11">
        <v>3140000.0</v>
      </c>
      <c r="EB497" s="11">
        <v>2960000.0</v>
      </c>
      <c r="EC497" s="11">
        <v>2620000.0</v>
      </c>
      <c r="ED497" s="11">
        <v>2500000.0</v>
      </c>
      <c r="EE497" s="33">
        <v>0.184</v>
      </c>
      <c r="EF497" s="33">
        <v>0.279</v>
      </c>
      <c r="EG497" s="33">
        <v>1.0</v>
      </c>
      <c r="EH497" s="33">
        <v>0.321</v>
      </c>
    </row>
    <row r="498">
      <c r="A498" s="9">
        <f t="shared" si="2"/>
        <v>496</v>
      </c>
      <c r="B498" s="22" t="s">
        <v>633</v>
      </c>
      <c r="C498" s="11">
        <v>1850000.0</v>
      </c>
      <c r="D498" s="11">
        <v>1350000.0</v>
      </c>
      <c r="E498" s="11">
        <v>876290.0</v>
      </c>
      <c r="F498" s="11">
        <v>454460.0</v>
      </c>
      <c r="G498" s="11">
        <v>265990.0</v>
      </c>
      <c r="H498" s="11">
        <v>99380.0</v>
      </c>
      <c r="I498" s="11">
        <v>39440.0</v>
      </c>
      <c r="J498" s="11">
        <v>643540.0</v>
      </c>
      <c r="K498" s="11">
        <v>336480.0</v>
      </c>
      <c r="L498" s="11">
        <v>186790.0</v>
      </c>
      <c r="M498" s="11">
        <v>54180.0</v>
      </c>
      <c r="N498" s="11">
        <v>14940.0</v>
      </c>
      <c r="O498" s="11">
        <v>814520.0</v>
      </c>
      <c r="P498" s="11">
        <v>495950.0</v>
      </c>
      <c r="Q498" s="11">
        <v>305100.0</v>
      </c>
      <c r="R498" s="11">
        <v>223200.0</v>
      </c>
      <c r="S498" s="11">
        <v>174000.0</v>
      </c>
      <c r="T498" s="11">
        <v>139690.0</v>
      </c>
      <c r="U498" s="11">
        <v>68210.0</v>
      </c>
      <c r="V498" s="11">
        <v>42140.0</v>
      </c>
      <c r="W498" s="11">
        <v>33470.0</v>
      </c>
      <c r="X498" s="11">
        <v>33910.0</v>
      </c>
      <c r="Y498" s="11">
        <v>-244340.0</v>
      </c>
      <c r="Z498" s="12"/>
      <c r="AA498" s="12"/>
      <c r="AB498" s="12"/>
      <c r="AC498" s="12"/>
      <c r="AD498" s="11">
        <v>-268850.0</v>
      </c>
      <c r="AE498" s="11">
        <v>-175060.0</v>
      </c>
      <c r="AF498" s="11">
        <v>-114580.0</v>
      </c>
      <c r="AG498" s="11">
        <v>-167210.0</v>
      </c>
      <c r="AH498" s="11">
        <v>-157800.0</v>
      </c>
      <c r="AI498" s="11">
        <v>-115310.0</v>
      </c>
      <c r="AJ498" s="11">
        <v>-136390.0</v>
      </c>
      <c r="AK498" s="11">
        <v>-102760.0</v>
      </c>
      <c r="AL498" s="11">
        <v>-157510.0</v>
      </c>
      <c r="AM498" s="11">
        <v>-151320.0</v>
      </c>
      <c r="AN498" s="11">
        <v>-83990.0</v>
      </c>
      <c r="AO498" s="11">
        <v>-175150.0</v>
      </c>
      <c r="AP498" s="11">
        <v>-114400.0</v>
      </c>
      <c r="AQ498" s="11">
        <v>-167210.0</v>
      </c>
      <c r="AR498" s="11">
        <v>-157800.0</v>
      </c>
      <c r="AS498" s="11">
        <v>-110900.0</v>
      </c>
      <c r="AT498" s="11">
        <v>-69330.0</v>
      </c>
      <c r="AU498" s="11">
        <v>-71720.0</v>
      </c>
      <c r="AV498" s="11">
        <v>-130070.0</v>
      </c>
      <c r="AW498" s="11">
        <v>-134020.0</v>
      </c>
      <c r="AX498" s="11">
        <v>-171800.0</v>
      </c>
      <c r="AY498" s="11">
        <v>-150670.0</v>
      </c>
      <c r="AZ498" s="11">
        <v>-69240.0</v>
      </c>
      <c r="BA498" s="11">
        <v>-14850.0</v>
      </c>
      <c r="BB498" s="11">
        <v>-21980.0</v>
      </c>
      <c r="BC498" s="12"/>
      <c r="BD498" s="12"/>
      <c r="BE498" s="12"/>
      <c r="BF498" s="12"/>
      <c r="BG498" s="12"/>
      <c r="BH498" s="11">
        <v>323660.0</v>
      </c>
      <c r="BI498" s="11">
        <v>1120000.0</v>
      </c>
      <c r="BJ498" s="11">
        <v>424720.0</v>
      </c>
      <c r="BK498" s="11">
        <v>311100.0</v>
      </c>
      <c r="BL498" s="11">
        <v>306880.0</v>
      </c>
      <c r="BM498" s="11">
        <v>132270.0</v>
      </c>
      <c r="BN498" s="11">
        <v>45840.0</v>
      </c>
      <c r="BO498" s="11">
        <v>31120.0</v>
      </c>
      <c r="BP498" s="11">
        <v>12730.0</v>
      </c>
      <c r="BQ498" s="11">
        <v>4930.0</v>
      </c>
      <c r="BR498" s="11">
        <v>61720.0</v>
      </c>
      <c r="BS498" s="11">
        <v>39150.0</v>
      </c>
      <c r="BT498" s="11">
        <v>26030.0</v>
      </c>
      <c r="BU498" s="11">
        <v>6830.0</v>
      </c>
      <c r="BV498" s="11">
        <v>6680.0</v>
      </c>
      <c r="BW498" s="11">
        <v>556960.0</v>
      </c>
      <c r="BX498" s="11">
        <v>1230000.0</v>
      </c>
      <c r="BY498" s="11">
        <v>487220.0</v>
      </c>
      <c r="BZ498" s="11">
        <v>333570.0</v>
      </c>
      <c r="CA498" s="11">
        <v>325860.0</v>
      </c>
      <c r="CB498" s="11">
        <v>581770.0</v>
      </c>
      <c r="CC498" s="11">
        <v>245260.0</v>
      </c>
      <c r="CD498" s="11">
        <v>79990.0</v>
      </c>
      <c r="CE498" s="11">
        <v>38140.0</v>
      </c>
      <c r="CF498" s="11">
        <v>34100.0</v>
      </c>
      <c r="CG498" s="11">
        <v>1200000.0</v>
      </c>
      <c r="CH498" s="11">
        <v>17280.0</v>
      </c>
      <c r="CI498" s="11">
        <v>2000.0</v>
      </c>
      <c r="CJ498" s="12"/>
      <c r="CK498" s="12"/>
      <c r="CL498" s="11">
        <v>3510000.0</v>
      </c>
      <c r="CM498" s="11">
        <v>1520000.0</v>
      </c>
      <c r="CN498" s="11">
        <v>598560.0</v>
      </c>
      <c r="CO498" s="11">
        <v>377040.0</v>
      </c>
      <c r="CP498" s="11">
        <v>364030.0</v>
      </c>
      <c r="CQ498" s="11">
        <v>25970.0</v>
      </c>
      <c r="CR498" s="11">
        <v>28140.0</v>
      </c>
      <c r="CS498" s="11">
        <v>16140.0</v>
      </c>
      <c r="CT498" s="11">
        <v>710.0</v>
      </c>
      <c r="CU498" s="11">
        <v>3310.0</v>
      </c>
      <c r="CV498" s="11">
        <v>236490.0</v>
      </c>
      <c r="CW498" s="11">
        <v>7890.0</v>
      </c>
      <c r="CX498" s="12"/>
      <c r="CY498" s="12"/>
      <c r="CZ498" s="12"/>
      <c r="DA498" s="12"/>
      <c r="DB498" s="11">
        <v>236490.0</v>
      </c>
      <c r="DC498" s="11">
        <v>136590.0</v>
      </c>
      <c r="DD498" s="11">
        <v>68120.0</v>
      </c>
      <c r="DE498" s="11">
        <v>30690.0</v>
      </c>
      <c r="DF498" s="11">
        <v>1220000.0</v>
      </c>
      <c r="DG498" s="11">
        <v>843080.0</v>
      </c>
      <c r="DH498" s="11">
        <v>78140.0</v>
      </c>
      <c r="DI498" s="11">
        <v>41750.0</v>
      </c>
      <c r="DJ498" s="11">
        <v>37170.0</v>
      </c>
      <c r="DK498" s="12"/>
      <c r="DL498" s="12"/>
      <c r="DM498" s="12"/>
      <c r="DN498" s="12"/>
      <c r="DO498" s="12"/>
      <c r="DP498" s="11">
        <v>946300.0</v>
      </c>
      <c r="DQ498" s="11">
        <v>696580.0</v>
      </c>
      <c r="DR498" s="11">
        <v>4270.0</v>
      </c>
      <c r="DS498" s="11">
        <v>4630.0</v>
      </c>
      <c r="DT498" s="11">
        <v>4790.0</v>
      </c>
      <c r="DU498" s="13"/>
      <c r="DV498" s="12"/>
      <c r="DW498" s="12"/>
      <c r="DX498" s="13"/>
      <c r="DY498" s="13"/>
      <c r="DZ498" s="11">
        <v>2290000.0</v>
      </c>
      <c r="EA498" s="11">
        <v>680940.0</v>
      </c>
      <c r="EB498" s="11">
        <v>520420.0</v>
      </c>
      <c r="EC498" s="11">
        <v>335300.0</v>
      </c>
      <c r="ED498" s="11">
        <v>326860.0</v>
      </c>
      <c r="EE498" s="14">
        <v>0.119</v>
      </c>
      <c r="EF498" s="14">
        <v>0.292</v>
      </c>
      <c r="EG498" s="14">
        <v>0.079</v>
      </c>
      <c r="EH498" s="14">
        <v>0.666</v>
      </c>
    </row>
    <row r="499">
      <c r="A499" s="9">
        <f t="shared" si="2"/>
        <v>497</v>
      </c>
      <c r="B499" s="22" t="s">
        <v>634</v>
      </c>
      <c r="C499" s="11">
        <v>1150000.0</v>
      </c>
      <c r="D499" s="11">
        <v>932520.0</v>
      </c>
      <c r="E499" s="11">
        <v>967780.0</v>
      </c>
      <c r="F499" s="11">
        <v>853830.0</v>
      </c>
      <c r="G499" s="11">
        <v>452680.0</v>
      </c>
      <c r="H499" s="11">
        <v>191650.0</v>
      </c>
      <c r="I499" s="11">
        <v>37370.0</v>
      </c>
      <c r="J499" s="11">
        <v>934680.0</v>
      </c>
      <c r="K499" s="11">
        <v>827480.0</v>
      </c>
      <c r="L499" s="11">
        <v>437610.0</v>
      </c>
      <c r="M499" s="11">
        <v>185100.0</v>
      </c>
      <c r="N499" s="11">
        <v>33480.0</v>
      </c>
      <c r="O499" s="11">
        <v>565210.0</v>
      </c>
      <c r="P499" s="11">
        <v>388620.0</v>
      </c>
      <c r="Q499" s="11">
        <v>267990.0</v>
      </c>
      <c r="R499" s="11">
        <v>220880.0</v>
      </c>
      <c r="S499" s="11">
        <v>137060.0</v>
      </c>
      <c r="T499" s="11">
        <v>336960.0</v>
      </c>
      <c r="U499" s="11">
        <v>182260.0</v>
      </c>
      <c r="V499" s="11">
        <v>112170.0</v>
      </c>
      <c r="W499" s="11">
        <v>95970.0</v>
      </c>
      <c r="X499" s="11">
        <v>96350.0</v>
      </c>
      <c r="Y499" s="12"/>
      <c r="Z499" s="12"/>
      <c r="AA499" s="11">
        <v>159870.0</v>
      </c>
      <c r="AB499" s="11">
        <v>-6040.0</v>
      </c>
      <c r="AC499" s="11">
        <v>-17090.0</v>
      </c>
      <c r="AD499" s="11">
        <v>398110.0</v>
      </c>
      <c r="AE499" s="11">
        <v>452090.0</v>
      </c>
      <c r="AF499" s="11">
        <v>158580.0</v>
      </c>
      <c r="AG499" s="11">
        <v>-70220.0</v>
      </c>
      <c r="AH499" s="11">
        <v>-161690.0</v>
      </c>
      <c r="AI499" s="11">
        <v>380640.0</v>
      </c>
      <c r="AJ499" s="11">
        <v>446620.0</v>
      </c>
      <c r="AK499" s="11">
        <v>170810.0</v>
      </c>
      <c r="AL499" s="11">
        <v>-34780.0</v>
      </c>
      <c r="AM499" s="11">
        <v>-102170.0</v>
      </c>
      <c r="AN499" s="11">
        <v>321010.0</v>
      </c>
      <c r="AO499" s="11">
        <v>690070.0</v>
      </c>
      <c r="AP499" s="11">
        <v>153860.0</v>
      </c>
      <c r="AQ499" s="11">
        <v>-70220.0</v>
      </c>
      <c r="AR499" s="11">
        <v>-161740.0</v>
      </c>
      <c r="AS499" s="11">
        <v>526960.0</v>
      </c>
      <c r="AT499" s="11">
        <v>416950.0</v>
      </c>
      <c r="AU499" s="11">
        <v>165610.0</v>
      </c>
      <c r="AV499" s="11">
        <v>210400.0</v>
      </c>
      <c r="AW499" s="11">
        <v>-141590.0</v>
      </c>
      <c r="AX499" s="11">
        <v>-12830.0</v>
      </c>
      <c r="AY499" s="11">
        <v>-33300.0</v>
      </c>
      <c r="AZ499" s="11">
        <v>-21140.0</v>
      </c>
      <c r="BA499" s="11">
        <v>-1700.0</v>
      </c>
      <c r="BB499" s="11">
        <v>-447.0</v>
      </c>
      <c r="BC499" s="12"/>
      <c r="BD499" s="12"/>
      <c r="BE499" s="12"/>
      <c r="BF499" s="12"/>
      <c r="BG499" s="12"/>
      <c r="BH499" s="11">
        <v>852240.0</v>
      </c>
      <c r="BI499" s="11">
        <v>693330.0</v>
      </c>
      <c r="BJ499" s="11">
        <v>388280.0</v>
      </c>
      <c r="BK499" s="11">
        <v>419800.0</v>
      </c>
      <c r="BL499" s="11">
        <v>167060.0</v>
      </c>
      <c r="BM499" s="11">
        <v>120170.0</v>
      </c>
      <c r="BN499" s="11">
        <v>178830.0</v>
      </c>
      <c r="BO499" s="11">
        <v>81190.0</v>
      </c>
      <c r="BP499" s="11">
        <v>40440.0</v>
      </c>
      <c r="BQ499" s="11">
        <v>5180.0</v>
      </c>
      <c r="BR499" s="11">
        <v>12890.0</v>
      </c>
      <c r="BS499" s="11">
        <v>9840.0</v>
      </c>
      <c r="BT499" s="11">
        <v>6660.0</v>
      </c>
      <c r="BU499" s="11">
        <v>3340.0</v>
      </c>
      <c r="BV499" s="11">
        <v>2620.0</v>
      </c>
      <c r="BW499" s="11">
        <v>1010000.0</v>
      </c>
      <c r="BX499" s="11">
        <v>897020.0</v>
      </c>
      <c r="BY499" s="11">
        <v>484870.0</v>
      </c>
      <c r="BZ499" s="11">
        <v>469000.0</v>
      </c>
      <c r="CA499" s="11">
        <v>178670.0</v>
      </c>
      <c r="CB499" s="11">
        <v>90730.0</v>
      </c>
      <c r="CC499" s="11">
        <v>56760.0</v>
      </c>
      <c r="CD499" s="11">
        <v>25740.0</v>
      </c>
      <c r="CE499" s="11">
        <v>2070.0</v>
      </c>
      <c r="CF499" s="11">
        <v>1430.0</v>
      </c>
      <c r="CG499" s="11">
        <v>63680.0</v>
      </c>
      <c r="CH499" s="11">
        <v>63680.0</v>
      </c>
      <c r="CI499" s="11">
        <v>63680.0</v>
      </c>
      <c r="CJ499" s="11">
        <v>63680.0</v>
      </c>
      <c r="CK499" s="11">
        <v>63680.0</v>
      </c>
      <c r="CL499" s="11">
        <v>1890000.0</v>
      </c>
      <c r="CM499" s="11">
        <v>1420000.0</v>
      </c>
      <c r="CN499" s="11">
        <v>655290.0</v>
      </c>
      <c r="CO499" s="11">
        <v>595740.0</v>
      </c>
      <c r="CP499" s="11">
        <v>332340.0</v>
      </c>
      <c r="CQ499" s="11">
        <v>11580.0</v>
      </c>
      <c r="CR499" s="11">
        <v>10900.0</v>
      </c>
      <c r="CS499" s="11">
        <v>9580.0</v>
      </c>
      <c r="CT499" s="11">
        <v>6570.0</v>
      </c>
      <c r="CU499" s="11">
        <v>6400.0</v>
      </c>
      <c r="CV499" s="11">
        <v>142750.0</v>
      </c>
      <c r="CW499" s="11">
        <v>2730.0</v>
      </c>
      <c r="CX499" s="11">
        <v>2740.0</v>
      </c>
      <c r="CY499" s="12"/>
      <c r="CZ499" s="12"/>
      <c r="DA499" s="12"/>
      <c r="DB499" s="11">
        <v>142750.0</v>
      </c>
      <c r="DC499" s="11">
        <v>105470.0</v>
      </c>
      <c r="DD499" s="11">
        <v>115170.0</v>
      </c>
      <c r="DE499" s="11">
        <v>268790.0</v>
      </c>
      <c r="DF499" s="11">
        <v>208940.0</v>
      </c>
      <c r="DG499" s="11">
        <v>136110.0</v>
      </c>
      <c r="DH499" s="11">
        <v>370330.0</v>
      </c>
      <c r="DI499" s="11">
        <v>506420.0</v>
      </c>
      <c r="DJ499" s="11">
        <v>473150.0</v>
      </c>
      <c r="DK499" s="11">
        <v>536390.0</v>
      </c>
      <c r="DL499" s="11">
        <v>158290.0</v>
      </c>
      <c r="DM499" s="11">
        <v>68900.0</v>
      </c>
      <c r="DN499" s="11">
        <v>59750.0</v>
      </c>
      <c r="DO499" s="11">
        <v>86250.0</v>
      </c>
      <c r="DP499" s="11">
        <v>48010.0</v>
      </c>
      <c r="DQ499" s="11">
        <v>12260.0</v>
      </c>
      <c r="DR499" s="12"/>
      <c r="DS499" s="12"/>
      <c r="DT499" s="11">
        <v>417940.0</v>
      </c>
      <c r="DU499" s="13"/>
      <c r="DV499" s="12"/>
      <c r="DW499" s="12"/>
      <c r="DX499" s="13"/>
      <c r="DY499" s="13"/>
      <c r="DZ499" s="11">
        <v>1690000.0</v>
      </c>
      <c r="EA499" s="11">
        <v>1290000.0</v>
      </c>
      <c r="EB499" s="11">
        <v>284960.0</v>
      </c>
      <c r="EC499" s="11">
        <v>89320.0</v>
      </c>
      <c r="ED499" s="11">
        <v>-140810.0</v>
      </c>
      <c r="EE499" s="14">
        <v>0.085</v>
      </c>
      <c r="EF499" s="14">
        <v>0.217</v>
      </c>
      <c r="EG499" s="14">
        <v>0.75</v>
      </c>
      <c r="EH499" s="14">
        <v>0.478</v>
      </c>
    </row>
    <row r="500">
      <c r="A500" s="9">
        <f t="shared" si="2"/>
        <v>498</v>
      </c>
      <c r="B500" s="25" t="s">
        <v>635</v>
      </c>
      <c r="C500" s="12">
        <v>172820.0</v>
      </c>
      <c r="D500" s="12">
        <v>149930.0</v>
      </c>
      <c r="E500" s="12">
        <v>160450.0</v>
      </c>
      <c r="F500" s="12">
        <v>195080.0</v>
      </c>
      <c r="G500" s="12">
        <v>195350.0</v>
      </c>
      <c r="H500" s="12">
        <v>207700.0</v>
      </c>
      <c r="I500" s="12">
        <v>234840.0</v>
      </c>
      <c r="J500" s="12">
        <v>-40730.0</v>
      </c>
      <c r="K500" s="12">
        <v>-12030.0</v>
      </c>
      <c r="L500" s="12">
        <v>19750.0</v>
      </c>
      <c r="M500" s="12">
        <v>37340.0</v>
      </c>
      <c r="N500" s="12">
        <v>12880.0</v>
      </c>
      <c r="O500" s="12">
        <v>12820.0</v>
      </c>
      <c r="P500" s="12">
        <v>10850.0</v>
      </c>
      <c r="Q500" s="12">
        <v>9910.0</v>
      </c>
      <c r="R500" s="12">
        <v>11970.0</v>
      </c>
      <c r="S500" s="12">
        <v>9570.0</v>
      </c>
      <c r="T500" s="12">
        <v>0.0</v>
      </c>
      <c r="U500" s="12">
        <v>0.0</v>
      </c>
      <c r="V500" s="12">
        <v>0.0</v>
      </c>
      <c r="W500" s="12">
        <v>0.0</v>
      </c>
      <c r="X500" s="12">
        <v>0.0</v>
      </c>
      <c r="Y500" s="12">
        <v>-58770.0</v>
      </c>
      <c r="Z500" s="12">
        <v>0.0</v>
      </c>
      <c r="AA500" s="12">
        <v>0.0</v>
      </c>
      <c r="AB500" s="12">
        <v>0.0</v>
      </c>
      <c r="AC500" s="12">
        <v>-174250.0</v>
      </c>
      <c r="AD500" s="12">
        <v>-58390.0</v>
      </c>
      <c r="AE500" s="12">
        <v>-22960.0</v>
      </c>
      <c r="AF500" s="12">
        <v>10240.0</v>
      </c>
      <c r="AG500" s="12">
        <v>16320.0</v>
      </c>
      <c r="AH500" s="12">
        <v>-181560.0</v>
      </c>
      <c r="AI500" s="12">
        <v>-10950.0</v>
      </c>
      <c r="AJ500" s="12">
        <v>26480.0</v>
      </c>
      <c r="AK500" s="12">
        <v>32010.0</v>
      </c>
      <c r="AL500" s="12">
        <v>44370.0</v>
      </c>
      <c r="AM500" s="12">
        <v>55390.0</v>
      </c>
      <c r="AN500" s="12">
        <v>-63780.0</v>
      </c>
      <c r="AO500" s="12">
        <v>-16120.0</v>
      </c>
      <c r="AP500" s="12">
        <v>12570.0</v>
      </c>
      <c r="AQ500" s="12">
        <v>5180.0</v>
      </c>
      <c r="AR500" s="12">
        <v>-191830.0</v>
      </c>
      <c r="AS500" s="12">
        <v>-13230.0</v>
      </c>
      <c r="AT500" s="12">
        <v>34540.0</v>
      </c>
      <c r="AU500" s="12">
        <v>19640.0</v>
      </c>
      <c r="AV500" s="12">
        <v>29400.0</v>
      </c>
      <c r="AW500" s="12">
        <v>40580.0</v>
      </c>
      <c r="AX500" s="12">
        <v>-28930.0</v>
      </c>
      <c r="AY500" s="12">
        <v>-52360.0</v>
      </c>
      <c r="AZ500" s="12">
        <v>-51710.0</v>
      </c>
      <c r="BA500" s="12">
        <v>-26010.0</v>
      </c>
      <c r="BB500" s="12">
        <v>-45630.0</v>
      </c>
      <c r="BC500" s="12">
        <v>0.0</v>
      </c>
      <c r="BD500" s="12">
        <v>0.0</v>
      </c>
      <c r="BE500" s="12">
        <v>0.0</v>
      </c>
      <c r="BF500" s="12">
        <v>0.0</v>
      </c>
      <c r="BG500" s="12">
        <v>0.0</v>
      </c>
      <c r="BH500" s="12">
        <v>30390.0</v>
      </c>
      <c r="BI500" s="12">
        <v>45710.0</v>
      </c>
      <c r="BJ500" s="12">
        <v>49420.0</v>
      </c>
      <c r="BK500" s="12">
        <v>97090.0</v>
      </c>
      <c r="BL500" s="12">
        <v>29210.0</v>
      </c>
      <c r="BM500" s="12">
        <v>29760.0</v>
      </c>
      <c r="BN500" s="12">
        <v>36800.0</v>
      </c>
      <c r="BO500" s="12">
        <v>42620.0</v>
      </c>
      <c r="BP500" s="12">
        <v>34280.0</v>
      </c>
      <c r="BQ500" s="12">
        <v>33810.0</v>
      </c>
      <c r="BR500" s="12">
        <v>17620.0</v>
      </c>
      <c r="BS500" s="12">
        <v>20340.0</v>
      </c>
      <c r="BT500" s="12">
        <v>16450.0</v>
      </c>
      <c r="BU500" s="12">
        <v>18010.0</v>
      </c>
      <c r="BV500" s="12">
        <v>24100.0</v>
      </c>
      <c r="BW500" s="12">
        <v>82060.0</v>
      </c>
      <c r="BX500" s="12">
        <v>106540.0</v>
      </c>
      <c r="BY500" s="12">
        <v>110880.0</v>
      </c>
      <c r="BZ500" s="12">
        <v>152120.0</v>
      </c>
      <c r="CA500" s="12">
        <v>90610.0</v>
      </c>
      <c r="CB500" s="12">
        <v>116280.0</v>
      </c>
      <c r="CC500" s="12">
        <v>121250.0</v>
      </c>
      <c r="CD500" s="12">
        <v>111280.0</v>
      </c>
      <c r="CE500" s="12">
        <v>88830.0</v>
      </c>
      <c r="CF500" s="12">
        <v>66570.0</v>
      </c>
      <c r="CG500" s="12">
        <v>0.0</v>
      </c>
      <c r="CH500" s="12">
        <v>0.0</v>
      </c>
      <c r="CI500" s="12">
        <v>0.0</v>
      </c>
      <c r="CJ500" s="12">
        <v>0.0</v>
      </c>
      <c r="CK500" s="12">
        <v>0.0</v>
      </c>
      <c r="CL500" s="12">
        <v>212290.0</v>
      </c>
      <c r="CM500" s="12">
        <v>241810.0</v>
      </c>
      <c r="CN500" s="12">
        <v>223750.0</v>
      </c>
      <c r="CO500" s="12">
        <v>242070.0</v>
      </c>
      <c r="CP500" s="12">
        <v>158680.0</v>
      </c>
      <c r="CQ500" s="12">
        <v>22810.0</v>
      </c>
      <c r="CR500" s="12">
        <v>26590.0</v>
      </c>
      <c r="CS500" s="12">
        <v>23890.0</v>
      </c>
      <c r="CT500" s="12">
        <v>24450.0</v>
      </c>
      <c r="CU500" s="12">
        <v>26320.0</v>
      </c>
      <c r="CV500" s="12">
        <v>32220.0</v>
      </c>
      <c r="CW500" s="12">
        <v>0.0</v>
      </c>
      <c r="CX500" s="16">
        <v>0.0</v>
      </c>
      <c r="CY500" s="16">
        <v>0.0</v>
      </c>
      <c r="CZ500" s="12">
        <v>12070.0</v>
      </c>
      <c r="DA500" s="12">
        <v>30560.0</v>
      </c>
      <c r="DB500" s="12">
        <v>32220.0</v>
      </c>
      <c r="DC500" s="12">
        <v>32120.0</v>
      </c>
      <c r="DD500" s="12">
        <v>27880.0</v>
      </c>
      <c r="DE500" s="12">
        <v>42730.0</v>
      </c>
      <c r="DF500" s="12">
        <v>53060.0</v>
      </c>
      <c r="DG500" s="12">
        <v>44070.0</v>
      </c>
      <c r="DH500" s="12">
        <v>40170.0</v>
      </c>
      <c r="DI500" s="12">
        <v>63370.0</v>
      </c>
      <c r="DJ500" s="12">
        <v>88010.0</v>
      </c>
      <c r="DK500" s="12">
        <v>0.0</v>
      </c>
      <c r="DL500" s="12">
        <v>0.0</v>
      </c>
      <c r="DM500" s="12">
        <v>0.0</v>
      </c>
      <c r="DN500" s="12">
        <v>0.0</v>
      </c>
      <c r="DO500" s="12">
        <v>0.0</v>
      </c>
      <c r="DP500" s="12">
        <v>9070.0</v>
      </c>
      <c r="DQ500" s="12">
        <v>0.0</v>
      </c>
      <c r="DR500" s="12">
        <v>0.0</v>
      </c>
      <c r="DS500" s="12">
        <v>0.0</v>
      </c>
      <c r="DT500" s="12">
        <v>0.0</v>
      </c>
      <c r="DU500" s="16">
        <v>0.0</v>
      </c>
      <c r="DV500" s="15">
        <v>0.0</v>
      </c>
      <c r="DW500" s="15">
        <v>0.0</v>
      </c>
      <c r="DX500" s="16">
        <v>0.0</v>
      </c>
      <c r="DY500" s="16">
        <v>0.0</v>
      </c>
      <c r="DZ500" s="12">
        <v>159230.0</v>
      </c>
      <c r="EA500" s="12">
        <v>197740.0</v>
      </c>
      <c r="EB500" s="12">
        <v>183580.0</v>
      </c>
      <c r="EC500" s="12">
        <v>178710.0</v>
      </c>
      <c r="ED500" s="12">
        <v>70670.0</v>
      </c>
      <c r="EE500" s="23">
        <v>0.209</v>
      </c>
      <c r="EF500" s="23">
        <v>0.275</v>
      </c>
      <c r="EG500" s="23">
        <v>-0.667</v>
      </c>
      <c r="EH500" s="23">
        <v>-1.292</v>
      </c>
    </row>
    <row r="501">
      <c r="A501" s="9">
        <f t="shared" si="2"/>
        <v>499</v>
      </c>
      <c r="B501" s="32" t="s">
        <v>636</v>
      </c>
      <c r="C501" s="11">
        <v>1530000.0</v>
      </c>
      <c r="D501" s="11">
        <v>1460000.0</v>
      </c>
      <c r="E501" s="11">
        <v>1450000.0</v>
      </c>
      <c r="F501" s="11">
        <v>1390000.0</v>
      </c>
      <c r="G501" s="11">
        <v>1390000.0</v>
      </c>
      <c r="H501" s="11">
        <v>1210000.0</v>
      </c>
      <c r="I501" s="11">
        <v>1140000.0</v>
      </c>
      <c r="J501" s="11">
        <v>331260.0</v>
      </c>
      <c r="K501" s="11">
        <v>326570.0</v>
      </c>
      <c r="L501" s="11">
        <v>338760.0</v>
      </c>
      <c r="M501" s="11">
        <v>297150.0</v>
      </c>
      <c r="N501" s="11">
        <v>266620.0</v>
      </c>
      <c r="O501" s="11">
        <v>66030.0</v>
      </c>
      <c r="P501" s="11">
        <v>37370.0</v>
      </c>
      <c r="Q501" s="11">
        <v>41210.0</v>
      </c>
      <c r="R501" s="11">
        <v>33940.0</v>
      </c>
      <c r="S501" s="11">
        <v>37190.0</v>
      </c>
      <c r="T501" s="11"/>
      <c r="U501" s="11"/>
      <c r="V501" s="11"/>
      <c r="W501" s="11"/>
      <c r="X501" s="11"/>
      <c r="Y501" s="11">
        <v>41590.0</v>
      </c>
      <c r="Z501" s="11">
        <v>67130.0</v>
      </c>
      <c r="AA501" s="11">
        <v>252450.0</v>
      </c>
      <c r="AB501" s="11">
        <v>272630.0</v>
      </c>
      <c r="AC501" s="11">
        <v>194420.0</v>
      </c>
      <c r="AD501" s="11">
        <v>45720.0</v>
      </c>
      <c r="AE501" s="11">
        <v>79740.0</v>
      </c>
      <c r="AF501" s="11">
        <v>271960.0</v>
      </c>
      <c r="AG501" s="11">
        <v>294520.0</v>
      </c>
      <c r="AH501" s="11">
        <v>219250.0</v>
      </c>
      <c r="AI501" s="11">
        <v>371880.0</v>
      </c>
      <c r="AJ501" s="11">
        <v>411730.0</v>
      </c>
      <c r="AK501" s="11">
        <v>411570.0</v>
      </c>
      <c r="AL501" s="11">
        <v>355000.0</v>
      </c>
      <c r="AM501" s="11">
        <v>326530.0</v>
      </c>
      <c r="AN501" s="11">
        <v>70890.0</v>
      </c>
      <c r="AO501" s="11">
        <v>68860.0</v>
      </c>
      <c r="AP501" s="11">
        <v>256630.0</v>
      </c>
      <c r="AQ501" s="11">
        <v>198220.0</v>
      </c>
      <c r="AR501" s="11">
        <v>152590.0</v>
      </c>
      <c r="AS501" s="11">
        <v>399300.0</v>
      </c>
      <c r="AT501" s="11">
        <v>350280.0</v>
      </c>
      <c r="AU501" s="11">
        <v>337670.0</v>
      </c>
      <c r="AV501" s="11">
        <v>331600.0</v>
      </c>
      <c r="AW501" s="11">
        <v>265770.0</v>
      </c>
      <c r="AX501" s="11">
        <v>-132120.0</v>
      </c>
      <c r="AY501" s="11">
        <v>-168870.0</v>
      </c>
      <c r="AZ501" s="11">
        <v>-131960.0</v>
      </c>
      <c r="BA501" s="11">
        <v>-56940.0</v>
      </c>
      <c r="BB501" s="11">
        <v>-89560.0</v>
      </c>
      <c r="BC501" s="11">
        <v>-17140.0</v>
      </c>
      <c r="BD501" s="11">
        <v>-18930.0</v>
      </c>
      <c r="BE501" s="11">
        <v>-19440.0</v>
      </c>
      <c r="BF501" s="11">
        <v>-19340.0</v>
      </c>
      <c r="BG501" s="11">
        <v>-20020.0</v>
      </c>
      <c r="BH501" s="11">
        <v>118650.0</v>
      </c>
      <c r="BI501" s="11">
        <v>8600.0</v>
      </c>
      <c r="BJ501" s="11">
        <v>48070.0</v>
      </c>
      <c r="BK501" s="11">
        <v>6560.0</v>
      </c>
      <c r="BL501" s="11">
        <v>5390.0</v>
      </c>
      <c r="BM501" s="11">
        <v>280200.0</v>
      </c>
      <c r="BN501" s="11">
        <v>134200.0</v>
      </c>
      <c r="BO501" s="11">
        <v>147440.0</v>
      </c>
      <c r="BP501" s="11">
        <v>136310.0</v>
      </c>
      <c r="BQ501" s="11">
        <v>125840.0</v>
      </c>
      <c r="BR501" s="11">
        <v>272510.0</v>
      </c>
      <c r="BS501" s="11">
        <v>275190.0</v>
      </c>
      <c r="BT501" s="11">
        <v>258160.0</v>
      </c>
      <c r="BU501" s="11">
        <v>252850.0</v>
      </c>
      <c r="BV501" s="11">
        <v>243600.0</v>
      </c>
      <c r="BW501" s="11">
        <v>678220.0</v>
      </c>
      <c r="BX501" s="11">
        <v>427620.0</v>
      </c>
      <c r="BY501" s="11">
        <v>458740.0</v>
      </c>
      <c r="BZ501" s="11">
        <v>400620.0</v>
      </c>
      <c r="CA501" s="11">
        <v>380000.0</v>
      </c>
      <c r="CB501" s="11">
        <v>1790000.0</v>
      </c>
      <c r="CC501" s="11">
        <v>1430000.0</v>
      </c>
      <c r="CD501" s="11">
        <v>1600000.0</v>
      </c>
      <c r="CE501" s="11">
        <v>1550000.0</v>
      </c>
      <c r="CF501" s="11">
        <v>1260000.0</v>
      </c>
      <c r="CG501" s="11">
        <v>331590.0</v>
      </c>
      <c r="CH501" s="11">
        <v>198370.0</v>
      </c>
      <c r="CI501" s="11">
        <v>205210.0</v>
      </c>
      <c r="CJ501" s="11">
        <v>198370.0</v>
      </c>
      <c r="CK501" s="11">
        <v>133890.0</v>
      </c>
      <c r="CL501" s="11">
        <v>2960000.0</v>
      </c>
      <c r="CM501" s="11">
        <v>2170000.0</v>
      </c>
      <c r="CN501" s="11">
        <v>2370000.0</v>
      </c>
      <c r="CO501" s="11">
        <v>2250000.0</v>
      </c>
      <c r="CP501" s="11">
        <v>1880000.0</v>
      </c>
      <c r="CQ501" s="11">
        <v>86200.0</v>
      </c>
      <c r="CR501" s="11">
        <v>80880.0</v>
      </c>
      <c r="CS501" s="11">
        <v>73460.0</v>
      </c>
      <c r="CT501" s="11">
        <v>92190.0</v>
      </c>
      <c r="CU501" s="11">
        <v>66610.0</v>
      </c>
      <c r="CV501" s="11">
        <v>169700.0</v>
      </c>
      <c r="CW501" s="11">
        <v>10210.0</v>
      </c>
      <c r="CX501" s="11"/>
      <c r="CY501" s="11"/>
      <c r="CZ501" s="11"/>
      <c r="DA501" s="11"/>
      <c r="DB501" s="11">
        <v>169700.0</v>
      </c>
      <c r="DC501" s="11">
        <v>179330.0</v>
      </c>
      <c r="DD501" s="11">
        <v>179330.0</v>
      </c>
      <c r="DE501" s="11">
        <v>229520.0</v>
      </c>
      <c r="DF501" s="11">
        <v>1990000.0</v>
      </c>
      <c r="DG501" s="11">
        <v>959680.0</v>
      </c>
      <c r="DH501" s="11">
        <v>950310.0</v>
      </c>
      <c r="DI501" s="11">
        <v>1040000.0</v>
      </c>
      <c r="DJ501" s="11">
        <v>843100.0</v>
      </c>
      <c r="DK501" s="11">
        <v>73960.0</v>
      </c>
      <c r="DL501" s="11">
        <v>64870.0</v>
      </c>
      <c r="DM501" s="11">
        <v>60560.0</v>
      </c>
      <c r="DN501" s="11">
        <v>48620.0</v>
      </c>
      <c r="DO501" s="11">
        <v>49470.0</v>
      </c>
      <c r="DP501" s="11">
        <v>1620000.0</v>
      </c>
      <c r="DQ501" s="11">
        <v>655090.0</v>
      </c>
      <c r="DR501" s="11">
        <v>620920.0</v>
      </c>
      <c r="DS501" s="11">
        <v>605250.0</v>
      </c>
      <c r="DT501" s="11">
        <v>499710.0</v>
      </c>
      <c r="DU501" s="12"/>
      <c r="DV501" s="12"/>
      <c r="DW501" s="12"/>
      <c r="DX501" s="12"/>
      <c r="DY501" s="12"/>
      <c r="DZ501" s="11">
        <v>967840.0</v>
      </c>
      <c r="EA501" s="11">
        <v>1210000.0</v>
      </c>
      <c r="EB501" s="11">
        <v>1420000.0</v>
      </c>
      <c r="EC501" s="11">
        <v>1200000.0</v>
      </c>
      <c r="ED501" s="11">
        <v>1040000.0</v>
      </c>
      <c r="EE501" s="33">
        <v>0.219</v>
      </c>
      <c r="EF501" s="33">
        <v>0.294</v>
      </c>
      <c r="EG501" s="33">
        <v>0.455</v>
      </c>
      <c r="EH501" s="33">
        <v>0.111</v>
      </c>
    </row>
    <row r="502">
      <c r="A502" s="9">
        <f t="shared" si="2"/>
        <v>500</v>
      </c>
      <c r="B502" s="10" t="s">
        <v>637</v>
      </c>
      <c r="C502" s="11">
        <v>8760000.0</v>
      </c>
      <c r="D502" s="11">
        <v>8910000.0</v>
      </c>
      <c r="E502" s="11">
        <v>8180000.0</v>
      </c>
      <c r="F502" s="11">
        <v>8140000.0</v>
      </c>
      <c r="G502" s="11">
        <v>6920000.0</v>
      </c>
      <c r="H502" s="11">
        <v>6100000.0</v>
      </c>
      <c r="I502" s="11">
        <v>6620000.0</v>
      </c>
      <c r="J502" s="11">
        <v>1160000.0</v>
      </c>
      <c r="K502" s="11">
        <v>1170000.0</v>
      </c>
      <c r="L502" s="11">
        <v>1000000.0</v>
      </c>
      <c r="M502" s="11">
        <v>959610.0</v>
      </c>
      <c r="N502" s="11">
        <v>998250.0</v>
      </c>
      <c r="O502" s="11">
        <v>396510.0</v>
      </c>
      <c r="P502" s="11">
        <v>376530.0</v>
      </c>
      <c r="Q502" s="11">
        <v>302500.0</v>
      </c>
      <c r="R502" s="11">
        <v>289440.0</v>
      </c>
      <c r="S502" s="11">
        <v>276770.0</v>
      </c>
      <c r="T502" s="12"/>
      <c r="U502" s="12"/>
      <c r="V502" s="12"/>
      <c r="W502" s="12"/>
      <c r="X502" s="12"/>
      <c r="Y502" s="12"/>
      <c r="Z502" s="12"/>
      <c r="AA502" s="11"/>
      <c r="AB502" s="12"/>
      <c r="AC502" s="12"/>
      <c r="AD502" s="11">
        <v>795790.0</v>
      </c>
      <c r="AE502" s="11">
        <v>818330.0</v>
      </c>
      <c r="AF502" s="11">
        <v>718600.0</v>
      </c>
      <c r="AG502" s="11">
        <v>686860.0</v>
      </c>
      <c r="AH502" s="11">
        <v>736690.0</v>
      </c>
      <c r="AI502" s="11">
        <v>817640.0</v>
      </c>
      <c r="AJ502" s="11">
        <v>850580.0</v>
      </c>
      <c r="AK502" s="11">
        <v>749570.0</v>
      </c>
      <c r="AL502" s="11">
        <v>716960.0</v>
      </c>
      <c r="AM502" s="11">
        <v>767500.0</v>
      </c>
      <c r="AN502" s="11">
        <v>590400.0</v>
      </c>
      <c r="AO502" s="11">
        <v>618200.0</v>
      </c>
      <c r="AP502" s="11">
        <v>489350.0</v>
      </c>
      <c r="AQ502" s="11">
        <v>430810.0</v>
      </c>
      <c r="AR502" s="11">
        <v>457220.0</v>
      </c>
      <c r="AS502" s="11">
        <v>771940.0</v>
      </c>
      <c r="AT502" s="11">
        <v>572800.0</v>
      </c>
      <c r="AU502" s="11">
        <v>488640.0</v>
      </c>
      <c r="AV502" s="11">
        <v>529100.0</v>
      </c>
      <c r="AW502" s="11">
        <v>564710.0</v>
      </c>
      <c r="AX502" s="11">
        <v>-47020.0</v>
      </c>
      <c r="AY502" s="11">
        <v>-47470.0</v>
      </c>
      <c r="AZ502" s="11">
        <v>-95020.0</v>
      </c>
      <c r="BA502" s="11">
        <v>-59320.0</v>
      </c>
      <c r="BB502" s="11">
        <v>-44380.0</v>
      </c>
      <c r="BC502" s="11">
        <v>-170550.0</v>
      </c>
      <c r="BD502" s="11">
        <v>-156840.0</v>
      </c>
      <c r="BE502" s="11">
        <v>-150500.0</v>
      </c>
      <c r="BF502" s="11">
        <v>-145120.0</v>
      </c>
      <c r="BG502" s="11">
        <v>-135670.0</v>
      </c>
      <c r="BH502" s="11">
        <v>1230000.0</v>
      </c>
      <c r="BI502" s="11">
        <v>923740.0</v>
      </c>
      <c r="BJ502" s="11">
        <v>1050000.0</v>
      </c>
      <c r="BK502" s="11">
        <v>974440.0</v>
      </c>
      <c r="BL502" s="11">
        <v>807800.0</v>
      </c>
      <c r="BM502" s="11">
        <v>1320000.0</v>
      </c>
      <c r="BN502" s="11">
        <v>1580000.0</v>
      </c>
      <c r="BO502" s="11">
        <v>1410000.0</v>
      </c>
      <c r="BP502" s="11">
        <v>1190000.0</v>
      </c>
      <c r="BQ502" s="11">
        <v>1110000.0</v>
      </c>
      <c r="BR502" s="12"/>
      <c r="BS502" s="12"/>
      <c r="BT502" s="12"/>
      <c r="BU502" s="12"/>
      <c r="BV502" s="12"/>
      <c r="BW502" s="11">
        <v>2640000.0</v>
      </c>
      <c r="BX502" s="11">
        <v>2580000.0</v>
      </c>
      <c r="BY502" s="11">
        <v>2540000.0</v>
      </c>
      <c r="BZ502" s="11">
        <v>2220000.0</v>
      </c>
      <c r="CA502" s="11">
        <v>1980000.0</v>
      </c>
      <c r="CB502" s="11">
        <v>889380.0</v>
      </c>
      <c r="CC502" s="11">
        <v>504110.0</v>
      </c>
      <c r="CD502" s="11">
        <v>525200.0</v>
      </c>
      <c r="CE502" s="11">
        <v>536570.0</v>
      </c>
      <c r="CF502" s="11">
        <v>524720.0</v>
      </c>
      <c r="CG502" s="11">
        <v>7930.0</v>
      </c>
      <c r="CH502" s="11">
        <v>7930.0</v>
      </c>
      <c r="CI502" s="11">
        <v>7930.0</v>
      </c>
      <c r="CJ502" s="11">
        <v>7930.0</v>
      </c>
      <c r="CK502" s="11">
        <v>7930.0</v>
      </c>
      <c r="CL502" s="11">
        <v>3780000.0</v>
      </c>
      <c r="CM502" s="11">
        <v>3350000.0</v>
      </c>
      <c r="CN502" s="11">
        <v>3160000.0</v>
      </c>
      <c r="CO502" s="11">
        <v>2900000.0</v>
      </c>
      <c r="CP502" s="11">
        <v>2660000.0</v>
      </c>
      <c r="CQ502" s="11">
        <v>735700.0</v>
      </c>
      <c r="CR502" s="11">
        <v>902260.0</v>
      </c>
      <c r="CS502" s="11">
        <v>866310.0</v>
      </c>
      <c r="CT502" s="11">
        <v>726570.0</v>
      </c>
      <c r="CU502" s="11">
        <v>645300.0</v>
      </c>
      <c r="CV502" s="11">
        <v>1170000.0</v>
      </c>
      <c r="CW502" s="11">
        <v>65370.0</v>
      </c>
      <c r="CX502" s="12"/>
      <c r="CY502" s="12"/>
      <c r="CZ502" s="12"/>
      <c r="DA502" s="12"/>
      <c r="DB502" s="11">
        <v>1170000.0</v>
      </c>
      <c r="DC502" s="11">
        <v>1330000.0</v>
      </c>
      <c r="DD502" s="11">
        <v>1090000.0</v>
      </c>
      <c r="DE502" s="11">
        <v>929930.0</v>
      </c>
      <c r="DF502" s="11">
        <v>1580000.0</v>
      </c>
      <c r="DG502" s="11">
        <v>1360000.0</v>
      </c>
      <c r="DH502" s="11">
        <v>1170000.0</v>
      </c>
      <c r="DI502" s="11">
        <v>1050000.0</v>
      </c>
      <c r="DJ502" s="11">
        <v>961540.0</v>
      </c>
      <c r="DK502" s="12"/>
      <c r="DL502" s="11"/>
      <c r="DM502" s="11"/>
      <c r="DN502" s="11"/>
      <c r="DO502" s="12"/>
      <c r="DP502" s="11">
        <v>326350.0</v>
      </c>
      <c r="DQ502" s="12"/>
      <c r="DR502" s="12"/>
      <c r="DS502" s="12"/>
      <c r="DT502" s="12"/>
      <c r="DU502" s="13"/>
      <c r="DV502" s="12"/>
      <c r="DW502" s="12"/>
      <c r="DX502" s="12"/>
      <c r="DY502" s="12"/>
      <c r="DZ502" s="11">
        <v>2200000.0</v>
      </c>
      <c r="EA502" s="11">
        <v>1990000.0</v>
      </c>
      <c r="EB502" s="11">
        <v>1990000.0</v>
      </c>
      <c r="EC502" s="11">
        <v>1840000.0</v>
      </c>
      <c r="ED502" s="11">
        <v>1690000.0</v>
      </c>
      <c r="EE502" s="14">
        <v>0.202</v>
      </c>
      <c r="EF502" s="14">
        <v>0.135</v>
      </c>
      <c r="EG502" s="14">
        <v>0.535</v>
      </c>
      <c r="EH502" s="14">
        <v>0.146</v>
      </c>
    </row>
    <row r="503">
      <c r="A503" s="9">
        <f t="shared" si="2"/>
        <v>501</v>
      </c>
      <c r="B503" s="32" t="s">
        <v>638</v>
      </c>
      <c r="C503" s="11">
        <v>1730000.0</v>
      </c>
      <c r="D503" s="11">
        <v>1460000.0</v>
      </c>
      <c r="E503" s="11">
        <v>2020000.0</v>
      </c>
      <c r="F503" s="11">
        <v>2120000.0</v>
      </c>
      <c r="G503" s="11">
        <v>2160000.0</v>
      </c>
      <c r="H503" s="11">
        <v>2190000.0</v>
      </c>
      <c r="I503" s="11">
        <v>2350000.0</v>
      </c>
      <c r="J503" s="11">
        <v>550580.0</v>
      </c>
      <c r="K503" s="11">
        <v>614910.0</v>
      </c>
      <c r="L503" s="11">
        <v>627510.0</v>
      </c>
      <c r="M503" s="11">
        <v>668310.0</v>
      </c>
      <c r="N503" s="11">
        <v>797030.0</v>
      </c>
      <c r="O503" s="11">
        <v>564330.0</v>
      </c>
      <c r="P503" s="11">
        <v>587350.0</v>
      </c>
      <c r="Q503" s="11">
        <v>573550.0</v>
      </c>
      <c r="R503" s="11">
        <v>559540.0</v>
      </c>
      <c r="S503" s="11">
        <v>586850.0</v>
      </c>
      <c r="T503" s="12"/>
      <c r="U503" s="12"/>
      <c r="V503" s="12"/>
      <c r="W503" s="12"/>
      <c r="X503" s="12"/>
      <c r="Y503" s="11">
        <v>-218710.0</v>
      </c>
      <c r="Z503" s="11">
        <v>27400.0</v>
      </c>
      <c r="AA503" s="11">
        <v>-22870.0</v>
      </c>
      <c r="AB503" s="11">
        <v>-5110.0</v>
      </c>
      <c r="AC503" s="11">
        <v>202220.0</v>
      </c>
      <c r="AD503" s="11">
        <v>-214880.0</v>
      </c>
      <c r="AE503" s="11">
        <v>20290.0</v>
      </c>
      <c r="AF503" s="11">
        <v>28850.0</v>
      </c>
      <c r="AG503" s="11">
        <v>90620.0</v>
      </c>
      <c r="AH503" s="11">
        <v>190680.0</v>
      </c>
      <c r="AI503" s="11">
        <v>74140.0</v>
      </c>
      <c r="AJ503" s="11">
        <v>115760.0</v>
      </c>
      <c r="AK503" s="11">
        <v>143760.0</v>
      </c>
      <c r="AL503" s="11">
        <v>190850.0</v>
      </c>
      <c r="AM503" s="11">
        <v>285090.0</v>
      </c>
      <c r="AN503" s="11">
        <v>-164360.0</v>
      </c>
      <c r="AO503" s="11">
        <v>9630.0</v>
      </c>
      <c r="AP503" s="11">
        <v>18870.0</v>
      </c>
      <c r="AQ503" s="11">
        <v>57420.0</v>
      </c>
      <c r="AR503" s="11">
        <v>116510.0</v>
      </c>
      <c r="AS503" s="11">
        <v>89810.0</v>
      </c>
      <c r="AT503" s="11">
        <v>73720.0</v>
      </c>
      <c r="AU503" s="11">
        <v>118570.0</v>
      </c>
      <c r="AV503" s="11">
        <v>186710.0</v>
      </c>
      <c r="AW503" s="11">
        <v>228600.0</v>
      </c>
      <c r="AX503" s="11">
        <v>-37040.0</v>
      </c>
      <c r="AY503" s="11">
        <v>-49780.0</v>
      </c>
      <c r="AZ503" s="11">
        <v>-57440.0</v>
      </c>
      <c r="BA503" s="11">
        <v>-98730.0</v>
      </c>
      <c r="BB503" s="11">
        <v>-115380.0</v>
      </c>
      <c r="BC503" s="12"/>
      <c r="BD503" s="12"/>
      <c r="BE503" s="12"/>
      <c r="BF503" s="12"/>
      <c r="BG503" s="12"/>
      <c r="BH503" s="11">
        <v>207140.0</v>
      </c>
      <c r="BI503" s="11">
        <v>171670.0</v>
      </c>
      <c r="BJ503" s="11">
        <v>236220.0</v>
      </c>
      <c r="BK503" s="11">
        <v>207370.0</v>
      </c>
      <c r="BL503" s="11">
        <v>186900.0</v>
      </c>
      <c r="BM503" s="11">
        <v>10820.0</v>
      </c>
      <c r="BN503" s="11">
        <v>17370.0</v>
      </c>
      <c r="BO503" s="11">
        <v>12080.0</v>
      </c>
      <c r="BP503" s="11">
        <v>15790.0</v>
      </c>
      <c r="BQ503" s="11">
        <v>22130.0</v>
      </c>
      <c r="BR503" s="11">
        <v>220300.0</v>
      </c>
      <c r="BS503" s="11">
        <v>267770.0</v>
      </c>
      <c r="BT503" s="11">
        <v>260730.0</v>
      </c>
      <c r="BU503" s="11">
        <v>241420.0</v>
      </c>
      <c r="BV503" s="11">
        <v>255350.0</v>
      </c>
      <c r="BW503" s="11">
        <v>470690.0</v>
      </c>
      <c r="BX503" s="11">
        <v>512030.0</v>
      </c>
      <c r="BY503" s="11">
        <v>564130.0</v>
      </c>
      <c r="BZ503" s="11">
        <v>514130.0</v>
      </c>
      <c r="CA503" s="11">
        <v>513420.0</v>
      </c>
      <c r="CB503" s="11">
        <v>1260000.0</v>
      </c>
      <c r="CC503" s="11">
        <v>364280.0</v>
      </c>
      <c r="CD503" s="11">
        <v>405010.0</v>
      </c>
      <c r="CE503" s="11">
        <v>451290.0</v>
      </c>
      <c r="CF503" s="11">
        <v>444400.0</v>
      </c>
      <c r="CG503" s="12"/>
      <c r="CH503" s="12"/>
      <c r="CI503" s="12"/>
      <c r="CJ503" s="12"/>
      <c r="CK503" s="12"/>
      <c r="CL503" s="11">
        <v>2090000.0</v>
      </c>
      <c r="CM503" s="11">
        <v>1150000.0</v>
      </c>
      <c r="CN503" s="11">
        <v>1240000.0</v>
      </c>
      <c r="CO503" s="11">
        <v>1270000.0</v>
      </c>
      <c r="CP503" s="11">
        <v>1260000.0</v>
      </c>
      <c r="CQ503" s="11">
        <v>126860.0</v>
      </c>
      <c r="CR503" s="11">
        <v>155910.0</v>
      </c>
      <c r="CS503" s="11">
        <v>145590.0</v>
      </c>
      <c r="CT503" s="11">
        <v>172670.0</v>
      </c>
      <c r="CU503" s="11">
        <v>149880.0</v>
      </c>
      <c r="CV503" s="11">
        <v>467480.0</v>
      </c>
      <c r="CW503" s="11">
        <v>226170.0</v>
      </c>
      <c r="CX503" s="12"/>
      <c r="CY503" s="12"/>
      <c r="CZ503" s="12"/>
      <c r="DA503" s="12"/>
      <c r="DB503" s="11">
        <v>467480.0</v>
      </c>
      <c r="DC503" s="11">
        <v>274690.0</v>
      </c>
      <c r="DD503" s="11">
        <v>297390.0</v>
      </c>
      <c r="DE503" s="11">
        <v>282400.0</v>
      </c>
      <c r="DF503" s="11">
        <v>1680000.0</v>
      </c>
      <c r="DG503" s="11">
        <v>562340.0</v>
      </c>
      <c r="DH503" s="11">
        <v>595420.0</v>
      </c>
      <c r="DI503" s="11">
        <v>636470.0</v>
      </c>
      <c r="DJ503" s="11">
        <v>638730.0</v>
      </c>
      <c r="DK503" s="11">
        <v>2700.0</v>
      </c>
      <c r="DL503" s="12"/>
      <c r="DM503" s="12"/>
      <c r="DN503" s="12"/>
      <c r="DO503" s="12"/>
      <c r="DP503" s="11">
        <v>897300.0</v>
      </c>
      <c r="DQ503" s="11">
        <v>65100.0</v>
      </c>
      <c r="DR503" s="11">
        <v>66700.0</v>
      </c>
      <c r="DS503" s="11">
        <v>68200.0</v>
      </c>
      <c r="DT503" s="11">
        <v>69600.0</v>
      </c>
      <c r="DU503" s="13"/>
      <c r="DV503" s="12"/>
      <c r="DW503" s="12"/>
      <c r="DX503" s="12"/>
      <c r="DY503" s="12"/>
      <c r="DZ503" s="11">
        <v>406300.0</v>
      </c>
      <c r="EA503" s="11">
        <v>585180.0</v>
      </c>
      <c r="EB503" s="11">
        <v>648310.0</v>
      </c>
      <c r="EC503" s="11">
        <v>635690.0</v>
      </c>
      <c r="ED503" s="11">
        <v>617950.0</v>
      </c>
      <c r="EE503" s="14">
        <v>0.082</v>
      </c>
      <c r="EF503" s="14">
        <v>0.173</v>
      </c>
      <c r="EG503" s="14">
        <v>-2.298</v>
      </c>
      <c r="EH503" s="14">
        <v>-0.361</v>
      </c>
    </row>
    <row r="504">
      <c r="A504" s="9">
        <f t="shared" si="2"/>
        <v>502</v>
      </c>
      <c r="B504" s="32" t="s">
        <v>639</v>
      </c>
      <c r="C504" s="11">
        <v>1920000.0</v>
      </c>
      <c r="D504" s="11">
        <v>1680000.0</v>
      </c>
      <c r="E504" s="11">
        <v>1720000.0</v>
      </c>
      <c r="F504" s="11">
        <v>1540000.0</v>
      </c>
      <c r="G504" s="11">
        <v>1380000.0</v>
      </c>
      <c r="H504" s="11">
        <v>1200000.0</v>
      </c>
      <c r="I504" s="11">
        <v>1060000.0</v>
      </c>
      <c r="J504" s="11">
        <v>830570.0</v>
      </c>
      <c r="K504" s="11">
        <v>748940.0</v>
      </c>
      <c r="L504" s="11">
        <v>676370.0</v>
      </c>
      <c r="M504" s="11">
        <v>599420.0</v>
      </c>
      <c r="N504" s="11">
        <v>527360.0</v>
      </c>
      <c r="O504" s="11">
        <v>744490.0</v>
      </c>
      <c r="P504" s="11">
        <v>687480.0</v>
      </c>
      <c r="Q504" s="11">
        <v>600010.0</v>
      </c>
      <c r="R504" s="11">
        <v>524240.0</v>
      </c>
      <c r="S504" s="11">
        <v>474050.0</v>
      </c>
      <c r="T504" s="12"/>
      <c r="U504" s="12"/>
      <c r="V504" s="12"/>
      <c r="W504" s="12"/>
      <c r="X504" s="12"/>
      <c r="Y504" s="11">
        <v>67400.0</v>
      </c>
      <c r="Z504" s="11">
        <v>43840.0</v>
      </c>
      <c r="AA504" s="11">
        <v>-11120.0</v>
      </c>
      <c r="AB504" s="11">
        <v>68050.0</v>
      </c>
      <c r="AC504" s="11">
        <v>45590.0</v>
      </c>
      <c r="AD504" s="11">
        <v>30490.0</v>
      </c>
      <c r="AE504" s="11">
        <v>4870.0</v>
      </c>
      <c r="AF504" s="11">
        <v>4230.0</v>
      </c>
      <c r="AG504" s="11">
        <v>27290.0</v>
      </c>
      <c r="AH504" s="11">
        <v>5390.0</v>
      </c>
      <c r="AI504" s="11">
        <v>173320.0</v>
      </c>
      <c r="AJ504" s="11">
        <v>135810.0</v>
      </c>
      <c r="AK504" s="11">
        <v>138330.0</v>
      </c>
      <c r="AL504" s="11">
        <v>127180.0</v>
      </c>
      <c r="AM504" s="11">
        <v>97380.0</v>
      </c>
      <c r="AN504" s="11">
        <v>32800.0</v>
      </c>
      <c r="AO504" s="11">
        <v>23650.0</v>
      </c>
      <c r="AP504" s="11">
        <v>43140.0</v>
      </c>
      <c r="AQ504" s="11">
        <v>14760.0</v>
      </c>
      <c r="AR504" s="11">
        <v>3620.0</v>
      </c>
      <c r="AS504" s="11">
        <v>165080.0</v>
      </c>
      <c r="AT504" s="11">
        <v>106630.0</v>
      </c>
      <c r="AU504" s="11">
        <v>90250.0</v>
      </c>
      <c r="AV504" s="11">
        <v>97590.0</v>
      </c>
      <c r="AW504" s="11">
        <v>83130.0</v>
      </c>
      <c r="AX504" s="11">
        <v>-101330.0</v>
      </c>
      <c r="AY504" s="11">
        <v>-104490.0</v>
      </c>
      <c r="AZ504" s="11">
        <v>-93220.0</v>
      </c>
      <c r="BA504" s="11">
        <v>-90030.0</v>
      </c>
      <c r="BB504" s="11">
        <v>-77160.0</v>
      </c>
      <c r="BC504" s="12"/>
      <c r="BD504" s="12"/>
      <c r="BE504" s="11">
        <v>-170980.0</v>
      </c>
      <c r="BF504" s="12"/>
      <c r="BG504" s="11">
        <v>-145670.0</v>
      </c>
      <c r="BH504" s="11">
        <v>39340.0</v>
      </c>
      <c r="BI504" s="11">
        <v>17130.0</v>
      </c>
      <c r="BJ504" s="11">
        <v>4210.0</v>
      </c>
      <c r="BK504" s="11">
        <v>4950.0</v>
      </c>
      <c r="BL504" s="11">
        <v>5600.0</v>
      </c>
      <c r="BM504" s="11">
        <v>44480.0</v>
      </c>
      <c r="BN504" s="11">
        <v>50740.0</v>
      </c>
      <c r="BO504" s="11">
        <v>43190.0</v>
      </c>
      <c r="BP504" s="11">
        <v>34370.0</v>
      </c>
      <c r="BQ504" s="11">
        <v>29350.0</v>
      </c>
      <c r="BR504" s="11">
        <v>127560.0</v>
      </c>
      <c r="BS504" s="11">
        <v>116020.0</v>
      </c>
      <c r="BT504" s="11">
        <v>91150.0</v>
      </c>
      <c r="BU504" s="11">
        <v>87060.0</v>
      </c>
      <c r="BV504" s="11">
        <v>75020.0</v>
      </c>
      <c r="BW504" s="11">
        <v>234640.0</v>
      </c>
      <c r="BX504" s="11">
        <v>214700.0</v>
      </c>
      <c r="BY504" s="11">
        <v>162480.0</v>
      </c>
      <c r="BZ504" s="11">
        <v>147260.0</v>
      </c>
      <c r="CA504" s="11">
        <v>127800.0</v>
      </c>
      <c r="CB504" s="11">
        <v>714860.0</v>
      </c>
      <c r="CC504" s="11">
        <v>355120.0</v>
      </c>
      <c r="CD504" s="11">
        <v>302280.0</v>
      </c>
      <c r="CE504" s="11">
        <v>256410.0</v>
      </c>
      <c r="CF504" s="11">
        <v>207200.0</v>
      </c>
      <c r="CG504" s="11">
        <v>777610.0</v>
      </c>
      <c r="CH504" s="11">
        <v>777610.0</v>
      </c>
      <c r="CI504" s="11">
        <v>792740.0</v>
      </c>
      <c r="CJ504" s="11">
        <v>793230.0</v>
      </c>
      <c r="CK504" s="11">
        <v>796570.0</v>
      </c>
      <c r="CL504" s="11">
        <v>2030000.0</v>
      </c>
      <c r="CM504" s="11">
        <v>1660000.0</v>
      </c>
      <c r="CN504" s="11">
        <v>1580000.0</v>
      </c>
      <c r="CO504" s="11">
        <v>1530000.0</v>
      </c>
      <c r="CP504" s="11">
        <v>1480000.0</v>
      </c>
      <c r="CQ504" s="11">
        <v>40780.0</v>
      </c>
      <c r="CR504" s="11">
        <v>43640.0</v>
      </c>
      <c r="CS504" s="11">
        <v>35710.0</v>
      </c>
      <c r="CT504" s="11">
        <v>39400.0</v>
      </c>
      <c r="CU504" s="11">
        <v>33780.0</v>
      </c>
      <c r="CV504" s="11">
        <v>273180.0</v>
      </c>
      <c r="CW504" s="11">
        <v>51940.0</v>
      </c>
      <c r="CX504" s="12"/>
      <c r="CY504" s="12"/>
      <c r="CZ504" s="12"/>
      <c r="DA504" s="12"/>
      <c r="DB504" s="11">
        <v>273180.0</v>
      </c>
      <c r="DC504" s="11">
        <v>211650.0</v>
      </c>
      <c r="DD504" s="11">
        <v>211310.0</v>
      </c>
      <c r="DE504" s="11">
        <v>199680.0</v>
      </c>
      <c r="DF504" s="11">
        <v>1260000.0</v>
      </c>
      <c r="DG504" s="11">
        <v>918240.0</v>
      </c>
      <c r="DH504" s="11">
        <v>927340.0</v>
      </c>
      <c r="DI504" s="11">
        <v>1130000.0</v>
      </c>
      <c r="DJ504" s="11">
        <v>1090000.0</v>
      </c>
      <c r="DK504" s="11">
        <v>965.0</v>
      </c>
      <c r="DL504" s="11">
        <v>1870.0</v>
      </c>
      <c r="DM504" s="11">
        <v>3290.0</v>
      </c>
      <c r="DN504" s="12"/>
      <c r="DO504" s="12"/>
      <c r="DP504" s="11">
        <v>887700.0</v>
      </c>
      <c r="DQ504" s="11">
        <v>570550.0</v>
      </c>
      <c r="DR504" s="11">
        <v>561980.0</v>
      </c>
      <c r="DS504" s="11">
        <v>738340.0</v>
      </c>
      <c r="DT504" s="11">
        <v>740780.0</v>
      </c>
      <c r="DU504" s="13"/>
      <c r="DV504" s="12"/>
      <c r="DW504" s="12"/>
      <c r="DX504" s="12"/>
      <c r="DY504" s="12"/>
      <c r="DZ504" s="11">
        <v>776440.0</v>
      </c>
      <c r="EA504" s="11">
        <v>743150.0</v>
      </c>
      <c r="EB504" s="11">
        <v>654600.0</v>
      </c>
      <c r="EC504" s="11">
        <v>401890.0</v>
      </c>
      <c r="ED504" s="11">
        <v>386230.0</v>
      </c>
      <c r="EE504" s="14">
        <v>0.054</v>
      </c>
      <c r="EF504" s="14">
        <v>0.141</v>
      </c>
      <c r="EG504" s="14">
        <v>0.18</v>
      </c>
      <c r="EH504" s="14">
        <v>2.92</v>
      </c>
    </row>
    <row r="505">
      <c r="A505" s="9">
        <f t="shared" si="2"/>
        <v>503</v>
      </c>
      <c r="B505" s="32" t="s">
        <v>640</v>
      </c>
      <c r="C505" s="11">
        <v>895760.0</v>
      </c>
      <c r="D505" s="11">
        <v>866550.0</v>
      </c>
      <c r="E505" s="11">
        <v>847230.0</v>
      </c>
      <c r="F505" s="11">
        <v>812160.0</v>
      </c>
      <c r="G505" s="11">
        <v>747950.0</v>
      </c>
      <c r="H505" s="11">
        <v>730510.0</v>
      </c>
      <c r="I505" s="11">
        <v>720000.0</v>
      </c>
      <c r="J505" s="11">
        <v>465650.0</v>
      </c>
      <c r="K505" s="11">
        <v>456070.0</v>
      </c>
      <c r="L505" s="11">
        <v>411850.0</v>
      </c>
      <c r="M505" s="11">
        <v>401690.0</v>
      </c>
      <c r="N505" s="11">
        <v>371960.0</v>
      </c>
      <c r="O505" s="11">
        <v>414240.0</v>
      </c>
      <c r="P505" s="11">
        <v>388480.0</v>
      </c>
      <c r="Q505" s="11">
        <v>357890.0</v>
      </c>
      <c r="R505" s="11">
        <v>369490.0</v>
      </c>
      <c r="S505" s="11">
        <v>363520.0</v>
      </c>
      <c r="T505" s="11"/>
      <c r="U505" s="11"/>
      <c r="V505" s="11"/>
      <c r="W505" s="11"/>
      <c r="X505" s="11"/>
      <c r="Y505" s="11">
        <v>31680.0</v>
      </c>
      <c r="Z505" s="11">
        <v>-11710.0</v>
      </c>
      <c r="AA505" s="11"/>
      <c r="AB505" s="11">
        <v>19320.0</v>
      </c>
      <c r="AC505" s="11">
        <v>-48220.0</v>
      </c>
      <c r="AD505" s="11">
        <v>4170.0</v>
      </c>
      <c r="AE505" s="11">
        <v>55540.0</v>
      </c>
      <c r="AF505" s="11">
        <v>43240.0</v>
      </c>
      <c r="AG505" s="11">
        <v>363.0</v>
      </c>
      <c r="AH505" s="11">
        <v>-66210.0</v>
      </c>
      <c r="AI505" s="11">
        <v>80210.0</v>
      </c>
      <c r="AJ505" s="11">
        <v>93070.0</v>
      </c>
      <c r="AK505" s="11">
        <v>77620.0</v>
      </c>
      <c r="AL505" s="11">
        <v>58740.0</v>
      </c>
      <c r="AM505" s="11">
        <v>45470.0</v>
      </c>
      <c r="AN505" s="11">
        <v>3000.0</v>
      </c>
      <c r="AO505" s="11">
        <v>38140.0</v>
      </c>
      <c r="AP505" s="11">
        <v>33680.0</v>
      </c>
      <c r="AQ505" s="11">
        <v>-1310.0</v>
      </c>
      <c r="AR505" s="11">
        <v>-47150.0</v>
      </c>
      <c r="AS505" s="11">
        <v>103520.0</v>
      </c>
      <c r="AT505" s="11">
        <v>88980.0</v>
      </c>
      <c r="AU505" s="11">
        <v>51840.0</v>
      </c>
      <c r="AV505" s="11">
        <v>64400.0</v>
      </c>
      <c r="AW505" s="11">
        <v>79400.0</v>
      </c>
      <c r="AX505" s="11">
        <v>-38840.0</v>
      </c>
      <c r="AY505" s="11">
        <v>-40470.0</v>
      </c>
      <c r="AZ505" s="11">
        <v>-18850.0</v>
      </c>
      <c r="BA505" s="11">
        <v>-9550.0</v>
      </c>
      <c r="BB505" s="11">
        <v>-24290.0</v>
      </c>
      <c r="BC505" s="12"/>
      <c r="BD505" s="12"/>
      <c r="BE505" s="12"/>
      <c r="BF505" s="12"/>
      <c r="BG505" s="12"/>
      <c r="BH505" s="11">
        <v>162440.0</v>
      </c>
      <c r="BI505" s="11">
        <v>285580.0</v>
      </c>
      <c r="BJ505" s="11">
        <v>164390.0</v>
      </c>
      <c r="BK505" s="11">
        <v>68740.0</v>
      </c>
      <c r="BL505" s="11">
        <v>56390.0</v>
      </c>
      <c r="BM505" s="11">
        <v>259180.0</v>
      </c>
      <c r="BN505" s="11">
        <v>284860.0</v>
      </c>
      <c r="BO505" s="11">
        <v>236190.0</v>
      </c>
      <c r="BP505" s="11">
        <v>242870.0</v>
      </c>
      <c r="BQ505" s="11">
        <v>245550.0</v>
      </c>
      <c r="BR505" s="11">
        <v>179360.0</v>
      </c>
      <c r="BS505" s="11">
        <v>167000.0</v>
      </c>
      <c r="BT505" s="11">
        <v>154410.0</v>
      </c>
      <c r="BU505" s="11">
        <v>140220.0</v>
      </c>
      <c r="BV505" s="11">
        <v>124080.0</v>
      </c>
      <c r="BW505" s="11">
        <v>605760.0</v>
      </c>
      <c r="BX505" s="11">
        <v>749390.0</v>
      </c>
      <c r="BY505" s="11">
        <v>580960.0</v>
      </c>
      <c r="BZ505" s="11">
        <v>482140.0</v>
      </c>
      <c r="CA505" s="11">
        <v>511300.0</v>
      </c>
      <c r="CB505" s="11">
        <v>67360.0</v>
      </c>
      <c r="CC505" s="11">
        <v>73650.0</v>
      </c>
      <c r="CD505" s="11">
        <v>57960.0</v>
      </c>
      <c r="CE505" s="11">
        <v>58460.0</v>
      </c>
      <c r="CF505" s="11">
        <v>73940.0</v>
      </c>
      <c r="CG505" s="11">
        <v>300530.0</v>
      </c>
      <c r="CH505" s="11">
        <v>299250.0</v>
      </c>
      <c r="CI505" s="11">
        <v>254760.0</v>
      </c>
      <c r="CJ505" s="11">
        <v>253980.0</v>
      </c>
      <c r="CK505" s="11">
        <v>251650.0</v>
      </c>
      <c r="CL505" s="11">
        <v>1080000.0</v>
      </c>
      <c r="CM505" s="11">
        <v>1240000.0</v>
      </c>
      <c r="CN505" s="11">
        <v>1020000.0</v>
      </c>
      <c r="CO505" s="11">
        <v>983240.0</v>
      </c>
      <c r="CP505" s="11">
        <v>1190000.0</v>
      </c>
      <c r="CQ505" s="11">
        <v>25950.0</v>
      </c>
      <c r="CR505" s="11">
        <v>10500.0</v>
      </c>
      <c r="CS505" s="11">
        <v>13060.0</v>
      </c>
      <c r="CT505" s="11">
        <v>21950.0</v>
      </c>
      <c r="CU505" s="11">
        <v>36130.0</v>
      </c>
      <c r="CV505" s="11">
        <v>91090.0</v>
      </c>
      <c r="CW505" s="11"/>
      <c r="CX505" s="12"/>
      <c r="CY505" s="13"/>
      <c r="CZ505" s="13"/>
      <c r="DA505" s="12"/>
      <c r="DB505" s="11">
        <v>91090.0</v>
      </c>
      <c r="DC505" s="11">
        <v>259960.0</v>
      </c>
      <c r="DD505" s="11">
        <v>72580.0</v>
      </c>
      <c r="DE505" s="11">
        <v>94980.0</v>
      </c>
      <c r="DF505" s="11">
        <v>338750.0</v>
      </c>
      <c r="DG505" s="11">
        <v>502370.0</v>
      </c>
      <c r="DH505" s="11">
        <v>364440.0</v>
      </c>
      <c r="DI505" s="11">
        <v>389040.0</v>
      </c>
      <c r="DJ505" s="11">
        <v>517220.0</v>
      </c>
      <c r="DK505" s="11">
        <v>34520.0</v>
      </c>
      <c r="DL505" s="11">
        <v>49500.0</v>
      </c>
      <c r="DM505" s="11">
        <v>43320.0</v>
      </c>
      <c r="DN505" s="11">
        <v>37130.0</v>
      </c>
      <c r="DO505" s="11">
        <v>56180.0</v>
      </c>
      <c r="DP505" s="11">
        <v>238380.0</v>
      </c>
      <c r="DQ505" s="11">
        <v>226700.0</v>
      </c>
      <c r="DR505" s="11">
        <v>284810.0</v>
      </c>
      <c r="DS505" s="11">
        <v>283610.0</v>
      </c>
      <c r="DT505" s="11">
        <v>197980.0</v>
      </c>
      <c r="DU505" s="13"/>
      <c r="DV505" s="12"/>
      <c r="DW505" s="12"/>
      <c r="DX505" s="12"/>
      <c r="DY505" s="11">
        <v>11700.0</v>
      </c>
      <c r="DZ505" s="11">
        <v>744950.0</v>
      </c>
      <c r="EA505" s="11">
        <v>742740.0</v>
      </c>
      <c r="EB505" s="11">
        <v>662380.0</v>
      </c>
      <c r="EC505" s="11">
        <v>594980.0</v>
      </c>
      <c r="ED505" s="11">
        <v>667730.0</v>
      </c>
      <c r="EE505" s="14">
        <v>0.008</v>
      </c>
      <c r="EF505" s="14">
        <v>0.009</v>
      </c>
      <c r="EG505" s="14">
        <v>-1.143</v>
      </c>
      <c r="EH505" s="14">
        <v>-0.354</v>
      </c>
    </row>
    <row r="506">
      <c r="A506" s="9">
        <f t="shared" si="2"/>
        <v>504</v>
      </c>
      <c r="B506" s="25" t="s">
        <v>641</v>
      </c>
      <c r="C506" s="15">
        <v>1.3926E8</v>
      </c>
      <c r="D506" s="15">
        <v>1.1425E8</v>
      </c>
      <c r="E506" s="15">
        <v>1.559E8</v>
      </c>
      <c r="F506" s="15">
        <v>1.6034E8</v>
      </c>
      <c r="G506" s="15">
        <v>1.5678E8</v>
      </c>
      <c r="H506" s="15">
        <v>1.518E8</v>
      </c>
      <c r="I506" s="15">
        <v>1.4956E8</v>
      </c>
      <c r="J506" s="15">
        <v>1.911E7</v>
      </c>
      <c r="K506" s="15">
        <v>2.276E7</v>
      </c>
      <c r="L506" s="15">
        <v>2.395E7</v>
      </c>
      <c r="M506" s="15">
        <v>2.308E7</v>
      </c>
      <c r="N506" s="15">
        <v>3.0E7</v>
      </c>
      <c r="O506" s="15">
        <v>1.856E7</v>
      </c>
      <c r="P506" s="15">
        <v>1.96E7</v>
      </c>
      <c r="Q506" s="15">
        <v>1.953E7</v>
      </c>
      <c r="R506" s="15">
        <v>1.95E7</v>
      </c>
      <c r="S506" s="15">
        <v>2.17E7</v>
      </c>
      <c r="T506" s="15">
        <v>7400000.0</v>
      </c>
      <c r="U506" s="15">
        <v>8200000.0</v>
      </c>
      <c r="V506" s="15">
        <v>8000000.0</v>
      </c>
      <c r="W506" s="15">
        <v>7300000.0</v>
      </c>
      <c r="X506" s="15">
        <v>6700000.0</v>
      </c>
      <c r="Y506" s="15">
        <v>368000.0</v>
      </c>
      <c r="Z506" s="15">
        <v>3180000.0</v>
      </c>
      <c r="AA506" s="15">
        <v>-197000.0</v>
      </c>
      <c r="AB506" s="15">
        <v>4740000.0</v>
      </c>
      <c r="AC506" s="15">
        <v>8860000.0</v>
      </c>
      <c r="AD506" s="15">
        <v>-640000.0</v>
      </c>
      <c r="AE506" s="15">
        <v>4350000.0</v>
      </c>
      <c r="AF506" s="15">
        <v>8160000.0</v>
      </c>
      <c r="AG506" s="15">
        <v>6800000.0</v>
      </c>
      <c r="AH506" s="15">
        <v>1.025E7</v>
      </c>
      <c r="AI506" s="15">
        <v>9040000.0</v>
      </c>
      <c r="AJ506" s="15">
        <v>1.146E7</v>
      </c>
      <c r="AK506" s="15">
        <v>1.288E7</v>
      </c>
      <c r="AL506" s="15">
        <v>1.23E7</v>
      </c>
      <c r="AM506" s="15">
        <v>1.585E7</v>
      </c>
      <c r="AN506" s="15">
        <v>47000.0</v>
      </c>
      <c r="AO506" s="15">
        <v>3680000.0</v>
      </c>
      <c r="AP506" s="15">
        <v>7730000.0</v>
      </c>
      <c r="AQ506" s="15">
        <v>4600000.0</v>
      </c>
      <c r="AR506" s="15">
        <v>7370000.0</v>
      </c>
      <c r="AS506" s="15">
        <v>1.764E7</v>
      </c>
      <c r="AT506" s="15">
        <v>1.502E7</v>
      </c>
      <c r="AU506" s="15">
        <v>1.81E7</v>
      </c>
      <c r="AV506" s="15">
        <v>1.979E7</v>
      </c>
      <c r="AW506" s="15">
        <v>1.617E7</v>
      </c>
      <c r="AX506" s="15">
        <v>-7630000.0</v>
      </c>
      <c r="AY506" s="15">
        <v>-7790000.0</v>
      </c>
      <c r="AZ506" s="15">
        <v>-7050000.0</v>
      </c>
      <c r="BA506" s="15">
        <v>-6990000.0</v>
      </c>
      <c r="BB506" s="15">
        <v>-7200000.0</v>
      </c>
      <c r="BC506" s="15">
        <v>-2390000.0</v>
      </c>
      <c r="BD506" s="15">
        <v>-2910000.0</v>
      </c>
      <c r="BE506" s="15">
        <v>-2580000.0</v>
      </c>
      <c r="BF506" s="15">
        <v>-3380000.0</v>
      </c>
      <c r="BG506" s="15">
        <v>-2380000.0</v>
      </c>
      <c r="BH506" s="15">
        <v>3.465E7</v>
      </c>
      <c r="BI506" s="15">
        <v>3.395E7</v>
      </c>
      <c r="BJ506" s="15">
        <v>3.893E7</v>
      </c>
      <c r="BK506" s="15">
        <v>3.883E7</v>
      </c>
      <c r="BL506" s="15">
        <v>3.518E7</v>
      </c>
      <c r="BM506" s="15">
        <v>6.314E7</v>
      </c>
      <c r="BN506" s="15">
        <v>6.581E7</v>
      </c>
      <c r="BO506" s="15">
        <v>6.305E7</v>
      </c>
      <c r="BP506" s="15">
        <v>5.759E7</v>
      </c>
      <c r="BQ506" s="15">
        <v>1.0198E8</v>
      </c>
      <c r="BR506" s="15">
        <v>1.079E7</v>
      </c>
      <c r="BS506" s="15">
        <v>1.122E7</v>
      </c>
      <c r="BT506" s="15">
        <v>1.118E7</v>
      </c>
      <c r="BU506" s="15">
        <v>8900000.0</v>
      </c>
      <c r="BV506" s="15">
        <v>8320000.0</v>
      </c>
      <c r="BW506" s="15">
        <v>1.1405E8</v>
      </c>
      <c r="BX506" s="15">
        <v>1.1465E8</v>
      </c>
      <c r="BY506" s="15">
        <v>1.168E8</v>
      </c>
      <c r="BZ506" s="15">
        <v>1.0846E8</v>
      </c>
      <c r="CA506" s="15">
        <v>1.4547E8</v>
      </c>
      <c r="CB506" s="15">
        <v>6.711E7</v>
      </c>
      <c r="CC506" s="15">
        <v>6.53E7</v>
      </c>
      <c r="CD506" s="15">
        <v>6.356E7</v>
      </c>
      <c r="CE506" s="15">
        <v>6.09E7</v>
      </c>
      <c r="CF506" s="15">
        <v>5.726E7</v>
      </c>
      <c r="CG506" s="15">
        <v>278000.0</v>
      </c>
      <c r="CH506" s="15">
        <v>264000.0</v>
      </c>
      <c r="CI506" s="15">
        <v>75000.0</v>
      </c>
      <c r="CJ506" s="15">
        <v>50000.0</v>
      </c>
      <c r="CK506" s="15"/>
      <c r="CL506" s="15">
        <v>2.5854E8</v>
      </c>
      <c r="CM506" s="15">
        <v>2.5654E8</v>
      </c>
      <c r="CN506" s="15">
        <v>2.585E8</v>
      </c>
      <c r="CO506" s="15">
        <v>2.3795E8</v>
      </c>
      <c r="CP506" s="15">
        <v>2.2493E8</v>
      </c>
      <c r="CQ506" s="15">
        <v>2.067E7</v>
      </c>
      <c r="CR506" s="15">
        <v>2.152E7</v>
      </c>
      <c r="CS506" s="15">
        <v>2.328E7</v>
      </c>
      <c r="CT506" s="15">
        <v>2.13E7</v>
      </c>
      <c r="CU506" s="15">
        <v>2.027E7</v>
      </c>
      <c r="CV506" s="15">
        <v>9.813E7</v>
      </c>
      <c r="CW506" s="15">
        <v>1.44E7</v>
      </c>
      <c r="CX506" s="15">
        <v>1.532E7</v>
      </c>
      <c r="CY506" s="15">
        <v>1.855E7</v>
      </c>
      <c r="CZ506" s="15">
        <v>1.665E7</v>
      </c>
      <c r="DA506" s="15">
        <v>1.294E7</v>
      </c>
      <c r="DB506" s="15">
        <v>9.813E7</v>
      </c>
      <c r="DC506" s="15">
        <v>9.557E7</v>
      </c>
      <c r="DD506" s="15">
        <v>9.46E7</v>
      </c>
      <c r="DE506" s="15">
        <v>9.028E7</v>
      </c>
      <c r="DF506" s="15">
        <v>2.2531E8</v>
      </c>
      <c r="DG506" s="15">
        <v>2.2047E8</v>
      </c>
      <c r="DH506" s="15">
        <v>2.2279E8</v>
      </c>
      <c r="DI506" s="15">
        <v>2.0867E8</v>
      </c>
      <c r="DJ506" s="15">
        <v>1.9617E8</v>
      </c>
      <c r="DK506" s="15">
        <v>3890000.0</v>
      </c>
      <c r="DL506" s="15">
        <v>3150000.0</v>
      </c>
      <c r="DM506" s="15">
        <v>3590000.0</v>
      </c>
      <c r="DN506" s="15">
        <v>3520000.0</v>
      </c>
      <c r="DO506" s="15">
        <v>3220000.0</v>
      </c>
      <c r="DP506" s="15">
        <v>1.0241E8</v>
      </c>
      <c r="DQ506" s="15">
        <v>1.0072E8</v>
      </c>
      <c r="DR506" s="15">
        <v>1.0267E8</v>
      </c>
      <c r="DS506" s="15">
        <v>9.33E7</v>
      </c>
      <c r="DT506" s="15">
        <v>8.986E7</v>
      </c>
      <c r="DU506" s="13"/>
      <c r="DV506" s="12"/>
      <c r="DW506" s="12"/>
      <c r="DX506" s="13"/>
      <c r="DY506" s="13"/>
      <c r="DZ506" s="15">
        <v>3.319E7</v>
      </c>
      <c r="EA506" s="15">
        <v>3.593E7</v>
      </c>
      <c r="EB506" s="15">
        <v>3.558E7</v>
      </c>
      <c r="EC506" s="15">
        <v>2.917E7</v>
      </c>
      <c r="ED506" s="15">
        <v>2.864E7</v>
      </c>
      <c r="EE506" s="17">
        <v>0.088</v>
      </c>
      <c r="EF506" s="17">
        <v>0.212</v>
      </c>
      <c r="EG506" s="17">
        <v>0.701</v>
      </c>
      <c r="EH506" s="17">
        <v>-0.027</v>
      </c>
    </row>
    <row r="507">
      <c r="A507" s="9">
        <f t="shared" si="2"/>
        <v>505</v>
      </c>
      <c r="B507" s="10" t="s">
        <v>642</v>
      </c>
      <c r="C507" s="11"/>
      <c r="D507" s="11"/>
      <c r="E507" s="11">
        <v>5.0825E8</v>
      </c>
      <c r="F507" s="11">
        <v>6.3557E8</v>
      </c>
      <c r="G507" s="11">
        <v>7.266E8</v>
      </c>
      <c r="H507" s="11">
        <v>5.3694E8</v>
      </c>
      <c r="I507" s="11">
        <v>6.2342E8</v>
      </c>
      <c r="J507" s="11">
        <v>1.8216E8</v>
      </c>
      <c r="K507" s="11">
        <v>2.6581E8</v>
      </c>
      <c r="L507" s="11">
        <v>3.282E8</v>
      </c>
      <c r="M507" s="11">
        <v>2.3353E8</v>
      </c>
      <c r="N507" s="11">
        <v>2.9651E8</v>
      </c>
      <c r="O507" s="11">
        <v>9.381E7</v>
      </c>
      <c r="P507" s="11">
        <v>1.0251E8</v>
      </c>
      <c r="Q507" s="11">
        <v>9.859E7</v>
      </c>
      <c r="R507" s="11">
        <v>8.031E7</v>
      </c>
      <c r="S507" s="11">
        <v>8.094E7</v>
      </c>
      <c r="T507" s="11">
        <v>5.132E7</v>
      </c>
      <c r="U507" s="11">
        <v>5.616E7</v>
      </c>
      <c r="V507" s="11">
        <v>5.296E7</v>
      </c>
      <c r="W507" s="11">
        <v>4.233E7</v>
      </c>
      <c r="X507" s="11">
        <v>3.457E7</v>
      </c>
      <c r="Y507" s="11">
        <v>8.592E7</v>
      </c>
      <c r="Z507" s="11">
        <v>1.8838E8</v>
      </c>
      <c r="AA507" s="11"/>
      <c r="AB507" s="11"/>
      <c r="AC507" s="11"/>
      <c r="AD507" s="11">
        <v>1.0084E8</v>
      </c>
      <c r="AE507" s="11">
        <v>2.0854E8</v>
      </c>
      <c r="AF507" s="11">
        <v>2.4953E8</v>
      </c>
      <c r="AG507" s="11">
        <v>1.6883E8</v>
      </c>
      <c r="AH507" s="11">
        <v>2.2936E8</v>
      </c>
      <c r="AI507" s="11">
        <v>1.3426E8</v>
      </c>
      <c r="AJ507" s="11">
        <v>2.0301E8</v>
      </c>
      <c r="AK507" s="11">
        <v>2.6379E8</v>
      </c>
      <c r="AL507" s="11">
        <v>1.7975E8</v>
      </c>
      <c r="AM507" s="11">
        <v>2.3667E8</v>
      </c>
      <c r="AN507" s="11">
        <v>7.337E7</v>
      </c>
      <c r="AO507" s="11">
        <v>1.5416E8</v>
      </c>
      <c r="AP507" s="11">
        <v>1.8196E8</v>
      </c>
      <c r="AQ507" s="11">
        <v>1.277E8</v>
      </c>
      <c r="AR507" s="11">
        <v>1.597E8</v>
      </c>
      <c r="AS507" s="11">
        <v>1.4487E8</v>
      </c>
      <c r="AT507" s="11">
        <v>1.7774E8</v>
      </c>
      <c r="AU507" s="11">
        <v>1.7599E8</v>
      </c>
      <c r="AV507" s="11">
        <v>1.2171E8</v>
      </c>
      <c r="AW507" s="11">
        <v>1.4063E8</v>
      </c>
      <c r="AX507" s="11">
        <v>-7.543E7</v>
      </c>
      <c r="AY507" s="11">
        <v>-1.2532E8</v>
      </c>
      <c r="AZ507" s="11">
        <v>-1.0302E8</v>
      </c>
      <c r="BA507" s="11">
        <v>-8.751E7</v>
      </c>
      <c r="BB507" s="11">
        <v>-1.0201E8</v>
      </c>
      <c r="BC507" s="11">
        <v>-1.0255E8</v>
      </c>
      <c r="BD507" s="11">
        <v>-1.7357E8</v>
      </c>
      <c r="BE507" s="11">
        <v>-9.2E7</v>
      </c>
      <c r="BF507" s="11">
        <v>-7.651E7</v>
      </c>
      <c r="BG507" s="11">
        <v>-1.5124E8</v>
      </c>
      <c r="BH507" s="11">
        <v>5.3256E8</v>
      </c>
      <c r="BI507" s="11">
        <v>6.2216E8</v>
      </c>
      <c r="BJ507" s="11">
        <v>7.4733E8</v>
      </c>
      <c r="BK507" s="11">
        <v>7.7476E8</v>
      </c>
      <c r="BL507" s="11">
        <v>8.3166E8</v>
      </c>
      <c r="BM507" s="11">
        <v>8.444E7</v>
      </c>
      <c r="BN507" s="11">
        <v>1.0508E8</v>
      </c>
      <c r="BO507" s="11">
        <v>1.7404E8</v>
      </c>
      <c r="BP507" s="11">
        <v>1.2079E8</v>
      </c>
      <c r="BQ507" s="11">
        <v>1.0031E8</v>
      </c>
      <c r="BR507" s="11">
        <v>1.4255E8</v>
      </c>
      <c r="BS507" s="11">
        <v>1.5615E8</v>
      </c>
      <c r="BT507" s="11">
        <v>1.5012E8</v>
      </c>
      <c r="BU507" s="11">
        <v>1.1834E8</v>
      </c>
      <c r="BV507" s="11">
        <v>1.0307E8</v>
      </c>
      <c r="BW507" s="11">
        <v>7.7038E8</v>
      </c>
      <c r="BX507" s="11">
        <v>9.0768E8</v>
      </c>
      <c r="BY507" s="11"/>
      <c r="BZ507" s="11"/>
      <c r="CA507" s="11"/>
      <c r="CB507" s="11">
        <v>5.9714E8</v>
      </c>
      <c r="CC507" s="11">
        <v>5.7458E8</v>
      </c>
      <c r="CD507" s="11">
        <v>4.8588E8</v>
      </c>
      <c r="CE507" s="11">
        <v>4.0639E8</v>
      </c>
      <c r="CF507" s="11">
        <v>3.5206E8</v>
      </c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>
        <v>2.697E7</v>
      </c>
      <c r="CR507" s="11">
        <v>3.657E7</v>
      </c>
      <c r="CS507" s="11">
        <v>5.29E7</v>
      </c>
      <c r="CT507" s="11">
        <v>3.601E7</v>
      </c>
      <c r="CU507" s="11">
        <v>2.482E7</v>
      </c>
      <c r="CV507" s="11">
        <v>1.0096E8</v>
      </c>
      <c r="CW507" s="11"/>
      <c r="CX507" s="13"/>
      <c r="CY507" s="13"/>
      <c r="CZ507" s="13"/>
      <c r="DA507" s="13"/>
      <c r="DB507" s="11">
        <v>1.0096E8</v>
      </c>
      <c r="DC507" s="11">
        <v>1.3507E8</v>
      </c>
      <c r="DD507" s="11">
        <v>1.901E8</v>
      </c>
      <c r="DE507" s="11">
        <v>1.2072E8</v>
      </c>
      <c r="DF507" s="11">
        <v>1.4963E8</v>
      </c>
      <c r="DG507" s="11">
        <v>1.8019E8</v>
      </c>
      <c r="DH507" s="11">
        <v>2.606E8</v>
      </c>
      <c r="DI507" s="11">
        <v>1.9531E8</v>
      </c>
      <c r="DJ507" s="11">
        <v>1.7799E8</v>
      </c>
      <c r="DK507" s="11">
        <v>8.334E7</v>
      </c>
      <c r="DL507" s="11">
        <v>8.667E7</v>
      </c>
      <c r="DM507" s="11">
        <v>8.995E7</v>
      </c>
      <c r="DN507" s="11">
        <v>7.219E7</v>
      </c>
      <c r="DO507" s="11">
        <v>6.581E7</v>
      </c>
      <c r="DP507" s="11">
        <v>966000.0</v>
      </c>
      <c r="DQ507" s="11"/>
      <c r="DR507" s="11"/>
      <c r="DS507" s="11"/>
      <c r="DT507" s="11"/>
      <c r="DU507" s="13"/>
      <c r="DV507" s="12"/>
      <c r="DW507" s="12"/>
      <c r="DX507" s="12"/>
      <c r="DY507" s="13"/>
      <c r="DZ507" s="11"/>
      <c r="EA507" s="11"/>
      <c r="EB507" s="11"/>
      <c r="EC507" s="11"/>
      <c r="ED507" s="11"/>
      <c r="EE507" s="14"/>
      <c r="EF507" s="14"/>
      <c r="EG507" s="29" t="s">
        <v>155</v>
      </c>
      <c r="EH507" s="14"/>
    </row>
    <row r="508">
      <c r="A508" s="9">
        <f t="shared" si="2"/>
        <v>506</v>
      </c>
      <c r="B508" s="10" t="s">
        <v>643</v>
      </c>
      <c r="C508" s="15">
        <v>494410.0</v>
      </c>
      <c r="D508" s="15">
        <v>512250.0</v>
      </c>
      <c r="E508" s="15">
        <v>595940.0</v>
      </c>
      <c r="F508" s="15">
        <v>606540.0</v>
      </c>
      <c r="G508" s="15">
        <v>541500.0</v>
      </c>
      <c r="H508" s="15">
        <v>544380.0</v>
      </c>
      <c r="I508" s="15">
        <v>545880.0</v>
      </c>
      <c r="J508" s="15">
        <v>188340.0</v>
      </c>
      <c r="K508" s="15">
        <v>208570.0</v>
      </c>
      <c r="L508" s="15">
        <v>187710.0</v>
      </c>
      <c r="M508" s="15">
        <v>221660.0</v>
      </c>
      <c r="N508" s="15">
        <v>192830.0</v>
      </c>
      <c r="O508" s="15">
        <v>182510.0</v>
      </c>
      <c r="P508" s="15">
        <v>195220.0</v>
      </c>
      <c r="Q508" s="15">
        <v>174060.0</v>
      </c>
      <c r="R508" s="15">
        <v>192170.0</v>
      </c>
      <c r="S508" s="15">
        <v>182930.0</v>
      </c>
      <c r="T508" s="15"/>
      <c r="U508" s="15"/>
      <c r="V508" s="15"/>
      <c r="W508" s="15"/>
      <c r="X508" s="15"/>
      <c r="Y508" s="15">
        <v>-15940.0</v>
      </c>
      <c r="Z508" s="15">
        <v>-12080.0</v>
      </c>
      <c r="AA508" s="15">
        <v>-13220.0</v>
      </c>
      <c r="AB508" s="15">
        <v>12970.0</v>
      </c>
      <c r="AC508" s="15">
        <v>-4210.0</v>
      </c>
      <c r="AD508" s="15">
        <v>-33480.0</v>
      </c>
      <c r="AE508" s="15">
        <v>-968.0</v>
      </c>
      <c r="AF508" s="15">
        <v>37370.0</v>
      </c>
      <c r="AG508" s="15">
        <v>9920.0</v>
      </c>
      <c r="AH508" s="15">
        <v>1050.0</v>
      </c>
      <c r="AI508" s="15">
        <v>39500.0</v>
      </c>
      <c r="AJ508" s="15">
        <v>46210.0</v>
      </c>
      <c r="AK508" s="15">
        <v>36620.0</v>
      </c>
      <c r="AL508" s="15">
        <v>50270.0</v>
      </c>
      <c r="AM508" s="15">
        <v>34080.0</v>
      </c>
      <c r="AN508" s="15">
        <v>-73600.0</v>
      </c>
      <c r="AO508" s="15">
        <v>-18280.0</v>
      </c>
      <c r="AP508" s="15">
        <v>22550.0</v>
      </c>
      <c r="AQ508" s="15">
        <v>89920.0</v>
      </c>
      <c r="AR508" s="15">
        <v>652.0</v>
      </c>
      <c r="AS508" s="15">
        <v>34400.0</v>
      </c>
      <c r="AT508" s="15">
        <v>8280.0</v>
      </c>
      <c r="AU508" s="15">
        <v>16600.0</v>
      </c>
      <c r="AV508" s="15">
        <v>27980.0</v>
      </c>
      <c r="AW508" s="15">
        <v>28660.0</v>
      </c>
      <c r="AX508" s="15">
        <v>-34760.0</v>
      </c>
      <c r="AY508" s="15">
        <v>-37020.0</v>
      </c>
      <c r="AZ508" s="15">
        <v>-84950.0</v>
      </c>
      <c r="BA508" s="15">
        <v>-50480.0</v>
      </c>
      <c r="BB508" s="15">
        <v>-19220.0</v>
      </c>
      <c r="BC508" s="13"/>
      <c r="BD508" s="13"/>
      <c r="BE508" s="13"/>
      <c r="BF508" s="13"/>
      <c r="BG508" s="13"/>
      <c r="BH508" s="15">
        <v>6980.0</v>
      </c>
      <c r="BI508" s="15">
        <v>2440.0</v>
      </c>
      <c r="BJ508" s="15">
        <v>6610.0</v>
      </c>
      <c r="BK508" s="15">
        <v>46690.0</v>
      </c>
      <c r="BL508" s="15">
        <v>39830.0</v>
      </c>
      <c r="BM508" s="15">
        <v>56350.0</v>
      </c>
      <c r="BN508" s="15">
        <v>58800.0</v>
      </c>
      <c r="BO508" s="15">
        <v>46760.0</v>
      </c>
      <c r="BP508" s="15">
        <v>44610.0</v>
      </c>
      <c r="BQ508" s="15">
        <v>40700.0</v>
      </c>
      <c r="BR508" s="15">
        <v>87910.0</v>
      </c>
      <c r="BS508" s="15">
        <v>104430.0</v>
      </c>
      <c r="BT508" s="15">
        <v>79790.0</v>
      </c>
      <c r="BU508" s="15">
        <v>46380.0</v>
      </c>
      <c r="BV508" s="15">
        <v>50520.0</v>
      </c>
      <c r="BW508" s="15">
        <v>159910.0</v>
      </c>
      <c r="BX508" s="15">
        <v>173510.0</v>
      </c>
      <c r="BY508" s="15">
        <v>140700.0</v>
      </c>
      <c r="BZ508" s="15">
        <v>153370.0</v>
      </c>
      <c r="CA508" s="15">
        <v>135690.0</v>
      </c>
      <c r="CB508" s="15">
        <v>189460.0</v>
      </c>
      <c r="CC508" s="15">
        <v>186590.0</v>
      </c>
      <c r="CD508" s="15">
        <v>176070.0</v>
      </c>
      <c r="CE508" s="15">
        <v>118420.0</v>
      </c>
      <c r="CF508" s="15">
        <v>90200.0</v>
      </c>
      <c r="CG508" s="15">
        <v>36220.0</v>
      </c>
      <c r="CH508" s="15">
        <v>36220.0</v>
      </c>
      <c r="CI508" s="15">
        <v>11000.0</v>
      </c>
      <c r="CJ508" s="15">
        <v>272.0</v>
      </c>
      <c r="CK508" s="15">
        <v>272.0</v>
      </c>
      <c r="CL508" s="15">
        <v>424610.0</v>
      </c>
      <c r="CM508" s="15">
        <v>475530.0</v>
      </c>
      <c r="CN508" s="15">
        <v>407150.0</v>
      </c>
      <c r="CO508" s="15">
        <v>368990.0</v>
      </c>
      <c r="CP508" s="15">
        <v>240940.0</v>
      </c>
      <c r="CQ508" s="15">
        <v>72770.0</v>
      </c>
      <c r="CR508" s="15">
        <v>56600.0</v>
      </c>
      <c r="CS508" s="15">
        <v>39780.0</v>
      </c>
      <c r="CT508" s="15">
        <v>23920.0</v>
      </c>
      <c r="CU508" s="15">
        <v>27020.0</v>
      </c>
      <c r="CV508" s="15">
        <v>96110.0</v>
      </c>
      <c r="CW508" s="15"/>
      <c r="CX508" s="15">
        <v>89790.0</v>
      </c>
      <c r="CY508" s="15">
        <v>27620.0</v>
      </c>
      <c r="CZ508" s="15">
        <v>109.0</v>
      </c>
      <c r="DA508" s="15">
        <v>78.0</v>
      </c>
      <c r="DB508" s="15">
        <v>96110.0</v>
      </c>
      <c r="DC508" s="15">
        <v>178460.0</v>
      </c>
      <c r="DD508" s="15">
        <v>97270.0</v>
      </c>
      <c r="DE508" s="15">
        <v>56840.0</v>
      </c>
      <c r="DF508" s="15">
        <v>267120.0</v>
      </c>
      <c r="DG508" s="15">
        <v>246480.0</v>
      </c>
      <c r="DH508" s="15">
        <v>177600.0</v>
      </c>
      <c r="DI508" s="15">
        <v>186400.0</v>
      </c>
      <c r="DJ508" s="15">
        <v>150930.0</v>
      </c>
      <c r="DK508" s="15">
        <v>674.0</v>
      </c>
      <c r="DL508" s="15"/>
      <c r="DM508" s="15"/>
      <c r="DN508" s="15"/>
      <c r="DO508" s="15"/>
      <c r="DP508" s="15">
        <v>92000.0</v>
      </c>
      <c r="DQ508" s="15">
        <v>58.0</v>
      </c>
      <c r="DR508" s="15">
        <v>237.0</v>
      </c>
      <c r="DS508" s="15">
        <v>1040.0</v>
      </c>
      <c r="DT508" s="15">
        <v>2600.0</v>
      </c>
      <c r="DU508" s="13">
        <v>15.0</v>
      </c>
      <c r="DV508" s="12">
        <v>15.0</v>
      </c>
      <c r="DW508" s="12"/>
      <c r="DX508" s="13"/>
      <c r="DY508" s="13"/>
      <c r="DZ508" s="15">
        <v>157490.0</v>
      </c>
      <c r="EA508" s="15">
        <v>229060.0</v>
      </c>
      <c r="EB508" s="15">
        <v>229550.0</v>
      </c>
      <c r="EC508" s="15">
        <v>182590.0</v>
      </c>
      <c r="ED508" s="15">
        <v>90010.0</v>
      </c>
      <c r="EE508" s="17">
        <v>0.004</v>
      </c>
      <c r="EF508" s="17">
        <v>0.133</v>
      </c>
      <c r="EG508" s="17">
        <v>-8.28</v>
      </c>
      <c r="EH508" s="17">
        <v>-1.028</v>
      </c>
    </row>
    <row r="509">
      <c r="A509" s="9">
        <f t="shared" si="2"/>
        <v>507</v>
      </c>
      <c r="B509" s="32" t="s">
        <v>644</v>
      </c>
      <c r="C509" s="11">
        <v>5890000.0</v>
      </c>
      <c r="D509" s="11">
        <v>5600000.0</v>
      </c>
      <c r="E509" s="11">
        <v>5330000.0</v>
      </c>
      <c r="F509" s="11">
        <v>4970000.0</v>
      </c>
      <c r="G509" s="11">
        <v>4390000.0</v>
      </c>
      <c r="H509" s="11">
        <v>3960000.0</v>
      </c>
      <c r="I509" s="11">
        <v>3870000.0</v>
      </c>
      <c r="J509" s="11">
        <v>2520000.0</v>
      </c>
      <c r="K509" s="11">
        <v>2400000.0</v>
      </c>
      <c r="L509" s="11">
        <v>2160000.0</v>
      </c>
      <c r="M509" s="11">
        <v>1960000.0</v>
      </c>
      <c r="N509" s="11">
        <v>1950000.0</v>
      </c>
      <c r="O509" s="11">
        <v>1460000.0</v>
      </c>
      <c r="P509" s="11">
        <v>1400000.0</v>
      </c>
      <c r="Q509" s="11">
        <v>1280000.0</v>
      </c>
      <c r="R509" s="11">
        <v>1170000.0</v>
      </c>
      <c r="S509" s="11">
        <v>1120000.0</v>
      </c>
      <c r="T509" s="11"/>
      <c r="U509" s="11"/>
      <c r="V509" s="11"/>
      <c r="W509" s="11"/>
      <c r="X509" s="11"/>
      <c r="Y509" s="11"/>
      <c r="Z509" s="12"/>
      <c r="AA509" s="11"/>
      <c r="AB509" s="12"/>
      <c r="AC509" s="11"/>
      <c r="AD509" s="11">
        <v>1040000.0</v>
      </c>
      <c r="AE509" s="11">
        <v>987000.0</v>
      </c>
      <c r="AF509" s="11">
        <v>873100.0</v>
      </c>
      <c r="AG509" s="11">
        <v>789730.0</v>
      </c>
      <c r="AH509" s="11">
        <v>826020.0</v>
      </c>
      <c r="AI509" s="11">
        <v>1200000.0</v>
      </c>
      <c r="AJ509" s="11">
        <v>1140000.0</v>
      </c>
      <c r="AK509" s="11">
        <v>1010000.0</v>
      </c>
      <c r="AL509" s="11">
        <v>899360.0</v>
      </c>
      <c r="AM509" s="11">
        <v>913940.0</v>
      </c>
      <c r="AN509" s="11">
        <v>790900.0</v>
      </c>
      <c r="AO509" s="11">
        <v>751900.0</v>
      </c>
      <c r="AP509" s="11">
        <v>578600.0</v>
      </c>
      <c r="AQ509" s="11">
        <v>499480.0</v>
      </c>
      <c r="AR509" s="11">
        <v>516360.0</v>
      </c>
      <c r="AS509" s="11">
        <v>842700.0</v>
      </c>
      <c r="AT509" s="11">
        <v>674200.0</v>
      </c>
      <c r="AU509" s="11">
        <v>585200.0</v>
      </c>
      <c r="AV509" s="11">
        <v>514000.0</v>
      </c>
      <c r="AW509" s="11">
        <v>546940.0</v>
      </c>
      <c r="AX509" s="11">
        <v>-246400.0</v>
      </c>
      <c r="AY509" s="11">
        <v>-176300.0</v>
      </c>
      <c r="AZ509" s="11">
        <v>-119900.0</v>
      </c>
      <c r="BA509" s="11">
        <v>-189450.0</v>
      </c>
      <c r="BB509" s="11">
        <v>-155170.0</v>
      </c>
      <c r="BC509" s="11">
        <v>-498600.0</v>
      </c>
      <c r="BD509" s="11">
        <v>-441900.0</v>
      </c>
      <c r="BE509" s="11">
        <v>-369100.0</v>
      </c>
      <c r="BF509" s="11">
        <v>-346590.0</v>
      </c>
      <c r="BG509" s="11">
        <v>-327100.0</v>
      </c>
      <c r="BH509" s="11">
        <v>174900.0</v>
      </c>
      <c r="BI509" s="11">
        <v>167200.0</v>
      </c>
      <c r="BJ509" s="11">
        <v>116900.0</v>
      </c>
      <c r="BK509" s="11">
        <v>112740.0</v>
      </c>
      <c r="BL509" s="11">
        <v>129020.0</v>
      </c>
      <c r="BM509" s="11">
        <v>741800.0</v>
      </c>
      <c r="BN509" s="11">
        <v>714300.0</v>
      </c>
      <c r="BO509" s="11">
        <v>607800.0</v>
      </c>
      <c r="BP509" s="11">
        <v>499720.0</v>
      </c>
      <c r="BQ509" s="11">
        <v>468380.0</v>
      </c>
      <c r="BR509" s="11">
        <v>1370000.0</v>
      </c>
      <c r="BS509" s="11">
        <v>1280000.0</v>
      </c>
      <c r="BT509" s="11">
        <v>1090000.0</v>
      </c>
      <c r="BU509" s="11">
        <v>992990.0</v>
      </c>
      <c r="BV509" s="11">
        <v>913260.0</v>
      </c>
      <c r="BW509" s="11">
        <v>2460000.0</v>
      </c>
      <c r="BX509" s="11">
        <v>2320000.0</v>
      </c>
      <c r="BY509" s="11">
        <v>1940000.0</v>
      </c>
      <c r="BZ509" s="11">
        <v>1720000.0</v>
      </c>
      <c r="CA509" s="11">
        <v>1660000.0</v>
      </c>
      <c r="CB509" s="11">
        <v>1270000.0</v>
      </c>
      <c r="CC509" s="11">
        <v>924800.0</v>
      </c>
      <c r="CD509" s="11">
        <v>893600.0</v>
      </c>
      <c r="CE509" s="11">
        <v>899700.0</v>
      </c>
      <c r="CF509" s="11">
        <v>818890.0</v>
      </c>
      <c r="CG509" s="12"/>
      <c r="CH509" s="12"/>
      <c r="CI509" s="12"/>
      <c r="CJ509" s="12"/>
      <c r="CK509" s="12"/>
      <c r="CL509" s="11">
        <v>3800000.0</v>
      </c>
      <c r="CM509" s="11">
        <v>3320000.0</v>
      </c>
      <c r="CN509" s="11">
        <v>2910000.0</v>
      </c>
      <c r="CO509" s="11">
        <v>2670000.0</v>
      </c>
      <c r="CP509" s="11">
        <v>2530000.0</v>
      </c>
      <c r="CQ509" s="11">
        <v>192800.0</v>
      </c>
      <c r="CR509" s="11">
        <v>193600.0</v>
      </c>
      <c r="CS509" s="11">
        <v>147500.0</v>
      </c>
      <c r="CT509" s="11">
        <v>108740.0</v>
      </c>
      <c r="CU509" s="11">
        <v>125970.0</v>
      </c>
      <c r="CV509" s="11">
        <v>544700.0</v>
      </c>
      <c r="CW509" s="11">
        <v>97400.0</v>
      </c>
      <c r="CX509" s="13"/>
      <c r="CY509" s="13"/>
      <c r="CZ509" s="13"/>
      <c r="DA509" s="12"/>
      <c r="DB509" s="11">
        <v>544700.0</v>
      </c>
      <c r="DC509" s="11">
        <v>437400.0</v>
      </c>
      <c r="DD509" s="11">
        <v>351000.0</v>
      </c>
      <c r="DE509" s="11">
        <v>275640.0</v>
      </c>
      <c r="DF509" s="11">
        <v>1130000.0</v>
      </c>
      <c r="DG509" s="11">
        <v>1020000.0</v>
      </c>
      <c r="DH509" s="11">
        <v>813600.0</v>
      </c>
      <c r="DI509" s="11">
        <v>735790.0</v>
      </c>
      <c r="DJ509" s="11">
        <v>731170.0</v>
      </c>
      <c r="DK509" s="12"/>
      <c r="DL509" s="12"/>
      <c r="DM509" s="12"/>
      <c r="DN509" s="12"/>
      <c r="DO509" s="12"/>
      <c r="DP509" s="11">
        <v>490200.0</v>
      </c>
      <c r="DQ509" s="11">
        <v>497000.0</v>
      </c>
      <c r="DR509" s="11">
        <v>412000.0</v>
      </c>
      <c r="DS509" s="11">
        <v>379520.0</v>
      </c>
      <c r="DT509" s="11">
        <v>302950.0</v>
      </c>
      <c r="DU509" s="13"/>
      <c r="DV509" s="12"/>
      <c r="DW509" s="12"/>
      <c r="DX509" s="13"/>
      <c r="DY509" s="13"/>
      <c r="DZ509" s="11">
        <v>2670000.0</v>
      </c>
      <c r="EA509" s="11">
        <v>2300000.0</v>
      </c>
      <c r="EB509" s="11">
        <v>2100000.0</v>
      </c>
      <c r="EC509" s="11">
        <v>1930000.0</v>
      </c>
      <c r="ED509" s="11">
        <v>1800000.0</v>
      </c>
      <c r="EE509" s="14">
        <v>0.068</v>
      </c>
      <c r="EF509" s="14">
        <v>0.107</v>
      </c>
      <c r="EG509" s="14">
        <v>0.167</v>
      </c>
      <c r="EH509" s="14">
        <v>0.063</v>
      </c>
    </row>
    <row r="510">
      <c r="A510" s="9">
        <f t="shared" si="2"/>
        <v>508</v>
      </c>
      <c r="B510" s="22" t="s">
        <v>645</v>
      </c>
      <c r="C510" s="11">
        <v>14900.0</v>
      </c>
      <c r="D510" s="11">
        <v>18820.0</v>
      </c>
      <c r="E510" s="11">
        <v>10680.0</v>
      </c>
      <c r="F510" s="11">
        <v>4740.0</v>
      </c>
      <c r="G510" s="11">
        <v>4110.0</v>
      </c>
      <c r="H510" s="11">
        <v>4400.0</v>
      </c>
      <c r="I510" s="11">
        <v>2430.0</v>
      </c>
      <c r="J510" s="12"/>
      <c r="K510" s="12"/>
      <c r="L510" s="12"/>
      <c r="M510" s="12"/>
      <c r="N510" s="12"/>
      <c r="O510" s="11">
        <v>109210.0</v>
      </c>
      <c r="P510" s="11">
        <v>70630.0</v>
      </c>
      <c r="Q510" s="11">
        <v>45260.0</v>
      </c>
      <c r="R510" s="11">
        <v>35480.0</v>
      </c>
      <c r="S510" s="11">
        <v>29530.0</v>
      </c>
      <c r="T510" s="11">
        <v>85580.0</v>
      </c>
      <c r="U510" s="11">
        <v>54820.0</v>
      </c>
      <c r="V510" s="11">
        <v>33390.0</v>
      </c>
      <c r="W510" s="11">
        <v>25570.0</v>
      </c>
      <c r="X510" s="11">
        <v>19170.0</v>
      </c>
      <c r="Y510" s="12"/>
      <c r="Z510" s="12"/>
      <c r="AA510" s="11">
        <v>-42240.0</v>
      </c>
      <c r="AB510" s="12"/>
      <c r="AC510" s="12"/>
      <c r="AD510" s="11">
        <v>-98150.0</v>
      </c>
      <c r="AE510" s="11">
        <v>-66600.0</v>
      </c>
      <c r="AF510" s="11">
        <v>-42950.0</v>
      </c>
      <c r="AG510" s="11">
        <v>-33460.0</v>
      </c>
      <c r="AH510" s="11">
        <v>-29990.0</v>
      </c>
      <c r="AI510" s="11">
        <v>-98530.0</v>
      </c>
      <c r="AJ510" s="11">
        <v>-65890.0</v>
      </c>
      <c r="AK510" s="11">
        <v>-41150.0</v>
      </c>
      <c r="AL510" s="11">
        <v>-31080.0</v>
      </c>
      <c r="AM510" s="11">
        <v>-27100.0</v>
      </c>
      <c r="AN510" s="11">
        <v>-98150.0</v>
      </c>
      <c r="AO510" s="11">
        <v>-66600.0</v>
      </c>
      <c r="AP510" s="11">
        <v>-42950.0</v>
      </c>
      <c r="AQ510" s="11">
        <v>-33460.0</v>
      </c>
      <c r="AR510" s="11">
        <v>-29990.0</v>
      </c>
      <c r="AS510" s="11">
        <v>-83180.0</v>
      </c>
      <c r="AT510" s="11">
        <v>-38650.0</v>
      </c>
      <c r="AU510" s="11">
        <v>-36910.0</v>
      </c>
      <c r="AV510" s="11">
        <v>-29820.0</v>
      </c>
      <c r="AW510" s="11">
        <v>-18400.0</v>
      </c>
      <c r="AX510" s="11">
        <v>-7400.0</v>
      </c>
      <c r="AY510" s="11">
        <v>-2300.0</v>
      </c>
      <c r="AZ510" s="11">
        <v>-1730.0</v>
      </c>
      <c r="BA510" s="11">
        <v>-457.0</v>
      </c>
      <c r="BB510" s="11">
        <v>-1500.0</v>
      </c>
      <c r="BC510" s="12"/>
      <c r="BD510" s="12"/>
      <c r="BE510" s="12"/>
      <c r="BF510" s="12"/>
      <c r="BG510" s="12"/>
      <c r="BH510" s="11">
        <v>221430.0</v>
      </c>
      <c r="BI510" s="11">
        <v>201010.0</v>
      </c>
      <c r="BJ510" s="11">
        <v>100950.0</v>
      </c>
      <c r="BK510" s="11">
        <v>92110.0</v>
      </c>
      <c r="BL510" s="11">
        <v>64810.0</v>
      </c>
      <c r="BM510" s="12"/>
      <c r="BN510" s="11">
        <v>500.0</v>
      </c>
      <c r="BO510" s="12"/>
      <c r="BP510" s="12"/>
      <c r="BQ510" s="12"/>
      <c r="BR510" s="12"/>
      <c r="BS510" s="12"/>
      <c r="BT510" s="12"/>
      <c r="BU510" s="12"/>
      <c r="BV510" s="12"/>
      <c r="BW510" s="11">
        <v>227090.0</v>
      </c>
      <c r="BX510" s="11">
        <v>205200.0</v>
      </c>
      <c r="BY510" s="11">
        <v>102600.0</v>
      </c>
      <c r="BZ510" s="11">
        <v>93320.0</v>
      </c>
      <c r="CA510" s="11">
        <v>65650.0</v>
      </c>
      <c r="CB510" s="11">
        <v>34170.0</v>
      </c>
      <c r="CC510" s="11">
        <v>5130.0</v>
      </c>
      <c r="CD510" s="11">
        <v>2550.0</v>
      </c>
      <c r="CE510" s="11">
        <v>1580.0</v>
      </c>
      <c r="CF510" s="11">
        <v>2160.0</v>
      </c>
      <c r="CG510" s="12"/>
      <c r="CH510" s="12"/>
      <c r="CI510" s="12"/>
      <c r="CJ510" s="12"/>
      <c r="CK510" s="12"/>
      <c r="CL510" s="11">
        <v>302270.0</v>
      </c>
      <c r="CM510" s="11">
        <v>213030.0</v>
      </c>
      <c r="CN510" s="11">
        <v>105290.0</v>
      </c>
      <c r="CO510" s="11">
        <v>95050.0</v>
      </c>
      <c r="CP510" s="11">
        <v>67960.0</v>
      </c>
      <c r="CQ510" s="11">
        <v>5820.0</v>
      </c>
      <c r="CR510" s="11">
        <v>4210.0</v>
      </c>
      <c r="CS510" s="11">
        <v>1680.0</v>
      </c>
      <c r="CT510" s="11">
        <v>934.0</v>
      </c>
      <c r="CU510" s="12"/>
      <c r="CV510" s="11">
        <v>27810.0</v>
      </c>
      <c r="CW510" s="11">
        <v>1690.0</v>
      </c>
      <c r="CX510" s="12"/>
      <c r="CY510" s="12"/>
      <c r="CZ510" s="12"/>
      <c r="DA510" s="12"/>
      <c r="DB510" s="11">
        <v>27810.0</v>
      </c>
      <c r="DC510" s="11">
        <v>27260.0</v>
      </c>
      <c r="DD510" s="11">
        <v>11050.0</v>
      </c>
      <c r="DE510" s="11">
        <v>15190.0</v>
      </c>
      <c r="DF510" s="11">
        <v>57520.0</v>
      </c>
      <c r="DG510" s="11">
        <v>52560.0</v>
      </c>
      <c r="DH510" s="11">
        <v>28100.0</v>
      </c>
      <c r="DI510" s="11">
        <v>21890.0</v>
      </c>
      <c r="DJ510" s="11">
        <v>29920.0</v>
      </c>
      <c r="DK510" s="11">
        <v>39670.0</v>
      </c>
      <c r="DL510" s="11">
        <v>227.0</v>
      </c>
      <c r="DM510" s="11">
        <v>122.0</v>
      </c>
      <c r="DN510" s="11">
        <v>122.0</v>
      </c>
      <c r="DO510" s="24">
        <v>122.0</v>
      </c>
      <c r="DP510" s="11">
        <v>25240.0</v>
      </c>
      <c r="DQ510" s="11">
        <v>12450.0</v>
      </c>
      <c r="DR510" s="11">
        <v>14810.0</v>
      </c>
      <c r="DS510" s="11">
        <v>2500.0</v>
      </c>
      <c r="DT510" s="11">
        <v>10690.0</v>
      </c>
      <c r="DU510" s="24">
        <v>3.0</v>
      </c>
      <c r="DV510" s="11">
        <v>3.0</v>
      </c>
      <c r="DW510" s="11">
        <v>3.0</v>
      </c>
      <c r="DX510" s="24">
        <v>3.0</v>
      </c>
      <c r="DY510" s="13"/>
      <c r="DZ510" s="11">
        <v>244760.0</v>
      </c>
      <c r="EA510" s="11">
        <v>160470.0</v>
      </c>
      <c r="EB510" s="11">
        <v>77190.0</v>
      </c>
      <c r="EC510" s="11">
        <v>73150.0</v>
      </c>
      <c r="ED510" s="11">
        <v>38040.0</v>
      </c>
      <c r="EE510" s="14">
        <v>2.391</v>
      </c>
      <c r="EF510" s="23"/>
      <c r="EG510" s="14">
        <v>-0.296</v>
      </c>
      <c r="EH510" s="14">
        <v>-0.107</v>
      </c>
    </row>
    <row r="511">
      <c r="A511" s="9">
        <f t="shared" si="2"/>
        <v>509</v>
      </c>
      <c r="B511" s="32" t="s">
        <v>646</v>
      </c>
      <c r="C511" s="11">
        <v>5780000.0</v>
      </c>
      <c r="D511" s="11">
        <v>5420000.0</v>
      </c>
      <c r="E511" s="11">
        <v>5760000.0</v>
      </c>
      <c r="F511" s="11">
        <v>5490000.0</v>
      </c>
      <c r="G511" s="11">
        <v>5280000.0</v>
      </c>
      <c r="H511" s="11">
        <v>4980000.0</v>
      </c>
      <c r="I511" s="11">
        <v>4580000.0</v>
      </c>
      <c r="J511" s="11">
        <v>2010000.0</v>
      </c>
      <c r="K511" s="11">
        <v>1930000.0</v>
      </c>
      <c r="L511" s="11">
        <v>1900000.0</v>
      </c>
      <c r="M511" s="11">
        <v>1780000.0</v>
      </c>
      <c r="N511" s="11">
        <v>1560000.0</v>
      </c>
      <c r="O511" s="11">
        <v>1260000.0</v>
      </c>
      <c r="P511" s="11">
        <v>1240000.0</v>
      </c>
      <c r="Q511" s="11">
        <v>1190000.0</v>
      </c>
      <c r="R511" s="11">
        <v>1130000.0</v>
      </c>
      <c r="S511" s="11">
        <v>1050000.0</v>
      </c>
      <c r="T511" s="11">
        <v>48200.0</v>
      </c>
      <c r="U511" s="11">
        <v>50300.0</v>
      </c>
      <c r="V511" s="11">
        <v>50700.0</v>
      </c>
      <c r="W511" s="11">
        <v>53100.0</v>
      </c>
      <c r="X511" s="11">
        <v>48700.0</v>
      </c>
      <c r="Y511" s="11">
        <v>695500.0</v>
      </c>
      <c r="Z511" s="11">
        <v>600700.0</v>
      </c>
      <c r="AA511" s="11">
        <v>-30700.0</v>
      </c>
      <c r="AB511" s="11">
        <v>638200.0</v>
      </c>
      <c r="AC511" s="11">
        <v>-14500.0</v>
      </c>
      <c r="AD511" s="11">
        <v>575300.0</v>
      </c>
      <c r="AE511" s="11">
        <v>537000.0</v>
      </c>
      <c r="AF511" s="11">
        <v>634800.0</v>
      </c>
      <c r="AG511" s="11">
        <v>582100.0</v>
      </c>
      <c r="AH511" s="11">
        <v>459900.0</v>
      </c>
      <c r="AI511" s="11">
        <v>939300.0</v>
      </c>
      <c r="AJ511" s="11">
        <v>840800.0</v>
      </c>
      <c r="AK511" s="11">
        <v>836000.0</v>
      </c>
      <c r="AL511" s="11">
        <v>778200.0</v>
      </c>
      <c r="AM511" s="11">
        <v>630300.0</v>
      </c>
      <c r="AN511" s="11">
        <v>431900.0</v>
      </c>
      <c r="AO511" s="11">
        <v>389800.0</v>
      </c>
      <c r="AP511" s="11">
        <v>475200.0</v>
      </c>
      <c r="AQ511" s="11">
        <v>412400.0</v>
      </c>
      <c r="AR511" s="11">
        <v>306000.0</v>
      </c>
      <c r="AS511" s="11">
        <v>637200.0</v>
      </c>
      <c r="AT511" s="11">
        <v>604000.0</v>
      </c>
      <c r="AU511" s="11">
        <v>600300.0</v>
      </c>
      <c r="AV511" s="11">
        <v>650500.0</v>
      </c>
      <c r="AW511" s="11">
        <v>429200.0</v>
      </c>
      <c r="AX511" s="11">
        <v>-131800.0</v>
      </c>
      <c r="AY511" s="11">
        <v>-150100.0</v>
      </c>
      <c r="AZ511" s="11">
        <v>-165000.0</v>
      </c>
      <c r="BA511" s="11">
        <v>-149300.0</v>
      </c>
      <c r="BB511" s="11">
        <v>-128500.0</v>
      </c>
      <c r="BC511" s="11">
        <v>-123000.0</v>
      </c>
      <c r="BD511" s="11">
        <v>-115200.0</v>
      </c>
      <c r="BE511" s="11">
        <v>-110300.0</v>
      </c>
      <c r="BF511" s="11">
        <v>-98200.0</v>
      </c>
      <c r="BG511" s="11">
        <v>-89500.0</v>
      </c>
      <c r="BH511" s="11">
        <v>388800.0</v>
      </c>
      <c r="BI511" s="11">
        <v>263800.0</v>
      </c>
      <c r="BJ511" s="11">
        <v>323000.0</v>
      </c>
      <c r="BK511" s="11">
        <v>251500.0</v>
      </c>
      <c r="BL511" s="11">
        <v>238500.0</v>
      </c>
      <c r="BM511" s="11">
        <v>624800.0</v>
      </c>
      <c r="BN511" s="11">
        <v>571700.0</v>
      </c>
      <c r="BO511" s="11">
        <v>555300.0</v>
      </c>
      <c r="BP511" s="11">
        <v>550700.0</v>
      </c>
      <c r="BQ511" s="11">
        <v>502600.0</v>
      </c>
      <c r="BR511" s="11">
        <v>718600.0</v>
      </c>
      <c r="BS511" s="11">
        <v>678900.0</v>
      </c>
      <c r="BT511" s="11">
        <v>580800.0</v>
      </c>
      <c r="BU511" s="11">
        <v>531100.0</v>
      </c>
      <c r="BV511" s="11">
        <v>555600.0</v>
      </c>
      <c r="BW511" s="11">
        <v>1900000.0</v>
      </c>
      <c r="BX511" s="11">
        <v>1690000.0</v>
      </c>
      <c r="BY511" s="11">
        <v>1600000.0</v>
      </c>
      <c r="BZ511" s="11">
        <v>1450000.0</v>
      </c>
      <c r="CA511" s="11">
        <v>1420000.0</v>
      </c>
      <c r="CB511" s="11">
        <v>989800.0</v>
      </c>
      <c r="CC511" s="11">
        <v>813400.0</v>
      </c>
      <c r="CD511" s="11">
        <v>740000.0</v>
      </c>
      <c r="CE511" s="11">
        <v>662500.0</v>
      </c>
      <c r="CF511" s="11">
        <v>627900.0</v>
      </c>
      <c r="CG511" s="11">
        <v>2090000.0</v>
      </c>
      <c r="CH511" s="11">
        <v>2080000.0</v>
      </c>
      <c r="CI511" s="11">
        <v>1910000.0</v>
      </c>
      <c r="CJ511" s="11">
        <v>1830000.0</v>
      </c>
      <c r="CK511" s="11">
        <v>1760000.0</v>
      </c>
      <c r="CL511" s="11">
        <v>6290000.0</v>
      </c>
      <c r="CM511" s="11">
        <v>5960000.0</v>
      </c>
      <c r="CN511" s="11">
        <v>5510000.0</v>
      </c>
      <c r="CO511" s="11">
        <v>5130000.0</v>
      </c>
      <c r="CP511" s="11">
        <v>4880000.0</v>
      </c>
      <c r="CQ511" s="11">
        <v>460000.0</v>
      </c>
      <c r="CR511" s="11">
        <v>459000.0</v>
      </c>
      <c r="CS511" s="11">
        <v>428800.0</v>
      </c>
      <c r="CT511" s="11">
        <v>393800.0</v>
      </c>
      <c r="CU511" s="11">
        <v>344200.0</v>
      </c>
      <c r="CV511" s="11">
        <v>1410000.0</v>
      </c>
      <c r="CW511" s="11">
        <v>33100.0</v>
      </c>
      <c r="CX511" s="12"/>
      <c r="CY511" s="12"/>
      <c r="CZ511" s="12"/>
      <c r="DA511" s="11">
        <v>800.0</v>
      </c>
      <c r="DB511" s="11">
        <v>1410000.0</v>
      </c>
      <c r="DC511" s="11">
        <v>1490000.0</v>
      </c>
      <c r="DD511" s="11">
        <v>906800.0</v>
      </c>
      <c r="DE511" s="11">
        <v>842800.0</v>
      </c>
      <c r="DF511" s="11">
        <v>3860000.0</v>
      </c>
      <c r="DG511" s="11">
        <v>3780000.0</v>
      </c>
      <c r="DH511" s="11">
        <v>2910000.0</v>
      </c>
      <c r="DI511" s="11">
        <v>2770000.0</v>
      </c>
      <c r="DJ511" s="11">
        <v>2420000.0</v>
      </c>
      <c r="DK511" s="11">
        <v>35300.0</v>
      </c>
      <c r="DL511" s="11">
        <v>35600.0</v>
      </c>
      <c r="DM511" s="11"/>
      <c r="DN511" s="12"/>
      <c r="DO511" s="13"/>
      <c r="DP511" s="11">
        <v>1920000.0</v>
      </c>
      <c r="DQ511" s="11">
        <v>1810000.0</v>
      </c>
      <c r="DR511" s="11">
        <v>1510000.0</v>
      </c>
      <c r="DS511" s="11">
        <v>1430000.0</v>
      </c>
      <c r="DT511" s="11">
        <v>1170000.0</v>
      </c>
      <c r="DU511" s="13"/>
      <c r="DV511" s="12"/>
      <c r="DW511" s="12"/>
      <c r="DX511" s="12"/>
      <c r="DY511" s="13"/>
      <c r="DZ511" s="11">
        <v>2430000.0</v>
      </c>
      <c r="EA511" s="11">
        <v>2180000.0</v>
      </c>
      <c r="EB511" s="11">
        <v>2600000.0</v>
      </c>
      <c r="EC511" s="11">
        <v>2360000.0</v>
      </c>
      <c r="ED511" s="11">
        <v>2450000.0</v>
      </c>
      <c r="EE511" s="14">
        <v>0.072</v>
      </c>
      <c r="EF511" s="14">
        <v>0.137</v>
      </c>
      <c r="EG511" s="14">
        <v>0.209</v>
      </c>
      <c r="EH511" s="14">
        <v>0.052</v>
      </c>
    </row>
    <row r="512">
      <c r="A512" s="9">
        <f t="shared" si="2"/>
        <v>510</v>
      </c>
      <c r="B512" s="22" t="s">
        <v>647</v>
      </c>
      <c r="C512" s="11">
        <v>65580.0</v>
      </c>
      <c r="D512" s="11">
        <v>47560.0</v>
      </c>
      <c r="E512" s="11">
        <v>36630.0</v>
      </c>
      <c r="F512" s="11">
        <v>26880.0</v>
      </c>
      <c r="G512" s="11">
        <v>17250.0</v>
      </c>
      <c r="H512" s="11">
        <v>16480.0</v>
      </c>
      <c r="I512" s="11">
        <v>863.0</v>
      </c>
      <c r="J512" s="11">
        <v>24180.0</v>
      </c>
      <c r="K512" s="11">
        <v>19360.0</v>
      </c>
      <c r="L512" s="11">
        <v>12860.0</v>
      </c>
      <c r="M512" s="11">
        <v>15150.0</v>
      </c>
      <c r="N512" s="12"/>
      <c r="O512" s="11">
        <v>134990.0</v>
      </c>
      <c r="P512" s="11">
        <v>139360.0</v>
      </c>
      <c r="Q512" s="11">
        <v>102660.0</v>
      </c>
      <c r="R512" s="11">
        <v>80850.0</v>
      </c>
      <c r="S512" s="11">
        <v>51370.0</v>
      </c>
      <c r="T512" s="11">
        <v>81330.0</v>
      </c>
      <c r="U512" s="11">
        <v>87380.0</v>
      </c>
      <c r="V512" s="11">
        <v>52490.0</v>
      </c>
      <c r="W512" s="11">
        <v>35130.0</v>
      </c>
      <c r="X512" s="11">
        <v>29810.0</v>
      </c>
      <c r="Y512" s="11">
        <v>-92370.0</v>
      </c>
      <c r="Z512" s="11">
        <v>-121630.0</v>
      </c>
      <c r="AA512" s="11">
        <v>-599.0</v>
      </c>
      <c r="AB512" s="11">
        <v>-2190.0</v>
      </c>
      <c r="AC512" s="11">
        <v>-52640.0</v>
      </c>
      <c r="AD512" s="11">
        <v>-101660.0</v>
      </c>
      <c r="AE512" s="11">
        <v>-130800.0</v>
      </c>
      <c r="AF512" s="11">
        <v>-97510.0</v>
      </c>
      <c r="AG512" s="11">
        <v>-71290.0</v>
      </c>
      <c r="AH512" s="11">
        <v>-53880.0</v>
      </c>
      <c r="AI512" s="11">
        <v>-106170.0</v>
      </c>
      <c r="AJ512" s="11">
        <v>-117940.0</v>
      </c>
      <c r="AK512" s="11">
        <v>-88540.0</v>
      </c>
      <c r="AL512" s="11">
        <v>-64980.0</v>
      </c>
      <c r="AM512" s="11">
        <v>-50510.0</v>
      </c>
      <c r="AN512" s="11">
        <v>-39960.0</v>
      </c>
      <c r="AO512" s="11">
        <v>-73010.0</v>
      </c>
      <c r="AP512" s="11">
        <v>-64550.0</v>
      </c>
      <c r="AQ512" s="11">
        <v>-55100.0</v>
      </c>
      <c r="AR512" s="11">
        <v>-48430.0</v>
      </c>
      <c r="AS512" s="11">
        <v>-93600.0</v>
      </c>
      <c r="AT512" s="11">
        <v>-98850.0</v>
      </c>
      <c r="AU512" s="11">
        <v>-81310.0</v>
      </c>
      <c r="AV512" s="11">
        <v>-45630.0</v>
      </c>
      <c r="AW512" s="11">
        <v>-20380.0</v>
      </c>
      <c r="AX512" s="11">
        <v>-9400.0</v>
      </c>
      <c r="AY512" s="11">
        <v>-9360.0</v>
      </c>
      <c r="AZ512" s="11">
        <v>-4010.0</v>
      </c>
      <c r="BA512" s="11">
        <v>-10510.0</v>
      </c>
      <c r="BB512" s="11">
        <v>-11980.0</v>
      </c>
      <c r="BC512" s="11">
        <v>-2560.0</v>
      </c>
      <c r="BD512" s="11">
        <v>-2340.0</v>
      </c>
      <c r="BE512" s="24">
        <v>-299.0</v>
      </c>
      <c r="BF512" s="12"/>
      <c r="BG512" s="12"/>
      <c r="BH512" s="11">
        <v>136860.0</v>
      </c>
      <c r="BI512" s="11">
        <v>83110.0</v>
      </c>
      <c r="BJ512" s="11">
        <v>130950.0</v>
      </c>
      <c r="BK512" s="11">
        <v>91680.0</v>
      </c>
      <c r="BL512" s="11">
        <v>98180.0</v>
      </c>
      <c r="BM512" s="11">
        <v>14400.0</v>
      </c>
      <c r="BN512" s="11">
        <v>7590.0</v>
      </c>
      <c r="BO512" s="11">
        <v>8380.0</v>
      </c>
      <c r="BP512" s="11">
        <v>8690.0</v>
      </c>
      <c r="BQ512" s="12"/>
      <c r="BR512" s="11">
        <v>857.0</v>
      </c>
      <c r="BS512" s="11">
        <v>678.0</v>
      </c>
      <c r="BT512" s="11">
        <v>171.0</v>
      </c>
      <c r="BU512" s="11">
        <v>203.0</v>
      </c>
      <c r="BV512" s="12"/>
      <c r="BW512" s="11">
        <v>156250.0</v>
      </c>
      <c r="BX512" s="11">
        <v>111210.0</v>
      </c>
      <c r="BY512" s="11">
        <v>183180.0</v>
      </c>
      <c r="BZ512" s="11">
        <v>109630.0</v>
      </c>
      <c r="CA512" s="11">
        <v>99780.0</v>
      </c>
      <c r="CB512" s="11">
        <v>33910.0</v>
      </c>
      <c r="CC512" s="11">
        <v>12020.0</v>
      </c>
      <c r="CD512" s="11">
        <v>7120.0</v>
      </c>
      <c r="CE512" s="11">
        <v>7380.0</v>
      </c>
      <c r="CF512" s="11">
        <v>309.0</v>
      </c>
      <c r="CG512" s="12"/>
      <c r="CH512" s="12"/>
      <c r="CI512" s="12"/>
      <c r="CJ512" s="11">
        <v>18650.0</v>
      </c>
      <c r="CK512" s="12"/>
      <c r="CL512" s="11">
        <v>226420.0</v>
      </c>
      <c r="CM512" s="11">
        <v>140990.0</v>
      </c>
      <c r="CN512" s="11">
        <v>245950.0</v>
      </c>
      <c r="CO512" s="11">
        <v>170730.0</v>
      </c>
      <c r="CP512" s="11">
        <v>118610.0</v>
      </c>
      <c r="CQ512" s="11">
        <v>10050.0</v>
      </c>
      <c r="CR512" s="11">
        <v>17860.0</v>
      </c>
      <c r="CS512" s="11">
        <v>10000.0</v>
      </c>
      <c r="CT512" s="11">
        <v>14210.0</v>
      </c>
      <c r="CU512" s="11">
        <v>1870.0</v>
      </c>
      <c r="CV512" s="11">
        <v>45620.0</v>
      </c>
      <c r="CW512" s="11">
        <v>1780.0</v>
      </c>
      <c r="CX512" s="12"/>
      <c r="CY512" s="12"/>
      <c r="CZ512" s="12"/>
      <c r="DA512" s="12"/>
      <c r="DB512" s="11">
        <v>45620.0</v>
      </c>
      <c r="DC512" s="11">
        <v>55610.0</v>
      </c>
      <c r="DD512" s="11">
        <v>71440.0</v>
      </c>
      <c r="DE512" s="11">
        <v>56570.0</v>
      </c>
      <c r="DF512" s="11">
        <v>153890.0</v>
      </c>
      <c r="DG512" s="11">
        <v>121250.0</v>
      </c>
      <c r="DH512" s="11">
        <v>125450.0</v>
      </c>
      <c r="DI512" s="11">
        <v>87760.0</v>
      </c>
      <c r="DJ512" s="11">
        <v>34340.0</v>
      </c>
      <c r="DK512" s="11">
        <v>27720.0</v>
      </c>
      <c r="DL512" s="11">
        <v>16070.0</v>
      </c>
      <c r="DM512" s="11">
        <v>17400.0</v>
      </c>
      <c r="DN512" s="11">
        <v>17270.0</v>
      </c>
      <c r="DO512" s="11">
        <v>17070.0</v>
      </c>
      <c r="DP512" s="11">
        <v>101150.0</v>
      </c>
      <c r="DQ512" s="11">
        <v>60430.0</v>
      </c>
      <c r="DR512" s="11">
        <v>49270.0</v>
      </c>
      <c r="DS512" s="11">
        <v>26180.0</v>
      </c>
      <c r="DT512" s="11">
        <v>23170.0</v>
      </c>
      <c r="DU512" s="24">
        <v>1.0</v>
      </c>
      <c r="DV512" s="11">
        <v>1.0</v>
      </c>
      <c r="DW512" s="11">
        <v>1.0</v>
      </c>
      <c r="DX512" s="13"/>
      <c r="DY512" s="13"/>
      <c r="DZ512" s="11">
        <v>26220.0</v>
      </c>
      <c r="EA512" s="11">
        <v>1850.0</v>
      </c>
      <c r="EB512" s="11">
        <v>52570.0</v>
      </c>
      <c r="EC512" s="11">
        <v>38500.0</v>
      </c>
      <c r="ED512" s="11">
        <v>56850.0</v>
      </c>
      <c r="EE512" s="14">
        <v>0.053</v>
      </c>
      <c r="EF512" s="14">
        <v>0.642</v>
      </c>
      <c r="EG512" s="14">
        <v>0.296</v>
      </c>
      <c r="EH512" s="14">
        <v>0.217</v>
      </c>
    </row>
    <row r="513">
      <c r="A513" s="9">
        <f t="shared" si="2"/>
        <v>511</v>
      </c>
      <c r="B513" s="32" t="s">
        <v>648</v>
      </c>
      <c r="C513" s="11">
        <v>2150000.0</v>
      </c>
      <c r="D513" s="11">
        <v>2060000.0</v>
      </c>
      <c r="E513" s="11">
        <v>2150000.0</v>
      </c>
      <c r="F513" s="11">
        <v>2040000.0</v>
      </c>
      <c r="G513" s="11">
        <v>1790000.0</v>
      </c>
      <c r="H513" s="11">
        <v>1390000.0</v>
      </c>
      <c r="I513" s="11"/>
      <c r="J513" s="11">
        <v>576170.0</v>
      </c>
      <c r="K513" s="11">
        <v>512940.0</v>
      </c>
      <c r="L513" s="11">
        <v>451330.0</v>
      </c>
      <c r="M513" s="11">
        <v>345430.0</v>
      </c>
      <c r="N513" s="11"/>
      <c r="O513" s="11">
        <v>485120.0</v>
      </c>
      <c r="P513" s="11">
        <v>444530.0</v>
      </c>
      <c r="Q513" s="11">
        <v>399860.0</v>
      </c>
      <c r="R513" s="11">
        <v>328850.0</v>
      </c>
      <c r="S513" s="11"/>
      <c r="T513" s="11"/>
      <c r="U513" s="11"/>
      <c r="V513" s="11"/>
      <c r="W513" s="11"/>
      <c r="X513" s="11"/>
      <c r="Y513" s="11">
        <v>87840.0</v>
      </c>
      <c r="Z513" s="11">
        <v>10240.0</v>
      </c>
      <c r="AA513" s="11">
        <v>13000.0</v>
      </c>
      <c r="AB513" s="11">
        <v>23580.0</v>
      </c>
      <c r="AC513" s="11"/>
      <c r="AD513" s="11">
        <v>54960.0</v>
      </c>
      <c r="AE513" s="11">
        <v>-42050.0</v>
      </c>
      <c r="AF513" s="11">
        <v>71940.0</v>
      </c>
      <c r="AG513" s="11">
        <v>-43100.0</v>
      </c>
      <c r="AH513" s="11"/>
      <c r="AI513" s="11">
        <v>199300.0</v>
      </c>
      <c r="AJ513" s="11">
        <v>145830.0</v>
      </c>
      <c r="AK513" s="11">
        <v>122330.0</v>
      </c>
      <c r="AL513" s="11">
        <v>67960.0</v>
      </c>
      <c r="AM513" s="11"/>
      <c r="AN513" s="11">
        <v>41830.0</v>
      </c>
      <c r="AO513" s="11">
        <v>-36420.0</v>
      </c>
      <c r="AP513" s="11">
        <v>77910.0</v>
      </c>
      <c r="AQ513" s="11">
        <v>-28370.0</v>
      </c>
      <c r="AR513" s="11"/>
      <c r="AS513" s="11">
        <v>172660.0</v>
      </c>
      <c r="AT513" s="11">
        <v>69240.0</v>
      </c>
      <c r="AU513" s="11">
        <v>77260.0</v>
      </c>
      <c r="AV513" s="11">
        <v>33130.0</v>
      </c>
      <c r="AW513" s="11"/>
      <c r="AX513" s="11">
        <v>-34400.0</v>
      </c>
      <c r="AY513" s="11">
        <v>-34890.0</v>
      </c>
      <c r="AZ513" s="11">
        <v>-28250.0</v>
      </c>
      <c r="BA513" s="11">
        <v>-30470.0</v>
      </c>
      <c r="BB513" s="11"/>
      <c r="BC513" s="11"/>
      <c r="BD513" s="11"/>
      <c r="BE513" s="11"/>
      <c r="BF513" s="11">
        <v>-67.0</v>
      </c>
      <c r="BG513" s="11"/>
      <c r="BH513" s="11">
        <v>17770.0</v>
      </c>
      <c r="BI513" s="11">
        <v>15300.0</v>
      </c>
      <c r="BJ513" s="11">
        <v>12100.0</v>
      </c>
      <c r="BK513" s="11">
        <v>28550.0</v>
      </c>
      <c r="BL513" s="11"/>
      <c r="BM513" s="11">
        <v>321860.0</v>
      </c>
      <c r="BN513" s="11">
        <v>333520.0</v>
      </c>
      <c r="BO513" s="11">
        <v>293580.0</v>
      </c>
      <c r="BP513" s="11">
        <v>314530.0</v>
      </c>
      <c r="BQ513" s="11"/>
      <c r="BR513" s="11">
        <v>178620.0</v>
      </c>
      <c r="BS513" s="11">
        <v>165990.0</v>
      </c>
      <c r="BT513" s="11">
        <v>148250.0</v>
      </c>
      <c r="BU513" s="11">
        <v>157990.0</v>
      </c>
      <c r="BV513" s="11"/>
      <c r="BW513" s="11">
        <v>526220.0</v>
      </c>
      <c r="BX513" s="11">
        <v>523860.0</v>
      </c>
      <c r="BY513" s="11">
        <v>548660.0</v>
      </c>
      <c r="BZ513" s="11">
        <v>513590.0</v>
      </c>
      <c r="CA513" s="11"/>
      <c r="CB513" s="11">
        <v>270750.0</v>
      </c>
      <c r="CC513" s="11">
        <v>151640.0</v>
      </c>
      <c r="CD513" s="11">
        <v>144520.0</v>
      </c>
      <c r="CE513" s="11">
        <v>144390.0</v>
      </c>
      <c r="CF513" s="11"/>
      <c r="CG513" s="11">
        <v>495720.0</v>
      </c>
      <c r="CH513" s="11">
        <v>484940.0</v>
      </c>
      <c r="CI513" s="11">
        <v>452730.0</v>
      </c>
      <c r="CJ513" s="11">
        <v>437940.0</v>
      </c>
      <c r="CK513" s="11"/>
      <c r="CL513" s="11">
        <v>1410000.0</v>
      </c>
      <c r="CM513" s="11">
        <v>1320000.0</v>
      </c>
      <c r="CN513" s="11">
        <v>1350000.0</v>
      </c>
      <c r="CO513" s="11">
        <v>1320000.0</v>
      </c>
      <c r="CP513" s="11"/>
      <c r="CQ513" s="11">
        <v>145230.0</v>
      </c>
      <c r="CR513" s="11">
        <v>137770.0</v>
      </c>
      <c r="CS513" s="11">
        <v>134460.0</v>
      </c>
      <c r="CT513" s="11">
        <v>119790.0</v>
      </c>
      <c r="CU513" s="11"/>
      <c r="CV513" s="11">
        <v>266630.0</v>
      </c>
      <c r="CW513" s="11">
        <v>27690.0</v>
      </c>
      <c r="CX513" s="11"/>
      <c r="CY513" s="11"/>
      <c r="CZ513" s="11"/>
      <c r="DA513" s="11"/>
      <c r="DB513" s="11">
        <v>266630.0</v>
      </c>
      <c r="DC513" s="11">
        <v>219620.0</v>
      </c>
      <c r="DD513" s="11">
        <v>242280.0</v>
      </c>
      <c r="DE513" s="11">
        <v>205510.0</v>
      </c>
      <c r="DF513" s="11">
        <v>1000000.0</v>
      </c>
      <c r="DG513" s="11">
        <v>950360.0</v>
      </c>
      <c r="DH513" s="11">
        <v>975610.0</v>
      </c>
      <c r="DI513" s="11">
        <v>992470.0</v>
      </c>
      <c r="DJ513" s="11"/>
      <c r="DK513" s="11"/>
      <c r="DL513" s="11">
        <v>4340.0</v>
      </c>
      <c r="DM513" s="11"/>
      <c r="DN513" s="11"/>
      <c r="DO513" s="11"/>
      <c r="DP513" s="11">
        <v>620780.0</v>
      </c>
      <c r="DQ513" s="11">
        <v>584000.0</v>
      </c>
      <c r="DR513" s="11">
        <v>581870.0</v>
      </c>
      <c r="DS513" s="11">
        <v>733960.0</v>
      </c>
      <c r="DT513" s="11"/>
      <c r="DU513" s="13"/>
      <c r="DV513" s="12"/>
      <c r="DW513" s="12"/>
      <c r="DX513" s="13"/>
      <c r="DY513" s="13"/>
      <c r="DZ513" s="11">
        <v>408170.0</v>
      </c>
      <c r="EA513" s="11">
        <v>366350.0</v>
      </c>
      <c r="EB513" s="11">
        <v>378660.0</v>
      </c>
      <c r="EC513" s="11">
        <v>328520.0</v>
      </c>
      <c r="ED513" s="11"/>
      <c r="EE513" s="14">
        <v>0.102</v>
      </c>
      <c r="EF513" s="14">
        <v>0.088</v>
      </c>
      <c r="EG513" s="14">
        <v>0.692</v>
      </c>
      <c r="EH513" s="14">
        <v>0.393</v>
      </c>
    </row>
    <row r="514">
      <c r="A514" s="9">
        <f t="shared" si="2"/>
        <v>512</v>
      </c>
      <c r="B514" s="25" t="s">
        <v>649</v>
      </c>
      <c r="C514" s="15">
        <v>1.1201E8</v>
      </c>
      <c r="D514" s="15">
        <v>9.889E7</v>
      </c>
      <c r="E514" s="15">
        <v>1.0819E8</v>
      </c>
      <c r="F514" s="15">
        <v>1.1041E8</v>
      </c>
      <c r="G514" s="15">
        <v>1.0573E8</v>
      </c>
      <c r="H514" s="15">
        <v>1.1102E8</v>
      </c>
      <c r="I514" s="15">
        <v>1.106E8</v>
      </c>
      <c r="J514" s="15">
        <v>1.502E7</v>
      </c>
      <c r="K514" s="15">
        <v>1.54E7</v>
      </c>
      <c r="L514" s="15">
        <v>1.602E7</v>
      </c>
      <c r="M514" s="15">
        <v>1.572E7</v>
      </c>
      <c r="N514" s="15">
        <v>1.178E7</v>
      </c>
      <c r="O514" s="15">
        <v>9120000.0</v>
      </c>
      <c r="P514" s="15">
        <v>1.022E7</v>
      </c>
      <c r="Q514" s="15">
        <v>9980000.0</v>
      </c>
      <c r="R514" s="15">
        <v>9230000.0</v>
      </c>
      <c r="S514" s="15">
        <v>9030000.0</v>
      </c>
      <c r="T514" s="15">
        <v>2660000.0</v>
      </c>
      <c r="U514" s="15">
        <v>2900000.0</v>
      </c>
      <c r="V514" s="15">
        <v>2800000.0</v>
      </c>
      <c r="W514" s="15">
        <v>1660000.0</v>
      </c>
      <c r="X514" s="15">
        <v>1450000.0</v>
      </c>
      <c r="Y514" s="15">
        <v>4780000.0</v>
      </c>
      <c r="Z514" s="15">
        <v>4920000.0</v>
      </c>
      <c r="AA514" s="15">
        <v>685000.0</v>
      </c>
      <c r="AB514" s="15">
        <v>4720000.0</v>
      </c>
      <c r="AC514" s="15">
        <v>-317000.0</v>
      </c>
      <c r="AD514" s="15">
        <v>3810000.0</v>
      </c>
      <c r="AE514" s="15">
        <v>3870000.0</v>
      </c>
      <c r="AF514" s="15">
        <v>5480000.0</v>
      </c>
      <c r="AG514" s="15">
        <v>2790000.0</v>
      </c>
      <c r="AH514" s="15">
        <v>129000.0</v>
      </c>
      <c r="AI514" s="15">
        <v>9990000.0</v>
      </c>
      <c r="AJ514" s="15">
        <v>9140000.0</v>
      </c>
      <c r="AK514" s="15">
        <v>1.009E7</v>
      </c>
      <c r="AL514" s="15">
        <v>9470000.0</v>
      </c>
      <c r="AM514" s="15">
        <v>8170000.0</v>
      </c>
      <c r="AN514" s="15">
        <v>2690000.0</v>
      </c>
      <c r="AO514" s="15">
        <v>3320000.0</v>
      </c>
      <c r="AP514" s="15">
        <v>3280000.0</v>
      </c>
      <c r="AQ514" s="15">
        <v>1800000.0</v>
      </c>
      <c r="AR514" s="15">
        <v>83000.0</v>
      </c>
      <c r="AS514" s="15">
        <v>1.046E7</v>
      </c>
      <c r="AT514" s="15">
        <v>9950000.0</v>
      </c>
      <c r="AU514" s="15">
        <v>1.039E7</v>
      </c>
      <c r="AV514" s="15">
        <v>1.059E7</v>
      </c>
      <c r="AW514" s="15">
        <v>9750000.0</v>
      </c>
      <c r="AX514" s="15">
        <v>-8390000.0</v>
      </c>
      <c r="AY514" s="15">
        <v>-5390000.0</v>
      </c>
      <c r="AZ514" s="15">
        <v>-8110000.0</v>
      </c>
      <c r="BA514" s="15">
        <v>-8820000.0</v>
      </c>
      <c r="BB514" s="15">
        <v>-8820000.0</v>
      </c>
      <c r="BC514" s="15">
        <v>-3060000.0</v>
      </c>
      <c r="BD514" s="15">
        <v>-1000.0</v>
      </c>
      <c r="BE514" s="15">
        <v>-1000.0</v>
      </c>
      <c r="BF514" s="12"/>
      <c r="BG514" s="12"/>
      <c r="BH514" s="15">
        <v>1.568E7</v>
      </c>
      <c r="BI514" s="15">
        <v>1.307E7</v>
      </c>
      <c r="BJ514" s="15">
        <v>1.313E7</v>
      </c>
      <c r="BK514" s="15">
        <v>1.808E7</v>
      </c>
      <c r="BL514" s="15">
        <v>2.191E7</v>
      </c>
      <c r="BM514" s="15">
        <v>7000000.0</v>
      </c>
      <c r="BN514" s="15">
        <v>7610000.0</v>
      </c>
      <c r="BO514" s="15">
        <v>8100000.0</v>
      </c>
      <c r="BP514" s="15">
        <v>7480000.0</v>
      </c>
      <c r="BQ514" s="15">
        <v>6880000.0</v>
      </c>
      <c r="BR514" s="15">
        <v>9720000.0</v>
      </c>
      <c r="BS514" s="15">
        <v>1.069E7</v>
      </c>
      <c r="BT514" s="15">
        <v>1.292E7</v>
      </c>
      <c r="BU514" s="15">
        <v>1.365E7</v>
      </c>
      <c r="BV514" s="15">
        <v>1.323E7</v>
      </c>
      <c r="BW514" s="15">
        <v>3.493E7</v>
      </c>
      <c r="BX514" s="15">
        <v>3.829E7</v>
      </c>
      <c r="BY514" s="15">
        <v>3.627E7</v>
      </c>
      <c r="BZ514" s="15">
        <v>3.972E7</v>
      </c>
      <c r="CA514" s="15">
        <v>4.604E7</v>
      </c>
      <c r="CB514" s="15">
        <v>2.861E7</v>
      </c>
      <c r="CC514" s="15">
        <v>2.631E7</v>
      </c>
      <c r="CD514" s="15">
        <v>2.901E7</v>
      </c>
      <c r="CE514" s="15">
        <v>3.043E7</v>
      </c>
      <c r="CF514" s="15">
        <v>2.745E7</v>
      </c>
      <c r="CG514" s="15">
        <v>1.107E7</v>
      </c>
      <c r="CH514" s="15">
        <v>1.083E7</v>
      </c>
      <c r="CI514" s="15">
        <v>1.04E7</v>
      </c>
      <c r="CJ514" s="15">
        <v>1.182E7</v>
      </c>
      <c r="CK514" s="15">
        <v>1.15E7</v>
      </c>
      <c r="CL514" s="15">
        <v>9.804E7</v>
      </c>
      <c r="CM514" s="15">
        <v>9.687E7</v>
      </c>
      <c r="CN514" s="15">
        <v>9.63E7</v>
      </c>
      <c r="CO514" s="15">
        <v>1.0434E8</v>
      </c>
      <c r="CP514" s="15">
        <v>1.0575E8</v>
      </c>
      <c r="CQ514" s="15">
        <v>2.162E7</v>
      </c>
      <c r="CR514" s="15">
        <v>1.923E7</v>
      </c>
      <c r="CS514" s="15">
        <v>2.194E7</v>
      </c>
      <c r="CT514" s="15">
        <v>2.266E7</v>
      </c>
      <c r="CU514" s="15">
        <v>2.147E7</v>
      </c>
      <c r="CV514" s="15">
        <v>4.335E7</v>
      </c>
      <c r="CW514" s="15">
        <v>4520000.0</v>
      </c>
      <c r="CX514" s="15">
        <v>5810000.0</v>
      </c>
      <c r="CY514" s="15">
        <v>7170000.0</v>
      </c>
      <c r="CZ514" s="15">
        <v>7820000.0</v>
      </c>
      <c r="DA514" s="15">
        <v>7280000.0</v>
      </c>
      <c r="DB514" s="15">
        <v>4.335E7</v>
      </c>
      <c r="DC514" s="15">
        <v>4.647E7</v>
      </c>
      <c r="DD514" s="15">
        <v>4.727E7</v>
      </c>
      <c r="DE514" s="15">
        <v>4.947E7</v>
      </c>
      <c r="DF514" s="15">
        <v>6.937E7</v>
      </c>
      <c r="DG514" s="15">
        <v>7.197E7</v>
      </c>
      <c r="DH514" s="15">
        <v>7.531E7</v>
      </c>
      <c r="DI514" s="15">
        <v>8.499E7</v>
      </c>
      <c r="DJ514" s="15">
        <v>8.879E7</v>
      </c>
      <c r="DK514" s="15">
        <v>2110000.0</v>
      </c>
      <c r="DL514" s="15">
        <v>2110000.0</v>
      </c>
      <c r="DM514" s="15">
        <v>2220000.0</v>
      </c>
      <c r="DN514" s="15">
        <v>2120000.0</v>
      </c>
      <c r="DO514" s="15">
        <v>2110000.0</v>
      </c>
      <c r="DP514" s="15">
        <v>8030000.0</v>
      </c>
      <c r="DQ514" s="15">
        <v>8670000.0</v>
      </c>
      <c r="DR514" s="15">
        <v>1.073E7</v>
      </c>
      <c r="DS514" s="15">
        <v>1.611E7</v>
      </c>
      <c r="DT514" s="15">
        <v>2.042E7</v>
      </c>
      <c r="DU514" s="13"/>
      <c r="DV514" s="12"/>
      <c r="DW514" s="12"/>
      <c r="DX514" s="13"/>
      <c r="DY514" s="13"/>
      <c r="DZ514" s="15">
        <v>2.854E7</v>
      </c>
      <c r="EA514" s="15">
        <v>2.47E7</v>
      </c>
      <c r="EB514" s="15">
        <v>2.082E7</v>
      </c>
      <c r="EC514" s="15">
        <v>1.917E7</v>
      </c>
      <c r="ED514" s="15">
        <v>1.681E7</v>
      </c>
      <c r="EE514" s="17">
        <v>0.137</v>
      </c>
      <c r="EF514" s="17">
        <v>0.135</v>
      </c>
      <c r="EG514" s="17">
        <v>0.437</v>
      </c>
      <c r="EH514" s="17">
        <v>-3.891</v>
      </c>
    </row>
    <row r="515">
      <c r="A515" s="9">
        <f t="shared" si="2"/>
        <v>513</v>
      </c>
      <c r="B515" s="32" t="s">
        <v>650</v>
      </c>
      <c r="C515" s="11">
        <v>1860000.0</v>
      </c>
      <c r="D515" s="11">
        <v>1770000.0</v>
      </c>
      <c r="E515" s="11">
        <v>1860000.0</v>
      </c>
      <c r="F515" s="11">
        <v>1780000.0</v>
      </c>
      <c r="G515" s="11">
        <v>1780000.0</v>
      </c>
      <c r="H515" s="11">
        <v>1090000.0</v>
      </c>
      <c r="I515" s="11">
        <v>704600.0</v>
      </c>
      <c r="J515" s="11">
        <v>976440.0</v>
      </c>
      <c r="K515" s="11">
        <v>924070.0</v>
      </c>
      <c r="L515" s="11">
        <v>893250.0</v>
      </c>
      <c r="M515" s="11">
        <v>572940.0</v>
      </c>
      <c r="N515" s="11">
        <v>373250.0</v>
      </c>
      <c r="O515" s="11">
        <v>717870.0</v>
      </c>
      <c r="P515" s="11">
        <v>683620.0</v>
      </c>
      <c r="Q515" s="11">
        <v>675320.0</v>
      </c>
      <c r="R515" s="11">
        <v>424550.0</v>
      </c>
      <c r="S515" s="11">
        <v>259460.0</v>
      </c>
      <c r="T515" s="12"/>
      <c r="U515" s="12"/>
      <c r="V515" s="12"/>
      <c r="W515" s="12"/>
      <c r="X515" s="11"/>
      <c r="Y515" s="11">
        <v>256800.0</v>
      </c>
      <c r="Z515" s="11">
        <v>232800.0</v>
      </c>
      <c r="AA515" s="11">
        <v>194750.0</v>
      </c>
      <c r="AB515" s="11">
        <v>113020.0</v>
      </c>
      <c r="AC515" s="11">
        <v>-10790.0</v>
      </c>
      <c r="AD515" s="11">
        <v>224610.0</v>
      </c>
      <c r="AE515" s="11">
        <v>205310.0</v>
      </c>
      <c r="AF515" s="11">
        <v>172310.0</v>
      </c>
      <c r="AG515" s="11">
        <v>93450.0</v>
      </c>
      <c r="AH515" s="11">
        <v>87680.0</v>
      </c>
      <c r="AI515" s="11">
        <v>300470.0</v>
      </c>
      <c r="AJ515" s="11">
        <v>283150.0</v>
      </c>
      <c r="AK515" s="11">
        <v>272180.0</v>
      </c>
      <c r="AL515" s="11">
        <v>180250.0</v>
      </c>
      <c r="AM515" s="11">
        <v>131730.0</v>
      </c>
      <c r="AN515" s="11">
        <v>164620.0</v>
      </c>
      <c r="AO515" s="11">
        <v>153210.0</v>
      </c>
      <c r="AP515" s="11">
        <v>143890.0</v>
      </c>
      <c r="AQ515" s="11">
        <v>60130.0</v>
      </c>
      <c r="AR515" s="11">
        <v>60710.0</v>
      </c>
      <c r="AS515" s="11">
        <v>231600.0</v>
      </c>
      <c r="AT515" s="11">
        <v>243430.0</v>
      </c>
      <c r="AU515" s="11">
        <v>220360.0</v>
      </c>
      <c r="AV515" s="11">
        <v>96850.0</v>
      </c>
      <c r="AW515" s="11">
        <v>92750.0</v>
      </c>
      <c r="AX515" s="11">
        <v>-118970.0</v>
      </c>
      <c r="AY515" s="11">
        <v>-55670.0</v>
      </c>
      <c r="AZ515" s="11">
        <v>-37140.0</v>
      </c>
      <c r="BA515" s="11">
        <v>-33860.0</v>
      </c>
      <c r="BB515" s="11">
        <v>-21070.0</v>
      </c>
      <c r="BC515" s="11">
        <v>-43950.0</v>
      </c>
      <c r="BD515" s="11">
        <v>-40850.0</v>
      </c>
      <c r="BE515" s="11">
        <v>-36840.0</v>
      </c>
      <c r="BF515" s="11">
        <v>-19810.0</v>
      </c>
      <c r="BG515" s="12"/>
      <c r="BH515" s="11">
        <v>46530.0</v>
      </c>
      <c r="BI515" s="11">
        <v>71790.0</v>
      </c>
      <c r="BJ515" s="11">
        <v>114420.0</v>
      </c>
      <c r="BK515" s="11">
        <v>89960.0</v>
      </c>
      <c r="BL515" s="11">
        <v>86950.0</v>
      </c>
      <c r="BM515" s="11">
        <v>417840.0</v>
      </c>
      <c r="BN515" s="11">
        <v>425650.0</v>
      </c>
      <c r="BO515" s="11">
        <v>430770.0</v>
      </c>
      <c r="BP515" s="11">
        <v>446230.0</v>
      </c>
      <c r="BQ515" s="11">
        <v>138690.0</v>
      </c>
      <c r="BR515" s="11">
        <v>265260.0</v>
      </c>
      <c r="BS515" s="11">
        <v>275130.0</v>
      </c>
      <c r="BT515" s="11">
        <v>276770.0</v>
      </c>
      <c r="BU515" s="11">
        <v>330680.0</v>
      </c>
      <c r="BV515" s="11">
        <v>93460.0</v>
      </c>
      <c r="BW515" s="11">
        <v>740990.0</v>
      </c>
      <c r="BX515" s="11">
        <v>789890.0</v>
      </c>
      <c r="BY515" s="11">
        <v>842200.0</v>
      </c>
      <c r="BZ515" s="11">
        <v>892140.0</v>
      </c>
      <c r="CA515" s="11">
        <v>325430.0</v>
      </c>
      <c r="CB515" s="11">
        <v>640720.0</v>
      </c>
      <c r="CC515" s="11">
        <v>251650.0</v>
      </c>
      <c r="CD515" s="11">
        <v>230340.0</v>
      </c>
      <c r="CE515" s="11">
        <v>236060.0</v>
      </c>
      <c r="CF515" s="11">
        <v>112450.0</v>
      </c>
      <c r="CG515" s="11">
        <v>948640.0</v>
      </c>
      <c r="CH515" s="11">
        <v>917420.0</v>
      </c>
      <c r="CI515" s="11">
        <v>831150.0</v>
      </c>
      <c r="CJ515" s="11">
        <v>831150.0</v>
      </c>
      <c r="CK515" s="11">
        <v>295610.0</v>
      </c>
      <c r="CL515" s="11">
        <v>2440000.0</v>
      </c>
      <c r="CM515" s="11">
        <v>2110000.0</v>
      </c>
      <c r="CN515" s="11">
        <v>2060000.0</v>
      </c>
      <c r="CO515" s="11">
        <v>2150000.0</v>
      </c>
      <c r="CP515" s="11">
        <v>752900.0</v>
      </c>
      <c r="CQ515" s="11">
        <v>5870.0</v>
      </c>
      <c r="CR515" s="11">
        <v>6890.0</v>
      </c>
      <c r="CS515" s="11">
        <v>4790.0</v>
      </c>
      <c r="CT515" s="11">
        <v>11660.0</v>
      </c>
      <c r="CU515" s="11">
        <v>1820.0</v>
      </c>
      <c r="CV515" s="11">
        <v>202900.0</v>
      </c>
      <c r="CW515" s="11">
        <v>86470.0</v>
      </c>
      <c r="CX515" s="12"/>
      <c r="CY515" s="13"/>
      <c r="CZ515" s="13"/>
      <c r="DA515" s="12"/>
      <c r="DB515" s="11">
        <v>202900.0</v>
      </c>
      <c r="DC515" s="11">
        <v>133050.0</v>
      </c>
      <c r="DD515" s="11">
        <v>120570.0</v>
      </c>
      <c r="DE515" s="11">
        <v>143630.0</v>
      </c>
      <c r="DF515" s="11">
        <v>1090000.0</v>
      </c>
      <c r="DG515" s="11">
        <v>789870.0</v>
      </c>
      <c r="DH515" s="11">
        <v>587450.0</v>
      </c>
      <c r="DI515" s="11">
        <v>695220.0</v>
      </c>
      <c r="DJ515" s="11">
        <v>321510.0</v>
      </c>
      <c r="DK515" s="11"/>
      <c r="DL515" s="11"/>
      <c r="DM515" s="11"/>
      <c r="DN515" s="11"/>
      <c r="DO515" s="11"/>
      <c r="DP515" s="11">
        <v>825070.0</v>
      </c>
      <c r="DQ515" s="11">
        <v>590890.0</v>
      </c>
      <c r="DR515" s="11">
        <v>402240.0</v>
      </c>
      <c r="DS515" s="11">
        <v>456550.0</v>
      </c>
      <c r="DT515" s="11">
        <v>253870.0</v>
      </c>
      <c r="DU515" s="13"/>
      <c r="DV515" s="12"/>
      <c r="DW515" s="12"/>
      <c r="DX515" s="12"/>
      <c r="DY515" s="12"/>
      <c r="DZ515" s="11">
        <v>1350000.0</v>
      </c>
      <c r="EA515" s="11">
        <v>1320000.0</v>
      </c>
      <c r="EB515" s="11">
        <v>1480000.0</v>
      </c>
      <c r="EC515" s="11">
        <v>1450000.0</v>
      </c>
      <c r="ED515" s="11">
        <v>431380.0</v>
      </c>
      <c r="EE515" s="14">
        <v>0.164</v>
      </c>
      <c r="EF515" s="14">
        <v>0.194</v>
      </c>
      <c r="EG515" s="14">
        <v>0.069</v>
      </c>
      <c r="EH515" s="14">
        <v>0.041</v>
      </c>
    </row>
    <row r="516">
      <c r="A516" s="9">
        <f t="shared" si="2"/>
        <v>514</v>
      </c>
      <c r="B516" s="10" t="s">
        <v>651</v>
      </c>
      <c r="C516" s="15">
        <v>1.644E7</v>
      </c>
      <c r="D516" s="15">
        <v>1.232E7</v>
      </c>
      <c r="E516" s="15">
        <v>1.436E7</v>
      </c>
      <c r="F516" s="15">
        <v>1.897E7</v>
      </c>
      <c r="G516" s="15">
        <v>1.586E7</v>
      </c>
      <c r="H516" s="15">
        <v>1.46E7</v>
      </c>
      <c r="I516" s="15">
        <v>1.496E7</v>
      </c>
      <c r="J516" s="15">
        <v>1190000.0</v>
      </c>
      <c r="K516" s="15">
        <v>5740000.0</v>
      </c>
      <c r="L516" s="15">
        <v>4100000.0</v>
      </c>
      <c r="M516" s="15">
        <v>1280000.0</v>
      </c>
      <c r="N516" s="15">
        <v>597000.0</v>
      </c>
      <c r="O516" s="15">
        <v>414000.0</v>
      </c>
      <c r="P516" s="15">
        <v>443000.0</v>
      </c>
      <c r="Q516" s="15">
        <v>472000.0</v>
      </c>
      <c r="R516" s="15">
        <v>522000.0</v>
      </c>
      <c r="S516" s="15">
        <v>0.0</v>
      </c>
      <c r="T516" s="15">
        <v>0.0</v>
      </c>
      <c r="U516" s="15">
        <v>0.0</v>
      </c>
      <c r="V516" s="15">
        <v>0.0</v>
      </c>
      <c r="W516" s="15">
        <v>0.0</v>
      </c>
      <c r="X516" s="15">
        <v>0.0</v>
      </c>
      <c r="Y516" s="15">
        <v>379000.0</v>
      </c>
      <c r="Z516" s="15">
        <v>4210000.0</v>
      </c>
      <c r="AA516" s="15">
        <v>74000.0</v>
      </c>
      <c r="AB516" s="15">
        <v>-3420000.0</v>
      </c>
      <c r="AC516" s="15">
        <v>0.0</v>
      </c>
      <c r="AD516" s="15">
        <v>306000.0</v>
      </c>
      <c r="AE516" s="15">
        <v>3890000.0</v>
      </c>
      <c r="AF516" s="15">
        <v>2900000.0</v>
      </c>
      <c r="AG516" s="15">
        <v>-3470000.0</v>
      </c>
      <c r="AH516" s="15">
        <v>-1.413E7</v>
      </c>
      <c r="AI516" s="15">
        <v>2080000.0</v>
      </c>
      <c r="AJ516" s="15">
        <v>6960000.0</v>
      </c>
      <c r="AK516" s="15">
        <v>5100000.0</v>
      </c>
      <c r="AL516" s="15">
        <v>3270000.0</v>
      </c>
      <c r="AM516" s="15">
        <v>0.0</v>
      </c>
      <c r="AN516" s="15">
        <v>-245000.0</v>
      </c>
      <c r="AO516" s="15">
        <v>2610000.0</v>
      </c>
      <c r="AP516" s="15">
        <v>1750000.0</v>
      </c>
      <c r="AQ516" s="15">
        <v>-3900000.0</v>
      </c>
      <c r="AR516" s="15">
        <v>0.0</v>
      </c>
      <c r="AS516" s="15">
        <v>1480000.0</v>
      </c>
      <c r="AT516" s="15">
        <v>3860000.0</v>
      </c>
      <c r="AU516" s="15">
        <v>4670000.0</v>
      </c>
      <c r="AV516" s="15">
        <v>3730000.0</v>
      </c>
      <c r="AW516" s="15">
        <v>0.0</v>
      </c>
      <c r="AX516" s="15">
        <v>-2650000.0</v>
      </c>
      <c r="AY516" s="15">
        <v>-1970000.0</v>
      </c>
      <c r="AZ516" s="15">
        <v>-1410000.0</v>
      </c>
      <c r="BA516" s="15">
        <v>-2810000.0</v>
      </c>
      <c r="BB516" s="15">
        <v>0.0</v>
      </c>
      <c r="BC516" s="15">
        <v>-291000.0</v>
      </c>
      <c r="BD516" s="15">
        <v>-218000.0</v>
      </c>
      <c r="BE516" s="15">
        <v>-2000.0</v>
      </c>
      <c r="BF516" s="15">
        <v>-6000.0</v>
      </c>
      <c r="BG516" s="15">
        <v>-605000.0</v>
      </c>
      <c r="BH516" s="15">
        <v>2120000.0</v>
      </c>
      <c r="BI516" s="15">
        <v>4220000.0</v>
      </c>
      <c r="BJ516" s="15">
        <v>4540000.0</v>
      </c>
      <c r="BK516" s="15">
        <v>4250000.0</v>
      </c>
      <c r="BL516" s="15">
        <v>177000.0</v>
      </c>
      <c r="BM516" s="15">
        <v>1170000.0</v>
      </c>
      <c r="BN516" s="15">
        <v>1320000.0</v>
      </c>
      <c r="BO516" s="15">
        <v>1670000.0</v>
      </c>
      <c r="BP516" s="15">
        <v>2090000.0</v>
      </c>
      <c r="BQ516" s="15">
        <v>2130000.0</v>
      </c>
      <c r="BR516" s="15">
        <v>4070000.0</v>
      </c>
      <c r="BS516" s="15">
        <v>4760000.0</v>
      </c>
      <c r="BT516" s="15">
        <v>4150000.0</v>
      </c>
      <c r="BU516" s="15">
        <v>3640000.0</v>
      </c>
      <c r="BV516" s="15">
        <v>4080000.0</v>
      </c>
      <c r="BW516" s="15">
        <v>7920000.0</v>
      </c>
      <c r="BX516" s="15">
        <v>1.072E7</v>
      </c>
      <c r="BY516" s="15">
        <v>1.063E7</v>
      </c>
      <c r="BZ516" s="15">
        <v>1.044E7</v>
      </c>
      <c r="CA516" s="15">
        <v>7460000.0</v>
      </c>
      <c r="CB516" s="15">
        <v>2.958E7</v>
      </c>
      <c r="CC516" s="15">
        <v>2.801E7</v>
      </c>
      <c r="CD516" s="15">
        <v>2.299E7</v>
      </c>
      <c r="CE516" s="15">
        <v>2.329E7</v>
      </c>
      <c r="CF516" s="15">
        <v>3.108E7</v>
      </c>
      <c r="CG516" s="15">
        <v>0.0</v>
      </c>
      <c r="CH516" s="15">
        <v>0.0</v>
      </c>
      <c r="CI516" s="15">
        <v>0.0</v>
      </c>
      <c r="CJ516" s="15">
        <v>0.0</v>
      </c>
      <c r="CK516" s="15">
        <v>0.0</v>
      </c>
      <c r="CL516" s="15">
        <v>4.081E7</v>
      </c>
      <c r="CM516" s="15">
        <v>4.222E7</v>
      </c>
      <c r="CN516" s="15">
        <v>3.73E7</v>
      </c>
      <c r="CO516" s="15">
        <v>3.732E7</v>
      </c>
      <c r="CP516" s="15">
        <v>4.658E7</v>
      </c>
      <c r="CQ516" s="15">
        <v>1650000.0</v>
      </c>
      <c r="CR516" s="15">
        <v>1660000.0</v>
      </c>
      <c r="CS516" s="15">
        <v>1550000.0</v>
      </c>
      <c r="CT516" s="15">
        <v>1580000.0</v>
      </c>
      <c r="CU516" s="15">
        <v>2300000.0</v>
      </c>
      <c r="CV516" s="15">
        <v>3210000.0</v>
      </c>
      <c r="CW516" s="15">
        <v>44000.0</v>
      </c>
      <c r="CX516" s="15">
        <v>0.0</v>
      </c>
      <c r="CY516" s="15">
        <v>0.0</v>
      </c>
      <c r="CZ516" s="15">
        <v>0.0</v>
      </c>
      <c r="DA516" s="15">
        <v>0.0</v>
      </c>
      <c r="DB516" s="15">
        <v>3210000.0</v>
      </c>
      <c r="DC516" s="15">
        <v>3330000.0</v>
      </c>
      <c r="DD516" s="15">
        <v>4910000.0</v>
      </c>
      <c r="DE516" s="15">
        <v>4270000.0</v>
      </c>
      <c r="DF516" s="15">
        <v>2.336E7</v>
      </c>
      <c r="DG516" s="15">
        <v>2.432E7</v>
      </c>
      <c r="DH516" s="15">
        <v>2.601E7</v>
      </c>
      <c r="DI516" s="15">
        <v>2.806E7</v>
      </c>
      <c r="DJ516" s="15">
        <v>0.0</v>
      </c>
      <c r="DK516" s="15">
        <v>499000.0</v>
      </c>
      <c r="DL516" s="15">
        <v>497000.0</v>
      </c>
      <c r="DM516" s="15">
        <v>451000.0</v>
      </c>
      <c r="DN516" s="15">
        <v>485000.0</v>
      </c>
      <c r="DO516" s="15">
        <v>0.0</v>
      </c>
      <c r="DP516" s="15">
        <v>1.003E7</v>
      </c>
      <c r="DQ516" s="15">
        <v>1.112E7</v>
      </c>
      <c r="DR516" s="15">
        <v>1.182E7</v>
      </c>
      <c r="DS516" s="15">
        <v>1.48E7</v>
      </c>
      <c r="DT516" s="15">
        <v>1.968E7</v>
      </c>
      <c r="DU516" s="16">
        <v>0.0</v>
      </c>
      <c r="DV516" s="15">
        <v>0.0</v>
      </c>
      <c r="DW516" s="15">
        <v>0.0</v>
      </c>
      <c r="DX516" s="16">
        <v>0.0</v>
      </c>
      <c r="DY516" s="16">
        <v>0.0</v>
      </c>
      <c r="DZ516" s="15">
        <v>9300000.0</v>
      </c>
      <c r="EA516" s="15">
        <v>9800000.0</v>
      </c>
      <c r="EB516" s="15">
        <v>7980000.0</v>
      </c>
      <c r="EC516" s="15">
        <v>6050000.0</v>
      </c>
      <c r="ED516" s="15">
        <v>7830000.0</v>
      </c>
      <c r="EE516" s="17">
        <v>0.191</v>
      </c>
      <c r="EF516" s="17">
        <v>0.234</v>
      </c>
      <c r="EG516" s="17">
        <v>0.056</v>
      </c>
      <c r="EH516" s="17">
        <v>0.085</v>
      </c>
    </row>
    <row r="517">
      <c r="A517" s="9">
        <f t="shared" si="2"/>
        <v>515</v>
      </c>
      <c r="B517" s="10" t="s">
        <v>652</v>
      </c>
      <c r="C517" s="15">
        <v>4830000.0</v>
      </c>
      <c r="D517" s="15">
        <v>4510000.0</v>
      </c>
      <c r="E517" s="15">
        <v>4480000.0</v>
      </c>
      <c r="F517" s="15">
        <v>4490000.0</v>
      </c>
      <c r="G517" s="15">
        <v>4080000.0</v>
      </c>
      <c r="H517" s="15">
        <v>4000000.0</v>
      </c>
      <c r="I517" s="15">
        <v>4100000.0</v>
      </c>
      <c r="J517" s="15">
        <v>291000.0</v>
      </c>
      <c r="K517" s="15">
        <v>274500.0</v>
      </c>
      <c r="L517" s="15">
        <v>330100.0</v>
      </c>
      <c r="M517" s="15">
        <v>453400.0</v>
      </c>
      <c r="N517" s="15">
        <v>382000.0</v>
      </c>
      <c r="O517" s="15">
        <v>195700.0</v>
      </c>
      <c r="P517" s="15">
        <v>194700.0</v>
      </c>
      <c r="Q517" s="15">
        <v>173200.0</v>
      </c>
      <c r="R517" s="15">
        <v>187400.0</v>
      </c>
      <c r="S517" s="15">
        <v>183900.0</v>
      </c>
      <c r="T517" s="15"/>
      <c r="U517" s="15">
        <v>3200.0</v>
      </c>
      <c r="V517" s="15">
        <v>3300.0</v>
      </c>
      <c r="W517" s="15">
        <v>3300.0</v>
      </c>
      <c r="X517" s="15">
        <v>3900.0</v>
      </c>
      <c r="Y517" s="15">
        <v>85900.0</v>
      </c>
      <c r="Z517" s="15">
        <v>26200.0</v>
      </c>
      <c r="AA517" s="15">
        <v>154200.0</v>
      </c>
      <c r="AB517" s="15">
        <v>236200.0</v>
      </c>
      <c r="AC517" s="15">
        <v>128700.0</v>
      </c>
      <c r="AD517" s="15">
        <v>90700.0</v>
      </c>
      <c r="AE517" s="15">
        <v>200.0</v>
      </c>
      <c r="AF517" s="15">
        <v>144100.0</v>
      </c>
      <c r="AG517" s="15">
        <v>237400.0</v>
      </c>
      <c r="AH517" s="15">
        <v>80100.0</v>
      </c>
      <c r="AI517" s="15">
        <v>193400.0</v>
      </c>
      <c r="AJ517" s="15">
        <v>179000.0</v>
      </c>
      <c r="AK517" s="15">
        <v>236800.0</v>
      </c>
      <c r="AL517" s="15">
        <v>344500.0</v>
      </c>
      <c r="AM517" s="15">
        <v>270500.0</v>
      </c>
      <c r="AN517" s="15">
        <v>66500.0</v>
      </c>
      <c r="AO517" s="15">
        <v>-21900.0</v>
      </c>
      <c r="AP517" s="15">
        <v>120800.0</v>
      </c>
      <c r="AQ517" s="15">
        <v>225100.0</v>
      </c>
      <c r="AR517" s="15">
        <v>62400.0</v>
      </c>
      <c r="AS517" s="15">
        <v>169100.0</v>
      </c>
      <c r="AT517" s="15">
        <v>246600.0</v>
      </c>
      <c r="AU517" s="15">
        <v>194200.0</v>
      </c>
      <c r="AV517" s="15">
        <v>331700.0</v>
      </c>
      <c r="AW517" s="15">
        <v>231100.0</v>
      </c>
      <c r="AX517" s="15">
        <v>-122300.0</v>
      </c>
      <c r="AY517" s="15">
        <v>-150500.0</v>
      </c>
      <c r="AZ517" s="15">
        <v>-138500.0</v>
      </c>
      <c r="BA517" s="15">
        <v>-146700.0</v>
      </c>
      <c r="BB517" s="15">
        <v>-131600.0</v>
      </c>
      <c r="BC517" s="15">
        <v>-6700.0</v>
      </c>
      <c r="BD517" s="15">
        <v>-29000.0</v>
      </c>
      <c r="BE517" s="15">
        <v>-30100.0</v>
      </c>
      <c r="BF517" s="15">
        <v>-28200.0</v>
      </c>
      <c r="BG517" s="15">
        <v>-26200.0</v>
      </c>
      <c r="BH517" s="15">
        <v>33300.0</v>
      </c>
      <c r="BI517" s="15">
        <v>21300.0</v>
      </c>
      <c r="BJ517" s="15">
        <v>25100.0</v>
      </c>
      <c r="BK517" s="15">
        <v>20100.0</v>
      </c>
      <c r="BL517" s="15">
        <v>24900.0</v>
      </c>
      <c r="BM517" s="15">
        <v>439000.0</v>
      </c>
      <c r="BN517" s="15">
        <v>473500.0</v>
      </c>
      <c r="BO517" s="15">
        <v>432400.0</v>
      </c>
      <c r="BP517" s="15">
        <v>412200.0</v>
      </c>
      <c r="BQ517" s="15">
        <v>417400.0</v>
      </c>
      <c r="BR517" s="15">
        <v>551800.0</v>
      </c>
      <c r="BS517" s="15">
        <v>565300.0</v>
      </c>
      <c r="BT517" s="15">
        <v>541800.0</v>
      </c>
      <c r="BU517" s="15">
        <v>493200.0</v>
      </c>
      <c r="BV517" s="15">
        <v>481900.0</v>
      </c>
      <c r="BW517" s="15">
        <v>1050000.0</v>
      </c>
      <c r="BX517" s="15">
        <v>1140000.0</v>
      </c>
      <c r="BY517" s="15">
        <v>1020000.0</v>
      </c>
      <c r="BZ517" s="15">
        <v>961100.0</v>
      </c>
      <c r="CA517" s="15">
        <v>985800.0</v>
      </c>
      <c r="CB517" s="15">
        <v>1570000.0</v>
      </c>
      <c r="CC517" s="15">
        <v>1390000.0</v>
      </c>
      <c r="CD517" s="15">
        <v>1330000.0</v>
      </c>
      <c r="CE517" s="15">
        <v>1270000.0</v>
      </c>
      <c r="CF517" s="15">
        <v>1220000.0</v>
      </c>
      <c r="CG517" s="15">
        <v>423700.0</v>
      </c>
      <c r="CH517" s="15">
        <v>423400.0</v>
      </c>
      <c r="CI517" s="15">
        <v>261900.0</v>
      </c>
      <c r="CJ517" s="15">
        <v>260900.0</v>
      </c>
      <c r="CK517" s="15">
        <v>263700.0</v>
      </c>
      <c r="CL517" s="15">
        <v>3350000.0</v>
      </c>
      <c r="CM517" s="15">
        <v>3260000.0</v>
      </c>
      <c r="CN517" s="15">
        <v>2770000.0</v>
      </c>
      <c r="CO517" s="15">
        <v>2650000.0</v>
      </c>
      <c r="CP517" s="15">
        <v>2600000.0</v>
      </c>
      <c r="CQ517" s="15">
        <v>284900.0</v>
      </c>
      <c r="CR517" s="15">
        <v>330800.0</v>
      </c>
      <c r="CS517" s="15">
        <v>182900.0</v>
      </c>
      <c r="CT517" s="15">
        <v>162500.0</v>
      </c>
      <c r="CU517" s="15">
        <v>174100.0</v>
      </c>
      <c r="CV517" s="15">
        <v>562900.0</v>
      </c>
      <c r="CW517" s="15">
        <v>32500.0</v>
      </c>
      <c r="CX517" s="15"/>
      <c r="CY517" s="15"/>
      <c r="CZ517" s="15"/>
      <c r="DA517" s="15"/>
      <c r="DB517" s="15">
        <v>562900.0</v>
      </c>
      <c r="DC517" s="15">
        <v>586000.0</v>
      </c>
      <c r="DD517" s="15">
        <v>393800.0</v>
      </c>
      <c r="DE517" s="15">
        <v>369100.0</v>
      </c>
      <c r="DF517" s="15">
        <v>1550000.0</v>
      </c>
      <c r="DG517" s="15">
        <v>1490000.0</v>
      </c>
      <c r="DH517" s="15">
        <v>975700.0</v>
      </c>
      <c r="DI517" s="15">
        <v>836900.0</v>
      </c>
      <c r="DJ517" s="15">
        <v>845200.0</v>
      </c>
      <c r="DK517" s="15">
        <v>1900.0</v>
      </c>
      <c r="DL517" s="15">
        <v>6100.0</v>
      </c>
      <c r="DM517" s="15">
        <v>2000.0</v>
      </c>
      <c r="DN517" s="15">
        <v>2000.0</v>
      </c>
      <c r="DO517" s="15">
        <v>2000.0</v>
      </c>
      <c r="DP517" s="15">
        <v>689500.0</v>
      </c>
      <c r="DQ517" s="15">
        <v>661900.0</v>
      </c>
      <c r="DR517" s="15">
        <v>357000.0</v>
      </c>
      <c r="DS517" s="15">
        <v>231700.0</v>
      </c>
      <c r="DT517" s="15">
        <v>252700.0</v>
      </c>
      <c r="DU517" s="13"/>
      <c r="DV517" s="15"/>
      <c r="DW517" s="15"/>
      <c r="DX517" s="15"/>
      <c r="DY517" s="13"/>
      <c r="DZ517" s="15">
        <v>1720000.0</v>
      </c>
      <c r="EA517" s="15">
        <v>1690000.0</v>
      </c>
      <c r="EB517" s="15">
        <v>1770000.0</v>
      </c>
      <c r="EC517" s="15">
        <v>1790000.0</v>
      </c>
      <c r="ED517" s="15">
        <v>1710000.0</v>
      </c>
      <c r="EE517" s="17">
        <v>0.0</v>
      </c>
      <c r="EF517" s="17">
        <v>0.0</v>
      </c>
      <c r="EG517" s="17">
        <v>0.227</v>
      </c>
      <c r="EH517" s="17">
        <v>-3.236</v>
      </c>
    </row>
    <row r="518">
      <c r="A518" s="9">
        <f t="shared" si="2"/>
        <v>516</v>
      </c>
      <c r="B518" s="10" t="s">
        <v>653</v>
      </c>
      <c r="C518" s="11">
        <v>7.508E7</v>
      </c>
      <c r="D518" s="11">
        <v>7.166E7</v>
      </c>
      <c r="E518" s="11">
        <v>6.922E7</v>
      </c>
      <c r="F518" s="11">
        <v>6.969E7</v>
      </c>
      <c r="G518" s="11">
        <v>6.545E7</v>
      </c>
      <c r="H518" s="11">
        <v>6.032E7</v>
      </c>
      <c r="I518" s="11">
        <v>5.037E7</v>
      </c>
      <c r="J518" s="11">
        <v>1.334E7</v>
      </c>
      <c r="K518" s="11">
        <v>1.483E7</v>
      </c>
      <c r="L518" s="11">
        <v>1.41E7</v>
      </c>
      <c r="M518" s="11">
        <v>1.377E7</v>
      </c>
      <c r="N518" s="11">
        <v>1.183E7</v>
      </c>
      <c r="O518" s="11">
        <v>1.049E7</v>
      </c>
      <c r="P518" s="11">
        <v>1.004E7</v>
      </c>
      <c r="Q518" s="11">
        <v>8970000.0</v>
      </c>
      <c r="R518" s="11">
        <v>8340000.0</v>
      </c>
      <c r="S518" s="11">
        <v>8310000.0</v>
      </c>
      <c r="T518" s="12"/>
      <c r="U518" s="12"/>
      <c r="V518" s="12"/>
      <c r="W518" s="12"/>
      <c r="X518" s="12"/>
      <c r="Y518" s="11">
        <v>2420000.0</v>
      </c>
      <c r="Z518" s="11">
        <v>4470000.0</v>
      </c>
      <c r="AA518" s="11">
        <v>-857000.0</v>
      </c>
      <c r="AB518" s="11">
        <v>5040000.0</v>
      </c>
      <c r="AC518" s="11">
        <v>-438000.0</v>
      </c>
      <c r="AD518" s="11">
        <v>1670000.0</v>
      </c>
      <c r="AE518" s="11">
        <v>655000.0</v>
      </c>
      <c r="AF518" s="11">
        <v>4350000.0</v>
      </c>
      <c r="AG518" s="11">
        <v>4580000.0</v>
      </c>
      <c r="AH518" s="11">
        <v>2740000.0</v>
      </c>
      <c r="AI518" s="11">
        <v>6470000.0</v>
      </c>
      <c r="AJ518" s="11">
        <v>8140000.0</v>
      </c>
      <c r="AK518" s="11">
        <v>8220000.0</v>
      </c>
      <c r="AL518" s="11">
        <v>8420000.0</v>
      </c>
      <c r="AM518" s="11">
        <v>6150000.0</v>
      </c>
      <c r="AN518" s="11">
        <v>1280000.0</v>
      </c>
      <c r="AO518" s="11">
        <v>539000.0</v>
      </c>
      <c r="AP518" s="11">
        <v>4570000.0</v>
      </c>
      <c r="AQ518" s="11">
        <v>2990000.0</v>
      </c>
      <c r="AR518" s="11">
        <v>1820000.0</v>
      </c>
      <c r="AS518" s="11">
        <v>5100000.0</v>
      </c>
      <c r="AT518" s="11">
        <v>5610000.0</v>
      </c>
      <c r="AU518" s="11">
        <v>4670000.0</v>
      </c>
      <c r="AV518" s="11">
        <v>4930000.0</v>
      </c>
      <c r="AW518" s="11">
        <v>5710000.0</v>
      </c>
      <c r="AX518" s="11">
        <v>-5870000.0</v>
      </c>
      <c r="AY518" s="11">
        <v>-5490000.0</v>
      </c>
      <c r="AZ518" s="11">
        <v>-5660000.0</v>
      </c>
      <c r="BA518" s="11">
        <v>-5120000.0</v>
      </c>
      <c r="BB518" s="11">
        <v>-4830000.0</v>
      </c>
      <c r="BC518" s="11">
        <v>-679000.0</v>
      </c>
      <c r="BD518" s="11">
        <v>-683000.0</v>
      </c>
      <c r="BE518" s="11">
        <v>-535000.0</v>
      </c>
      <c r="BF518" s="11">
        <v>-426000.0</v>
      </c>
      <c r="BG518" s="11">
        <v>-277000.0</v>
      </c>
      <c r="BH518" s="11">
        <v>4880000.0</v>
      </c>
      <c r="BI518" s="11">
        <v>2320000.0</v>
      </c>
      <c r="BJ518" s="11">
        <v>3270000.0</v>
      </c>
      <c r="BK518" s="11">
        <v>3970000.0</v>
      </c>
      <c r="BL518" s="11">
        <v>3530000.0</v>
      </c>
      <c r="BM518" s="11">
        <v>1.056E7</v>
      </c>
      <c r="BN518" s="11">
        <v>9120000.0</v>
      </c>
      <c r="BO518" s="11">
        <v>8480000.0</v>
      </c>
      <c r="BP518" s="11">
        <v>7600000.0</v>
      </c>
      <c r="BQ518" s="11">
        <v>7250000.0</v>
      </c>
      <c r="BR518" s="11">
        <v>572000.0</v>
      </c>
      <c r="BS518" s="11">
        <v>553000.0</v>
      </c>
      <c r="BT518" s="11">
        <v>525000.0</v>
      </c>
      <c r="BU518" s="11">
        <v>514000.0</v>
      </c>
      <c r="BV518" s="11">
        <v>496000.0</v>
      </c>
      <c r="BW518" s="11">
        <v>1.638E7</v>
      </c>
      <c r="BX518" s="11">
        <v>1.309E7</v>
      </c>
      <c r="BY518" s="11">
        <v>1.334E7</v>
      </c>
      <c r="BZ518" s="11">
        <v>1.263E7</v>
      </c>
      <c r="CA518" s="11">
        <v>1.199E7</v>
      </c>
      <c r="CB518" s="11">
        <v>4.753E7</v>
      </c>
      <c r="CC518" s="11">
        <v>3.043E7</v>
      </c>
      <c r="CD518" s="11">
        <v>2.815E7</v>
      </c>
      <c r="CE518" s="11">
        <v>2.671E7</v>
      </c>
      <c r="CF518" s="11">
        <v>2.428E7</v>
      </c>
      <c r="CG518" s="11">
        <v>6370000.0</v>
      </c>
      <c r="CH518" s="11">
        <v>6880000.0</v>
      </c>
      <c r="CI518" s="11">
        <v>6970000.0</v>
      </c>
      <c r="CJ518" s="11">
        <v>7150000.0</v>
      </c>
      <c r="CK518" s="11">
        <v>6750000.0</v>
      </c>
      <c r="CL518" s="11">
        <v>7.354E7</v>
      </c>
      <c r="CM518" s="11">
        <v>5.44E7</v>
      </c>
      <c r="CN518" s="11">
        <v>5.233E7</v>
      </c>
      <c r="CO518" s="11">
        <v>4.855E7</v>
      </c>
      <c r="CP518" s="11">
        <v>4.596E7</v>
      </c>
      <c r="CQ518" s="11">
        <v>3270000.0</v>
      </c>
      <c r="CR518" s="11">
        <v>3030000.0</v>
      </c>
      <c r="CS518" s="11">
        <v>2980000.0</v>
      </c>
      <c r="CT518" s="11">
        <v>2750000.0</v>
      </c>
      <c r="CU518" s="11">
        <v>2940000.0</v>
      </c>
      <c r="CV518" s="11">
        <v>1.034E7</v>
      </c>
      <c r="CW518" s="11">
        <v>1920000.0</v>
      </c>
      <c r="CX518" s="12"/>
      <c r="CY518" s="12"/>
      <c r="CZ518" s="12"/>
      <c r="DA518" s="12"/>
      <c r="DB518" s="11">
        <v>1.034E7</v>
      </c>
      <c r="DC518" s="11">
        <v>9010000.0</v>
      </c>
      <c r="DD518" s="11">
        <v>9630000.0</v>
      </c>
      <c r="DE518" s="11">
        <v>7920000.0</v>
      </c>
      <c r="DF518" s="11">
        <v>5.524E7</v>
      </c>
      <c r="DG518" s="11">
        <v>3.665E7</v>
      </c>
      <c r="DH518" s="11">
        <v>3.291E7</v>
      </c>
      <c r="DI518" s="11">
        <v>3.248E7</v>
      </c>
      <c r="DJ518" s="11">
        <v>3.218E7</v>
      </c>
      <c r="DK518" s="12"/>
      <c r="DL518" s="11"/>
      <c r="DM518" s="11"/>
      <c r="DN518" s="11"/>
      <c r="DO518" s="12"/>
      <c r="DP518" s="11">
        <v>3.415E7</v>
      </c>
      <c r="DQ518" s="11">
        <v>1.662E7</v>
      </c>
      <c r="DR518" s="11">
        <v>1.524E7</v>
      </c>
      <c r="DS518" s="11">
        <v>1.491E7</v>
      </c>
      <c r="DT518" s="11">
        <v>1.373E7</v>
      </c>
      <c r="DU518" s="13"/>
      <c r="DV518" s="12"/>
      <c r="DW518" s="12"/>
      <c r="DX518" s="12"/>
      <c r="DY518" s="12"/>
      <c r="DZ518" s="11">
        <v>1.83E7</v>
      </c>
      <c r="EA518" s="11">
        <v>1.776E7</v>
      </c>
      <c r="EB518" s="11">
        <v>1.942E7</v>
      </c>
      <c r="EC518" s="11">
        <v>1.607E7</v>
      </c>
      <c r="ED518" s="11">
        <v>1.378E7</v>
      </c>
      <c r="EE518" s="14">
        <v>0.108</v>
      </c>
      <c r="EF518" s="14">
        <v>0.11</v>
      </c>
      <c r="EG518" s="14">
        <v>0.664</v>
      </c>
      <c r="EH518" s="14">
        <v>0.135</v>
      </c>
    </row>
    <row r="519">
      <c r="A519" s="9">
        <f t="shared" si="2"/>
        <v>517</v>
      </c>
      <c r="B519" s="22" t="s">
        <v>654</v>
      </c>
      <c r="C519" s="11">
        <v>56830.0</v>
      </c>
      <c r="D519" s="11">
        <v>3250.0</v>
      </c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1">
        <v>17260.0</v>
      </c>
      <c r="P519" s="11">
        <v>13490.0</v>
      </c>
      <c r="Q519" s="11">
        <v>9020.0</v>
      </c>
      <c r="R519" s="11">
        <v>3800.0</v>
      </c>
      <c r="S519" s="11">
        <v>2420.0</v>
      </c>
      <c r="T519" s="11">
        <v>7440.0</v>
      </c>
      <c r="U519" s="11">
        <v>6490.0</v>
      </c>
      <c r="V519" s="11">
        <v>2510.0</v>
      </c>
      <c r="W519" s="11">
        <v>625.0</v>
      </c>
      <c r="X519" s="11">
        <v>328.0</v>
      </c>
      <c r="Y519" s="12"/>
      <c r="Z519" s="11">
        <v>-13280.0</v>
      </c>
      <c r="AA519" s="11">
        <v>-9200.0</v>
      </c>
      <c r="AB519" s="11">
        <v>-3740.0</v>
      </c>
      <c r="AC519" s="11">
        <v>-835.0</v>
      </c>
      <c r="AD519" s="11">
        <v>-16950.0</v>
      </c>
      <c r="AE519" s="11">
        <v>-12820.0</v>
      </c>
      <c r="AF519" s="11">
        <v>-9150.0</v>
      </c>
      <c r="AG519" s="11">
        <v>-3700.0</v>
      </c>
      <c r="AH519" s="11">
        <v>-843.0</v>
      </c>
      <c r="AI519" s="11">
        <v>-17260.0</v>
      </c>
      <c r="AJ519" s="11">
        <v>-13490.0</v>
      </c>
      <c r="AK519" s="11">
        <v>-9020.0</v>
      </c>
      <c r="AL519" s="11">
        <v>-3800.0</v>
      </c>
      <c r="AM519" s="11">
        <v>-2420.0</v>
      </c>
      <c r="AN519" s="11">
        <v>-16950.0</v>
      </c>
      <c r="AO519" s="11">
        <v>-12820.0</v>
      </c>
      <c r="AP519" s="11">
        <v>-9150.0</v>
      </c>
      <c r="AQ519" s="11">
        <v>-3700.0</v>
      </c>
      <c r="AR519" s="11">
        <v>-843.0</v>
      </c>
      <c r="AS519" s="11">
        <v>-12020.0</v>
      </c>
      <c r="AT519" s="11">
        <v>-10140.0</v>
      </c>
      <c r="AU519" s="11">
        <v>-4730.0</v>
      </c>
      <c r="AV519" s="11">
        <v>-2810.0</v>
      </c>
      <c r="AW519" s="11">
        <v>-2380.0</v>
      </c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1">
        <v>17700.0</v>
      </c>
      <c r="BI519" s="11">
        <v>31110.0</v>
      </c>
      <c r="BJ519" s="11">
        <v>35410.0</v>
      </c>
      <c r="BK519" s="11">
        <v>5260.0</v>
      </c>
      <c r="BL519" s="11">
        <v>1310.0</v>
      </c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1">
        <v>18000.0</v>
      </c>
      <c r="BX519" s="11">
        <v>31350.0</v>
      </c>
      <c r="BY519" s="11">
        <v>35590.0</v>
      </c>
      <c r="BZ519" s="11">
        <v>5330.0</v>
      </c>
      <c r="CA519" s="11">
        <v>1420.0</v>
      </c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1">
        <v>18340.0</v>
      </c>
      <c r="CM519" s="11">
        <v>31350.0</v>
      </c>
      <c r="CN519" s="11">
        <v>35590.0</v>
      </c>
      <c r="CO519" s="11">
        <v>5330.0</v>
      </c>
      <c r="CP519" s="11">
        <v>1420.0</v>
      </c>
      <c r="CQ519" s="12"/>
      <c r="CR519" s="12"/>
      <c r="CS519" s="12"/>
      <c r="CT519" s="12"/>
      <c r="CU519" s="12"/>
      <c r="CV519" s="11">
        <v>2940.0</v>
      </c>
      <c r="CW519" s="12"/>
      <c r="CX519" s="12"/>
      <c r="CY519" s="12"/>
      <c r="CZ519" s="12"/>
      <c r="DA519" s="12"/>
      <c r="DB519" s="11">
        <v>2940.0</v>
      </c>
      <c r="DC519" s="11">
        <v>2240.0</v>
      </c>
      <c r="DD519" s="11">
        <v>2060.0</v>
      </c>
      <c r="DE519" s="11">
        <v>539.0</v>
      </c>
      <c r="DF519" s="11">
        <v>2940.0</v>
      </c>
      <c r="DG519" s="11">
        <v>2240.0</v>
      </c>
      <c r="DH519" s="11">
        <v>2060.0</v>
      </c>
      <c r="DI519" s="11">
        <v>539.0</v>
      </c>
      <c r="DJ519" s="11">
        <v>654.0</v>
      </c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3"/>
      <c r="DV519" s="12"/>
      <c r="DW519" s="12"/>
      <c r="DX519" s="13"/>
      <c r="DY519" s="13"/>
      <c r="DZ519" s="11">
        <v>15400.0</v>
      </c>
      <c r="EA519" s="11">
        <v>29110.0</v>
      </c>
      <c r="EB519" s="11">
        <v>33530.0</v>
      </c>
      <c r="EC519" s="11">
        <v>4790.0</v>
      </c>
      <c r="ED519" s="11">
        <v>761.0</v>
      </c>
      <c r="EE519" s="23"/>
      <c r="EF519" s="14">
        <v>1.679</v>
      </c>
      <c r="EG519" s="14">
        <v>-0.167</v>
      </c>
      <c r="EH519" s="14">
        <v>0.0</v>
      </c>
    </row>
    <row r="520">
      <c r="A520" s="9">
        <f t="shared" si="2"/>
        <v>518</v>
      </c>
      <c r="B520" s="10" t="s">
        <v>655</v>
      </c>
      <c r="C520" s="15">
        <v>946300.0</v>
      </c>
      <c r="D520" s="15">
        <v>889870.0</v>
      </c>
      <c r="E520" s="15">
        <v>889150.0</v>
      </c>
      <c r="F520" s="15">
        <v>830950.0</v>
      </c>
      <c r="G520" s="15">
        <v>779650.0</v>
      </c>
      <c r="H520" s="15">
        <v>714110.0</v>
      </c>
      <c r="I520" s="15">
        <v>622970.0</v>
      </c>
      <c r="J520" s="15">
        <v>563960.0</v>
      </c>
      <c r="K520" s="15">
        <v>542750.0</v>
      </c>
      <c r="L520" s="15">
        <v>489370.0</v>
      </c>
      <c r="M520" s="15">
        <v>442250.0</v>
      </c>
      <c r="N520" s="15">
        <v>389760.0</v>
      </c>
      <c r="O520" s="15">
        <v>763730.0</v>
      </c>
      <c r="P520" s="15">
        <v>725150.0</v>
      </c>
      <c r="Q520" s="15">
        <v>729470.0</v>
      </c>
      <c r="R520" s="15">
        <v>854180.0</v>
      </c>
      <c r="S520" s="15">
        <v>897420.0</v>
      </c>
      <c r="T520" s="15">
        <v>270880.0</v>
      </c>
      <c r="U520" s="15">
        <v>253580.0</v>
      </c>
      <c r="V520" s="15">
        <v>242530.0</v>
      </c>
      <c r="W520" s="15">
        <v>279590.0</v>
      </c>
      <c r="X520" s="15">
        <v>279470.0</v>
      </c>
      <c r="Y520" s="15">
        <v>-210030.0</v>
      </c>
      <c r="Z520" s="15">
        <v>-193200.0</v>
      </c>
      <c r="AA520" s="15">
        <v>0.0</v>
      </c>
      <c r="AB520" s="15">
        <v>-444320.0</v>
      </c>
      <c r="AC520" s="15">
        <v>0.0</v>
      </c>
      <c r="AD520" s="15">
        <v>-251720.0</v>
      </c>
      <c r="AE520" s="15">
        <v>-237600.0</v>
      </c>
      <c r="AF520" s="15">
        <v>-280550.0</v>
      </c>
      <c r="AG520" s="15">
        <v>-488850.0</v>
      </c>
      <c r="AH520" s="15">
        <v>-535130.0</v>
      </c>
      <c r="AI520" s="15">
        <v>-96460.0</v>
      </c>
      <c r="AJ520" s="15">
        <v>-95900.0</v>
      </c>
      <c r="AK520" s="15">
        <v>-136680.0</v>
      </c>
      <c r="AL520" s="15">
        <v>-296430.0</v>
      </c>
      <c r="AM520" s="15">
        <v>-399360.0</v>
      </c>
      <c r="AN520" s="15">
        <v>-257410.0</v>
      </c>
      <c r="AO520" s="15">
        <v>-243120.0</v>
      </c>
      <c r="AP520" s="15">
        <v>-285180.0</v>
      </c>
      <c r="AQ520" s="15">
        <v>-480130.0</v>
      </c>
      <c r="AR520" s="15">
        <v>-539220.0</v>
      </c>
      <c r="AS520" s="15">
        <v>67540.0</v>
      </c>
      <c r="AT520" s="15">
        <v>17380.0</v>
      </c>
      <c r="AU520" s="15">
        <v>17640.0</v>
      </c>
      <c r="AV520" s="15">
        <v>-14590.0</v>
      </c>
      <c r="AW520" s="15">
        <v>37020.0</v>
      </c>
      <c r="AX520" s="15">
        <v>-45610.0</v>
      </c>
      <c r="AY520" s="15">
        <v>-50830.0</v>
      </c>
      <c r="AZ520" s="15">
        <v>-43780.0</v>
      </c>
      <c r="BA520" s="15">
        <v>-36310.0</v>
      </c>
      <c r="BB520" s="15">
        <v>-54550.0</v>
      </c>
      <c r="BC520" s="15">
        <v>0.0</v>
      </c>
      <c r="BD520" s="16">
        <v>0.0</v>
      </c>
      <c r="BE520" s="16">
        <v>0.0</v>
      </c>
      <c r="BF520" s="16">
        <v>0.0</v>
      </c>
      <c r="BG520" s="16">
        <v>0.0</v>
      </c>
      <c r="BH520" s="15">
        <v>1040000.0</v>
      </c>
      <c r="BI520" s="15">
        <v>1120000.0</v>
      </c>
      <c r="BJ520" s="15">
        <v>896800.0</v>
      </c>
      <c r="BK520" s="15">
        <v>935730.0</v>
      </c>
      <c r="BL520" s="15">
        <v>1170000.0</v>
      </c>
      <c r="BM520" s="15">
        <v>171460.0</v>
      </c>
      <c r="BN520" s="15">
        <v>157820.0</v>
      </c>
      <c r="BO520" s="15">
        <v>146320.0</v>
      </c>
      <c r="BP520" s="15">
        <v>121150.0</v>
      </c>
      <c r="BQ520" s="15">
        <v>172750.0</v>
      </c>
      <c r="BR520" s="15">
        <v>5890.0</v>
      </c>
      <c r="BS520" s="15">
        <v>6550.0</v>
      </c>
      <c r="BT520" s="15">
        <v>5750.0</v>
      </c>
      <c r="BU520" s="15">
        <v>5960.0</v>
      </c>
      <c r="BV520" s="15">
        <v>13750.0</v>
      </c>
      <c r="BW520" s="15">
        <v>1240000.0</v>
      </c>
      <c r="BX520" s="15">
        <v>1310000.0</v>
      </c>
      <c r="BY520" s="15">
        <v>1080000.0</v>
      </c>
      <c r="BZ520" s="15">
        <v>1090000.0</v>
      </c>
      <c r="CA520" s="15">
        <v>1390000.0</v>
      </c>
      <c r="CB520" s="15">
        <v>152570.0</v>
      </c>
      <c r="CC520" s="15">
        <v>89160.0</v>
      </c>
      <c r="CD520" s="15">
        <v>71360.0</v>
      </c>
      <c r="CE520" s="15">
        <v>61850.0</v>
      </c>
      <c r="CF520" s="15">
        <v>78370.0</v>
      </c>
      <c r="CG520" s="15">
        <v>1210000.0</v>
      </c>
      <c r="CH520" s="15">
        <v>999800.0</v>
      </c>
      <c r="CI520" s="15">
        <v>984660.0</v>
      </c>
      <c r="CJ520" s="15">
        <v>978260.0</v>
      </c>
      <c r="CK520" s="15">
        <v>750290.0</v>
      </c>
      <c r="CL520" s="15">
        <v>2890000.0</v>
      </c>
      <c r="CM520" s="15">
        <v>2700000.0</v>
      </c>
      <c r="CN520" s="15">
        <v>2460000.0</v>
      </c>
      <c r="CO520" s="15">
        <v>2380000.0</v>
      </c>
      <c r="CP520" s="15">
        <v>2440000.0</v>
      </c>
      <c r="CQ520" s="15">
        <v>26270.0</v>
      </c>
      <c r="CR520" s="15">
        <v>26940.0</v>
      </c>
      <c r="CS520" s="15">
        <v>35680.0</v>
      </c>
      <c r="CT520" s="15">
        <v>20270.0</v>
      </c>
      <c r="CU520" s="15">
        <v>43650.0</v>
      </c>
      <c r="CV520" s="15">
        <v>849950.0</v>
      </c>
      <c r="CW520" s="15">
        <v>18440.0</v>
      </c>
      <c r="CX520" s="16">
        <v>0.0</v>
      </c>
      <c r="CY520" s="15">
        <v>0.0</v>
      </c>
      <c r="CZ520" s="16">
        <v>0.0</v>
      </c>
      <c r="DA520" s="15">
        <v>0.0</v>
      </c>
      <c r="DB520" s="15">
        <v>849950.0</v>
      </c>
      <c r="DC520" s="15">
        <v>677360.0</v>
      </c>
      <c r="DD520" s="15">
        <v>661460.0</v>
      </c>
      <c r="DE520" s="15">
        <v>536390.0</v>
      </c>
      <c r="DF520" s="15">
        <v>2190000.0</v>
      </c>
      <c r="DG520" s="15">
        <v>2050000.0</v>
      </c>
      <c r="DH520" s="15">
        <v>1830000.0</v>
      </c>
      <c r="DI520" s="15">
        <v>1540000.0</v>
      </c>
      <c r="DJ520" s="15">
        <v>1400000.0</v>
      </c>
      <c r="DK520" s="15">
        <v>0.0</v>
      </c>
      <c r="DL520" s="15">
        <v>0.0</v>
      </c>
      <c r="DM520" s="15">
        <v>2100.0</v>
      </c>
      <c r="DN520" s="15">
        <v>0.0</v>
      </c>
      <c r="DO520" s="15">
        <v>0.0</v>
      </c>
      <c r="DP520" s="15">
        <v>963750.0</v>
      </c>
      <c r="DQ520" s="15">
        <v>962580.0</v>
      </c>
      <c r="DR520" s="15">
        <v>779580.0</v>
      </c>
      <c r="DS520" s="15">
        <v>741980.0</v>
      </c>
      <c r="DT520" s="15">
        <v>706200.0</v>
      </c>
      <c r="DU520" s="16">
        <v>0.0</v>
      </c>
      <c r="DV520" s="15">
        <v>0.0</v>
      </c>
      <c r="DW520" s="15">
        <v>0.0</v>
      </c>
      <c r="DX520" s="15">
        <v>0.0</v>
      </c>
      <c r="DY520" s="16">
        <v>0.0</v>
      </c>
      <c r="DZ520" s="15">
        <v>701670.0</v>
      </c>
      <c r="EA520" s="15">
        <v>650390.0</v>
      </c>
      <c r="EB520" s="15">
        <v>632220.0</v>
      </c>
      <c r="EC520" s="15">
        <v>841110.0</v>
      </c>
      <c r="ED520" s="15">
        <v>1040000.0</v>
      </c>
      <c r="EE520" s="17">
        <v>0.024</v>
      </c>
      <c r="EF520" s="17">
        <v>0.121</v>
      </c>
      <c r="EG520" s="17">
        <v>0.5</v>
      </c>
      <c r="EH520" s="17">
        <v>0.063</v>
      </c>
    </row>
    <row r="521">
      <c r="A521" s="9">
        <f t="shared" si="2"/>
        <v>519</v>
      </c>
      <c r="B521" s="25" t="s">
        <v>656</v>
      </c>
      <c r="C521" s="15"/>
      <c r="D521" s="15"/>
      <c r="E521" s="15">
        <v>205230.0</v>
      </c>
      <c r="F521" s="15">
        <v>291020.0</v>
      </c>
      <c r="G521" s="15">
        <v>275030.0</v>
      </c>
      <c r="H521" s="15">
        <v>253190.0</v>
      </c>
      <c r="I521" s="15">
        <v>299610.0</v>
      </c>
      <c r="J521" s="15">
        <v>75440.0</v>
      </c>
      <c r="K521" s="15">
        <v>72770.0</v>
      </c>
      <c r="L521" s="15">
        <v>24110.0</v>
      </c>
      <c r="M521" s="15">
        <v>53080.0</v>
      </c>
      <c r="N521" s="15">
        <v>47950.0</v>
      </c>
      <c r="O521" s="15">
        <v>8830.0</v>
      </c>
      <c r="P521" s="15">
        <v>9960.0</v>
      </c>
      <c r="Q521" s="15">
        <v>10370.0</v>
      </c>
      <c r="R521" s="15">
        <v>10340.0</v>
      </c>
      <c r="S521" s="15">
        <v>10080.0</v>
      </c>
      <c r="T521" s="15">
        <v>3190.0</v>
      </c>
      <c r="U521" s="15">
        <v>3520.0</v>
      </c>
      <c r="V521" s="15">
        <v>3660.0</v>
      </c>
      <c r="W521" s="15">
        <v>2720.0</v>
      </c>
      <c r="X521" s="15">
        <v>2740.0</v>
      </c>
      <c r="Y521" s="15">
        <v>72890.0</v>
      </c>
      <c r="Z521" s="15">
        <v>49570.0</v>
      </c>
      <c r="AA521" s="12"/>
      <c r="AB521" s="15"/>
      <c r="AC521" s="15">
        <v>46970.0</v>
      </c>
      <c r="AD521" s="15">
        <v>79800.0</v>
      </c>
      <c r="AE521" s="15">
        <v>60180.0</v>
      </c>
      <c r="AF521" s="15">
        <v>16650.0</v>
      </c>
      <c r="AG521" s="15">
        <v>40810.0</v>
      </c>
      <c r="AH521" s="15">
        <v>51870.0</v>
      </c>
      <c r="AI521" s="15">
        <v>78700.0</v>
      </c>
      <c r="AJ521" s="15">
        <v>73760.0</v>
      </c>
      <c r="AK521" s="15">
        <v>25380.0</v>
      </c>
      <c r="AL521" s="15">
        <v>53560.0</v>
      </c>
      <c r="AM521" s="15">
        <v>48060.0</v>
      </c>
      <c r="AN521" s="15">
        <v>88180.0</v>
      </c>
      <c r="AO521" s="15">
        <v>53140.0</v>
      </c>
      <c r="AP521" s="15">
        <v>23480.0</v>
      </c>
      <c r="AQ521" s="15">
        <v>56230.0</v>
      </c>
      <c r="AR521" s="15">
        <v>46120.0</v>
      </c>
      <c r="AS521" s="15">
        <v>34640.0</v>
      </c>
      <c r="AT521" s="15">
        <v>85610.0</v>
      </c>
      <c r="AU521" s="15">
        <v>39350.0</v>
      </c>
      <c r="AV521" s="15">
        <v>90980.0</v>
      </c>
      <c r="AW521" s="15">
        <v>39620.0</v>
      </c>
      <c r="AX521" s="15">
        <v>-6970.0</v>
      </c>
      <c r="AY521" s="15">
        <v>-4870.0</v>
      </c>
      <c r="AZ521" s="15">
        <v>-3580.0</v>
      </c>
      <c r="BA521" s="15">
        <v>-4500.0</v>
      </c>
      <c r="BB521" s="15">
        <v>-8630.0</v>
      </c>
      <c r="BC521" s="15">
        <v>-10500.0</v>
      </c>
      <c r="BD521" s="15">
        <v>-10500.0</v>
      </c>
      <c r="BE521" s="15">
        <v>-110690.0</v>
      </c>
      <c r="BF521" s="15">
        <v>-10490.0</v>
      </c>
      <c r="BG521" s="15">
        <v>-10490.0</v>
      </c>
      <c r="BH521" s="15">
        <v>316950.0</v>
      </c>
      <c r="BI521" s="15">
        <v>294860.0</v>
      </c>
      <c r="BJ521" s="15">
        <v>235330.0</v>
      </c>
      <c r="BK521" s="15">
        <v>305420.0</v>
      </c>
      <c r="BL521" s="15">
        <v>228720.0</v>
      </c>
      <c r="BM521" s="15">
        <v>122930.0</v>
      </c>
      <c r="BN521" s="15">
        <v>25000.0</v>
      </c>
      <c r="BO521" s="15">
        <v>29080.0</v>
      </c>
      <c r="BP521" s="15">
        <v>45250.0</v>
      </c>
      <c r="BQ521" s="15">
        <v>60440.0</v>
      </c>
      <c r="BR521" s="15">
        <v>37570.0</v>
      </c>
      <c r="BS521" s="15">
        <v>39300.0</v>
      </c>
      <c r="BT521" s="15">
        <v>43750.0</v>
      </c>
      <c r="BU521" s="15">
        <v>52090.0</v>
      </c>
      <c r="BV521" s="15">
        <v>64960.0</v>
      </c>
      <c r="BW521" s="15">
        <v>480890.0</v>
      </c>
      <c r="BX521" s="15">
        <v>362190.0</v>
      </c>
      <c r="BY521" s="15">
        <v>310210.0</v>
      </c>
      <c r="BZ521" s="15">
        <v>405140.0</v>
      </c>
      <c r="CA521" s="15">
        <v>359680.0</v>
      </c>
      <c r="CB521" s="15">
        <v>100150.0</v>
      </c>
      <c r="CC521" s="15">
        <v>103580.0</v>
      </c>
      <c r="CD521" s="15">
        <v>109740.0</v>
      </c>
      <c r="CE521" s="15">
        <v>118150.0</v>
      </c>
      <c r="CF521" s="15">
        <v>124330.0</v>
      </c>
      <c r="CG521" s="15"/>
      <c r="CH521" s="15"/>
      <c r="CI521" s="15"/>
      <c r="CJ521" s="15"/>
      <c r="CK521" s="15"/>
      <c r="CL521" s="15">
        <v>597760.0</v>
      </c>
      <c r="CM521" s="15">
        <v>478820.0</v>
      </c>
      <c r="CN521" s="15">
        <v>433820.0</v>
      </c>
      <c r="CO521" s="15">
        <v>529040.0</v>
      </c>
      <c r="CP521" s="15">
        <v>489110.0</v>
      </c>
      <c r="CQ521" s="15">
        <v>62550.0</v>
      </c>
      <c r="CR521" s="15">
        <v>21670.0</v>
      </c>
      <c r="CS521" s="15">
        <v>19580.0</v>
      </c>
      <c r="CT521" s="15">
        <v>24050.0</v>
      </c>
      <c r="CU521" s="15">
        <v>34690.0</v>
      </c>
      <c r="CV521" s="15">
        <v>82760.0</v>
      </c>
      <c r="CW521" s="15">
        <v>537.0</v>
      </c>
      <c r="CX521" s="13"/>
      <c r="CY521" s="15"/>
      <c r="CZ521" s="15"/>
      <c r="DA521" s="15"/>
      <c r="DB521" s="15">
        <v>82760.0</v>
      </c>
      <c r="DC521" s="15">
        <v>39490.0</v>
      </c>
      <c r="DD521" s="15">
        <v>35280.0</v>
      </c>
      <c r="DE521" s="15">
        <v>144050.0</v>
      </c>
      <c r="DF521" s="15">
        <v>130660.0</v>
      </c>
      <c r="DG521" s="15">
        <v>89740.0</v>
      </c>
      <c r="DH521" s="15">
        <v>82220.0</v>
      </c>
      <c r="DI521" s="15">
        <v>196230.0</v>
      </c>
      <c r="DJ521" s="15">
        <v>94800.0</v>
      </c>
      <c r="DK521" s="15"/>
      <c r="DL521" s="15"/>
      <c r="DM521" s="15"/>
      <c r="DN521" s="15"/>
      <c r="DO521" s="15"/>
      <c r="DP521" s="15">
        <v>1.272E7</v>
      </c>
      <c r="DQ521" s="15">
        <v>1.242E7</v>
      </c>
      <c r="DR521" s="15">
        <v>1.153E7</v>
      </c>
      <c r="DS521" s="15">
        <v>1.172E7</v>
      </c>
      <c r="DT521" s="15">
        <v>1.237E7</v>
      </c>
      <c r="DU521" s="13"/>
      <c r="DV521" s="12"/>
      <c r="DW521" s="15"/>
      <c r="DX521" s="15"/>
      <c r="DY521" s="13"/>
      <c r="DZ521" s="15">
        <v>467100.0</v>
      </c>
      <c r="EA521" s="15">
        <v>389080.0</v>
      </c>
      <c r="EB521" s="15">
        <v>351600.0</v>
      </c>
      <c r="EC521" s="15">
        <v>332810.0</v>
      </c>
      <c r="ED521" s="15">
        <v>394310.0</v>
      </c>
      <c r="EE521" s="23"/>
      <c r="EF521" s="23"/>
      <c r="EG521" s="23" t="s">
        <v>155</v>
      </c>
      <c r="EH521" s="23"/>
    </row>
    <row r="522">
      <c r="A522" s="9">
        <f t="shared" si="2"/>
        <v>520</v>
      </c>
      <c r="B522" s="22" t="s">
        <v>657</v>
      </c>
      <c r="C522" s="11">
        <v>490020.0</v>
      </c>
      <c r="D522" s="11">
        <v>259450.0</v>
      </c>
      <c r="E522" s="11">
        <v>256580.0</v>
      </c>
      <c r="F522" s="11">
        <v>212960.0</v>
      </c>
      <c r="G522" s="11">
        <v>131000.0</v>
      </c>
      <c r="H522" s="11">
        <v>179580.0</v>
      </c>
      <c r="I522" s="11">
        <v>180830.0</v>
      </c>
      <c r="J522" s="11">
        <v>233980.0</v>
      </c>
      <c r="K522" s="12"/>
      <c r="L522" s="12"/>
      <c r="M522" s="12"/>
      <c r="N522" s="12"/>
      <c r="O522" s="11">
        <v>323290.0</v>
      </c>
      <c r="P522" s="11">
        <v>293090.0</v>
      </c>
      <c r="Q522" s="11">
        <v>242180.0</v>
      </c>
      <c r="R522" s="11">
        <v>227190.0</v>
      </c>
      <c r="S522" s="11">
        <v>252770.0</v>
      </c>
      <c r="T522" s="11">
        <v>209270.0</v>
      </c>
      <c r="U522" s="11">
        <v>235840.0</v>
      </c>
      <c r="V522" s="11">
        <v>196520.0</v>
      </c>
      <c r="W522" s="11">
        <v>187210.0</v>
      </c>
      <c r="X522" s="11">
        <v>214090.0</v>
      </c>
      <c r="Y522" s="12"/>
      <c r="Z522" s="12"/>
      <c r="AA522" s="12"/>
      <c r="AB522" s="12"/>
      <c r="AC522" s="12"/>
      <c r="AD522" s="11">
        <v>-76640.0</v>
      </c>
      <c r="AE522" s="11">
        <v>-86120.0</v>
      </c>
      <c r="AF522" s="11">
        <v>-120550.0</v>
      </c>
      <c r="AG522" s="11">
        <v>-61750.0</v>
      </c>
      <c r="AH522" s="11">
        <v>-85540.0</v>
      </c>
      <c r="AI522" s="11">
        <v>-67860.0</v>
      </c>
      <c r="AJ522" s="11">
        <v>-80130.0</v>
      </c>
      <c r="AK522" s="11">
        <v>-111180.0</v>
      </c>
      <c r="AL522" s="11">
        <v>-47610.0</v>
      </c>
      <c r="AM522" s="11">
        <v>-71950.0</v>
      </c>
      <c r="AN522" s="11">
        <v>-76970.0</v>
      </c>
      <c r="AO522" s="11">
        <v>-86420.0</v>
      </c>
      <c r="AP522" s="11">
        <v>-120880.0</v>
      </c>
      <c r="AQ522" s="11">
        <v>-61680.0</v>
      </c>
      <c r="AR522" s="11">
        <v>-85780.0</v>
      </c>
      <c r="AS522" s="11">
        <v>-78710.0</v>
      </c>
      <c r="AT522" s="11">
        <v>-76180.0</v>
      </c>
      <c r="AU522" s="11">
        <v>-67540.0</v>
      </c>
      <c r="AV522" s="11">
        <v>7110.0</v>
      </c>
      <c r="AW522" s="11">
        <v>-18570.0</v>
      </c>
      <c r="AX522" s="11">
        <v>-5760.0</v>
      </c>
      <c r="AY522" s="11">
        <v>-8020.0</v>
      </c>
      <c r="AZ522" s="11">
        <v>-8500.0</v>
      </c>
      <c r="BA522" s="11">
        <v>-1250.0</v>
      </c>
      <c r="BB522" s="11">
        <v>-1980.0</v>
      </c>
      <c r="BC522" s="12"/>
      <c r="BD522" s="12"/>
      <c r="BE522" s="12"/>
      <c r="BF522" s="12"/>
      <c r="BG522" s="12"/>
      <c r="BH522" s="11">
        <v>533760.0</v>
      </c>
      <c r="BI522" s="11">
        <v>621400.0</v>
      </c>
      <c r="BJ522" s="11">
        <v>735720.0</v>
      </c>
      <c r="BK522" s="11">
        <v>253180.0</v>
      </c>
      <c r="BL522" s="11">
        <v>181170.0</v>
      </c>
      <c r="BM522" s="11">
        <v>153670.0</v>
      </c>
      <c r="BN522" s="11">
        <v>63680.0</v>
      </c>
      <c r="BO522" s="11">
        <v>8450.0</v>
      </c>
      <c r="BP522" s="11">
        <v>10450.0</v>
      </c>
      <c r="BQ522" s="11">
        <v>15410.0</v>
      </c>
      <c r="BR522" s="11">
        <v>6890.0</v>
      </c>
      <c r="BS522" s="12"/>
      <c r="BT522" s="12"/>
      <c r="BU522" s="12"/>
      <c r="BV522" s="12"/>
      <c r="BW522" s="11">
        <v>702490.0</v>
      </c>
      <c r="BX522" s="11">
        <v>690020.0</v>
      </c>
      <c r="BY522" s="11">
        <v>748970.0</v>
      </c>
      <c r="BZ522" s="11">
        <v>266520.0</v>
      </c>
      <c r="CA522" s="11">
        <v>200560.0</v>
      </c>
      <c r="CB522" s="11">
        <v>84280.0</v>
      </c>
      <c r="CC522" s="11">
        <v>127200.0</v>
      </c>
      <c r="CD522" s="11">
        <v>129480.0</v>
      </c>
      <c r="CE522" s="11">
        <v>123660.0</v>
      </c>
      <c r="CF522" s="11">
        <v>129020.0</v>
      </c>
      <c r="CG522" s="12"/>
      <c r="CH522" s="12"/>
      <c r="CI522" s="12"/>
      <c r="CJ522" s="12"/>
      <c r="CK522" s="12"/>
      <c r="CL522" s="11">
        <v>857400.0</v>
      </c>
      <c r="CM522" s="11">
        <v>880600.0</v>
      </c>
      <c r="CN522" s="11">
        <v>898650.0</v>
      </c>
      <c r="CO522" s="11">
        <v>469550.0</v>
      </c>
      <c r="CP522" s="11">
        <v>470570.0</v>
      </c>
      <c r="CQ522" s="11">
        <v>6090.0</v>
      </c>
      <c r="CR522" s="11">
        <v>9140.0</v>
      </c>
      <c r="CS522" s="11">
        <v>5510.0</v>
      </c>
      <c r="CT522" s="11">
        <v>6220.0</v>
      </c>
      <c r="CU522" s="11">
        <v>6520.0</v>
      </c>
      <c r="CV522" s="11">
        <v>102750.0</v>
      </c>
      <c r="CW522" s="11">
        <v>983.0</v>
      </c>
      <c r="CX522" s="12"/>
      <c r="CY522" s="12"/>
      <c r="CZ522" s="12"/>
      <c r="DA522" s="12"/>
      <c r="DB522" s="11">
        <v>102750.0</v>
      </c>
      <c r="DC522" s="11">
        <v>89030.0</v>
      </c>
      <c r="DD522" s="11">
        <v>85960.0</v>
      </c>
      <c r="DE522" s="11">
        <v>65130.0</v>
      </c>
      <c r="DF522" s="11">
        <v>321990.0</v>
      </c>
      <c r="DG522" s="11">
        <v>352130.0</v>
      </c>
      <c r="DH522" s="11">
        <v>350910.0</v>
      </c>
      <c r="DI522" s="11">
        <v>294440.0</v>
      </c>
      <c r="DJ522" s="11">
        <v>273750.0</v>
      </c>
      <c r="DK522" s="11">
        <v>63190.0</v>
      </c>
      <c r="DL522" s="11">
        <v>59970.0</v>
      </c>
      <c r="DM522" s="11">
        <v>15690.0</v>
      </c>
      <c r="DN522" s="11">
        <v>77230.0</v>
      </c>
      <c r="DO522" s="11">
        <v>138970.0</v>
      </c>
      <c r="DP522" s="11">
        <v>50270.0</v>
      </c>
      <c r="DQ522" s="11">
        <v>107960.0</v>
      </c>
      <c r="DR522" s="11">
        <v>109110.0</v>
      </c>
      <c r="DS522" s="11">
        <v>107310.0</v>
      </c>
      <c r="DT522" s="11">
        <v>107330.0</v>
      </c>
      <c r="DU522" s="13"/>
      <c r="DV522" s="12"/>
      <c r="DW522" s="12"/>
      <c r="DX522" s="13"/>
      <c r="DY522" s="13"/>
      <c r="DZ522" s="11">
        <v>516140.0</v>
      </c>
      <c r="EA522" s="11">
        <v>509200.0</v>
      </c>
      <c r="EB522" s="11">
        <v>528470.0</v>
      </c>
      <c r="EC522" s="11">
        <v>155840.0</v>
      </c>
      <c r="ED522" s="11">
        <v>177550.0</v>
      </c>
      <c r="EE522" s="14">
        <v>0.666</v>
      </c>
      <c r="EF522" s="14">
        <v>0.519</v>
      </c>
      <c r="EG522" s="14">
        <v>-0.484</v>
      </c>
      <c r="EH522" s="14">
        <v>-0.675</v>
      </c>
    </row>
    <row r="523">
      <c r="A523" s="9">
        <f t="shared" si="2"/>
        <v>521</v>
      </c>
      <c r="B523" s="25" t="s">
        <v>658</v>
      </c>
      <c r="C523" s="15">
        <v>1150000.0</v>
      </c>
      <c r="D523" s="15">
        <v>1190000.0</v>
      </c>
      <c r="E523" s="15">
        <v>1430000.0</v>
      </c>
      <c r="F523" s="15">
        <v>1500000.0</v>
      </c>
      <c r="G523" s="15">
        <v>1630000.0</v>
      </c>
      <c r="H523" s="15">
        <v>2160000.0</v>
      </c>
      <c r="I523" s="15">
        <v>1860000.0</v>
      </c>
      <c r="J523" s="15">
        <v>432670.0</v>
      </c>
      <c r="K523" s="15">
        <v>595170.0</v>
      </c>
      <c r="L523" s="15">
        <v>763270.0</v>
      </c>
      <c r="M523" s="15">
        <v>1040000.0</v>
      </c>
      <c r="N523" s="15">
        <v>948770.0</v>
      </c>
      <c r="O523" s="15">
        <v>702940.0</v>
      </c>
      <c r="P523" s="15">
        <v>792890.0</v>
      </c>
      <c r="Q523" s="15">
        <v>884180.0</v>
      </c>
      <c r="R523" s="15">
        <v>957070.0</v>
      </c>
      <c r="S523" s="15">
        <v>563790.0</v>
      </c>
      <c r="T523" s="15">
        <v>280390.0</v>
      </c>
      <c r="U523" s="15">
        <v>332170.0</v>
      </c>
      <c r="V523" s="15">
        <v>343010.0</v>
      </c>
      <c r="W523" s="15">
        <v>320190.0</v>
      </c>
      <c r="X523" s="15">
        <v>150040.0</v>
      </c>
      <c r="Y523" s="15">
        <v>-322840.0</v>
      </c>
      <c r="Z523" s="15">
        <v>-197470.0</v>
      </c>
      <c r="AA523" s="15">
        <v>-189870.0</v>
      </c>
      <c r="AB523" s="15">
        <v>-10410.0</v>
      </c>
      <c r="AC523" s="15">
        <v>296320.0</v>
      </c>
      <c r="AD523" s="15">
        <v>-309070.0</v>
      </c>
      <c r="AE523" s="15">
        <v>-184140.0</v>
      </c>
      <c r="AF523" s="15">
        <v>-194640.0</v>
      </c>
      <c r="AG523" s="15">
        <v>-109300.0</v>
      </c>
      <c r="AH523" s="15">
        <v>287950.0</v>
      </c>
      <c r="AI523" s="15">
        <v>-188260.0</v>
      </c>
      <c r="AJ523" s="15">
        <v>-140900.0</v>
      </c>
      <c r="AK523" s="15">
        <v>-129060.0</v>
      </c>
      <c r="AL523" s="15">
        <v>-64200.0</v>
      </c>
      <c r="AM523" s="15">
        <v>350450.0</v>
      </c>
      <c r="AN523" s="15">
        <v>-320710.0</v>
      </c>
      <c r="AO523" s="15">
        <v>-185830.0</v>
      </c>
      <c r="AP523" s="15">
        <v>-277190.0</v>
      </c>
      <c r="AQ523" s="15">
        <v>-102780.0</v>
      </c>
      <c r="AR523" s="15">
        <v>116540.0</v>
      </c>
      <c r="AS523" s="15">
        <v>-133940.0</v>
      </c>
      <c r="AT523" s="15">
        <v>113210.0</v>
      </c>
      <c r="AU523" s="15">
        <v>64240.0</v>
      </c>
      <c r="AV523" s="15">
        <v>138720.0</v>
      </c>
      <c r="AW523" s="15">
        <v>109160.0</v>
      </c>
      <c r="AX523" s="15">
        <v>-36530.0</v>
      </c>
      <c r="AY523" s="15">
        <v>-52880.0</v>
      </c>
      <c r="AZ523" s="15">
        <v>-89160.0</v>
      </c>
      <c r="BA523" s="15">
        <v>-78640.0</v>
      </c>
      <c r="BB523" s="15">
        <v>-30570.0</v>
      </c>
      <c r="BC523" s="13"/>
      <c r="BD523" s="13"/>
      <c r="BE523" s="13"/>
      <c r="BF523" s="13"/>
      <c r="BG523" s="13"/>
      <c r="BH523" s="15">
        <v>518500.0</v>
      </c>
      <c r="BI523" s="15">
        <v>723450.0</v>
      </c>
      <c r="BJ523" s="15">
        <v>679300.0</v>
      </c>
      <c r="BK523" s="15">
        <v>706010.0</v>
      </c>
      <c r="BL523" s="15">
        <v>664480.0</v>
      </c>
      <c r="BM523" s="15">
        <v>435840.0</v>
      </c>
      <c r="BN523" s="15">
        <v>421170.0</v>
      </c>
      <c r="BO523" s="15">
        <v>521200.0</v>
      </c>
      <c r="BP523" s="15">
        <v>478310.0</v>
      </c>
      <c r="BQ523" s="15">
        <v>469260.0</v>
      </c>
      <c r="BR523" s="15">
        <v>136750.0</v>
      </c>
      <c r="BS523" s="15">
        <v>124870.0</v>
      </c>
      <c r="BT523" s="15">
        <v>123900.0</v>
      </c>
      <c r="BU523" s="15">
        <v>230390.0</v>
      </c>
      <c r="BV523" s="15">
        <v>178150.0</v>
      </c>
      <c r="BW523" s="15">
        <v>1120000.0</v>
      </c>
      <c r="BX523" s="15">
        <v>1310000.0</v>
      </c>
      <c r="BY523" s="15">
        <v>1380000.0</v>
      </c>
      <c r="BZ523" s="15">
        <v>1480000.0</v>
      </c>
      <c r="CA523" s="15">
        <v>1360000.0</v>
      </c>
      <c r="CB523" s="15">
        <v>154370.0</v>
      </c>
      <c r="CC523" s="15">
        <v>106290.0</v>
      </c>
      <c r="CD523" s="15">
        <v>104910.0</v>
      </c>
      <c r="CE523" s="15">
        <v>76550.0</v>
      </c>
      <c r="CF523" s="15">
        <v>44500.0</v>
      </c>
      <c r="CG523" s="15">
        <v>64810.0</v>
      </c>
      <c r="CH523" s="15">
        <v>60980.0</v>
      </c>
      <c r="CI523" s="15">
        <v>51040.0</v>
      </c>
      <c r="CJ523" s="15">
        <v>51040.0</v>
      </c>
      <c r="CK523" s="15">
        <v>22160.0</v>
      </c>
      <c r="CL523" s="15">
        <v>1370000.0</v>
      </c>
      <c r="CM523" s="15">
        <v>1520000.0</v>
      </c>
      <c r="CN523" s="15">
        <v>1580000.0</v>
      </c>
      <c r="CO523" s="15">
        <v>1820000.0</v>
      </c>
      <c r="CP523" s="15">
        <v>1520000.0</v>
      </c>
      <c r="CQ523" s="15">
        <v>194630.0</v>
      </c>
      <c r="CR523" s="15">
        <v>251660.0</v>
      </c>
      <c r="CS523" s="15">
        <v>212730.0</v>
      </c>
      <c r="CT523" s="15">
        <v>313770.0</v>
      </c>
      <c r="CU523" s="15">
        <v>260840.0</v>
      </c>
      <c r="CV523" s="15">
        <v>764610.0</v>
      </c>
      <c r="CW523" s="15">
        <v>24900.0</v>
      </c>
      <c r="CX523" s="15"/>
      <c r="CY523" s="15"/>
      <c r="CZ523" s="15"/>
      <c r="DA523" s="15"/>
      <c r="DB523" s="15">
        <v>764610.0</v>
      </c>
      <c r="DC523" s="15">
        <v>719380.0</v>
      </c>
      <c r="DD523" s="15">
        <v>701300.0</v>
      </c>
      <c r="DE523" s="15">
        <v>756340.0</v>
      </c>
      <c r="DF523" s="15">
        <v>880820.0</v>
      </c>
      <c r="DG523" s="15">
        <v>779610.0</v>
      </c>
      <c r="DH523" s="15">
        <v>758110.0</v>
      </c>
      <c r="DI523" s="15">
        <v>823390.0</v>
      </c>
      <c r="DJ523" s="15">
        <v>537620.0</v>
      </c>
      <c r="DK523" s="15"/>
      <c r="DL523" s="15"/>
      <c r="DM523" s="15"/>
      <c r="DN523" s="12"/>
      <c r="DO523" s="15"/>
      <c r="DP523" s="15">
        <v>67900.0</v>
      </c>
      <c r="DQ523" s="15"/>
      <c r="DR523" s="15"/>
      <c r="DS523" s="15"/>
      <c r="DT523" s="15"/>
      <c r="DU523" s="13"/>
      <c r="DV523" s="12"/>
      <c r="DW523" s="12"/>
      <c r="DX523" s="13"/>
      <c r="DY523" s="13"/>
      <c r="DZ523" s="15">
        <v>487260.0</v>
      </c>
      <c r="EA523" s="15">
        <v>735940.0</v>
      </c>
      <c r="EB523" s="15">
        <v>823960.0</v>
      </c>
      <c r="EC523" s="15">
        <v>998530.0</v>
      </c>
      <c r="ED523" s="15">
        <v>981450.0</v>
      </c>
      <c r="EE523" s="17">
        <v>0.017</v>
      </c>
      <c r="EF523" s="17">
        <v>0.31</v>
      </c>
      <c r="EG523" s="17">
        <v>0.455</v>
      </c>
      <c r="EH523" s="17">
        <v>-1.261</v>
      </c>
    </row>
    <row r="524">
      <c r="A524" s="9">
        <f t="shared" si="2"/>
        <v>522</v>
      </c>
      <c r="B524" s="32" t="s">
        <v>659</v>
      </c>
      <c r="C524" s="11">
        <v>2410000.0</v>
      </c>
      <c r="D524" s="11">
        <v>1820000.0</v>
      </c>
      <c r="E524" s="11">
        <v>1850000.0</v>
      </c>
      <c r="F524" s="11">
        <v>1560000.0</v>
      </c>
      <c r="G524" s="11">
        <v>1280000.0</v>
      </c>
      <c r="H524" s="11">
        <v>1000000.0</v>
      </c>
      <c r="I524" s="11">
        <v>831950.0</v>
      </c>
      <c r="J524" s="11">
        <v>618990.0</v>
      </c>
      <c r="K524" s="11">
        <v>523630.0</v>
      </c>
      <c r="L524" s="11">
        <v>430170.0</v>
      </c>
      <c r="M524" s="11">
        <v>330410.0</v>
      </c>
      <c r="N524" s="11">
        <v>269710.0</v>
      </c>
      <c r="O524" s="11">
        <v>392400.0</v>
      </c>
      <c r="P524" s="11">
        <v>329950.0</v>
      </c>
      <c r="Q524" s="11">
        <v>272780.0</v>
      </c>
      <c r="R524" s="11">
        <v>216440.0</v>
      </c>
      <c r="S524" s="11">
        <v>176770.0</v>
      </c>
      <c r="T524" s="11"/>
      <c r="U524" s="11"/>
      <c r="V524" s="11"/>
      <c r="W524" s="11"/>
      <c r="X524" s="11"/>
      <c r="Y524" s="11"/>
      <c r="Z524" s="11"/>
      <c r="AA524" s="12"/>
      <c r="AB524" s="11"/>
      <c r="AC524" s="11"/>
      <c r="AD524" s="11">
        <v>221570.0</v>
      </c>
      <c r="AE524" s="11">
        <v>191810.0</v>
      </c>
      <c r="AF524" s="11">
        <v>158850.0</v>
      </c>
      <c r="AG524" s="11">
        <v>114260.0</v>
      </c>
      <c r="AH524" s="11">
        <v>92660.0</v>
      </c>
      <c r="AI524" s="11">
        <v>281560.0</v>
      </c>
      <c r="AJ524" s="11">
        <v>235140.0</v>
      </c>
      <c r="AK524" s="11">
        <v>190630.0</v>
      </c>
      <c r="AL524" s="11">
        <v>140590.0</v>
      </c>
      <c r="AM524" s="11">
        <v>115170.0</v>
      </c>
      <c r="AN524" s="11">
        <v>175060.0</v>
      </c>
      <c r="AO524" s="11">
        <v>149650.0</v>
      </c>
      <c r="AP524" s="11">
        <v>102450.0</v>
      </c>
      <c r="AQ524" s="11">
        <v>71840.0</v>
      </c>
      <c r="AR524" s="11">
        <v>57680.0</v>
      </c>
      <c r="AS524" s="11">
        <v>173110.0</v>
      </c>
      <c r="AT524" s="11">
        <v>184130.0</v>
      </c>
      <c r="AU524" s="11">
        <v>167380.0</v>
      </c>
      <c r="AV524" s="11">
        <v>106620.0</v>
      </c>
      <c r="AW524" s="11">
        <v>87910.0</v>
      </c>
      <c r="AX524" s="11">
        <v>-212300.0</v>
      </c>
      <c r="AY524" s="11">
        <v>-113720.0</v>
      </c>
      <c r="AZ524" s="11">
        <v>-67800.0</v>
      </c>
      <c r="BA524" s="11">
        <v>-44790.0</v>
      </c>
      <c r="BB524" s="11">
        <v>-53060.0</v>
      </c>
      <c r="BC524" s="12"/>
      <c r="BD524" s="12"/>
      <c r="BE524" s="12"/>
      <c r="BF524" s="12"/>
      <c r="BG524" s="12"/>
      <c r="BH524" s="11">
        <v>261720.0</v>
      </c>
      <c r="BI524" s="11">
        <v>337160.0</v>
      </c>
      <c r="BJ524" s="11">
        <v>244630.0</v>
      </c>
      <c r="BK524" s="11">
        <v>153880.0</v>
      </c>
      <c r="BL524" s="11">
        <v>99420.0</v>
      </c>
      <c r="BM524" s="11"/>
      <c r="BN524" s="11"/>
      <c r="BO524" s="11"/>
      <c r="BP524" s="11"/>
      <c r="BQ524" s="11"/>
      <c r="BR524" s="11">
        <v>324030.0</v>
      </c>
      <c r="BS524" s="11">
        <v>243640.0</v>
      </c>
      <c r="BT524" s="11">
        <v>187040.0</v>
      </c>
      <c r="BU524" s="11">
        <v>154450.0</v>
      </c>
      <c r="BV524" s="11">
        <v>148370.0</v>
      </c>
      <c r="BW524" s="11">
        <v>665710.0</v>
      </c>
      <c r="BX524" s="11">
        <v>642260.0</v>
      </c>
      <c r="BY524" s="11">
        <v>479360.0</v>
      </c>
      <c r="BZ524" s="11">
        <v>339790.0</v>
      </c>
      <c r="CA524" s="11">
        <v>264750.0</v>
      </c>
      <c r="CB524" s="11">
        <v>1280000.0</v>
      </c>
      <c r="CC524" s="11">
        <v>301300.0</v>
      </c>
      <c r="CD524" s="11">
        <v>180350.0</v>
      </c>
      <c r="CE524" s="11">
        <v>138380.0</v>
      </c>
      <c r="CF524" s="11">
        <v>119780.0</v>
      </c>
      <c r="CG524" s="11"/>
      <c r="CH524" s="11"/>
      <c r="CI524" s="11"/>
      <c r="CJ524" s="11"/>
      <c r="CK524" s="11"/>
      <c r="CL524" s="11">
        <v>2220000.0</v>
      </c>
      <c r="CM524" s="11">
        <v>988780.0</v>
      </c>
      <c r="CN524" s="11">
        <v>722850.0</v>
      </c>
      <c r="CO524" s="11">
        <v>532350.0</v>
      </c>
      <c r="CP524" s="11">
        <v>421240.0</v>
      </c>
      <c r="CQ524" s="11">
        <v>130240.0</v>
      </c>
      <c r="CR524" s="11">
        <v>103690.0</v>
      </c>
      <c r="CS524" s="11">
        <v>73030.0</v>
      </c>
      <c r="CT524" s="11">
        <v>51180.0</v>
      </c>
      <c r="CU524" s="11">
        <v>58230.0</v>
      </c>
      <c r="CV524" s="11">
        <v>351350.0</v>
      </c>
      <c r="CW524" s="11">
        <v>110470.0</v>
      </c>
      <c r="CX524" s="12"/>
      <c r="CY524" s="12"/>
      <c r="CZ524" s="13"/>
      <c r="DA524" s="12"/>
      <c r="DB524" s="11">
        <v>351350.0</v>
      </c>
      <c r="DC524" s="11">
        <v>253110.0</v>
      </c>
      <c r="DD524" s="11">
        <v>164460.0</v>
      </c>
      <c r="DE524" s="11">
        <v>116560.0</v>
      </c>
      <c r="DF524" s="11">
        <v>1460000.0</v>
      </c>
      <c r="DG524" s="11">
        <v>373690.0</v>
      </c>
      <c r="DH524" s="11">
        <v>264290.0</v>
      </c>
      <c r="DI524" s="11">
        <v>200950.0</v>
      </c>
      <c r="DJ524" s="11">
        <v>176760.0</v>
      </c>
      <c r="DK524" s="11"/>
      <c r="DL524" s="11"/>
      <c r="DM524" s="11">
        <v>27700.0</v>
      </c>
      <c r="DN524" s="11">
        <v>10510.0</v>
      </c>
      <c r="DO524" s="11"/>
      <c r="DP524" s="11">
        <v>837620.0</v>
      </c>
      <c r="DQ524" s="12"/>
      <c r="DR524" s="12"/>
      <c r="DS524" s="12"/>
      <c r="DT524" s="12"/>
      <c r="DU524" s="13"/>
      <c r="DV524" s="12"/>
      <c r="DW524" s="12"/>
      <c r="DX524" s="12"/>
      <c r="DY524" s="12"/>
      <c r="DZ524" s="11">
        <v>759780.0</v>
      </c>
      <c r="EA524" s="11">
        <v>615090.0</v>
      </c>
      <c r="EB524" s="11">
        <v>458560.0</v>
      </c>
      <c r="EC524" s="11">
        <v>331410.0</v>
      </c>
      <c r="ED524" s="11">
        <v>244480.0</v>
      </c>
      <c r="EE524" s="14">
        <v>0.088</v>
      </c>
      <c r="EF524" s="14">
        <v>0.104</v>
      </c>
      <c r="EG524" s="14">
        <v>-1.758</v>
      </c>
      <c r="EH524" s="14">
        <v>-0.417</v>
      </c>
    </row>
    <row r="525">
      <c r="A525" s="9">
        <f t="shared" si="2"/>
        <v>523</v>
      </c>
      <c r="B525" s="32" t="s">
        <v>660</v>
      </c>
      <c r="C525" s="11">
        <v>2870000.0</v>
      </c>
      <c r="D525" s="11">
        <v>2970000.0</v>
      </c>
      <c r="E525" s="11">
        <v>2620000.0</v>
      </c>
      <c r="F525" s="11">
        <v>2180000.0</v>
      </c>
      <c r="G525" s="11">
        <v>1790000.0</v>
      </c>
      <c r="H525" s="11">
        <v>1630000.0</v>
      </c>
      <c r="I525" s="11">
        <v>1580000.0</v>
      </c>
      <c r="J525" s="11">
        <v>479290.0</v>
      </c>
      <c r="K525" s="11">
        <v>428970.0</v>
      </c>
      <c r="L525" s="11">
        <v>354520.0</v>
      </c>
      <c r="M525" s="11">
        <v>337840.0</v>
      </c>
      <c r="N525" s="11">
        <v>311230.0</v>
      </c>
      <c r="O525" s="11">
        <v>317350.0</v>
      </c>
      <c r="P525" s="11">
        <v>279680.0</v>
      </c>
      <c r="Q525" s="11">
        <v>254830.0</v>
      </c>
      <c r="R525" s="11">
        <v>236940.0</v>
      </c>
      <c r="S525" s="11">
        <v>213770.0</v>
      </c>
      <c r="T525" s="12"/>
      <c r="U525" s="12"/>
      <c r="V525" s="12"/>
      <c r="W525" s="12"/>
      <c r="X525" s="12"/>
      <c r="Y525" s="11">
        <v>158950.0</v>
      </c>
      <c r="Z525" s="11">
        <v>147230.0</v>
      </c>
      <c r="AA525" s="11">
        <v>103310.0</v>
      </c>
      <c r="AB525" s="11">
        <v>101540.0</v>
      </c>
      <c r="AC525" s="11">
        <v>89390.0</v>
      </c>
      <c r="AD525" s="11">
        <v>151740.0</v>
      </c>
      <c r="AE525" s="11">
        <v>148680.0</v>
      </c>
      <c r="AF525" s="11">
        <v>100940.0</v>
      </c>
      <c r="AG525" s="11">
        <v>101060.0</v>
      </c>
      <c r="AH525" s="11">
        <v>88660.0</v>
      </c>
      <c r="AI525" s="11">
        <v>230400.0</v>
      </c>
      <c r="AJ525" s="11">
        <v>191980.0</v>
      </c>
      <c r="AK525" s="11">
        <v>137150.0</v>
      </c>
      <c r="AL525" s="11">
        <v>127070.0</v>
      </c>
      <c r="AM525" s="11">
        <v>120880.0</v>
      </c>
      <c r="AN525" s="11">
        <v>114320.0</v>
      </c>
      <c r="AO525" s="11">
        <v>112900.0</v>
      </c>
      <c r="AP525" s="11">
        <v>55270.0</v>
      </c>
      <c r="AQ525" s="11">
        <v>64900.0</v>
      </c>
      <c r="AR525" s="11">
        <v>49360.0</v>
      </c>
      <c r="AS525" s="11">
        <v>142030.0</v>
      </c>
      <c r="AT525" s="11">
        <v>147190.0</v>
      </c>
      <c r="AU525" s="11">
        <v>114090.0</v>
      </c>
      <c r="AV525" s="11">
        <v>91190.0</v>
      </c>
      <c r="AW525" s="11">
        <v>97870.0</v>
      </c>
      <c r="AX525" s="11">
        <v>-31750.0</v>
      </c>
      <c r="AY525" s="11">
        <v>-27270.0</v>
      </c>
      <c r="AZ525" s="11">
        <v>-35470.0</v>
      </c>
      <c r="BA525" s="11">
        <v>-23220.0</v>
      </c>
      <c r="BB525" s="11">
        <v>-20810.0</v>
      </c>
      <c r="BC525" s="11">
        <v>-14540.0</v>
      </c>
      <c r="BD525" s="11">
        <v>-12270.0</v>
      </c>
      <c r="BE525" s="11">
        <v>-10990.0</v>
      </c>
      <c r="BF525" s="11">
        <v>-10260.0</v>
      </c>
      <c r="BG525" s="11">
        <v>-9360.0</v>
      </c>
      <c r="BH525" s="11">
        <v>50790.0</v>
      </c>
      <c r="BI525" s="11">
        <v>45620.0</v>
      </c>
      <c r="BJ525" s="11">
        <v>36540.0</v>
      </c>
      <c r="BK525" s="11">
        <v>32070.0</v>
      </c>
      <c r="BL525" s="11">
        <v>56460.0</v>
      </c>
      <c r="BM525" s="11">
        <v>714950.0</v>
      </c>
      <c r="BN525" s="11">
        <v>545120.0</v>
      </c>
      <c r="BO525" s="11">
        <v>434220.0</v>
      </c>
      <c r="BP525" s="11">
        <v>368570.0</v>
      </c>
      <c r="BQ525" s="11">
        <v>354030.0</v>
      </c>
      <c r="BR525" s="11">
        <v>10050.0</v>
      </c>
      <c r="BS525" s="11">
        <v>12420.0</v>
      </c>
      <c r="BT525" s="11">
        <v>10300.0</v>
      </c>
      <c r="BU525" s="11">
        <v>9210.0</v>
      </c>
      <c r="BV525" s="11">
        <v>7940.0</v>
      </c>
      <c r="BW525" s="11">
        <v>790180.0</v>
      </c>
      <c r="BX525" s="11">
        <v>609700.0</v>
      </c>
      <c r="BY525" s="11">
        <v>489360.0</v>
      </c>
      <c r="BZ525" s="11">
        <v>415960.0</v>
      </c>
      <c r="CA525" s="11">
        <v>424270.0</v>
      </c>
      <c r="CB525" s="11">
        <v>193870.0</v>
      </c>
      <c r="CC525" s="11">
        <v>99620.0</v>
      </c>
      <c r="CD525" s="11">
        <v>87590.0</v>
      </c>
      <c r="CE525" s="11">
        <v>68200.0</v>
      </c>
      <c r="CF525" s="11">
        <v>60810.0</v>
      </c>
      <c r="CG525" s="11">
        <v>332450.0</v>
      </c>
      <c r="CH525" s="11">
        <v>235180.0</v>
      </c>
      <c r="CI525" s="11">
        <v>200580.0</v>
      </c>
      <c r="CJ525" s="11">
        <v>149210.0</v>
      </c>
      <c r="CK525" s="11">
        <v>143870.0</v>
      </c>
      <c r="CL525" s="11">
        <v>1510000.0</v>
      </c>
      <c r="CM525" s="11">
        <v>1060000.0</v>
      </c>
      <c r="CN525" s="11">
        <v>881120.0</v>
      </c>
      <c r="CO525" s="11">
        <v>708900.0</v>
      </c>
      <c r="CP525" s="11">
        <v>691590.0</v>
      </c>
      <c r="CQ525" s="11">
        <v>196200.0</v>
      </c>
      <c r="CR525" s="11">
        <v>176170.0</v>
      </c>
      <c r="CS525" s="11">
        <v>132010.0</v>
      </c>
      <c r="CT525" s="11">
        <v>103440.0</v>
      </c>
      <c r="CU525" s="11">
        <v>106680.0</v>
      </c>
      <c r="CV525" s="11">
        <v>608000.0</v>
      </c>
      <c r="CW525" s="11">
        <v>14020.0</v>
      </c>
      <c r="CX525" s="13"/>
      <c r="CY525" s="13"/>
      <c r="CZ525" s="13"/>
      <c r="DA525" s="12"/>
      <c r="DB525" s="11">
        <v>608000.0</v>
      </c>
      <c r="DC525" s="11">
        <v>467060.0</v>
      </c>
      <c r="DD525" s="11">
        <v>373730.0</v>
      </c>
      <c r="DE525" s="11">
        <v>317680.0</v>
      </c>
      <c r="DF525" s="11">
        <v>919710.0</v>
      </c>
      <c r="DG525" s="11">
        <v>564520.0</v>
      </c>
      <c r="DH525" s="11">
        <v>463180.0</v>
      </c>
      <c r="DI525" s="11">
        <v>332270.0</v>
      </c>
      <c r="DJ525" s="11">
        <v>326590.0</v>
      </c>
      <c r="DK525" s="11"/>
      <c r="DL525" s="11"/>
      <c r="DM525" s="11"/>
      <c r="DN525" s="11"/>
      <c r="DO525" s="11"/>
      <c r="DP525" s="11">
        <v>278020.0</v>
      </c>
      <c r="DQ525" s="11">
        <v>73640.0</v>
      </c>
      <c r="DR525" s="11">
        <v>59930.0</v>
      </c>
      <c r="DS525" s="11">
        <v>2050.0</v>
      </c>
      <c r="DT525" s="11">
        <v>10760.0</v>
      </c>
      <c r="DU525" s="13"/>
      <c r="DV525" s="12"/>
      <c r="DW525" s="12"/>
      <c r="DX525" s="12"/>
      <c r="DY525" s="13"/>
      <c r="DZ525" s="11">
        <v>585300.0</v>
      </c>
      <c r="EA525" s="11">
        <v>498050.0</v>
      </c>
      <c r="EB525" s="11">
        <v>417950.0</v>
      </c>
      <c r="EC525" s="11">
        <v>376630.0</v>
      </c>
      <c r="ED525" s="11">
        <v>346720.0</v>
      </c>
      <c r="EE525" s="14">
        <v>0.02</v>
      </c>
      <c r="EF525" s="14">
        <v>0.059</v>
      </c>
      <c r="EG525" s="14">
        <v>1.4</v>
      </c>
      <c r="EH525" s="14">
        <v>0.49</v>
      </c>
    </row>
    <row r="526">
      <c r="A526" s="9">
        <f t="shared" si="2"/>
        <v>524</v>
      </c>
      <c r="B526" s="22" t="s">
        <v>661</v>
      </c>
      <c r="C526" s="11">
        <v>1860.0</v>
      </c>
      <c r="D526" s="11">
        <v>2280.0</v>
      </c>
      <c r="E526" s="11">
        <v>1670.0</v>
      </c>
      <c r="F526" s="11">
        <v>5320.0</v>
      </c>
      <c r="G526" s="12"/>
      <c r="H526" s="12"/>
      <c r="I526" s="12"/>
      <c r="J526" s="12"/>
      <c r="K526" s="12"/>
      <c r="L526" s="11">
        <v>-684.0</v>
      </c>
      <c r="M526" s="11">
        <v>-240.0</v>
      </c>
      <c r="N526" s="12"/>
      <c r="O526" s="11">
        <v>105290.0</v>
      </c>
      <c r="P526" s="11">
        <v>63960.0</v>
      </c>
      <c r="Q526" s="11">
        <v>28970.0</v>
      </c>
      <c r="R526" s="11">
        <v>9760.0</v>
      </c>
      <c r="S526" s="12"/>
      <c r="T526" s="11">
        <v>89400.0</v>
      </c>
      <c r="U526" s="11">
        <v>47950.0</v>
      </c>
      <c r="V526" s="11">
        <v>21380.0</v>
      </c>
      <c r="W526" s="11">
        <v>5690.0</v>
      </c>
      <c r="X526" s="12"/>
      <c r="Y526" s="12"/>
      <c r="Z526" s="12"/>
      <c r="AA526" s="11">
        <v>-30530.0</v>
      </c>
      <c r="AB526" s="11">
        <v>-8070.0</v>
      </c>
      <c r="AC526" s="12"/>
      <c r="AD526" s="11">
        <v>-103920.0</v>
      </c>
      <c r="AE526" s="11">
        <v>-55580.0</v>
      </c>
      <c r="AF526" s="11">
        <v>-29990.0</v>
      </c>
      <c r="AG526" s="11">
        <v>-8050.0</v>
      </c>
      <c r="AH526" s="12"/>
      <c r="AI526" s="11">
        <v>-103630.0</v>
      </c>
      <c r="AJ526" s="11">
        <v>-58640.0</v>
      </c>
      <c r="AK526" s="11">
        <v>-28970.0</v>
      </c>
      <c r="AL526" s="11">
        <v>-9760.0</v>
      </c>
      <c r="AM526" s="12"/>
      <c r="AN526" s="11">
        <v>-103920.0</v>
      </c>
      <c r="AO526" s="11">
        <v>-55580.0</v>
      </c>
      <c r="AP526" s="11">
        <v>-29990.0</v>
      </c>
      <c r="AQ526" s="11">
        <v>-8050.0</v>
      </c>
      <c r="AR526" s="12"/>
      <c r="AS526" s="11">
        <v>-91360.0</v>
      </c>
      <c r="AT526" s="11">
        <v>-42560.0</v>
      </c>
      <c r="AU526" s="11">
        <v>6480.0</v>
      </c>
      <c r="AV526" s="11">
        <v>-8480.0</v>
      </c>
      <c r="AW526" s="12"/>
      <c r="AX526" s="11">
        <v>-21830.0</v>
      </c>
      <c r="AY526" s="11">
        <v>-24940.0</v>
      </c>
      <c r="AZ526" s="11">
        <v>-1960.0</v>
      </c>
      <c r="BA526" s="11">
        <v>-1990.0</v>
      </c>
      <c r="BB526" s="12"/>
      <c r="BC526" s="12"/>
      <c r="BD526" s="12"/>
      <c r="BE526" s="12"/>
      <c r="BF526" s="12"/>
      <c r="BG526" s="12"/>
      <c r="BH526" s="11">
        <v>262390.0</v>
      </c>
      <c r="BI526" s="11">
        <v>214740.0</v>
      </c>
      <c r="BJ526" s="11">
        <v>129660.0</v>
      </c>
      <c r="BK526" s="11">
        <v>11390.0</v>
      </c>
      <c r="BL526" s="12"/>
      <c r="BM526" s="11">
        <v>400.0</v>
      </c>
      <c r="BN526" s="11">
        <v>800.0</v>
      </c>
      <c r="BO526" s="12"/>
      <c r="BP526" s="11">
        <v>113.0</v>
      </c>
      <c r="BQ526" s="12"/>
      <c r="BR526" s="12"/>
      <c r="BS526" s="12"/>
      <c r="BT526" s="12"/>
      <c r="BU526" s="12"/>
      <c r="BV526" s="12"/>
      <c r="BW526" s="11">
        <v>266580.0</v>
      </c>
      <c r="BX526" s="11">
        <v>221690.0</v>
      </c>
      <c r="BY526" s="11">
        <v>131600.0</v>
      </c>
      <c r="BZ526" s="11">
        <v>11990.0</v>
      </c>
      <c r="CA526" s="12"/>
      <c r="CB526" s="11">
        <v>42720.0</v>
      </c>
      <c r="CC526" s="11">
        <v>35640.0</v>
      </c>
      <c r="CD526" s="11">
        <v>3150.0</v>
      </c>
      <c r="CE526" s="11">
        <v>1960.0</v>
      </c>
      <c r="CF526" s="12"/>
      <c r="CG526" s="12"/>
      <c r="CH526" s="12"/>
      <c r="CI526" s="12"/>
      <c r="CJ526" s="12"/>
      <c r="CK526" s="12"/>
      <c r="CL526" s="11">
        <v>310570.0</v>
      </c>
      <c r="CM526" s="11">
        <v>259090.0</v>
      </c>
      <c r="CN526" s="11">
        <v>137530.0</v>
      </c>
      <c r="CO526" s="11">
        <v>14220.0</v>
      </c>
      <c r="CP526" s="12"/>
      <c r="CQ526" s="11">
        <v>2610.0</v>
      </c>
      <c r="CR526" s="11">
        <v>15730.0</v>
      </c>
      <c r="CS526" s="11">
        <v>2540.0</v>
      </c>
      <c r="CT526" s="11">
        <v>894.0</v>
      </c>
      <c r="CU526" s="12"/>
      <c r="CV526" s="11">
        <v>12370.0</v>
      </c>
      <c r="CW526" s="12"/>
      <c r="CX526" s="12"/>
      <c r="CY526" s="12"/>
      <c r="CZ526" s="12"/>
      <c r="DA526" s="12"/>
      <c r="DB526" s="11">
        <v>12370.0</v>
      </c>
      <c r="DC526" s="11">
        <v>22520.0</v>
      </c>
      <c r="DD526" s="11">
        <v>8860.0</v>
      </c>
      <c r="DE526" s="11">
        <v>6380.0</v>
      </c>
      <c r="DF526" s="11">
        <v>52060.0</v>
      </c>
      <c r="DG526" s="11">
        <v>62740.0</v>
      </c>
      <c r="DH526" s="11">
        <v>39220.0</v>
      </c>
      <c r="DI526" s="11">
        <v>6720.0</v>
      </c>
      <c r="DJ526" s="12"/>
      <c r="DK526" s="11">
        <v>1270.0</v>
      </c>
      <c r="DL526" s="11">
        <v>1770.0</v>
      </c>
      <c r="DM526" s="11">
        <v>1770.0</v>
      </c>
      <c r="DN526" s="11">
        <v>276.0</v>
      </c>
      <c r="DO526" s="12"/>
      <c r="DP526" s="12"/>
      <c r="DQ526" s="12"/>
      <c r="DR526" s="12"/>
      <c r="DS526" s="12"/>
      <c r="DT526" s="12"/>
      <c r="DU526" s="13"/>
      <c r="DV526" s="12"/>
      <c r="DW526" s="11">
        <v>137760.0</v>
      </c>
      <c r="DX526" s="11">
        <v>17390.0</v>
      </c>
      <c r="DY526" s="13"/>
      <c r="DZ526" s="11">
        <v>258510.0</v>
      </c>
      <c r="EA526" s="11">
        <v>196360.0</v>
      </c>
      <c r="EB526" s="11">
        <v>98310.0</v>
      </c>
      <c r="EC526" s="11">
        <v>7500.0</v>
      </c>
      <c r="ED526" s="12"/>
      <c r="EE526" s="14">
        <v>0.592</v>
      </c>
      <c r="EF526" s="23"/>
      <c r="EG526" s="14">
        <v>-0.026</v>
      </c>
      <c r="EH526" s="14">
        <v>-0.025</v>
      </c>
    </row>
    <row r="527">
      <c r="A527" s="9">
        <f t="shared" si="2"/>
        <v>525</v>
      </c>
      <c r="B527" s="10" t="s">
        <v>662</v>
      </c>
      <c r="C527" s="15">
        <v>1050000.0</v>
      </c>
      <c r="D527" s="15">
        <v>1020000.0</v>
      </c>
      <c r="E527" s="15">
        <v>1000000.0</v>
      </c>
      <c r="F527" s="15">
        <v>1010000.0</v>
      </c>
      <c r="G527" s="15">
        <v>975730.0</v>
      </c>
      <c r="H527" s="15">
        <v>826920.0</v>
      </c>
      <c r="I527" s="15">
        <v>704790.0</v>
      </c>
      <c r="J527" s="15">
        <v>374930.0</v>
      </c>
      <c r="K527" s="15">
        <v>382250.0</v>
      </c>
      <c r="L527" s="15">
        <v>388570.0</v>
      </c>
      <c r="M527" s="15">
        <v>328830.0</v>
      </c>
      <c r="N527" s="15">
        <v>248420.0</v>
      </c>
      <c r="O527" s="15">
        <v>204390.0</v>
      </c>
      <c r="P527" s="15">
        <v>204420.0</v>
      </c>
      <c r="Q527" s="15">
        <v>186950.0</v>
      </c>
      <c r="R527" s="15">
        <v>163600.0</v>
      </c>
      <c r="S527" s="15">
        <v>148380.0</v>
      </c>
      <c r="T527" s="15"/>
      <c r="U527" s="15"/>
      <c r="V527" s="15"/>
      <c r="W527" s="15"/>
      <c r="X527" s="12"/>
      <c r="Y527" s="12"/>
      <c r="Z527" s="12"/>
      <c r="AA527" s="12"/>
      <c r="AB527" s="15"/>
      <c r="AC527" s="15"/>
      <c r="AD527" s="15">
        <v>169460.0</v>
      </c>
      <c r="AE527" s="15">
        <v>183880.0</v>
      </c>
      <c r="AF527" s="15">
        <v>205490.0</v>
      </c>
      <c r="AG527" s="15">
        <v>162830.0</v>
      </c>
      <c r="AH527" s="15">
        <v>92710.0</v>
      </c>
      <c r="AI527" s="15">
        <v>201120.0</v>
      </c>
      <c r="AJ527" s="15">
        <v>193270.0</v>
      </c>
      <c r="AK527" s="15">
        <v>214850.0</v>
      </c>
      <c r="AL527" s="15">
        <v>178060.0</v>
      </c>
      <c r="AM527" s="15">
        <v>112100.0</v>
      </c>
      <c r="AN527" s="15">
        <v>129970.0</v>
      </c>
      <c r="AO527" s="15">
        <v>140850.0</v>
      </c>
      <c r="AP527" s="15">
        <v>149770.0</v>
      </c>
      <c r="AQ527" s="15">
        <v>107050.0</v>
      </c>
      <c r="AR527" s="15">
        <v>61200.0</v>
      </c>
      <c r="AS527" s="15">
        <v>177690.0</v>
      </c>
      <c r="AT527" s="15">
        <v>139440.0</v>
      </c>
      <c r="AU527" s="15">
        <v>154720.0</v>
      </c>
      <c r="AV527" s="15">
        <v>114270.0</v>
      </c>
      <c r="AW527" s="15">
        <v>78960.0</v>
      </c>
      <c r="AX527" s="15">
        <v>-23890.0</v>
      </c>
      <c r="AY527" s="15">
        <v>-38330.0</v>
      </c>
      <c r="AZ527" s="15">
        <v>-31970.0</v>
      </c>
      <c r="BA527" s="15">
        <v>-14020.0</v>
      </c>
      <c r="BB527" s="15">
        <v>-12140.0</v>
      </c>
      <c r="BC527" s="13"/>
      <c r="BD527" s="15">
        <v>-135250.0</v>
      </c>
      <c r="BE527" s="15">
        <v>-69880.0</v>
      </c>
      <c r="BF527" s="15">
        <v>-69850.0</v>
      </c>
      <c r="BG527" s="13">
        <v>-186.0</v>
      </c>
      <c r="BH527" s="15">
        <v>304520.0</v>
      </c>
      <c r="BI527" s="15">
        <v>156200.0</v>
      </c>
      <c r="BJ527" s="15">
        <v>189860.0</v>
      </c>
      <c r="BK527" s="15">
        <v>136370.0</v>
      </c>
      <c r="BL527" s="15">
        <v>105580.0</v>
      </c>
      <c r="BM527" s="15">
        <v>84920.0</v>
      </c>
      <c r="BN527" s="15">
        <v>84840.0</v>
      </c>
      <c r="BO527" s="15">
        <v>84360.0</v>
      </c>
      <c r="BP527" s="15">
        <v>71320.0</v>
      </c>
      <c r="BQ527" s="15">
        <v>61050.0</v>
      </c>
      <c r="BR527" s="15">
        <v>63480.0</v>
      </c>
      <c r="BS527" s="15">
        <v>70700.0</v>
      </c>
      <c r="BT527" s="15">
        <v>60920.0</v>
      </c>
      <c r="BU527" s="15">
        <v>53360.0</v>
      </c>
      <c r="BV527" s="15">
        <v>47920.0</v>
      </c>
      <c r="BW527" s="15">
        <v>460710.0</v>
      </c>
      <c r="BX527" s="15">
        <v>321460.0</v>
      </c>
      <c r="BY527" s="15">
        <v>352970.0</v>
      </c>
      <c r="BZ527" s="15">
        <v>268320.0</v>
      </c>
      <c r="CA527" s="15">
        <v>223670.0</v>
      </c>
      <c r="CB527" s="15">
        <v>168510.0</v>
      </c>
      <c r="CC527" s="15">
        <v>111320.0</v>
      </c>
      <c r="CD527" s="15">
        <v>85810.0</v>
      </c>
      <c r="CE527" s="15">
        <v>65150.0</v>
      </c>
      <c r="CF527" s="15">
        <v>61930.0</v>
      </c>
      <c r="CG527" s="15">
        <v>13150.0</v>
      </c>
      <c r="CH527" s="15">
        <v>13150.0</v>
      </c>
      <c r="CI527" s="15">
        <v>13150.0</v>
      </c>
      <c r="CJ527" s="15">
        <v>13150.0</v>
      </c>
      <c r="CK527" s="15">
        <v>13150.0</v>
      </c>
      <c r="CL527" s="15">
        <v>654140.0</v>
      </c>
      <c r="CM527" s="15">
        <v>456160.0</v>
      </c>
      <c r="CN527" s="15">
        <v>462060.0</v>
      </c>
      <c r="CO527" s="15">
        <v>359260.0</v>
      </c>
      <c r="CP527" s="15">
        <v>305500.0</v>
      </c>
      <c r="CQ527" s="15">
        <v>74370.0</v>
      </c>
      <c r="CR527" s="15">
        <v>66200.0</v>
      </c>
      <c r="CS527" s="15">
        <v>74850.0</v>
      </c>
      <c r="CT527" s="15">
        <v>58100.0</v>
      </c>
      <c r="CU527" s="15">
        <v>49390.0</v>
      </c>
      <c r="CV527" s="15">
        <v>141690.0</v>
      </c>
      <c r="CW527" s="15">
        <v>16980.0</v>
      </c>
      <c r="CX527" s="15"/>
      <c r="CY527" s="15"/>
      <c r="CZ527" s="15"/>
      <c r="DA527" s="15"/>
      <c r="DB527" s="15">
        <v>141690.0</v>
      </c>
      <c r="DC527" s="15">
        <v>97040.0</v>
      </c>
      <c r="DD527" s="15">
        <v>104670.0</v>
      </c>
      <c r="DE527" s="15">
        <v>87210.0</v>
      </c>
      <c r="DF527" s="15">
        <v>201800.0</v>
      </c>
      <c r="DG527" s="15">
        <v>124550.0</v>
      </c>
      <c r="DH527" s="15">
        <v>130620.0</v>
      </c>
      <c r="DI527" s="15">
        <v>113640.0</v>
      </c>
      <c r="DJ527" s="15">
        <v>99350.0</v>
      </c>
      <c r="DK527" s="15"/>
      <c r="DL527" s="15"/>
      <c r="DM527" s="15"/>
      <c r="DN527" s="15"/>
      <c r="DO527" s="15"/>
      <c r="DP527" s="15">
        <v>32160.0</v>
      </c>
      <c r="DQ527" s="15"/>
      <c r="DR527" s="15"/>
      <c r="DS527" s="15"/>
      <c r="DT527" s="15"/>
      <c r="DU527" s="15">
        <v>-4950.0</v>
      </c>
      <c r="DV527" s="15">
        <v>150.0</v>
      </c>
      <c r="DW527" s="15">
        <v>150.0</v>
      </c>
      <c r="DX527" s="15">
        <v>150.0</v>
      </c>
      <c r="DY527" s="13">
        <v>150.0</v>
      </c>
      <c r="DZ527" s="15">
        <v>452340.0</v>
      </c>
      <c r="EA527" s="15">
        <v>331610.0</v>
      </c>
      <c r="EB527" s="15">
        <v>331440.0</v>
      </c>
      <c r="EC527" s="15">
        <v>245620.0</v>
      </c>
      <c r="ED527" s="15">
        <v>206150.0</v>
      </c>
      <c r="EE527" s="17">
        <v>0.039</v>
      </c>
      <c r="EF527" s="17">
        <v>0.086</v>
      </c>
      <c r="EG527" s="17">
        <v>0.3</v>
      </c>
      <c r="EH527" s="17">
        <v>0.111</v>
      </c>
    </row>
    <row r="528">
      <c r="A528" s="9">
        <f t="shared" si="2"/>
        <v>526</v>
      </c>
      <c r="B528" s="10" t="s">
        <v>663</v>
      </c>
      <c r="C528" s="11">
        <v>7600000.0</v>
      </c>
      <c r="D528" s="11">
        <v>7080000.0</v>
      </c>
      <c r="E528" s="11">
        <v>8010000.0</v>
      </c>
      <c r="F528" s="11">
        <v>7940000.0</v>
      </c>
      <c r="G528" s="11">
        <v>7780000.0</v>
      </c>
      <c r="H528" s="11">
        <v>7770000.0</v>
      </c>
      <c r="I528" s="11">
        <v>7410000.0</v>
      </c>
      <c r="J528" s="11">
        <v>2360000.0</v>
      </c>
      <c r="K528" s="11">
        <v>2350000.0</v>
      </c>
      <c r="L528" s="11">
        <v>2280000.0</v>
      </c>
      <c r="M528" s="11">
        <v>2480000.0</v>
      </c>
      <c r="N528" s="11">
        <v>2360000.0</v>
      </c>
      <c r="O528" s="11">
        <v>1650000.0</v>
      </c>
      <c r="P528" s="11">
        <v>1610000.0</v>
      </c>
      <c r="Q528" s="11">
        <v>1500000.0</v>
      </c>
      <c r="R528" s="11">
        <v>1470000.0</v>
      </c>
      <c r="S528" s="11">
        <v>1410000.0</v>
      </c>
      <c r="T528" s="11"/>
      <c r="U528" s="11"/>
      <c r="V528" s="11"/>
      <c r="W528" s="11"/>
      <c r="X528" s="11"/>
      <c r="Y528" s="11">
        <v>649000.0</v>
      </c>
      <c r="Z528" s="11">
        <v>700000.0</v>
      </c>
      <c r="AA528" s="11">
        <v>572000.0</v>
      </c>
      <c r="AB528" s="11">
        <v>-8000.0</v>
      </c>
      <c r="AC528" s="11">
        <v>839000.0</v>
      </c>
      <c r="AD528" s="11">
        <v>672000.0</v>
      </c>
      <c r="AE528" s="11">
        <v>713000.0</v>
      </c>
      <c r="AF528" s="11">
        <v>578000.0</v>
      </c>
      <c r="AG528" s="11">
        <v>1000000.0</v>
      </c>
      <c r="AH528" s="11">
        <v>837000.0</v>
      </c>
      <c r="AI528" s="11">
        <v>893000.0</v>
      </c>
      <c r="AJ528" s="11">
        <v>914000.0</v>
      </c>
      <c r="AK528" s="11">
        <v>955000.0</v>
      </c>
      <c r="AL528" s="11">
        <v>1170000.0</v>
      </c>
      <c r="AM528" s="11">
        <v>1090000.0</v>
      </c>
      <c r="AN528" s="11">
        <v>491000.0</v>
      </c>
      <c r="AO528" s="11">
        <v>541000.0</v>
      </c>
      <c r="AP528" s="11">
        <v>284000.0</v>
      </c>
      <c r="AQ528" s="11">
        <v>664000.0</v>
      </c>
      <c r="AR528" s="11">
        <v>541000.0</v>
      </c>
      <c r="AS528" s="11">
        <v>696000.0</v>
      </c>
      <c r="AT528" s="11">
        <v>781000.0</v>
      </c>
      <c r="AU528" s="11">
        <v>813000.0</v>
      </c>
      <c r="AV528" s="11">
        <v>842000.0</v>
      </c>
      <c r="AW528" s="11">
        <v>745000.0</v>
      </c>
      <c r="AX528" s="11">
        <v>-187000.0</v>
      </c>
      <c r="AY528" s="11">
        <v>-187000.0</v>
      </c>
      <c r="AZ528" s="11">
        <v>-274000.0</v>
      </c>
      <c r="BA528" s="11">
        <v>-266000.0</v>
      </c>
      <c r="BB528" s="11">
        <v>-228000.0</v>
      </c>
      <c r="BC528" s="11">
        <v>-164000.0</v>
      </c>
      <c r="BD528" s="11">
        <v>-158000.0</v>
      </c>
      <c r="BE528" s="11">
        <v>-157000.0</v>
      </c>
      <c r="BF528" s="11">
        <v>-147000.0</v>
      </c>
      <c r="BG528" s="11">
        <v>-139000.0</v>
      </c>
      <c r="BH528" s="11">
        <v>913000.0</v>
      </c>
      <c r="BI528" s="11">
        <v>950000.0</v>
      </c>
      <c r="BJ528" s="11">
        <v>850000.0</v>
      </c>
      <c r="BK528" s="11">
        <v>1050000.0</v>
      </c>
      <c r="BL528" s="11">
        <v>1020000.0</v>
      </c>
      <c r="BM528" s="11">
        <v>101000.0</v>
      </c>
      <c r="BN528" s="11">
        <v>107000.0</v>
      </c>
      <c r="BO528" s="11">
        <v>106000.0</v>
      </c>
      <c r="BP528" s="11">
        <v>101000.0</v>
      </c>
      <c r="BQ528" s="11">
        <v>95000.0</v>
      </c>
      <c r="BR528" s="11">
        <v>1210000.0</v>
      </c>
      <c r="BS528" s="11">
        <v>1270000.0</v>
      </c>
      <c r="BT528" s="11">
        <v>1280000.0</v>
      </c>
      <c r="BU528" s="11">
        <v>1310000.0</v>
      </c>
      <c r="BV528" s="11">
        <v>1290000.0</v>
      </c>
      <c r="BW528" s="11">
        <v>2380000.0</v>
      </c>
      <c r="BX528" s="11">
        <v>2510000.0</v>
      </c>
      <c r="BY528" s="11">
        <v>2540000.0</v>
      </c>
      <c r="BZ528" s="11">
        <v>2620000.0</v>
      </c>
      <c r="CA528" s="11">
        <v>2590000.0</v>
      </c>
      <c r="CB528" s="11">
        <v>3720000.0</v>
      </c>
      <c r="CC528" s="11">
        <v>836000.0</v>
      </c>
      <c r="CD528" s="11">
        <v>866000.0</v>
      </c>
      <c r="CE528" s="11">
        <v>765000.0</v>
      </c>
      <c r="CF528" s="11">
        <v>661000.0</v>
      </c>
      <c r="CG528" s="11">
        <v>156000.0</v>
      </c>
      <c r="CH528" s="11">
        <v>157000.0</v>
      </c>
      <c r="CI528" s="11">
        <v>160000.0</v>
      </c>
      <c r="CJ528" s="11">
        <v>155000.0</v>
      </c>
      <c r="CK528" s="11">
        <v>156000.0</v>
      </c>
      <c r="CL528" s="11">
        <v>6590000.0</v>
      </c>
      <c r="CM528" s="11">
        <v>3820000.0</v>
      </c>
      <c r="CN528" s="11">
        <v>3960000.0</v>
      </c>
      <c r="CO528" s="11">
        <v>3840000.0</v>
      </c>
      <c r="CP528" s="11">
        <v>3780000.0</v>
      </c>
      <c r="CQ528" s="11">
        <v>333000.0</v>
      </c>
      <c r="CR528" s="11">
        <v>387000.0</v>
      </c>
      <c r="CS528" s="11">
        <v>258000.0</v>
      </c>
      <c r="CT528" s="11">
        <v>249000.0</v>
      </c>
      <c r="CU528" s="11">
        <v>279000.0</v>
      </c>
      <c r="CV528" s="11">
        <v>1190000.0</v>
      </c>
      <c r="CW528" s="11">
        <v>518000.0</v>
      </c>
      <c r="CX528" s="12"/>
      <c r="CY528" s="13"/>
      <c r="CZ528" s="13"/>
      <c r="DA528" s="12"/>
      <c r="DB528" s="11">
        <v>1190000.0</v>
      </c>
      <c r="DC528" s="11">
        <v>764000.0</v>
      </c>
      <c r="DD528" s="11">
        <v>616000.0</v>
      </c>
      <c r="DE528" s="11">
        <v>612000.0</v>
      </c>
      <c r="DF528" s="11">
        <v>4120000.0</v>
      </c>
      <c r="DG528" s="11">
        <v>1310000.0</v>
      </c>
      <c r="DH528" s="11">
        <v>1440000.0</v>
      </c>
      <c r="DI528" s="11">
        <v>1130000.0</v>
      </c>
      <c r="DJ528" s="11">
        <v>1220000.0</v>
      </c>
      <c r="DK528" s="11">
        <v>178000.0</v>
      </c>
      <c r="DL528" s="11">
        <v>141000.0</v>
      </c>
      <c r="DM528" s="11">
        <v>203000.0</v>
      </c>
      <c r="DN528" s="11">
        <v>33000.0</v>
      </c>
      <c r="DO528" s="11">
        <v>28000.0</v>
      </c>
      <c r="DP528" s="11">
        <v>2800000.0</v>
      </c>
      <c r="DQ528" s="11">
        <v>124000.0</v>
      </c>
      <c r="DR528" s="11">
        <v>125000.0</v>
      </c>
      <c r="DS528" s="11">
        <v>127000.0</v>
      </c>
      <c r="DT528" s="11">
        <v>129000.0</v>
      </c>
      <c r="DU528" s="13"/>
      <c r="DV528" s="12"/>
      <c r="DW528" s="12"/>
      <c r="DX528" s="12"/>
      <c r="DY528" s="12"/>
      <c r="DZ528" s="11">
        <v>2470000.0</v>
      </c>
      <c r="EA528" s="11">
        <v>2510000.0</v>
      </c>
      <c r="EB528" s="11">
        <v>2520000.0</v>
      </c>
      <c r="EC528" s="11">
        <v>2710000.0</v>
      </c>
      <c r="ED528" s="11">
        <v>2550000.0</v>
      </c>
      <c r="EE528" s="14">
        <v>0.223</v>
      </c>
      <c r="EF528" s="14">
        <v>0.221</v>
      </c>
      <c r="EG528" s="14">
        <v>-1.68</v>
      </c>
      <c r="EH528" s="14">
        <v>-0.404</v>
      </c>
    </row>
    <row r="529">
      <c r="A529" s="9">
        <f t="shared" si="2"/>
        <v>527</v>
      </c>
      <c r="B529" s="22" t="s">
        <v>664</v>
      </c>
      <c r="C529" s="11">
        <v>161840.0</v>
      </c>
      <c r="D529" s="11">
        <v>128940.0</v>
      </c>
      <c r="E529" s="11">
        <v>117240.0</v>
      </c>
      <c r="F529" s="11">
        <v>112960.0</v>
      </c>
      <c r="G529" s="11">
        <v>101940.0</v>
      </c>
      <c r="H529" s="11">
        <v>104450.0</v>
      </c>
      <c r="I529" s="11">
        <v>114710.0</v>
      </c>
      <c r="J529" s="11">
        <v>64280.0</v>
      </c>
      <c r="K529" s="11">
        <v>61650.0</v>
      </c>
      <c r="L529" s="11">
        <v>51980.0</v>
      </c>
      <c r="M529" s="11">
        <v>58310.0</v>
      </c>
      <c r="N529" s="11">
        <v>67960.0</v>
      </c>
      <c r="O529" s="11">
        <v>115680.0</v>
      </c>
      <c r="P529" s="11">
        <v>109810.0</v>
      </c>
      <c r="Q529" s="11">
        <v>110340.0</v>
      </c>
      <c r="R529" s="11">
        <v>130620.0</v>
      </c>
      <c r="S529" s="11">
        <v>121420.0</v>
      </c>
      <c r="T529" s="11">
        <v>31200.0</v>
      </c>
      <c r="U529" s="11">
        <v>30030.0</v>
      </c>
      <c r="V529" s="11">
        <v>30830.0</v>
      </c>
      <c r="W529" s="11">
        <v>38290.0</v>
      </c>
      <c r="X529" s="11">
        <v>39140.0</v>
      </c>
      <c r="Y529" s="11">
        <v>-63860.0</v>
      </c>
      <c r="Z529" s="12"/>
      <c r="AA529" s="12"/>
      <c r="AB529" s="12"/>
      <c r="AC529" s="11">
        <v>3990.0</v>
      </c>
      <c r="AD529" s="11">
        <v>-66710.0</v>
      </c>
      <c r="AE529" s="11">
        <v>-61420.0</v>
      </c>
      <c r="AF529" s="11">
        <v>-63800.0</v>
      </c>
      <c r="AG529" s="11">
        <v>-80180.0</v>
      </c>
      <c r="AH529" s="11">
        <v>-54790.0</v>
      </c>
      <c r="AI529" s="11">
        <v>-35590.0</v>
      </c>
      <c r="AJ529" s="11">
        <v>-31660.0</v>
      </c>
      <c r="AK529" s="11">
        <v>-40060.0</v>
      </c>
      <c r="AL529" s="11">
        <v>-55250.0</v>
      </c>
      <c r="AM529" s="11">
        <v>-38030.0</v>
      </c>
      <c r="AN529" s="11">
        <v>-64790.0</v>
      </c>
      <c r="AO529" s="11">
        <v>-59010.0</v>
      </c>
      <c r="AP529" s="11">
        <v>-60540.0</v>
      </c>
      <c r="AQ529" s="11">
        <v>-75990.0</v>
      </c>
      <c r="AR529" s="11">
        <v>-53320.0</v>
      </c>
      <c r="AS529" s="11">
        <v>-35210.0</v>
      </c>
      <c r="AT529" s="11">
        <v>-28060.0</v>
      </c>
      <c r="AU529" s="11">
        <v>-24100.0</v>
      </c>
      <c r="AV529" s="11">
        <v>-39100.0</v>
      </c>
      <c r="AW529" s="11">
        <v>-34700.0</v>
      </c>
      <c r="AX529" s="11">
        <v>-2530.0</v>
      </c>
      <c r="AY529" s="11">
        <v>-372.0</v>
      </c>
      <c r="AZ529" s="11">
        <v>-1620.0</v>
      </c>
      <c r="BA529" s="11">
        <v>-5070.0</v>
      </c>
      <c r="BB529" s="11">
        <v>-10650.0</v>
      </c>
      <c r="BC529" s="12"/>
      <c r="BD529" s="12"/>
      <c r="BE529" s="12"/>
      <c r="BF529" s="12"/>
      <c r="BG529" s="12"/>
      <c r="BH529" s="11">
        <v>59710.0</v>
      </c>
      <c r="BI529" s="11">
        <v>95400.0</v>
      </c>
      <c r="BJ529" s="11">
        <v>63140.0</v>
      </c>
      <c r="BK529" s="11">
        <v>59430.0</v>
      </c>
      <c r="BL529" s="11">
        <v>94970.0</v>
      </c>
      <c r="BM529" s="11">
        <v>18980.0</v>
      </c>
      <c r="BN529" s="11">
        <v>16650.0</v>
      </c>
      <c r="BO529" s="11">
        <v>15050.0</v>
      </c>
      <c r="BP529" s="11">
        <v>14610.0</v>
      </c>
      <c r="BQ529" s="11">
        <v>25460.0</v>
      </c>
      <c r="BR529" s="11">
        <v>13880.0</v>
      </c>
      <c r="BS529" s="11">
        <v>13000.0</v>
      </c>
      <c r="BT529" s="11">
        <v>15090.0</v>
      </c>
      <c r="BU529" s="11">
        <v>20110.0</v>
      </c>
      <c r="BV529" s="11">
        <v>17920.0</v>
      </c>
      <c r="BW529" s="11">
        <v>96100.0</v>
      </c>
      <c r="BX529" s="11">
        <v>127110.0</v>
      </c>
      <c r="BY529" s="11">
        <v>94800.0</v>
      </c>
      <c r="BZ529" s="11">
        <v>96670.0</v>
      </c>
      <c r="CA529" s="11">
        <v>144100.0</v>
      </c>
      <c r="CB529" s="11">
        <v>12920.0</v>
      </c>
      <c r="CC529" s="11">
        <v>8830.0</v>
      </c>
      <c r="CD529" s="11">
        <v>12300.0</v>
      </c>
      <c r="CE529" s="11">
        <v>16530.0</v>
      </c>
      <c r="CF529" s="11">
        <v>15260.0</v>
      </c>
      <c r="CG529" s="11">
        <v>104110.0</v>
      </c>
      <c r="CH529" s="11">
        <v>104110.0</v>
      </c>
      <c r="CI529" s="11">
        <v>104110.0</v>
      </c>
      <c r="CJ529" s="11">
        <v>104110.0</v>
      </c>
      <c r="CK529" s="11">
        <v>104110.0</v>
      </c>
      <c r="CL529" s="11">
        <v>264810.0</v>
      </c>
      <c r="CM529" s="11">
        <v>303650.0</v>
      </c>
      <c r="CN529" s="11">
        <v>287350.0</v>
      </c>
      <c r="CO529" s="11">
        <v>306400.0</v>
      </c>
      <c r="CP529" s="11">
        <v>370050.0</v>
      </c>
      <c r="CQ529" s="11">
        <v>6510.0</v>
      </c>
      <c r="CR529" s="11">
        <v>4030.0</v>
      </c>
      <c r="CS529" s="11">
        <v>4210.0</v>
      </c>
      <c r="CT529" s="11">
        <v>3970.0</v>
      </c>
      <c r="CU529" s="11">
        <v>6090.0</v>
      </c>
      <c r="CV529" s="11">
        <v>32820.0</v>
      </c>
      <c r="CW529" s="11">
        <v>1830.0</v>
      </c>
      <c r="CX529" s="12"/>
      <c r="CY529" s="12"/>
      <c r="CZ529" s="12"/>
      <c r="DA529" s="12"/>
      <c r="DB529" s="11">
        <v>32820.0</v>
      </c>
      <c r="DC529" s="11">
        <v>37580.0</v>
      </c>
      <c r="DD529" s="11">
        <v>33470.0</v>
      </c>
      <c r="DE529" s="11">
        <v>29500.0</v>
      </c>
      <c r="DF529" s="11">
        <v>111200.0</v>
      </c>
      <c r="DG529" s="11">
        <v>231530.0</v>
      </c>
      <c r="DH529" s="11">
        <v>256420.0</v>
      </c>
      <c r="DI529" s="11">
        <v>253160.0</v>
      </c>
      <c r="DJ529" s="11">
        <v>255150.0</v>
      </c>
      <c r="DK529" s="11">
        <v>1000.0</v>
      </c>
      <c r="DL529" s="12"/>
      <c r="DM529" s="12"/>
      <c r="DN529" s="12"/>
      <c r="DO529" s="11">
        <v>6490.0</v>
      </c>
      <c r="DP529" s="11">
        <v>58140.0</v>
      </c>
      <c r="DQ529" s="11">
        <v>172060.0</v>
      </c>
      <c r="DR529" s="11">
        <v>195240.0</v>
      </c>
      <c r="DS529" s="11">
        <v>194950.0</v>
      </c>
      <c r="DT529" s="11">
        <v>194670.0</v>
      </c>
      <c r="DU529" s="13"/>
      <c r="DV529" s="12"/>
      <c r="DW529" s="12"/>
      <c r="DX529" s="13"/>
      <c r="DY529" s="13"/>
      <c r="DZ529" s="11">
        <v>153610.0</v>
      </c>
      <c r="EA529" s="11">
        <v>72120.0</v>
      </c>
      <c r="EB529" s="11">
        <v>30940.0</v>
      </c>
      <c r="EC529" s="11">
        <v>53230.0</v>
      </c>
      <c r="ED529" s="11">
        <v>114900.0</v>
      </c>
      <c r="EE529" s="14">
        <v>0.239</v>
      </c>
      <c r="EF529" s="14">
        <v>0.275</v>
      </c>
      <c r="EG529" s="14">
        <v>0.217</v>
      </c>
      <c r="EH529" s="14">
        <v>-0.053</v>
      </c>
    </row>
    <row r="530">
      <c r="A530" s="9">
        <f t="shared" si="2"/>
        <v>528</v>
      </c>
      <c r="B530" s="10" t="s">
        <v>665</v>
      </c>
      <c r="C530" s="15">
        <v>1960000.0</v>
      </c>
      <c r="D530" s="15">
        <v>1880000.0</v>
      </c>
      <c r="E530" s="15">
        <v>1890000.0</v>
      </c>
      <c r="F530" s="15">
        <v>1780000.0</v>
      </c>
      <c r="G530" s="15">
        <v>1800000.0</v>
      </c>
      <c r="H530" s="15">
        <v>1660000.0</v>
      </c>
      <c r="I530" s="15">
        <v>1560000.0</v>
      </c>
      <c r="J530" s="15">
        <v>929500.0</v>
      </c>
      <c r="K530" s="15">
        <v>903620.0</v>
      </c>
      <c r="L530" s="15">
        <v>858780.0</v>
      </c>
      <c r="M530" s="15">
        <v>767120.0</v>
      </c>
      <c r="N530" s="15">
        <v>753560.0</v>
      </c>
      <c r="O530" s="15">
        <v>629140.0</v>
      </c>
      <c r="P530" s="15">
        <v>548150.0</v>
      </c>
      <c r="Q530" s="15">
        <v>544600.0</v>
      </c>
      <c r="R530" s="15">
        <v>469970.0</v>
      </c>
      <c r="S530" s="15">
        <v>446440.0</v>
      </c>
      <c r="T530" s="15">
        <v>204210.0</v>
      </c>
      <c r="U530" s="15">
        <v>176280.0</v>
      </c>
      <c r="V530" s="15">
        <v>170740.0</v>
      </c>
      <c r="W530" s="15">
        <v>147540.0</v>
      </c>
      <c r="X530" s="15">
        <v>132890.0</v>
      </c>
      <c r="Y530" s="15">
        <v>274570.0</v>
      </c>
      <c r="Z530" s="15">
        <v>323210.0</v>
      </c>
      <c r="AA530" s="15">
        <v>304150.0</v>
      </c>
      <c r="AB530" s="15">
        <v>289120.0</v>
      </c>
      <c r="AC530" s="15">
        <v>299060.0</v>
      </c>
      <c r="AD530" s="15">
        <v>241920.0</v>
      </c>
      <c r="AE530" s="15">
        <v>307100.0</v>
      </c>
      <c r="AF530" s="15">
        <v>279070.0</v>
      </c>
      <c r="AG530" s="15">
        <v>275960.0</v>
      </c>
      <c r="AH530" s="15">
        <v>305450.0</v>
      </c>
      <c r="AI530" s="15">
        <v>414860.0</v>
      </c>
      <c r="AJ530" s="15">
        <v>420770.0</v>
      </c>
      <c r="AK530" s="15">
        <v>383970.0</v>
      </c>
      <c r="AL530" s="15">
        <v>354660.0</v>
      </c>
      <c r="AM530" s="15">
        <v>356660.0</v>
      </c>
      <c r="AN530" s="15">
        <v>171600.0</v>
      </c>
      <c r="AO530" s="15">
        <v>282430.0</v>
      </c>
      <c r="AP530" s="15">
        <v>107220.0</v>
      </c>
      <c r="AQ530" s="15">
        <v>166630.0</v>
      </c>
      <c r="AR530" s="15">
        <v>241690.0</v>
      </c>
      <c r="AS530" s="15">
        <v>370370.0</v>
      </c>
      <c r="AT530" s="15">
        <v>374160.0</v>
      </c>
      <c r="AU530" s="15">
        <v>308250.0</v>
      </c>
      <c r="AV530" s="15">
        <v>312280.0</v>
      </c>
      <c r="AW530" s="15">
        <v>275810.0</v>
      </c>
      <c r="AX530" s="15">
        <v>-44790.0</v>
      </c>
      <c r="AY530" s="15">
        <v>-30770.0</v>
      </c>
      <c r="AZ530" s="15">
        <v>-42110.0</v>
      </c>
      <c r="BA530" s="15">
        <v>-35940.0</v>
      </c>
      <c r="BB530" s="15">
        <v>-68230.0</v>
      </c>
      <c r="BC530" s="15">
        <v>-91690.0</v>
      </c>
      <c r="BD530" s="15">
        <v>-88120.0</v>
      </c>
      <c r="BE530" s="15">
        <v>-82610.0</v>
      </c>
      <c r="BF530" s="15">
        <v>-65920.0</v>
      </c>
      <c r="BG530" s="15">
        <v>-61400.0</v>
      </c>
      <c r="BH530" s="15">
        <v>284590.0</v>
      </c>
      <c r="BI530" s="15">
        <v>512140.0</v>
      </c>
      <c r="BJ530" s="15">
        <v>519090.0</v>
      </c>
      <c r="BK530" s="15">
        <v>361350.0</v>
      </c>
      <c r="BL530" s="15">
        <v>472790.0</v>
      </c>
      <c r="BM530" s="15">
        <v>318650.0</v>
      </c>
      <c r="BN530" s="15">
        <v>323750.0</v>
      </c>
      <c r="BO530" s="15">
        <v>346690.0</v>
      </c>
      <c r="BP530" s="15">
        <v>352020.0</v>
      </c>
      <c r="BQ530" s="15">
        <v>326100.0</v>
      </c>
      <c r="BR530" s="15">
        <v>388760.0</v>
      </c>
      <c r="BS530" s="15">
        <v>352110.0</v>
      </c>
      <c r="BT530" s="15">
        <v>372180.0</v>
      </c>
      <c r="BU530" s="15">
        <v>371370.0</v>
      </c>
      <c r="BV530" s="15">
        <v>393090.0</v>
      </c>
      <c r="BW530" s="15">
        <v>1110000.0</v>
      </c>
      <c r="BX530" s="15">
        <v>1290000.0</v>
      </c>
      <c r="BY530" s="15">
        <v>1390000.0</v>
      </c>
      <c r="BZ530" s="15">
        <v>1160000.0</v>
      </c>
      <c r="CA530" s="15">
        <v>1290000.0</v>
      </c>
      <c r="CB530" s="15">
        <v>291380.0</v>
      </c>
      <c r="CC530" s="15">
        <v>247410.0</v>
      </c>
      <c r="CD530" s="15">
        <v>264000.0</v>
      </c>
      <c r="CE530" s="15">
        <v>271790.0</v>
      </c>
      <c r="CF530" s="15">
        <v>272630.0</v>
      </c>
      <c r="CG530" s="15">
        <v>1360000.0</v>
      </c>
      <c r="CH530" s="15">
        <v>904570.0</v>
      </c>
      <c r="CI530" s="15">
        <v>909810.0</v>
      </c>
      <c r="CJ530" s="15">
        <v>801410.0</v>
      </c>
      <c r="CK530" s="15">
        <v>596320.0</v>
      </c>
      <c r="CL530" s="15">
        <v>3140000.0</v>
      </c>
      <c r="CM530" s="15">
        <v>2780000.0</v>
      </c>
      <c r="CN530" s="15">
        <v>2810000.0</v>
      </c>
      <c r="CO530" s="15">
        <v>2620000.0</v>
      </c>
      <c r="CP530" s="15">
        <v>2410000.0</v>
      </c>
      <c r="CQ530" s="15">
        <v>158030.0</v>
      </c>
      <c r="CR530" s="15">
        <v>95500.0</v>
      </c>
      <c r="CS530" s="15">
        <v>106390.0</v>
      </c>
      <c r="CT530" s="15">
        <v>114230.0</v>
      </c>
      <c r="CU530" s="15">
        <v>139540.0</v>
      </c>
      <c r="CV530" s="15">
        <v>413060.0</v>
      </c>
      <c r="CW530" s="15">
        <v>27810.0</v>
      </c>
      <c r="CX530" s="15">
        <v>0.0</v>
      </c>
      <c r="CY530" s="15">
        <v>0.0</v>
      </c>
      <c r="CZ530" s="15">
        <v>0.0</v>
      </c>
      <c r="DA530" s="15">
        <v>0.0</v>
      </c>
      <c r="DB530" s="15">
        <v>413060.0</v>
      </c>
      <c r="DC530" s="15">
        <v>316010.0</v>
      </c>
      <c r="DD530" s="15">
        <v>394930.0</v>
      </c>
      <c r="DE530" s="15">
        <v>361710.0</v>
      </c>
      <c r="DF530" s="15">
        <v>1270000.0</v>
      </c>
      <c r="DG530" s="15">
        <v>904460.0</v>
      </c>
      <c r="DH530" s="15">
        <v>975470.0</v>
      </c>
      <c r="DI530" s="15">
        <v>941380.0</v>
      </c>
      <c r="DJ530" s="15">
        <v>756890.0</v>
      </c>
      <c r="DK530" s="15">
        <v>19900.0</v>
      </c>
      <c r="DL530" s="15">
        <v>17100.0</v>
      </c>
      <c r="DM530" s="15">
        <v>3070.0</v>
      </c>
      <c r="DN530" s="15">
        <v>3200.0</v>
      </c>
      <c r="DO530" s="15">
        <v>5200.0</v>
      </c>
      <c r="DP530" s="15">
        <v>675900.0</v>
      </c>
      <c r="DQ530" s="15">
        <v>421950.0</v>
      </c>
      <c r="DR530" s="15">
        <v>420680.0</v>
      </c>
      <c r="DS530" s="15">
        <v>501920.0</v>
      </c>
      <c r="DT530" s="15">
        <v>93750.0</v>
      </c>
      <c r="DU530" s="16">
        <v>0.0</v>
      </c>
      <c r="DV530" s="15">
        <v>0.0</v>
      </c>
      <c r="DW530" s="15">
        <v>0.0</v>
      </c>
      <c r="DX530" s="15">
        <v>0.0</v>
      </c>
      <c r="DY530" s="16">
        <v>0.0</v>
      </c>
      <c r="DZ530" s="15">
        <v>1870000.0</v>
      </c>
      <c r="EA530" s="15">
        <v>1880000.0</v>
      </c>
      <c r="EB530" s="15">
        <v>1830000.0</v>
      </c>
      <c r="EC530" s="15">
        <v>1680000.0</v>
      </c>
      <c r="ED530" s="15">
        <v>1650000.0</v>
      </c>
      <c r="EE530" s="17">
        <v>0.048</v>
      </c>
      <c r="EF530" s="17">
        <v>0.092</v>
      </c>
      <c r="EG530" s="17">
        <v>0.0</v>
      </c>
      <c r="EH530" s="17">
        <v>-0.02</v>
      </c>
    </row>
    <row r="531">
      <c r="A531" s="9">
        <f t="shared" si="2"/>
        <v>529</v>
      </c>
      <c r="B531" s="10" t="s">
        <v>666</v>
      </c>
      <c r="C531" s="15">
        <v>165080.0</v>
      </c>
      <c r="D531" s="15">
        <v>105190.0</v>
      </c>
      <c r="E531" s="15">
        <v>165430.0</v>
      </c>
      <c r="F531" s="15">
        <v>163890.0</v>
      </c>
      <c r="G531" s="15">
        <v>161270.0</v>
      </c>
      <c r="H531" s="15">
        <v>145990.0</v>
      </c>
      <c r="I531" s="15">
        <v>124430.0</v>
      </c>
      <c r="J531" s="15">
        <v>63310.0</v>
      </c>
      <c r="K531" s="15">
        <v>63060.0</v>
      </c>
      <c r="L531" s="15">
        <v>60830.0</v>
      </c>
      <c r="M531" s="15">
        <v>57600.0</v>
      </c>
      <c r="N531" s="15">
        <v>47820.0</v>
      </c>
      <c r="O531" s="15">
        <v>56050.0</v>
      </c>
      <c r="P531" s="15">
        <v>54440.0</v>
      </c>
      <c r="Q531" s="15">
        <v>53490.0</v>
      </c>
      <c r="R531" s="15">
        <v>49660.0</v>
      </c>
      <c r="S531" s="15">
        <v>41880.0</v>
      </c>
      <c r="T531" s="15">
        <v>0.0</v>
      </c>
      <c r="U531" s="15">
        <v>0.0</v>
      </c>
      <c r="V531" s="15">
        <v>0.0</v>
      </c>
      <c r="W531" s="15">
        <v>0.0</v>
      </c>
      <c r="X531" s="15">
        <v>0.0</v>
      </c>
      <c r="Y531" s="15">
        <v>4990.0</v>
      </c>
      <c r="Z531" s="15">
        <v>-1850.0</v>
      </c>
      <c r="AA531" s="15">
        <v>-1660.0</v>
      </c>
      <c r="AB531" s="15">
        <v>-2580.0</v>
      </c>
      <c r="AC531" s="15">
        <v>0.0</v>
      </c>
      <c r="AD531" s="15">
        <v>-5740.0</v>
      </c>
      <c r="AE531" s="15">
        <v>-3900.0</v>
      </c>
      <c r="AF531" s="15">
        <v>-5180.0</v>
      </c>
      <c r="AG531" s="15">
        <v>-4460.0</v>
      </c>
      <c r="AH531" s="15">
        <v>-1660.0</v>
      </c>
      <c r="AI531" s="15">
        <v>15590.0</v>
      </c>
      <c r="AJ531" s="15">
        <v>17020.0</v>
      </c>
      <c r="AK531" s="15">
        <v>15940.0</v>
      </c>
      <c r="AL531" s="15">
        <v>15880.0</v>
      </c>
      <c r="AM531" s="15">
        <v>13830.0</v>
      </c>
      <c r="AN531" s="15">
        <v>-5820.0</v>
      </c>
      <c r="AO531" s="15">
        <v>-4370.0</v>
      </c>
      <c r="AP531" s="15">
        <v>-5030.0</v>
      </c>
      <c r="AQ531" s="15">
        <v>-5090.0</v>
      </c>
      <c r="AR531" s="15">
        <v>-1320.0</v>
      </c>
      <c r="AS531" s="15">
        <v>10470.0</v>
      </c>
      <c r="AT531" s="15">
        <v>9820.0</v>
      </c>
      <c r="AU531" s="15">
        <v>6710.0</v>
      </c>
      <c r="AV531" s="15">
        <v>7920.0</v>
      </c>
      <c r="AW531" s="15">
        <v>7510.0</v>
      </c>
      <c r="AX531" s="15">
        <v>-8090.0</v>
      </c>
      <c r="AY531" s="15">
        <v>-17050.0</v>
      </c>
      <c r="AZ531" s="15">
        <v>-11070.0</v>
      </c>
      <c r="BA531" s="15">
        <v>-3500.0</v>
      </c>
      <c r="BB531" s="15">
        <v>-11350.0</v>
      </c>
      <c r="BC531" s="16">
        <v>0.0</v>
      </c>
      <c r="BD531" s="16">
        <v>0.0</v>
      </c>
      <c r="BE531" s="16">
        <v>0.0</v>
      </c>
      <c r="BF531" s="16">
        <v>0.0</v>
      </c>
      <c r="BG531" s="16">
        <v>0.0</v>
      </c>
      <c r="BH531" s="15">
        <v>29850.0</v>
      </c>
      <c r="BI531" s="15">
        <v>20630.0</v>
      </c>
      <c r="BJ531" s="15">
        <v>19910.0</v>
      </c>
      <c r="BK531" s="15">
        <v>27040.0</v>
      </c>
      <c r="BL531" s="15">
        <v>15140.0</v>
      </c>
      <c r="BM531" s="15">
        <v>2210.0</v>
      </c>
      <c r="BN531" s="15">
        <v>2040.0</v>
      </c>
      <c r="BO531" s="15">
        <v>1760.0</v>
      </c>
      <c r="BP531" s="15">
        <v>1910.0</v>
      </c>
      <c r="BQ531" s="15">
        <v>1710.0</v>
      </c>
      <c r="BR531" s="15">
        <v>2290.0</v>
      </c>
      <c r="BS531" s="15">
        <v>1430.0</v>
      </c>
      <c r="BT531" s="15">
        <v>1690.0</v>
      </c>
      <c r="BU531" s="15">
        <v>1330.0</v>
      </c>
      <c r="BV531" s="15">
        <v>1130.0</v>
      </c>
      <c r="BW531" s="15">
        <v>37690.0</v>
      </c>
      <c r="BX531" s="15">
        <v>26990.0</v>
      </c>
      <c r="BY531" s="15">
        <v>26210.0</v>
      </c>
      <c r="BZ531" s="15">
        <v>33090.0</v>
      </c>
      <c r="CA531" s="15">
        <v>23280.0</v>
      </c>
      <c r="CB531" s="15">
        <v>140660.0</v>
      </c>
      <c r="CC531" s="15">
        <v>122080.0</v>
      </c>
      <c r="CD531" s="15">
        <v>114060.0</v>
      </c>
      <c r="CE531" s="15">
        <v>111470.0</v>
      </c>
      <c r="CF531" s="15">
        <v>98980.0</v>
      </c>
      <c r="CG531" s="15">
        <v>21290.0</v>
      </c>
      <c r="CH531" s="15">
        <v>21290.0</v>
      </c>
      <c r="CI531" s="15">
        <v>21290.0</v>
      </c>
      <c r="CJ531" s="15">
        <v>21290.0</v>
      </c>
      <c r="CK531" s="15">
        <v>16480.0</v>
      </c>
      <c r="CL531" s="15">
        <v>220890.0</v>
      </c>
      <c r="CM531" s="15">
        <v>187170.0</v>
      </c>
      <c r="CN531" s="15">
        <v>175580.0</v>
      </c>
      <c r="CO531" s="15">
        <v>177210.0</v>
      </c>
      <c r="CP531" s="15">
        <v>141470.0</v>
      </c>
      <c r="CQ531" s="15">
        <v>5220.0</v>
      </c>
      <c r="CR531" s="15">
        <v>5920.0</v>
      </c>
      <c r="CS531" s="15">
        <v>5180.0</v>
      </c>
      <c r="CT531" s="15">
        <v>4910.0</v>
      </c>
      <c r="CU531" s="15">
        <v>4270.0</v>
      </c>
      <c r="CV531" s="15">
        <v>25180.0</v>
      </c>
      <c r="CW531" s="15">
        <v>2710.0</v>
      </c>
      <c r="CX531" s="16">
        <v>0.0</v>
      </c>
      <c r="CY531" s="16">
        <v>0.0</v>
      </c>
      <c r="CZ531" s="16">
        <v>0.0</v>
      </c>
      <c r="DA531" s="15">
        <v>0.0</v>
      </c>
      <c r="DB531" s="15">
        <v>25180.0</v>
      </c>
      <c r="DC531" s="15">
        <v>21610.0</v>
      </c>
      <c r="DD531" s="15">
        <v>18560.0</v>
      </c>
      <c r="DE531" s="15">
        <v>18140.0</v>
      </c>
      <c r="DF531" s="15">
        <v>164790.0</v>
      </c>
      <c r="DG531" s="15">
        <v>125830.0</v>
      </c>
      <c r="DH531" s="15">
        <v>123530.0</v>
      </c>
      <c r="DI531" s="15">
        <v>120730.0</v>
      </c>
      <c r="DJ531" s="15">
        <v>84940.0</v>
      </c>
      <c r="DK531" s="15">
        <v>0.0</v>
      </c>
      <c r="DL531" s="15">
        <v>0.0</v>
      </c>
      <c r="DM531" s="15">
        <v>0.0</v>
      </c>
      <c r="DN531" s="15">
        <v>0.0</v>
      </c>
      <c r="DO531" s="15">
        <v>0.0</v>
      </c>
      <c r="DP531" s="15">
        <v>123460.0</v>
      </c>
      <c r="DQ531" s="15">
        <v>98520.0</v>
      </c>
      <c r="DR531" s="15">
        <v>98430.0</v>
      </c>
      <c r="DS531" s="15">
        <v>99560.0</v>
      </c>
      <c r="DT531" s="15">
        <v>66150.0</v>
      </c>
      <c r="DU531" s="16">
        <v>0.0</v>
      </c>
      <c r="DV531" s="15">
        <v>0.0</v>
      </c>
      <c r="DW531" s="15">
        <v>0.0</v>
      </c>
      <c r="DX531" s="15">
        <v>0.0</v>
      </c>
      <c r="DY531" s="16">
        <v>0.0</v>
      </c>
      <c r="DZ531" s="15">
        <v>56100.0</v>
      </c>
      <c r="EA531" s="15">
        <v>61350.0</v>
      </c>
      <c r="EB531" s="15">
        <v>52050.0</v>
      </c>
      <c r="EC531" s="15">
        <v>56480.0</v>
      </c>
      <c r="ED531" s="15">
        <v>56520.0</v>
      </c>
      <c r="EE531" s="17">
        <v>0.272</v>
      </c>
      <c r="EF531" s="17">
        <v>0.113</v>
      </c>
      <c r="EG531" s="17">
        <v>-7.0</v>
      </c>
      <c r="EH531" s="17">
        <v>-2.933</v>
      </c>
    </row>
    <row r="532">
      <c r="A532" s="9">
        <f t="shared" si="2"/>
        <v>530</v>
      </c>
      <c r="B532" s="10" t="s">
        <v>667</v>
      </c>
      <c r="C532" s="15">
        <v>4300000.0</v>
      </c>
      <c r="D532" s="15">
        <v>4350000.0</v>
      </c>
      <c r="E532" s="15">
        <v>4120000.0</v>
      </c>
      <c r="F532" s="15">
        <v>3950000.0</v>
      </c>
      <c r="G532" s="15">
        <v>3920000.0</v>
      </c>
      <c r="H532" s="15">
        <v>3930000.0</v>
      </c>
      <c r="I532" s="15">
        <v>3780000.0</v>
      </c>
      <c r="J532" s="15">
        <v>1820000.0</v>
      </c>
      <c r="K532" s="15">
        <v>1740000.0</v>
      </c>
      <c r="L532" s="15">
        <v>1770000.0</v>
      </c>
      <c r="M532" s="15">
        <v>1760000.0</v>
      </c>
      <c r="N532" s="15">
        <v>1690000.0</v>
      </c>
      <c r="O532" s="15">
        <v>1550000.0</v>
      </c>
      <c r="P532" s="15">
        <v>1480000.0</v>
      </c>
      <c r="Q532" s="15">
        <v>1510000.0</v>
      </c>
      <c r="R532" s="15">
        <v>1460000.0</v>
      </c>
      <c r="S532" s="15">
        <v>1380000.0</v>
      </c>
      <c r="T532" s="15">
        <v>4300.0</v>
      </c>
      <c r="U532" s="15">
        <v>4900.0</v>
      </c>
      <c r="V532" s="15">
        <v>2400.0</v>
      </c>
      <c r="W532" s="15">
        <v>3000.0</v>
      </c>
      <c r="X532" s="15">
        <v>3300.0</v>
      </c>
      <c r="Y532" s="15">
        <v>217620.0</v>
      </c>
      <c r="Z532" s="15">
        <v>201460.0</v>
      </c>
      <c r="AA532" s="15">
        <v>-133050.0</v>
      </c>
      <c r="AB532" s="15">
        <v>266100.0</v>
      </c>
      <c r="AC532" s="15">
        <v>-9970.0</v>
      </c>
      <c r="AD532" s="15">
        <v>212080.0</v>
      </c>
      <c r="AE532" s="15">
        <v>197160.0</v>
      </c>
      <c r="AF532" s="15">
        <v>149290.0</v>
      </c>
      <c r="AG532" s="15">
        <v>249540.0</v>
      </c>
      <c r="AH532" s="15">
        <v>293030.0</v>
      </c>
      <c r="AI532" s="15">
        <v>414170.0</v>
      </c>
      <c r="AJ532" s="15">
        <v>405840.0</v>
      </c>
      <c r="AK532" s="15">
        <v>406030.0</v>
      </c>
      <c r="AL532" s="15">
        <v>438040.0</v>
      </c>
      <c r="AM532" s="15">
        <v>444480.0</v>
      </c>
      <c r="AN532" s="15">
        <v>164540.0</v>
      </c>
      <c r="AO532" s="15">
        <v>157160.0</v>
      </c>
      <c r="AP532" s="15">
        <v>150120.0</v>
      </c>
      <c r="AQ532" s="15">
        <v>163780.0</v>
      </c>
      <c r="AR532" s="15">
        <v>189190.0</v>
      </c>
      <c r="AS532" s="15">
        <v>366840.0</v>
      </c>
      <c r="AT532" s="15">
        <v>295890.0</v>
      </c>
      <c r="AU532" s="15">
        <v>297390.0</v>
      </c>
      <c r="AV532" s="15">
        <v>346040.0</v>
      </c>
      <c r="AW532" s="15">
        <v>318300.0</v>
      </c>
      <c r="AX532" s="15">
        <v>-103690.0</v>
      </c>
      <c r="AY532" s="15">
        <v>-99420.0</v>
      </c>
      <c r="AZ532" s="15">
        <v>-75230.0</v>
      </c>
      <c r="BA532" s="15">
        <v>-101730.0</v>
      </c>
      <c r="BB532" s="15">
        <v>-95770.0</v>
      </c>
      <c r="BC532" s="15">
        <v>-159990.0</v>
      </c>
      <c r="BD532" s="15">
        <v>-150210.0</v>
      </c>
      <c r="BE532" s="15">
        <v>-140980.0</v>
      </c>
      <c r="BF532" s="15">
        <v>-131070.0</v>
      </c>
      <c r="BG532" s="15">
        <v>-120440.0</v>
      </c>
      <c r="BH532" s="15">
        <v>11040.0</v>
      </c>
      <c r="BI532" s="15">
        <v>25810.0</v>
      </c>
      <c r="BJ532" s="15">
        <v>5390.0</v>
      </c>
      <c r="BK532" s="15">
        <v>9450.0</v>
      </c>
      <c r="BL532" s="15">
        <v>35090.0</v>
      </c>
      <c r="BM532" s="15">
        <v>321830.0</v>
      </c>
      <c r="BN532" s="15">
        <v>291400.0</v>
      </c>
      <c r="BO532" s="15">
        <v>290180.0</v>
      </c>
      <c r="BP532" s="15">
        <v>272830.0</v>
      </c>
      <c r="BQ532" s="15">
        <v>279500.0</v>
      </c>
      <c r="BR532" s="15">
        <v>194520.0</v>
      </c>
      <c r="BS532" s="15">
        <v>187700.0</v>
      </c>
      <c r="BT532" s="15">
        <v>172380.0</v>
      </c>
      <c r="BU532" s="15">
        <v>170390.0</v>
      </c>
      <c r="BV532" s="15">
        <v>168470.0</v>
      </c>
      <c r="BW532" s="15">
        <v>553920.0</v>
      </c>
      <c r="BX532" s="15">
        <v>543720.0</v>
      </c>
      <c r="BY532" s="15">
        <v>507190.0</v>
      </c>
      <c r="BZ532" s="15">
        <v>476840.0</v>
      </c>
      <c r="CA532" s="15">
        <v>500310.0</v>
      </c>
      <c r="CB532" s="15">
        <v>1120000.0</v>
      </c>
      <c r="CC532" s="15">
        <v>743850.0</v>
      </c>
      <c r="CD532" s="15">
        <v>732030.0</v>
      </c>
      <c r="CE532" s="15">
        <v>781030.0</v>
      </c>
      <c r="CF532" s="15">
        <v>804970.0</v>
      </c>
      <c r="CG532" s="15">
        <v>545240.0</v>
      </c>
      <c r="CH532" s="15">
        <v>545380.0</v>
      </c>
      <c r="CI532" s="15">
        <v>464780.0</v>
      </c>
      <c r="CJ532" s="15">
        <v>465580.0</v>
      </c>
      <c r="CK532" s="15">
        <v>464930.0</v>
      </c>
      <c r="CL532" s="15">
        <v>3330000.0</v>
      </c>
      <c r="CM532" s="15">
        <v>2910000.0</v>
      </c>
      <c r="CN532" s="15">
        <v>2730000.0</v>
      </c>
      <c r="CO532" s="15">
        <v>2760000.0</v>
      </c>
      <c r="CP532" s="15">
        <v>2840000.0</v>
      </c>
      <c r="CQ532" s="15">
        <v>233010.0</v>
      </c>
      <c r="CR532" s="15">
        <v>242080.0</v>
      </c>
      <c r="CS532" s="15">
        <v>181390.0</v>
      </c>
      <c r="CT532" s="15">
        <v>173100.0</v>
      </c>
      <c r="CU532" s="15">
        <v>171920.0</v>
      </c>
      <c r="CV532" s="15">
        <v>528140.0</v>
      </c>
      <c r="CW532" s="15">
        <v>66570.0</v>
      </c>
      <c r="CX532" s="15">
        <v>10550.0</v>
      </c>
      <c r="CY532" s="15">
        <v>5700.0</v>
      </c>
      <c r="CZ532" s="15">
        <v>19910.0</v>
      </c>
      <c r="DA532" s="15">
        <v>17990.0</v>
      </c>
      <c r="DB532" s="15">
        <v>528140.0</v>
      </c>
      <c r="DC532" s="15">
        <v>400340.0</v>
      </c>
      <c r="DD532" s="15">
        <v>393950.0</v>
      </c>
      <c r="DE532" s="15">
        <v>340620.0</v>
      </c>
      <c r="DF532" s="15">
        <v>2070000.0</v>
      </c>
      <c r="DG532" s="15">
        <v>1650000.0</v>
      </c>
      <c r="DH532" s="15">
        <v>1480000.0</v>
      </c>
      <c r="DI532" s="15">
        <v>1550000.0</v>
      </c>
      <c r="DJ532" s="15">
        <v>1600000.0</v>
      </c>
      <c r="DK532" s="15">
        <v>4090.0</v>
      </c>
      <c r="DL532" s="15">
        <v>3130.0</v>
      </c>
      <c r="DM532" s="15">
        <v>3430.0</v>
      </c>
      <c r="DN532" s="12"/>
      <c r="DO532" s="15">
        <v>3640.0</v>
      </c>
      <c r="DP532" s="15">
        <v>1210000.0</v>
      </c>
      <c r="DQ532" s="15">
        <v>990640.0</v>
      </c>
      <c r="DR532" s="15">
        <v>820140.0</v>
      </c>
      <c r="DS532" s="15">
        <v>946670.0</v>
      </c>
      <c r="DT532" s="15">
        <v>930020.0</v>
      </c>
      <c r="DU532" s="13"/>
      <c r="DV532" s="12"/>
      <c r="DW532" s="12"/>
      <c r="DX532" s="13"/>
      <c r="DY532" s="13"/>
      <c r="DZ532" s="15">
        <v>1260000.0</v>
      </c>
      <c r="EA532" s="15">
        <v>1260000.0</v>
      </c>
      <c r="EB532" s="15">
        <v>1250000.0</v>
      </c>
      <c r="EC532" s="15">
        <v>1210000.0</v>
      </c>
      <c r="ED532" s="15">
        <v>1240000.0</v>
      </c>
      <c r="EE532" s="17">
        <v>0.028</v>
      </c>
      <c r="EF532" s="17">
        <v>0.053</v>
      </c>
      <c r="EG532" s="17">
        <v>0.242</v>
      </c>
      <c r="EH532" s="17">
        <v>0.075</v>
      </c>
    </row>
    <row r="533">
      <c r="A533" s="9">
        <f t="shared" si="2"/>
        <v>531</v>
      </c>
      <c r="B533" s="32" t="s">
        <v>668</v>
      </c>
      <c r="C533" s="11">
        <v>1.629E7</v>
      </c>
      <c r="D533" s="11">
        <v>1.639E7</v>
      </c>
      <c r="E533" s="11">
        <v>1.917E7</v>
      </c>
      <c r="F533" s="11">
        <v>1.952E7</v>
      </c>
      <c r="G533" s="11">
        <v>1.904E7</v>
      </c>
      <c r="H533" s="11">
        <v>1.811E7</v>
      </c>
      <c r="I533" s="11">
        <v>2.153E7</v>
      </c>
      <c r="J533" s="11">
        <v>675650.0</v>
      </c>
      <c r="K533" s="11">
        <v>617250.0</v>
      </c>
      <c r="L533" s="11">
        <v>796700.0</v>
      </c>
      <c r="M533" s="11">
        <v>1100000.0</v>
      </c>
      <c r="N533" s="11">
        <v>1410000.0</v>
      </c>
      <c r="O533" s="11">
        <v>151820.0</v>
      </c>
      <c r="P533" s="11">
        <v>160520.0</v>
      </c>
      <c r="Q533" s="11">
        <v>164360.0</v>
      </c>
      <c r="R533" s="11">
        <v>170290.0</v>
      </c>
      <c r="S533" s="11">
        <v>179530.0</v>
      </c>
      <c r="T533" s="12"/>
      <c r="U533" s="12"/>
      <c r="V533" s="12"/>
      <c r="W533" s="12"/>
      <c r="X533" s="12"/>
      <c r="Y533" s="11">
        <v>491830.0</v>
      </c>
      <c r="Z533" s="11">
        <v>442150.0</v>
      </c>
      <c r="AA533" s="11">
        <v>566460.0</v>
      </c>
      <c r="AB533" s="11">
        <v>-245090.0</v>
      </c>
      <c r="AC533" s="11">
        <v>1230000.0</v>
      </c>
      <c r="AD533" s="11">
        <v>481750.0</v>
      </c>
      <c r="AE533" s="11">
        <v>386440.0</v>
      </c>
      <c r="AF533" s="11">
        <v>546600.0</v>
      </c>
      <c r="AG533" s="11">
        <v>726550.0</v>
      </c>
      <c r="AH533" s="11">
        <v>1200000.0</v>
      </c>
      <c r="AI533" s="11">
        <v>740490.0</v>
      </c>
      <c r="AJ533" s="11">
        <v>682000.0</v>
      </c>
      <c r="AK533" s="11">
        <v>858260.0</v>
      </c>
      <c r="AL533" s="11">
        <v>1120000.0</v>
      </c>
      <c r="AM533" s="11">
        <v>1430000.0</v>
      </c>
      <c r="AN533" s="11">
        <v>224830.0</v>
      </c>
      <c r="AO533" s="11">
        <v>191380.0</v>
      </c>
      <c r="AP533" s="11">
        <v>281400.0</v>
      </c>
      <c r="AQ533" s="11">
        <v>418170.0</v>
      </c>
      <c r="AR533" s="11">
        <v>715460.0</v>
      </c>
      <c r="AS533" s="11">
        <v>162160.0</v>
      </c>
      <c r="AT533" s="11">
        <v>601970.0</v>
      </c>
      <c r="AU533" s="11">
        <v>705920.0</v>
      </c>
      <c r="AV533" s="11">
        <v>849130.0</v>
      </c>
      <c r="AW533" s="11">
        <v>642570.0</v>
      </c>
      <c r="AX533" s="11">
        <v>-211000.0</v>
      </c>
      <c r="AY533" s="11">
        <v>-283110.0</v>
      </c>
      <c r="AZ533" s="11">
        <v>-235900.0</v>
      </c>
      <c r="BA533" s="11">
        <v>-240220.0</v>
      </c>
      <c r="BB533" s="11">
        <v>-324700.0</v>
      </c>
      <c r="BC533" s="11">
        <v>-118730.0</v>
      </c>
      <c r="BD533" s="11">
        <v>-118000.0</v>
      </c>
      <c r="BE533" s="11">
        <v>-118000.0</v>
      </c>
      <c r="BF533" s="11">
        <v>-125200.0</v>
      </c>
      <c r="BG533" s="11">
        <v>-126220.0</v>
      </c>
      <c r="BH533" s="11">
        <v>1980000.0</v>
      </c>
      <c r="BI533" s="11">
        <v>1970000.0</v>
      </c>
      <c r="BJ533" s="11">
        <v>1960000.0</v>
      </c>
      <c r="BK533" s="11">
        <v>2150000.0</v>
      </c>
      <c r="BL533" s="11">
        <v>2100000.0</v>
      </c>
      <c r="BM533" s="11">
        <v>3080000.0</v>
      </c>
      <c r="BN533" s="11">
        <v>3060000.0</v>
      </c>
      <c r="BO533" s="11">
        <v>3240000.0</v>
      </c>
      <c r="BP533" s="11">
        <v>2580000.0</v>
      </c>
      <c r="BQ533" s="11">
        <v>3060000.0</v>
      </c>
      <c r="BR533" s="11"/>
      <c r="BS533" s="11"/>
      <c r="BT533" s="11"/>
      <c r="BU533" s="11"/>
      <c r="BV533" s="11"/>
      <c r="BW533" s="11">
        <v>5440000.0</v>
      </c>
      <c r="BX533" s="11">
        <v>5600000.0</v>
      </c>
      <c r="BY533" s="11">
        <v>5610000.0</v>
      </c>
      <c r="BZ533" s="11">
        <v>5110000.0</v>
      </c>
      <c r="CA533" s="11">
        <v>5760000.0</v>
      </c>
      <c r="CB533" s="11">
        <v>1010000.0</v>
      </c>
      <c r="CC533" s="11">
        <v>1090000.0</v>
      </c>
      <c r="CD533" s="11">
        <v>1020000.0</v>
      </c>
      <c r="CE533" s="11">
        <v>892340.0</v>
      </c>
      <c r="CF533" s="11">
        <v>980260.0</v>
      </c>
      <c r="CG533" s="11">
        <v>533590.0</v>
      </c>
      <c r="CH533" s="11">
        <v>564680.0</v>
      </c>
      <c r="CI533" s="11">
        <v>532240.0</v>
      </c>
      <c r="CJ533" s="11">
        <v>111650.0</v>
      </c>
      <c r="CK533" s="11">
        <v>112950.0</v>
      </c>
      <c r="CL533" s="11">
        <v>9070000.0</v>
      </c>
      <c r="CM533" s="11">
        <v>9530000.0</v>
      </c>
      <c r="CN533" s="11">
        <v>9490000.0</v>
      </c>
      <c r="CO533" s="11">
        <v>7810000.0</v>
      </c>
      <c r="CP533" s="11">
        <v>8190000.0</v>
      </c>
      <c r="CQ533" s="11">
        <v>1640000.0</v>
      </c>
      <c r="CR533" s="11">
        <v>1510000.0</v>
      </c>
      <c r="CS533" s="11">
        <v>1590000.0</v>
      </c>
      <c r="CT533" s="11">
        <v>1270000.0</v>
      </c>
      <c r="CU533" s="11">
        <v>1420000.0</v>
      </c>
      <c r="CV533" s="11">
        <v>3550000.0</v>
      </c>
      <c r="CW533" s="11">
        <v>26890.0</v>
      </c>
      <c r="CX533" s="11">
        <v>27360.0</v>
      </c>
      <c r="CY533" s="11">
        <v>82240.0</v>
      </c>
      <c r="CZ533" s="12"/>
      <c r="DA533" s="11">
        <v>28740.0</v>
      </c>
      <c r="DB533" s="11">
        <v>3550000.0</v>
      </c>
      <c r="DC533" s="11">
        <v>3570000.0</v>
      </c>
      <c r="DD533" s="11">
        <v>3820000.0</v>
      </c>
      <c r="DE533" s="11">
        <v>2940000.0</v>
      </c>
      <c r="DF533" s="11">
        <v>5950000.0</v>
      </c>
      <c r="DG533" s="11">
        <v>6040000.0</v>
      </c>
      <c r="DH533" s="11">
        <v>6250000.0</v>
      </c>
      <c r="DI533" s="11">
        <v>4700000.0</v>
      </c>
      <c r="DJ533" s="11">
        <v>4970000.0</v>
      </c>
      <c r="DK533" s="11">
        <v>941160.0</v>
      </c>
      <c r="DL533" s="11">
        <v>998960.0</v>
      </c>
      <c r="DM533" s="11">
        <v>905480.0</v>
      </c>
      <c r="DN533" s="11">
        <v>560150.0</v>
      </c>
      <c r="DO533" s="11">
        <v>533700.0</v>
      </c>
      <c r="DP533" s="11">
        <v>1660000.0</v>
      </c>
      <c r="DQ533" s="11">
        <v>1590000.0</v>
      </c>
      <c r="DR533" s="11">
        <v>1520000.0</v>
      </c>
      <c r="DS533" s="11">
        <v>986560.0</v>
      </c>
      <c r="DT533" s="11">
        <v>991690.0</v>
      </c>
      <c r="DU533" s="13"/>
      <c r="DV533" s="12"/>
      <c r="DW533" s="12"/>
      <c r="DX533" s="12"/>
      <c r="DY533" s="13"/>
      <c r="DZ533" s="11">
        <v>2960000.0</v>
      </c>
      <c r="EA533" s="11">
        <v>3340000.0</v>
      </c>
      <c r="EB533" s="11">
        <v>3130000.0</v>
      </c>
      <c r="EC533" s="11">
        <v>3000000.0</v>
      </c>
      <c r="ED533" s="11">
        <v>3110000.0</v>
      </c>
      <c r="EE533" s="14">
        <v>0.095</v>
      </c>
      <c r="EF533" s="14">
        <v>0.434</v>
      </c>
      <c r="EG533" s="14">
        <v>-15.694</v>
      </c>
      <c r="EH533" s="14">
        <v>-6.632</v>
      </c>
    </row>
    <row r="534">
      <c r="A534" s="9">
        <f t="shared" si="2"/>
        <v>532</v>
      </c>
      <c r="B534" s="32" t="s">
        <v>669</v>
      </c>
      <c r="C534" s="11">
        <v>1520000.0</v>
      </c>
      <c r="D534" s="11">
        <v>1460000.0</v>
      </c>
      <c r="E534" s="11">
        <v>1250000.0</v>
      </c>
      <c r="F534" s="11">
        <v>1150000.0</v>
      </c>
      <c r="G534" s="11">
        <v>1190000.0</v>
      </c>
      <c r="H534" s="11">
        <v>1170000.0</v>
      </c>
      <c r="I534" s="11">
        <v>1120000.0</v>
      </c>
      <c r="J534" s="11">
        <v>496160.0</v>
      </c>
      <c r="K534" s="11">
        <v>456560.0</v>
      </c>
      <c r="L534" s="11">
        <v>486910.0</v>
      </c>
      <c r="M534" s="11">
        <v>485070.0</v>
      </c>
      <c r="N534" s="11">
        <v>458070.0</v>
      </c>
      <c r="O534" s="11">
        <v>451050.0</v>
      </c>
      <c r="P534" s="11">
        <v>415510.0</v>
      </c>
      <c r="Q534" s="11">
        <v>440550.0</v>
      </c>
      <c r="R534" s="11">
        <v>441790.0</v>
      </c>
      <c r="S534" s="11">
        <v>410850.0</v>
      </c>
      <c r="T534" s="11">
        <v>43760.0</v>
      </c>
      <c r="U534" s="11">
        <v>39260.0</v>
      </c>
      <c r="V534" s="11">
        <v>38900.0</v>
      </c>
      <c r="W534" s="11">
        <v>39230.0</v>
      </c>
      <c r="X534" s="11">
        <v>34750.0</v>
      </c>
      <c r="Y534" s="11"/>
      <c r="Z534" s="12"/>
      <c r="AA534" s="12"/>
      <c r="AB534" s="11">
        <v>17410.0</v>
      </c>
      <c r="AC534" s="11">
        <v>37820.0</v>
      </c>
      <c r="AD534" s="11">
        <v>42980.0</v>
      </c>
      <c r="AE534" s="11">
        <v>38020.0</v>
      </c>
      <c r="AF534" s="11">
        <v>56010.0</v>
      </c>
      <c r="AG534" s="11">
        <v>51450.0</v>
      </c>
      <c r="AH534" s="11">
        <v>30310.0</v>
      </c>
      <c r="AI534" s="11">
        <v>75070.0</v>
      </c>
      <c r="AJ534" s="11">
        <v>73520.0</v>
      </c>
      <c r="AK534" s="11">
        <v>79740.0</v>
      </c>
      <c r="AL534" s="11">
        <v>75670.0</v>
      </c>
      <c r="AM534" s="11">
        <v>76340.0</v>
      </c>
      <c r="AN534" s="11">
        <v>34770.0</v>
      </c>
      <c r="AO534" s="11">
        <v>40790.0</v>
      </c>
      <c r="AP534" s="11">
        <v>44040.0</v>
      </c>
      <c r="AQ534" s="11">
        <v>36880.0</v>
      </c>
      <c r="AR534" s="11">
        <v>20290.0</v>
      </c>
      <c r="AS534" s="11">
        <v>78100.0</v>
      </c>
      <c r="AT534" s="11">
        <v>58340.0</v>
      </c>
      <c r="AU534" s="11">
        <v>61010.0</v>
      </c>
      <c r="AV534" s="11">
        <v>57670.0</v>
      </c>
      <c r="AW534" s="11">
        <v>125730.0</v>
      </c>
      <c r="AX534" s="11">
        <v>-32560.0</v>
      </c>
      <c r="AY534" s="11">
        <v>-33310.0</v>
      </c>
      <c r="AZ534" s="11">
        <v>-33650.0</v>
      </c>
      <c r="BA534" s="11">
        <v>-33940.0</v>
      </c>
      <c r="BB534" s="11">
        <v>-32570.0</v>
      </c>
      <c r="BC534" s="12"/>
      <c r="BD534" s="12"/>
      <c r="BE534" s="12"/>
      <c r="BF534" s="12"/>
      <c r="BG534" s="12"/>
      <c r="BH534" s="11">
        <v>172920.0</v>
      </c>
      <c r="BI534" s="11">
        <v>147240.0</v>
      </c>
      <c r="BJ534" s="11">
        <v>149730.0</v>
      </c>
      <c r="BK534" s="11">
        <v>27830.0</v>
      </c>
      <c r="BL534" s="11">
        <v>27940.0</v>
      </c>
      <c r="BM534" s="11">
        <v>12370.0</v>
      </c>
      <c r="BN534" s="11">
        <v>12940.0</v>
      </c>
      <c r="BO534" s="11">
        <v>14070.0</v>
      </c>
      <c r="BP534" s="11">
        <v>19120.0</v>
      </c>
      <c r="BQ534" s="11">
        <v>19170.0</v>
      </c>
      <c r="BR534" s="11">
        <v>92360.0</v>
      </c>
      <c r="BS534" s="11">
        <v>88830.0</v>
      </c>
      <c r="BT534" s="11">
        <v>75860.0</v>
      </c>
      <c r="BU534" s="11">
        <v>103330.0</v>
      </c>
      <c r="BV534" s="11">
        <v>93160.0</v>
      </c>
      <c r="BW534" s="11">
        <v>303240.0</v>
      </c>
      <c r="BX534" s="11">
        <v>273020.0</v>
      </c>
      <c r="BY534" s="11">
        <v>257400.0</v>
      </c>
      <c r="BZ534" s="11">
        <v>166660.0</v>
      </c>
      <c r="CA534" s="11">
        <v>159970.0</v>
      </c>
      <c r="CB534" s="11">
        <v>166680.0</v>
      </c>
      <c r="CC534" s="11">
        <v>163340.0</v>
      </c>
      <c r="CD534" s="11">
        <v>161380.0</v>
      </c>
      <c r="CE534" s="11">
        <v>171360.0</v>
      </c>
      <c r="CF534" s="11">
        <v>170100.0</v>
      </c>
      <c r="CG534" s="11">
        <v>62590.0</v>
      </c>
      <c r="CH534" s="11">
        <v>62590.0</v>
      </c>
      <c r="CI534" s="11">
        <v>62590.0</v>
      </c>
      <c r="CJ534" s="11">
        <v>77670.0</v>
      </c>
      <c r="CK534" s="11">
        <v>77100.0</v>
      </c>
      <c r="CL534" s="11">
        <v>615340.0</v>
      </c>
      <c r="CM534" s="11">
        <v>579130.0</v>
      </c>
      <c r="CN534" s="11">
        <v>562560.0</v>
      </c>
      <c r="CO534" s="11">
        <v>516700.0</v>
      </c>
      <c r="CP534" s="11">
        <v>501950.0</v>
      </c>
      <c r="CQ534" s="11">
        <v>25700.0</v>
      </c>
      <c r="CR534" s="11">
        <v>41440.0</v>
      </c>
      <c r="CS534" s="11">
        <v>27780.0</v>
      </c>
      <c r="CT534" s="11">
        <v>35200.0</v>
      </c>
      <c r="CU534" s="11">
        <v>35430.0</v>
      </c>
      <c r="CV534" s="11">
        <v>127500.0</v>
      </c>
      <c r="CW534" s="11"/>
      <c r="CX534" s="11"/>
      <c r="CY534" s="11"/>
      <c r="CZ534" s="11"/>
      <c r="DA534" s="12"/>
      <c r="DB534" s="11">
        <v>127500.0</v>
      </c>
      <c r="DC534" s="11">
        <v>124800.0</v>
      </c>
      <c r="DD534" s="11">
        <v>125180.0</v>
      </c>
      <c r="DE534" s="11">
        <v>120860.0</v>
      </c>
      <c r="DF534" s="11">
        <v>272630.0</v>
      </c>
      <c r="DG534" s="11">
        <v>264230.0</v>
      </c>
      <c r="DH534" s="11">
        <v>280320.0</v>
      </c>
      <c r="DI534" s="11">
        <v>274120.0</v>
      </c>
      <c r="DJ534" s="11">
        <v>291690.0</v>
      </c>
      <c r="DK534" s="11">
        <v>2100.0</v>
      </c>
      <c r="DL534" s="11">
        <v>2300.0</v>
      </c>
      <c r="DM534" s="11">
        <v>2700.0</v>
      </c>
      <c r="DN534" s="11">
        <v>2800.0</v>
      </c>
      <c r="DO534" s="11">
        <v>3600.0</v>
      </c>
      <c r="DP534" s="11">
        <v>91970.0</v>
      </c>
      <c r="DQ534" s="11">
        <v>92270.0</v>
      </c>
      <c r="DR534" s="11">
        <v>101380.0</v>
      </c>
      <c r="DS534" s="11">
        <v>94400.0</v>
      </c>
      <c r="DT534" s="11">
        <v>117560.0</v>
      </c>
      <c r="DU534" s="13"/>
      <c r="DV534" s="12"/>
      <c r="DW534" s="12"/>
      <c r="DX534" s="12"/>
      <c r="DY534" s="12"/>
      <c r="DZ534" s="11">
        <v>342710.0</v>
      </c>
      <c r="EA534" s="11">
        <v>314900.0</v>
      </c>
      <c r="EB534" s="11">
        <v>282240.0</v>
      </c>
      <c r="EC534" s="11">
        <v>242590.0</v>
      </c>
      <c r="ED534" s="11">
        <v>208450.0</v>
      </c>
      <c r="EE534" s="14">
        <v>0.014</v>
      </c>
      <c r="EF534" s="14">
        <v>0.184</v>
      </c>
      <c r="EG534" s="14">
        <v>0.118</v>
      </c>
      <c r="EH534" s="14">
        <v>0.092</v>
      </c>
    </row>
    <row r="535">
      <c r="A535" s="9">
        <f t="shared" si="2"/>
        <v>533</v>
      </c>
      <c r="B535" s="22" t="s">
        <v>670</v>
      </c>
      <c r="C535" s="11">
        <v>159440.0</v>
      </c>
      <c r="D535" s="11">
        <v>83240.0</v>
      </c>
      <c r="E535" s="11">
        <v>72960.0</v>
      </c>
      <c r="F535" s="11">
        <v>22520.0</v>
      </c>
      <c r="G535" s="11">
        <v>355.0</v>
      </c>
      <c r="H535" s="12"/>
      <c r="I535" s="12"/>
      <c r="J535" s="11">
        <v>63000.0</v>
      </c>
      <c r="K535" s="11">
        <v>15190.0</v>
      </c>
      <c r="L535" s="11">
        <v>-1660.0</v>
      </c>
      <c r="M535" s="11">
        <v>-1150.0</v>
      </c>
      <c r="N535" s="11">
        <v>-238.0</v>
      </c>
      <c r="O535" s="11">
        <v>199270.0</v>
      </c>
      <c r="P535" s="11">
        <v>174390.0</v>
      </c>
      <c r="Q535" s="11">
        <v>128020.0</v>
      </c>
      <c r="R535" s="11">
        <v>68630.0</v>
      </c>
      <c r="S535" s="11">
        <v>45820.0</v>
      </c>
      <c r="T535" s="11">
        <v>69560.0</v>
      </c>
      <c r="U535" s="11">
        <v>53080.0</v>
      </c>
      <c r="V535" s="11">
        <v>49220.0</v>
      </c>
      <c r="W535" s="11">
        <v>41310.0</v>
      </c>
      <c r="X535" s="11">
        <v>32690.0</v>
      </c>
      <c r="Y535" s="12"/>
      <c r="Z535" s="12"/>
      <c r="AA535" s="12"/>
      <c r="AB535" s="12"/>
      <c r="AC535" s="12"/>
      <c r="AD535" s="11">
        <v>-149770.0</v>
      </c>
      <c r="AE535" s="11">
        <v>-169660.0</v>
      </c>
      <c r="AF535" s="11">
        <v>-137480.0</v>
      </c>
      <c r="AG535" s="11">
        <v>-71890.0</v>
      </c>
      <c r="AH535" s="11">
        <v>-46320.0</v>
      </c>
      <c r="AI535" s="11">
        <v>-133880.0</v>
      </c>
      <c r="AJ535" s="11">
        <v>-157490.0</v>
      </c>
      <c r="AK535" s="11">
        <v>-127670.0</v>
      </c>
      <c r="AL535" s="11">
        <v>-68630.0</v>
      </c>
      <c r="AM535" s="11">
        <v>-45820.0</v>
      </c>
      <c r="AN535" s="11">
        <v>-149770.0</v>
      </c>
      <c r="AO535" s="11">
        <v>-169660.0</v>
      </c>
      <c r="AP535" s="11">
        <v>-137480.0</v>
      </c>
      <c r="AQ535" s="11">
        <v>-71890.0</v>
      </c>
      <c r="AR535" s="11">
        <v>-46320.0</v>
      </c>
      <c r="AS535" s="11">
        <v>-147730.0</v>
      </c>
      <c r="AT535" s="11">
        <v>-160420.0</v>
      </c>
      <c r="AU535" s="11">
        <v>-107830.0</v>
      </c>
      <c r="AV535" s="11">
        <v>-62470.0</v>
      </c>
      <c r="AW535" s="11">
        <v>-38950.0</v>
      </c>
      <c r="AX535" s="11">
        <v>-3890.0</v>
      </c>
      <c r="AY535" s="11">
        <v>-852.0</v>
      </c>
      <c r="AZ535" s="11">
        <v>-2150.0</v>
      </c>
      <c r="BA535" s="11">
        <v>-8440.0</v>
      </c>
      <c r="BB535" s="11">
        <v>-5200.0</v>
      </c>
      <c r="BC535" s="12"/>
      <c r="BD535" s="12"/>
      <c r="BE535" s="12"/>
      <c r="BF535" s="12"/>
      <c r="BG535" s="12"/>
      <c r="BH535" s="11">
        <v>136660.0</v>
      </c>
      <c r="BI535" s="11">
        <v>258780.0</v>
      </c>
      <c r="BJ535" s="11">
        <v>392380.0</v>
      </c>
      <c r="BK535" s="11">
        <v>205600.0</v>
      </c>
      <c r="BL535" s="11">
        <v>111250.0</v>
      </c>
      <c r="BM535" s="11">
        <v>37350.0</v>
      </c>
      <c r="BN535" s="11">
        <v>13840.0</v>
      </c>
      <c r="BO535" s="11">
        <v>1390.0</v>
      </c>
      <c r="BP535" s="11">
        <v>606.0</v>
      </c>
      <c r="BQ535" s="11">
        <v>539.0</v>
      </c>
      <c r="BR535" s="11">
        <v>16530.0</v>
      </c>
      <c r="BS535" s="11">
        <v>7640.0</v>
      </c>
      <c r="BT535" s="11">
        <v>1800.0</v>
      </c>
      <c r="BU535" s="12"/>
      <c r="BV535" s="12"/>
      <c r="BW535" s="11">
        <v>195680.0</v>
      </c>
      <c r="BX535" s="11">
        <v>285040.0</v>
      </c>
      <c r="BY535" s="11">
        <v>397990.0</v>
      </c>
      <c r="BZ535" s="11">
        <v>209390.0</v>
      </c>
      <c r="CA535" s="11">
        <v>112100.0</v>
      </c>
      <c r="CB535" s="11">
        <v>21890.0</v>
      </c>
      <c r="CC535" s="11">
        <v>10710.0</v>
      </c>
      <c r="CD535" s="11">
        <v>11190.0</v>
      </c>
      <c r="CE535" s="11">
        <v>11660.0</v>
      </c>
      <c r="CF535" s="11">
        <v>7440.0</v>
      </c>
      <c r="CG535" s="12"/>
      <c r="CH535" s="12"/>
      <c r="CI535" s="12"/>
      <c r="CJ535" s="12"/>
      <c r="CK535" s="12"/>
      <c r="CL535" s="11">
        <v>217560.0</v>
      </c>
      <c r="CM535" s="11">
        <v>295750.0</v>
      </c>
      <c r="CN535" s="11">
        <v>441320.0</v>
      </c>
      <c r="CO535" s="11">
        <v>226260.0</v>
      </c>
      <c r="CP535" s="11">
        <v>127140.0</v>
      </c>
      <c r="CQ535" s="11">
        <v>15260.0</v>
      </c>
      <c r="CR535" s="11">
        <v>12340.0</v>
      </c>
      <c r="CS535" s="11">
        <v>6220.0</v>
      </c>
      <c r="CT535" s="11">
        <v>2160.0</v>
      </c>
      <c r="CU535" s="12"/>
      <c r="CV535" s="11">
        <v>36220.0</v>
      </c>
      <c r="CW535" s="11">
        <v>1350.0</v>
      </c>
      <c r="CX535" s="12"/>
      <c r="CY535" s="12"/>
      <c r="CZ535" s="12"/>
      <c r="DA535" s="12"/>
      <c r="DB535" s="11">
        <v>36220.0</v>
      </c>
      <c r="DC535" s="11">
        <v>36620.0</v>
      </c>
      <c r="DD535" s="11">
        <v>30570.0</v>
      </c>
      <c r="DE535" s="11">
        <v>17540.0</v>
      </c>
      <c r="DF535" s="11">
        <v>237670.0</v>
      </c>
      <c r="DG535" s="11">
        <v>185670.0</v>
      </c>
      <c r="DH535" s="11">
        <v>181040.0</v>
      </c>
      <c r="DI535" s="11">
        <v>39230.0</v>
      </c>
      <c r="DJ535" s="11">
        <v>23150.0</v>
      </c>
      <c r="DK535" s="12"/>
      <c r="DL535" s="12"/>
      <c r="DM535" s="11">
        <v>32140.0</v>
      </c>
      <c r="DN535" s="11">
        <v>5210.0</v>
      </c>
      <c r="DO535" s="11">
        <v>7440.0</v>
      </c>
      <c r="DP535" s="11">
        <v>201200.0</v>
      </c>
      <c r="DQ535" s="11">
        <v>148520.0</v>
      </c>
      <c r="DR535" s="11">
        <v>150040.0</v>
      </c>
      <c r="DS535" s="11">
        <v>21400.0</v>
      </c>
      <c r="DT535" s="11">
        <v>15000.0</v>
      </c>
      <c r="DU535" s="13"/>
      <c r="DV535" s="12"/>
      <c r="DW535" s="12"/>
      <c r="DX535" s="13"/>
      <c r="DY535" s="13"/>
      <c r="DZ535" s="11">
        <v>-20110.0</v>
      </c>
      <c r="EA535" s="11">
        <v>110080.0</v>
      </c>
      <c r="EB535" s="11">
        <v>260270.0</v>
      </c>
      <c r="EC535" s="11">
        <v>187030.0</v>
      </c>
      <c r="ED535" s="11">
        <v>103990.0</v>
      </c>
      <c r="EE535" s="14">
        <v>0.217</v>
      </c>
      <c r="EF535" s="14">
        <v>0.296</v>
      </c>
      <c r="EG535" s="14">
        <v>-0.169</v>
      </c>
      <c r="EH535" s="14">
        <v>-0.022</v>
      </c>
    </row>
    <row r="536">
      <c r="A536" s="9">
        <f t="shared" si="2"/>
        <v>534</v>
      </c>
      <c r="B536" s="25" t="s">
        <v>671</v>
      </c>
      <c r="C536" s="15"/>
      <c r="D536" s="15"/>
      <c r="E536" s="15">
        <v>443590.0</v>
      </c>
      <c r="F536" s="15">
        <v>489180.0</v>
      </c>
      <c r="G536" s="15">
        <v>468760.0</v>
      </c>
      <c r="H536" s="15">
        <v>500110.0</v>
      </c>
      <c r="I536" s="15">
        <v>466900.0</v>
      </c>
      <c r="J536" s="15">
        <v>77640.0</v>
      </c>
      <c r="K536" s="15">
        <v>98220.0</v>
      </c>
      <c r="L536" s="15">
        <v>108650.0</v>
      </c>
      <c r="M536" s="15">
        <v>113700.0</v>
      </c>
      <c r="N536" s="15">
        <v>109860.0</v>
      </c>
      <c r="O536" s="15">
        <v>76800.0</v>
      </c>
      <c r="P536" s="15">
        <v>71950.0</v>
      </c>
      <c r="Q536" s="15">
        <v>72260.0</v>
      </c>
      <c r="R536" s="15">
        <v>78110.0</v>
      </c>
      <c r="S536" s="15">
        <v>75290.0</v>
      </c>
      <c r="T536" s="15">
        <v>4400.0</v>
      </c>
      <c r="U536" s="15">
        <v>3900.0</v>
      </c>
      <c r="V536" s="15">
        <v>3700.0</v>
      </c>
      <c r="W536" s="15">
        <v>4200.0</v>
      </c>
      <c r="X536" s="15">
        <v>4100.0</v>
      </c>
      <c r="Y536" s="15">
        <v>-43150.0</v>
      </c>
      <c r="Z536" s="15">
        <v>22670.0</v>
      </c>
      <c r="AA536" s="15">
        <v>37260.0</v>
      </c>
      <c r="AB536" s="15">
        <v>38070.0</v>
      </c>
      <c r="AC536" s="15">
        <v>34420.0</v>
      </c>
      <c r="AD536" s="15">
        <v>-42610.0</v>
      </c>
      <c r="AE536" s="15">
        <v>25130.0</v>
      </c>
      <c r="AF536" s="15">
        <v>37590.0</v>
      </c>
      <c r="AG536" s="15">
        <v>37930.0</v>
      </c>
      <c r="AH536" s="15">
        <v>35560.0</v>
      </c>
      <c r="AI536" s="15">
        <v>8280.0</v>
      </c>
      <c r="AJ536" s="15">
        <v>33640.0</v>
      </c>
      <c r="AK536" s="15">
        <v>44330.0</v>
      </c>
      <c r="AL536" s="15">
        <v>43140.0</v>
      </c>
      <c r="AM536" s="15">
        <v>39520.0</v>
      </c>
      <c r="AN536" s="15">
        <v>-32610.0</v>
      </c>
      <c r="AO536" s="15">
        <v>17670.0</v>
      </c>
      <c r="AP536" s="15">
        <v>23790.0</v>
      </c>
      <c r="AQ536" s="15">
        <v>24240.0</v>
      </c>
      <c r="AR536" s="15">
        <v>22300.0</v>
      </c>
      <c r="AS536" s="15">
        <v>6710.0</v>
      </c>
      <c r="AT536" s="15">
        <v>27290.0</v>
      </c>
      <c r="AU536" s="15">
        <v>26390.0</v>
      </c>
      <c r="AV536" s="15">
        <v>54370.0</v>
      </c>
      <c r="AW536" s="15">
        <v>3270.0</v>
      </c>
      <c r="AX536" s="15">
        <v>-21350.0</v>
      </c>
      <c r="AY536" s="15">
        <v>-29450.0</v>
      </c>
      <c r="AZ536" s="15">
        <v>-13460.0</v>
      </c>
      <c r="BA536" s="15">
        <v>-7380.0</v>
      </c>
      <c r="BB536" s="15">
        <v>-37420.0</v>
      </c>
      <c r="BC536" s="15">
        <v>-6920.0</v>
      </c>
      <c r="BD536" s="15">
        <v>-6750.0</v>
      </c>
      <c r="BE536" s="15">
        <v>-6060.0</v>
      </c>
      <c r="BF536" s="15">
        <v>-5460.0</v>
      </c>
      <c r="BG536" s="15">
        <v>-5120.0</v>
      </c>
      <c r="BH536" s="15">
        <v>22250.0</v>
      </c>
      <c r="BI536" s="15">
        <v>43700.0</v>
      </c>
      <c r="BJ536" s="15">
        <v>46830.0</v>
      </c>
      <c r="BK536" s="15">
        <v>36780.0</v>
      </c>
      <c r="BL536" s="15">
        <v>1280.0</v>
      </c>
      <c r="BM536" s="15">
        <v>38160.0</v>
      </c>
      <c r="BN536" s="15">
        <v>41250.0</v>
      </c>
      <c r="BO536" s="15">
        <v>42360.0</v>
      </c>
      <c r="BP536" s="15">
        <v>44620.0</v>
      </c>
      <c r="BQ536" s="15">
        <v>45100.0</v>
      </c>
      <c r="BR536" s="15">
        <v>93660.0</v>
      </c>
      <c r="BS536" s="15">
        <v>96200.0</v>
      </c>
      <c r="BT536" s="15">
        <v>99400.0</v>
      </c>
      <c r="BU536" s="15">
        <v>85900.0</v>
      </c>
      <c r="BV536" s="15">
        <v>113840.0</v>
      </c>
      <c r="BW536" s="15">
        <v>165970.0</v>
      </c>
      <c r="BX536" s="15">
        <v>189630.0</v>
      </c>
      <c r="BY536" s="15">
        <v>195250.0</v>
      </c>
      <c r="BZ536" s="15">
        <v>176440.0</v>
      </c>
      <c r="CA536" s="15">
        <v>171220.0</v>
      </c>
      <c r="CB536" s="15">
        <v>79240.0</v>
      </c>
      <c r="CC536" s="15">
        <v>90730.0</v>
      </c>
      <c r="CD536" s="15">
        <v>70660.0</v>
      </c>
      <c r="CE536" s="15">
        <v>64120.0</v>
      </c>
      <c r="CF536" s="15">
        <v>64770.0</v>
      </c>
      <c r="CG536" s="15"/>
      <c r="CH536" s="15"/>
      <c r="CI536" s="15"/>
      <c r="CJ536" s="15"/>
      <c r="CK536" s="15"/>
      <c r="CL536" s="15">
        <v>254290.0</v>
      </c>
      <c r="CM536" s="15">
        <v>284290.0</v>
      </c>
      <c r="CN536" s="15">
        <v>270050.0</v>
      </c>
      <c r="CO536" s="15">
        <v>246900.0</v>
      </c>
      <c r="CP536" s="15">
        <v>244620.0</v>
      </c>
      <c r="CQ536" s="15">
        <v>18410.0</v>
      </c>
      <c r="CR536" s="15">
        <v>17230.0</v>
      </c>
      <c r="CS536" s="15">
        <v>16760.0</v>
      </c>
      <c r="CT536" s="15">
        <v>11020.0</v>
      </c>
      <c r="CU536" s="15">
        <v>18330.0</v>
      </c>
      <c r="CV536" s="15">
        <v>47760.0</v>
      </c>
      <c r="CW536" s="15"/>
      <c r="CX536" s="15"/>
      <c r="CY536" s="15"/>
      <c r="CZ536" s="15"/>
      <c r="DA536" s="15">
        <v>11900.0</v>
      </c>
      <c r="DB536" s="15">
        <v>47760.0</v>
      </c>
      <c r="DC536" s="15">
        <v>40930.0</v>
      </c>
      <c r="DD536" s="15">
        <v>37200.0</v>
      </c>
      <c r="DE536" s="15">
        <v>33360.0</v>
      </c>
      <c r="DF536" s="15">
        <v>48860.0</v>
      </c>
      <c r="DG536" s="15">
        <v>42600.0</v>
      </c>
      <c r="DH536" s="15">
        <v>39290.0</v>
      </c>
      <c r="DI536" s="15">
        <v>37250.0</v>
      </c>
      <c r="DJ536" s="15">
        <v>57870.0</v>
      </c>
      <c r="DK536" s="15"/>
      <c r="DL536" s="15"/>
      <c r="DM536" s="15"/>
      <c r="DN536" s="12"/>
      <c r="DO536" s="15"/>
      <c r="DP536" s="15"/>
      <c r="DQ536" s="15"/>
      <c r="DR536" s="15"/>
      <c r="DS536" s="15"/>
      <c r="DT536" s="15"/>
      <c r="DU536" s="13"/>
      <c r="DV536" s="12"/>
      <c r="DW536" s="12"/>
      <c r="DX536" s="13"/>
      <c r="DY536" s="13"/>
      <c r="DZ536" s="15">
        <v>205430.0</v>
      </c>
      <c r="EA536" s="15">
        <v>241700.0</v>
      </c>
      <c r="EB536" s="15">
        <v>230760.0</v>
      </c>
      <c r="EC536" s="15">
        <v>209650.0</v>
      </c>
      <c r="ED536" s="15">
        <v>186750.0</v>
      </c>
      <c r="EE536" s="17"/>
      <c r="EF536" s="17"/>
      <c r="EG536" s="23" t="s">
        <v>155</v>
      </c>
      <c r="EH536" s="17"/>
    </row>
    <row r="537">
      <c r="A537" s="9">
        <f t="shared" si="2"/>
        <v>535</v>
      </c>
      <c r="B537" s="25" t="s">
        <v>672</v>
      </c>
      <c r="C537" s="15">
        <v>5020000.0</v>
      </c>
      <c r="D537" s="15">
        <v>4740000.0</v>
      </c>
      <c r="E537" s="15">
        <v>4610000.0</v>
      </c>
      <c r="F537" s="15">
        <v>4290000.0</v>
      </c>
      <c r="G537" s="15">
        <v>2880000.0</v>
      </c>
      <c r="H537" s="15">
        <v>2540000.0</v>
      </c>
      <c r="I537" s="15">
        <v>3280000.0</v>
      </c>
      <c r="J537" s="15">
        <v>1990000.0</v>
      </c>
      <c r="K537" s="15">
        <v>1920000.0</v>
      </c>
      <c r="L537" s="15">
        <v>1130000.0</v>
      </c>
      <c r="M537" s="15">
        <v>950600.0</v>
      </c>
      <c r="N537" s="15">
        <v>1120000.0</v>
      </c>
      <c r="O537" s="15">
        <v>1020000.0</v>
      </c>
      <c r="P537" s="15">
        <v>982800.0</v>
      </c>
      <c r="Q537" s="15">
        <v>621700.0</v>
      </c>
      <c r="R537" s="15">
        <v>573800.0</v>
      </c>
      <c r="S537" s="15">
        <v>616600.0</v>
      </c>
      <c r="T537" s="15">
        <v>298100.0</v>
      </c>
      <c r="U537" s="15">
        <v>287700.0</v>
      </c>
      <c r="V537" s="15">
        <v>141500.0</v>
      </c>
      <c r="W537" s="15">
        <v>134500.0</v>
      </c>
      <c r="X537" s="15">
        <v>143700.0</v>
      </c>
      <c r="Y537" s="15">
        <v>809800.0</v>
      </c>
      <c r="Z537" s="15">
        <v>-294100.0</v>
      </c>
      <c r="AA537" s="15">
        <v>-221000.0</v>
      </c>
      <c r="AB537" s="15">
        <v>-120100.0</v>
      </c>
      <c r="AC537" s="15">
        <v>-71800.0</v>
      </c>
      <c r="AD537" s="15">
        <v>655000.0</v>
      </c>
      <c r="AE537" s="15">
        <v>608400.0</v>
      </c>
      <c r="AF537" s="15">
        <v>180800.0</v>
      </c>
      <c r="AG537" s="15">
        <v>180800.0</v>
      </c>
      <c r="AH537" s="15">
        <v>-130500.0</v>
      </c>
      <c r="AI537" s="15">
        <v>1220000.0</v>
      </c>
      <c r="AJ537" s="15">
        <v>1090000.0</v>
      </c>
      <c r="AK537" s="15">
        <v>614300.0</v>
      </c>
      <c r="AL537" s="15">
        <v>492700.0</v>
      </c>
      <c r="AM537" s="15">
        <v>623100.0</v>
      </c>
      <c r="AN537" s="15">
        <v>539200.0</v>
      </c>
      <c r="AO537" s="15">
        <v>525800.0</v>
      </c>
      <c r="AP537" s="15">
        <v>-85900.0</v>
      </c>
      <c r="AQ537" s="15">
        <v>127700.0</v>
      </c>
      <c r="AR537" s="15">
        <v>-187400.0</v>
      </c>
      <c r="AS537" s="15">
        <v>488500.0</v>
      </c>
      <c r="AT537" s="15">
        <v>365300.0</v>
      </c>
      <c r="AU537" s="15">
        <v>335500.0</v>
      </c>
      <c r="AV537" s="15">
        <v>497800.0</v>
      </c>
      <c r="AW537" s="15">
        <v>-357700.0</v>
      </c>
      <c r="AX537" s="15">
        <v>-93900.0</v>
      </c>
      <c r="AY537" s="15">
        <v>-83000.0</v>
      </c>
      <c r="AZ537" s="15">
        <v>-85700.0</v>
      </c>
      <c r="BA537" s="15">
        <v>-91200.0</v>
      </c>
      <c r="BB537" s="15">
        <v>-108500.0</v>
      </c>
      <c r="BC537" s="15">
        <v>-210300.0</v>
      </c>
      <c r="BD537" s="15">
        <v>-89200.0</v>
      </c>
      <c r="BE537" s="15">
        <v>-88800.0</v>
      </c>
      <c r="BF537" s="15">
        <v>-88600.0</v>
      </c>
      <c r="BG537" s="15">
        <v>-86400.0</v>
      </c>
      <c r="BH537" s="15">
        <v>339100.0</v>
      </c>
      <c r="BI537" s="15">
        <v>134400.0</v>
      </c>
      <c r="BJ537" s="15">
        <v>283000.0</v>
      </c>
      <c r="BK537" s="15">
        <v>64200.0</v>
      </c>
      <c r="BL537" s="15">
        <v>78600.0</v>
      </c>
      <c r="BM537" s="15">
        <v>2460000.0</v>
      </c>
      <c r="BN537" s="15">
        <v>2360000.0</v>
      </c>
      <c r="BO537" s="15">
        <v>2170000.0</v>
      </c>
      <c r="BP537" s="15">
        <v>1810000.0</v>
      </c>
      <c r="BQ537" s="15">
        <v>1980000.0</v>
      </c>
      <c r="BR537" s="15">
        <v>1020000.0</v>
      </c>
      <c r="BS537" s="15">
        <v>1030000.0</v>
      </c>
      <c r="BT537" s="15">
        <v>992500.0</v>
      </c>
      <c r="BU537" s="15">
        <v>478900.0</v>
      </c>
      <c r="BV537" s="15">
        <v>800200.0</v>
      </c>
      <c r="BW537" s="15">
        <v>4070000.0</v>
      </c>
      <c r="BX537" s="15">
        <v>4030000.0</v>
      </c>
      <c r="BY537" s="15">
        <v>3650000.0</v>
      </c>
      <c r="BZ537" s="15">
        <v>2850000.0</v>
      </c>
      <c r="CA537" s="15">
        <v>2970000.0</v>
      </c>
      <c r="CB537" s="15">
        <v>922700.0</v>
      </c>
      <c r="CC537" s="15">
        <v>756900.0</v>
      </c>
      <c r="CD537" s="15">
        <v>1030000.0</v>
      </c>
      <c r="CE537" s="15">
        <v>538100.0</v>
      </c>
      <c r="CF537" s="15">
        <v>1020000.0</v>
      </c>
      <c r="CG537" s="15">
        <v>1470000.0</v>
      </c>
      <c r="CH537" s="15">
        <v>1470000.0</v>
      </c>
      <c r="CI537" s="15">
        <v>1200000.0</v>
      </c>
      <c r="CJ537" s="15">
        <v>498700.0</v>
      </c>
      <c r="CK537" s="15">
        <v>776100.0</v>
      </c>
      <c r="CL537" s="15">
        <v>9870000.0</v>
      </c>
      <c r="CM537" s="15">
        <v>9970000.0</v>
      </c>
      <c r="CN537" s="15">
        <v>9210000.0</v>
      </c>
      <c r="CO537" s="15">
        <v>6140000.0</v>
      </c>
      <c r="CP537" s="15">
        <v>6330000.0</v>
      </c>
      <c r="CQ537" s="15">
        <v>900100.0</v>
      </c>
      <c r="CR537" s="15">
        <v>795500.0</v>
      </c>
      <c r="CS537" s="15">
        <v>714200.0</v>
      </c>
      <c r="CT537" s="15">
        <v>317400.0</v>
      </c>
      <c r="CU537" s="15">
        <v>403600.0</v>
      </c>
      <c r="CV537" s="15">
        <v>2720000.0</v>
      </c>
      <c r="CW537" s="15">
        <v>176400.0</v>
      </c>
      <c r="CX537" s="15">
        <v>161700.0</v>
      </c>
      <c r="CY537" s="15">
        <v>91400.0</v>
      </c>
      <c r="CZ537" s="15">
        <v>91800.0</v>
      </c>
      <c r="DA537" s="15">
        <v>111100.0</v>
      </c>
      <c r="DB537" s="15">
        <v>2720000.0</v>
      </c>
      <c r="DC537" s="15">
        <v>2990000.0</v>
      </c>
      <c r="DD537" s="15">
        <v>2210000.0</v>
      </c>
      <c r="DE537" s="15">
        <v>1440000.0</v>
      </c>
      <c r="DF537" s="15">
        <v>7310000.0</v>
      </c>
      <c r="DG537" s="15">
        <v>6760000.0</v>
      </c>
      <c r="DH537" s="15">
        <v>6500000.0</v>
      </c>
      <c r="DI537" s="15">
        <v>4150000.0</v>
      </c>
      <c r="DJ537" s="15">
        <v>4420000.0</v>
      </c>
      <c r="DK537" s="15">
        <v>700.0</v>
      </c>
      <c r="DL537" s="15">
        <v>700.0</v>
      </c>
      <c r="DM537" s="15">
        <v>31500.0</v>
      </c>
      <c r="DN537" s="15">
        <v>26300.0</v>
      </c>
      <c r="DO537" s="15">
        <v>27900.0</v>
      </c>
      <c r="DP537" s="15">
        <v>3190000.0</v>
      </c>
      <c r="DQ537" s="15">
        <v>2160000.0</v>
      </c>
      <c r="DR537" s="15">
        <v>3020000.0</v>
      </c>
      <c r="DS537" s="15">
        <v>1830000.0</v>
      </c>
      <c r="DT537" s="15">
        <v>2070000.0</v>
      </c>
      <c r="DU537" s="13"/>
      <c r="DV537" s="12"/>
      <c r="DW537" s="12"/>
      <c r="DX537" s="13"/>
      <c r="DY537" s="13"/>
      <c r="DZ537" s="15">
        <v>2530000.0</v>
      </c>
      <c r="EA537" s="15">
        <v>3120000.0</v>
      </c>
      <c r="EB537" s="15">
        <v>2680000.0</v>
      </c>
      <c r="EC537" s="15">
        <v>1960000.0</v>
      </c>
      <c r="ED537" s="15">
        <v>1870000.0</v>
      </c>
      <c r="EE537" s="23"/>
      <c r="EF537" s="23"/>
      <c r="EG537" s="23">
        <v>0.034</v>
      </c>
      <c r="EH537" s="23">
        <v>0.086</v>
      </c>
    </row>
    <row r="538">
      <c r="A538" s="9">
        <f t="shared" si="2"/>
        <v>536</v>
      </c>
      <c r="B538" s="32" t="s">
        <v>673</v>
      </c>
      <c r="C538" s="11">
        <v>2.264E7</v>
      </c>
      <c r="D538" s="11">
        <v>2.145E7</v>
      </c>
      <c r="E538" s="11">
        <v>1.748E7</v>
      </c>
      <c r="F538" s="11">
        <v>1.655E7</v>
      </c>
      <c r="G538" s="11">
        <v>1.778E7</v>
      </c>
      <c r="H538" s="11">
        <v>1.657E7</v>
      </c>
      <c r="I538" s="11">
        <v>1.509E7</v>
      </c>
      <c r="J538" s="11">
        <v>5390000.0</v>
      </c>
      <c r="K538" s="11">
        <v>5160000.0</v>
      </c>
      <c r="L538" s="11">
        <v>6020000.0</v>
      </c>
      <c r="M538" s="11">
        <v>5620000.0</v>
      </c>
      <c r="N538" s="11">
        <v>4820000.0</v>
      </c>
      <c r="O538" s="11">
        <v>3250000.0</v>
      </c>
      <c r="P538" s="11">
        <v>2820000.0</v>
      </c>
      <c r="Q538" s="11">
        <v>3490000.0</v>
      </c>
      <c r="R538" s="11">
        <v>3270000.0</v>
      </c>
      <c r="S538" s="11">
        <v>2660000.0</v>
      </c>
      <c r="T538" s="11">
        <v>168030.0</v>
      </c>
      <c r="U538" s="11">
        <v>133620.0</v>
      </c>
      <c r="V538" s="11">
        <v>130700.0</v>
      </c>
      <c r="W538" s="11">
        <v>146510.0</v>
      </c>
      <c r="X538" s="11">
        <v>126520.0</v>
      </c>
      <c r="Y538" s="11">
        <v>2120000.0</v>
      </c>
      <c r="Z538" s="11">
        <v>2160000.0</v>
      </c>
      <c r="AA538" s="11">
        <v>-203850.0</v>
      </c>
      <c r="AB538" s="11">
        <v>-26340.0</v>
      </c>
      <c r="AC538" s="11">
        <v>2090000.0</v>
      </c>
      <c r="AD538" s="11">
        <v>1770000.0</v>
      </c>
      <c r="AE538" s="11">
        <v>2660000.0</v>
      </c>
      <c r="AF538" s="11">
        <v>1930000.0</v>
      </c>
      <c r="AG538" s="11">
        <v>1980000.0</v>
      </c>
      <c r="AH538" s="11">
        <v>1750000.0</v>
      </c>
      <c r="AI538" s="11">
        <v>3690000.0</v>
      </c>
      <c r="AJ538" s="11">
        <v>3060000.0</v>
      </c>
      <c r="AK538" s="11">
        <v>3270000.0</v>
      </c>
      <c r="AL538" s="11">
        <v>3040000.0</v>
      </c>
      <c r="AM538" s="11">
        <v>2810000.0</v>
      </c>
      <c r="AN538" s="11">
        <v>1200000.0</v>
      </c>
      <c r="AO538" s="11">
        <v>1980000.0</v>
      </c>
      <c r="AP538" s="11">
        <v>1280000.0</v>
      </c>
      <c r="AQ538" s="11">
        <v>1140000.0</v>
      </c>
      <c r="AR538" s="11">
        <v>928330.0</v>
      </c>
      <c r="AS538" s="11">
        <v>2570000.0</v>
      </c>
      <c r="AT538" s="11">
        <v>2060000.0</v>
      </c>
      <c r="AU538" s="11">
        <v>2190000.0</v>
      </c>
      <c r="AV538" s="11">
        <v>1930000.0</v>
      </c>
      <c r="AW538" s="11">
        <v>1770000.0</v>
      </c>
      <c r="AX538" s="11">
        <v>-1160000.0</v>
      </c>
      <c r="AY538" s="11">
        <v>-1140000.0</v>
      </c>
      <c r="AZ538" s="11">
        <v>-970830.0</v>
      </c>
      <c r="BA538" s="11">
        <v>-930520.0</v>
      </c>
      <c r="BB538" s="11">
        <v>-888700.0</v>
      </c>
      <c r="BC538" s="11">
        <v>-354640.0</v>
      </c>
      <c r="BD538" s="11">
        <v>-324840.0</v>
      </c>
      <c r="BE538" s="11">
        <v>-293970.0</v>
      </c>
      <c r="BF538" s="11">
        <v>-244250.0</v>
      </c>
      <c r="BG538" s="11">
        <v>-237390.0</v>
      </c>
      <c r="BH538" s="11">
        <v>1140000.0</v>
      </c>
      <c r="BI538" s="11">
        <v>2250000.0</v>
      </c>
      <c r="BJ538" s="11">
        <v>989920.0</v>
      </c>
      <c r="BK538" s="11">
        <v>999390.0</v>
      </c>
      <c r="BL538" s="11">
        <v>781070.0</v>
      </c>
      <c r="BM538" s="11">
        <v>3820000.0</v>
      </c>
      <c r="BN538" s="11">
        <v>3770000.0</v>
      </c>
      <c r="BO538" s="11">
        <v>3700000.0</v>
      </c>
      <c r="BP538" s="11">
        <v>4380000.0</v>
      </c>
      <c r="BQ538" s="11">
        <v>4040000.0</v>
      </c>
      <c r="BR538" s="11">
        <v>1770000.0</v>
      </c>
      <c r="BS538" s="11">
        <v>1520000.0</v>
      </c>
      <c r="BT538" s="11">
        <v>1340000.0</v>
      </c>
      <c r="BU538" s="11">
        <v>1420000.0</v>
      </c>
      <c r="BV538" s="11">
        <v>1270000.0</v>
      </c>
      <c r="BW538" s="11">
        <v>7020000.0</v>
      </c>
      <c r="BX538" s="11">
        <v>7850000.0</v>
      </c>
      <c r="BY538" s="11">
        <v>6370000.0</v>
      </c>
      <c r="BZ538" s="11">
        <v>6880000.0</v>
      </c>
      <c r="CA538" s="11">
        <v>6370000.0</v>
      </c>
      <c r="CB538" s="11">
        <v>8520000.0</v>
      </c>
      <c r="CC538" s="11">
        <v>3840000.0</v>
      </c>
      <c r="CD538" s="11">
        <v>3490000.0</v>
      </c>
      <c r="CE538" s="11">
        <v>3580000.0</v>
      </c>
      <c r="CF538" s="11">
        <v>3150000.0</v>
      </c>
      <c r="CG538" s="11">
        <v>1.402E7</v>
      </c>
      <c r="CH538" s="11">
        <v>1.221E7</v>
      </c>
      <c r="CI538" s="11">
        <v>1.21E7</v>
      </c>
      <c r="CJ538" s="11">
        <v>1.296E7</v>
      </c>
      <c r="CK538" s="11">
        <v>1.2E7</v>
      </c>
      <c r="CL538" s="11">
        <v>3.293E7</v>
      </c>
      <c r="CM538" s="11">
        <v>2.624E7</v>
      </c>
      <c r="CN538" s="11">
        <v>2.403E7</v>
      </c>
      <c r="CO538" s="11">
        <v>2.55E7</v>
      </c>
      <c r="CP538" s="11">
        <v>2.351E7</v>
      </c>
      <c r="CQ538" s="11">
        <v>716530.0</v>
      </c>
      <c r="CR538" s="11">
        <v>641270.0</v>
      </c>
      <c r="CS538" s="11">
        <v>590490.0</v>
      </c>
      <c r="CT538" s="11">
        <v>575560.0</v>
      </c>
      <c r="CU538" s="11">
        <v>577950.0</v>
      </c>
      <c r="CV538" s="11">
        <v>7010000.0</v>
      </c>
      <c r="CW538" s="11">
        <v>1170000.0</v>
      </c>
      <c r="CX538" s="11">
        <v>1390000.0</v>
      </c>
      <c r="CY538" s="11">
        <v>769280.0</v>
      </c>
      <c r="CZ538" s="11">
        <v>575010.0</v>
      </c>
      <c r="DA538" s="11">
        <v>118110.0</v>
      </c>
      <c r="DB538" s="11">
        <v>7010000.0</v>
      </c>
      <c r="DC538" s="11">
        <v>6270000.0</v>
      </c>
      <c r="DD538" s="11">
        <v>5300000.0</v>
      </c>
      <c r="DE538" s="11">
        <v>5300000.0</v>
      </c>
      <c r="DF538" s="11">
        <v>1.971E7</v>
      </c>
      <c r="DG538" s="11">
        <v>1.334E7</v>
      </c>
      <c r="DH538" s="11">
        <v>1.32E7</v>
      </c>
      <c r="DI538" s="11">
        <v>1.445E7</v>
      </c>
      <c r="DJ538" s="11">
        <v>1.29E7</v>
      </c>
      <c r="DK538" s="11">
        <v>696870.0</v>
      </c>
      <c r="DL538" s="11">
        <v>649780.0</v>
      </c>
      <c r="DM538" s="11">
        <v>647010.0</v>
      </c>
      <c r="DN538" s="11">
        <v>598150.0</v>
      </c>
      <c r="DO538" s="11">
        <v>593490.0</v>
      </c>
      <c r="DP538" s="11">
        <v>1.052E7</v>
      </c>
      <c r="DQ538" s="11">
        <v>5050000.0</v>
      </c>
      <c r="DR538" s="11">
        <v>5790000.0</v>
      </c>
      <c r="DS538" s="11">
        <v>6830000.0</v>
      </c>
      <c r="DT538" s="11">
        <v>7230000.0</v>
      </c>
      <c r="DU538" s="12"/>
      <c r="DV538" s="12"/>
      <c r="DW538" s="12"/>
      <c r="DX538" s="12"/>
      <c r="DY538" s="12"/>
      <c r="DZ538" s="11">
        <v>1.196E7</v>
      </c>
      <c r="EA538" s="11">
        <v>1.176E7</v>
      </c>
      <c r="EB538" s="11">
        <v>9820000.0</v>
      </c>
      <c r="EC538" s="11">
        <v>9980000.0</v>
      </c>
      <c r="ED538" s="11">
        <v>9100000.0</v>
      </c>
      <c r="EE538" s="33">
        <v>0.048</v>
      </c>
      <c r="EF538" s="33">
        <v>0.058</v>
      </c>
      <c r="EG538" s="33">
        <v>-0.221</v>
      </c>
      <c r="EH538" s="33">
        <v>-0.023</v>
      </c>
    </row>
    <row r="539">
      <c r="A539" s="9">
        <f t="shared" si="2"/>
        <v>537</v>
      </c>
      <c r="B539" s="22" t="s">
        <v>674</v>
      </c>
      <c r="C539" s="11">
        <v>1670.0</v>
      </c>
      <c r="D539" s="11">
        <v>1000.0</v>
      </c>
      <c r="E539" s="11">
        <v>100560.0</v>
      </c>
      <c r="F539" s="11">
        <v>164090.0</v>
      </c>
      <c r="G539" s="12"/>
      <c r="H539" s="12"/>
      <c r="I539" s="12"/>
      <c r="J539" s="12"/>
      <c r="K539" s="12"/>
      <c r="L539" s="12"/>
      <c r="M539" s="12"/>
      <c r="N539" s="12"/>
      <c r="O539" s="11">
        <v>154150.0</v>
      </c>
      <c r="P539" s="11">
        <v>164970.0</v>
      </c>
      <c r="Q539" s="12"/>
      <c r="R539" s="12"/>
      <c r="S539" s="12"/>
      <c r="T539" s="11">
        <v>132420.0</v>
      </c>
      <c r="U539" s="11">
        <v>146960.0</v>
      </c>
      <c r="V539" s="12"/>
      <c r="W539" s="12"/>
      <c r="X539" s="12"/>
      <c r="Y539" s="11">
        <v>-61550.0</v>
      </c>
      <c r="Z539" s="12"/>
      <c r="AA539" s="12"/>
      <c r="AB539" s="12"/>
      <c r="AC539" s="12"/>
      <c r="AD539" s="11">
        <v>-57740.0</v>
      </c>
      <c r="AE539" s="11">
        <v>-240.0</v>
      </c>
      <c r="AF539" s="12"/>
      <c r="AG539" s="12"/>
      <c r="AH539" s="12"/>
      <c r="AI539" s="11">
        <v>-53590.0</v>
      </c>
      <c r="AJ539" s="11">
        <v>-881.0</v>
      </c>
      <c r="AK539" s="12"/>
      <c r="AL539" s="12"/>
      <c r="AM539" s="12"/>
      <c r="AN539" s="11">
        <v>-34790.0</v>
      </c>
      <c r="AO539" s="11">
        <v>5010.0</v>
      </c>
      <c r="AP539" s="12"/>
      <c r="AQ539" s="12"/>
      <c r="AR539" s="12"/>
      <c r="AS539" s="11">
        <v>-34490.0</v>
      </c>
      <c r="AT539" s="11">
        <v>-132830.0</v>
      </c>
      <c r="AU539" s="12"/>
      <c r="AV539" s="12"/>
      <c r="AW539" s="12"/>
      <c r="AX539" s="11">
        <v>-529.0</v>
      </c>
      <c r="AY539" s="11">
        <v>-3390.0</v>
      </c>
      <c r="AZ539" s="12"/>
      <c r="BA539" s="12"/>
      <c r="BB539" s="12"/>
      <c r="BC539" s="11">
        <v>-45360.0</v>
      </c>
      <c r="BD539" s="12"/>
      <c r="BE539" s="12"/>
      <c r="BF539" s="12"/>
      <c r="BG539" s="12"/>
      <c r="BH539" s="11">
        <v>173180.0</v>
      </c>
      <c r="BI539" s="11">
        <v>152300.0</v>
      </c>
      <c r="BJ539" s="12"/>
      <c r="BK539" s="12"/>
      <c r="BL539" s="12"/>
      <c r="BM539" s="11">
        <v>875.0</v>
      </c>
      <c r="BN539" s="11">
        <v>97940.0</v>
      </c>
      <c r="BO539" s="12"/>
      <c r="BP539" s="12"/>
      <c r="BQ539" s="12"/>
      <c r="BR539" s="12"/>
      <c r="BS539" s="12"/>
      <c r="BT539" s="12"/>
      <c r="BU539" s="12"/>
      <c r="BV539" s="12"/>
      <c r="BW539" s="11">
        <v>177310.0</v>
      </c>
      <c r="BX539" s="11">
        <v>255380.0</v>
      </c>
      <c r="BY539" s="12"/>
      <c r="BZ539" s="12"/>
      <c r="CA539" s="12"/>
      <c r="CB539" s="11">
        <v>5100.0</v>
      </c>
      <c r="CC539" s="11">
        <v>7240.0</v>
      </c>
      <c r="CD539" s="12"/>
      <c r="CE539" s="12"/>
      <c r="CF539" s="12"/>
      <c r="CG539" s="12"/>
      <c r="CH539" s="12"/>
      <c r="CI539" s="12"/>
      <c r="CJ539" s="12"/>
      <c r="CK539" s="12"/>
      <c r="CL539" s="11">
        <v>183040.0</v>
      </c>
      <c r="CM539" s="11">
        <v>263240.0</v>
      </c>
      <c r="CN539" s="12"/>
      <c r="CO539" s="12"/>
      <c r="CP539" s="12"/>
      <c r="CQ539" s="11">
        <v>3520.0</v>
      </c>
      <c r="CR539" s="11">
        <v>6300.0</v>
      </c>
      <c r="CS539" s="12"/>
      <c r="CT539" s="12"/>
      <c r="CU539" s="12"/>
      <c r="CV539" s="11">
        <v>24870.0</v>
      </c>
      <c r="CW539" s="12"/>
      <c r="CX539" s="12"/>
      <c r="CY539" s="12"/>
      <c r="CZ539" s="12"/>
      <c r="DA539" s="12"/>
      <c r="DB539" s="11">
        <v>24870.0</v>
      </c>
      <c r="DC539" s="11">
        <v>233710.0</v>
      </c>
      <c r="DD539" s="12"/>
      <c r="DE539" s="12"/>
      <c r="DF539" s="11">
        <v>26660.0</v>
      </c>
      <c r="DG539" s="11">
        <v>245660.0</v>
      </c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1">
        <v>138520.0</v>
      </c>
      <c r="DV539" s="11">
        <v>72000.0</v>
      </c>
      <c r="DW539" s="12"/>
      <c r="DX539" s="13"/>
      <c r="DY539" s="13"/>
      <c r="DZ539" s="11">
        <v>156380.0</v>
      </c>
      <c r="EA539" s="11">
        <v>17580.0</v>
      </c>
      <c r="EB539" s="12"/>
      <c r="EC539" s="12"/>
      <c r="ED539" s="12"/>
      <c r="EE539" s="23"/>
      <c r="EF539" s="23"/>
      <c r="EG539" s="14">
        <v>-5.189</v>
      </c>
      <c r="EH539" s="23"/>
    </row>
    <row r="540">
      <c r="A540" s="9">
        <f t="shared" si="2"/>
        <v>538</v>
      </c>
      <c r="B540" s="10" t="s">
        <v>675</v>
      </c>
      <c r="C540" s="15">
        <v>2.491E7</v>
      </c>
      <c r="D540" s="15">
        <v>2.301E7</v>
      </c>
      <c r="E540" s="15">
        <v>5.0671E8</v>
      </c>
      <c r="F540" s="15">
        <v>4.6974E8</v>
      </c>
      <c r="G540" s="15">
        <v>4.3993E8</v>
      </c>
      <c r="H540" s="15">
        <v>3.9951E8</v>
      </c>
      <c r="I540" s="15">
        <v>3.1159E8</v>
      </c>
      <c r="J540" s="15">
        <v>1.8999E8</v>
      </c>
      <c r="K540" s="15">
        <v>1.7366E8</v>
      </c>
      <c r="L540" s="15">
        <v>1.6096E8</v>
      </c>
      <c r="M540" s="15">
        <v>1.4765E8</v>
      </c>
      <c r="N540" s="15">
        <v>1.2264E8</v>
      </c>
      <c r="O540" s="15">
        <v>1.4031E8</v>
      </c>
      <c r="P540" s="15">
        <v>1.3037E8</v>
      </c>
      <c r="Q540" s="15">
        <v>1.1998E8</v>
      </c>
      <c r="R540" s="15">
        <v>1.0968E8</v>
      </c>
      <c r="S540" s="15">
        <v>8.79E7</v>
      </c>
      <c r="T540" s="15"/>
      <c r="U540" s="15"/>
      <c r="V540" s="15"/>
      <c r="W540" s="15"/>
      <c r="X540" s="15"/>
      <c r="Y540" s="15">
        <v>4.497E7</v>
      </c>
      <c r="Z540" s="15">
        <v>4.147E7</v>
      </c>
      <c r="AA540" s="15">
        <v>-2.898E7</v>
      </c>
      <c r="AB540" s="15">
        <v>3.434E7</v>
      </c>
      <c r="AC540" s="15">
        <v>3.118E7</v>
      </c>
      <c r="AD540" s="15">
        <v>3.23E7</v>
      </c>
      <c r="AE540" s="15">
        <v>3.363E7</v>
      </c>
      <c r="AF540" s="15">
        <v>3.577E7</v>
      </c>
      <c r="AG540" s="15">
        <v>2.856E7</v>
      </c>
      <c r="AH540" s="15">
        <v>2.516E7</v>
      </c>
      <c r="AI540" s="15">
        <v>7.43E7</v>
      </c>
      <c r="AJ540" s="15">
        <v>6.027E7</v>
      </c>
      <c r="AK540" s="15">
        <v>5.599E7</v>
      </c>
      <c r="AL540" s="15">
        <v>5.163E7</v>
      </c>
      <c r="AM540" s="15">
        <v>4.419E7</v>
      </c>
      <c r="AN540" s="15">
        <v>2.07E7</v>
      </c>
      <c r="AO540" s="15">
        <v>2.256E7</v>
      </c>
      <c r="AP540" s="15">
        <v>4.086E7</v>
      </c>
      <c r="AQ540" s="15">
        <v>2.114E7</v>
      </c>
      <c r="AR540" s="15">
        <v>1.768E7</v>
      </c>
      <c r="AS540" s="15">
        <v>6.141E7</v>
      </c>
      <c r="AT540" s="15">
        <v>4.776E7</v>
      </c>
      <c r="AU540" s="15">
        <v>3.834E7</v>
      </c>
      <c r="AV540" s="15">
        <v>5.05E7</v>
      </c>
      <c r="AW540" s="15">
        <v>3.56E7</v>
      </c>
      <c r="AX540" s="15">
        <v>-2.512E7</v>
      </c>
      <c r="AY540" s="15">
        <v>-2.37E7</v>
      </c>
      <c r="AZ540" s="15">
        <v>-2.249E7</v>
      </c>
      <c r="BA540" s="15">
        <v>-2.139E7</v>
      </c>
      <c r="BB540" s="15">
        <v>-1.846E7</v>
      </c>
      <c r="BC540" s="15">
        <v>-1.363E7</v>
      </c>
      <c r="BD540" s="15">
        <v>-1.293E7</v>
      </c>
      <c r="BE540" s="15">
        <v>-1.245E7</v>
      </c>
      <c r="BF540" s="15">
        <v>-8360000.0</v>
      </c>
      <c r="BG540" s="15">
        <v>-1.07E7</v>
      </c>
      <c r="BH540" s="15">
        <v>7.802E7</v>
      </c>
      <c r="BI540" s="15">
        <v>9.307E7</v>
      </c>
      <c r="BJ540" s="15">
        <v>9.961E7</v>
      </c>
      <c r="BK540" s="15">
        <v>4.645E7</v>
      </c>
      <c r="BL540" s="15">
        <v>3.064E7</v>
      </c>
      <c r="BM540" s="15">
        <v>4.871E7</v>
      </c>
      <c r="BN540" s="15">
        <v>4.501E7</v>
      </c>
      <c r="BO540" s="15">
        <v>4.362E7</v>
      </c>
      <c r="BP540" s="15">
        <v>3.546E7</v>
      </c>
      <c r="BQ540" s="15">
        <v>2.775E7</v>
      </c>
      <c r="BR540" s="15">
        <v>4.102E7</v>
      </c>
      <c r="BS540" s="15">
        <v>3.569E7</v>
      </c>
      <c r="BT540" s="15">
        <v>3.484E7</v>
      </c>
      <c r="BU540" s="15">
        <v>3.513E7</v>
      </c>
      <c r="BV540" s="15">
        <v>2.757E7</v>
      </c>
      <c r="BW540" s="15">
        <v>1.7258E8</v>
      </c>
      <c r="BX540" s="15">
        <v>1.7761E8</v>
      </c>
      <c r="BY540" s="15">
        <v>1.8119E8</v>
      </c>
      <c r="BZ540" s="15">
        <v>1.1795E8</v>
      </c>
      <c r="CA540" s="15">
        <v>8.672E7</v>
      </c>
      <c r="CB540" s="15">
        <v>1.674E8</v>
      </c>
      <c r="CC540" s="15">
        <v>1.0884E8</v>
      </c>
      <c r="CD540" s="15">
        <v>1.1698E8</v>
      </c>
      <c r="CE540" s="15">
        <v>1.024E8</v>
      </c>
      <c r="CF540" s="15">
        <v>8.067E7</v>
      </c>
      <c r="CG540" s="15">
        <v>4.791E7</v>
      </c>
      <c r="CH540" s="15">
        <v>4.053E7</v>
      </c>
      <c r="CI540" s="15">
        <v>4.345E7</v>
      </c>
      <c r="CJ540" s="15">
        <v>5.186E7</v>
      </c>
      <c r="CK540" s="15">
        <v>3.385E7</v>
      </c>
      <c r="CL540" s="15">
        <v>6.3754E8</v>
      </c>
      <c r="CM540" s="15">
        <v>5.7638E8</v>
      </c>
      <c r="CN540" s="15">
        <v>5.8854E8</v>
      </c>
      <c r="CO540" s="15">
        <v>5.4562E8</v>
      </c>
      <c r="CP540" s="15">
        <v>4.0933E8</v>
      </c>
      <c r="CQ540" s="15">
        <v>5.718E7</v>
      </c>
      <c r="CR540" s="15">
        <v>5.21E7</v>
      </c>
      <c r="CS540" s="15">
        <v>4.863E7</v>
      </c>
      <c r="CT540" s="15">
        <v>4.747E7</v>
      </c>
      <c r="CU540" s="15">
        <v>3.577E7</v>
      </c>
      <c r="CV540" s="15">
        <v>1.3653E8</v>
      </c>
      <c r="CW540" s="15">
        <v>1.523E7</v>
      </c>
      <c r="CX540" s="15">
        <v>2440000.0</v>
      </c>
      <c r="CY540" s="15">
        <v>2830000.0</v>
      </c>
      <c r="CZ540" s="15">
        <v>1910000.0</v>
      </c>
      <c r="DA540" s="15">
        <v>2230000.0</v>
      </c>
      <c r="DB540" s="15">
        <v>1.3653E8</v>
      </c>
      <c r="DC540" s="15">
        <v>1.0146E8</v>
      </c>
      <c r="DD540" s="15">
        <v>1.0502E8</v>
      </c>
      <c r="DE540" s="15">
        <v>8.629E7</v>
      </c>
      <c r="DF540" s="15">
        <v>3.1179E8</v>
      </c>
      <c r="DG540" s="15">
        <v>2.4084E8</v>
      </c>
      <c r="DH540" s="15">
        <v>2.5163E8</v>
      </c>
      <c r="DI540" s="15">
        <v>2.5945E8</v>
      </c>
      <c r="DJ540" s="15">
        <v>1.6748E8</v>
      </c>
      <c r="DK540" s="15">
        <v>1.1921E8</v>
      </c>
      <c r="DL540" s="15">
        <v>1.1688E8</v>
      </c>
      <c r="DM540" s="15">
        <v>1.0727E8</v>
      </c>
      <c r="DN540" s="15">
        <v>1.4719E8</v>
      </c>
      <c r="DO540" s="15">
        <v>1.2208E8</v>
      </c>
      <c r="DP540" s="15">
        <v>1.4904E8</v>
      </c>
      <c r="DQ540" s="15">
        <v>1.1499E8</v>
      </c>
      <c r="DR540" s="15">
        <v>1.1776E8</v>
      </c>
      <c r="DS540" s="15">
        <v>1.3197E8</v>
      </c>
      <c r="DT540" s="15">
        <v>8.597E7</v>
      </c>
      <c r="DU540" s="13"/>
      <c r="DV540" s="15"/>
      <c r="DW540" s="15"/>
      <c r="DX540" s="15"/>
      <c r="DY540" s="13"/>
      <c r="DZ540" s="15">
        <v>2.5199E8</v>
      </c>
      <c r="EA540" s="15">
        <v>2.5705E8</v>
      </c>
      <c r="EB540" s="15">
        <v>2.5029E8</v>
      </c>
      <c r="EC540" s="15">
        <v>2.119E8</v>
      </c>
      <c r="ED540" s="15">
        <v>1.8152E8</v>
      </c>
      <c r="EE540" s="17">
        <v>0.148</v>
      </c>
      <c r="EF540" s="17">
        <v>0.206</v>
      </c>
      <c r="EG540" s="17">
        <v>-1.188</v>
      </c>
      <c r="EH540" s="17">
        <v>-0.538</v>
      </c>
    </row>
    <row r="541">
      <c r="A541" s="9">
        <f t="shared" si="2"/>
        <v>539</v>
      </c>
      <c r="B541" s="32" t="s">
        <v>676</v>
      </c>
      <c r="C541" s="11">
        <v>2550000.0</v>
      </c>
      <c r="D541" s="11">
        <v>2090000.0</v>
      </c>
      <c r="E541" s="11">
        <v>2050000.0</v>
      </c>
      <c r="F541" s="11">
        <v>1710000.0</v>
      </c>
      <c r="G541" s="11">
        <v>1380000.0</v>
      </c>
      <c r="H541" s="11">
        <v>1050000.0</v>
      </c>
      <c r="I541" s="11">
        <v>784010.0</v>
      </c>
      <c r="J541" s="11">
        <v>790000.0</v>
      </c>
      <c r="K541" s="11">
        <v>650280.0</v>
      </c>
      <c r="L541" s="11">
        <v>572560.0</v>
      </c>
      <c r="M541" s="11">
        <v>429260.0</v>
      </c>
      <c r="N541" s="11">
        <v>312620.0</v>
      </c>
      <c r="O541" s="11">
        <v>600190.0</v>
      </c>
      <c r="P541" s="11">
        <v>492830.0</v>
      </c>
      <c r="Q541" s="11">
        <v>438310.0</v>
      </c>
      <c r="R541" s="11">
        <v>349630.0</v>
      </c>
      <c r="S541" s="11">
        <v>259930.0</v>
      </c>
      <c r="T541" s="12"/>
      <c r="U541" s="12"/>
      <c r="V541" s="12"/>
      <c r="W541" s="12"/>
      <c r="X541" s="12"/>
      <c r="Y541" s="11">
        <v>183780.0</v>
      </c>
      <c r="Z541" s="11"/>
      <c r="AA541" s="11">
        <v>128810.0</v>
      </c>
      <c r="AB541" s="11">
        <v>67320.0</v>
      </c>
      <c r="AC541" s="11">
        <v>52390.0</v>
      </c>
      <c r="AD541" s="11">
        <v>150380.0</v>
      </c>
      <c r="AE541" s="11">
        <v>122380.0</v>
      </c>
      <c r="AF541" s="11">
        <v>98550.0</v>
      </c>
      <c r="AG541" s="11">
        <v>54510.0</v>
      </c>
      <c r="AH541" s="11">
        <v>43010.0</v>
      </c>
      <c r="AI541" s="11">
        <v>263800.0</v>
      </c>
      <c r="AJ541" s="11">
        <v>209440.0</v>
      </c>
      <c r="AK541" s="11">
        <v>170540.0</v>
      </c>
      <c r="AL541" s="11">
        <v>108230.0</v>
      </c>
      <c r="AM541" s="11">
        <v>72370.0</v>
      </c>
      <c r="AN541" s="11">
        <v>150630.0</v>
      </c>
      <c r="AO541" s="11">
        <v>116190.0</v>
      </c>
      <c r="AP541" s="11">
        <v>102790.0</v>
      </c>
      <c r="AQ541" s="11">
        <v>43040.0</v>
      </c>
      <c r="AR541" s="11">
        <v>26810.0</v>
      </c>
      <c r="AS541" s="11">
        <v>204660.0</v>
      </c>
      <c r="AT541" s="11">
        <v>185620.0</v>
      </c>
      <c r="AU541" s="11">
        <v>109210.0</v>
      </c>
      <c r="AV541" s="11">
        <v>89460.0</v>
      </c>
      <c r="AW541" s="11">
        <v>20380.0</v>
      </c>
      <c r="AX541" s="11">
        <v>-196010.0</v>
      </c>
      <c r="AY541" s="11">
        <v>-151400.0</v>
      </c>
      <c r="AZ541" s="11">
        <v>-102250.0</v>
      </c>
      <c r="BA541" s="11">
        <v>-74650.0</v>
      </c>
      <c r="BB541" s="11">
        <v>-45040.0</v>
      </c>
      <c r="BC541" s="12"/>
      <c r="BD541" s="12"/>
      <c r="BE541" s="12"/>
      <c r="BF541" s="11">
        <v>-225000.0</v>
      </c>
      <c r="BG541" s="12"/>
      <c r="BH541" s="11">
        <v>27040.0</v>
      </c>
      <c r="BI541" s="11">
        <v>644.0</v>
      </c>
      <c r="BJ541" s="11">
        <v>556.0</v>
      </c>
      <c r="BK541" s="11">
        <v>451.0</v>
      </c>
      <c r="BL541" s="11">
        <v>318.0</v>
      </c>
      <c r="BM541" s="11">
        <v>72170.0</v>
      </c>
      <c r="BN541" s="11">
        <v>71850.0</v>
      </c>
      <c r="BO541" s="11">
        <v>66510.0</v>
      </c>
      <c r="BP541" s="11">
        <v>34530.0</v>
      </c>
      <c r="BQ541" s="11">
        <v>26220.0</v>
      </c>
      <c r="BR541" s="11">
        <v>581870.0</v>
      </c>
      <c r="BS541" s="11">
        <v>471010.0</v>
      </c>
      <c r="BT541" s="11">
        <v>427950.0</v>
      </c>
      <c r="BU541" s="11">
        <v>293700.0</v>
      </c>
      <c r="BV541" s="11">
        <v>272570.0</v>
      </c>
      <c r="BW541" s="11">
        <v>701490.0</v>
      </c>
      <c r="BX541" s="11">
        <v>559460.0</v>
      </c>
      <c r="BY541" s="11">
        <v>503210.0</v>
      </c>
      <c r="BZ541" s="11">
        <v>336220.0</v>
      </c>
      <c r="CA541" s="11">
        <v>305190.0</v>
      </c>
      <c r="CB541" s="11">
        <v>1280000.0</v>
      </c>
      <c r="CC541" s="11">
        <v>328370.0</v>
      </c>
      <c r="CD541" s="11">
        <v>220950.0</v>
      </c>
      <c r="CE541" s="11">
        <v>150470.0</v>
      </c>
      <c r="CF541" s="11">
        <v>102980.0</v>
      </c>
      <c r="CG541" s="11">
        <v>227450.0</v>
      </c>
      <c r="CH541" s="11">
        <v>227450.0</v>
      </c>
      <c r="CI541" s="11">
        <v>227450.0</v>
      </c>
      <c r="CJ541" s="11">
        <v>227450.0</v>
      </c>
      <c r="CK541" s="11">
        <v>227450.0</v>
      </c>
      <c r="CL541" s="11">
        <v>2570000.0</v>
      </c>
      <c r="CM541" s="11">
        <v>1230000.0</v>
      </c>
      <c r="CN541" s="11">
        <v>1070000.0</v>
      </c>
      <c r="CO541" s="11">
        <v>831170.0</v>
      </c>
      <c r="CP541" s="11">
        <v>748890.0</v>
      </c>
      <c r="CQ541" s="11">
        <v>368460.0</v>
      </c>
      <c r="CR541" s="11">
        <v>313500.0</v>
      </c>
      <c r="CS541" s="11">
        <v>258730.0</v>
      </c>
      <c r="CT541" s="11">
        <v>158470.0</v>
      </c>
      <c r="CU541" s="11">
        <v>147320.0</v>
      </c>
      <c r="CV541" s="11">
        <v>552540.0</v>
      </c>
      <c r="CW541" s="11">
        <v>74590.0</v>
      </c>
      <c r="CX541" s="13"/>
      <c r="CY541" s="13"/>
      <c r="CZ541" s="13"/>
      <c r="DA541" s="12"/>
      <c r="DB541" s="11">
        <v>552540.0</v>
      </c>
      <c r="DC541" s="11">
        <v>404290.0</v>
      </c>
      <c r="DD541" s="11">
        <v>359300.0</v>
      </c>
      <c r="DE541" s="11">
        <v>243710.0</v>
      </c>
      <c r="DF541" s="11">
        <v>1810000.0</v>
      </c>
      <c r="DG541" s="11">
        <v>649780.0</v>
      </c>
      <c r="DH541" s="11">
        <v>625130.0</v>
      </c>
      <c r="DI541" s="11">
        <v>696880.0</v>
      </c>
      <c r="DJ541" s="11">
        <v>436520.0</v>
      </c>
      <c r="DK541" s="11">
        <v>20.0</v>
      </c>
      <c r="DL541" s="11">
        <v>2150.0</v>
      </c>
      <c r="DM541" s="12"/>
      <c r="DN541" s="12"/>
      <c r="DO541" s="12"/>
      <c r="DP541" s="11">
        <v>986880.0</v>
      </c>
      <c r="DQ541" s="11">
        <v>141830.0</v>
      </c>
      <c r="DR541" s="11">
        <v>185560.0</v>
      </c>
      <c r="DS541" s="11">
        <v>387240.0</v>
      </c>
      <c r="DT541" s="11">
        <v>176320.0</v>
      </c>
      <c r="DU541" s="13"/>
      <c r="DV541" s="12"/>
      <c r="DW541" s="12"/>
      <c r="DX541" s="13"/>
      <c r="DY541" s="13"/>
      <c r="DZ541" s="11">
        <v>764340.0</v>
      </c>
      <c r="EA541" s="11">
        <v>584310.0</v>
      </c>
      <c r="EB541" s="11">
        <v>442860.0</v>
      </c>
      <c r="EC541" s="11">
        <v>134280.0</v>
      </c>
      <c r="ED541" s="11">
        <v>312370.0</v>
      </c>
      <c r="EE541" s="14">
        <v>0.187</v>
      </c>
      <c r="EF541" s="14">
        <v>0.204</v>
      </c>
      <c r="EG541" s="14">
        <v>0.308</v>
      </c>
      <c r="EH541" s="14">
        <v>0.179</v>
      </c>
    </row>
    <row r="542">
      <c r="A542" s="9">
        <f t="shared" si="2"/>
        <v>540</v>
      </c>
      <c r="B542" s="25" t="s">
        <v>677</v>
      </c>
      <c r="C542" s="15">
        <v>724230.0</v>
      </c>
      <c r="D542" s="15">
        <v>606090.0</v>
      </c>
      <c r="E542" s="15">
        <v>795120.0</v>
      </c>
      <c r="F542" s="15">
        <v>686070.0</v>
      </c>
      <c r="G542" s="15">
        <v>516080.0</v>
      </c>
      <c r="H542" s="15">
        <v>426720.0</v>
      </c>
      <c r="I542" s="15"/>
      <c r="J542" s="15">
        <v>240420.0</v>
      </c>
      <c r="K542" s="15">
        <v>216210.0</v>
      </c>
      <c r="L542" s="15">
        <v>166730.0</v>
      </c>
      <c r="M542" s="15">
        <v>122810.0</v>
      </c>
      <c r="N542" s="15"/>
      <c r="O542" s="15">
        <v>193800.0</v>
      </c>
      <c r="P542" s="15">
        <v>155320.0</v>
      </c>
      <c r="Q542" s="15">
        <v>120910.0</v>
      </c>
      <c r="R542" s="15">
        <v>68960.0</v>
      </c>
      <c r="S542" s="15"/>
      <c r="T542" s="15">
        <v>5200.0</v>
      </c>
      <c r="U542" s="15">
        <v>4700.0</v>
      </c>
      <c r="V542" s="15">
        <v>4700.0</v>
      </c>
      <c r="W542" s="15">
        <v>2300.0</v>
      </c>
      <c r="X542" s="15"/>
      <c r="Y542" s="12"/>
      <c r="Z542" s="15">
        <v>-4580.0</v>
      </c>
      <c r="AA542" s="15">
        <v>37040.0</v>
      </c>
      <c r="AB542" s="15">
        <v>44150.0</v>
      </c>
      <c r="AC542" s="15"/>
      <c r="AD542" s="15">
        <v>32300.0</v>
      </c>
      <c r="AE542" s="15">
        <v>30490.0</v>
      </c>
      <c r="AF542" s="15">
        <v>7140.0</v>
      </c>
      <c r="AG542" s="15">
        <v>26880.0</v>
      </c>
      <c r="AH542" s="15"/>
      <c r="AI542" s="15">
        <v>88740.0</v>
      </c>
      <c r="AJ542" s="15">
        <v>100010.0</v>
      </c>
      <c r="AK542" s="15">
        <v>77790.0</v>
      </c>
      <c r="AL542" s="15">
        <v>77360.0</v>
      </c>
      <c r="AM542" s="15"/>
      <c r="AN542" s="15">
        <v>11730.0</v>
      </c>
      <c r="AO542" s="15">
        <v>7460.0</v>
      </c>
      <c r="AP542" s="15">
        <v>1040.0</v>
      </c>
      <c r="AQ542" s="15">
        <v>26880.0</v>
      </c>
      <c r="AR542" s="15"/>
      <c r="AS542" s="15">
        <v>90350.0</v>
      </c>
      <c r="AT542" s="15">
        <v>49990.0</v>
      </c>
      <c r="AU542" s="15">
        <v>23840.0</v>
      </c>
      <c r="AV542" s="15">
        <v>49470.0</v>
      </c>
      <c r="AW542" s="15"/>
      <c r="AX542" s="15">
        <v>-42260.0</v>
      </c>
      <c r="AY542" s="15">
        <v>-26870.0</v>
      </c>
      <c r="AZ542" s="15">
        <v>-33560.0</v>
      </c>
      <c r="BA542" s="15">
        <v>-21200.0</v>
      </c>
      <c r="BB542" s="15"/>
      <c r="BC542" s="15">
        <v>-23920.0</v>
      </c>
      <c r="BD542" s="15">
        <v>-20440.0</v>
      </c>
      <c r="BE542" s="15">
        <v>-72780.0</v>
      </c>
      <c r="BF542" s="15">
        <v>-70430.0</v>
      </c>
      <c r="BG542" s="15"/>
      <c r="BH542" s="15">
        <v>25230.0</v>
      </c>
      <c r="BI542" s="15">
        <v>13490.0</v>
      </c>
      <c r="BJ542" s="15">
        <v>7730.0</v>
      </c>
      <c r="BK542" s="15">
        <v>6160.0</v>
      </c>
      <c r="BL542" s="15"/>
      <c r="BM542" s="15">
        <v>151560.0</v>
      </c>
      <c r="BN542" s="15">
        <v>148630.0</v>
      </c>
      <c r="BO542" s="15">
        <v>115480.0</v>
      </c>
      <c r="BP542" s="15">
        <v>83610.0</v>
      </c>
      <c r="BQ542" s="15"/>
      <c r="BR542" s="15">
        <v>62120.0</v>
      </c>
      <c r="BS542" s="15">
        <v>86620.0</v>
      </c>
      <c r="BT542" s="15">
        <v>79080.0</v>
      </c>
      <c r="BU542" s="15">
        <v>43620.0</v>
      </c>
      <c r="BV542" s="15"/>
      <c r="BW542" s="15">
        <v>259200.0</v>
      </c>
      <c r="BX542" s="15">
        <v>260640.0</v>
      </c>
      <c r="BY542" s="15">
        <v>224020.0</v>
      </c>
      <c r="BZ542" s="15">
        <v>152420.0</v>
      </c>
      <c r="CA542" s="15"/>
      <c r="CB542" s="15">
        <v>128610.0</v>
      </c>
      <c r="CC542" s="15">
        <v>44300.0</v>
      </c>
      <c r="CD542" s="15">
        <v>40440.0</v>
      </c>
      <c r="CE542" s="15">
        <v>25470.0</v>
      </c>
      <c r="CF542" s="15"/>
      <c r="CG542" s="15">
        <v>124840.0</v>
      </c>
      <c r="CH542" s="15">
        <v>116080.0</v>
      </c>
      <c r="CI542" s="15">
        <v>110900.0</v>
      </c>
      <c r="CJ542" s="15">
        <v>97450.0</v>
      </c>
      <c r="CK542" s="15"/>
      <c r="CL542" s="15">
        <v>796470.0</v>
      </c>
      <c r="CM542" s="15">
        <v>666340.0</v>
      </c>
      <c r="CN542" s="15">
        <v>630310.0</v>
      </c>
      <c r="CO542" s="15">
        <v>522240.0</v>
      </c>
      <c r="CP542" s="15"/>
      <c r="CQ542" s="15">
        <v>42530.0</v>
      </c>
      <c r="CR542" s="15">
        <v>36130.0</v>
      </c>
      <c r="CS542" s="15">
        <v>53430.0</v>
      </c>
      <c r="CT542" s="15">
        <v>23650.0</v>
      </c>
      <c r="CU542" s="15"/>
      <c r="CV542" s="15">
        <v>157570.0</v>
      </c>
      <c r="CW542" s="15">
        <v>37140.0</v>
      </c>
      <c r="CX542" s="15">
        <v>20000.0</v>
      </c>
      <c r="CY542" s="15">
        <v>10800.0</v>
      </c>
      <c r="CZ542" s="15">
        <v>6730.0</v>
      </c>
      <c r="DA542" s="15"/>
      <c r="DB542" s="15">
        <v>157570.0</v>
      </c>
      <c r="DC542" s="15">
        <v>143250.0</v>
      </c>
      <c r="DD542" s="15">
        <v>129930.0</v>
      </c>
      <c r="DE542" s="15">
        <v>97540.0</v>
      </c>
      <c r="DF542" s="15">
        <v>491320.0</v>
      </c>
      <c r="DG542" s="15">
        <v>373090.0</v>
      </c>
      <c r="DH542" s="15">
        <v>349160.0</v>
      </c>
      <c r="DI542" s="15">
        <v>304860.0</v>
      </c>
      <c r="DJ542" s="15"/>
      <c r="DK542" s="15"/>
      <c r="DL542" s="15"/>
      <c r="DM542" s="15"/>
      <c r="DN542" s="15"/>
      <c r="DO542" s="15"/>
      <c r="DP542" s="15">
        <v>264440.0</v>
      </c>
      <c r="DQ542" s="15">
        <v>216700.0</v>
      </c>
      <c r="DR542" s="15">
        <v>215170.0</v>
      </c>
      <c r="DS542" s="15">
        <v>203890.0</v>
      </c>
      <c r="DT542" s="15"/>
      <c r="DU542" s="15"/>
      <c r="DV542" s="15"/>
      <c r="DW542" s="15"/>
      <c r="DX542" s="15"/>
      <c r="DY542" s="15"/>
      <c r="DZ542" s="15">
        <v>225410.0</v>
      </c>
      <c r="EA542" s="15">
        <v>154710.0</v>
      </c>
      <c r="EB542" s="15">
        <v>131170.0</v>
      </c>
      <c r="EC542" s="15">
        <v>217380.0</v>
      </c>
      <c r="ED542" s="15"/>
      <c r="EE542" s="31">
        <v>0.119</v>
      </c>
      <c r="EF542" s="31">
        <v>0.224</v>
      </c>
      <c r="EG542" s="17">
        <v>0.512</v>
      </c>
      <c r="EH542" s="31">
        <v>0.314</v>
      </c>
    </row>
    <row r="543">
      <c r="A543" s="9">
        <f t="shared" si="2"/>
        <v>541</v>
      </c>
      <c r="B543" s="10" t="s">
        <v>678</v>
      </c>
      <c r="C543" s="15">
        <v>707170.0</v>
      </c>
      <c r="D543" s="15">
        <v>681670.0</v>
      </c>
      <c r="E543" s="15">
        <v>1120000.0</v>
      </c>
      <c r="F543" s="15">
        <v>846640.0</v>
      </c>
      <c r="G543" s="15">
        <v>876160.0</v>
      </c>
      <c r="H543" s="15">
        <v>808470.0</v>
      </c>
      <c r="I543" s="15">
        <v>567530.0</v>
      </c>
      <c r="J543" s="15">
        <v>578660.0</v>
      </c>
      <c r="K543" s="15">
        <v>372380.0</v>
      </c>
      <c r="L543" s="15">
        <v>337480.0</v>
      </c>
      <c r="M543" s="15">
        <v>305530.0</v>
      </c>
      <c r="N543" s="15">
        <v>171690.0</v>
      </c>
      <c r="O543" s="15">
        <v>38210.0</v>
      </c>
      <c r="P543" s="15">
        <v>29290.0</v>
      </c>
      <c r="Q543" s="15">
        <v>32320.0</v>
      </c>
      <c r="R543" s="15">
        <v>31930.0</v>
      </c>
      <c r="S543" s="15">
        <v>22770.0</v>
      </c>
      <c r="T543" s="15">
        <v>0.0</v>
      </c>
      <c r="U543" s="15">
        <v>0.0</v>
      </c>
      <c r="V543" s="15">
        <v>0.0</v>
      </c>
      <c r="W543" s="15">
        <v>0.0</v>
      </c>
      <c r="X543" s="15">
        <v>0.0</v>
      </c>
      <c r="Y543" s="15">
        <v>543100.0</v>
      </c>
      <c r="Z543" s="15">
        <v>244580.0</v>
      </c>
      <c r="AA543" s="15">
        <v>299060.0</v>
      </c>
      <c r="AB543" s="15">
        <v>184690.0</v>
      </c>
      <c r="AC543" s="15">
        <v>65250.0</v>
      </c>
      <c r="AD543" s="15">
        <v>538590.0</v>
      </c>
      <c r="AE543" s="15">
        <v>245100.0</v>
      </c>
      <c r="AF543" s="15">
        <v>306330.0</v>
      </c>
      <c r="AG543" s="15">
        <v>222450.0</v>
      </c>
      <c r="AH543" s="15">
        <v>62050.0</v>
      </c>
      <c r="AI543" s="15">
        <v>889680.0</v>
      </c>
      <c r="AJ543" s="15">
        <v>664150.0</v>
      </c>
      <c r="AK543" s="15">
        <v>659520.0</v>
      </c>
      <c r="AL543" s="15">
        <v>636360.0</v>
      </c>
      <c r="AM543" s="15">
        <v>425650.0</v>
      </c>
      <c r="AN543" s="15">
        <v>456590.0</v>
      </c>
      <c r="AO543" s="15">
        <v>180160.0</v>
      </c>
      <c r="AP543" s="15">
        <v>252720.0</v>
      </c>
      <c r="AQ543" s="15">
        <v>161910.0</v>
      </c>
      <c r="AR543" s="15">
        <v>31470.0</v>
      </c>
      <c r="AS543" s="15">
        <v>819620.0</v>
      </c>
      <c r="AT543" s="15">
        <v>615410.0</v>
      </c>
      <c r="AU543" s="15">
        <v>634210.0</v>
      </c>
      <c r="AV543" s="15">
        <v>624040.0</v>
      </c>
      <c r="AW543" s="15">
        <v>324320.0</v>
      </c>
      <c r="AX543" s="15">
        <v>-590730.0</v>
      </c>
      <c r="AY543" s="15">
        <v>-1280000.0</v>
      </c>
      <c r="AZ543" s="15">
        <v>-650560.0</v>
      </c>
      <c r="BA543" s="15">
        <v>-989850.0</v>
      </c>
      <c r="BB543" s="15">
        <v>-1310000.0</v>
      </c>
      <c r="BC543" s="15">
        <v>-183380.0</v>
      </c>
      <c r="BD543" s="15">
        <v>-176410.0</v>
      </c>
      <c r="BE543" s="15">
        <v>-163290.0</v>
      </c>
      <c r="BF543" s="15">
        <v>-156470.0</v>
      </c>
      <c r="BG543" s="15">
        <v>-120390.0</v>
      </c>
      <c r="BH543" s="15">
        <v>171300.0</v>
      </c>
      <c r="BI543" s="15">
        <v>95200.0</v>
      </c>
      <c r="BJ543" s="15">
        <v>640380.0</v>
      </c>
      <c r="BK543" s="15">
        <v>339290.0</v>
      </c>
      <c r="BL543" s="15">
        <v>233370.0</v>
      </c>
      <c r="BM543" s="15">
        <v>126820.0</v>
      </c>
      <c r="BN543" s="15">
        <v>103120.0</v>
      </c>
      <c r="BO543" s="15">
        <v>82570.0</v>
      </c>
      <c r="BP543" s="15">
        <v>95350.0</v>
      </c>
      <c r="BQ543" s="15">
        <v>90430.0</v>
      </c>
      <c r="BR543" s="15">
        <v>5710.0</v>
      </c>
      <c r="BS543" s="15">
        <v>0.0</v>
      </c>
      <c r="BT543" s="15">
        <v>8900.0</v>
      </c>
      <c r="BU543" s="15">
        <v>3620.0</v>
      </c>
      <c r="BV543" s="15">
        <v>0.0</v>
      </c>
      <c r="BW543" s="15">
        <v>360500.0</v>
      </c>
      <c r="BX543" s="15">
        <v>243800.0</v>
      </c>
      <c r="BY543" s="15">
        <v>771570.0</v>
      </c>
      <c r="BZ543" s="15">
        <v>483720.0</v>
      </c>
      <c r="CA543" s="15">
        <v>384090.0</v>
      </c>
      <c r="CB543" s="15">
        <v>6240000.0</v>
      </c>
      <c r="CC543" s="15">
        <v>6180000.0</v>
      </c>
      <c r="CD543" s="15">
        <v>4900000.0</v>
      </c>
      <c r="CE543" s="15">
        <v>4880000.0</v>
      </c>
      <c r="CF543" s="15">
        <v>4490000.0</v>
      </c>
      <c r="CG543" s="15">
        <v>0.0</v>
      </c>
      <c r="CH543" s="15">
        <v>0.0</v>
      </c>
      <c r="CI543" s="15">
        <v>0.0</v>
      </c>
      <c r="CJ543" s="15">
        <v>0.0</v>
      </c>
      <c r="CK543" s="15">
        <v>0.0</v>
      </c>
      <c r="CL543" s="15">
        <v>6850000.0</v>
      </c>
      <c r="CM543" s="15">
        <v>6740000.0</v>
      </c>
      <c r="CN543" s="15">
        <v>6000000.0</v>
      </c>
      <c r="CO543" s="15">
        <v>5660000.0</v>
      </c>
      <c r="CP543" s="15">
        <v>5100000.0</v>
      </c>
      <c r="CQ543" s="15">
        <v>8820.0</v>
      </c>
      <c r="CR543" s="15">
        <v>9970.0</v>
      </c>
      <c r="CS543" s="15">
        <v>7770.0</v>
      </c>
      <c r="CT543" s="15">
        <v>12870.0</v>
      </c>
      <c r="CU543" s="15">
        <v>8610.0</v>
      </c>
      <c r="CV543" s="15">
        <v>69250.0</v>
      </c>
      <c r="CW543" s="15">
        <v>0.0</v>
      </c>
      <c r="CX543" s="15">
        <v>0.0</v>
      </c>
      <c r="CY543" s="15">
        <v>0.0</v>
      </c>
      <c r="CZ543" s="15">
        <v>0.0</v>
      </c>
      <c r="DA543" s="15">
        <v>0.0</v>
      </c>
      <c r="DB543" s="15">
        <v>69250.0</v>
      </c>
      <c r="DC543" s="15">
        <v>35510.0</v>
      </c>
      <c r="DD543" s="15">
        <v>29440.0</v>
      </c>
      <c r="DE543" s="15">
        <v>52030.0</v>
      </c>
      <c r="DF543" s="15">
        <v>283210.0</v>
      </c>
      <c r="DG543" s="15">
        <v>409600.0</v>
      </c>
      <c r="DH543" s="15">
        <v>103870.0</v>
      </c>
      <c r="DI543" s="15">
        <v>100710.0</v>
      </c>
      <c r="DJ543" s="15">
        <v>710250.0</v>
      </c>
      <c r="DK543" s="15">
        <v>192700.0</v>
      </c>
      <c r="DL543" s="15">
        <v>187660.0</v>
      </c>
      <c r="DM543" s="15">
        <v>216760.0</v>
      </c>
      <c r="DN543" s="15">
        <v>159990.0</v>
      </c>
      <c r="DO543" s="15">
        <v>95010.0</v>
      </c>
      <c r="DP543" s="15">
        <v>107110.0</v>
      </c>
      <c r="DQ543" s="15">
        <v>283540.0</v>
      </c>
      <c r="DR543" s="15">
        <v>0.0</v>
      </c>
      <c r="DS543" s="15">
        <v>0.0</v>
      </c>
      <c r="DT543" s="15">
        <v>635240.0</v>
      </c>
      <c r="DU543" s="16">
        <v>0.0</v>
      </c>
      <c r="DV543" s="15">
        <v>0.0</v>
      </c>
      <c r="DW543" s="15">
        <v>0.0</v>
      </c>
      <c r="DX543" s="15">
        <v>0.0</v>
      </c>
      <c r="DY543" s="15">
        <v>0.0</v>
      </c>
      <c r="DZ543" s="15">
        <v>6560000.0</v>
      </c>
      <c r="EA543" s="15">
        <v>6330000.0</v>
      </c>
      <c r="EB543" s="15">
        <v>5900000.0</v>
      </c>
      <c r="EC543" s="15">
        <v>5560000.0</v>
      </c>
      <c r="ED543" s="15">
        <v>4390000.0</v>
      </c>
      <c r="EE543" s="17">
        <v>0.109</v>
      </c>
      <c r="EF543" s="17">
        <v>0.288</v>
      </c>
      <c r="EG543" s="17">
        <v>0.2</v>
      </c>
      <c r="EH543" s="17">
        <v>0.13</v>
      </c>
    </row>
    <row r="544">
      <c r="A544" s="9">
        <f t="shared" si="2"/>
        <v>542</v>
      </c>
      <c r="B544" s="25" t="s">
        <v>679</v>
      </c>
      <c r="C544" s="15">
        <v>993480.0</v>
      </c>
      <c r="D544" s="15">
        <v>937170.0</v>
      </c>
      <c r="E544" s="15">
        <v>1020000.0</v>
      </c>
      <c r="F544" s="15">
        <v>1080000.0</v>
      </c>
      <c r="G544" s="15">
        <v>1400000.0</v>
      </c>
      <c r="H544" s="15">
        <v>1150000.0</v>
      </c>
      <c r="I544" s="15">
        <v>1080000.0</v>
      </c>
      <c r="J544" s="15">
        <v>302390.0</v>
      </c>
      <c r="K544" s="15">
        <v>333490.0</v>
      </c>
      <c r="L544" s="15">
        <v>405930.0</v>
      </c>
      <c r="M544" s="15">
        <v>351220.0</v>
      </c>
      <c r="N544" s="15">
        <v>301680.0</v>
      </c>
      <c r="O544" s="15">
        <v>206060.0</v>
      </c>
      <c r="P544" s="15">
        <v>213100.0</v>
      </c>
      <c r="Q544" s="15">
        <v>247630.0</v>
      </c>
      <c r="R544" s="15">
        <v>239800.0</v>
      </c>
      <c r="S544" s="15">
        <v>209500.0</v>
      </c>
      <c r="T544" s="15">
        <v>40960.0</v>
      </c>
      <c r="U544" s="15">
        <v>40100.0</v>
      </c>
      <c r="V544" s="15">
        <v>36360.0</v>
      </c>
      <c r="W544" s="15">
        <v>27300.0</v>
      </c>
      <c r="X544" s="15">
        <v>25600.0</v>
      </c>
      <c r="Y544" s="15">
        <v>85640.0</v>
      </c>
      <c r="Z544" s="15">
        <v>-10360.0</v>
      </c>
      <c r="AA544" s="15">
        <v>-27470.0</v>
      </c>
      <c r="AB544" s="15">
        <v>89770.0</v>
      </c>
      <c r="AC544" s="15">
        <v>82360.0</v>
      </c>
      <c r="AD544" s="15">
        <v>43510.0</v>
      </c>
      <c r="AE544" s="15">
        <v>71050.0</v>
      </c>
      <c r="AF544" s="15">
        <v>110520.0</v>
      </c>
      <c r="AG544" s="15">
        <v>62450.0</v>
      </c>
      <c r="AH544" s="15">
        <v>54780.0</v>
      </c>
      <c r="AI544" s="15">
        <v>137630.0</v>
      </c>
      <c r="AJ544" s="15">
        <v>160290.0</v>
      </c>
      <c r="AK544" s="15">
        <v>208390.0</v>
      </c>
      <c r="AL544" s="15">
        <v>158220.0</v>
      </c>
      <c r="AM544" s="15">
        <v>133240.0</v>
      </c>
      <c r="AN544" s="15">
        <v>34310.0</v>
      </c>
      <c r="AO544" s="15">
        <v>56070.0</v>
      </c>
      <c r="AP544" s="15">
        <v>57050.0</v>
      </c>
      <c r="AQ544" s="15">
        <v>43650.0</v>
      </c>
      <c r="AR544" s="15">
        <v>100880.0</v>
      </c>
      <c r="AS544" s="15">
        <v>17710.0</v>
      </c>
      <c r="AT544" s="15">
        <v>182790.0</v>
      </c>
      <c r="AU544" s="15">
        <v>84790.0</v>
      </c>
      <c r="AV544" s="15">
        <v>62630.0</v>
      </c>
      <c r="AW544" s="15">
        <v>51200.0</v>
      </c>
      <c r="AX544" s="15">
        <v>-64970.0</v>
      </c>
      <c r="AY544" s="15">
        <v>-80620.0</v>
      </c>
      <c r="AZ544" s="15">
        <v>-50550.0</v>
      </c>
      <c r="BA544" s="15">
        <v>-24950.0</v>
      </c>
      <c r="BB544" s="15">
        <v>-43090.0</v>
      </c>
      <c r="BC544" s="13"/>
      <c r="BD544" s="13"/>
      <c r="BE544" s="13"/>
      <c r="BF544" s="13"/>
      <c r="BG544" s="13"/>
      <c r="BH544" s="15">
        <v>96200.0</v>
      </c>
      <c r="BI544" s="15">
        <v>96100.0</v>
      </c>
      <c r="BJ544" s="15">
        <v>63550.0</v>
      </c>
      <c r="BK544" s="15">
        <v>45580.0</v>
      </c>
      <c r="BL544" s="15">
        <v>58380.0</v>
      </c>
      <c r="BM544" s="15">
        <v>205170.0</v>
      </c>
      <c r="BN544" s="15">
        <v>226560.0</v>
      </c>
      <c r="BO544" s="15">
        <v>421550.0</v>
      </c>
      <c r="BP544" s="15">
        <v>297500.0</v>
      </c>
      <c r="BQ544" s="15">
        <v>266060.0</v>
      </c>
      <c r="BR544" s="15">
        <v>264620.0</v>
      </c>
      <c r="BS544" s="15">
        <v>245770.0</v>
      </c>
      <c r="BT544" s="15">
        <v>324180.0</v>
      </c>
      <c r="BU544" s="15">
        <v>229850.0</v>
      </c>
      <c r="BV544" s="15">
        <v>184850.0</v>
      </c>
      <c r="BW544" s="15">
        <v>883170.0</v>
      </c>
      <c r="BX544" s="15">
        <v>887780.0</v>
      </c>
      <c r="BY544" s="15">
        <v>825730.0</v>
      </c>
      <c r="BZ544" s="15">
        <v>582020.0</v>
      </c>
      <c r="CA544" s="15">
        <v>553290.0</v>
      </c>
      <c r="CB544" s="15">
        <v>321690.0</v>
      </c>
      <c r="CC544" s="15">
        <v>275540.0</v>
      </c>
      <c r="CD544" s="15">
        <v>321740.0</v>
      </c>
      <c r="CE544" s="15">
        <v>262030.0</v>
      </c>
      <c r="CF544" s="15">
        <v>260430.0</v>
      </c>
      <c r="CG544" s="15">
        <v>172210.0</v>
      </c>
      <c r="CH544" s="15">
        <v>172950.0</v>
      </c>
      <c r="CI544" s="15">
        <v>195370.0</v>
      </c>
      <c r="CJ544" s="15">
        <v>148300.0</v>
      </c>
      <c r="CK544" s="15">
        <v>145670.0</v>
      </c>
      <c r="CL544" s="15">
        <v>1830000.0</v>
      </c>
      <c r="CM544" s="15">
        <v>1870000.0</v>
      </c>
      <c r="CN544" s="15">
        <v>1680000.0</v>
      </c>
      <c r="CO544" s="15">
        <v>1280000.0</v>
      </c>
      <c r="CP544" s="15">
        <v>1230000.0</v>
      </c>
      <c r="CQ544" s="15">
        <v>138830.0</v>
      </c>
      <c r="CR544" s="15">
        <v>132750.0</v>
      </c>
      <c r="CS544" s="15">
        <v>211710.0</v>
      </c>
      <c r="CT544" s="15">
        <v>127660.0</v>
      </c>
      <c r="CU544" s="15">
        <v>120380.0</v>
      </c>
      <c r="CV544" s="15">
        <v>381750.0</v>
      </c>
      <c r="CW544" s="15">
        <v>7260.0</v>
      </c>
      <c r="CX544" s="15">
        <v>50.0</v>
      </c>
      <c r="CY544" s="15">
        <v>16360.0</v>
      </c>
      <c r="CZ544" s="15">
        <v>11450.0</v>
      </c>
      <c r="DA544" s="15">
        <v>2750.0</v>
      </c>
      <c r="DB544" s="15">
        <v>381750.0</v>
      </c>
      <c r="DC544" s="15">
        <v>389320.0</v>
      </c>
      <c r="DD544" s="15">
        <v>355200.0</v>
      </c>
      <c r="DE544" s="15">
        <v>246030.0</v>
      </c>
      <c r="DF544" s="15">
        <v>1460000.0</v>
      </c>
      <c r="DG544" s="15">
        <v>1480000.0</v>
      </c>
      <c r="DH544" s="15">
        <v>1330000.0</v>
      </c>
      <c r="DI544" s="15">
        <v>1030000.0</v>
      </c>
      <c r="DJ544" s="15">
        <v>901070.0</v>
      </c>
      <c r="DK544" s="15">
        <v>23400.0</v>
      </c>
      <c r="DL544" s="15">
        <v>15700.0</v>
      </c>
      <c r="DM544" s="15">
        <v>9220.0</v>
      </c>
      <c r="DN544" s="15">
        <v>15100.0</v>
      </c>
      <c r="DO544" s="15">
        <v>16000.0</v>
      </c>
      <c r="DP544" s="15">
        <v>814190.0</v>
      </c>
      <c r="DQ544" s="15">
        <v>806080.0</v>
      </c>
      <c r="DR544" s="15">
        <v>726490.0</v>
      </c>
      <c r="DS544" s="15">
        <v>557180.0</v>
      </c>
      <c r="DT544" s="15">
        <v>466110.0</v>
      </c>
      <c r="DU544" s="13"/>
      <c r="DV544" s="12"/>
      <c r="DW544" s="12"/>
      <c r="DX544" s="15"/>
      <c r="DY544" s="15"/>
      <c r="DZ544" s="15">
        <v>360380.0</v>
      </c>
      <c r="EA544" s="15">
        <v>376630.0</v>
      </c>
      <c r="EB544" s="15">
        <v>344810.0</v>
      </c>
      <c r="EC544" s="15">
        <v>247110.0</v>
      </c>
      <c r="ED544" s="15">
        <v>316460.0</v>
      </c>
      <c r="EE544" s="23">
        <v>0.059</v>
      </c>
      <c r="EF544" s="23">
        <v>0.039</v>
      </c>
      <c r="EG544" s="23">
        <v>1.167</v>
      </c>
      <c r="EH544" s="23">
        <v>-0.055</v>
      </c>
    </row>
    <row r="545">
      <c r="A545" s="9">
        <f t="shared" si="2"/>
        <v>543</v>
      </c>
      <c r="B545" s="22" t="s">
        <v>680</v>
      </c>
      <c r="C545" s="11">
        <v>351150.0</v>
      </c>
      <c r="D545" s="11">
        <v>256740.0</v>
      </c>
      <c r="E545" s="11">
        <v>182240.0</v>
      </c>
      <c r="F545" s="11">
        <v>91250.0</v>
      </c>
      <c r="G545" s="11">
        <v>36930.0</v>
      </c>
      <c r="H545" s="11">
        <v>4960.0</v>
      </c>
      <c r="I545" s="12"/>
      <c r="J545" s="11">
        <v>155500.0</v>
      </c>
      <c r="K545" s="11">
        <v>72630.0</v>
      </c>
      <c r="L545" s="11">
        <v>27100.0</v>
      </c>
      <c r="M545" s="11">
        <v>883.0</v>
      </c>
      <c r="N545" s="11">
        <v>-1830.0</v>
      </c>
      <c r="O545" s="11">
        <v>456240.0</v>
      </c>
      <c r="P545" s="11">
        <v>398100.0</v>
      </c>
      <c r="Q545" s="11">
        <v>229480.0</v>
      </c>
      <c r="R545" s="11">
        <v>169440.0</v>
      </c>
      <c r="S545" s="11">
        <v>121110.0</v>
      </c>
      <c r="T545" s="11">
        <v>286380.0</v>
      </c>
      <c r="U545" s="11">
        <v>270900.0</v>
      </c>
      <c r="V545" s="11">
        <v>141210.0</v>
      </c>
      <c r="W545" s="11">
        <v>98290.0</v>
      </c>
      <c r="X545" s="11">
        <v>76940.0</v>
      </c>
      <c r="Y545" s="11">
        <v>-344660.0</v>
      </c>
      <c r="Z545" s="11">
        <v>-331520.0</v>
      </c>
      <c r="AA545" s="11">
        <v>-442250.0</v>
      </c>
      <c r="AB545" s="11">
        <v>-195490.0</v>
      </c>
      <c r="AC545" s="11">
        <v>-131390.0</v>
      </c>
      <c r="AD545" s="11">
        <v>-355910.0</v>
      </c>
      <c r="AE545" s="11">
        <v>-349090.0</v>
      </c>
      <c r="AF545" s="11">
        <v>-449120.0</v>
      </c>
      <c r="AG545" s="11">
        <v>-203780.0</v>
      </c>
      <c r="AH545" s="11">
        <v>-132120.0</v>
      </c>
      <c r="AI545" s="11">
        <v>-295970.0</v>
      </c>
      <c r="AJ545" s="11">
        <v>-321260.0</v>
      </c>
      <c r="AK545" s="11">
        <v>-198790.0</v>
      </c>
      <c r="AL545" s="11">
        <v>-165320.0</v>
      </c>
      <c r="AM545" s="11">
        <v>-121110.0</v>
      </c>
      <c r="AN545" s="11">
        <v>-356390.0</v>
      </c>
      <c r="AO545" s="11">
        <v>-349000.0</v>
      </c>
      <c r="AP545" s="11">
        <v>-284000.0</v>
      </c>
      <c r="AQ545" s="11">
        <v>-200040.0</v>
      </c>
      <c r="AR545" s="11">
        <v>-132120.0</v>
      </c>
      <c r="AS545" s="11">
        <v>-250420.0</v>
      </c>
      <c r="AT545" s="11">
        <v>-299960.0</v>
      </c>
      <c r="AU545" s="11">
        <v>-215490.0</v>
      </c>
      <c r="AV545" s="11">
        <v>-150530.0</v>
      </c>
      <c r="AW545" s="11">
        <v>-100140.0</v>
      </c>
      <c r="AX545" s="11">
        <v>-20010.0</v>
      </c>
      <c r="AY545" s="11">
        <v>-6310.0</v>
      </c>
      <c r="AZ545" s="11">
        <v>-4530.0</v>
      </c>
      <c r="BA545" s="11">
        <v>-5950.0</v>
      </c>
      <c r="BB545" s="11">
        <v>-4820.0</v>
      </c>
      <c r="BC545" s="12"/>
      <c r="BD545" s="12"/>
      <c r="BE545" s="12"/>
      <c r="BF545" s="12"/>
      <c r="BG545" s="12"/>
      <c r="BH545" s="11">
        <v>452740.0</v>
      </c>
      <c r="BI545" s="11">
        <v>504150.0</v>
      </c>
      <c r="BJ545" s="11">
        <v>358560.0</v>
      </c>
      <c r="BK545" s="11">
        <v>330350.0</v>
      </c>
      <c r="BL545" s="11">
        <v>214030.0</v>
      </c>
      <c r="BM545" s="11">
        <v>33280.0</v>
      </c>
      <c r="BN545" s="11">
        <v>21960.0</v>
      </c>
      <c r="BO545" s="11">
        <v>9460.0</v>
      </c>
      <c r="BP545" s="11">
        <v>1300.0</v>
      </c>
      <c r="BQ545" s="12"/>
      <c r="BR545" s="11">
        <v>14040.0</v>
      </c>
      <c r="BS545" s="11">
        <v>8390.0</v>
      </c>
      <c r="BT545" s="11">
        <v>4620.0</v>
      </c>
      <c r="BU545" s="11">
        <v>3420.0</v>
      </c>
      <c r="BV545" s="12"/>
      <c r="BW545" s="11">
        <v>520070.0</v>
      </c>
      <c r="BX545" s="11">
        <v>551100.0</v>
      </c>
      <c r="BY545" s="11">
        <v>391970.0</v>
      </c>
      <c r="BZ545" s="11">
        <v>340060.0</v>
      </c>
      <c r="CA545" s="11">
        <v>216600.0</v>
      </c>
      <c r="CB545" s="11">
        <v>81020.0</v>
      </c>
      <c r="CC545" s="11">
        <v>11380.0</v>
      </c>
      <c r="CD545" s="11">
        <v>9060.0</v>
      </c>
      <c r="CE545" s="11">
        <v>9820.0</v>
      </c>
      <c r="CF545" s="11">
        <v>6180.0</v>
      </c>
      <c r="CG545" s="11">
        <v>197800.0</v>
      </c>
      <c r="CH545" s="11">
        <v>197800.0</v>
      </c>
      <c r="CI545" s="11">
        <v>197800.0</v>
      </c>
      <c r="CJ545" s="11">
        <v>197800.0</v>
      </c>
      <c r="CK545" s="11">
        <v>197800.0</v>
      </c>
      <c r="CL545" s="11">
        <v>850210.0</v>
      </c>
      <c r="CM545" s="11">
        <v>789950.0</v>
      </c>
      <c r="CN545" s="11">
        <v>627020.0</v>
      </c>
      <c r="CO545" s="11">
        <v>1040000.0</v>
      </c>
      <c r="CP545" s="11">
        <v>908380.0</v>
      </c>
      <c r="CQ545" s="11">
        <v>21720.0</v>
      </c>
      <c r="CR545" s="11">
        <v>6610.0</v>
      </c>
      <c r="CS545" s="11">
        <v>7870.0</v>
      </c>
      <c r="CT545" s="11">
        <v>12910.0</v>
      </c>
      <c r="CU545" s="11">
        <v>16480.0</v>
      </c>
      <c r="CV545" s="11">
        <v>128810.0</v>
      </c>
      <c r="CW545" s="11">
        <v>7190.0</v>
      </c>
      <c r="CX545" s="12"/>
      <c r="CY545" s="12"/>
      <c r="CZ545" s="12"/>
      <c r="DA545" s="12"/>
      <c r="DB545" s="11">
        <v>128810.0</v>
      </c>
      <c r="DC545" s="11">
        <v>86130.0</v>
      </c>
      <c r="DD545" s="11">
        <v>70040.0</v>
      </c>
      <c r="DE545" s="11">
        <v>110960.0</v>
      </c>
      <c r="DF545" s="11">
        <v>373780.0</v>
      </c>
      <c r="DG545" s="11">
        <v>447040.0</v>
      </c>
      <c r="DH545" s="11">
        <v>274170.0</v>
      </c>
      <c r="DI545" s="11">
        <v>676690.0</v>
      </c>
      <c r="DJ545" s="11">
        <v>560550.0</v>
      </c>
      <c r="DK545" s="11">
        <v>3510.0</v>
      </c>
      <c r="DL545" s="12"/>
      <c r="DM545" s="12"/>
      <c r="DN545" s="12"/>
      <c r="DO545" s="12"/>
      <c r="DP545" s="11">
        <v>203040.0</v>
      </c>
      <c r="DQ545" s="11">
        <v>321740.0</v>
      </c>
      <c r="DR545" s="11">
        <v>164170.0</v>
      </c>
      <c r="DS545" s="11">
        <v>154460.0</v>
      </c>
      <c r="DT545" s="11">
        <v>41600.0</v>
      </c>
      <c r="DU545" s="13"/>
      <c r="DV545" s="12"/>
      <c r="DW545" s="12"/>
      <c r="DX545" s="13"/>
      <c r="DY545" s="13"/>
      <c r="DZ545" s="11">
        <v>476430.0</v>
      </c>
      <c r="EA545" s="11">
        <v>342910.0</v>
      </c>
      <c r="EB545" s="11">
        <v>352850.0</v>
      </c>
      <c r="EC545" s="11">
        <v>360150.0</v>
      </c>
      <c r="ED545" s="11">
        <v>347830.0</v>
      </c>
      <c r="EE545" s="14">
        <v>0.035</v>
      </c>
      <c r="EF545" s="14">
        <v>0.29</v>
      </c>
      <c r="EG545" s="14">
        <v>0.231</v>
      </c>
      <c r="EH545" s="14">
        <v>-0.007</v>
      </c>
    </row>
    <row r="546">
      <c r="A546" s="9">
        <f t="shared" si="2"/>
        <v>544</v>
      </c>
      <c r="B546" s="22" t="s">
        <v>681</v>
      </c>
      <c r="C546" s="12"/>
      <c r="D546" s="12"/>
      <c r="E546" s="11">
        <v>87190.0</v>
      </c>
      <c r="F546" s="11">
        <v>81520.0</v>
      </c>
      <c r="G546" s="11">
        <v>78040.0</v>
      </c>
      <c r="H546" s="11">
        <v>73370.0</v>
      </c>
      <c r="I546" s="11">
        <v>69050.0</v>
      </c>
      <c r="J546" s="11">
        <v>43210.0</v>
      </c>
      <c r="K546" s="11">
        <v>39570.0</v>
      </c>
      <c r="L546" s="11">
        <v>39980.0</v>
      </c>
      <c r="M546" s="11">
        <v>34500.0</v>
      </c>
      <c r="N546" s="11">
        <v>30650.0</v>
      </c>
      <c r="O546" s="11">
        <v>21070.0</v>
      </c>
      <c r="P546" s="11">
        <v>19880.0</v>
      </c>
      <c r="Q546" s="11">
        <v>20890.0</v>
      </c>
      <c r="R546" s="11">
        <v>20140.0</v>
      </c>
      <c r="S546" s="11">
        <v>17750.0</v>
      </c>
      <c r="T546" s="11">
        <v>1810.0</v>
      </c>
      <c r="U546" s="11">
        <v>1760.0</v>
      </c>
      <c r="V546" s="11">
        <v>1480.0</v>
      </c>
      <c r="W546" s="11">
        <v>1630.0</v>
      </c>
      <c r="X546" s="11">
        <v>1810.0</v>
      </c>
      <c r="Y546" s="12"/>
      <c r="Z546" s="12"/>
      <c r="AA546" s="12"/>
      <c r="AB546" s="12"/>
      <c r="AC546" s="11">
        <v>13290.0</v>
      </c>
      <c r="AD546" s="11">
        <v>22520.0</v>
      </c>
      <c r="AE546" s="11">
        <v>19780.0</v>
      </c>
      <c r="AF546" s="11">
        <v>19320.0</v>
      </c>
      <c r="AG546" s="11">
        <v>14510.0</v>
      </c>
      <c r="AH546" s="11">
        <v>12820.0</v>
      </c>
      <c r="AI546" s="11">
        <v>25970.0</v>
      </c>
      <c r="AJ546" s="11">
        <v>23580.0</v>
      </c>
      <c r="AK546" s="11">
        <v>22630.0</v>
      </c>
      <c r="AL546" s="11">
        <v>17650.0</v>
      </c>
      <c r="AM546" s="11">
        <v>16440.0</v>
      </c>
      <c r="AN546" s="11">
        <v>15320.0</v>
      </c>
      <c r="AO546" s="11">
        <v>21230.0</v>
      </c>
      <c r="AP546" s="11">
        <v>19620.0</v>
      </c>
      <c r="AQ546" s="11">
        <v>15720.0</v>
      </c>
      <c r="AR546" s="11">
        <v>12910.0</v>
      </c>
      <c r="AS546" s="11">
        <v>19450.0</v>
      </c>
      <c r="AT546" s="11">
        <v>18740.0</v>
      </c>
      <c r="AU546" s="11">
        <v>16810.0</v>
      </c>
      <c r="AV546" s="11">
        <v>16620.0</v>
      </c>
      <c r="AW546" s="11">
        <v>13270.0</v>
      </c>
      <c r="AX546" s="11">
        <v>-3480.0</v>
      </c>
      <c r="AY546" s="11">
        <v>-2890.0</v>
      </c>
      <c r="AZ546" s="11">
        <v>-3010.0</v>
      </c>
      <c r="BA546" s="11">
        <v>-825.0</v>
      </c>
      <c r="BB546" s="11">
        <v>-271.0</v>
      </c>
      <c r="BC546" s="12"/>
      <c r="BD546" s="12"/>
      <c r="BE546" s="12"/>
      <c r="BF546" s="12"/>
      <c r="BG546" s="12"/>
      <c r="BH546" s="11">
        <v>28980.0</v>
      </c>
      <c r="BI546" s="11">
        <v>19630.0</v>
      </c>
      <c r="BJ546" s="11">
        <v>10140.0</v>
      </c>
      <c r="BK546" s="11">
        <v>8530.0</v>
      </c>
      <c r="BL546" s="11">
        <v>9450.0</v>
      </c>
      <c r="BM546" s="11">
        <v>52800.0</v>
      </c>
      <c r="BN546" s="11">
        <v>44650.0</v>
      </c>
      <c r="BO546" s="11">
        <v>40360.0</v>
      </c>
      <c r="BP546" s="11">
        <v>34200.0</v>
      </c>
      <c r="BQ546" s="11">
        <v>31120.0</v>
      </c>
      <c r="BR546" s="11">
        <v>1800.0</v>
      </c>
      <c r="BS546" s="11">
        <v>1430.0</v>
      </c>
      <c r="BT546" s="11">
        <v>1620.0</v>
      </c>
      <c r="BU546" s="11">
        <v>2070.0</v>
      </c>
      <c r="BV546" s="11">
        <v>2190.0</v>
      </c>
      <c r="BW546" s="11">
        <v>85090.0</v>
      </c>
      <c r="BX546" s="11">
        <v>67060.0</v>
      </c>
      <c r="BY546" s="11">
        <v>53410.0</v>
      </c>
      <c r="BZ546" s="11">
        <v>45560.0</v>
      </c>
      <c r="CA546" s="11">
        <v>43620.0</v>
      </c>
      <c r="CB546" s="11">
        <v>16990.0</v>
      </c>
      <c r="CC546" s="11">
        <v>16490.0</v>
      </c>
      <c r="CD546" s="11">
        <v>16460.0</v>
      </c>
      <c r="CE546" s="11">
        <v>14510.0</v>
      </c>
      <c r="CF546" s="11">
        <v>12900.0</v>
      </c>
      <c r="CG546" s="11">
        <v>3990.0</v>
      </c>
      <c r="CH546" s="11">
        <v>3990.0</v>
      </c>
      <c r="CI546" s="12"/>
      <c r="CJ546" s="12"/>
      <c r="CK546" s="11">
        <v>1770.0</v>
      </c>
      <c r="CL546" s="11">
        <v>133560.0</v>
      </c>
      <c r="CM546" s="11">
        <v>118320.0</v>
      </c>
      <c r="CN546" s="11">
        <v>98780.0</v>
      </c>
      <c r="CO546" s="11">
        <v>84910.0</v>
      </c>
      <c r="CP546" s="11">
        <v>76520.0</v>
      </c>
      <c r="CQ546" s="11">
        <v>1860.0</v>
      </c>
      <c r="CR546" s="11">
        <v>1300.0</v>
      </c>
      <c r="CS546" s="11">
        <v>1420.0</v>
      </c>
      <c r="CT546" s="11">
        <v>1250.0</v>
      </c>
      <c r="CU546" s="11">
        <v>1780.0</v>
      </c>
      <c r="CV546" s="11">
        <v>14090.0</v>
      </c>
      <c r="CW546" s="12"/>
      <c r="CX546" s="12"/>
      <c r="CY546" s="12"/>
      <c r="CZ546" s="12"/>
      <c r="DA546" s="12"/>
      <c r="DB546" s="11">
        <v>14090.0</v>
      </c>
      <c r="DC546" s="11">
        <v>14570.0</v>
      </c>
      <c r="DD546" s="11">
        <v>14240.0</v>
      </c>
      <c r="DE546" s="11">
        <v>20610.0</v>
      </c>
      <c r="DF546" s="11">
        <v>15450.0</v>
      </c>
      <c r="DG546" s="11">
        <v>16080.0</v>
      </c>
      <c r="DH546" s="11">
        <v>15850.0</v>
      </c>
      <c r="DI546" s="11">
        <v>24110.0</v>
      </c>
      <c r="DJ546" s="11">
        <v>25710.0</v>
      </c>
      <c r="DK546" s="12"/>
      <c r="DL546" s="12"/>
      <c r="DM546" s="12"/>
      <c r="DN546" s="12"/>
      <c r="DO546" s="12"/>
      <c r="DP546" s="11">
        <v>273.0</v>
      </c>
      <c r="DQ546" s="11">
        <v>441.0</v>
      </c>
      <c r="DR546" s="11">
        <v>337.0</v>
      </c>
      <c r="DS546" s="11">
        <v>2060.0</v>
      </c>
      <c r="DT546" s="11">
        <v>5940.0</v>
      </c>
      <c r="DU546" s="24">
        <v>0.0</v>
      </c>
      <c r="DV546" s="11">
        <v>0.0</v>
      </c>
      <c r="DW546" s="11">
        <v>0.0</v>
      </c>
      <c r="DX546" s="24">
        <v>0.0</v>
      </c>
      <c r="DY546" s="24">
        <v>0.0</v>
      </c>
      <c r="DZ546" s="11">
        <v>115960.0</v>
      </c>
      <c r="EA546" s="11">
        <v>98680.0</v>
      </c>
      <c r="EB546" s="11">
        <v>77450.0</v>
      </c>
      <c r="EC546" s="11">
        <v>52400.0</v>
      </c>
      <c r="ED546" s="11">
        <v>38420.0</v>
      </c>
      <c r="EE546" s="23"/>
      <c r="EF546" s="23"/>
      <c r="EG546" s="23" t="s">
        <v>155</v>
      </c>
      <c r="EH546" s="23"/>
    </row>
    <row r="547">
      <c r="A547" s="9">
        <f t="shared" si="2"/>
        <v>545</v>
      </c>
      <c r="B547" s="10" t="s">
        <v>682</v>
      </c>
      <c r="C547" s="15">
        <v>649010.0</v>
      </c>
      <c r="D547" s="15">
        <v>606600.0</v>
      </c>
      <c r="E547" s="15">
        <v>589460.0</v>
      </c>
      <c r="F547" s="15">
        <v>529680.0</v>
      </c>
      <c r="G547" s="15">
        <v>548440.0</v>
      </c>
      <c r="H547" s="15">
        <v>383880.0</v>
      </c>
      <c r="I547" s="15">
        <v>282360.0</v>
      </c>
      <c r="J547" s="15">
        <v>229330.0</v>
      </c>
      <c r="K547" s="15">
        <v>201500.0</v>
      </c>
      <c r="L547" s="15">
        <v>207460.0</v>
      </c>
      <c r="M547" s="15">
        <v>97280.0</v>
      </c>
      <c r="N547" s="15">
        <v>83040.0</v>
      </c>
      <c r="O547" s="15">
        <v>179950.0</v>
      </c>
      <c r="P547" s="15">
        <v>165230.0</v>
      </c>
      <c r="Q547" s="15">
        <v>160350.0</v>
      </c>
      <c r="R547" s="15">
        <v>119000.0</v>
      </c>
      <c r="S547" s="15">
        <v>86570.0</v>
      </c>
      <c r="T547" s="15">
        <v>81570.0</v>
      </c>
      <c r="U547" s="15">
        <v>74980.0</v>
      </c>
      <c r="V547" s="15">
        <v>73810.0</v>
      </c>
      <c r="W547" s="15">
        <v>57450.0</v>
      </c>
      <c r="X547" s="15">
        <v>44180.0</v>
      </c>
      <c r="Y547" s="15">
        <v>49140.0</v>
      </c>
      <c r="Z547" s="15">
        <v>36110.0</v>
      </c>
      <c r="AA547" s="15">
        <v>43830.0</v>
      </c>
      <c r="AB547" s="15">
        <v>-48420.0</v>
      </c>
      <c r="AC547" s="15">
        <v>-3910.0</v>
      </c>
      <c r="AD547" s="15">
        <v>51060.0</v>
      </c>
      <c r="AE547" s="15">
        <v>33930.0</v>
      </c>
      <c r="AF547" s="15">
        <v>42210.0</v>
      </c>
      <c r="AG547" s="15">
        <v>-50200.0</v>
      </c>
      <c r="AH547" s="15">
        <v>-1270.0</v>
      </c>
      <c r="AI547" s="15">
        <v>99520.0</v>
      </c>
      <c r="AJ547" s="15">
        <v>79960.0</v>
      </c>
      <c r="AK547" s="15">
        <v>91680.0</v>
      </c>
      <c r="AL547" s="15">
        <v>25080.0</v>
      </c>
      <c r="AM547" s="15">
        <v>20240.0</v>
      </c>
      <c r="AN547" s="15">
        <v>39350.0</v>
      </c>
      <c r="AO547" s="15">
        <v>104040.0</v>
      </c>
      <c r="AP547" s="15">
        <v>40910.0</v>
      </c>
      <c r="AQ547" s="15">
        <v>-6560.0</v>
      </c>
      <c r="AR547" s="15">
        <v>-1520.0</v>
      </c>
      <c r="AS547" s="15">
        <v>126050.0</v>
      </c>
      <c r="AT547" s="15">
        <v>68700.0</v>
      </c>
      <c r="AU547" s="15">
        <v>86320.0</v>
      </c>
      <c r="AV547" s="15">
        <v>17420.0</v>
      </c>
      <c r="AW547" s="15">
        <v>36120.0</v>
      </c>
      <c r="AX547" s="15">
        <v>-20850.0</v>
      </c>
      <c r="AY547" s="15">
        <v>-19870.0</v>
      </c>
      <c r="AZ547" s="15">
        <v>-17760.0</v>
      </c>
      <c r="BA547" s="15">
        <v>-11520.0</v>
      </c>
      <c r="BB547" s="15">
        <v>-8640.0</v>
      </c>
      <c r="BC547" s="15">
        <v>0.0</v>
      </c>
      <c r="BD547" s="15">
        <v>0.0</v>
      </c>
      <c r="BE547" s="15">
        <v>0.0</v>
      </c>
      <c r="BF547" s="15">
        <v>0.0</v>
      </c>
      <c r="BG547" s="15">
        <v>0.0</v>
      </c>
      <c r="BH547" s="15">
        <v>222850.0</v>
      </c>
      <c r="BI547" s="15">
        <v>149850.0</v>
      </c>
      <c r="BJ547" s="15">
        <v>140540.0</v>
      </c>
      <c r="BK547" s="15">
        <v>109010.0</v>
      </c>
      <c r="BL547" s="15">
        <v>187590.0</v>
      </c>
      <c r="BM547" s="15">
        <v>98770.0</v>
      </c>
      <c r="BN547" s="15">
        <v>96890.0</v>
      </c>
      <c r="BO547" s="15">
        <v>83760.0</v>
      </c>
      <c r="BP547" s="15">
        <v>71620.0</v>
      </c>
      <c r="BQ547" s="15">
        <v>36730.0</v>
      </c>
      <c r="BR547" s="15">
        <v>83260.0</v>
      </c>
      <c r="BS547" s="15">
        <v>77710.0</v>
      </c>
      <c r="BT547" s="15">
        <v>67850.0</v>
      </c>
      <c r="BU547" s="15">
        <v>59810.0</v>
      </c>
      <c r="BV547" s="15">
        <v>27220.0</v>
      </c>
      <c r="BW547" s="15">
        <v>419040.0</v>
      </c>
      <c r="BX547" s="15">
        <v>337820.0</v>
      </c>
      <c r="BY547" s="15">
        <v>305850.0</v>
      </c>
      <c r="BZ547" s="15">
        <v>254710.0</v>
      </c>
      <c r="CA547" s="15">
        <v>258020.0</v>
      </c>
      <c r="CB547" s="15">
        <v>90170.0</v>
      </c>
      <c r="CC547" s="15">
        <v>54050.0</v>
      </c>
      <c r="CD547" s="15">
        <v>46750.0</v>
      </c>
      <c r="CE547" s="15">
        <v>42660.0</v>
      </c>
      <c r="CF547" s="15">
        <v>23850.0</v>
      </c>
      <c r="CG547" s="15">
        <v>199200.0</v>
      </c>
      <c r="CH547" s="15">
        <v>189210.0</v>
      </c>
      <c r="CI547" s="15">
        <v>189920.0</v>
      </c>
      <c r="CJ547" s="15">
        <v>188010.0</v>
      </c>
      <c r="CK547" s="15">
        <v>30730.0</v>
      </c>
      <c r="CL547" s="15">
        <v>839880.0</v>
      </c>
      <c r="CM547" s="15">
        <v>728220.0</v>
      </c>
      <c r="CN547" s="15">
        <v>646570.0</v>
      </c>
      <c r="CO547" s="15">
        <v>618980.0</v>
      </c>
      <c r="CP547" s="15">
        <v>342720.0</v>
      </c>
      <c r="CQ547" s="15">
        <v>40910.0</v>
      </c>
      <c r="CR547" s="15">
        <v>40010.0</v>
      </c>
      <c r="CS547" s="15">
        <v>35050.0</v>
      </c>
      <c r="CT547" s="15">
        <v>34080.0</v>
      </c>
      <c r="CU547" s="15">
        <v>18070.0</v>
      </c>
      <c r="CV547" s="15">
        <v>136560.0</v>
      </c>
      <c r="CW547" s="15">
        <v>6550.0</v>
      </c>
      <c r="CX547" s="15">
        <v>0.0</v>
      </c>
      <c r="CY547" s="16">
        <v>0.0</v>
      </c>
      <c r="CZ547" s="16">
        <v>0.0</v>
      </c>
      <c r="DA547" s="15">
        <v>0.0</v>
      </c>
      <c r="DB547" s="15">
        <v>136560.0</v>
      </c>
      <c r="DC547" s="15">
        <v>102520.0</v>
      </c>
      <c r="DD547" s="15">
        <v>92160.0</v>
      </c>
      <c r="DE547" s="15">
        <v>82710.0</v>
      </c>
      <c r="DF547" s="15">
        <v>198890.0</v>
      </c>
      <c r="DG547" s="15">
        <v>148060.0</v>
      </c>
      <c r="DH547" s="15">
        <v>187940.0</v>
      </c>
      <c r="DI547" s="15">
        <v>217930.0</v>
      </c>
      <c r="DJ547" s="15">
        <v>48040.0</v>
      </c>
      <c r="DK547" s="15">
        <v>1410.0</v>
      </c>
      <c r="DL547" s="15">
        <v>1230.0</v>
      </c>
      <c r="DM547" s="15">
        <v>1170.0</v>
      </c>
      <c r="DN547" s="15">
        <v>1080.0</v>
      </c>
      <c r="DO547" s="15">
        <v>0.0</v>
      </c>
      <c r="DP547" s="15">
        <v>44730.0</v>
      </c>
      <c r="DQ547" s="15">
        <v>34970.0</v>
      </c>
      <c r="DR547" s="15">
        <v>87230.0</v>
      </c>
      <c r="DS547" s="15">
        <v>125480.0</v>
      </c>
      <c r="DT547" s="15">
        <v>0.0</v>
      </c>
      <c r="DU547" s="16">
        <v>0.0</v>
      </c>
      <c r="DV547" s="15">
        <v>0.0</v>
      </c>
      <c r="DW547" s="15">
        <v>0.0</v>
      </c>
      <c r="DX547" s="15">
        <v>0.0</v>
      </c>
      <c r="DY547" s="15">
        <v>0.0</v>
      </c>
      <c r="DZ547" s="15">
        <v>641000.0</v>
      </c>
      <c r="EA547" s="15">
        <v>580160.0</v>
      </c>
      <c r="EB547" s="15">
        <v>458640.0</v>
      </c>
      <c r="EC547" s="15">
        <v>401060.0</v>
      </c>
      <c r="ED547" s="15">
        <v>294680.0</v>
      </c>
      <c r="EE547" s="17">
        <v>0.038</v>
      </c>
      <c r="EF547" s="17">
        <v>0.069</v>
      </c>
      <c r="EG547" s="17">
        <v>0.65</v>
      </c>
      <c r="EH547" s="17">
        <v>0.282</v>
      </c>
    </row>
    <row r="548">
      <c r="A548" s="9">
        <f t="shared" si="2"/>
        <v>546</v>
      </c>
      <c r="B548" s="25" t="s">
        <v>683</v>
      </c>
      <c r="C548" s="15">
        <v>1580000.0</v>
      </c>
      <c r="D548" s="15">
        <v>1500000.0</v>
      </c>
      <c r="E548" s="15">
        <v>2220000.0</v>
      </c>
      <c r="F548" s="15">
        <v>2540000.0</v>
      </c>
      <c r="G548" s="15">
        <v>2790000.0</v>
      </c>
      <c r="H548" s="15">
        <v>3040000.0</v>
      </c>
      <c r="I548" s="15">
        <v>3230000.0</v>
      </c>
      <c r="J548" s="15">
        <v>1090000.0</v>
      </c>
      <c r="K548" s="15">
        <v>1340000.0</v>
      </c>
      <c r="L548" s="15">
        <v>1360000.0</v>
      </c>
      <c r="M548" s="15">
        <v>1580000.0</v>
      </c>
      <c r="N548" s="15">
        <v>1750000.0</v>
      </c>
      <c r="O548" s="15">
        <v>1070000.0</v>
      </c>
      <c r="P548" s="15">
        <v>1220000.0</v>
      </c>
      <c r="Q548" s="15">
        <v>1320000.0</v>
      </c>
      <c r="R548" s="15">
        <v>1410000.0</v>
      </c>
      <c r="S548" s="15">
        <v>1410000.0</v>
      </c>
      <c r="T548" s="15">
        <v>32400.0</v>
      </c>
      <c r="U548" s="15">
        <v>38200.0</v>
      </c>
      <c r="V548" s="15">
        <v>42800.0</v>
      </c>
      <c r="W548" s="15">
        <v>38600.0</v>
      </c>
      <c r="X548" s="15"/>
      <c r="Y548" s="15">
        <v>-40850.0</v>
      </c>
      <c r="Z548" s="15">
        <v>65690.0</v>
      </c>
      <c r="AA548" s="15">
        <v>-425960.0</v>
      </c>
      <c r="AB548" s="15">
        <v>-41360.0</v>
      </c>
      <c r="AC548" s="15">
        <v>291020.0</v>
      </c>
      <c r="AD548" s="15">
        <v>-31330.0</v>
      </c>
      <c r="AE548" s="15">
        <v>20170.0</v>
      </c>
      <c r="AF548" s="15">
        <v>-453750.0</v>
      </c>
      <c r="AG548" s="15">
        <v>114310.0</v>
      </c>
      <c r="AH548" s="15">
        <v>311660.0</v>
      </c>
      <c r="AI548" s="15">
        <v>71320.0</v>
      </c>
      <c r="AJ548" s="15">
        <v>185040.0</v>
      </c>
      <c r="AK548" s="15">
        <v>120300.0</v>
      </c>
      <c r="AL548" s="15">
        <v>263020.0</v>
      </c>
      <c r="AM548" s="15">
        <v>431900.0</v>
      </c>
      <c r="AN548" s="15">
        <v>-52370.0</v>
      </c>
      <c r="AO548" s="15">
        <v>-3480.0</v>
      </c>
      <c r="AP548" s="15">
        <v>-478170.0</v>
      </c>
      <c r="AQ548" s="15">
        <v>78870.0</v>
      </c>
      <c r="AR548" s="15">
        <v>220640.0</v>
      </c>
      <c r="AS548" s="15">
        <v>-14210.0</v>
      </c>
      <c r="AT548" s="15">
        <v>248140.0</v>
      </c>
      <c r="AU548" s="15">
        <v>179540.0</v>
      </c>
      <c r="AV548" s="15">
        <v>210130.0</v>
      </c>
      <c r="AW548" s="15">
        <v>360770.0</v>
      </c>
      <c r="AX548" s="15">
        <v>-24150.0</v>
      </c>
      <c r="AY548" s="15">
        <v>-17960.0</v>
      </c>
      <c r="AZ548" s="15">
        <v>-27020.0</v>
      </c>
      <c r="BA548" s="15">
        <v>-65670.0</v>
      </c>
      <c r="BB548" s="15">
        <v>-83500.0</v>
      </c>
      <c r="BC548" s="13"/>
      <c r="BD548" s="13"/>
      <c r="BE548" s="13"/>
      <c r="BF548" s="13"/>
      <c r="BG548" s="13"/>
      <c r="BH548" s="15">
        <v>200250.0</v>
      </c>
      <c r="BI548" s="15">
        <v>412610.0</v>
      </c>
      <c r="BJ548" s="15">
        <v>233540.0</v>
      </c>
      <c r="BK548" s="15">
        <v>320620.0</v>
      </c>
      <c r="BL548" s="15">
        <v>302630.0</v>
      </c>
      <c r="BM548" s="15">
        <v>300330.0</v>
      </c>
      <c r="BN548" s="15">
        <v>335110.0</v>
      </c>
      <c r="BO548" s="15">
        <v>379670.0</v>
      </c>
      <c r="BP548" s="15">
        <v>387920.0</v>
      </c>
      <c r="BQ548" s="15">
        <v>421140.0</v>
      </c>
      <c r="BR548" s="15">
        <v>452280.0</v>
      </c>
      <c r="BS548" s="15">
        <v>377620.0</v>
      </c>
      <c r="BT548" s="15">
        <v>573790.0</v>
      </c>
      <c r="BU548" s="15">
        <v>542490.0</v>
      </c>
      <c r="BV548" s="15">
        <v>625340.0</v>
      </c>
      <c r="BW548" s="15">
        <v>1060000.0</v>
      </c>
      <c r="BX548" s="15">
        <v>1260000.0</v>
      </c>
      <c r="BY548" s="15">
        <v>1290000.0</v>
      </c>
      <c r="BZ548" s="15">
        <v>1350000.0</v>
      </c>
      <c r="CA548" s="15">
        <v>1440000.0</v>
      </c>
      <c r="CB548" s="15">
        <v>439670.0</v>
      </c>
      <c r="CC548" s="15">
        <v>183200.0</v>
      </c>
      <c r="CD548" s="15">
        <v>219740.0</v>
      </c>
      <c r="CE548" s="15">
        <v>273850.0</v>
      </c>
      <c r="CF548" s="15">
        <v>326370.0</v>
      </c>
      <c r="CG548" s="15"/>
      <c r="CH548" s="15"/>
      <c r="CI548" s="15"/>
      <c r="CJ548" s="15">
        <v>355260.0</v>
      </c>
      <c r="CK548" s="15">
        <v>359390.0</v>
      </c>
      <c r="CL548" s="15">
        <v>1600000.0</v>
      </c>
      <c r="CM548" s="15">
        <v>1580000.0</v>
      </c>
      <c r="CN548" s="15">
        <v>1660000.0</v>
      </c>
      <c r="CO548" s="15">
        <v>2190000.0</v>
      </c>
      <c r="CP548" s="15">
        <v>2360000.0</v>
      </c>
      <c r="CQ548" s="15">
        <v>172190.0</v>
      </c>
      <c r="CR548" s="15">
        <v>169560.0</v>
      </c>
      <c r="CS548" s="15">
        <v>204980.0</v>
      </c>
      <c r="CT548" s="15">
        <v>163640.0</v>
      </c>
      <c r="CU548" s="15">
        <v>208080.0</v>
      </c>
      <c r="CV548" s="15">
        <v>559180.0</v>
      </c>
      <c r="CW548" s="15">
        <v>68840.0</v>
      </c>
      <c r="CX548" s="15"/>
      <c r="CY548" s="15"/>
      <c r="CZ548" s="15"/>
      <c r="DA548" s="15"/>
      <c r="DB548" s="15">
        <v>559180.0</v>
      </c>
      <c r="DC548" s="15">
        <v>605800.0</v>
      </c>
      <c r="DD548" s="15">
        <v>509090.0</v>
      </c>
      <c r="DE548" s="15">
        <v>414590.0</v>
      </c>
      <c r="DF548" s="15">
        <v>1100000.0</v>
      </c>
      <c r="DG548" s="15">
        <v>986570.0</v>
      </c>
      <c r="DH548" s="15">
        <v>1080000.0</v>
      </c>
      <c r="DI548" s="15">
        <v>1170000.0</v>
      </c>
      <c r="DJ548" s="15">
        <v>1420000.0</v>
      </c>
      <c r="DK548" s="15">
        <v>8020.0</v>
      </c>
      <c r="DL548" s="15">
        <v>8430.0</v>
      </c>
      <c r="DM548" s="15">
        <v>1020.0</v>
      </c>
      <c r="DN548" s="15">
        <v>8230.0</v>
      </c>
      <c r="DO548" s="15">
        <v>6000.0</v>
      </c>
      <c r="DP548" s="15">
        <v>467490.0</v>
      </c>
      <c r="DQ548" s="15">
        <v>269790.0</v>
      </c>
      <c r="DR548" s="15">
        <v>443940.0</v>
      </c>
      <c r="DS548" s="15">
        <v>609960.0</v>
      </c>
      <c r="DT548" s="15">
        <v>785080.0</v>
      </c>
      <c r="DU548" s="13"/>
      <c r="DV548" s="12"/>
      <c r="DW548" s="12"/>
      <c r="DX548" s="13"/>
      <c r="DY548" s="13"/>
      <c r="DZ548" s="15">
        <v>503050.0</v>
      </c>
      <c r="EA548" s="15">
        <v>585540.0</v>
      </c>
      <c r="EB548" s="15">
        <v>576130.0</v>
      </c>
      <c r="EC548" s="15">
        <v>1010000.0</v>
      </c>
      <c r="ED548" s="15">
        <v>921390.0</v>
      </c>
      <c r="EE548" s="17">
        <v>0.0</v>
      </c>
      <c r="EF548" s="17">
        <v>0.0</v>
      </c>
      <c r="EG548" s="17">
        <v>0.865</v>
      </c>
      <c r="EH548" s="17">
        <v>-0.702</v>
      </c>
    </row>
    <row r="549">
      <c r="A549" s="9">
        <f t="shared" si="2"/>
        <v>547</v>
      </c>
      <c r="B549" s="10" t="s">
        <v>684</v>
      </c>
      <c r="C549" s="15">
        <v>3.486E7</v>
      </c>
      <c r="D549" s="15">
        <v>3.143E7</v>
      </c>
      <c r="E549" s="15">
        <v>1.139E7</v>
      </c>
      <c r="F549" s="15">
        <v>1.015E7</v>
      </c>
      <c r="G549" s="15">
        <v>9920000.0</v>
      </c>
      <c r="H549" s="15">
        <v>8890000.0</v>
      </c>
      <c r="I549" s="15">
        <v>0.0</v>
      </c>
      <c r="J549" s="15">
        <v>3850000.0</v>
      </c>
      <c r="K549" s="15">
        <v>3480000.0</v>
      </c>
      <c r="L549" s="15">
        <v>3650000.0</v>
      </c>
      <c r="M549" s="15">
        <v>3170000.0</v>
      </c>
      <c r="N549" s="15">
        <v>0.0</v>
      </c>
      <c r="O549" s="15">
        <v>1420000.0</v>
      </c>
      <c r="P549" s="15">
        <v>1210000.0</v>
      </c>
      <c r="Q549" s="15">
        <v>1090000.0</v>
      </c>
      <c r="R549" s="15">
        <v>1150000.0</v>
      </c>
      <c r="S549" s="15">
        <v>0.0</v>
      </c>
      <c r="T549" s="15">
        <v>0.0</v>
      </c>
      <c r="U549" s="15">
        <v>0.0</v>
      </c>
      <c r="V549" s="15">
        <v>0.0</v>
      </c>
      <c r="W549" s="15">
        <v>0.0</v>
      </c>
      <c r="X549" s="15">
        <v>0.0</v>
      </c>
      <c r="Y549" s="15">
        <v>2430000.0</v>
      </c>
      <c r="Z549" s="15">
        <v>2190000.0</v>
      </c>
      <c r="AA549" s="15">
        <v>2290000.0</v>
      </c>
      <c r="AB549" s="15">
        <v>1900000.0</v>
      </c>
      <c r="AC549" s="15">
        <v>0.0</v>
      </c>
      <c r="AD549" s="15">
        <v>2220000.0</v>
      </c>
      <c r="AE549" s="15">
        <v>2170000.0</v>
      </c>
      <c r="AF549" s="15">
        <v>2240000.0</v>
      </c>
      <c r="AG549" s="15">
        <v>1840000.0</v>
      </c>
      <c r="AH549" s="15">
        <v>0.0</v>
      </c>
      <c r="AI549" s="15">
        <v>2640000.0</v>
      </c>
      <c r="AJ549" s="15">
        <v>2440000.0</v>
      </c>
      <c r="AK549" s="15">
        <v>2730000.0</v>
      </c>
      <c r="AL549" s="15">
        <v>2190000.0</v>
      </c>
      <c r="AM549" s="15">
        <v>0.0</v>
      </c>
      <c r="AN549" s="15">
        <v>1600000.0</v>
      </c>
      <c r="AO549" s="15">
        <v>2190000.0</v>
      </c>
      <c r="AP549" s="15">
        <v>1370000.0</v>
      </c>
      <c r="AQ549" s="15">
        <v>1070000.0</v>
      </c>
      <c r="AR549" s="15">
        <v>0.0</v>
      </c>
      <c r="AS549" s="15">
        <v>2520000.0</v>
      </c>
      <c r="AT549" s="15">
        <v>1320000.0</v>
      </c>
      <c r="AU549" s="15">
        <v>1660000.0</v>
      </c>
      <c r="AV549" s="15">
        <v>1100000.0</v>
      </c>
      <c r="AW549" s="15">
        <v>0.0</v>
      </c>
      <c r="AX549" s="15">
        <v>-235000.0</v>
      </c>
      <c r="AY549" s="15">
        <v>-215000.0</v>
      </c>
      <c r="AZ549" s="15">
        <v>-191000.0</v>
      </c>
      <c r="BA549" s="15">
        <v>-107000.0</v>
      </c>
      <c r="BB549" s="15">
        <v>0.0</v>
      </c>
      <c r="BC549" s="15">
        <v>-6690000.0</v>
      </c>
      <c r="BD549" s="15">
        <v>-77000.0</v>
      </c>
      <c r="BE549" s="15">
        <v>-36000.0</v>
      </c>
      <c r="BF549" s="15">
        <v>-36000.0</v>
      </c>
      <c r="BG549" s="16">
        <v>0.0</v>
      </c>
      <c r="BH549" s="15">
        <v>3230000.0</v>
      </c>
      <c r="BI549" s="15">
        <v>2500000.0</v>
      </c>
      <c r="BJ549" s="15">
        <v>19000.0</v>
      </c>
      <c r="BK549" s="15">
        <v>0.0</v>
      </c>
      <c r="BL549" s="15">
        <v>0.0</v>
      </c>
      <c r="BM549" s="15">
        <v>1970000.0</v>
      </c>
      <c r="BN549" s="15">
        <v>1830000.0</v>
      </c>
      <c r="BO549" s="15">
        <v>1690000.0</v>
      </c>
      <c r="BP549" s="15">
        <v>0.0</v>
      </c>
      <c r="BQ549" s="15">
        <v>0.0</v>
      </c>
      <c r="BR549" s="15">
        <v>1130000.0</v>
      </c>
      <c r="BS549" s="15">
        <v>1180000.0</v>
      </c>
      <c r="BT549" s="15">
        <v>1050000.0</v>
      </c>
      <c r="BU549" s="15">
        <v>0.0</v>
      </c>
      <c r="BV549" s="15">
        <v>0.0</v>
      </c>
      <c r="BW549" s="15">
        <v>6480000.0</v>
      </c>
      <c r="BX549" s="15">
        <v>5580000.0</v>
      </c>
      <c r="BY549" s="15">
        <v>2810000.0</v>
      </c>
      <c r="BZ549" s="15">
        <v>0.0</v>
      </c>
      <c r="CA549" s="15">
        <v>0.0</v>
      </c>
      <c r="CB549" s="15">
        <v>1310000.0</v>
      </c>
      <c r="CC549" s="15">
        <v>1170000.0</v>
      </c>
      <c r="CD549" s="15">
        <v>1120000.0</v>
      </c>
      <c r="CE549" s="15">
        <v>0.0</v>
      </c>
      <c r="CF549" s="15">
        <v>0.0</v>
      </c>
      <c r="CG549" s="15">
        <v>2690000.0</v>
      </c>
      <c r="CH549" s="15">
        <v>0.0</v>
      </c>
      <c r="CI549" s="15">
        <v>0.0</v>
      </c>
      <c r="CJ549" s="15">
        <v>0.0</v>
      </c>
      <c r="CK549" s="15">
        <v>0.0</v>
      </c>
      <c r="CL549" s="15">
        <v>1.951E7</v>
      </c>
      <c r="CM549" s="15">
        <v>1.312E7</v>
      </c>
      <c r="CN549" s="15">
        <v>1.035E7</v>
      </c>
      <c r="CO549" s="15">
        <v>0.0</v>
      </c>
      <c r="CP549" s="15">
        <v>0.0</v>
      </c>
      <c r="CQ549" s="15">
        <v>514000.0</v>
      </c>
      <c r="CR549" s="15">
        <v>380000.0</v>
      </c>
      <c r="CS549" s="15">
        <v>478000.0</v>
      </c>
      <c r="CT549" s="15">
        <v>0.0</v>
      </c>
      <c r="CU549" s="15">
        <v>0.0</v>
      </c>
      <c r="CV549" s="15">
        <v>1710000.0</v>
      </c>
      <c r="CW549" s="15">
        <v>0.0</v>
      </c>
      <c r="CX549" s="15">
        <v>0.0</v>
      </c>
      <c r="CY549" s="15">
        <v>0.0</v>
      </c>
      <c r="CZ549" s="15">
        <v>0.0</v>
      </c>
      <c r="DA549" s="15">
        <v>0.0</v>
      </c>
      <c r="DB549" s="15">
        <v>1710000.0</v>
      </c>
      <c r="DC549" s="15">
        <v>1760000.0</v>
      </c>
      <c r="DD549" s="15">
        <v>2040000.0</v>
      </c>
      <c r="DE549" s="15">
        <v>0.0</v>
      </c>
      <c r="DF549" s="15">
        <v>9360000.0</v>
      </c>
      <c r="DG549" s="15">
        <v>3250000.0</v>
      </c>
      <c r="DH549" s="15">
        <v>4100000.0</v>
      </c>
      <c r="DI549" s="15">
        <v>0.0</v>
      </c>
      <c r="DJ549" s="15">
        <v>0.0</v>
      </c>
      <c r="DK549" s="15">
        <v>865000.0</v>
      </c>
      <c r="DL549" s="15">
        <v>275000.0</v>
      </c>
      <c r="DM549" s="15">
        <v>54000.0</v>
      </c>
      <c r="DN549" s="15">
        <v>0.0</v>
      </c>
      <c r="DO549" s="15">
        <v>0.0</v>
      </c>
      <c r="DP549" s="15">
        <v>6750000.0</v>
      </c>
      <c r="DQ549" s="15">
        <v>0.0</v>
      </c>
      <c r="DR549" s="15">
        <v>0.0</v>
      </c>
      <c r="DS549" s="15">
        <v>0.0</v>
      </c>
      <c r="DT549" s="15">
        <v>0.0</v>
      </c>
      <c r="DU549" s="16">
        <v>0.0</v>
      </c>
      <c r="DV549" s="15">
        <v>0.0</v>
      </c>
      <c r="DW549" s="15">
        <v>0.0</v>
      </c>
      <c r="DX549" s="15">
        <v>0.0</v>
      </c>
      <c r="DY549" s="15">
        <v>0.0</v>
      </c>
      <c r="DZ549" s="15">
        <v>9950000.0</v>
      </c>
      <c r="EA549" s="15">
        <v>9590000.0</v>
      </c>
      <c r="EB549" s="15">
        <v>6090000.0</v>
      </c>
      <c r="EC549" s="15">
        <v>0.0</v>
      </c>
      <c r="ED549" s="15">
        <v>0.0</v>
      </c>
      <c r="EE549" s="17">
        <v>0.024</v>
      </c>
      <c r="EF549" s="17">
        <v>0.0</v>
      </c>
      <c r="EG549" s="17">
        <v>0.276</v>
      </c>
      <c r="EH549" s="17">
        <v>0.099</v>
      </c>
    </row>
    <row r="550">
      <c r="A550" s="9">
        <f t="shared" si="2"/>
        <v>548</v>
      </c>
      <c r="B550" s="22" t="s">
        <v>685</v>
      </c>
      <c r="C550" s="11">
        <v>12670.0</v>
      </c>
      <c r="D550" s="11">
        <v>21600.0</v>
      </c>
      <c r="E550" s="11">
        <v>14870.0</v>
      </c>
      <c r="F550" s="11">
        <v>49870.0</v>
      </c>
      <c r="G550" s="11">
        <v>39510.0</v>
      </c>
      <c r="H550" s="11">
        <v>30690.0</v>
      </c>
      <c r="I550" s="11">
        <v>379800.0</v>
      </c>
      <c r="J550" s="12"/>
      <c r="K550" s="12"/>
      <c r="L550" s="12"/>
      <c r="M550" s="12"/>
      <c r="N550" s="12"/>
      <c r="O550" s="11">
        <v>142530.0</v>
      </c>
      <c r="P550" s="11">
        <v>191000.0</v>
      </c>
      <c r="Q550" s="11">
        <v>188400.0</v>
      </c>
      <c r="R550" s="11">
        <v>128160.0</v>
      </c>
      <c r="S550" s="11">
        <v>91150.0</v>
      </c>
      <c r="T550" s="11">
        <v>102540.0</v>
      </c>
      <c r="U550" s="11">
        <v>151330.0</v>
      </c>
      <c r="V550" s="11">
        <v>148400.0</v>
      </c>
      <c r="W550" s="11">
        <v>94070.0</v>
      </c>
      <c r="X550" s="11">
        <v>70200.0</v>
      </c>
      <c r="Y550" s="11">
        <v>-141940.0</v>
      </c>
      <c r="Z550" s="12"/>
      <c r="AA550" s="12"/>
      <c r="AB550" s="12"/>
      <c r="AC550" s="12"/>
      <c r="AD550" s="11">
        <v>-137200.0</v>
      </c>
      <c r="AE550" s="11">
        <v>-140450.0</v>
      </c>
      <c r="AF550" s="11">
        <v>-148520.0</v>
      </c>
      <c r="AG550" s="11">
        <v>-96750.0</v>
      </c>
      <c r="AH550" s="11">
        <v>287460.0</v>
      </c>
      <c r="AI550" s="11">
        <v>-127660.0</v>
      </c>
      <c r="AJ550" s="11">
        <v>-141140.0</v>
      </c>
      <c r="AK550" s="11">
        <v>-148890.0</v>
      </c>
      <c r="AL550" s="11">
        <v>-97470.0</v>
      </c>
      <c r="AM550" s="11">
        <v>288650.0</v>
      </c>
      <c r="AN550" s="11">
        <v>-137200.0</v>
      </c>
      <c r="AO550" s="11">
        <v>-140450.0</v>
      </c>
      <c r="AP550" s="11">
        <v>-150220.0</v>
      </c>
      <c r="AQ550" s="11">
        <v>-65700.0</v>
      </c>
      <c r="AR550" s="11">
        <v>249650.0</v>
      </c>
      <c r="AS550" s="11">
        <v>-110960.0</v>
      </c>
      <c r="AT550" s="11">
        <v>-122510.0</v>
      </c>
      <c r="AU550" s="11">
        <v>-112180.0</v>
      </c>
      <c r="AV550" s="11">
        <v>-78210.0</v>
      </c>
      <c r="AW550" s="11">
        <v>289100.0</v>
      </c>
      <c r="AX550" s="11">
        <v>-1780.0</v>
      </c>
      <c r="AY550" s="11">
        <v>-11330.0</v>
      </c>
      <c r="AZ550" s="11">
        <v>-4940.0</v>
      </c>
      <c r="BA550" s="11">
        <v>-2960.0</v>
      </c>
      <c r="BB550" s="11">
        <v>-2430.0</v>
      </c>
      <c r="BC550" s="12"/>
      <c r="BD550" s="12"/>
      <c r="BE550" s="12"/>
      <c r="BF550" s="12"/>
      <c r="BG550" s="12"/>
      <c r="BH550" s="11">
        <v>156380.0</v>
      </c>
      <c r="BI550" s="11">
        <v>270140.0</v>
      </c>
      <c r="BJ550" s="11">
        <v>292690.0</v>
      </c>
      <c r="BK550" s="11">
        <v>421750.0</v>
      </c>
      <c r="BL550" s="11">
        <v>517470.0</v>
      </c>
      <c r="BM550" s="11">
        <v>4100.0</v>
      </c>
      <c r="BN550" s="11">
        <v>5100.0</v>
      </c>
      <c r="BO550" s="11">
        <v>13130.0</v>
      </c>
      <c r="BP550" s="11">
        <v>8630.0</v>
      </c>
      <c r="BQ550" s="11">
        <v>4050.0</v>
      </c>
      <c r="BR550" s="12"/>
      <c r="BS550" s="12"/>
      <c r="BT550" s="12"/>
      <c r="BU550" s="12"/>
      <c r="BV550" s="12"/>
      <c r="BW550" s="11">
        <v>166720.0</v>
      </c>
      <c r="BX550" s="11">
        <v>288570.0</v>
      </c>
      <c r="BY550" s="11">
        <v>311190.0</v>
      </c>
      <c r="BZ550" s="11">
        <v>440130.0</v>
      </c>
      <c r="CA550" s="11">
        <v>528280.0</v>
      </c>
      <c r="CB550" s="11">
        <v>53470.0</v>
      </c>
      <c r="CC550" s="11">
        <v>28720.0</v>
      </c>
      <c r="CD550" s="11">
        <v>30760.0</v>
      </c>
      <c r="CE550" s="11">
        <v>6210.0</v>
      </c>
      <c r="CF550" s="11">
        <v>4540.0</v>
      </c>
      <c r="CG550" s="12"/>
      <c r="CH550" s="12"/>
      <c r="CI550" s="12"/>
      <c r="CJ550" s="12"/>
      <c r="CK550" s="12"/>
      <c r="CL550" s="11">
        <v>224140.0</v>
      </c>
      <c r="CM550" s="11">
        <v>321530.0</v>
      </c>
      <c r="CN550" s="11">
        <v>344050.0</v>
      </c>
      <c r="CO550" s="11">
        <v>448280.0</v>
      </c>
      <c r="CP550" s="11">
        <v>548290.0</v>
      </c>
      <c r="CQ550" s="11">
        <v>2270.0</v>
      </c>
      <c r="CR550" s="11">
        <v>5350.0</v>
      </c>
      <c r="CS550" s="11">
        <v>6230.0</v>
      </c>
      <c r="CT550" s="11">
        <v>4060.0</v>
      </c>
      <c r="CU550" s="11">
        <v>1890.0</v>
      </c>
      <c r="CV550" s="11">
        <v>23020.0</v>
      </c>
      <c r="CW550" s="11">
        <v>4080.0</v>
      </c>
      <c r="CX550" s="12"/>
      <c r="CY550" s="12"/>
      <c r="CZ550" s="12"/>
      <c r="DA550" s="12"/>
      <c r="DB550" s="11">
        <v>23020.0</v>
      </c>
      <c r="DC550" s="11">
        <v>27490.0</v>
      </c>
      <c r="DD550" s="11">
        <v>50980.0</v>
      </c>
      <c r="DE550" s="11">
        <v>38740.0</v>
      </c>
      <c r="DF550" s="11">
        <v>73670.0</v>
      </c>
      <c r="DG550" s="11">
        <v>56400.0</v>
      </c>
      <c r="DH550" s="11">
        <v>78850.0</v>
      </c>
      <c r="DI550" s="11">
        <v>56710.0</v>
      </c>
      <c r="DJ550" s="11">
        <v>115080.0</v>
      </c>
      <c r="DK550" s="11">
        <v>1540.0</v>
      </c>
      <c r="DL550" s="11">
        <v>1540.0</v>
      </c>
      <c r="DM550" s="11">
        <v>1540.0</v>
      </c>
      <c r="DN550" s="11">
        <v>1540.0</v>
      </c>
      <c r="DO550" s="12"/>
      <c r="DP550" s="11">
        <v>45530.0</v>
      </c>
      <c r="DQ550" s="12"/>
      <c r="DR550" s="12"/>
      <c r="DS550" s="12"/>
      <c r="DT550" s="12"/>
      <c r="DU550" s="13"/>
      <c r="DV550" s="12"/>
      <c r="DW550" s="12"/>
      <c r="DX550" s="13"/>
      <c r="DY550" s="13"/>
      <c r="DZ550" s="11">
        <v>150470.0</v>
      </c>
      <c r="EA550" s="11">
        <v>265140.0</v>
      </c>
      <c r="EB550" s="11">
        <v>265200.0</v>
      </c>
      <c r="EC550" s="11">
        <v>391580.0</v>
      </c>
      <c r="ED550" s="11">
        <v>433210.0</v>
      </c>
      <c r="EE550" s="14">
        <v>1.375</v>
      </c>
      <c r="EF550" s="23"/>
      <c r="EG550" s="14">
        <v>0.304</v>
      </c>
      <c r="EH550" s="14">
        <v>0.111</v>
      </c>
    </row>
    <row r="551">
      <c r="A551" s="9">
        <f t="shared" si="2"/>
        <v>549</v>
      </c>
      <c r="B551" s="32" t="s">
        <v>686</v>
      </c>
      <c r="C551" s="11"/>
      <c r="D551" s="11">
        <v>673000.0</v>
      </c>
      <c r="E551" s="11">
        <v>407540.0</v>
      </c>
      <c r="F551" s="11">
        <v>428120.0</v>
      </c>
      <c r="G551" s="11">
        <v>471680.0</v>
      </c>
      <c r="H551" s="11">
        <v>487190.0</v>
      </c>
      <c r="I551" s="11">
        <v>439380.0</v>
      </c>
      <c r="J551" s="11">
        <v>149540.0</v>
      </c>
      <c r="K551" s="11">
        <v>163000.0</v>
      </c>
      <c r="L551" s="11">
        <v>206760.0</v>
      </c>
      <c r="M551" s="11">
        <v>228630.0</v>
      </c>
      <c r="N551" s="11">
        <v>209700.0</v>
      </c>
      <c r="O551" s="11">
        <v>161690.0</v>
      </c>
      <c r="P551" s="11">
        <v>176380.0</v>
      </c>
      <c r="Q551" s="11">
        <v>176540.0</v>
      </c>
      <c r="R551" s="11">
        <v>160560.0</v>
      </c>
      <c r="S551" s="11">
        <v>146790.0</v>
      </c>
      <c r="T551" s="11"/>
      <c r="U551" s="11"/>
      <c r="V551" s="11"/>
      <c r="W551" s="11"/>
      <c r="X551" s="11"/>
      <c r="Y551" s="11">
        <v>-24010.0</v>
      </c>
      <c r="Z551" s="11">
        <v>-33510.0</v>
      </c>
      <c r="AA551" s="11">
        <v>29960.0</v>
      </c>
      <c r="AB551" s="11">
        <v>67930.0</v>
      </c>
      <c r="AC551" s="11">
        <v>62320.0</v>
      </c>
      <c r="AD551" s="11">
        <v>-24900.0</v>
      </c>
      <c r="AE551" s="11">
        <v>-33450.0</v>
      </c>
      <c r="AF551" s="11">
        <v>29860.0</v>
      </c>
      <c r="AG551" s="11">
        <v>67610.0</v>
      </c>
      <c r="AH551" s="11">
        <v>61710.0</v>
      </c>
      <c r="AI551" s="11">
        <v>55650.0</v>
      </c>
      <c r="AJ551" s="11">
        <v>11150.0</v>
      </c>
      <c r="AK551" s="11">
        <v>51420.0</v>
      </c>
      <c r="AL551" s="11">
        <v>87400.0</v>
      </c>
      <c r="AM551" s="11">
        <v>79730.0</v>
      </c>
      <c r="AN551" s="11">
        <v>-25020.0</v>
      </c>
      <c r="AO551" s="11">
        <v>-40940.0</v>
      </c>
      <c r="AP551" s="11">
        <v>15560.0</v>
      </c>
      <c r="AQ551" s="11">
        <v>42000.0</v>
      </c>
      <c r="AR551" s="11">
        <v>38150.0</v>
      </c>
      <c r="AS551" s="11">
        <v>52610.0</v>
      </c>
      <c r="AT551" s="11">
        <v>9530.0</v>
      </c>
      <c r="AU551" s="11">
        <v>24830.0</v>
      </c>
      <c r="AV551" s="11">
        <v>72170.0</v>
      </c>
      <c r="AW551" s="11">
        <v>62870.0</v>
      </c>
      <c r="AX551" s="11">
        <v>-3610.0</v>
      </c>
      <c r="AY551" s="11">
        <v>-26200.0</v>
      </c>
      <c r="AZ551" s="11">
        <v>-26780.0</v>
      </c>
      <c r="BA551" s="11">
        <v>-21850.0</v>
      </c>
      <c r="BB551" s="11">
        <v>-24280.0</v>
      </c>
      <c r="BC551" s="12"/>
      <c r="BD551" s="12"/>
      <c r="BE551" s="12"/>
      <c r="BF551" s="12"/>
      <c r="BG551" s="12"/>
      <c r="BH551" s="11">
        <v>17840.0</v>
      </c>
      <c r="BI551" s="11">
        <v>20100.0</v>
      </c>
      <c r="BJ551" s="11">
        <v>31330.0</v>
      </c>
      <c r="BK551" s="11">
        <v>53200.0</v>
      </c>
      <c r="BL551" s="11">
        <v>56220.0</v>
      </c>
      <c r="BM551" s="11">
        <v>3740.0</v>
      </c>
      <c r="BN551" s="11">
        <v>16310.0</v>
      </c>
      <c r="BO551" s="11">
        <v>16640.0</v>
      </c>
      <c r="BP551" s="11">
        <v>5610.0</v>
      </c>
      <c r="BQ551" s="11">
        <v>9580.0</v>
      </c>
      <c r="BR551" s="11">
        <v>31640.0</v>
      </c>
      <c r="BS551" s="11">
        <v>30480.0</v>
      </c>
      <c r="BT551" s="11">
        <v>26820.0</v>
      </c>
      <c r="BU551" s="11">
        <v>23960.0</v>
      </c>
      <c r="BV551" s="11">
        <v>31540.0</v>
      </c>
      <c r="BW551" s="11">
        <v>65540.0</v>
      </c>
      <c r="BX551" s="11">
        <v>77250.0</v>
      </c>
      <c r="BY551" s="11">
        <v>84500.0</v>
      </c>
      <c r="BZ551" s="11">
        <v>100080.0</v>
      </c>
      <c r="CA551" s="11">
        <v>110770.0</v>
      </c>
      <c r="CB551" s="11">
        <v>259970.0</v>
      </c>
      <c r="CC551" s="11">
        <v>71210.0</v>
      </c>
      <c r="CD551" s="11">
        <v>87700.0</v>
      </c>
      <c r="CE551" s="11">
        <v>80480.0</v>
      </c>
      <c r="CF551" s="11">
        <v>77890.0</v>
      </c>
      <c r="CG551" s="11"/>
      <c r="CH551" s="11"/>
      <c r="CI551" s="11"/>
      <c r="CJ551" s="11"/>
      <c r="CK551" s="11"/>
      <c r="CL551" s="11">
        <v>383110.0</v>
      </c>
      <c r="CM551" s="11">
        <v>156830.0</v>
      </c>
      <c r="CN551" s="11">
        <v>192070.0</v>
      </c>
      <c r="CO551" s="11">
        <v>189590.0</v>
      </c>
      <c r="CP551" s="11">
        <v>193580.0</v>
      </c>
      <c r="CQ551" s="11">
        <v>10820.0</v>
      </c>
      <c r="CR551" s="11">
        <v>24330.0</v>
      </c>
      <c r="CS551" s="11">
        <v>17800.0</v>
      </c>
      <c r="CT551" s="11">
        <v>9210.0</v>
      </c>
      <c r="CU551" s="11">
        <v>14310.0</v>
      </c>
      <c r="CV551" s="11">
        <v>80860.0</v>
      </c>
      <c r="CW551" s="11">
        <v>48690.0</v>
      </c>
      <c r="CX551" s="12"/>
      <c r="CY551" s="13"/>
      <c r="CZ551" s="13"/>
      <c r="DA551" s="12"/>
      <c r="DB551" s="11">
        <v>80860.0</v>
      </c>
      <c r="DC551" s="11">
        <v>35660.0</v>
      </c>
      <c r="DD551" s="11">
        <v>32460.0</v>
      </c>
      <c r="DE551" s="11">
        <v>34970.0</v>
      </c>
      <c r="DF551" s="11">
        <v>336580.0</v>
      </c>
      <c r="DG551" s="11">
        <v>83440.0</v>
      </c>
      <c r="DH551" s="11">
        <v>77620.0</v>
      </c>
      <c r="DI551" s="11">
        <v>73060.0</v>
      </c>
      <c r="DJ551" s="11">
        <v>67190.0</v>
      </c>
      <c r="DK551" s="12"/>
      <c r="DL551" s="12"/>
      <c r="DM551" s="12"/>
      <c r="DN551" s="12"/>
      <c r="DO551" s="12"/>
      <c r="DP551" s="11">
        <v>200940.0</v>
      </c>
      <c r="DQ551" s="11">
        <v>10000.0</v>
      </c>
      <c r="DR551" s="11"/>
      <c r="DS551" s="11"/>
      <c r="DT551" s="11"/>
      <c r="DU551" s="12"/>
      <c r="DV551" s="12"/>
      <c r="DW551" s="12"/>
      <c r="DX551" s="12"/>
      <c r="DY551" s="12"/>
      <c r="DZ551" s="11">
        <v>46530.0</v>
      </c>
      <c r="EA551" s="11">
        <v>73390.0</v>
      </c>
      <c r="EB551" s="11">
        <v>114450.0</v>
      </c>
      <c r="EC551" s="11">
        <v>116540.0</v>
      </c>
      <c r="ED551" s="11">
        <v>126390.0</v>
      </c>
      <c r="EE551" s="14">
        <v>0.0</v>
      </c>
      <c r="EF551" s="14"/>
      <c r="EG551" s="29" t="s">
        <v>155</v>
      </c>
      <c r="EH551" s="14"/>
    </row>
    <row r="552">
      <c r="A552" s="9">
        <f t="shared" si="2"/>
        <v>550</v>
      </c>
      <c r="B552" s="10" t="s">
        <v>687</v>
      </c>
      <c r="C552" s="12"/>
      <c r="D552" s="12"/>
      <c r="E552" s="12">
        <v>187150.0</v>
      </c>
      <c r="F552" s="12">
        <v>121160.0</v>
      </c>
      <c r="G552" s="12">
        <v>77760.0</v>
      </c>
      <c r="H552" s="12">
        <v>81630.0</v>
      </c>
      <c r="I552" s="12">
        <v>108320.0</v>
      </c>
      <c r="J552" s="12">
        <v>12910.0</v>
      </c>
      <c r="K552" s="12">
        <v>9950.0</v>
      </c>
      <c r="L552" s="12">
        <v>0.0</v>
      </c>
      <c r="M552" s="12">
        <v>4690.0</v>
      </c>
      <c r="N552" s="12">
        <v>5080.0</v>
      </c>
      <c r="O552" s="12">
        <v>4780.0</v>
      </c>
      <c r="P552" s="12">
        <v>4180.0</v>
      </c>
      <c r="Q552" s="12">
        <v>4020.0</v>
      </c>
      <c r="R552" s="12">
        <v>4670.0</v>
      </c>
      <c r="S552" s="12">
        <v>4450.0</v>
      </c>
      <c r="T552" s="12">
        <v>0.0</v>
      </c>
      <c r="U552" s="12">
        <v>0.0</v>
      </c>
      <c r="V552" s="12">
        <v>0.0</v>
      </c>
      <c r="W552" s="12">
        <v>0.0</v>
      </c>
      <c r="X552" s="12">
        <v>0.0</v>
      </c>
      <c r="Y552" s="15">
        <v>6460.0</v>
      </c>
      <c r="Z552" s="15">
        <v>0.0</v>
      </c>
      <c r="AA552" s="15">
        <v>0.0</v>
      </c>
      <c r="AB552" s="12">
        <v>0.0</v>
      </c>
      <c r="AC552" s="12">
        <v>0.0</v>
      </c>
      <c r="AD552" s="15">
        <v>6820.0</v>
      </c>
      <c r="AE552" s="15">
        <v>5760.0</v>
      </c>
      <c r="AF552" s="15">
        <v>-4150.0</v>
      </c>
      <c r="AG552" s="12">
        <v>0.0</v>
      </c>
      <c r="AH552" s="12">
        <v>0.0</v>
      </c>
      <c r="AI552" s="15">
        <v>9470.0</v>
      </c>
      <c r="AJ552" s="15">
        <v>7120.0</v>
      </c>
      <c r="AK552" s="15">
        <v>-2620.0</v>
      </c>
      <c r="AL552" s="12">
        <v>1700.0</v>
      </c>
      <c r="AM552" s="12">
        <v>2350.0</v>
      </c>
      <c r="AN552" s="15">
        <v>5100.0</v>
      </c>
      <c r="AO552" s="15">
        <v>3930.0</v>
      </c>
      <c r="AP552" s="15">
        <v>-2680.0</v>
      </c>
      <c r="AQ552" s="12">
        <v>0.0</v>
      </c>
      <c r="AR552" s="12">
        <v>0.0</v>
      </c>
      <c r="AS552" s="15">
        <v>9630.0</v>
      </c>
      <c r="AT552" s="15">
        <v>3250.0</v>
      </c>
      <c r="AU552" s="15">
        <v>0.0</v>
      </c>
      <c r="AV552" s="12">
        <v>3030.0</v>
      </c>
      <c r="AW552" s="12">
        <v>-6370.0</v>
      </c>
      <c r="AX552" s="15">
        <v>0.0</v>
      </c>
      <c r="AY552" s="15">
        <v>0.0</v>
      </c>
      <c r="AZ552" s="15">
        <v>0.0</v>
      </c>
      <c r="BA552" s="12">
        <v>-2120.0</v>
      </c>
      <c r="BB552" s="12">
        <v>-5880.0</v>
      </c>
      <c r="BC552" s="12">
        <v>-1190.0</v>
      </c>
      <c r="BD552" s="12">
        <v>0.0</v>
      </c>
      <c r="BE552" s="12">
        <v>0.0</v>
      </c>
      <c r="BF552" s="12">
        <v>0.0</v>
      </c>
      <c r="BG552" s="12">
        <v>0.0</v>
      </c>
      <c r="BH552" s="12">
        <v>11670.0</v>
      </c>
      <c r="BI552" s="12">
        <v>4050.0</v>
      </c>
      <c r="BJ552" s="12">
        <v>1460.0</v>
      </c>
      <c r="BK552" s="12">
        <v>2800.0</v>
      </c>
      <c r="BL552" s="12">
        <v>2230.0</v>
      </c>
      <c r="BM552" s="12">
        <v>13180.0</v>
      </c>
      <c r="BN552" s="12">
        <v>17460.0</v>
      </c>
      <c r="BO552" s="12">
        <v>8940.0</v>
      </c>
      <c r="BP552" s="12">
        <v>4820.0</v>
      </c>
      <c r="BQ552" s="12">
        <v>6900.0</v>
      </c>
      <c r="BR552" s="12">
        <v>49060.0</v>
      </c>
      <c r="BS552" s="12">
        <v>45330.0</v>
      </c>
      <c r="BT552" s="12">
        <v>34920.0</v>
      </c>
      <c r="BU552" s="12">
        <v>41940.0</v>
      </c>
      <c r="BV552" s="12">
        <v>40850.0</v>
      </c>
      <c r="BW552" s="12">
        <v>74460.0</v>
      </c>
      <c r="BX552" s="12">
        <v>67270.0</v>
      </c>
      <c r="BY552" s="12">
        <v>45430.0</v>
      </c>
      <c r="BZ552" s="12">
        <v>49700.0</v>
      </c>
      <c r="CA552" s="12">
        <v>50120.0</v>
      </c>
      <c r="CB552" s="12">
        <v>11910.0</v>
      </c>
      <c r="CC552" s="12">
        <v>14170.0</v>
      </c>
      <c r="CD552" s="12">
        <v>15170.0</v>
      </c>
      <c r="CE552" s="12">
        <v>15970.0</v>
      </c>
      <c r="CF552" s="12">
        <v>15520.0</v>
      </c>
      <c r="CG552" s="12">
        <v>0.0</v>
      </c>
      <c r="CH552" s="12">
        <v>0.0</v>
      </c>
      <c r="CI552" s="12">
        <v>0.0</v>
      </c>
      <c r="CJ552" s="12">
        <v>0.0</v>
      </c>
      <c r="CK552" s="12">
        <v>0.0</v>
      </c>
      <c r="CL552" s="12">
        <v>86910.0</v>
      </c>
      <c r="CM552" s="12">
        <v>82120.0</v>
      </c>
      <c r="CN552" s="12">
        <v>63770.0</v>
      </c>
      <c r="CO552" s="12">
        <v>66890.0</v>
      </c>
      <c r="CP552" s="12">
        <v>66960.0</v>
      </c>
      <c r="CQ552" s="12">
        <v>11580.0</v>
      </c>
      <c r="CR552" s="12">
        <v>10230.0</v>
      </c>
      <c r="CS552" s="12">
        <v>2000.0</v>
      </c>
      <c r="CT552" s="12">
        <v>2480.0</v>
      </c>
      <c r="CU552" s="12">
        <v>2150.0</v>
      </c>
      <c r="CV552" s="12">
        <v>12360.0</v>
      </c>
      <c r="CW552" s="12">
        <v>0.0</v>
      </c>
      <c r="CX552" s="12">
        <v>0.0</v>
      </c>
      <c r="CY552" s="12">
        <v>0.0</v>
      </c>
      <c r="CZ552" s="12">
        <v>0.0</v>
      </c>
      <c r="DA552" s="12">
        <v>0.0</v>
      </c>
      <c r="DB552" s="12">
        <v>12360.0</v>
      </c>
      <c r="DC552" s="12">
        <v>11030.0</v>
      </c>
      <c r="DD552" s="12">
        <v>2360.0</v>
      </c>
      <c r="DE552" s="12">
        <v>2870.0</v>
      </c>
      <c r="DF552" s="12">
        <v>14430.0</v>
      </c>
      <c r="DG552" s="12">
        <v>13540.0</v>
      </c>
      <c r="DH552" s="12">
        <v>3410.0</v>
      </c>
      <c r="DI552" s="12">
        <v>3650.0</v>
      </c>
      <c r="DJ552" s="12">
        <v>3740.0</v>
      </c>
      <c r="DK552" s="12">
        <v>0.0</v>
      </c>
      <c r="DL552" s="12">
        <v>0.0</v>
      </c>
      <c r="DM552" s="12">
        <v>0.0</v>
      </c>
      <c r="DN552" s="12">
        <v>0.0</v>
      </c>
      <c r="DO552" s="12">
        <v>0.0</v>
      </c>
      <c r="DP552" s="12">
        <v>0.0</v>
      </c>
      <c r="DQ552" s="12">
        <v>0.0</v>
      </c>
      <c r="DR552" s="12">
        <v>0.0</v>
      </c>
      <c r="DS552" s="12">
        <v>0.0</v>
      </c>
      <c r="DT552" s="12">
        <v>0.0</v>
      </c>
      <c r="DU552" s="12">
        <v>0.0</v>
      </c>
      <c r="DV552" s="12">
        <v>0.0</v>
      </c>
      <c r="DW552" s="12">
        <v>0.0</v>
      </c>
      <c r="DX552" s="12">
        <v>0.0</v>
      </c>
      <c r="DY552" s="12">
        <v>0.0</v>
      </c>
      <c r="DZ552" s="15">
        <v>72480.0</v>
      </c>
      <c r="EA552" s="12">
        <v>68580.0</v>
      </c>
      <c r="EB552" s="12">
        <v>60360.0</v>
      </c>
      <c r="EC552" s="12">
        <v>63240.0</v>
      </c>
      <c r="ED552" s="12">
        <v>63220.0</v>
      </c>
      <c r="EE552" s="31"/>
      <c r="EF552" s="31"/>
      <c r="EG552" s="31"/>
      <c r="EH552" s="31"/>
    </row>
    <row r="553">
      <c r="A553" s="9">
        <f t="shared" si="2"/>
        <v>551</v>
      </c>
      <c r="B553" s="22" t="s">
        <v>688</v>
      </c>
      <c r="C553" s="11">
        <v>63120.0</v>
      </c>
      <c r="D553" s="11">
        <v>27600.0</v>
      </c>
      <c r="E553" s="11">
        <v>28950.0</v>
      </c>
      <c r="F553" s="12"/>
      <c r="G553" s="12"/>
      <c r="H553" s="12"/>
      <c r="I553" s="12"/>
      <c r="J553" s="11">
        <v>12130.0</v>
      </c>
      <c r="K553" s="11">
        <v>-654.0</v>
      </c>
      <c r="L553" s="11">
        <v>-531.0</v>
      </c>
      <c r="M553" s="12"/>
      <c r="N553" s="12"/>
      <c r="O553" s="11">
        <v>32810.0</v>
      </c>
      <c r="P553" s="11">
        <v>18290.0</v>
      </c>
      <c r="Q553" s="11">
        <v>15780.0</v>
      </c>
      <c r="R553" s="12"/>
      <c r="S553" s="12"/>
      <c r="T553" s="11">
        <v>18330.0</v>
      </c>
      <c r="U553" s="11">
        <v>11580.0</v>
      </c>
      <c r="V553" s="11">
        <v>11790.0</v>
      </c>
      <c r="W553" s="12"/>
      <c r="X553" s="12"/>
      <c r="Y553" s="12"/>
      <c r="Z553" s="11">
        <v>-19210.0</v>
      </c>
      <c r="AA553" s="11">
        <v>-20060.0</v>
      </c>
      <c r="AB553" s="12"/>
      <c r="AC553" s="12"/>
      <c r="AD553" s="11">
        <v>-18750.0</v>
      </c>
      <c r="AE553" s="11">
        <v>-19170.0</v>
      </c>
      <c r="AF553" s="11">
        <v>-20240.0</v>
      </c>
      <c r="AG553" s="12"/>
      <c r="AH553" s="12"/>
      <c r="AI553" s="11">
        <v>-19860.0</v>
      </c>
      <c r="AJ553" s="11">
        <v>-18290.0</v>
      </c>
      <c r="AK553" s="11">
        <v>-15780.0</v>
      </c>
      <c r="AL553" s="12"/>
      <c r="AM553" s="12"/>
      <c r="AN553" s="11">
        <v>-18750.0</v>
      </c>
      <c r="AO553" s="11">
        <v>-19170.0</v>
      </c>
      <c r="AP553" s="11">
        <v>-20240.0</v>
      </c>
      <c r="AQ553" s="12"/>
      <c r="AR553" s="12"/>
      <c r="AS553" s="11">
        <v>34220.0</v>
      </c>
      <c r="AT553" s="11">
        <v>-17020.0</v>
      </c>
      <c r="AU553" s="11">
        <v>-14610.0</v>
      </c>
      <c r="AV553" s="12"/>
      <c r="AW553" s="12"/>
      <c r="AX553" s="11">
        <v>-1060.0</v>
      </c>
      <c r="AY553" s="11">
        <v>-436.0</v>
      </c>
      <c r="AZ553" s="11">
        <v>-1860.0</v>
      </c>
      <c r="BA553" s="12"/>
      <c r="BB553" s="12"/>
      <c r="BC553" s="12"/>
      <c r="BD553" s="12"/>
      <c r="BE553" s="12"/>
      <c r="BF553" s="12"/>
      <c r="BG553" s="12"/>
      <c r="BH553" s="11">
        <v>217360.0</v>
      </c>
      <c r="BI553" s="11">
        <v>42190.0</v>
      </c>
      <c r="BJ553" s="11">
        <v>17940.0</v>
      </c>
      <c r="BK553" s="12"/>
      <c r="BL553" s="12"/>
      <c r="BM553" s="11">
        <v>805.0</v>
      </c>
      <c r="BN553" s="11">
        <v>161.0</v>
      </c>
      <c r="BO553" s="12"/>
      <c r="BP553" s="12"/>
      <c r="BQ553" s="12"/>
      <c r="BR553" s="12"/>
      <c r="BS553" s="12"/>
      <c r="BT553" s="12"/>
      <c r="BU553" s="12"/>
      <c r="BV553" s="12"/>
      <c r="BW553" s="11">
        <v>221360.0</v>
      </c>
      <c r="BX553" s="11">
        <v>42940.0</v>
      </c>
      <c r="BY553" s="11">
        <v>17960.0</v>
      </c>
      <c r="BZ553" s="12"/>
      <c r="CA553" s="12"/>
      <c r="CB553" s="11">
        <v>1760.0</v>
      </c>
      <c r="CC553" s="11">
        <v>1510.0</v>
      </c>
      <c r="CD553" s="11">
        <v>1730.0</v>
      </c>
      <c r="CE553" s="12"/>
      <c r="CF553" s="12"/>
      <c r="CG553" s="12"/>
      <c r="CH553" s="12"/>
      <c r="CI553" s="12"/>
      <c r="CJ553" s="12"/>
      <c r="CK553" s="12"/>
      <c r="CL553" s="11">
        <v>223220.0</v>
      </c>
      <c r="CM553" s="11">
        <v>44550.0</v>
      </c>
      <c r="CN553" s="11">
        <v>19790.0</v>
      </c>
      <c r="CO553" s="12"/>
      <c r="CP553" s="12"/>
      <c r="CQ553" s="11">
        <v>1220.0</v>
      </c>
      <c r="CR553" s="11">
        <v>1860.0</v>
      </c>
      <c r="CS553" s="11">
        <v>994.0</v>
      </c>
      <c r="CT553" s="12"/>
      <c r="CU553" s="12"/>
      <c r="CV553" s="11">
        <v>52780.0</v>
      </c>
      <c r="CW553" s="12"/>
      <c r="CX553" s="12"/>
      <c r="CY553" s="12"/>
      <c r="CZ553" s="12"/>
      <c r="DA553" s="12"/>
      <c r="DB553" s="11">
        <v>52780.0</v>
      </c>
      <c r="DC553" s="11">
        <v>3770.0</v>
      </c>
      <c r="DD553" s="11">
        <v>2230.0</v>
      </c>
      <c r="DE553" s="12"/>
      <c r="DF553" s="11">
        <v>55860.0</v>
      </c>
      <c r="DG553" s="11">
        <v>89060.0</v>
      </c>
      <c r="DH553" s="11">
        <v>49430.0</v>
      </c>
      <c r="DI553" s="12"/>
      <c r="DJ553" s="12"/>
      <c r="DK553" s="12"/>
      <c r="DL553" s="12"/>
      <c r="DM553" s="12"/>
      <c r="DN553" s="12"/>
      <c r="DO553" s="12"/>
      <c r="DP553" s="12"/>
      <c r="DQ553" s="11">
        <v>84940.0</v>
      </c>
      <c r="DR553" s="11">
        <v>46690.0</v>
      </c>
      <c r="DS553" s="12"/>
      <c r="DT553" s="12"/>
      <c r="DU553" s="13"/>
      <c r="DV553" s="12"/>
      <c r="DW553" s="12"/>
      <c r="DX553" s="12"/>
      <c r="DY553" s="12"/>
      <c r="DZ553" s="11">
        <v>167360.0</v>
      </c>
      <c r="EA553" s="11">
        <v>-48280.0</v>
      </c>
      <c r="EB553" s="11">
        <v>-29640.0</v>
      </c>
      <c r="EC553" s="12"/>
      <c r="ED553" s="12"/>
      <c r="EE553" s="14">
        <v>0.61</v>
      </c>
      <c r="EF553" s="14">
        <v>1.125</v>
      </c>
      <c r="EG553" s="14">
        <v>-0.056</v>
      </c>
      <c r="EH553" s="14">
        <v>-0.743</v>
      </c>
    </row>
    <row r="554">
      <c r="A554" s="9">
        <f t="shared" si="2"/>
        <v>552</v>
      </c>
      <c r="B554" s="10" t="s">
        <v>689</v>
      </c>
      <c r="C554" s="15">
        <v>613820.0</v>
      </c>
      <c r="D554" s="15">
        <v>559720.0</v>
      </c>
      <c r="E554" s="15">
        <v>660940.0</v>
      </c>
      <c r="F554" s="15">
        <v>688600.0</v>
      </c>
      <c r="G554" s="15">
        <v>669130.0</v>
      </c>
      <c r="H554" s="15">
        <v>711770.0</v>
      </c>
      <c r="I554" s="15">
        <v>687390.0</v>
      </c>
      <c r="J554" s="15">
        <v>95420.0</v>
      </c>
      <c r="K554" s="15">
        <v>107050.0</v>
      </c>
      <c r="L554" s="15">
        <v>110680.0</v>
      </c>
      <c r="M554" s="15">
        <v>141130.0</v>
      </c>
      <c r="N554" s="15">
        <v>144880.0</v>
      </c>
      <c r="O554" s="15">
        <v>82540.0</v>
      </c>
      <c r="P554" s="15">
        <v>77720.0</v>
      </c>
      <c r="Q554" s="15">
        <v>83080.0</v>
      </c>
      <c r="R554" s="15">
        <v>86800.0</v>
      </c>
      <c r="S554" s="15">
        <v>79110.0</v>
      </c>
      <c r="T554" s="15"/>
      <c r="U554" s="15"/>
      <c r="V554" s="15"/>
      <c r="W554" s="15"/>
      <c r="X554" s="15"/>
      <c r="Y554" s="15">
        <v>-69130.0</v>
      </c>
      <c r="Z554" s="15">
        <v>10090.0</v>
      </c>
      <c r="AA554" s="15">
        <v>-37310.0</v>
      </c>
      <c r="AB554" s="15">
        <v>27090.0</v>
      </c>
      <c r="AC554" s="15">
        <v>61790.0</v>
      </c>
      <c r="AD554" s="15">
        <v>-75020.0</v>
      </c>
      <c r="AE554" s="15">
        <v>5020.0</v>
      </c>
      <c r="AF554" s="15">
        <v>-43990.0</v>
      </c>
      <c r="AG554" s="15">
        <v>25050.0</v>
      </c>
      <c r="AH554" s="15">
        <v>60580.0</v>
      </c>
      <c r="AI554" s="15">
        <v>52070.0</v>
      </c>
      <c r="AJ554" s="15">
        <v>66940.0</v>
      </c>
      <c r="AK554" s="15">
        <v>62560.0</v>
      </c>
      <c r="AL554" s="15">
        <v>91110.0</v>
      </c>
      <c r="AM554" s="15">
        <v>96350.0</v>
      </c>
      <c r="AN554" s="15">
        <v>-84390.0</v>
      </c>
      <c r="AO554" s="15">
        <v>7700.0</v>
      </c>
      <c r="AP554" s="15">
        <v>-36230.0</v>
      </c>
      <c r="AQ554" s="15">
        <v>16580.0</v>
      </c>
      <c r="AR554" s="15">
        <v>38100.0</v>
      </c>
      <c r="AS554" s="15">
        <v>84800.0</v>
      </c>
      <c r="AT554" s="15">
        <v>53800.0</v>
      </c>
      <c r="AU554" s="15">
        <v>50820.0</v>
      </c>
      <c r="AV554" s="15">
        <v>80680.0</v>
      </c>
      <c r="AW554" s="15">
        <v>81350.0</v>
      </c>
      <c r="AX554" s="15">
        <v>-41250.0</v>
      </c>
      <c r="AY554" s="15">
        <v>-57850.0</v>
      </c>
      <c r="AZ554" s="15">
        <v>-55870.0</v>
      </c>
      <c r="BA554" s="15">
        <v>-82370.0</v>
      </c>
      <c r="BB554" s="15">
        <v>-87820.0</v>
      </c>
      <c r="BC554" s="13"/>
      <c r="BD554" s="13"/>
      <c r="BE554" s="13"/>
      <c r="BF554" s="13"/>
      <c r="BG554" s="13"/>
      <c r="BH554" s="15">
        <v>13410.0</v>
      </c>
      <c r="BI554" s="15">
        <v>5260.0</v>
      </c>
      <c r="BJ554" s="15">
        <v>3600.0</v>
      </c>
      <c r="BK554" s="15">
        <v>4200.0</v>
      </c>
      <c r="BL554" s="15">
        <v>5280.0</v>
      </c>
      <c r="BM554" s="15">
        <v>11750.0</v>
      </c>
      <c r="BN554" s="15">
        <v>26360.0</v>
      </c>
      <c r="BO554" s="15">
        <v>21160.0</v>
      </c>
      <c r="BP554" s="15">
        <v>12080.0</v>
      </c>
      <c r="BQ554" s="15">
        <v>16670.0</v>
      </c>
      <c r="BR554" s="15">
        <v>3390.0</v>
      </c>
      <c r="BS554" s="15">
        <v>2840.0</v>
      </c>
      <c r="BT554" s="15">
        <v>2880.0</v>
      </c>
      <c r="BU554" s="15">
        <v>2870.0</v>
      </c>
      <c r="BV554" s="15">
        <v>2910.0</v>
      </c>
      <c r="BW554" s="15">
        <v>39280.0</v>
      </c>
      <c r="BX554" s="15">
        <v>44400.0</v>
      </c>
      <c r="BY554" s="15">
        <v>41050.0</v>
      </c>
      <c r="BZ554" s="15">
        <v>26940.0</v>
      </c>
      <c r="CA554" s="15">
        <v>31240.0</v>
      </c>
      <c r="CB554" s="15">
        <v>463220.0</v>
      </c>
      <c r="CC554" s="15">
        <v>231330.0</v>
      </c>
      <c r="CD554" s="15">
        <v>234560.0</v>
      </c>
      <c r="CE554" s="15">
        <v>270920.0</v>
      </c>
      <c r="CF554" s="15">
        <v>248990.0</v>
      </c>
      <c r="CG554" s="15">
        <v>56310.0</v>
      </c>
      <c r="CH554" s="15">
        <v>123480.0</v>
      </c>
      <c r="CI554" s="15">
        <v>123480.0</v>
      </c>
      <c r="CJ554" s="15">
        <v>123480.0</v>
      </c>
      <c r="CK554" s="15">
        <v>123480.0</v>
      </c>
      <c r="CL554" s="15">
        <v>568640.0</v>
      </c>
      <c r="CM554" s="15">
        <v>418660.0</v>
      </c>
      <c r="CN554" s="15">
        <v>423310.0</v>
      </c>
      <c r="CO554" s="15">
        <v>441570.0</v>
      </c>
      <c r="CP554" s="15">
        <v>415650.0</v>
      </c>
      <c r="CQ554" s="15">
        <v>14780.0</v>
      </c>
      <c r="CR554" s="15">
        <v>16410.0</v>
      </c>
      <c r="CS554" s="15">
        <v>20290.0</v>
      </c>
      <c r="CT554" s="15">
        <v>16170.0</v>
      </c>
      <c r="CU554" s="15">
        <v>12410.0</v>
      </c>
      <c r="CV554" s="15">
        <v>63620.0</v>
      </c>
      <c r="CW554" s="15">
        <v>22340.0</v>
      </c>
      <c r="CX554" s="13"/>
      <c r="CY554" s="15"/>
      <c r="CZ554" s="13"/>
      <c r="DA554" s="12"/>
      <c r="DB554" s="15">
        <v>63620.0</v>
      </c>
      <c r="DC554" s="15">
        <v>46560.0</v>
      </c>
      <c r="DD554" s="15">
        <v>59840.0</v>
      </c>
      <c r="DE554" s="15">
        <v>46770.0</v>
      </c>
      <c r="DF554" s="15">
        <v>410410.0</v>
      </c>
      <c r="DG554" s="15">
        <v>178600.0</v>
      </c>
      <c r="DH554" s="15">
        <v>191800.0</v>
      </c>
      <c r="DI554" s="15">
        <v>177390.0</v>
      </c>
      <c r="DJ554" s="15">
        <v>171660.0</v>
      </c>
      <c r="DK554" s="15"/>
      <c r="DL554" s="15"/>
      <c r="DM554" s="15"/>
      <c r="DN554" s="15"/>
      <c r="DO554" s="15"/>
      <c r="DP554" s="15">
        <v>333620.0</v>
      </c>
      <c r="DQ554" s="15">
        <v>79640.0</v>
      </c>
      <c r="DR554" s="15">
        <v>76430.0</v>
      </c>
      <c r="DS554" s="15">
        <v>73090.0</v>
      </c>
      <c r="DT554" s="15">
        <v>74280.0</v>
      </c>
      <c r="DU554" s="13"/>
      <c r="DV554" s="12"/>
      <c r="DW554" s="12"/>
      <c r="DX554" s="15"/>
      <c r="DY554" s="15"/>
      <c r="DZ554" s="15">
        <v>158240.0</v>
      </c>
      <c r="EA554" s="15">
        <v>240060.0</v>
      </c>
      <c r="EB554" s="15">
        <v>231520.0</v>
      </c>
      <c r="EC554" s="15">
        <v>264180.0</v>
      </c>
      <c r="ED554" s="15">
        <v>243980.0</v>
      </c>
      <c r="EE554" s="17">
        <v>0.019</v>
      </c>
      <c r="EF554" s="17">
        <v>0.023</v>
      </c>
      <c r="EG554" s="23" t="s">
        <v>155</v>
      </c>
      <c r="EH554" s="17"/>
    </row>
    <row r="555">
      <c r="A555" s="9">
        <f t="shared" si="2"/>
        <v>553</v>
      </c>
      <c r="B555" s="10" t="s">
        <v>690</v>
      </c>
      <c r="C555" s="11">
        <v>708020.0</v>
      </c>
      <c r="D555" s="11">
        <v>1120000.0</v>
      </c>
      <c r="E555" s="11">
        <v>1740000.0</v>
      </c>
      <c r="F555" s="11">
        <v>787410.0</v>
      </c>
      <c r="G555" s="11">
        <v>819780.0</v>
      </c>
      <c r="H555" s="11"/>
      <c r="I555" s="11"/>
      <c r="J555" s="11">
        <v>372720.0</v>
      </c>
      <c r="K555" s="11">
        <v>60280.0</v>
      </c>
      <c r="L555" s="11">
        <v>168900.0</v>
      </c>
      <c r="M555" s="11"/>
      <c r="N555" s="11"/>
      <c r="O555" s="11">
        <v>46870.0</v>
      </c>
      <c r="P555" s="11">
        <v>22650.0</v>
      </c>
      <c r="Q555" s="11">
        <v>19480.0</v>
      </c>
      <c r="R555" s="11"/>
      <c r="S555" s="11"/>
      <c r="T555" s="12"/>
      <c r="U555" s="12"/>
      <c r="V555" s="12"/>
      <c r="W555" s="12"/>
      <c r="X555" s="12"/>
      <c r="Y555" s="11">
        <v>-672070.0</v>
      </c>
      <c r="Z555" s="11">
        <v>79280.0</v>
      </c>
      <c r="AA555" s="11"/>
      <c r="AB555" s="12"/>
      <c r="AC555" s="12"/>
      <c r="AD555" s="11">
        <v>286570.0</v>
      </c>
      <c r="AE555" s="11">
        <v>357050.0</v>
      </c>
      <c r="AF555" s="11">
        <v>46880.0</v>
      </c>
      <c r="AG555" s="11"/>
      <c r="AH555" s="11"/>
      <c r="AI555" s="11">
        <v>570160.0</v>
      </c>
      <c r="AJ555" s="11">
        <v>197750.0</v>
      </c>
      <c r="AK555" s="11">
        <v>293430.0</v>
      </c>
      <c r="AL555" s="11"/>
      <c r="AM555" s="11"/>
      <c r="AN555" s="11">
        <v>532880.0</v>
      </c>
      <c r="AO555" s="11">
        <v>408700.0</v>
      </c>
      <c r="AP555" s="11">
        <v>46880.0</v>
      </c>
      <c r="AQ555" s="11"/>
      <c r="AR555" s="11"/>
      <c r="AS555" s="11">
        <v>408860.0</v>
      </c>
      <c r="AT555" s="11">
        <v>134410.0</v>
      </c>
      <c r="AU555" s="11">
        <v>165720.0</v>
      </c>
      <c r="AV555" s="11"/>
      <c r="AW555" s="11"/>
      <c r="AX555" s="11">
        <v>-2940000.0</v>
      </c>
      <c r="AY555" s="11">
        <v>-1910000.0</v>
      </c>
      <c r="AZ555" s="11">
        <v>-1200000.0</v>
      </c>
      <c r="BA555" s="11"/>
      <c r="BB555" s="11"/>
      <c r="BC555" s="11">
        <v>-243700.0</v>
      </c>
      <c r="BD555" s="11">
        <v>-8460.0</v>
      </c>
      <c r="BE555" s="12"/>
      <c r="BF555" s="12"/>
      <c r="BG555" s="12"/>
      <c r="BH555" s="11">
        <v>2350000.0</v>
      </c>
      <c r="BI555" s="11">
        <v>2110000.0</v>
      </c>
      <c r="BJ555" s="11">
        <v>738640.0</v>
      </c>
      <c r="BK555" s="11"/>
      <c r="BL555" s="11"/>
      <c r="BM555" s="11"/>
      <c r="BN555" s="11"/>
      <c r="BO555" s="11">
        <v>40820.0</v>
      </c>
      <c r="BP555" s="11"/>
      <c r="BQ555" s="11"/>
      <c r="BR555" s="12"/>
      <c r="BS555" s="12"/>
      <c r="BT555" s="11">
        <v>132230.0</v>
      </c>
      <c r="BU555" s="12"/>
      <c r="BV555" s="12"/>
      <c r="BW555" s="11">
        <v>3130000.0</v>
      </c>
      <c r="BX555" s="11">
        <v>2910000.0</v>
      </c>
      <c r="BY555" s="11">
        <v>932510.0</v>
      </c>
      <c r="BZ555" s="11"/>
      <c r="CA555" s="11"/>
      <c r="CB555" s="11">
        <v>1.445E7</v>
      </c>
      <c r="CC555" s="11">
        <v>6620000.0</v>
      </c>
      <c r="CD555" s="11">
        <v>5030000.0</v>
      </c>
      <c r="CE555" s="11"/>
      <c r="CF555" s="11"/>
      <c r="CG555" s="11"/>
      <c r="CH555" s="11"/>
      <c r="CI555" s="11"/>
      <c r="CJ555" s="11"/>
      <c r="CK555" s="11"/>
      <c r="CL555" s="11">
        <v>1.876E7</v>
      </c>
      <c r="CM555" s="11">
        <v>1.016E7</v>
      </c>
      <c r="CN555" s="11">
        <v>6360000.0</v>
      </c>
      <c r="CO555" s="11"/>
      <c r="CP555" s="11"/>
      <c r="CQ555" s="11"/>
      <c r="CR555" s="11"/>
      <c r="CS555" s="11">
        <v>13580.0</v>
      </c>
      <c r="CT555" s="11"/>
      <c r="CU555" s="11"/>
      <c r="CV555" s="11">
        <v>1750000.0</v>
      </c>
      <c r="CW555" s="11">
        <v>446360.0</v>
      </c>
      <c r="CX555" s="11">
        <v>549000.0</v>
      </c>
      <c r="CY555" s="12"/>
      <c r="CZ555" s="12"/>
      <c r="DA555" s="12"/>
      <c r="DB555" s="11">
        <v>1750000.0</v>
      </c>
      <c r="DC555" s="11">
        <v>660390.0</v>
      </c>
      <c r="DD555" s="11">
        <v>65880.0</v>
      </c>
      <c r="DE555" s="11"/>
      <c r="DF555" s="11">
        <v>7910000.0</v>
      </c>
      <c r="DG555" s="11">
        <v>3710000.0</v>
      </c>
      <c r="DH555" s="11">
        <v>3630000.0</v>
      </c>
      <c r="DI555" s="11"/>
      <c r="DJ555" s="11"/>
      <c r="DK555" s="11">
        <v>587590.0</v>
      </c>
      <c r="DL555" s="11">
        <v>550410.0</v>
      </c>
      <c r="DM555" s="11"/>
      <c r="DN555" s="11"/>
      <c r="DO555" s="12"/>
      <c r="DP555" s="11">
        <v>6160000.0</v>
      </c>
      <c r="DQ555" s="11">
        <v>3050000.0</v>
      </c>
      <c r="DR555" s="11">
        <v>3570000.0</v>
      </c>
      <c r="DS555" s="12"/>
      <c r="DT555" s="12"/>
      <c r="DU555" s="13"/>
      <c r="DV555" s="12"/>
      <c r="DW555" s="12"/>
      <c r="DX555" s="12"/>
      <c r="DY555" s="12"/>
      <c r="DZ555" s="11">
        <v>7940000.0</v>
      </c>
      <c r="EA555" s="11">
        <v>6450000.0</v>
      </c>
      <c r="EB555" s="11">
        <v>2720000.0</v>
      </c>
      <c r="EC555" s="11"/>
      <c r="ED555" s="11"/>
      <c r="EE555" s="14">
        <v>0.48</v>
      </c>
      <c r="EF555" s="14">
        <v>1.144</v>
      </c>
      <c r="EG555" s="14">
        <v>-0.042</v>
      </c>
      <c r="EH555" s="14">
        <v>-0.679</v>
      </c>
    </row>
    <row r="556">
      <c r="A556" s="9">
        <f t="shared" si="2"/>
        <v>554</v>
      </c>
      <c r="B556" s="25" t="s">
        <v>691</v>
      </c>
      <c r="C556" s="15">
        <v>405770.0</v>
      </c>
      <c r="D556" s="15">
        <v>321830.0</v>
      </c>
      <c r="E556" s="15">
        <v>245860.0</v>
      </c>
      <c r="F556" s="15">
        <v>193240.0</v>
      </c>
      <c r="G556" s="15">
        <v>152360.0</v>
      </c>
      <c r="H556" s="15">
        <v>133050.0</v>
      </c>
      <c r="I556" s="15">
        <v>116190.0</v>
      </c>
      <c r="J556" s="15">
        <v>104650.0</v>
      </c>
      <c r="K556" s="15">
        <v>82010.0</v>
      </c>
      <c r="L556" s="15">
        <v>65520.0</v>
      </c>
      <c r="M556" s="15">
        <v>54690.0</v>
      </c>
      <c r="N556" s="15">
        <v>49780.0</v>
      </c>
      <c r="O556" s="15">
        <v>104900.0</v>
      </c>
      <c r="P556" s="15">
        <v>86900.0</v>
      </c>
      <c r="Q556" s="15">
        <v>68270.0</v>
      </c>
      <c r="R556" s="15">
        <v>56910.0</v>
      </c>
      <c r="S556" s="15">
        <v>53430.0</v>
      </c>
      <c r="T556" s="15">
        <v>1160.0</v>
      </c>
      <c r="U556" s="15">
        <v>487.0</v>
      </c>
      <c r="V556" s="15">
        <v>285.0</v>
      </c>
      <c r="W556" s="15"/>
      <c r="X556" s="15"/>
      <c r="Y556" s="12"/>
      <c r="Z556" s="12"/>
      <c r="AA556" s="15">
        <v>-335.0</v>
      </c>
      <c r="AB556" s="15">
        <v>-2260.0</v>
      </c>
      <c r="AC556" s="15">
        <v>-3150.0</v>
      </c>
      <c r="AD556" s="15">
        <v>-1240.0</v>
      </c>
      <c r="AE556" s="15">
        <v>-5280.0</v>
      </c>
      <c r="AF556" s="15">
        <v>-4190.0</v>
      </c>
      <c r="AG556" s="15">
        <v>-3090.0</v>
      </c>
      <c r="AH556" s="15">
        <v>-3650.0</v>
      </c>
      <c r="AI556" s="15">
        <v>15670.0</v>
      </c>
      <c r="AJ556" s="15">
        <v>9180.0</v>
      </c>
      <c r="AK556" s="15">
        <v>9940.0</v>
      </c>
      <c r="AL556" s="15">
        <v>7490.0</v>
      </c>
      <c r="AM556" s="15">
        <v>3930.0</v>
      </c>
      <c r="AN556" s="15">
        <v>-1380.0</v>
      </c>
      <c r="AO556" s="15">
        <v>-5360.0</v>
      </c>
      <c r="AP556" s="15">
        <v>-4260.0</v>
      </c>
      <c r="AQ556" s="15">
        <v>-3160.0</v>
      </c>
      <c r="AR556" s="15">
        <v>-3710.0</v>
      </c>
      <c r="AS556" s="15">
        <v>16320.0</v>
      </c>
      <c r="AT556" s="15">
        <v>18580.0</v>
      </c>
      <c r="AU556" s="15">
        <v>10000.0</v>
      </c>
      <c r="AV556" s="15">
        <v>12800.0</v>
      </c>
      <c r="AW556" s="15">
        <v>6740.0</v>
      </c>
      <c r="AX556" s="15">
        <v>-70630.0</v>
      </c>
      <c r="AY556" s="15">
        <v>-16270.0</v>
      </c>
      <c r="AZ556" s="15">
        <v>-13000.0</v>
      </c>
      <c r="BA556" s="15">
        <v>-29950.0</v>
      </c>
      <c r="BB556" s="15">
        <v>-32040.0</v>
      </c>
      <c r="BC556" s="13"/>
      <c r="BD556" s="13"/>
      <c r="BE556" s="13"/>
      <c r="BF556" s="13"/>
      <c r="BG556" s="13"/>
      <c r="BH556" s="15">
        <v>9470.0</v>
      </c>
      <c r="BI556" s="15">
        <v>7550.0</v>
      </c>
      <c r="BJ556" s="15">
        <v>2180.0</v>
      </c>
      <c r="BK556" s="15">
        <v>3910.0</v>
      </c>
      <c r="BL556" s="15">
        <v>11280.0</v>
      </c>
      <c r="BM556" s="15">
        <v>18580.0</v>
      </c>
      <c r="BN556" s="15">
        <v>12330.0</v>
      </c>
      <c r="BO556" s="15">
        <v>12720.0</v>
      </c>
      <c r="BP556" s="15">
        <v>8890.0</v>
      </c>
      <c r="BQ556" s="15">
        <v>7030.0</v>
      </c>
      <c r="BR556" s="15">
        <v>12540.0</v>
      </c>
      <c r="BS556" s="15">
        <v>9320.0</v>
      </c>
      <c r="BT556" s="15">
        <v>10120.0</v>
      </c>
      <c r="BU556" s="15">
        <v>5400.0</v>
      </c>
      <c r="BV556" s="15">
        <v>6850.0</v>
      </c>
      <c r="BW556" s="15">
        <v>54320.0</v>
      </c>
      <c r="BX556" s="15">
        <v>30960.0</v>
      </c>
      <c r="BY556" s="15">
        <v>26960.0</v>
      </c>
      <c r="BZ556" s="15">
        <v>19240.0</v>
      </c>
      <c r="CA556" s="15">
        <v>25390.0</v>
      </c>
      <c r="CB556" s="15">
        <v>178040.0</v>
      </c>
      <c r="CC556" s="15">
        <v>106820.0</v>
      </c>
      <c r="CD556" s="15">
        <v>104970.0</v>
      </c>
      <c r="CE556" s="15">
        <v>105110.0</v>
      </c>
      <c r="CF556" s="15">
        <v>86040.0</v>
      </c>
      <c r="CG556" s="15"/>
      <c r="CH556" s="15"/>
      <c r="CI556" s="15"/>
      <c r="CJ556" s="15"/>
      <c r="CK556" s="15"/>
      <c r="CL556" s="15">
        <v>236130.0</v>
      </c>
      <c r="CM556" s="15">
        <v>139960.0</v>
      </c>
      <c r="CN556" s="15">
        <v>133900.0</v>
      </c>
      <c r="CO556" s="15">
        <v>126450.0</v>
      </c>
      <c r="CP556" s="15">
        <v>113100.0</v>
      </c>
      <c r="CQ556" s="15">
        <v>18670.0</v>
      </c>
      <c r="CR556" s="15">
        <v>9170.0</v>
      </c>
      <c r="CS556" s="15">
        <v>9170.0</v>
      </c>
      <c r="CT556" s="15">
        <v>6880.0</v>
      </c>
      <c r="CU556" s="15">
        <v>6670.0</v>
      </c>
      <c r="CV556" s="15">
        <v>41990.0</v>
      </c>
      <c r="CW556" s="15">
        <v>1190.0</v>
      </c>
      <c r="CX556" s="15"/>
      <c r="CY556" s="15"/>
      <c r="CZ556" s="15">
        <v>7000.0</v>
      </c>
      <c r="DA556" s="15"/>
      <c r="DB556" s="15">
        <v>41990.0</v>
      </c>
      <c r="DC556" s="15">
        <v>18220.0</v>
      </c>
      <c r="DD556" s="15">
        <v>16690.0</v>
      </c>
      <c r="DE556" s="15">
        <v>18670.0</v>
      </c>
      <c r="DF556" s="15">
        <v>104860.0</v>
      </c>
      <c r="DG556" s="15">
        <v>18490.0</v>
      </c>
      <c r="DH556" s="15">
        <v>17000.0</v>
      </c>
      <c r="DI556" s="15">
        <v>18670.0</v>
      </c>
      <c r="DJ556" s="15">
        <v>9150.0</v>
      </c>
      <c r="DK556" s="15"/>
      <c r="DL556" s="15"/>
      <c r="DM556" s="15"/>
      <c r="DN556" s="12"/>
      <c r="DO556" s="15"/>
      <c r="DP556" s="15">
        <v>62880.0</v>
      </c>
      <c r="DQ556" s="15"/>
      <c r="DR556" s="15"/>
      <c r="DS556" s="15"/>
      <c r="DT556" s="15"/>
      <c r="DU556" s="13"/>
      <c r="DV556" s="12"/>
      <c r="DW556" s="12"/>
      <c r="DX556" s="13"/>
      <c r="DY556" s="13"/>
      <c r="DZ556" s="15">
        <v>131260.0</v>
      </c>
      <c r="EA556" s="15">
        <v>121470.0</v>
      </c>
      <c r="EB556" s="15">
        <v>116900.0</v>
      </c>
      <c r="EC556" s="15">
        <v>107780.0</v>
      </c>
      <c r="ED556" s="15">
        <v>103950.0</v>
      </c>
      <c r="EE556" s="17">
        <v>0.016</v>
      </c>
      <c r="EF556" s="17">
        <v>0.083</v>
      </c>
      <c r="EG556" s="17">
        <v>1.0</v>
      </c>
      <c r="EH556" s="17">
        <v>-0.04</v>
      </c>
    </row>
    <row r="557">
      <c r="A557" s="9">
        <f t="shared" si="2"/>
        <v>555</v>
      </c>
      <c r="B557" s="25" t="s">
        <v>692</v>
      </c>
      <c r="C557" s="15">
        <v>28740.0</v>
      </c>
      <c r="D557" s="15">
        <v>26790.0</v>
      </c>
      <c r="E557" s="15">
        <v>27440.0</v>
      </c>
      <c r="F557" s="15">
        <v>17830.0</v>
      </c>
      <c r="G557" s="15">
        <v>15490.0</v>
      </c>
      <c r="H557" s="15">
        <v>16250.0</v>
      </c>
      <c r="I557" s="15">
        <v>15900.0</v>
      </c>
      <c r="J557" s="15">
        <v>5500.0</v>
      </c>
      <c r="K557" s="15">
        <v>2820.0</v>
      </c>
      <c r="L557" s="15">
        <v>3330.0</v>
      </c>
      <c r="M557" s="15">
        <v>4620.0</v>
      </c>
      <c r="N557" s="15">
        <v>3950.0</v>
      </c>
      <c r="O557" s="15">
        <v>2980.0</v>
      </c>
      <c r="P557" s="15">
        <v>1870.0</v>
      </c>
      <c r="Q557" s="15">
        <v>1710.0</v>
      </c>
      <c r="R557" s="15">
        <v>1510.0</v>
      </c>
      <c r="S557" s="15">
        <v>1600.0</v>
      </c>
      <c r="T557" s="15">
        <v>124.0</v>
      </c>
      <c r="U557" s="15">
        <v>136.0</v>
      </c>
      <c r="V557" s="15">
        <v>99.0</v>
      </c>
      <c r="W557" s="15">
        <v>95.0</v>
      </c>
      <c r="X557" s="15">
        <v>95.0</v>
      </c>
      <c r="Y557" s="12"/>
      <c r="Z557" s="15">
        <v>2670.0</v>
      </c>
      <c r="AA557" s="15">
        <v>3610.0</v>
      </c>
      <c r="AB557" s="15"/>
      <c r="AC557" s="15"/>
      <c r="AD557" s="15">
        <v>2310.0</v>
      </c>
      <c r="AE557" s="15">
        <v>3050.0</v>
      </c>
      <c r="AF557" s="15">
        <v>3420.0</v>
      </c>
      <c r="AG557" s="15">
        <v>3080.0</v>
      </c>
      <c r="AH557" s="15">
        <v>2310.0</v>
      </c>
      <c r="AI557" s="15">
        <v>3140.0</v>
      </c>
      <c r="AJ557" s="15">
        <v>1300.0</v>
      </c>
      <c r="AK557" s="15">
        <v>1860.0</v>
      </c>
      <c r="AL557" s="15">
        <v>3660.0</v>
      </c>
      <c r="AM557" s="15">
        <v>2930.0</v>
      </c>
      <c r="AN557" s="15">
        <v>1910.0</v>
      </c>
      <c r="AO557" s="15">
        <v>2490.0</v>
      </c>
      <c r="AP557" s="15">
        <v>1750.0</v>
      </c>
      <c r="AQ557" s="15">
        <v>1790.0</v>
      </c>
      <c r="AR557" s="15">
        <v>1500.0</v>
      </c>
      <c r="AS557" s="15">
        <v>2370.0</v>
      </c>
      <c r="AT557" s="15">
        <v>-2160.0</v>
      </c>
      <c r="AU557" s="15">
        <v>1040.0</v>
      </c>
      <c r="AV557" s="15">
        <v>1780.0</v>
      </c>
      <c r="AW557" s="15">
        <v>2740.0</v>
      </c>
      <c r="AX557" s="15">
        <v>-1830.0</v>
      </c>
      <c r="AY557" s="15">
        <v>-181.0</v>
      </c>
      <c r="AZ557" s="15">
        <v>-426.0</v>
      </c>
      <c r="BA557" s="15">
        <v>-114.0</v>
      </c>
      <c r="BB557" s="15">
        <v>-59.0</v>
      </c>
      <c r="BC557" s="15">
        <v>-2400.0</v>
      </c>
      <c r="BD557" s="13"/>
      <c r="BE557" s="13"/>
      <c r="BF557" s="13"/>
      <c r="BG557" s="13"/>
      <c r="BH557" s="15">
        <v>3630.0</v>
      </c>
      <c r="BI557" s="15">
        <v>7860.0</v>
      </c>
      <c r="BJ557" s="15">
        <v>6910.0</v>
      </c>
      <c r="BK557" s="15">
        <v>2470.0</v>
      </c>
      <c r="BL557" s="15">
        <v>2500.0</v>
      </c>
      <c r="BM557" s="15">
        <v>4470.0</v>
      </c>
      <c r="BN557" s="15">
        <v>4420.0</v>
      </c>
      <c r="BO557" s="15">
        <v>2110.0</v>
      </c>
      <c r="BP557" s="15">
        <v>3010.0</v>
      </c>
      <c r="BQ557" s="15">
        <v>1950.0</v>
      </c>
      <c r="BR557" s="15">
        <v>9180.0</v>
      </c>
      <c r="BS557" s="15">
        <v>8730.0</v>
      </c>
      <c r="BT557" s="15">
        <v>4690.0</v>
      </c>
      <c r="BU557" s="15">
        <v>3790.0</v>
      </c>
      <c r="BV557" s="15">
        <v>3280.0</v>
      </c>
      <c r="BW557" s="15">
        <v>17510.0</v>
      </c>
      <c r="BX557" s="15">
        <v>21210.0</v>
      </c>
      <c r="BY557" s="15">
        <v>13960.0</v>
      </c>
      <c r="BZ557" s="15">
        <v>9490.0</v>
      </c>
      <c r="CA557" s="15">
        <v>7970.0</v>
      </c>
      <c r="CB557" s="15">
        <v>4790.0</v>
      </c>
      <c r="CC557" s="15">
        <v>2560.0</v>
      </c>
      <c r="CD557" s="15">
        <v>1940.0</v>
      </c>
      <c r="CE557" s="15">
        <v>3390.0</v>
      </c>
      <c r="CF557" s="15">
        <v>3790.0</v>
      </c>
      <c r="CG557" s="15">
        <v>2530.0</v>
      </c>
      <c r="CH557" s="15">
        <v>2530.0</v>
      </c>
      <c r="CI557" s="15"/>
      <c r="CJ557" s="15"/>
      <c r="CK557" s="15"/>
      <c r="CL557" s="15">
        <v>32380.0</v>
      </c>
      <c r="CM557" s="15">
        <v>31200.0</v>
      </c>
      <c r="CN557" s="15">
        <v>17770.0</v>
      </c>
      <c r="CO557" s="15">
        <v>15160.0</v>
      </c>
      <c r="CP557" s="15">
        <v>14140.0</v>
      </c>
      <c r="CQ557" s="15">
        <v>636.0</v>
      </c>
      <c r="CR557" s="15">
        <v>1050.0</v>
      </c>
      <c r="CS557" s="15">
        <v>939.0</v>
      </c>
      <c r="CT557" s="15">
        <v>902.0</v>
      </c>
      <c r="CU557" s="15">
        <v>826.0</v>
      </c>
      <c r="CV557" s="15">
        <v>6790.0</v>
      </c>
      <c r="CW557" s="15">
        <v>2800.0</v>
      </c>
      <c r="CX557" s="15">
        <v>2800.0</v>
      </c>
      <c r="CY557" s="13">
        <v>250.0</v>
      </c>
      <c r="CZ557" s="13">
        <v>250.0</v>
      </c>
      <c r="DA557" s="12">
        <v>200.0</v>
      </c>
      <c r="DB557" s="15">
        <v>6790.0</v>
      </c>
      <c r="DC557" s="15">
        <v>6100.0</v>
      </c>
      <c r="DD557" s="15">
        <v>2700.0</v>
      </c>
      <c r="DE557" s="15">
        <v>2340.0</v>
      </c>
      <c r="DF557" s="15">
        <v>11920.0</v>
      </c>
      <c r="DG557" s="15">
        <v>11670.0</v>
      </c>
      <c r="DH557" s="15">
        <v>2850.0</v>
      </c>
      <c r="DI557" s="15">
        <v>2690.0</v>
      </c>
      <c r="DJ557" s="15">
        <v>2110.0</v>
      </c>
      <c r="DK557" s="15">
        <v>2920.0</v>
      </c>
      <c r="DL557" s="15">
        <v>776.0</v>
      </c>
      <c r="DM557" s="15">
        <v>13.0</v>
      </c>
      <c r="DN557" s="15">
        <v>122.0</v>
      </c>
      <c r="DO557" s="15"/>
      <c r="DP557" s="15">
        <v>4070.0</v>
      </c>
      <c r="DQ557" s="15">
        <v>4580.0</v>
      </c>
      <c r="DR557" s="15">
        <v>151.0</v>
      </c>
      <c r="DS557" s="15">
        <v>352.0</v>
      </c>
      <c r="DT557" s="15">
        <v>553.0</v>
      </c>
      <c r="DU557" s="13"/>
      <c r="DV557" s="12"/>
      <c r="DW557" s="12"/>
      <c r="DX557" s="13"/>
      <c r="DY557" s="13"/>
      <c r="DZ557" s="15">
        <v>17910.0</v>
      </c>
      <c r="EA557" s="15">
        <v>17060.0</v>
      </c>
      <c r="EB557" s="15">
        <v>14920.0</v>
      </c>
      <c r="EC557" s="15">
        <v>12460.0</v>
      </c>
      <c r="ED557" s="15">
        <v>12030.0</v>
      </c>
      <c r="EE557" s="23">
        <v>0.0</v>
      </c>
      <c r="EF557" s="23">
        <v>0.0</v>
      </c>
      <c r="EG557" s="23">
        <v>0.667</v>
      </c>
      <c r="EH557" s="23">
        <v>-0.267</v>
      </c>
    </row>
    <row r="558">
      <c r="A558" s="9">
        <f t="shared" si="2"/>
        <v>556</v>
      </c>
      <c r="B558" s="10" t="s">
        <v>693</v>
      </c>
      <c r="C558" s="15">
        <v>3000000.0</v>
      </c>
      <c r="D558" s="15">
        <v>2550000.0</v>
      </c>
      <c r="E558" s="15">
        <v>3060000.0</v>
      </c>
      <c r="F558" s="15">
        <v>2250000.0</v>
      </c>
      <c r="G558" s="15">
        <v>2940000.0</v>
      </c>
      <c r="H558" s="15">
        <v>2900000.0</v>
      </c>
      <c r="I558" s="15">
        <v>3580000.0</v>
      </c>
      <c r="J558" s="15">
        <v>547670.0</v>
      </c>
      <c r="K558" s="15">
        <v>394090.0</v>
      </c>
      <c r="L558" s="15">
        <v>548950.0</v>
      </c>
      <c r="M558" s="15">
        <v>638420.0</v>
      </c>
      <c r="N558" s="15">
        <v>899550.0</v>
      </c>
      <c r="O558" s="15">
        <v>302080.0</v>
      </c>
      <c r="P558" s="15">
        <v>261330.0</v>
      </c>
      <c r="Q558" s="15">
        <v>291270.0</v>
      </c>
      <c r="R558" s="15">
        <v>387780.0</v>
      </c>
      <c r="S558" s="15">
        <v>402600.0</v>
      </c>
      <c r="T558" s="15">
        <v>96610.0</v>
      </c>
      <c r="U558" s="15">
        <v>84470.0</v>
      </c>
      <c r="V558" s="15">
        <v>88570.0</v>
      </c>
      <c r="W558" s="15">
        <v>124760.0</v>
      </c>
      <c r="X558" s="15">
        <v>130590.0</v>
      </c>
      <c r="Y558" s="15">
        <v>-123080.0</v>
      </c>
      <c r="Z558" s="15">
        <v>136230.0</v>
      </c>
      <c r="AA558" s="15">
        <v>180680.0</v>
      </c>
      <c r="AB558" s="15">
        <v>-818790.0</v>
      </c>
      <c r="AC558" s="15">
        <v>0.0</v>
      </c>
      <c r="AD558" s="15">
        <v>-120130.0</v>
      </c>
      <c r="AE558" s="15">
        <v>113150.0</v>
      </c>
      <c r="AF558" s="15">
        <v>202120.0</v>
      </c>
      <c r="AG558" s="15">
        <v>-537250.0</v>
      </c>
      <c r="AH558" s="15">
        <v>519840.0</v>
      </c>
      <c r="AI558" s="15">
        <v>450890.0</v>
      </c>
      <c r="AJ558" s="15">
        <v>267060.0</v>
      </c>
      <c r="AK558" s="15">
        <v>377180.0</v>
      </c>
      <c r="AL558" s="15">
        <v>481580.0</v>
      </c>
      <c r="AM558" s="15">
        <v>754780.0</v>
      </c>
      <c r="AN558" s="15">
        <v>-114930.0</v>
      </c>
      <c r="AO558" s="15">
        <v>144330.0</v>
      </c>
      <c r="AP558" s="15">
        <v>-165620.0</v>
      </c>
      <c r="AQ558" s="15">
        <v>-416110.0</v>
      </c>
      <c r="AR558" s="15">
        <v>546420.0</v>
      </c>
      <c r="AS558" s="15">
        <v>174200.0</v>
      </c>
      <c r="AT558" s="15">
        <v>-326810.0</v>
      </c>
      <c r="AU558" s="15">
        <v>1340000.0</v>
      </c>
      <c r="AV558" s="15">
        <v>206750.0</v>
      </c>
      <c r="AW558" s="15">
        <v>-360920.0</v>
      </c>
      <c r="AX558" s="15">
        <v>-668720.0</v>
      </c>
      <c r="AY558" s="15">
        <v>-739840.0</v>
      </c>
      <c r="AZ558" s="15">
        <v>-514360.0</v>
      </c>
      <c r="BA558" s="15">
        <v>-229450.0</v>
      </c>
      <c r="BB558" s="15">
        <v>-166440.0</v>
      </c>
      <c r="BC558" s="15">
        <v>0.0</v>
      </c>
      <c r="BD558" s="15">
        <v>0.0</v>
      </c>
      <c r="BE558" s="15">
        <v>0.0</v>
      </c>
      <c r="BF558" s="15">
        <v>0.0</v>
      </c>
      <c r="BG558" s="15">
        <v>0.0</v>
      </c>
      <c r="BH558" s="15">
        <v>2180000.0</v>
      </c>
      <c r="BI558" s="15">
        <v>2570000.0</v>
      </c>
      <c r="BJ558" s="15">
        <v>3000000.0</v>
      </c>
      <c r="BK558" s="15">
        <v>2000000.0</v>
      </c>
      <c r="BL558" s="15">
        <v>1910000.0</v>
      </c>
      <c r="BM558" s="15">
        <v>712290.0</v>
      </c>
      <c r="BN558" s="15">
        <v>612780.0</v>
      </c>
      <c r="BO558" s="15">
        <v>419050.0</v>
      </c>
      <c r="BP558" s="15">
        <v>510730.0</v>
      </c>
      <c r="BQ558" s="15">
        <v>561080.0</v>
      </c>
      <c r="BR558" s="15">
        <v>497100.0</v>
      </c>
      <c r="BS558" s="15">
        <v>444820.0</v>
      </c>
      <c r="BT558" s="15">
        <v>201210.0</v>
      </c>
      <c r="BU558" s="15">
        <v>426000.0</v>
      </c>
      <c r="BV558" s="15">
        <v>517310.0</v>
      </c>
      <c r="BW558" s="15">
        <v>3600000.0</v>
      </c>
      <c r="BX558" s="15">
        <v>3820000.0</v>
      </c>
      <c r="BY558" s="15">
        <v>3750000.0</v>
      </c>
      <c r="BZ558" s="15">
        <v>3090000.0</v>
      </c>
      <c r="CA558" s="15">
        <v>3160000.0</v>
      </c>
      <c r="CB558" s="15">
        <v>3140000.0</v>
      </c>
      <c r="CC558" s="15">
        <v>2530000.0</v>
      </c>
      <c r="CD558" s="15">
        <v>2000000.0</v>
      </c>
      <c r="CE558" s="15">
        <v>1840000.0</v>
      </c>
      <c r="CF558" s="15">
        <v>1380000.0</v>
      </c>
      <c r="CG558" s="15">
        <v>14460.0</v>
      </c>
      <c r="CH558" s="15">
        <v>14460.0</v>
      </c>
      <c r="CI558" s="15">
        <v>14460.0</v>
      </c>
      <c r="CJ558" s="15">
        <v>14460.0</v>
      </c>
      <c r="CK558" s="15">
        <v>84990.0</v>
      </c>
      <c r="CL558" s="15">
        <v>7520000.0</v>
      </c>
      <c r="CM558" s="15">
        <v>7120000.0</v>
      </c>
      <c r="CN558" s="15">
        <v>6860000.0</v>
      </c>
      <c r="CO558" s="15">
        <v>6820000.0</v>
      </c>
      <c r="CP558" s="15">
        <v>7320000.0</v>
      </c>
      <c r="CQ558" s="15">
        <v>218080.0</v>
      </c>
      <c r="CR558" s="15">
        <v>233290.0</v>
      </c>
      <c r="CS558" s="15">
        <v>120220.0</v>
      </c>
      <c r="CT558" s="15">
        <v>148730.0</v>
      </c>
      <c r="CU558" s="15">
        <v>337670.0</v>
      </c>
      <c r="CV558" s="15">
        <v>1320000.0</v>
      </c>
      <c r="CW558" s="15">
        <v>11100.0</v>
      </c>
      <c r="CX558" s="15">
        <v>0.0</v>
      </c>
      <c r="CY558" s="16">
        <v>0.0</v>
      </c>
      <c r="CZ558" s="16">
        <v>0.0</v>
      </c>
      <c r="DA558" s="15">
        <v>0.0</v>
      </c>
      <c r="DB558" s="15">
        <v>1320000.0</v>
      </c>
      <c r="DC558" s="15">
        <v>845460.0</v>
      </c>
      <c r="DD558" s="15">
        <v>650280.0</v>
      </c>
      <c r="DE558" s="15">
        <v>907880.0</v>
      </c>
      <c r="DF558" s="15">
        <v>2420000.0</v>
      </c>
      <c r="DG558" s="15">
        <v>1910000.0</v>
      </c>
      <c r="DH558" s="15">
        <v>1770000.0</v>
      </c>
      <c r="DI558" s="15">
        <v>1610000.0</v>
      </c>
      <c r="DJ558" s="15">
        <v>1770000.0</v>
      </c>
      <c r="DK558" s="15">
        <v>306810.0</v>
      </c>
      <c r="DL558" s="15">
        <v>321580.0</v>
      </c>
      <c r="DM558" s="15">
        <v>644290.0</v>
      </c>
      <c r="DN558" s="15">
        <v>605920.0</v>
      </c>
      <c r="DO558" s="15">
        <v>733680.0</v>
      </c>
      <c r="DP558" s="15">
        <v>566700.0</v>
      </c>
      <c r="DQ558" s="15">
        <v>461220.0</v>
      </c>
      <c r="DR558" s="15">
        <v>423860.0</v>
      </c>
      <c r="DS558" s="15">
        <v>187000.0</v>
      </c>
      <c r="DT558" s="15">
        <v>251330.0</v>
      </c>
      <c r="DU558" s="16">
        <v>0.0</v>
      </c>
      <c r="DV558" s="15">
        <v>0.0</v>
      </c>
      <c r="DW558" s="15">
        <v>0.0</v>
      </c>
      <c r="DX558" s="15">
        <v>0.0</v>
      </c>
      <c r="DY558" s="15">
        <v>0.0</v>
      </c>
      <c r="DZ558" s="15">
        <v>5100000.0</v>
      </c>
      <c r="EA558" s="15">
        <v>5210000.0</v>
      </c>
      <c r="EB558" s="15">
        <v>5100000.0</v>
      </c>
      <c r="EC558" s="15">
        <v>5220000.0</v>
      </c>
      <c r="ED558" s="15">
        <v>5550000.0</v>
      </c>
      <c r="EE558" s="17">
        <v>0.188</v>
      </c>
      <c r="EF558" s="17">
        <v>0.317</v>
      </c>
      <c r="EG558" s="17">
        <v>2.148</v>
      </c>
      <c r="EH558" s="17">
        <v>-1.464</v>
      </c>
    </row>
    <row r="559">
      <c r="A559" s="9">
        <f t="shared" si="2"/>
        <v>557</v>
      </c>
      <c r="B559" s="25" t="s">
        <v>694</v>
      </c>
      <c r="C559" s="12">
        <v>260240.0</v>
      </c>
      <c r="D559" s="12">
        <v>265480.0</v>
      </c>
      <c r="E559" s="12">
        <v>340770.0</v>
      </c>
      <c r="F559" s="12">
        <v>348970.0</v>
      </c>
      <c r="G559" s="12">
        <v>348010.0</v>
      </c>
      <c r="H559" s="12">
        <v>278570.0</v>
      </c>
      <c r="I559" s="12">
        <v>197960.0</v>
      </c>
      <c r="J559" s="12">
        <v>105580.0</v>
      </c>
      <c r="K559" s="12">
        <v>130470.0</v>
      </c>
      <c r="L559" s="12">
        <v>138790.0</v>
      </c>
      <c r="M559" s="12">
        <v>105270.0</v>
      </c>
      <c r="N559" s="12">
        <v>54490.0</v>
      </c>
      <c r="O559" s="12">
        <v>37370.0</v>
      </c>
      <c r="P559" s="12">
        <v>33550.0</v>
      </c>
      <c r="Q559" s="12">
        <v>29070.0</v>
      </c>
      <c r="R559" s="12">
        <v>40820.0</v>
      </c>
      <c r="S559" s="12">
        <v>22300.0</v>
      </c>
      <c r="T559" s="12">
        <v>0.0</v>
      </c>
      <c r="U559" s="12">
        <v>0.0</v>
      </c>
      <c r="V559" s="12">
        <v>0.0</v>
      </c>
      <c r="W559" s="12">
        <v>0.0</v>
      </c>
      <c r="X559" s="12">
        <v>0.0</v>
      </c>
      <c r="Y559" s="12">
        <v>63050.0</v>
      </c>
      <c r="Z559" s="12">
        <v>93910.0</v>
      </c>
      <c r="AA559" s="12">
        <v>139400.0</v>
      </c>
      <c r="AB559" s="12">
        <v>63960.0</v>
      </c>
      <c r="AC559" s="12">
        <v>0.0</v>
      </c>
      <c r="AD559" s="12">
        <v>58640.0</v>
      </c>
      <c r="AE559" s="12">
        <v>87310.0</v>
      </c>
      <c r="AF559" s="12">
        <v>136480.0</v>
      </c>
      <c r="AG559" s="12">
        <v>62420.0</v>
      </c>
      <c r="AH559" s="12">
        <v>-4120.0</v>
      </c>
      <c r="AI559" s="12">
        <v>130040.0</v>
      </c>
      <c r="AJ559" s="12">
        <v>155510.0</v>
      </c>
      <c r="AK559" s="12">
        <v>164530.0</v>
      </c>
      <c r="AL559" s="12">
        <v>108720.0</v>
      </c>
      <c r="AM559" s="12">
        <v>64760.0</v>
      </c>
      <c r="AN559" s="12">
        <v>31570.0</v>
      </c>
      <c r="AO559" s="12">
        <v>44060.0</v>
      </c>
      <c r="AP559" s="12">
        <v>86060.0</v>
      </c>
      <c r="AQ559" s="12">
        <v>23660.0</v>
      </c>
      <c r="AR559" s="12">
        <v>-13570.0</v>
      </c>
      <c r="AS559" s="12">
        <v>83600.0</v>
      </c>
      <c r="AT559" s="12">
        <v>108170.0</v>
      </c>
      <c r="AU559" s="12">
        <v>91120.0</v>
      </c>
      <c r="AV559" s="12">
        <v>69820.0</v>
      </c>
      <c r="AW559" s="12">
        <v>70070.0</v>
      </c>
      <c r="AX559" s="12">
        <v>-37780.0</v>
      </c>
      <c r="AY559" s="12">
        <v>-47680.0</v>
      </c>
      <c r="AZ559" s="12">
        <v>-61080.0</v>
      </c>
      <c r="BA559" s="12">
        <v>-53300.0</v>
      </c>
      <c r="BB559" s="12">
        <v>-73090.0</v>
      </c>
      <c r="BC559" s="12">
        <v>0.0</v>
      </c>
      <c r="BD559" s="12">
        <v>0.0</v>
      </c>
      <c r="BE559" s="12">
        <v>0.0</v>
      </c>
      <c r="BF559" s="12">
        <v>0.0</v>
      </c>
      <c r="BG559" s="12">
        <v>0.0</v>
      </c>
      <c r="BH559" s="12">
        <v>108150.0</v>
      </c>
      <c r="BI559" s="12">
        <v>223070.0</v>
      </c>
      <c r="BJ559" s="12">
        <v>267220.0</v>
      </c>
      <c r="BK559" s="12">
        <v>169150.0</v>
      </c>
      <c r="BL559" s="12">
        <v>150370.0</v>
      </c>
      <c r="BM559" s="12">
        <v>65170.0</v>
      </c>
      <c r="BN559" s="12">
        <v>40600.0</v>
      </c>
      <c r="BO559" s="12">
        <v>44170.0</v>
      </c>
      <c r="BP559" s="12">
        <v>32140.0</v>
      </c>
      <c r="BQ559" s="12">
        <v>9030.0</v>
      </c>
      <c r="BR559" s="12">
        <v>18770.0</v>
      </c>
      <c r="BS559" s="12">
        <v>19650.0</v>
      </c>
      <c r="BT559" s="12">
        <v>22240.0</v>
      </c>
      <c r="BU559" s="12">
        <v>18200.0</v>
      </c>
      <c r="BV559" s="12">
        <v>14490.0</v>
      </c>
      <c r="BW559" s="12">
        <v>197300.0</v>
      </c>
      <c r="BX559" s="12">
        <v>299000.0</v>
      </c>
      <c r="BY559" s="12">
        <v>341370.0</v>
      </c>
      <c r="BZ559" s="12">
        <v>223840.0</v>
      </c>
      <c r="CA559" s="12">
        <v>177860.0</v>
      </c>
      <c r="CB559" s="12">
        <v>949260.0</v>
      </c>
      <c r="CC559" s="12">
        <v>689730.0</v>
      </c>
      <c r="CD559" s="12">
        <v>539110.0</v>
      </c>
      <c r="CE559" s="12">
        <v>528910.0</v>
      </c>
      <c r="CF559" s="12">
        <v>336720.0</v>
      </c>
      <c r="CG559" s="12">
        <v>0.0</v>
      </c>
      <c r="CH559" s="12">
        <v>0.0</v>
      </c>
      <c r="CI559" s="12">
        <v>0.0</v>
      </c>
      <c r="CJ559" s="12">
        <v>0.0</v>
      </c>
      <c r="CK559" s="12">
        <v>0.0</v>
      </c>
      <c r="CL559" s="12">
        <v>1210000.0</v>
      </c>
      <c r="CM559" s="12">
        <v>1070000.0</v>
      </c>
      <c r="CN559" s="12">
        <v>885390.0</v>
      </c>
      <c r="CO559" s="12">
        <v>754900.0</v>
      </c>
      <c r="CP559" s="12">
        <v>527380.0</v>
      </c>
      <c r="CQ559" s="12">
        <v>53130.0</v>
      </c>
      <c r="CR559" s="12">
        <v>33080.0</v>
      </c>
      <c r="CS559" s="12">
        <v>17010.0</v>
      </c>
      <c r="CT559" s="12">
        <v>20450.0</v>
      </c>
      <c r="CU559" s="12">
        <v>25250.0</v>
      </c>
      <c r="CV559" s="12">
        <v>116410.0</v>
      </c>
      <c r="CW559" s="12">
        <v>0.0</v>
      </c>
      <c r="CX559" s="16">
        <v>0.0</v>
      </c>
      <c r="CY559" s="16">
        <v>0.0</v>
      </c>
      <c r="CZ559" s="12">
        <v>0.0</v>
      </c>
      <c r="DA559" s="12">
        <v>0.0</v>
      </c>
      <c r="DB559" s="12">
        <v>116410.0</v>
      </c>
      <c r="DC559" s="12">
        <v>83760.0</v>
      </c>
      <c r="DD559" s="12">
        <v>75930.0</v>
      </c>
      <c r="DE559" s="12">
        <v>77930.0</v>
      </c>
      <c r="DF559" s="12">
        <v>389850.0</v>
      </c>
      <c r="DG559" s="12">
        <v>250920.0</v>
      </c>
      <c r="DH559" s="12">
        <v>179250.0</v>
      </c>
      <c r="DI559" s="12">
        <v>187430.0</v>
      </c>
      <c r="DJ559" s="12">
        <v>160420.0</v>
      </c>
      <c r="DK559" s="12">
        <v>1730.0</v>
      </c>
      <c r="DL559" s="12">
        <v>5840.0</v>
      </c>
      <c r="DM559" s="12">
        <v>3380.0</v>
      </c>
      <c r="DN559" s="12">
        <v>0.0</v>
      </c>
      <c r="DO559" s="12">
        <v>0.0</v>
      </c>
      <c r="DP559" s="12">
        <v>209530.0</v>
      </c>
      <c r="DQ559" s="12">
        <v>101990.0</v>
      </c>
      <c r="DR559" s="12">
        <v>49960.0</v>
      </c>
      <c r="DS559" s="12">
        <v>54550.0</v>
      </c>
      <c r="DT559" s="12">
        <v>56390.0</v>
      </c>
      <c r="DU559" s="12">
        <v>0.0</v>
      </c>
      <c r="DV559" s="12">
        <v>0.0</v>
      </c>
      <c r="DW559" s="12">
        <v>0.0</v>
      </c>
      <c r="DX559" s="12">
        <v>0.0</v>
      </c>
      <c r="DY559" s="12">
        <v>0.0</v>
      </c>
      <c r="DZ559" s="12">
        <v>823990.0</v>
      </c>
      <c r="EA559" s="12">
        <v>823310.0</v>
      </c>
      <c r="EB559" s="12">
        <v>706140.0</v>
      </c>
      <c r="EC559" s="12">
        <v>567470.0</v>
      </c>
      <c r="ED559" s="12">
        <v>366960.0</v>
      </c>
      <c r="EE559" s="23">
        <v>0.082</v>
      </c>
      <c r="EF559" s="23">
        <v>0.133</v>
      </c>
      <c r="EG559" s="23">
        <v>-0.143</v>
      </c>
      <c r="EH559" s="23">
        <v>0.114</v>
      </c>
    </row>
    <row r="560">
      <c r="A560" s="9">
        <f t="shared" si="2"/>
        <v>558</v>
      </c>
      <c r="B560" s="32" t="s">
        <v>695</v>
      </c>
      <c r="C560" s="11">
        <v>602460.0</v>
      </c>
      <c r="D560" s="11">
        <v>575800.0</v>
      </c>
      <c r="E560" s="11">
        <v>655060.0</v>
      </c>
      <c r="F560" s="11">
        <v>626970.0</v>
      </c>
      <c r="G560" s="11">
        <v>536380.0</v>
      </c>
      <c r="H560" s="11">
        <v>483510.0</v>
      </c>
      <c r="I560" s="11">
        <v>624520.0</v>
      </c>
      <c r="J560" s="11">
        <v>114800.0</v>
      </c>
      <c r="K560" s="11">
        <v>110060.0</v>
      </c>
      <c r="L560" s="11">
        <v>98270.0</v>
      </c>
      <c r="M560" s="11">
        <v>80780.0</v>
      </c>
      <c r="N560" s="11">
        <v>121410.0</v>
      </c>
      <c r="O560" s="11">
        <v>87990.0</v>
      </c>
      <c r="P560" s="11">
        <v>87680.0</v>
      </c>
      <c r="Q560" s="11">
        <v>80520.0</v>
      </c>
      <c r="R560" s="11">
        <v>85980.0</v>
      </c>
      <c r="S560" s="11">
        <v>91890.0</v>
      </c>
      <c r="T560" s="11">
        <v>2610.0</v>
      </c>
      <c r="U560" s="11">
        <v>2650.0</v>
      </c>
      <c r="V560" s="11">
        <v>2240.0</v>
      </c>
      <c r="W560" s="11">
        <v>3510.0</v>
      </c>
      <c r="X560" s="11">
        <v>3940.0</v>
      </c>
      <c r="Y560" s="11">
        <v>23330.0</v>
      </c>
      <c r="Z560" s="11">
        <v>-20980.0</v>
      </c>
      <c r="AA560" s="11">
        <v>-378.0</v>
      </c>
      <c r="AB560" s="11">
        <v>-141080.0</v>
      </c>
      <c r="AC560" s="11">
        <v>-51580.0</v>
      </c>
      <c r="AD560" s="11">
        <v>17400.0</v>
      </c>
      <c r="AE560" s="11">
        <v>-26710.0</v>
      </c>
      <c r="AF560" s="11">
        <v>10050.0</v>
      </c>
      <c r="AG560" s="11">
        <v>-147170.0</v>
      </c>
      <c r="AH560" s="11">
        <v>-50580.0</v>
      </c>
      <c r="AI560" s="11">
        <v>44440.0</v>
      </c>
      <c r="AJ560" s="11">
        <v>40980.0</v>
      </c>
      <c r="AK560" s="11">
        <v>37590.0</v>
      </c>
      <c r="AL560" s="11">
        <v>18300.0</v>
      </c>
      <c r="AM560" s="11">
        <v>56190.0</v>
      </c>
      <c r="AN560" s="11">
        <v>42570.0</v>
      </c>
      <c r="AO560" s="11">
        <v>-31170.0</v>
      </c>
      <c r="AP560" s="11">
        <v>5360.0</v>
      </c>
      <c r="AQ560" s="11">
        <v>-141660.0</v>
      </c>
      <c r="AR560" s="11">
        <v>-44450.0</v>
      </c>
      <c r="AS560" s="11">
        <v>29300.0</v>
      </c>
      <c r="AT560" s="11">
        <v>25960.0</v>
      </c>
      <c r="AU560" s="11">
        <v>39370.0</v>
      </c>
      <c r="AV560" s="11">
        <v>18410.0</v>
      </c>
      <c r="AW560" s="11">
        <v>56170.0</v>
      </c>
      <c r="AX560" s="11">
        <v>-8830.0</v>
      </c>
      <c r="AY560" s="11">
        <v>-5250.0</v>
      </c>
      <c r="AZ560" s="11">
        <v>-6150.0</v>
      </c>
      <c r="BA560" s="11">
        <v>-7660.0</v>
      </c>
      <c r="BB560" s="11">
        <v>-14910.0</v>
      </c>
      <c r="BC560" s="12"/>
      <c r="BD560" s="12"/>
      <c r="BE560" s="12"/>
      <c r="BF560" s="11">
        <v>-1240.0</v>
      </c>
      <c r="BG560" s="11">
        <v>-1660.0</v>
      </c>
      <c r="BH560" s="11">
        <v>14180.0</v>
      </c>
      <c r="BI560" s="11">
        <v>10280.0</v>
      </c>
      <c r="BJ560" s="11">
        <v>37680.0</v>
      </c>
      <c r="BK560" s="11">
        <v>30360.0</v>
      </c>
      <c r="BL560" s="11">
        <v>33310.0</v>
      </c>
      <c r="BM560" s="11">
        <v>78580.0</v>
      </c>
      <c r="BN560" s="11">
        <v>86120.0</v>
      </c>
      <c r="BO560" s="11">
        <v>76580.0</v>
      </c>
      <c r="BP560" s="11">
        <v>66630.0</v>
      </c>
      <c r="BQ560" s="11">
        <v>78490.0</v>
      </c>
      <c r="BR560" s="11">
        <v>119300.0</v>
      </c>
      <c r="BS560" s="11">
        <v>124500.0</v>
      </c>
      <c r="BT560" s="11">
        <v>102730.0</v>
      </c>
      <c r="BU560" s="11">
        <v>83240.0</v>
      </c>
      <c r="BV560" s="11">
        <v>96400.0</v>
      </c>
      <c r="BW560" s="11">
        <v>216660.0</v>
      </c>
      <c r="BX560" s="11">
        <v>226670.0</v>
      </c>
      <c r="BY560" s="11">
        <v>226300.0</v>
      </c>
      <c r="BZ560" s="11">
        <v>199600.0</v>
      </c>
      <c r="CA560" s="11">
        <v>214470.0</v>
      </c>
      <c r="CB560" s="11">
        <v>95590.0</v>
      </c>
      <c r="CC560" s="11">
        <v>86860.0</v>
      </c>
      <c r="CD560" s="11">
        <v>96100.0</v>
      </c>
      <c r="CE560" s="11">
        <v>103970.0</v>
      </c>
      <c r="CF560" s="11">
        <v>126750.0</v>
      </c>
      <c r="CG560" s="11">
        <v>19570.0</v>
      </c>
      <c r="CH560" s="11">
        <v>19260.0</v>
      </c>
      <c r="CI560" s="11">
        <v>19790.0</v>
      </c>
      <c r="CJ560" s="11">
        <v>18930.0</v>
      </c>
      <c r="CK560" s="11">
        <v>81750.0</v>
      </c>
      <c r="CL560" s="11">
        <v>405170.0</v>
      </c>
      <c r="CM560" s="11">
        <v>392160.0</v>
      </c>
      <c r="CN560" s="11">
        <v>412420.0</v>
      </c>
      <c r="CO560" s="11">
        <v>393020.0</v>
      </c>
      <c r="CP560" s="11">
        <v>566660.0</v>
      </c>
      <c r="CQ560" s="11">
        <v>66360.0</v>
      </c>
      <c r="CR560" s="11">
        <v>78270.0</v>
      </c>
      <c r="CS560" s="11">
        <v>52400.0</v>
      </c>
      <c r="CT560" s="11">
        <v>37740.0</v>
      </c>
      <c r="CU560" s="11">
        <v>55800.0</v>
      </c>
      <c r="CV560" s="11">
        <v>116740.0</v>
      </c>
      <c r="CW560" s="11">
        <v>3010.0</v>
      </c>
      <c r="CX560" s="12"/>
      <c r="CY560" s="12"/>
      <c r="CZ560" s="12"/>
      <c r="DA560" s="12"/>
      <c r="DB560" s="11">
        <v>116740.0</v>
      </c>
      <c r="DC560" s="11">
        <v>124190.0</v>
      </c>
      <c r="DD560" s="11">
        <v>93530.0</v>
      </c>
      <c r="DE560" s="11">
        <v>82330.0</v>
      </c>
      <c r="DF560" s="11">
        <v>235310.0</v>
      </c>
      <c r="DG560" s="11">
        <v>270050.0</v>
      </c>
      <c r="DH560" s="11">
        <v>257920.0</v>
      </c>
      <c r="DI560" s="11">
        <v>259770.0</v>
      </c>
      <c r="DJ560" s="11">
        <v>283830.0</v>
      </c>
      <c r="DK560" s="12"/>
      <c r="DL560" s="11">
        <v>155.0</v>
      </c>
      <c r="DM560" s="11">
        <v>162.0</v>
      </c>
      <c r="DN560" s="11">
        <v>4030.0</v>
      </c>
      <c r="DO560" s="11">
        <v>5320.0</v>
      </c>
      <c r="DP560" s="11">
        <v>65560.0</v>
      </c>
      <c r="DQ560" s="11">
        <v>74350.0</v>
      </c>
      <c r="DR560" s="11">
        <v>129310.0</v>
      </c>
      <c r="DS560" s="11">
        <v>149180.0</v>
      </c>
      <c r="DT560" s="11">
        <v>167420.0</v>
      </c>
      <c r="DU560" s="13"/>
      <c r="DV560" s="12"/>
      <c r="DW560" s="12"/>
      <c r="DX560" s="12"/>
      <c r="DY560" s="12"/>
      <c r="DZ560" s="11">
        <v>169860.0</v>
      </c>
      <c r="EA560" s="11">
        <v>122120.0</v>
      </c>
      <c r="EB560" s="11">
        <v>154500.0</v>
      </c>
      <c r="EC560" s="11">
        <v>133250.0</v>
      </c>
      <c r="ED560" s="11">
        <v>282830.0</v>
      </c>
      <c r="EE560" s="14">
        <v>0.055</v>
      </c>
      <c r="EF560" s="14">
        <v>0.023</v>
      </c>
      <c r="EG560" s="14">
        <v>-1.5</v>
      </c>
      <c r="EH560" s="14">
        <v>-0.478</v>
      </c>
    </row>
    <row r="561">
      <c r="A561" s="9">
        <f t="shared" si="2"/>
        <v>559</v>
      </c>
      <c r="B561" s="10" t="s">
        <v>696</v>
      </c>
      <c r="C561" s="11">
        <v>566580.0</v>
      </c>
      <c r="D561" s="11">
        <v>427360.0</v>
      </c>
      <c r="E561" s="11">
        <v>585960.0</v>
      </c>
      <c r="F561" s="11">
        <v>350700.0</v>
      </c>
      <c r="G561" s="11">
        <v>222380.0</v>
      </c>
      <c r="H561" s="11">
        <v>153700.0</v>
      </c>
      <c r="I561" s="11">
        <v>143340.0</v>
      </c>
      <c r="J561" s="11">
        <v>121720.0</v>
      </c>
      <c r="K561" s="11">
        <v>71630.0</v>
      </c>
      <c r="L561" s="11">
        <v>37160.0</v>
      </c>
      <c r="M561" s="11">
        <v>22340.0</v>
      </c>
      <c r="N561" s="11">
        <v>22470.0</v>
      </c>
      <c r="O561" s="11">
        <v>56500.0</v>
      </c>
      <c r="P561" s="11">
        <v>32850.0</v>
      </c>
      <c r="Q561" s="11">
        <v>30300.0</v>
      </c>
      <c r="R561" s="11">
        <v>29060.0</v>
      </c>
      <c r="S561" s="11">
        <v>22590.0</v>
      </c>
      <c r="T561" s="12"/>
      <c r="U561" s="12"/>
      <c r="V561" s="12"/>
      <c r="W561" s="12"/>
      <c r="X561" s="12"/>
      <c r="Y561" s="11">
        <v>36500.0</v>
      </c>
      <c r="Z561" s="11">
        <v>-1450.0</v>
      </c>
      <c r="AA561" s="11">
        <v>-3990.0</v>
      </c>
      <c r="AB561" s="11">
        <v>-22060.0</v>
      </c>
      <c r="AC561" s="11">
        <v>-5680.0</v>
      </c>
      <c r="AD561" s="11">
        <v>152130.0</v>
      </c>
      <c r="AE561" s="11">
        <v>-17660.0</v>
      </c>
      <c r="AF561" s="11">
        <v>-21290.0</v>
      </c>
      <c r="AG561" s="11">
        <v>-40330.0</v>
      </c>
      <c r="AH561" s="11">
        <v>-28050.0</v>
      </c>
      <c r="AI561" s="11">
        <v>241420.0</v>
      </c>
      <c r="AJ561" s="11">
        <v>181280.0</v>
      </c>
      <c r="AK561" s="11">
        <v>99690.0</v>
      </c>
      <c r="AL561" s="11">
        <v>58940.0</v>
      </c>
      <c r="AM561" s="11">
        <v>52210.0</v>
      </c>
      <c r="AN561" s="11">
        <v>151890.0</v>
      </c>
      <c r="AO561" s="11">
        <v>1820.0</v>
      </c>
      <c r="AP561" s="12">
        <v>134.0</v>
      </c>
      <c r="AQ561" s="11">
        <v>-20060.0</v>
      </c>
      <c r="AR561" s="11">
        <v>-11830.0</v>
      </c>
      <c r="AS561" s="11">
        <v>152600.0</v>
      </c>
      <c r="AT561" s="11">
        <v>135780.0</v>
      </c>
      <c r="AU561" s="11">
        <v>68500.0</v>
      </c>
      <c r="AV561" s="11">
        <v>31340.0</v>
      </c>
      <c r="AW561" s="11">
        <v>27260.0</v>
      </c>
      <c r="AX561" s="11">
        <v>-899740.0</v>
      </c>
      <c r="AY561" s="11">
        <v>-739750.0</v>
      </c>
      <c r="AZ561" s="11">
        <v>-564250.0</v>
      </c>
      <c r="BA561" s="11">
        <v>-262540.0</v>
      </c>
      <c r="BB561" s="11">
        <v>-263560.0</v>
      </c>
      <c r="BC561" s="11">
        <v>-115380.0</v>
      </c>
      <c r="BD561" s="11">
        <v>-110580.0</v>
      </c>
      <c r="BE561" s="11">
        <v>-100060.0</v>
      </c>
      <c r="BF561" s="11">
        <v>-100030.0</v>
      </c>
      <c r="BG561" s="11">
        <v>-81260.0</v>
      </c>
      <c r="BH561" s="11">
        <v>242520.0</v>
      </c>
      <c r="BI561" s="11">
        <v>120840.0</v>
      </c>
      <c r="BJ561" s="11">
        <v>92810.0</v>
      </c>
      <c r="BK561" s="11">
        <v>133500.0</v>
      </c>
      <c r="BL561" s="11">
        <v>403310.0</v>
      </c>
      <c r="BM561" s="11">
        <v>49470.0</v>
      </c>
      <c r="BN561" s="11">
        <v>46410.0</v>
      </c>
      <c r="BO561" s="11">
        <v>31080.0</v>
      </c>
      <c r="BP561" s="11">
        <v>21360.0</v>
      </c>
      <c r="BQ561" s="11">
        <v>14470.0</v>
      </c>
      <c r="BR561" s="12"/>
      <c r="BS561" s="12"/>
      <c r="BT561" s="12"/>
      <c r="BU561" s="12"/>
      <c r="BV561" s="12"/>
      <c r="BW561" s="11">
        <v>291990.0</v>
      </c>
      <c r="BX561" s="11">
        <v>167250.0</v>
      </c>
      <c r="BY561" s="11">
        <v>123880.0</v>
      </c>
      <c r="BZ561" s="11">
        <v>154850.0</v>
      </c>
      <c r="CA561" s="11">
        <v>417780.0</v>
      </c>
      <c r="CB561" s="11">
        <v>2480000.0</v>
      </c>
      <c r="CC561" s="11">
        <v>2110000.0</v>
      </c>
      <c r="CD561" s="11">
        <v>1590000.0</v>
      </c>
      <c r="CE561" s="11">
        <v>1130000.0</v>
      </c>
      <c r="CF561" s="11">
        <v>1020000.0</v>
      </c>
      <c r="CG561" s="11">
        <v>122640.0</v>
      </c>
      <c r="CH561" s="11">
        <v>115990.0</v>
      </c>
      <c r="CI561" s="11">
        <v>116580.0</v>
      </c>
      <c r="CJ561" s="11">
        <v>116580.0</v>
      </c>
      <c r="CK561" s="11">
        <v>116580.0</v>
      </c>
      <c r="CL561" s="11">
        <v>3240000.0</v>
      </c>
      <c r="CM561" s="11">
        <v>2640000.0</v>
      </c>
      <c r="CN561" s="11">
        <v>1960000.0</v>
      </c>
      <c r="CO561" s="11">
        <v>1550000.0</v>
      </c>
      <c r="CP561" s="11">
        <v>1640000.0</v>
      </c>
      <c r="CQ561" s="11">
        <v>121450.0</v>
      </c>
      <c r="CR561" s="11">
        <v>95440.0</v>
      </c>
      <c r="CS561" s="11">
        <v>67000.0</v>
      </c>
      <c r="CT561" s="11">
        <v>36890.0</v>
      </c>
      <c r="CU561" s="11">
        <v>33490.0</v>
      </c>
      <c r="CV561" s="11">
        <v>330180.0</v>
      </c>
      <c r="CW561" s="11">
        <v>3310.0</v>
      </c>
      <c r="CX561" s="12"/>
      <c r="CY561" s="12"/>
      <c r="CZ561" s="12"/>
      <c r="DA561" s="12"/>
      <c r="DB561" s="11">
        <v>330180.0</v>
      </c>
      <c r="DC561" s="11">
        <v>150080.0</v>
      </c>
      <c r="DD561" s="11">
        <v>76020.0</v>
      </c>
      <c r="DE561" s="11">
        <v>46320.0</v>
      </c>
      <c r="DF561" s="11">
        <v>1900000.0</v>
      </c>
      <c r="DG561" s="11">
        <v>1580000.0</v>
      </c>
      <c r="DH561" s="11">
        <v>920730.0</v>
      </c>
      <c r="DI561" s="11">
        <v>381630.0</v>
      </c>
      <c r="DJ561" s="11">
        <v>354120.0</v>
      </c>
      <c r="DK561" s="11">
        <v>180730.0</v>
      </c>
      <c r="DL561" s="11">
        <v>48030.0</v>
      </c>
      <c r="DM561" s="11">
        <v>42540.0</v>
      </c>
      <c r="DN561" s="11">
        <v>39980.0</v>
      </c>
      <c r="DO561" s="11">
        <v>10680.0</v>
      </c>
      <c r="DP561" s="11">
        <v>1270000.0</v>
      </c>
      <c r="DQ561" s="11">
        <v>1170000.0</v>
      </c>
      <c r="DR561" s="11">
        <v>695470.0</v>
      </c>
      <c r="DS561" s="11">
        <v>251430.0</v>
      </c>
      <c r="DT561" s="11">
        <v>241430.0</v>
      </c>
      <c r="DU561" s="24">
        <v>81.0</v>
      </c>
      <c r="DV561" s="12"/>
      <c r="DW561" s="12"/>
      <c r="DX561" s="12"/>
      <c r="DY561" s="12"/>
      <c r="DZ561" s="11">
        <v>1300000.0</v>
      </c>
      <c r="EA561" s="11">
        <v>997400.0</v>
      </c>
      <c r="EB561" s="11">
        <v>947070.0</v>
      </c>
      <c r="EC561" s="11">
        <v>1050000.0</v>
      </c>
      <c r="ED561" s="11">
        <v>1170000.0</v>
      </c>
      <c r="EE561" s="14">
        <v>0.19</v>
      </c>
      <c r="EF561" s="14">
        <v>0.298</v>
      </c>
      <c r="EG561" s="14">
        <v>0.143</v>
      </c>
      <c r="EH561" s="14">
        <v>0.407</v>
      </c>
    </row>
    <row r="562">
      <c r="A562" s="9">
        <f t="shared" si="2"/>
        <v>560</v>
      </c>
      <c r="B562" s="10" t="s">
        <v>697</v>
      </c>
      <c r="C562" s="15">
        <v>134850.0</v>
      </c>
      <c r="D562" s="15"/>
      <c r="E562" s="15">
        <v>955.0</v>
      </c>
      <c r="F562" s="15">
        <v>889.0</v>
      </c>
      <c r="G562" s="15">
        <v>10460.0</v>
      </c>
      <c r="H562" s="15">
        <v>34410.0</v>
      </c>
      <c r="I562" s="15">
        <v>86440.0</v>
      </c>
      <c r="J562" s="15">
        <v>365.0</v>
      </c>
      <c r="K562" s="15">
        <v>-9550.0</v>
      </c>
      <c r="L562" s="15">
        <v>-254.0</v>
      </c>
      <c r="M562" s="15">
        <v>5570.0</v>
      </c>
      <c r="N562" s="15">
        <v>23000.0</v>
      </c>
      <c r="O562" s="15">
        <v>10520.0</v>
      </c>
      <c r="P562" s="15">
        <v>2670.0</v>
      </c>
      <c r="Q562" s="15">
        <v>9150.0</v>
      </c>
      <c r="R562" s="15">
        <v>3340.0</v>
      </c>
      <c r="S562" s="15">
        <v>8050.0</v>
      </c>
      <c r="T562" s="15"/>
      <c r="U562" s="15"/>
      <c r="V562" s="15"/>
      <c r="W562" s="15"/>
      <c r="X562" s="15"/>
      <c r="Y562" s="15">
        <v>-12940.0</v>
      </c>
      <c r="Z562" s="15">
        <v>-190520.0</v>
      </c>
      <c r="AA562" s="15">
        <v>-99090.0</v>
      </c>
      <c r="AB562" s="15"/>
      <c r="AC562" s="15">
        <v>10240.0</v>
      </c>
      <c r="AD562" s="15">
        <v>-13690.0</v>
      </c>
      <c r="AE562" s="15">
        <v>-189750.0</v>
      </c>
      <c r="AF562" s="15">
        <v>-102040.0</v>
      </c>
      <c r="AG562" s="15">
        <v>968.0</v>
      </c>
      <c r="AH562" s="15">
        <v>7910.0</v>
      </c>
      <c r="AI562" s="15">
        <v>-10060.0</v>
      </c>
      <c r="AJ562" s="15">
        <v>-4620.0</v>
      </c>
      <c r="AK562" s="15">
        <v>-6210.0</v>
      </c>
      <c r="AL562" s="15">
        <v>7660.0</v>
      </c>
      <c r="AM562" s="15">
        <v>20240.0</v>
      </c>
      <c r="AN562" s="15">
        <v>-13520.0</v>
      </c>
      <c r="AO562" s="15">
        <v>-174010.0</v>
      </c>
      <c r="AP562" s="15">
        <v>-87920.0</v>
      </c>
      <c r="AQ562" s="15">
        <v>-507.0</v>
      </c>
      <c r="AR562" s="15">
        <v>2950.0</v>
      </c>
      <c r="AS562" s="15">
        <v>-15840.0</v>
      </c>
      <c r="AT562" s="15">
        <v>-4880.0</v>
      </c>
      <c r="AU562" s="15">
        <v>23660.0</v>
      </c>
      <c r="AV562" s="15">
        <v>-34440.0</v>
      </c>
      <c r="AW562" s="15">
        <v>101730.0</v>
      </c>
      <c r="AX562" s="15">
        <v>-48.0</v>
      </c>
      <c r="AY562" s="12"/>
      <c r="AZ562" s="12"/>
      <c r="BA562" s="15">
        <v>-18060.0</v>
      </c>
      <c r="BB562" s="15">
        <v>-280.0</v>
      </c>
      <c r="BC562" s="15"/>
      <c r="BD562" s="15"/>
      <c r="BE562" s="15"/>
      <c r="BF562" s="15"/>
      <c r="BG562" s="15"/>
      <c r="BH562" s="15">
        <v>539.0</v>
      </c>
      <c r="BI562" s="15">
        <v>254.0</v>
      </c>
      <c r="BJ562" s="15">
        <v>4590.0</v>
      </c>
      <c r="BK562" s="15">
        <v>1140.0</v>
      </c>
      <c r="BL562" s="15">
        <v>53090.0</v>
      </c>
      <c r="BM562" s="15">
        <v>12.0</v>
      </c>
      <c r="BN562" s="15">
        <v>23850.0</v>
      </c>
      <c r="BO562" s="15">
        <v>53870.0</v>
      </c>
      <c r="BP562" s="15">
        <v>35740.0</v>
      </c>
      <c r="BQ562" s="15">
        <v>50330.0</v>
      </c>
      <c r="BR562" s="15">
        <v>1670.0</v>
      </c>
      <c r="BS562" s="12">
        <v>63.0</v>
      </c>
      <c r="BT562" s="15">
        <v>2100.0</v>
      </c>
      <c r="BU562" s="15">
        <v>3040.0</v>
      </c>
      <c r="BV562" s="15">
        <v>3440.0</v>
      </c>
      <c r="BW562" s="15">
        <v>95000.0</v>
      </c>
      <c r="BX562" s="15">
        <v>24160.0</v>
      </c>
      <c r="BY562" s="15">
        <v>61990.0</v>
      </c>
      <c r="BZ562" s="15">
        <v>101630.0</v>
      </c>
      <c r="CA562" s="15">
        <v>113000.0</v>
      </c>
      <c r="CB562" s="15">
        <v>18.0</v>
      </c>
      <c r="CC562" s="15">
        <v>2340.0</v>
      </c>
      <c r="CD562" s="15">
        <v>28070.0</v>
      </c>
      <c r="CE562" s="15">
        <v>81520.0</v>
      </c>
      <c r="CF562" s="15">
        <v>112040.0</v>
      </c>
      <c r="CG562" s="15"/>
      <c r="CH562" s="15"/>
      <c r="CI562" s="15"/>
      <c r="CJ562" s="15"/>
      <c r="CK562" s="15"/>
      <c r="CL562" s="15">
        <v>115980.0</v>
      </c>
      <c r="CM562" s="15">
        <v>62950.0</v>
      </c>
      <c r="CN562" s="15">
        <v>190680.0</v>
      </c>
      <c r="CO562" s="15">
        <v>261660.0</v>
      </c>
      <c r="CP562" s="15">
        <v>270400.0</v>
      </c>
      <c r="CQ562" s="15">
        <v>320.0</v>
      </c>
      <c r="CR562" s="15">
        <v>11050.0</v>
      </c>
      <c r="CS562" s="15">
        <v>11280.0</v>
      </c>
      <c r="CT562" s="15">
        <v>16570.0</v>
      </c>
      <c r="CU562" s="15">
        <v>18330.0</v>
      </c>
      <c r="CV562" s="15">
        <v>202790.0</v>
      </c>
      <c r="CW562" s="15">
        <v>958.0</v>
      </c>
      <c r="CX562" s="13"/>
      <c r="CY562" s="13"/>
      <c r="CZ562" s="15">
        <v>29360.0</v>
      </c>
      <c r="DA562" s="15">
        <v>33510.0</v>
      </c>
      <c r="DB562" s="15">
        <v>202790.0</v>
      </c>
      <c r="DC562" s="15">
        <v>117170.0</v>
      </c>
      <c r="DD562" s="15">
        <v>117970.0</v>
      </c>
      <c r="DE562" s="15">
        <v>76970.0</v>
      </c>
      <c r="DF562" s="15">
        <v>204060.0</v>
      </c>
      <c r="DG562" s="15">
        <v>149620.0</v>
      </c>
      <c r="DH562" s="15">
        <v>157730.0</v>
      </c>
      <c r="DI562" s="15">
        <v>91470.0</v>
      </c>
      <c r="DJ562" s="15">
        <v>87440.0</v>
      </c>
      <c r="DK562" s="15">
        <v>12250.0</v>
      </c>
      <c r="DL562" s="15">
        <v>15000.0</v>
      </c>
      <c r="DM562" s="15"/>
      <c r="DN562" s="15"/>
      <c r="DO562" s="15"/>
      <c r="DP562" s="15">
        <v>1020.0</v>
      </c>
      <c r="DQ562" s="15">
        <v>32450.0</v>
      </c>
      <c r="DR562" s="15">
        <v>39760.0</v>
      </c>
      <c r="DS562" s="15">
        <v>14490.0</v>
      </c>
      <c r="DT562" s="15">
        <v>16720.0</v>
      </c>
      <c r="DU562" s="13"/>
      <c r="DV562" s="12"/>
      <c r="DW562" s="15"/>
      <c r="DX562" s="15"/>
      <c r="DY562" s="13"/>
      <c r="DZ562" s="15">
        <v>-92440.0</v>
      </c>
      <c r="EA562" s="15">
        <v>-91280.0</v>
      </c>
      <c r="EB562" s="15">
        <v>12610.0</v>
      </c>
      <c r="EC562" s="15">
        <v>135030.0</v>
      </c>
      <c r="ED562" s="15">
        <v>178070.0</v>
      </c>
      <c r="EE562" s="17"/>
      <c r="EF562" s="17">
        <v>0.0</v>
      </c>
      <c r="EG562" s="17">
        <v>-0.571</v>
      </c>
      <c r="EH562" s="17">
        <v>0.018</v>
      </c>
    </row>
    <row r="563">
      <c r="A563" s="9">
        <f t="shared" si="2"/>
        <v>561</v>
      </c>
      <c r="B563" s="10" t="s">
        <v>698</v>
      </c>
      <c r="C563" s="11">
        <v>7480000.0</v>
      </c>
      <c r="D563" s="11">
        <v>6990000.0</v>
      </c>
      <c r="E563" s="11">
        <v>7320000.0</v>
      </c>
      <c r="F563" s="11">
        <v>6450000.0</v>
      </c>
      <c r="G563" s="11">
        <v>5760000.0</v>
      </c>
      <c r="H563" s="11">
        <v>6220000.0</v>
      </c>
      <c r="I563" s="11">
        <v>6180000.0</v>
      </c>
      <c r="J563" s="11">
        <v>3700000.0</v>
      </c>
      <c r="K563" s="11">
        <v>3320000.0</v>
      </c>
      <c r="L563" s="11">
        <v>2920000.0</v>
      </c>
      <c r="M563" s="11">
        <v>3040000.0</v>
      </c>
      <c r="N563" s="11">
        <v>3000000.0</v>
      </c>
      <c r="O563" s="11">
        <v>2530000.0</v>
      </c>
      <c r="P563" s="11">
        <v>2140000.0</v>
      </c>
      <c r="Q563" s="11">
        <v>1760000.0</v>
      </c>
      <c r="R563" s="11">
        <v>1770000.0</v>
      </c>
      <c r="S563" s="11">
        <v>1710000.0</v>
      </c>
      <c r="T563" s="11">
        <v>456700.0</v>
      </c>
      <c r="U563" s="11">
        <v>414300.0</v>
      </c>
      <c r="V563" s="11">
        <v>369300.0</v>
      </c>
      <c r="W563" s="11">
        <v>384800.0</v>
      </c>
      <c r="X563" s="11">
        <v>377700.0</v>
      </c>
      <c r="Y563" s="11">
        <v>1000000.0</v>
      </c>
      <c r="Z563" s="11">
        <v>1180000.0</v>
      </c>
      <c r="AA563" s="11">
        <v>-3300.0</v>
      </c>
      <c r="AB563" s="11">
        <v>1250000.0</v>
      </c>
      <c r="AC563" s="11">
        <v>1270000.0</v>
      </c>
      <c r="AD563" s="11">
        <v>874500.0</v>
      </c>
      <c r="AE563" s="11">
        <v>1080000.0</v>
      </c>
      <c r="AF563" s="11">
        <v>1070000.0</v>
      </c>
      <c r="AG563" s="11">
        <v>1200000.0</v>
      </c>
      <c r="AH563" s="11">
        <v>1270000.0</v>
      </c>
      <c r="AI563" s="11">
        <v>1590000.0</v>
      </c>
      <c r="AJ563" s="11">
        <v>1450000.0</v>
      </c>
      <c r="AK563" s="11">
        <v>1320000.0</v>
      </c>
      <c r="AL563" s="11">
        <v>1440000.0</v>
      </c>
      <c r="AM563" s="11">
        <v>1470000.0</v>
      </c>
      <c r="AN563" s="11">
        <v>725400.0</v>
      </c>
      <c r="AO563" s="11">
        <v>918300.0</v>
      </c>
      <c r="AP563" s="11">
        <v>884300.0</v>
      </c>
      <c r="AQ563" s="11">
        <v>872300.0</v>
      </c>
      <c r="AR563" s="11">
        <v>863800.0</v>
      </c>
      <c r="AS563" s="11">
        <v>1270000.0</v>
      </c>
      <c r="AT563" s="11">
        <v>1340000.0</v>
      </c>
      <c r="AU563" s="11">
        <v>1180000.0</v>
      </c>
      <c r="AV563" s="11">
        <v>1140000.0</v>
      </c>
      <c r="AW563" s="11">
        <v>1010000.0</v>
      </c>
      <c r="AX563" s="11">
        <v>-112500.0</v>
      </c>
      <c r="AY563" s="11">
        <v>-112300.0</v>
      </c>
      <c r="AZ563" s="11">
        <v>-111100.0</v>
      </c>
      <c r="BA563" s="11">
        <v>-129600.0</v>
      </c>
      <c r="BB563" s="11">
        <v>-120100.0</v>
      </c>
      <c r="BC563" s="11">
        <v>-162800.0</v>
      </c>
      <c r="BD563" s="11">
        <v>-131500.0</v>
      </c>
      <c r="BE563" s="11">
        <v>-97200.0</v>
      </c>
      <c r="BF563" s="11">
        <v>-3050000.0</v>
      </c>
      <c r="BG563" s="13"/>
      <c r="BH563" s="11">
        <v>1210000.0</v>
      </c>
      <c r="BI563" s="11">
        <v>1180000.0</v>
      </c>
      <c r="BJ563" s="11">
        <v>962100.0</v>
      </c>
      <c r="BK563" s="11">
        <v>803200.0</v>
      </c>
      <c r="BL563" s="11"/>
      <c r="BM563" s="11">
        <v>1380000.0</v>
      </c>
      <c r="BN563" s="11">
        <v>1200000.0</v>
      </c>
      <c r="BO563" s="11">
        <v>1020000.0</v>
      </c>
      <c r="BP563" s="11">
        <v>945400.0</v>
      </c>
      <c r="BQ563" s="11">
        <v>979300.0</v>
      </c>
      <c r="BR563" s="11">
        <v>640300.0</v>
      </c>
      <c r="BS563" s="11">
        <v>574500.0</v>
      </c>
      <c r="BT563" s="11">
        <v>506700.0</v>
      </c>
      <c r="BU563" s="11">
        <v>544600.0</v>
      </c>
      <c r="BV563" s="11">
        <v>522900.0</v>
      </c>
      <c r="BW563" s="11">
        <v>3690000.0</v>
      </c>
      <c r="BX563" s="11">
        <v>3170000.0</v>
      </c>
      <c r="BY563" s="11">
        <v>2940000.0</v>
      </c>
      <c r="BZ563" s="11">
        <v>2490000.0</v>
      </c>
      <c r="CA563" s="11">
        <v>1590000.0</v>
      </c>
      <c r="CB563" s="11">
        <v>726300.0</v>
      </c>
      <c r="CC563" s="11">
        <v>576100.0</v>
      </c>
      <c r="CD563" s="11">
        <v>610400.0</v>
      </c>
      <c r="CE563" s="11">
        <v>547600.0</v>
      </c>
      <c r="CF563" s="11">
        <v>514800.0</v>
      </c>
      <c r="CG563" s="11">
        <v>8400000.0</v>
      </c>
      <c r="CH563" s="11">
        <v>6130000.0</v>
      </c>
      <c r="CI563" s="11">
        <v>4560000.0</v>
      </c>
      <c r="CJ563" s="11">
        <v>3980000.0</v>
      </c>
      <c r="CK563" s="11">
        <v>3950000.0</v>
      </c>
      <c r="CL563" s="11">
        <v>1.744E7</v>
      </c>
      <c r="CM563" s="11">
        <v>1.291E7</v>
      </c>
      <c r="CN563" s="11">
        <v>1.05E7</v>
      </c>
      <c r="CO563" s="11">
        <v>8190000.0</v>
      </c>
      <c r="CP563" s="11">
        <v>7210000.0</v>
      </c>
      <c r="CQ563" s="11">
        <v>765500.0</v>
      </c>
      <c r="CR563" s="11">
        <v>706500.0</v>
      </c>
      <c r="CS563" s="11">
        <v>629000.0</v>
      </c>
      <c r="CT563" s="11">
        <v>666200.0</v>
      </c>
      <c r="CU563" s="11">
        <v>657100.0</v>
      </c>
      <c r="CV563" s="11">
        <v>3470000.0</v>
      </c>
      <c r="CW563" s="11">
        <v>54900.0</v>
      </c>
      <c r="CX563" s="12"/>
      <c r="CY563" s="12"/>
      <c r="CZ563" s="13"/>
      <c r="DA563" s="13"/>
      <c r="DB563" s="11">
        <v>3470000.0</v>
      </c>
      <c r="DC563" s="11">
        <v>2190000.0</v>
      </c>
      <c r="DD563" s="11">
        <v>1600000.0</v>
      </c>
      <c r="DE563" s="11">
        <v>1470000.0</v>
      </c>
      <c r="DF563" s="11">
        <v>1.004E7</v>
      </c>
      <c r="DG563" s="11">
        <v>6290000.0</v>
      </c>
      <c r="DH563" s="11">
        <v>6690000.0</v>
      </c>
      <c r="DI563" s="11">
        <v>5500000.0</v>
      </c>
      <c r="DJ563" s="11">
        <v>2030000.0</v>
      </c>
      <c r="DK563" s="12"/>
      <c r="DL563" s="12"/>
      <c r="DM563" s="12"/>
      <c r="DN563" s="12"/>
      <c r="DO563" s="12"/>
      <c r="DP563" s="28">
        <v>4990000.0</v>
      </c>
      <c r="DQ563" s="28">
        <v>2970000.0</v>
      </c>
      <c r="DR563" s="28">
        <v>4060000.0</v>
      </c>
      <c r="DS563" s="28">
        <v>3360000.0</v>
      </c>
      <c r="DT563" s="28"/>
      <c r="DU563" s="12"/>
      <c r="DV563" s="12"/>
      <c r="DW563" s="12"/>
      <c r="DX563" s="12"/>
      <c r="DY563" s="12"/>
      <c r="DZ563" s="11">
        <v>7390000.0</v>
      </c>
      <c r="EA563" s="11">
        <v>6600000.0</v>
      </c>
      <c r="EB563" s="11">
        <v>3790000.0</v>
      </c>
      <c r="EC563" s="11">
        <v>2690000.0</v>
      </c>
      <c r="ED563" s="11">
        <v>5180000.0</v>
      </c>
      <c r="EE563" s="14">
        <v>0.017</v>
      </c>
      <c r="EF563" s="14">
        <v>0.04</v>
      </c>
      <c r="EG563" s="14">
        <v>0.172</v>
      </c>
      <c r="EH563" s="14">
        <v>0.069</v>
      </c>
    </row>
    <row r="564">
      <c r="A564" s="9">
        <f t="shared" si="2"/>
        <v>562</v>
      </c>
      <c r="B564" s="25" t="s">
        <v>699</v>
      </c>
      <c r="C564" s="15">
        <v>2850000.0</v>
      </c>
      <c r="D564" s="15">
        <v>2710000.0</v>
      </c>
      <c r="E564" s="15">
        <v>2900000.0</v>
      </c>
      <c r="F564" s="15">
        <v>3040000.0</v>
      </c>
      <c r="G564" s="15">
        <v>2310000.0</v>
      </c>
      <c r="H564" s="15">
        <v>2090000.0</v>
      </c>
      <c r="I564" s="15">
        <v>2080000.0</v>
      </c>
      <c r="J564" s="15">
        <v>809000.0</v>
      </c>
      <c r="K564" s="15">
        <v>833860.0</v>
      </c>
      <c r="L564" s="15">
        <v>614830.0</v>
      </c>
      <c r="M564" s="15">
        <v>609800.0</v>
      </c>
      <c r="N564" s="15">
        <v>568040.0</v>
      </c>
      <c r="O564" s="15">
        <v>568480.0</v>
      </c>
      <c r="P564" s="15">
        <v>587090.0</v>
      </c>
      <c r="Q564" s="15">
        <v>455630.0</v>
      </c>
      <c r="R564" s="15">
        <v>406470.0</v>
      </c>
      <c r="S564" s="15">
        <v>397170.0</v>
      </c>
      <c r="T564" s="15">
        <v>36620.0</v>
      </c>
      <c r="U564" s="15">
        <v>35530.0</v>
      </c>
      <c r="V564" s="15">
        <v>30070.0</v>
      </c>
      <c r="W564" s="15">
        <v>28610.0</v>
      </c>
      <c r="X564" s="15">
        <v>26170.0</v>
      </c>
      <c r="Y564" s="15">
        <v>225420.0</v>
      </c>
      <c r="Z564" s="15">
        <v>-6110.0</v>
      </c>
      <c r="AA564" s="15">
        <v>-60330.0</v>
      </c>
      <c r="AB564" s="15">
        <v>3700.0</v>
      </c>
      <c r="AC564" s="15">
        <v>165830.0</v>
      </c>
      <c r="AD564" s="15">
        <v>172830.0</v>
      </c>
      <c r="AE564" s="15">
        <v>156730.0</v>
      </c>
      <c r="AF564" s="15">
        <v>60600.0</v>
      </c>
      <c r="AG564" s="15">
        <v>167430.0</v>
      </c>
      <c r="AH564" s="15">
        <v>138350.0</v>
      </c>
      <c r="AI564" s="15">
        <v>381740.0</v>
      </c>
      <c r="AJ564" s="15">
        <v>391900.0</v>
      </c>
      <c r="AK564" s="15">
        <v>246520.0</v>
      </c>
      <c r="AL564" s="15">
        <v>281020.0</v>
      </c>
      <c r="AM564" s="15">
        <v>246160.0</v>
      </c>
      <c r="AN564" s="15">
        <v>130820.0</v>
      </c>
      <c r="AO564" s="15">
        <v>171210.0</v>
      </c>
      <c r="AP564" s="15">
        <v>59420.0</v>
      </c>
      <c r="AQ564" s="15">
        <v>124130.0</v>
      </c>
      <c r="AR564" s="15">
        <v>87980.0</v>
      </c>
      <c r="AS564" s="15">
        <v>269180.0</v>
      </c>
      <c r="AT564" s="15">
        <v>253310.0</v>
      </c>
      <c r="AU564" s="15">
        <v>140790.0</v>
      </c>
      <c r="AV564" s="15">
        <v>195690.0</v>
      </c>
      <c r="AW564" s="15">
        <v>210530.0</v>
      </c>
      <c r="AX564" s="15">
        <v>-61980.0</v>
      </c>
      <c r="AY564" s="15">
        <v>-68260.0</v>
      </c>
      <c r="AZ564" s="15">
        <v>-54930.0</v>
      </c>
      <c r="BA564" s="15">
        <v>-63310.0</v>
      </c>
      <c r="BB564" s="15">
        <v>-58620.0</v>
      </c>
      <c r="BC564" s="15">
        <v>-32360.0</v>
      </c>
      <c r="BD564" s="15">
        <v>-31120.0</v>
      </c>
      <c r="BE564" s="15">
        <v>-29610.0</v>
      </c>
      <c r="BF564" s="15">
        <v>-27520.0</v>
      </c>
      <c r="BG564" s="15">
        <v>-25680.0</v>
      </c>
      <c r="BH564" s="15">
        <v>112190.0</v>
      </c>
      <c r="BI564" s="15">
        <v>150790.0</v>
      </c>
      <c r="BJ564" s="15">
        <v>194400.0</v>
      </c>
      <c r="BK564" s="15">
        <v>142250.0</v>
      </c>
      <c r="BL564" s="15">
        <v>119170.0</v>
      </c>
      <c r="BM564" s="15">
        <v>519440.0</v>
      </c>
      <c r="BN564" s="15">
        <v>521550.0</v>
      </c>
      <c r="BO564" s="15">
        <v>498000.0</v>
      </c>
      <c r="BP564" s="15">
        <v>375380.0</v>
      </c>
      <c r="BQ564" s="15">
        <v>395760.0</v>
      </c>
      <c r="BR564" s="15">
        <v>337270.0</v>
      </c>
      <c r="BS564" s="15">
        <v>348460.0</v>
      </c>
      <c r="BT564" s="15">
        <v>372100.0</v>
      </c>
      <c r="BU564" s="15">
        <v>247400.0</v>
      </c>
      <c r="BV564" s="15">
        <v>248500.0</v>
      </c>
      <c r="BW564" s="15">
        <v>1030000.0</v>
      </c>
      <c r="BX564" s="15">
        <v>1090000.0</v>
      </c>
      <c r="BY564" s="15">
        <v>1160000.0</v>
      </c>
      <c r="BZ564" s="15">
        <v>811250.0</v>
      </c>
      <c r="CA564" s="15">
        <v>801050.0</v>
      </c>
      <c r="CB564" s="15">
        <v>629810.0</v>
      </c>
      <c r="CC564" s="15">
        <v>636550.0</v>
      </c>
      <c r="CD564" s="15">
        <v>670190.0</v>
      </c>
      <c r="CE564" s="15">
        <v>515280.0</v>
      </c>
      <c r="CF564" s="15">
        <v>512860.0</v>
      </c>
      <c r="CG564" s="15">
        <v>1280000.0</v>
      </c>
      <c r="CH564" s="15">
        <v>1310000.0</v>
      </c>
      <c r="CI564" s="15">
        <v>1340000.0</v>
      </c>
      <c r="CJ564" s="15">
        <v>366250.0</v>
      </c>
      <c r="CK564" s="15">
        <v>354200.0</v>
      </c>
      <c r="CL564" s="15">
        <v>3990000.0</v>
      </c>
      <c r="CM564" s="15">
        <v>4180000.0</v>
      </c>
      <c r="CN564" s="15">
        <v>4370000.0</v>
      </c>
      <c r="CO564" s="15">
        <v>2060000.0</v>
      </c>
      <c r="CP564" s="15">
        <v>2040000.0</v>
      </c>
      <c r="CQ564" s="15">
        <v>298870.0</v>
      </c>
      <c r="CR564" s="15">
        <v>273380.0</v>
      </c>
      <c r="CS564" s="15">
        <v>268470.0</v>
      </c>
      <c r="CT564" s="15">
        <v>162960.0</v>
      </c>
      <c r="CU564" s="15">
        <v>177860.0</v>
      </c>
      <c r="CV564" s="15">
        <v>542160.0</v>
      </c>
      <c r="CW564" s="15">
        <v>15730.0</v>
      </c>
      <c r="CX564" s="15">
        <v>14770.0</v>
      </c>
      <c r="CY564" s="15">
        <v>31470.0</v>
      </c>
      <c r="CZ564" s="15">
        <v>37330.0</v>
      </c>
      <c r="DA564" s="15">
        <v>30760.0</v>
      </c>
      <c r="DB564" s="15">
        <v>542160.0</v>
      </c>
      <c r="DC564" s="15">
        <v>546120.0</v>
      </c>
      <c r="DD564" s="15">
        <v>504910.0</v>
      </c>
      <c r="DE564" s="15">
        <v>391840.0</v>
      </c>
      <c r="DF564" s="15">
        <v>2760000.0</v>
      </c>
      <c r="DG564" s="15">
        <v>3020000.0</v>
      </c>
      <c r="DH564" s="15">
        <v>3320000.0</v>
      </c>
      <c r="DI564" s="15">
        <v>1110000.0</v>
      </c>
      <c r="DJ564" s="15">
        <v>1160000.0</v>
      </c>
      <c r="DK564" s="15">
        <v>64230.0</v>
      </c>
      <c r="DL564" s="15">
        <v>61720.0</v>
      </c>
      <c r="DM564" s="15">
        <v>59230.0</v>
      </c>
      <c r="DN564" s="15">
        <v>55580.0</v>
      </c>
      <c r="DO564" s="15">
        <v>50840.0</v>
      </c>
      <c r="DP564" s="15">
        <v>1900000.0</v>
      </c>
      <c r="DQ564" s="15">
        <v>2140000.0</v>
      </c>
      <c r="DR564" s="15">
        <v>2400000.0</v>
      </c>
      <c r="DS564" s="15">
        <v>585760.0</v>
      </c>
      <c r="DT564" s="15">
        <v>669610.0</v>
      </c>
      <c r="DU564" s="15"/>
      <c r="DV564" s="15"/>
      <c r="DW564" s="15"/>
      <c r="DX564" s="15"/>
      <c r="DY564" s="15"/>
      <c r="DZ564" s="15">
        <v>1220000.0</v>
      </c>
      <c r="EA564" s="15">
        <v>1150000.0</v>
      </c>
      <c r="EB564" s="15">
        <v>1050000.0</v>
      </c>
      <c r="EC564" s="15">
        <v>937880.0</v>
      </c>
      <c r="ED564" s="15">
        <v>872920.0</v>
      </c>
      <c r="EE564" s="23"/>
      <c r="EF564" s="23"/>
      <c r="EG564" s="23">
        <v>0.236</v>
      </c>
      <c r="EH564" s="23">
        <v>0.037</v>
      </c>
    </row>
    <row r="565">
      <c r="A565" s="9">
        <f t="shared" si="2"/>
        <v>563</v>
      </c>
      <c r="B565" s="22" t="s">
        <v>700</v>
      </c>
      <c r="C565" s="11">
        <v>1100.0</v>
      </c>
      <c r="D565" s="11">
        <v>2520.0</v>
      </c>
      <c r="E565" s="12"/>
      <c r="F565" s="12"/>
      <c r="G565" s="12"/>
      <c r="H565" s="12"/>
      <c r="I565" s="12"/>
      <c r="J565" s="11">
        <v>-2050.0</v>
      </c>
      <c r="K565" s="11">
        <v>-1350.0</v>
      </c>
      <c r="L565" s="11">
        <v>-715.0</v>
      </c>
      <c r="M565" s="12"/>
      <c r="N565" s="12"/>
      <c r="O565" s="11">
        <v>56570.0</v>
      </c>
      <c r="P565" s="11">
        <v>32150.0</v>
      </c>
      <c r="Q565" s="11">
        <v>22280.0</v>
      </c>
      <c r="R565" s="12"/>
      <c r="S565" s="12"/>
      <c r="T565" s="11">
        <v>43430.0</v>
      </c>
      <c r="U565" s="11">
        <v>25180.0</v>
      </c>
      <c r="V565" s="11">
        <v>18490.0</v>
      </c>
      <c r="W565" s="12"/>
      <c r="X565" s="12"/>
      <c r="Y565" s="11">
        <v>-84220.0</v>
      </c>
      <c r="Z565" s="12"/>
      <c r="AA565" s="12"/>
      <c r="AB565" s="12"/>
      <c r="AC565" s="12"/>
      <c r="AD565" s="11">
        <v>-82680.0</v>
      </c>
      <c r="AE565" s="11">
        <v>-32590.0</v>
      </c>
      <c r="AF565" s="11">
        <v>-22960.0</v>
      </c>
      <c r="AG565" s="12"/>
      <c r="AH565" s="12"/>
      <c r="AI565" s="11">
        <v>-56570.0</v>
      </c>
      <c r="AJ565" s="11">
        <v>-32150.0</v>
      </c>
      <c r="AK565" s="11">
        <v>-22280.0</v>
      </c>
      <c r="AL565" s="12"/>
      <c r="AM565" s="12"/>
      <c r="AN565" s="11">
        <v>-82680.0</v>
      </c>
      <c r="AO565" s="11">
        <v>-32590.0</v>
      </c>
      <c r="AP565" s="11">
        <v>-22960.0</v>
      </c>
      <c r="AQ565" s="12"/>
      <c r="AR565" s="12"/>
      <c r="AS565" s="11">
        <v>-39480.0</v>
      </c>
      <c r="AT565" s="11">
        <v>-22560.0</v>
      </c>
      <c r="AU565" s="11">
        <v>-20070.0</v>
      </c>
      <c r="AV565" s="12"/>
      <c r="AW565" s="12"/>
      <c r="AX565" s="11">
        <v>-853.0</v>
      </c>
      <c r="AY565" s="11">
        <v>-8980.0</v>
      </c>
      <c r="AZ565" s="11">
        <v>-1910.0</v>
      </c>
      <c r="BA565" s="12"/>
      <c r="BB565" s="12"/>
      <c r="BC565" s="12"/>
      <c r="BD565" s="12"/>
      <c r="BE565" s="12"/>
      <c r="BF565" s="12"/>
      <c r="BG565" s="12"/>
      <c r="BH565" s="11">
        <v>96710.0</v>
      </c>
      <c r="BI565" s="11">
        <v>72800.0</v>
      </c>
      <c r="BJ565" s="11">
        <v>407.0</v>
      </c>
      <c r="BK565" s="12"/>
      <c r="BL565" s="12"/>
      <c r="BM565" s="11">
        <v>111.0</v>
      </c>
      <c r="BN565" s="11">
        <v>501.0</v>
      </c>
      <c r="BO565" s="11">
        <v>39.0</v>
      </c>
      <c r="BP565" s="12"/>
      <c r="BQ565" s="12"/>
      <c r="BR565" s="12"/>
      <c r="BS565" s="12"/>
      <c r="BT565" s="12"/>
      <c r="BU565" s="12"/>
      <c r="BV565" s="12"/>
      <c r="BW565" s="11">
        <v>100080.0</v>
      </c>
      <c r="BX565" s="11">
        <v>74100.0</v>
      </c>
      <c r="BY565" s="11">
        <v>1340.0</v>
      </c>
      <c r="BZ565" s="12"/>
      <c r="CA565" s="12"/>
      <c r="CB565" s="11">
        <v>9210.0</v>
      </c>
      <c r="CC565" s="11">
        <v>10550.0</v>
      </c>
      <c r="CD565" s="11">
        <v>2940.0</v>
      </c>
      <c r="CE565" s="12"/>
      <c r="CF565" s="12"/>
      <c r="CG565" s="12"/>
      <c r="CH565" s="12"/>
      <c r="CI565" s="12"/>
      <c r="CJ565" s="12"/>
      <c r="CK565" s="12"/>
      <c r="CL565" s="11">
        <v>110440.0</v>
      </c>
      <c r="CM565" s="11">
        <v>85770.0</v>
      </c>
      <c r="CN565" s="11">
        <v>4340.0</v>
      </c>
      <c r="CO565" s="12"/>
      <c r="CP565" s="12"/>
      <c r="CQ565" s="11">
        <v>2190.0</v>
      </c>
      <c r="CR565" s="11">
        <v>1260.0</v>
      </c>
      <c r="CS565" s="11">
        <v>1670.0</v>
      </c>
      <c r="CT565" s="12"/>
      <c r="CU565" s="12"/>
      <c r="CV565" s="11">
        <v>12140.0</v>
      </c>
      <c r="CW565" s="12"/>
      <c r="CX565" s="12"/>
      <c r="CY565" s="12"/>
      <c r="CZ565" s="12"/>
      <c r="DA565" s="12"/>
      <c r="DB565" s="11">
        <v>12140.0</v>
      </c>
      <c r="DC565" s="11">
        <v>4230.0</v>
      </c>
      <c r="DD565" s="11">
        <v>2790.0</v>
      </c>
      <c r="DE565" s="12"/>
      <c r="DF565" s="11">
        <v>23290.0</v>
      </c>
      <c r="DG565" s="11">
        <v>149440.0</v>
      </c>
      <c r="DH565" s="11">
        <v>37610.0</v>
      </c>
      <c r="DI565" s="12"/>
      <c r="DJ565" s="12"/>
      <c r="DK565" s="11">
        <v>1090.0</v>
      </c>
      <c r="DL565" s="11">
        <v>1090.0</v>
      </c>
      <c r="DM565" s="12"/>
      <c r="DN565" s="12"/>
      <c r="DO565" s="12"/>
      <c r="DP565" s="11">
        <v>21.0</v>
      </c>
      <c r="DQ565" s="11">
        <v>139750.0</v>
      </c>
      <c r="DR565" s="11">
        <v>34590.0</v>
      </c>
      <c r="DS565" s="12"/>
      <c r="DT565" s="12"/>
      <c r="DU565" s="13"/>
      <c r="DV565" s="12"/>
      <c r="DW565" s="12"/>
      <c r="DX565" s="13"/>
      <c r="DY565" s="13"/>
      <c r="DZ565" s="11">
        <v>87150.0</v>
      </c>
      <c r="EA565" s="11">
        <v>-63670.0</v>
      </c>
      <c r="EB565" s="11">
        <v>-33270.0</v>
      </c>
      <c r="EC565" s="12"/>
      <c r="ED565" s="12"/>
      <c r="EE565" s="23"/>
      <c r="EF565" s="23"/>
      <c r="EG565" s="14">
        <v>0.154</v>
      </c>
      <c r="EH565" s="14">
        <v>0.223</v>
      </c>
    </row>
    <row r="566">
      <c r="A566" s="9">
        <f t="shared" si="2"/>
        <v>564</v>
      </c>
      <c r="B566" s="10" t="s">
        <v>701</v>
      </c>
      <c r="C566" s="15">
        <v>1190000.0</v>
      </c>
      <c r="D566" s="15">
        <v>643960.0</v>
      </c>
      <c r="E566" s="15">
        <v>1470000.0</v>
      </c>
      <c r="F566" s="15">
        <v>1350000.0</v>
      </c>
      <c r="G566" s="15">
        <v>1320000.0</v>
      </c>
      <c r="H566" s="15">
        <v>1290000.0</v>
      </c>
      <c r="I566" s="15">
        <v>1240000.0</v>
      </c>
      <c r="J566" s="15">
        <v>536010.0</v>
      </c>
      <c r="K566" s="15">
        <v>493920.0</v>
      </c>
      <c r="L566" s="15">
        <v>499830.0</v>
      </c>
      <c r="M566" s="15">
        <v>511360.0</v>
      </c>
      <c r="N566" s="15">
        <v>487690.0</v>
      </c>
      <c r="O566" s="15">
        <v>222250.0</v>
      </c>
      <c r="P566" s="15">
        <v>193330.0</v>
      </c>
      <c r="Q566" s="15">
        <v>193770.0</v>
      </c>
      <c r="R566" s="15">
        <v>181830.0</v>
      </c>
      <c r="S566" s="15">
        <v>171490.0</v>
      </c>
      <c r="T566" s="15">
        <v>0.0</v>
      </c>
      <c r="U566" s="15">
        <v>0.0</v>
      </c>
      <c r="V566" s="15">
        <v>0.0</v>
      </c>
      <c r="W566" s="15">
        <v>0.0</v>
      </c>
      <c r="X566" s="15">
        <v>0.0</v>
      </c>
      <c r="Y566" s="15">
        <v>292290.0</v>
      </c>
      <c r="Z566" s="15">
        <v>281890.0</v>
      </c>
      <c r="AA566" s="15">
        <v>279720.0</v>
      </c>
      <c r="AB566" s="15">
        <v>326810.0</v>
      </c>
      <c r="AC566" s="15">
        <v>-9080.0</v>
      </c>
      <c r="AD566" s="15">
        <v>215150.0</v>
      </c>
      <c r="AE566" s="15">
        <v>161400.0</v>
      </c>
      <c r="AF566" s="15">
        <v>216590.0</v>
      </c>
      <c r="AG566" s="15">
        <v>249110.0</v>
      </c>
      <c r="AH566" s="15">
        <v>134410.0</v>
      </c>
      <c r="AI566" s="15">
        <v>484210.0</v>
      </c>
      <c r="AJ566" s="15">
        <v>456110.0</v>
      </c>
      <c r="AK566" s="15">
        <v>459280.0</v>
      </c>
      <c r="AL566" s="15">
        <v>461400.0</v>
      </c>
      <c r="AM566" s="15">
        <v>441840.0</v>
      </c>
      <c r="AN566" s="15">
        <v>172360.0</v>
      </c>
      <c r="AO566" s="15">
        <v>126650.0</v>
      </c>
      <c r="AP566" s="15">
        <v>215470.0</v>
      </c>
      <c r="AQ566" s="15">
        <v>177690.0</v>
      </c>
      <c r="AR566" s="15">
        <v>112220.0</v>
      </c>
      <c r="AS566" s="15">
        <v>403040.0</v>
      </c>
      <c r="AT566" s="15">
        <v>348200.0</v>
      </c>
      <c r="AU566" s="15">
        <v>331180.0</v>
      </c>
      <c r="AV566" s="15">
        <v>357430.0</v>
      </c>
      <c r="AW566" s="15">
        <v>342220.0</v>
      </c>
      <c r="AX566" s="15">
        <v>-330660.0</v>
      </c>
      <c r="AY566" s="15">
        <v>-189820.0</v>
      </c>
      <c r="AZ566" s="15">
        <v>-188150.0</v>
      </c>
      <c r="BA566" s="15">
        <v>-161230.0</v>
      </c>
      <c r="BB566" s="15">
        <v>-175870.0</v>
      </c>
      <c r="BC566" s="15">
        <v>-210010.0</v>
      </c>
      <c r="BD566" s="15">
        <v>-203200.0</v>
      </c>
      <c r="BE566" s="15">
        <v>-194760.0</v>
      </c>
      <c r="BF566" s="15">
        <v>-187180.0</v>
      </c>
      <c r="BG566" s="15">
        <v>-172610.0</v>
      </c>
      <c r="BH566" s="15">
        <v>182530.0</v>
      </c>
      <c r="BI566" s="15">
        <v>105860.0</v>
      </c>
      <c r="BJ566" s="15">
        <v>166250.0</v>
      </c>
      <c r="BK566" s="15">
        <v>122720.0</v>
      </c>
      <c r="BL566" s="15">
        <v>119560.0</v>
      </c>
      <c r="BM566" s="15">
        <v>63110.0</v>
      </c>
      <c r="BN566" s="15">
        <v>51520.0</v>
      </c>
      <c r="BO566" s="15">
        <v>37720.0</v>
      </c>
      <c r="BP566" s="15">
        <v>35410.0</v>
      </c>
      <c r="BQ566" s="15">
        <v>29490.0</v>
      </c>
      <c r="BR566" s="15">
        <v>32900.0</v>
      </c>
      <c r="BS566" s="15">
        <v>30750.0</v>
      </c>
      <c r="BT566" s="15">
        <v>29720.0</v>
      </c>
      <c r="BU566" s="15">
        <v>26280.0</v>
      </c>
      <c r="BV566" s="15">
        <v>25030.0</v>
      </c>
      <c r="BW566" s="15">
        <v>294180.0</v>
      </c>
      <c r="BX566" s="15">
        <v>200210.0</v>
      </c>
      <c r="BY566" s="15">
        <v>246980.0</v>
      </c>
      <c r="BZ566" s="15">
        <v>195680.0</v>
      </c>
      <c r="CA566" s="15">
        <v>184030.0</v>
      </c>
      <c r="CB566" s="15">
        <v>1860000.0</v>
      </c>
      <c r="CC566" s="15">
        <v>1600000.0</v>
      </c>
      <c r="CD566" s="15">
        <v>1590000.0</v>
      </c>
      <c r="CE566" s="15">
        <v>1540000.0</v>
      </c>
      <c r="CF566" s="15">
        <v>1510000.0</v>
      </c>
      <c r="CG566" s="15">
        <v>359650.0</v>
      </c>
      <c r="CH566" s="15">
        <v>178720.0</v>
      </c>
      <c r="CI566" s="15">
        <v>183830.0</v>
      </c>
      <c r="CJ566" s="15">
        <v>179660.0</v>
      </c>
      <c r="CK566" s="15">
        <v>210810.0</v>
      </c>
      <c r="CL566" s="15">
        <v>2610000.0</v>
      </c>
      <c r="CM566" s="15">
        <v>2050000.0</v>
      </c>
      <c r="CN566" s="15">
        <v>2090000.0</v>
      </c>
      <c r="CO566" s="15">
        <v>1970000.0</v>
      </c>
      <c r="CP566" s="15">
        <v>1960000.0</v>
      </c>
      <c r="CQ566" s="15">
        <v>29340.0</v>
      </c>
      <c r="CR566" s="15">
        <v>23310.0</v>
      </c>
      <c r="CS566" s="15">
        <v>24620.0</v>
      </c>
      <c r="CT566" s="15">
        <v>20850.0</v>
      </c>
      <c r="CU566" s="15">
        <v>17120.0</v>
      </c>
      <c r="CV566" s="15">
        <v>324140.0</v>
      </c>
      <c r="CW566" s="15">
        <v>2170.0</v>
      </c>
      <c r="CX566" s="16">
        <v>0.0</v>
      </c>
      <c r="CY566" s="16">
        <v>0.0</v>
      </c>
      <c r="CZ566" s="16">
        <v>0.0</v>
      </c>
      <c r="DA566" s="15">
        <v>0.0</v>
      </c>
      <c r="DB566" s="15">
        <v>324140.0</v>
      </c>
      <c r="DC566" s="15">
        <v>234720.0</v>
      </c>
      <c r="DD566" s="15">
        <v>225490.0</v>
      </c>
      <c r="DE566" s="15">
        <v>242680.0</v>
      </c>
      <c r="DF566" s="15">
        <v>2620000.0</v>
      </c>
      <c r="DG566" s="15">
        <v>2020000.0</v>
      </c>
      <c r="DH566" s="15">
        <v>2010000.0</v>
      </c>
      <c r="DI566" s="15">
        <v>1910000.0</v>
      </c>
      <c r="DJ566" s="15">
        <v>1910000.0</v>
      </c>
      <c r="DK566" s="15">
        <v>0.0</v>
      </c>
      <c r="DL566" s="15">
        <v>0.0</v>
      </c>
      <c r="DM566" s="15">
        <v>0.0</v>
      </c>
      <c r="DN566" s="15">
        <v>0.0</v>
      </c>
      <c r="DO566" s="15">
        <v>0.0</v>
      </c>
      <c r="DP566" s="15">
        <v>2160000.0</v>
      </c>
      <c r="DQ566" s="15">
        <v>1660000.0</v>
      </c>
      <c r="DR566" s="15">
        <v>1660000.0</v>
      </c>
      <c r="DS566" s="15">
        <v>1530000.0</v>
      </c>
      <c r="DT566" s="15">
        <v>1540000.0</v>
      </c>
      <c r="DU566" s="16">
        <v>0.0</v>
      </c>
      <c r="DV566" s="15">
        <v>0.0</v>
      </c>
      <c r="DW566" s="15">
        <v>0.0</v>
      </c>
      <c r="DX566" s="15">
        <v>0.0</v>
      </c>
      <c r="DY566" s="15">
        <v>0.0</v>
      </c>
      <c r="DZ566" s="15">
        <v>-15260.0</v>
      </c>
      <c r="EA566" s="15">
        <v>27130.0</v>
      </c>
      <c r="EB566" s="15">
        <v>77660.0</v>
      </c>
      <c r="EC566" s="15">
        <v>55230.0</v>
      </c>
      <c r="ED566" s="15">
        <v>51720.0</v>
      </c>
      <c r="EE566" s="17">
        <v>0.556</v>
      </c>
      <c r="EF566" s="17">
        <v>0.406</v>
      </c>
      <c r="EG566" s="17">
        <v>-1.266</v>
      </c>
      <c r="EH566" s="17">
        <v>-0.422</v>
      </c>
    </row>
    <row r="567">
      <c r="A567" s="9">
        <f t="shared" si="2"/>
        <v>565</v>
      </c>
      <c r="B567" s="22" t="s">
        <v>702</v>
      </c>
      <c r="C567" s="11">
        <v>-3330.0</v>
      </c>
      <c r="D567" s="12"/>
      <c r="E567" s="12"/>
      <c r="F567" s="12"/>
      <c r="G567" s="12"/>
      <c r="H567" s="12"/>
      <c r="I567" s="12"/>
      <c r="J567" s="11">
        <v>-385.0</v>
      </c>
      <c r="K567" s="11">
        <v>-148.0</v>
      </c>
      <c r="L567" s="11">
        <v>-30.0</v>
      </c>
      <c r="M567" s="12"/>
      <c r="N567" s="12"/>
      <c r="O567" s="11">
        <v>23790.0</v>
      </c>
      <c r="P567" s="11">
        <v>12940.0</v>
      </c>
      <c r="Q567" s="11">
        <v>9040.0</v>
      </c>
      <c r="R567" s="12"/>
      <c r="S567" s="12"/>
      <c r="T567" s="11">
        <v>14110.0</v>
      </c>
      <c r="U567" s="11">
        <v>8920.0</v>
      </c>
      <c r="V567" s="11">
        <v>6970.0</v>
      </c>
      <c r="W567" s="12"/>
      <c r="X567" s="12"/>
      <c r="Y567" s="11">
        <v>-22280.0</v>
      </c>
      <c r="Z567" s="11">
        <v>-15250.0</v>
      </c>
      <c r="AA567" s="11">
        <v>-8110.0</v>
      </c>
      <c r="AB567" s="12"/>
      <c r="AC567" s="12"/>
      <c r="AD567" s="11">
        <v>-21380.0</v>
      </c>
      <c r="AE567" s="11">
        <v>-15300.0</v>
      </c>
      <c r="AF567" s="11">
        <v>-8130.0</v>
      </c>
      <c r="AG567" s="12"/>
      <c r="AH567" s="12"/>
      <c r="AI567" s="11">
        <v>-23790.0</v>
      </c>
      <c r="AJ567" s="11">
        <v>-12940.0</v>
      </c>
      <c r="AK567" s="11">
        <v>-9040.0</v>
      </c>
      <c r="AL567" s="12"/>
      <c r="AM567" s="12"/>
      <c r="AN567" s="11">
        <v>-21480.0</v>
      </c>
      <c r="AO567" s="11">
        <v>-15100.0</v>
      </c>
      <c r="AP567" s="11">
        <v>-8130.0</v>
      </c>
      <c r="AQ567" s="12"/>
      <c r="AR567" s="12"/>
      <c r="AS567" s="11">
        <v>-18170.0</v>
      </c>
      <c r="AT567" s="11">
        <v>-12790.0</v>
      </c>
      <c r="AU567" s="11">
        <v>-7950.0</v>
      </c>
      <c r="AV567" s="12"/>
      <c r="AW567" s="12"/>
      <c r="AX567" s="11">
        <v>-605.0</v>
      </c>
      <c r="AY567" s="11">
        <v>-1460.0</v>
      </c>
      <c r="AZ567" s="11">
        <v>-125.0</v>
      </c>
      <c r="BA567" s="12"/>
      <c r="BB567" s="12"/>
      <c r="BC567" s="12"/>
      <c r="BD567" s="12"/>
      <c r="BE567" s="12"/>
      <c r="BF567" s="12"/>
      <c r="BG567" s="12"/>
      <c r="BH567" s="11">
        <v>85100.0</v>
      </c>
      <c r="BI567" s="11">
        <v>39670.0</v>
      </c>
      <c r="BJ567" s="12"/>
      <c r="BK567" s="12"/>
      <c r="BL567" s="12"/>
      <c r="BM567" s="11">
        <v>555.0</v>
      </c>
      <c r="BN567" s="11">
        <v>660.0</v>
      </c>
      <c r="BO567" s="12"/>
      <c r="BP567" s="12"/>
      <c r="BQ567" s="12"/>
      <c r="BR567" s="12"/>
      <c r="BS567" s="12"/>
      <c r="BT567" s="12"/>
      <c r="BU567" s="12"/>
      <c r="BV567" s="12"/>
      <c r="BW567" s="11">
        <v>86300.0</v>
      </c>
      <c r="BX567" s="11">
        <v>41300.0</v>
      </c>
      <c r="BY567" s="12"/>
      <c r="BZ567" s="12"/>
      <c r="CA567" s="12"/>
      <c r="CB567" s="11">
        <v>1650.0</v>
      </c>
      <c r="CC567" s="11">
        <v>1510.0</v>
      </c>
      <c r="CD567" s="12"/>
      <c r="CE567" s="12"/>
      <c r="CF567" s="12"/>
      <c r="CG567" s="12"/>
      <c r="CH567" s="12"/>
      <c r="CI567" s="12"/>
      <c r="CJ567" s="12"/>
      <c r="CK567" s="12"/>
      <c r="CL567" s="11">
        <v>89990.0</v>
      </c>
      <c r="CM567" s="11">
        <v>42870.0</v>
      </c>
      <c r="CN567" s="12"/>
      <c r="CO567" s="12"/>
      <c r="CP567" s="12"/>
      <c r="CQ567" s="12"/>
      <c r="CR567" s="12"/>
      <c r="CS567" s="12"/>
      <c r="CT567" s="12"/>
      <c r="CU567" s="12"/>
      <c r="CV567" s="11">
        <v>5540.0</v>
      </c>
      <c r="CW567" s="12"/>
      <c r="CX567" s="12"/>
      <c r="CY567" s="12"/>
      <c r="CZ567" s="12"/>
      <c r="DA567" s="12"/>
      <c r="DB567" s="11">
        <v>5540.0</v>
      </c>
      <c r="DC567" s="11">
        <v>2180.0</v>
      </c>
      <c r="DD567" s="12"/>
      <c r="DE567" s="12"/>
      <c r="DF567" s="11">
        <v>13400.0</v>
      </c>
      <c r="DG567" s="11">
        <v>2420.0</v>
      </c>
      <c r="DH567" s="12"/>
      <c r="DI567" s="12"/>
      <c r="DJ567" s="12"/>
      <c r="DK567" s="11">
        <v>1940.0</v>
      </c>
      <c r="DL567" s="11">
        <v>44.0</v>
      </c>
      <c r="DM567" s="12"/>
      <c r="DN567" s="12"/>
      <c r="DO567" s="12"/>
      <c r="DP567" s="11">
        <v>7440.0</v>
      </c>
      <c r="DQ567" s="12"/>
      <c r="DR567" s="12"/>
      <c r="DS567" s="12"/>
      <c r="DT567" s="12"/>
      <c r="DU567" s="11">
        <v>92840.0</v>
      </c>
      <c r="DV567" s="11">
        <v>44210.0</v>
      </c>
      <c r="DW567" s="12"/>
      <c r="DX567" s="13"/>
      <c r="DY567" s="13"/>
      <c r="DZ567" s="11">
        <v>49410.0</v>
      </c>
      <c r="EA567" s="11">
        <v>19740.0</v>
      </c>
      <c r="EB567" s="12"/>
      <c r="EC567" s="12"/>
      <c r="ED567" s="12"/>
      <c r="EE567" s="23"/>
      <c r="EF567" s="23"/>
      <c r="EG567" s="14">
        <v>-4.98</v>
      </c>
      <c r="EH567" s="23"/>
    </row>
    <row r="568">
      <c r="A568" s="9">
        <f t="shared" si="2"/>
        <v>566</v>
      </c>
      <c r="B568" s="10" t="s">
        <v>703</v>
      </c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3"/>
      <c r="BD568" s="13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3"/>
      <c r="CY568" s="13"/>
      <c r="CZ568" s="13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3"/>
      <c r="DV568" s="12"/>
      <c r="DW568" s="12"/>
      <c r="DX568" s="13"/>
      <c r="DY568" s="13"/>
      <c r="DZ568" s="12"/>
      <c r="EA568" s="12"/>
      <c r="EB568" s="12"/>
      <c r="EC568" s="12"/>
      <c r="ED568" s="12"/>
      <c r="EE568" s="23"/>
      <c r="EF568" s="23"/>
      <c r="EG568" s="23"/>
      <c r="EH568" s="23"/>
    </row>
    <row r="569">
      <c r="A569" s="9">
        <f t="shared" si="2"/>
        <v>567</v>
      </c>
      <c r="B569" s="22" t="s">
        <v>704</v>
      </c>
      <c r="C569" s="12"/>
      <c r="D569" s="11">
        <v>1250000.0</v>
      </c>
      <c r="E569" s="12"/>
      <c r="F569" s="12"/>
      <c r="G569" s="12"/>
      <c r="H569" s="12"/>
      <c r="I569" s="12"/>
      <c r="J569" s="11">
        <v>-1.0</v>
      </c>
      <c r="K569" s="11">
        <v>-4.0</v>
      </c>
      <c r="L569" s="12"/>
      <c r="M569" s="11">
        <v>-109.0</v>
      </c>
      <c r="N569" s="11">
        <v>-37.0</v>
      </c>
      <c r="O569" s="11">
        <v>5280.0</v>
      </c>
      <c r="P569" s="11">
        <v>12270.0</v>
      </c>
      <c r="Q569" s="11">
        <v>36920.0</v>
      </c>
      <c r="R569" s="11">
        <v>55210.0</v>
      </c>
      <c r="S569" s="11">
        <v>49290.0</v>
      </c>
      <c r="T569" s="11">
        <v>1050.0</v>
      </c>
      <c r="U569" s="11">
        <v>2740.0</v>
      </c>
      <c r="V569" s="11">
        <v>20440.0</v>
      </c>
      <c r="W569" s="11">
        <v>40860.0</v>
      </c>
      <c r="X569" s="11">
        <v>33520.0</v>
      </c>
      <c r="Y569" s="12"/>
      <c r="Z569" s="12"/>
      <c r="AA569" s="11">
        <v>1200000.0</v>
      </c>
      <c r="AB569" s="12"/>
      <c r="AC569" s="12"/>
      <c r="AD569" s="11">
        <v>-4220.0</v>
      </c>
      <c r="AE569" s="11">
        <v>-8920.0</v>
      </c>
      <c r="AF569" s="11">
        <v>1190000.0</v>
      </c>
      <c r="AG569" s="11">
        <v>-54430.0</v>
      </c>
      <c r="AH569" s="11">
        <v>-37150.0</v>
      </c>
      <c r="AI569" s="11">
        <v>-5280.0</v>
      </c>
      <c r="AJ569" s="11">
        <v>-12270.0</v>
      </c>
      <c r="AK569" s="11">
        <v>1200000.0</v>
      </c>
      <c r="AL569" s="11">
        <v>-55210.0</v>
      </c>
      <c r="AM569" s="11">
        <v>-49290.0</v>
      </c>
      <c r="AN569" s="11">
        <v>-4220.0</v>
      </c>
      <c r="AO569" s="11">
        <v>-8710.0</v>
      </c>
      <c r="AP569" s="11">
        <v>924710.0</v>
      </c>
      <c r="AQ569" s="11">
        <v>-33270.0</v>
      </c>
      <c r="AR569" s="11">
        <v>-36820.0</v>
      </c>
      <c r="AS569" s="11">
        <v>-2230.0</v>
      </c>
      <c r="AT569" s="11">
        <v>-14770.0</v>
      </c>
      <c r="AU569" s="11">
        <v>947750.0</v>
      </c>
      <c r="AV569" s="11">
        <v>-34030.0</v>
      </c>
      <c r="AW569" s="11">
        <v>-34950.0</v>
      </c>
      <c r="AX569" s="12"/>
      <c r="AY569" s="12"/>
      <c r="AZ569" s="11">
        <v>-3.0</v>
      </c>
      <c r="BA569" s="11">
        <v>-31.0</v>
      </c>
      <c r="BB569" s="11">
        <v>-380.0</v>
      </c>
      <c r="BC569" s="12"/>
      <c r="BD569" s="12"/>
      <c r="BE569" s="12"/>
      <c r="BF569" s="12"/>
      <c r="BG569" s="12"/>
      <c r="BH569" s="11">
        <v>77600.0</v>
      </c>
      <c r="BI569" s="11">
        <v>82540.0</v>
      </c>
      <c r="BJ569" s="11">
        <v>109550.0</v>
      </c>
      <c r="BK569" s="11">
        <v>138720.0</v>
      </c>
      <c r="BL569" s="11">
        <v>93900.0</v>
      </c>
      <c r="BM569" s="11">
        <v>273.0</v>
      </c>
      <c r="BN569" s="11">
        <v>448.0</v>
      </c>
      <c r="BO569" s="11">
        <v>935.0</v>
      </c>
      <c r="BP569" s="11">
        <v>427.0</v>
      </c>
      <c r="BQ569" s="11">
        <v>847.0</v>
      </c>
      <c r="BR569" s="12"/>
      <c r="BS569" s="12"/>
      <c r="BT569" s="12"/>
      <c r="BU569" s="12"/>
      <c r="BV569" s="12"/>
      <c r="BW569" s="11">
        <v>78160.0</v>
      </c>
      <c r="BX569" s="11">
        <v>83330.0</v>
      </c>
      <c r="BY569" s="11">
        <v>110990.0</v>
      </c>
      <c r="BZ569" s="11">
        <v>139800.0</v>
      </c>
      <c r="CA569" s="11">
        <v>99800.0</v>
      </c>
      <c r="CB569" s="12"/>
      <c r="CC569" s="12"/>
      <c r="CD569" s="11">
        <v>12.0</v>
      </c>
      <c r="CE569" s="11">
        <v>268.0</v>
      </c>
      <c r="CF569" s="11">
        <v>352.0</v>
      </c>
      <c r="CG569" s="12"/>
      <c r="CH569" s="12"/>
      <c r="CI569" s="12"/>
      <c r="CJ569" s="12"/>
      <c r="CK569" s="12"/>
      <c r="CL569" s="11">
        <v>78170.0</v>
      </c>
      <c r="CM569" s="11">
        <v>83330.0</v>
      </c>
      <c r="CN569" s="11">
        <v>111010.0</v>
      </c>
      <c r="CO569" s="11">
        <v>163140.0</v>
      </c>
      <c r="CP569" s="11">
        <v>182900.0</v>
      </c>
      <c r="CQ569" s="11">
        <v>82.0</v>
      </c>
      <c r="CR569" s="11">
        <v>428.0</v>
      </c>
      <c r="CS569" s="11">
        <v>1200.0</v>
      </c>
      <c r="CT569" s="11">
        <v>2070.0</v>
      </c>
      <c r="CU569" s="11">
        <v>3990.0</v>
      </c>
      <c r="CV569" s="11">
        <v>596.0</v>
      </c>
      <c r="CW569" s="12"/>
      <c r="CX569" s="12"/>
      <c r="CY569" s="12"/>
      <c r="CZ569" s="12"/>
      <c r="DA569" s="12"/>
      <c r="DB569" s="11">
        <v>596.0</v>
      </c>
      <c r="DC569" s="11">
        <v>1120.0</v>
      </c>
      <c r="DD569" s="11">
        <v>21290.0</v>
      </c>
      <c r="DE569" s="11">
        <v>7340.0</v>
      </c>
      <c r="DF569" s="11">
        <v>596.0</v>
      </c>
      <c r="DG569" s="11">
        <v>1120.0</v>
      </c>
      <c r="DH569" s="11">
        <v>21330.0</v>
      </c>
      <c r="DI569" s="11">
        <v>7340.0</v>
      </c>
      <c r="DJ569" s="11">
        <v>6210.0</v>
      </c>
      <c r="DK569" s="12"/>
      <c r="DL569" s="12"/>
      <c r="DM569" s="11">
        <v>5.0</v>
      </c>
      <c r="DN569" s="11">
        <v>5.0</v>
      </c>
      <c r="DO569" s="11">
        <v>82750.0</v>
      </c>
      <c r="DP569" s="12"/>
      <c r="DQ569" s="12"/>
      <c r="DR569" s="12"/>
      <c r="DS569" s="12"/>
      <c r="DT569" s="12"/>
      <c r="DU569" s="13"/>
      <c r="DV569" s="12"/>
      <c r="DW569" s="12"/>
      <c r="DX569" s="13"/>
      <c r="DY569" s="13"/>
      <c r="DZ569" s="11">
        <v>77570.0</v>
      </c>
      <c r="EA569" s="11">
        <v>82220.0</v>
      </c>
      <c r="EB569" s="11">
        <v>89680.0</v>
      </c>
      <c r="EC569" s="11">
        <v>155800.0</v>
      </c>
      <c r="ED569" s="11">
        <v>176690.0</v>
      </c>
      <c r="EE569" s="14">
        <v>0.0</v>
      </c>
      <c r="EF569" s="23"/>
      <c r="EG569" s="14">
        <v>-4.833</v>
      </c>
      <c r="EH569" s="14">
        <v>-6.095</v>
      </c>
    </row>
    <row r="570">
      <c r="A570" s="9">
        <f t="shared" si="2"/>
        <v>568</v>
      </c>
      <c r="B570" s="10" t="s">
        <v>705</v>
      </c>
      <c r="C570" s="11">
        <v>1350000.0</v>
      </c>
      <c r="D570" s="11">
        <v>1270000.0</v>
      </c>
      <c r="E570" s="11">
        <v>1410000.0</v>
      </c>
      <c r="F570" s="11">
        <v>1320000.0</v>
      </c>
      <c r="G570" s="11">
        <v>1170000.0</v>
      </c>
      <c r="H570" s="11">
        <v>982530.0</v>
      </c>
      <c r="I570" s="11">
        <v>959130.0</v>
      </c>
      <c r="J570" s="11">
        <v>118790.0</v>
      </c>
      <c r="K570" s="11">
        <v>122030.0</v>
      </c>
      <c r="L570" s="11">
        <v>108760.0</v>
      </c>
      <c r="M570" s="11">
        <v>102420.0</v>
      </c>
      <c r="N570" s="11">
        <v>90970.0</v>
      </c>
      <c r="O570" s="11"/>
      <c r="P570" s="11"/>
      <c r="Q570" s="11"/>
      <c r="R570" s="11"/>
      <c r="S570" s="11"/>
      <c r="T570" s="12"/>
      <c r="U570" s="12"/>
      <c r="V570" s="12"/>
      <c r="W570" s="12"/>
      <c r="X570" s="12"/>
      <c r="Y570" s="11">
        <v>118820.0</v>
      </c>
      <c r="Z570" s="12"/>
      <c r="AA570" s="11"/>
      <c r="AB570" s="11">
        <v>59980.0</v>
      </c>
      <c r="AC570" s="11">
        <v>-9200.0</v>
      </c>
      <c r="AD570" s="11">
        <v>116110.0</v>
      </c>
      <c r="AE570" s="11">
        <v>120250.0</v>
      </c>
      <c r="AF570" s="11">
        <v>107540.0</v>
      </c>
      <c r="AG570" s="11">
        <v>58390.0</v>
      </c>
      <c r="AH570" s="11">
        <v>79670.0</v>
      </c>
      <c r="AI570" s="11">
        <v>160900.0</v>
      </c>
      <c r="AJ570" s="11">
        <v>164210.0</v>
      </c>
      <c r="AK570" s="11">
        <v>149810.0</v>
      </c>
      <c r="AL570" s="11">
        <v>140630.0</v>
      </c>
      <c r="AM570" s="11">
        <v>128130.0</v>
      </c>
      <c r="AN570" s="11">
        <v>86150.0</v>
      </c>
      <c r="AO570" s="11">
        <v>91170.0</v>
      </c>
      <c r="AP570" s="11">
        <v>86560.0</v>
      </c>
      <c r="AQ570" s="11">
        <v>27460.0</v>
      </c>
      <c r="AR570" s="11">
        <v>55210.0</v>
      </c>
      <c r="AS570" s="11">
        <v>159020.0</v>
      </c>
      <c r="AT570" s="11">
        <v>152550.0</v>
      </c>
      <c r="AU570" s="11">
        <v>103360.0</v>
      </c>
      <c r="AV570" s="11">
        <v>130350.0</v>
      </c>
      <c r="AW570" s="11">
        <v>85720.0</v>
      </c>
      <c r="AX570" s="11">
        <v>-28210.0</v>
      </c>
      <c r="AY570" s="11">
        <v>-42290.0</v>
      </c>
      <c r="AZ570" s="11">
        <v>-38270.0</v>
      </c>
      <c r="BA570" s="11">
        <v>-42190.0</v>
      </c>
      <c r="BB570" s="11">
        <v>-40500.0</v>
      </c>
      <c r="BC570" s="11">
        <v>-20490.0</v>
      </c>
      <c r="BD570" s="11">
        <v>-18430.0</v>
      </c>
      <c r="BE570" s="11">
        <v>-18050.0</v>
      </c>
      <c r="BF570" s="11">
        <v>-15530.0</v>
      </c>
      <c r="BG570" s="11">
        <v>-14820.0</v>
      </c>
      <c r="BH570" s="11">
        <v>64750.0</v>
      </c>
      <c r="BI570" s="11">
        <v>25660.0</v>
      </c>
      <c r="BJ570" s="11">
        <v>3890.0</v>
      </c>
      <c r="BK570" s="11">
        <v>8510.0</v>
      </c>
      <c r="BL570" s="11">
        <v>33310.0</v>
      </c>
      <c r="BM570" s="11">
        <v>154020.0</v>
      </c>
      <c r="BN570" s="11">
        <v>161420.0</v>
      </c>
      <c r="BO570" s="11">
        <v>152380.0</v>
      </c>
      <c r="BP570" s="11">
        <v>116600.0</v>
      </c>
      <c r="BQ570" s="11">
        <v>128040.0</v>
      </c>
      <c r="BR570" s="11">
        <v>2130.0</v>
      </c>
      <c r="BS570" s="11">
        <v>2240.0</v>
      </c>
      <c r="BT570" s="11">
        <v>1430.0</v>
      </c>
      <c r="BU570" s="11">
        <v>1310.0</v>
      </c>
      <c r="BV570" s="11">
        <v>1310.0</v>
      </c>
      <c r="BW570" s="11">
        <v>236320.0</v>
      </c>
      <c r="BX570" s="11">
        <v>201080.0</v>
      </c>
      <c r="BY570" s="11">
        <v>167650.0</v>
      </c>
      <c r="BZ570" s="11">
        <v>136270.0</v>
      </c>
      <c r="CA570" s="11">
        <v>173460.0</v>
      </c>
      <c r="CB570" s="11">
        <v>364690.0</v>
      </c>
      <c r="CC570" s="11">
        <v>209900.0</v>
      </c>
      <c r="CD570" s="11">
        <v>206110.0</v>
      </c>
      <c r="CE570" s="11">
        <v>200210.0</v>
      </c>
      <c r="CF570" s="11">
        <v>187290.0</v>
      </c>
      <c r="CG570" s="11">
        <v>221110.0</v>
      </c>
      <c r="CH570" s="11">
        <v>199090.0</v>
      </c>
      <c r="CI570" s="11">
        <v>191670.0</v>
      </c>
      <c r="CJ570" s="11">
        <v>184680.0</v>
      </c>
      <c r="CK570" s="11">
        <v>205610.0</v>
      </c>
      <c r="CL570" s="11">
        <v>1040000.0</v>
      </c>
      <c r="CM570" s="11">
        <v>777370.0</v>
      </c>
      <c r="CN570" s="11">
        <v>709250.0</v>
      </c>
      <c r="CO570" s="11">
        <v>666810.0</v>
      </c>
      <c r="CP570" s="11">
        <v>731670.0</v>
      </c>
      <c r="CQ570" s="11">
        <v>29990.0</v>
      </c>
      <c r="CR570" s="11">
        <v>34630.0</v>
      </c>
      <c r="CS570" s="11">
        <v>30720.0</v>
      </c>
      <c r="CT570" s="11">
        <v>18010.0</v>
      </c>
      <c r="CU570" s="11">
        <v>23330.0</v>
      </c>
      <c r="CV570" s="11">
        <v>137160.0</v>
      </c>
      <c r="CW570" s="11">
        <v>50620.0</v>
      </c>
      <c r="CX570" s="12"/>
      <c r="CY570" s="12"/>
      <c r="CZ570" s="12"/>
      <c r="DA570" s="12"/>
      <c r="DB570" s="11">
        <v>137160.0</v>
      </c>
      <c r="DC570" s="11">
        <v>74720.0</v>
      </c>
      <c r="DD570" s="11">
        <v>66150.0</v>
      </c>
      <c r="DE570" s="11">
        <v>77930.0</v>
      </c>
      <c r="DF570" s="11">
        <v>466270.0</v>
      </c>
      <c r="DG570" s="11">
        <v>224120.0</v>
      </c>
      <c r="DH570" s="11">
        <v>176550.0</v>
      </c>
      <c r="DI570" s="11">
        <v>167740.0</v>
      </c>
      <c r="DJ570" s="11">
        <v>221610.0</v>
      </c>
      <c r="DK570" s="12"/>
      <c r="DL570" s="11"/>
      <c r="DM570" s="11"/>
      <c r="DN570" s="11"/>
      <c r="DO570" s="12"/>
      <c r="DP570" s="11">
        <v>173770.0</v>
      </c>
      <c r="DQ570" s="11">
        <v>47340.0</v>
      </c>
      <c r="DR570" s="11">
        <v>40590.0</v>
      </c>
      <c r="DS570" s="11">
        <v>725.0</v>
      </c>
      <c r="DT570" s="11">
        <v>28620.0</v>
      </c>
      <c r="DU570" s="13"/>
      <c r="DV570" s="12"/>
      <c r="DW570" s="12"/>
      <c r="DX570" s="12"/>
      <c r="DY570" s="12"/>
      <c r="DZ570" s="11">
        <v>577180.0</v>
      </c>
      <c r="EA570" s="11">
        <v>553240.0</v>
      </c>
      <c r="EB570" s="11">
        <v>532700.0</v>
      </c>
      <c r="EC570" s="11">
        <v>499070.0</v>
      </c>
      <c r="ED570" s="11">
        <v>510060.0</v>
      </c>
      <c r="EE570" s="14">
        <v>0.039</v>
      </c>
      <c r="EF570" s="14">
        <v>0.03</v>
      </c>
      <c r="EG570" s="14">
        <v>1.75</v>
      </c>
      <c r="EH570" s="14">
        <v>0.352</v>
      </c>
    </row>
    <row r="571">
      <c r="A571" s="9">
        <f t="shared" si="2"/>
        <v>569</v>
      </c>
      <c r="B571" s="25" t="s">
        <v>706</v>
      </c>
      <c r="C571" s="15">
        <v>81900.0</v>
      </c>
      <c r="D571" s="15">
        <v>65650.0</v>
      </c>
      <c r="E571" s="15">
        <v>53980.0</v>
      </c>
      <c r="F571" s="15">
        <v>42000.0</v>
      </c>
      <c r="G571" s="15">
        <v>28290.0</v>
      </c>
      <c r="H571" s="15">
        <v>17250.0</v>
      </c>
      <c r="I571" s="15">
        <v>13460.0</v>
      </c>
      <c r="J571" s="15">
        <v>37590.0</v>
      </c>
      <c r="K571" s="15">
        <v>29660.0</v>
      </c>
      <c r="L571" s="15">
        <v>19460.0</v>
      </c>
      <c r="M571" s="15">
        <v>10720.0</v>
      </c>
      <c r="N571" s="15">
        <v>7590.0</v>
      </c>
      <c r="O571" s="15">
        <v>54800.0</v>
      </c>
      <c r="P571" s="15">
        <v>66070.0</v>
      </c>
      <c r="Q571" s="15">
        <v>44600.0</v>
      </c>
      <c r="R571" s="15">
        <v>27300.0</v>
      </c>
      <c r="S571" s="15">
        <v>16310.0</v>
      </c>
      <c r="T571" s="15"/>
      <c r="U571" s="15"/>
      <c r="V571" s="15"/>
      <c r="W571" s="15"/>
      <c r="X571" s="15"/>
      <c r="Y571" s="12"/>
      <c r="Z571" s="12"/>
      <c r="AA571" s="12"/>
      <c r="AB571" s="15"/>
      <c r="AC571" s="15"/>
      <c r="AD571" s="15">
        <v>-17850.0</v>
      </c>
      <c r="AE571" s="15">
        <v>-36060.0</v>
      </c>
      <c r="AF571" s="15">
        <v>-24630.0</v>
      </c>
      <c r="AG571" s="15">
        <v>-16930.0</v>
      </c>
      <c r="AH571" s="15">
        <v>-9020.0</v>
      </c>
      <c r="AI571" s="15">
        <v>-7610.0</v>
      </c>
      <c r="AJ571" s="15">
        <v>-29420.0</v>
      </c>
      <c r="AK571" s="15">
        <v>-20240.0</v>
      </c>
      <c r="AL571" s="15">
        <v>-12890.0</v>
      </c>
      <c r="AM571" s="15">
        <v>-5440.0</v>
      </c>
      <c r="AN571" s="15">
        <v>-17890.0</v>
      </c>
      <c r="AO571" s="15">
        <v>-34110.0</v>
      </c>
      <c r="AP571" s="15">
        <v>-23700.0</v>
      </c>
      <c r="AQ571" s="15">
        <v>-10780.0</v>
      </c>
      <c r="AR571" s="15">
        <v>-9020.0</v>
      </c>
      <c r="AS571" s="15">
        <v>-2570.0</v>
      </c>
      <c r="AT571" s="15">
        <v>-21390.0</v>
      </c>
      <c r="AU571" s="15">
        <v>-20790.0</v>
      </c>
      <c r="AV571" s="15">
        <v>-15380.0</v>
      </c>
      <c r="AW571" s="15">
        <v>7600.0</v>
      </c>
      <c r="AX571" s="15">
        <v>-18700.0</v>
      </c>
      <c r="AY571" s="15">
        <v>-18860.0</v>
      </c>
      <c r="AZ571" s="15">
        <v>-13010.0</v>
      </c>
      <c r="BA571" s="15">
        <v>-6590.0</v>
      </c>
      <c r="BB571" s="15">
        <v>-6380.0</v>
      </c>
      <c r="BC571" s="13"/>
      <c r="BD571" s="13"/>
      <c r="BE571" s="13"/>
      <c r="BF571" s="13"/>
      <c r="BG571" s="13"/>
      <c r="BH571" s="15">
        <v>11490.0</v>
      </c>
      <c r="BI571" s="15">
        <v>29960.0</v>
      </c>
      <c r="BJ571" s="15">
        <v>32780.0</v>
      </c>
      <c r="BK571" s="15">
        <v>54030.0</v>
      </c>
      <c r="BL571" s="15">
        <v>1270.0</v>
      </c>
      <c r="BM571" s="15">
        <v>2310.0</v>
      </c>
      <c r="BN571" s="15">
        <v>1330.0</v>
      </c>
      <c r="BO571" s="15">
        <v>1060.0</v>
      </c>
      <c r="BP571" s="12">
        <v>554.0</v>
      </c>
      <c r="BQ571" s="12">
        <v>465.0</v>
      </c>
      <c r="BR571" s="15"/>
      <c r="BS571" s="15"/>
      <c r="BT571" s="15"/>
      <c r="BU571" s="15"/>
      <c r="BV571" s="15"/>
      <c r="BW571" s="15">
        <v>16250.0</v>
      </c>
      <c r="BX571" s="15">
        <v>34490.0</v>
      </c>
      <c r="BY571" s="15">
        <v>36920.0</v>
      </c>
      <c r="BZ571" s="15">
        <v>55880.0</v>
      </c>
      <c r="CA571" s="15">
        <v>71320.0</v>
      </c>
      <c r="CB571" s="15">
        <v>59600.0</v>
      </c>
      <c r="CC571" s="15">
        <v>49310.0</v>
      </c>
      <c r="CD571" s="15">
        <v>37420.0</v>
      </c>
      <c r="CE571" s="15">
        <v>29760.0</v>
      </c>
      <c r="CF571" s="15">
        <v>29520.0</v>
      </c>
      <c r="CG571" s="15">
        <v>17290.0</v>
      </c>
      <c r="CH571" s="15">
        <v>10610.0</v>
      </c>
      <c r="CI571" s="15">
        <v>10610.0</v>
      </c>
      <c r="CJ571" s="15">
        <v>10610.0</v>
      </c>
      <c r="CK571" s="15">
        <v>10610.0</v>
      </c>
      <c r="CL571" s="15">
        <v>106170.0</v>
      </c>
      <c r="CM571" s="15">
        <v>107150.0</v>
      </c>
      <c r="CN571" s="15">
        <v>96980.0</v>
      </c>
      <c r="CO571" s="15">
        <v>107200.0</v>
      </c>
      <c r="CP571" s="15">
        <v>128540.0</v>
      </c>
      <c r="CQ571" s="15">
        <v>6620.0</v>
      </c>
      <c r="CR571" s="15">
        <v>5300.0</v>
      </c>
      <c r="CS571" s="15">
        <v>2280.0</v>
      </c>
      <c r="CT571" s="15">
        <v>2050.0</v>
      </c>
      <c r="CU571" s="15">
        <v>4190.0</v>
      </c>
      <c r="CV571" s="15">
        <v>18620.0</v>
      </c>
      <c r="CW571" s="15"/>
      <c r="CX571" s="15"/>
      <c r="CY571" s="15">
        <v>12500.0</v>
      </c>
      <c r="CZ571" s="15"/>
      <c r="DA571" s="15"/>
      <c r="DB571" s="15">
        <v>18620.0</v>
      </c>
      <c r="DC571" s="15">
        <v>13020.0</v>
      </c>
      <c r="DD571" s="15">
        <v>20160.0</v>
      </c>
      <c r="DE571" s="15">
        <v>9110.0</v>
      </c>
      <c r="DF571" s="15">
        <v>37260.0</v>
      </c>
      <c r="DG571" s="15">
        <v>25690.0</v>
      </c>
      <c r="DH571" s="15">
        <v>20830.0</v>
      </c>
      <c r="DI571" s="15">
        <v>9660.0</v>
      </c>
      <c r="DJ571" s="15">
        <v>39750.0</v>
      </c>
      <c r="DK571" s="15">
        <v>10000.0</v>
      </c>
      <c r="DL571" s="15">
        <v>10000.0</v>
      </c>
      <c r="DM571" s="15">
        <v>10000.0</v>
      </c>
      <c r="DN571" s="15">
        <v>10000.0</v>
      </c>
      <c r="DO571" s="15"/>
      <c r="DP571" s="15">
        <v>18430.0</v>
      </c>
      <c r="DQ571" s="15">
        <v>12500.0</v>
      </c>
      <c r="DR571" s="15"/>
      <c r="DS571" s="15"/>
      <c r="DT571" s="15"/>
      <c r="DU571" s="13"/>
      <c r="DV571" s="12"/>
      <c r="DW571" s="12"/>
      <c r="DX571" s="13"/>
      <c r="DY571" s="13"/>
      <c r="DZ571" s="15">
        <v>68910.0</v>
      </c>
      <c r="EA571" s="15">
        <v>81470.0</v>
      </c>
      <c r="EB571" s="15">
        <v>76150.0</v>
      </c>
      <c r="EC571" s="15">
        <v>97540.0</v>
      </c>
      <c r="ED571" s="15">
        <v>83940.0</v>
      </c>
      <c r="EE571" s="17">
        <v>0.015</v>
      </c>
      <c r="EF571" s="17">
        <v>0.047</v>
      </c>
      <c r="EG571" s="17">
        <v>0.071</v>
      </c>
      <c r="EH571" s="17">
        <v>0.061</v>
      </c>
    </row>
    <row r="572">
      <c r="A572" s="9">
        <f t="shared" si="2"/>
        <v>570</v>
      </c>
      <c r="B572" s="22" t="s">
        <v>707</v>
      </c>
      <c r="C572" s="12"/>
      <c r="D572" s="12"/>
      <c r="E572" s="12"/>
      <c r="F572" s="12"/>
      <c r="G572" s="12"/>
      <c r="H572" s="12"/>
      <c r="I572" s="12"/>
      <c r="J572" s="11">
        <v>-35.0</v>
      </c>
      <c r="K572" s="12"/>
      <c r="L572" s="11">
        <v>-1.0</v>
      </c>
      <c r="M572" s="11">
        <v>-7.0</v>
      </c>
      <c r="N572" s="11">
        <v>-7.0</v>
      </c>
      <c r="O572" s="11">
        <v>13400.0</v>
      </c>
      <c r="P572" s="11">
        <v>13600.0</v>
      </c>
      <c r="Q572" s="11">
        <v>16250.0</v>
      </c>
      <c r="R572" s="11">
        <v>21470.0</v>
      </c>
      <c r="S572" s="11">
        <v>20070.0</v>
      </c>
      <c r="T572" s="11">
        <v>7470.0</v>
      </c>
      <c r="U572" s="11">
        <v>6470.0</v>
      </c>
      <c r="V572" s="11">
        <v>11720.0</v>
      </c>
      <c r="W572" s="11">
        <v>15330.0</v>
      </c>
      <c r="X572" s="11">
        <v>13110.0</v>
      </c>
      <c r="Y572" s="12"/>
      <c r="Z572" s="12"/>
      <c r="AA572" s="12"/>
      <c r="AB572" s="12"/>
      <c r="AC572" s="12"/>
      <c r="AD572" s="11">
        <v>-13290.0</v>
      </c>
      <c r="AE572" s="11">
        <v>-13900.0</v>
      </c>
      <c r="AF572" s="11">
        <v>-16240.0</v>
      </c>
      <c r="AG572" s="11">
        <v>-21440.0</v>
      </c>
      <c r="AH572" s="11">
        <v>-20030.0</v>
      </c>
      <c r="AI572" s="11">
        <v>-13400.0</v>
      </c>
      <c r="AJ572" s="11">
        <v>-13600.0</v>
      </c>
      <c r="AK572" s="11">
        <v>-16250.0</v>
      </c>
      <c r="AL572" s="11">
        <v>-21470.0</v>
      </c>
      <c r="AM572" s="11">
        <v>-20070.0</v>
      </c>
      <c r="AN572" s="11">
        <v>-13290.0</v>
      </c>
      <c r="AO572" s="11">
        <v>-13900.0</v>
      </c>
      <c r="AP572" s="11">
        <v>-16240.0</v>
      </c>
      <c r="AQ572" s="11">
        <v>-21440.0</v>
      </c>
      <c r="AR572" s="11">
        <v>-20030.0</v>
      </c>
      <c r="AS572" s="11">
        <v>-10850.0</v>
      </c>
      <c r="AT572" s="11">
        <v>-10180.0</v>
      </c>
      <c r="AU572" s="11">
        <v>-15890.0</v>
      </c>
      <c r="AV572" s="11">
        <v>-16410.0</v>
      </c>
      <c r="AW572" s="11">
        <v>-16980.0</v>
      </c>
      <c r="AX572" s="12"/>
      <c r="AY572" s="12"/>
      <c r="AZ572" s="12"/>
      <c r="BA572" s="12"/>
      <c r="BB572" s="12"/>
      <c r="BC572" s="24">
        <v>-394.0</v>
      </c>
      <c r="BD572" s="12"/>
      <c r="BE572" s="12"/>
      <c r="BF572" s="12"/>
      <c r="BG572" s="12"/>
      <c r="BH572" s="11">
        <v>47480.0</v>
      </c>
      <c r="BI572" s="11">
        <v>8250.0</v>
      </c>
      <c r="BJ572" s="11">
        <v>3060.0</v>
      </c>
      <c r="BK572" s="11">
        <v>15370.0</v>
      </c>
      <c r="BL572" s="11">
        <v>25850.0</v>
      </c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1">
        <v>48210.0</v>
      </c>
      <c r="BX572" s="11">
        <v>8830.0</v>
      </c>
      <c r="BY572" s="11">
        <v>3820.0</v>
      </c>
      <c r="BZ572" s="11">
        <v>15790.0</v>
      </c>
      <c r="CA572" s="11">
        <v>26400.0</v>
      </c>
      <c r="CB572" s="11">
        <v>84.0</v>
      </c>
      <c r="CC572" s="12"/>
      <c r="CD572" s="12"/>
      <c r="CE572" s="12"/>
      <c r="CF572" s="12"/>
      <c r="CG572" s="12"/>
      <c r="CH572" s="12"/>
      <c r="CI572" s="12"/>
      <c r="CJ572" s="12"/>
      <c r="CK572" s="12"/>
      <c r="CL572" s="11">
        <v>48470.0</v>
      </c>
      <c r="CM572" s="11">
        <v>9010.0</v>
      </c>
      <c r="CN572" s="11">
        <v>4160.0</v>
      </c>
      <c r="CO572" s="11">
        <v>15800.0</v>
      </c>
      <c r="CP572" s="11">
        <v>26410.0</v>
      </c>
      <c r="CQ572" s="11">
        <v>1660.0</v>
      </c>
      <c r="CR572" s="11">
        <v>297.0</v>
      </c>
      <c r="CS572" s="11">
        <v>608.0</v>
      </c>
      <c r="CT572" s="12"/>
      <c r="CU572" s="12"/>
      <c r="CV572" s="11">
        <v>2820.0</v>
      </c>
      <c r="CW572" s="11">
        <v>39.0</v>
      </c>
      <c r="CX572" s="12"/>
      <c r="CY572" s="12"/>
      <c r="CZ572" s="12"/>
      <c r="DA572" s="12"/>
      <c r="DB572" s="11">
        <v>2820.0</v>
      </c>
      <c r="DC572" s="11">
        <v>2110.0</v>
      </c>
      <c r="DD572" s="11">
        <v>2970.0</v>
      </c>
      <c r="DE572" s="11">
        <v>3780.0</v>
      </c>
      <c r="DF572" s="11">
        <v>2870.0</v>
      </c>
      <c r="DG572" s="11">
        <v>2110.0</v>
      </c>
      <c r="DH572" s="11">
        <v>2970.0</v>
      </c>
      <c r="DI572" s="11">
        <v>3780.0</v>
      </c>
      <c r="DJ572" s="11">
        <v>1360.0</v>
      </c>
      <c r="DK572" s="12"/>
      <c r="DL572" s="12"/>
      <c r="DM572" s="12"/>
      <c r="DN572" s="12"/>
      <c r="DO572" s="12"/>
      <c r="DP572" s="11">
        <v>52.0</v>
      </c>
      <c r="DQ572" s="12"/>
      <c r="DR572" s="12"/>
      <c r="DS572" s="12"/>
      <c r="DT572" s="12"/>
      <c r="DU572" s="11">
        <v>2260.0</v>
      </c>
      <c r="DV572" s="11">
        <v>8940.0</v>
      </c>
      <c r="DW572" s="11">
        <v>8960.0</v>
      </c>
      <c r="DX572" s="11">
        <v>8960.0</v>
      </c>
      <c r="DY572" s="11">
        <v>7570.0</v>
      </c>
      <c r="DZ572" s="11">
        <v>45600.0</v>
      </c>
      <c r="EA572" s="11">
        <v>6900.0</v>
      </c>
      <c r="EB572" s="11">
        <v>1190.0</v>
      </c>
      <c r="EC572" s="11">
        <v>12020.0</v>
      </c>
      <c r="ED572" s="11">
        <v>25050.0</v>
      </c>
      <c r="EE572" s="23"/>
      <c r="EF572" s="23"/>
      <c r="EG572" s="14">
        <v>-0.222</v>
      </c>
      <c r="EH572" s="14">
        <v>-0.129</v>
      </c>
    </row>
    <row r="573">
      <c r="A573" s="9">
        <f t="shared" si="2"/>
        <v>571</v>
      </c>
      <c r="B573" s="10" t="s">
        <v>708</v>
      </c>
      <c r="C573" s="11">
        <v>143970.0</v>
      </c>
      <c r="D573" s="11">
        <v>126720.0</v>
      </c>
      <c r="E573" s="11">
        <v>144260.0</v>
      </c>
      <c r="F573" s="11">
        <v>164330.0</v>
      </c>
      <c r="G573" s="11">
        <v>154310.0</v>
      </c>
      <c r="H573" s="11">
        <v>144130.0</v>
      </c>
      <c r="I573" s="11">
        <v>141320.0</v>
      </c>
      <c r="J573" s="11">
        <v>32630.0</v>
      </c>
      <c r="K573" s="11">
        <v>24960.0</v>
      </c>
      <c r="L573" s="11">
        <v>25990.0</v>
      </c>
      <c r="M573" s="11">
        <v>15810.0</v>
      </c>
      <c r="N573" s="11">
        <v>31330.0</v>
      </c>
      <c r="O573" s="11">
        <v>9440.0</v>
      </c>
      <c r="P573" s="11">
        <v>3050.0</v>
      </c>
      <c r="Q573" s="11">
        <v>2900.0</v>
      </c>
      <c r="R573" s="11">
        <v>3110.0</v>
      </c>
      <c r="S573" s="11">
        <v>10110.0</v>
      </c>
      <c r="T573" s="12"/>
      <c r="U573" s="12"/>
      <c r="V573" s="12"/>
      <c r="W573" s="12"/>
      <c r="X573" s="12"/>
      <c r="Y573" s="11">
        <v>21870.0</v>
      </c>
      <c r="Z573" s="11">
        <v>10550.0</v>
      </c>
      <c r="AA573" s="11">
        <v>16230.0</v>
      </c>
      <c r="AB573" s="11">
        <v>6200.0</v>
      </c>
      <c r="AC573" s="11">
        <v>12610.0</v>
      </c>
      <c r="AD573" s="11">
        <v>1610.0</v>
      </c>
      <c r="AE573" s="11">
        <v>-12280.0</v>
      </c>
      <c r="AF573" s="11">
        <v>-1220.0</v>
      </c>
      <c r="AG573" s="11">
        <v>-7800.0</v>
      </c>
      <c r="AH573" s="11">
        <v>2570.0</v>
      </c>
      <c r="AI573" s="11">
        <v>62460.0</v>
      </c>
      <c r="AJ573" s="11">
        <v>63180.0</v>
      </c>
      <c r="AK573" s="11">
        <v>62020.0</v>
      </c>
      <c r="AL573" s="11">
        <v>51790.0</v>
      </c>
      <c r="AM573" s="11">
        <v>57080.0</v>
      </c>
      <c r="AN573" s="11">
        <v>2090.0</v>
      </c>
      <c r="AO573" s="11">
        <v>-12280.0</v>
      </c>
      <c r="AP573" s="11">
        <v>-1220.0</v>
      </c>
      <c r="AQ573" s="11">
        <v>-7800.0</v>
      </c>
      <c r="AR573" s="11">
        <v>2550.0</v>
      </c>
      <c r="AS573" s="11">
        <v>31910.0</v>
      </c>
      <c r="AT573" s="11">
        <v>37310.0</v>
      </c>
      <c r="AU573" s="11">
        <v>51540.0</v>
      </c>
      <c r="AV573" s="11">
        <v>35440.0</v>
      </c>
      <c r="AW573" s="11">
        <v>47670.0</v>
      </c>
      <c r="AX573" s="11">
        <v>-2990.0</v>
      </c>
      <c r="AY573" s="11">
        <v>-108300.0</v>
      </c>
      <c r="AZ573" s="11">
        <v>-60610.0</v>
      </c>
      <c r="BA573" s="11">
        <v>-56220.0</v>
      </c>
      <c r="BB573" s="11">
        <v>-155070.0</v>
      </c>
      <c r="BC573" s="12"/>
      <c r="BD573" s="12"/>
      <c r="BE573" s="12"/>
      <c r="BF573" s="12"/>
      <c r="BG573" s="12"/>
      <c r="BH573" s="11">
        <v>70060.0</v>
      </c>
      <c r="BI573" s="11">
        <v>67500.0</v>
      </c>
      <c r="BJ573" s="11">
        <v>54990.0</v>
      </c>
      <c r="BK573" s="11">
        <v>68360.0</v>
      </c>
      <c r="BL573" s="11">
        <v>113520.0</v>
      </c>
      <c r="BM573" s="11">
        <v>4530.0</v>
      </c>
      <c r="BN573" s="11">
        <v>2890.0</v>
      </c>
      <c r="BO573" s="11">
        <v>3870.0</v>
      </c>
      <c r="BP573" s="11">
        <v>4030.0</v>
      </c>
      <c r="BQ573" s="11">
        <v>4860.0</v>
      </c>
      <c r="BR573" s="11">
        <v>2450.0</v>
      </c>
      <c r="BS573" s="11">
        <v>2350.0</v>
      </c>
      <c r="BT573" s="11">
        <v>2760.0</v>
      </c>
      <c r="BU573" s="11">
        <v>2810.0</v>
      </c>
      <c r="BV573" s="11">
        <v>2920.0</v>
      </c>
      <c r="BW573" s="11">
        <v>77810.0</v>
      </c>
      <c r="BX573" s="11">
        <v>138870.0</v>
      </c>
      <c r="BY573" s="11">
        <v>62840.0</v>
      </c>
      <c r="BZ573" s="11">
        <v>76480.0</v>
      </c>
      <c r="CA573" s="11">
        <v>123370.0</v>
      </c>
      <c r="CB573" s="11">
        <v>838610.0</v>
      </c>
      <c r="CC573" s="11">
        <v>884750.0</v>
      </c>
      <c r="CD573" s="11">
        <v>923640.0</v>
      </c>
      <c r="CE573" s="11">
        <v>919490.0</v>
      </c>
      <c r="CF573" s="11">
        <v>908720.0</v>
      </c>
      <c r="CG573" s="11"/>
      <c r="CH573" s="11"/>
      <c r="CI573" s="11"/>
      <c r="CJ573" s="11"/>
      <c r="CK573" s="11"/>
      <c r="CL573" s="11">
        <v>954190.0</v>
      </c>
      <c r="CM573" s="11">
        <v>1040000.0</v>
      </c>
      <c r="CN573" s="11">
        <v>996230.0</v>
      </c>
      <c r="CO573" s="11">
        <v>1000000.0</v>
      </c>
      <c r="CP573" s="11">
        <v>1040000.0</v>
      </c>
      <c r="CQ573" s="11">
        <v>9030.0</v>
      </c>
      <c r="CR573" s="11">
        <v>10350.0</v>
      </c>
      <c r="CS573" s="11">
        <v>10510.0</v>
      </c>
      <c r="CT573" s="11">
        <v>8730.0</v>
      </c>
      <c r="CU573" s="11">
        <v>8330.0</v>
      </c>
      <c r="CV573" s="11">
        <v>67140.0</v>
      </c>
      <c r="CW573" s="12">
        <v>473.0</v>
      </c>
      <c r="CX573" s="12"/>
      <c r="CY573" s="12"/>
      <c r="CZ573" s="12"/>
      <c r="DA573" s="12"/>
      <c r="DB573" s="11">
        <v>67140.0</v>
      </c>
      <c r="DC573" s="11">
        <v>103490.0</v>
      </c>
      <c r="DD573" s="11">
        <v>78750.0</v>
      </c>
      <c r="DE573" s="11">
        <v>81370.0</v>
      </c>
      <c r="DF573" s="11">
        <v>395000.0</v>
      </c>
      <c r="DG573" s="11">
        <v>475470.0</v>
      </c>
      <c r="DH573" s="11">
        <v>422750.0</v>
      </c>
      <c r="DI573" s="11">
        <v>427970.0</v>
      </c>
      <c r="DJ573" s="11">
        <v>454820.0</v>
      </c>
      <c r="DK573" s="11">
        <v>37360.0</v>
      </c>
      <c r="DL573" s="11">
        <v>13000.0</v>
      </c>
      <c r="DM573" s="11">
        <v>8560.0</v>
      </c>
      <c r="DN573" s="11">
        <v>5440.0</v>
      </c>
      <c r="DO573" s="11">
        <v>5270.0</v>
      </c>
      <c r="DP573" s="11">
        <v>325250.0</v>
      </c>
      <c r="DQ573" s="11">
        <v>371510.0</v>
      </c>
      <c r="DR573" s="11">
        <v>342940.0</v>
      </c>
      <c r="DS573" s="11">
        <v>343290.0</v>
      </c>
      <c r="DT573" s="11">
        <v>347230.0</v>
      </c>
      <c r="DU573" s="13"/>
      <c r="DV573" s="12"/>
      <c r="DW573" s="12"/>
      <c r="DX573" s="12"/>
      <c r="DY573" s="12"/>
      <c r="DZ573" s="11">
        <v>559190.0</v>
      </c>
      <c r="EA573" s="11">
        <v>561250.0</v>
      </c>
      <c r="EB573" s="11">
        <v>573480.0</v>
      </c>
      <c r="EC573" s="11">
        <v>573980.0</v>
      </c>
      <c r="ED573" s="11">
        <v>583050.0</v>
      </c>
      <c r="EE573" s="14">
        <v>0.0</v>
      </c>
      <c r="EF573" s="14">
        <v>0.0</v>
      </c>
      <c r="EG573" s="14">
        <v>1.0</v>
      </c>
      <c r="EH573" s="14">
        <v>1.333</v>
      </c>
    </row>
    <row r="574">
      <c r="A574" s="9">
        <f t="shared" si="2"/>
        <v>572</v>
      </c>
      <c r="B574" s="22" t="s">
        <v>709</v>
      </c>
      <c r="C574" s="12"/>
      <c r="D574" s="12"/>
      <c r="E574" s="12"/>
      <c r="F574" s="11">
        <v>36.0</v>
      </c>
      <c r="G574" s="12"/>
      <c r="H574" s="12"/>
      <c r="I574" s="12"/>
      <c r="J574" s="11">
        <v>-1860.0</v>
      </c>
      <c r="K574" s="12"/>
      <c r="L574" s="12"/>
      <c r="M574" s="12"/>
      <c r="N574" s="12"/>
      <c r="O574" s="11">
        <v>60440.0</v>
      </c>
      <c r="P574" s="11">
        <v>36980.0</v>
      </c>
      <c r="Q574" s="12"/>
      <c r="R574" s="12"/>
      <c r="S574" s="12"/>
      <c r="T574" s="11">
        <v>48270.0</v>
      </c>
      <c r="U574" s="11">
        <v>27810.0</v>
      </c>
      <c r="V574" s="12"/>
      <c r="W574" s="12"/>
      <c r="X574" s="12"/>
      <c r="Y574" s="12"/>
      <c r="Z574" s="12"/>
      <c r="AA574" s="12"/>
      <c r="AB574" s="12"/>
      <c r="AC574" s="12"/>
      <c r="AD574" s="11">
        <v>-61320.0</v>
      </c>
      <c r="AE574" s="11">
        <v>-35800.0</v>
      </c>
      <c r="AF574" s="12"/>
      <c r="AG574" s="12"/>
      <c r="AH574" s="12"/>
      <c r="AI574" s="11">
        <v>-60440.0</v>
      </c>
      <c r="AJ574" s="11">
        <v>-36950.0</v>
      </c>
      <c r="AK574" s="12"/>
      <c r="AL574" s="12"/>
      <c r="AM574" s="12"/>
      <c r="AN574" s="11">
        <v>-61320.0</v>
      </c>
      <c r="AO574" s="11">
        <v>-35800.0</v>
      </c>
      <c r="AP574" s="12"/>
      <c r="AQ574" s="12"/>
      <c r="AR574" s="12"/>
      <c r="AS574" s="11">
        <v>-40350.0</v>
      </c>
      <c r="AT574" s="11">
        <v>-28120.0</v>
      </c>
      <c r="AU574" s="12"/>
      <c r="AV574" s="12"/>
      <c r="AW574" s="12"/>
      <c r="AX574" s="11">
        <v>-19990.0</v>
      </c>
      <c r="AY574" s="11">
        <v>-3020.0</v>
      </c>
      <c r="AZ574" s="12"/>
      <c r="BA574" s="12"/>
      <c r="BB574" s="12"/>
      <c r="BC574" s="12"/>
      <c r="BD574" s="12"/>
      <c r="BE574" s="12"/>
      <c r="BF574" s="12"/>
      <c r="BG574" s="12"/>
      <c r="BH574" s="11">
        <v>15130.0</v>
      </c>
      <c r="BI574" s="11">
        <v>74920.0</v>
      </c>
      <c r="BJ574" s="12"/>
      <c r="BK574" s="12"/>
      <c r="BL574" s="12"/>
      <c r="BM574" s="11">
        <v>448.0</v>
      </c>
      <c r="BN574" s="11">
        <v>1290.0</v>
      </c>
      <c r="BO574" s="12"/>
      <c r="BP574" s="12"/>
      <c r="BQ574" s="12"/>
      <c r="BR574" s="12"/>
      <c r="BS574" s="12"/>
      <c r="BT574" s="12"/>
      <c r="BU574" s="12"/>
      <c r="BV574" s="12"/>
      <c r="BW574" s="11">
        <v>18160.0</v>
      </c>
      <c r="BX574" s="11">
        <v>76930.0</v>
      </c>
      <c r="BY574" s="12"/>
      <c r="BZ574" s="12"/>
      <c r="CA574" s="12"/>
      <c r="CB574" s="11">
        <v>21850.0</v>
      </c>
      <c r="CC574" s="11">
        <v>4490.0</v>
      </c>
      <c r="CD574" s="12"/>
      <c r="CE574" s="12"/>
      <c r="CF574" s="12"/>
      <c r="CG574" s="12"/>
      <c r="CH574" s="12"/>
      <c r="CI574" s="12"/>
      <c r="CJ574" s="12"/>
      <c r="CK574" s="12"/>
      <c r="CL574" s="11">
        <v>42140.0</v>
      </c>
      <c r="CM574" s="11">
        <v>83520.0</v>
      </c>
      <c r="CN574" s="12"/>
      <c r="CO574" s="12"/>
      <c r="CP574" s="12"/>
      <c r="CQ574" s="11">
        <v>2250.0</v>
      </c>
      <c r="CR574" s="11">
        <v>1680.0</v>
      </c>
      <c r="CS574" s="12"/>
      <c r="CT574" s="12"/>
      <c r="CU574" s="12"/>
      <c r="CV574" s="11">
        <v>9160.0</v>
      </c>
      <c r="CW574" s="12"/>
      <c r="CX574" s="12"/>
      <c r="CY574" s="12"/>
      <c r="CZ574" s="12"/>
      <c r="DA574" s="12"/>
      <c r="DB574" s="11">
        <v>9160.0</v>
      </c>
      <c r="DC574" s="11">
        <v>6560.0</v>
      </c>
      <c r="DD574" s="12"/>
      <c r="DE574" s="12"/>
      <c r="DF574" s="11">
        <v>25140.0</v>
      </c>
      <c r="DG574" s="11">
        <v>9520.0</v>
      </c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1">
        <v>115590.0</v>
      </c>
      <c r="DV574" s="11">
        <v>115590.0</v>
      </c>
      <c r="DW574" s="12"/>
      <c r="DX574" s="13"/>
      <c r="DY574" s="13"/>
      <c r="DZ574" s="11">
        <v>17000.0</v>
      </c>
      <c r="EA574" s="11">
        <v>74000.0</v>
      </c>
      <c r="EB574" s="12"/>
      <c r="EC574" s="12"/>
      <c r="ED574" s="12"/>
      <c r="EE574" s="23"/>
      <c r="EF574" s="23"/>
      <c r="EG574" s="14">
        <v>-1.5</v>
      </c>
      <c r="EH574" s="23"/>
    </row>
    <row r="575">
      <c r="A575" s="9">
        <f t="shared" si="2"/>
        <v>573</v>
      </c>
      <c r="B575" s="22" t="s">
        <v>710</v>
      </c>
      <c r="C575" s="11">
        <v>328390.0</v>
      </c>
      <c r="D575" s="11">
        <v>143930.0</v>
      </c>
      <c r="E575" s="11">
        <v>2110.0</v>
      </c>
      <c r="F575" s="12"/>
      <c r="G575" s="12"/>
      <c r="H575" s="12"/>
      <c r="I575" s="12"/>
      <c r="J575" s="11">
        <v>-7870.0</v>
      </c>
      <c r="K575" s="11">
        <v>-4610.0</v>
      </c>
      <c r="L575" s="11">
        <v>-1660.0</v>
      </c>
      <c r="M575" s="11">
        <v>-1240.0</v>
      </c>
      <c r="N575" s="11">
        <v>-873.0</v>
      </c>
      <c r="O575" s="11">
        <v>281710.0</v>
      </c>
      <c r="P575" s="11">
        <v>178140.0</v>
      </c>
      <c r="Q575" s="11">
        <v>117590.0</v>
      </c>
      <c r="R575" s="11">
        <v>81890.0</v>
      </c>
      <c r="S575" s="11">
        <v>45520.0</v>
      </c>
      <c r="T575" s="11">
        <v>174560.0</v>
      </c>
      <c r="U575" s="11">
        <v>131310.0</v>
      </c>
      <c r="V575" s="11">
        <v>87810.0</v>
      </c>
      <c r="W575" s="11">
        <v>61210.0</v>
      </c>
      <c r="X575" s="11">
        <v>36660.0</v>
      </c>
      <c r="Y575" s="11">
        <v>-281280.0</v>
      </c>
      <c r="Z575" s="12"/>
      <c r="AA575" s="12"/>
      <c r="AB575" s="12"/>
      <c r="AC575" s="12"/>
      <c r="AD575" s="11">
        <v>-266770.0</v>
      </c>
      <c r="AE575" s="11">
        <v>-174190.0</v>
      </c>
      <c r="AF575" s="11">
        <v>-117020.0</v>
      </c>
      <c r="AG575" s="11">
        <v>-82470.0</v>
      </c>
      <c r="AH575" s="11">
        <v>-46360.0</v>
      </c>
      <c r="AI575" s="11">
        <v>-279650.0</v>
      </c>
      <c r="AJ575" s="11">
        <v>-178140.0</v>
      </c>
      <c r="AK575" s="11">
        <v>-117590.0</v>
      </c>
      <c r="AL575" s="11">
        <v>-81890.0</v>
      </c>
      <c r="AM575" s="11">
        <v>-45520.0</v>
      </c>
      <c r="AN575" s="11">
        <v>-266770.0</v>
      </c>
      <c r="AO575" s="11">
        <v>-174190.0</v>
      </c>
      <c r="AP575" s="11">
        <v>-117020.0</v>
      </c>
      <c r="AQ575" s="11">
        <v>-82470.0</v>
      </c>
      <c r="AR575" s="11">
        <v>-46360.0</v>
      </c>
      <c r="AS575" s="11">
        <v>-195310.0</v>
      </c>
      <c r="AT575" s="11">
        <v>-135380.0</v>
      </c>
      <c r="AU575" s="11">
        <v>-93020.0</v>
      </c>
      <c r="AV575" s="11">
        <v>-67720.0</v>
      </c>
      <c r="AW575" s="11">
        <v>-30890.0</v>
      </c>
      <c r="AX575" s="11">
        <v>-3460.0</v>
      </c>
      <c r="AY575" s="11">
        <v>-4820.0</v>
      </c>
      <c r="AZ575" s="11">
        <v>-3280.0</v>
      </c>
      <c r="BA575" s="11">
        <v>-1350.0</v>
      </c>
      <c r="BB575" s="11">
        <v>-993.0</v>
      </c>
      <c r="BC575" s="12"/>
      <c r="BD575" s="12"/>
      <c r="BE575" s="12"/>
      <c r="BF575" s="12"/>
      <c r="BG575" s="12"/>
      <c r="BH575" s="11">
        <v>609970.0</v>
      </c>
      <c r="BI575" s="11">
        <v>477530.0</v>
      </c>
      <c r="BJ575" s="11">
        <v>314830.0</v>
      </c>
      <c r="BK575" s="11">
        <v>147270.0</v>
      </c>
      <c r="BL575" s="11">
        <v>148500.0</v>
      </c>
      <c r="BM575" s="11">
        <v>2640.0</v>
      </c>
      <c r="BN575" s="12"/>
      <c r="BO575" s="12"/>
      <c r="BP575" s="12"/>
      <c r="BQ575" s="12"/>
      <c r="BR575" s="11">
        <v>1280.0</v>
      </c>
      <c r="BS575" s="12"/>
      <c r="BT575" s="12"/>
      <c r="BU575" s="12"/>
      <c r="BV575" s="12"/>
      <c r="BW575" s="11">
        <v>628000.0</v>
      </c>
      <c r="BX575" s="11">
        <v>485780.0</v>
      </c>
      <c r="BY575" s="11">
        <v>324310.0</v>
      </c>
      <c r="BZ575" s="11">
        <v>149770.0</v>
      </c>
      <c r="CA575" s="11">
        <v>149720.0</v>
      </c>
      <c r="CB575" s="11">
        <v>79890.0</v>
      </c>
      <c r="CC575" s="11">
        <v>14980.0</v>
      </c>
      <c r="CD575" s="11">
        <v>16570.0</v>
      </c>
      <c r="CE575" s="11">
        <v>2420.0</v>
      </c>
      <c r="CF575" s="11">
        <v>2110.0</v>
      </c>
      <c r="CG575" s="12"/>
      <c r="CH575" s="12"/>
      <c r="CI575" s="12"/>
      <c r="CJ575" s="12"/>
      <c r="CK575" s="12"/>
      <c r="CL575" s="11">
        <v>796100.0</v>
      </c>
      <c r="CM575" s="11">
        <v>617640.0</v>
      </c>
      <c r="CN575" s="11">
        <v>356720.0</v>
      </c>
      <c r="CO575" s="11">
        <v>202390.0</v>
      </c>
      <c r="CP575" s="11">
        <v>151980.0</v>
      </c>
      <c r="CQ575" s="11">
        <v>10620.0</v>
      </c>
      <c r="CR575" s="11">
        <v>6050.0</v>
      </c>
      <c r="CS575" s="11">
        <v>7180.0</v>
      </c>
      <c r="CT575" s="12"/>
      <c r="CU575" s="12"/>
      <c r="CV575" s="11">
        <v>71450.0</v>
      </c>
      <c r="CW575" s="11">
        <v>1870.0</v>
      </c>
      <c r="CX575" s="12"/>
      <c r="CY575" s="12"/>
      <c r="CZ575" s="12"/>
      <c r="DA575" s="12"/>
      <c r="DB575" s="11">
        <v>71450.0</v>
      </c>
      <c r="DC575" s="11">
        <v>33770.0</v>
      </c>
      <c r="DD575" s="11">
        <v>26260.0</v>
      </c>
      <c r="DE575" s="11">
        <v>15520.0</v>
      </c>
      <c r="DF575" s="11">
        <v>217410.0</v>
      </c>
      <c r="DG575" s="11">
        <v>44840.0</v>
      </c>
      <c r="DH575" s="11">
        <v>37920.0</v>
      </c>
      <c r="DI575" s="11">
        <v>16080.0</v>
      </c>
      <c r="DJ575" s="11">
        <v>11180.0</v>
      </c>
      <c r="DK575" s="11">
        <v>87430.0</v>
      </c>
      <c r="DL575" s="11">
        <v>114280.0</v>
      </c>
      <c r="DM575" s="11">
        <v>15650.0</v>
      </c>
      <c r="DN575" s="11">
        <v>50200.0</v>
      </c>
      <c r="DO575" s="24">
        <v>140.0</v>
      </c>
      <c r="DP575" s="11">
        <v>145920.0</v>
      </c>
      <c r="DQ575" s="12"/>
      <c r="DR575" s="12"/>
      <c r="DS575" s="12"/>
      <c r="DT575" s="12"/>
      <c r="DU575" s="13"/>
      <c r="DV575" s="12"/>
      <c r="DW575" s="12"/>
      <c r="DX575" s="13"/>
      <c r="DY575" s="13"/>
      <c r="DZ575" s="11">
        <v>578690.0</v>
      </c>
      <c r="EA575" s="11">
        <v>572800.0</v>
      </c>
      <c r="EB575" s="11">
        <v>318800.0</v>
      </c>
      <c r="EC575" s="11">
        <v>186310.0</v>
      </c>
      <c r="ED575" s="11">
        <v>140800.0</v>
      </c>
      <c r="EE575" s="14">
        <v>0.397</v>
      </c>
      <c r="EF575" s="14">
        <v>0.671</v>
      </c>
      <c r="EG575" s="14">
        <v>0.252</v>
      </c>
      <c r="EH575" s="14">
        <v>0.039</v>
      </c>
    </row>
    <row r="576">
      <c r="A576" s="9">
        <f t="shared" si="2"/>
        <v>574</v>
      </c>
      <c r="B576" s="32" t="s">
        <v>711</v>
      </c>
      <c r="C576" s="11">
        <v>2190000.0</v>
      </c>
      <c r="D576" s="11">
        <v>1860000.0</v>
      </c>
      <c r="E576" s="11">
        <v>2200000.0</v>
      </c>
      <c r="F576" s="11">
        <v>2190000.0</v>
      </c>
      <c r="G576" s="11">
        <v>2130000.0</v>
      </c>
      <c r="H576" s="11">
        <v>2870000.0</v>
      </c>
      <c r="I576" s="11">
        <v>3020000.0</v>
      </c>
      <c r="J576" s="11">
        <v>1060000.0</v>
      </c>
      <c r="K576" s="11">
        <v>1050000.0</v>
      </c>
      <c r="L576" s="11">
        <v>1010000.0</v>
      </c>
      <c r="M576" s="11">
        <v>1420000.0</v>
      </c>
      <c r="N576" s="11">
        <v>1440000.0</v>
      </c>
      <c r="O576" s="11">
        <v>966730.0</v>
      </c>
      <c r="P576" s="11">
        <v>962080.0</v>
      </c>
      <c r="Q576" s="11">
        <v>929240.0</v>
      </c>
      <c r="R576" s="11">
        <v>1280000.0</v>
      </c>
      <c r="S576" s="11">
        <v>1280000.0</v>
      </c>
      <c r="T576" s="11"/>
      <c r="U576" s="11"/>
      <c r="V576" s="11"/>
      <c r="W576" s="11"/>
      <c r="X576" s="11"/>
      <c r="Y576" s="11">
        <v>82410.0</v>
      </c>
      <c r="Z576" s="11">
        <v>81220.0</v>
      </c>
      <c r="AA576" s="11">
        <v>-7770.0</v>
      </c>
      <c r="AB576" s="11">
        <v>3300.0</v>
      </c>
      <c r="AC576" s="12"/>
      <c r="AD576" s="11">
        <v>82440.0</v>
      </c>
      <c r="AE576" s="11">
        <v>78260.0</v>
      </c>
      <c r="AF576" s="11">
        <v>68990.0</v>
      </c>
      <c r="AG576" s="11">
        <v>151410.0</v>
      </c>
      <c r="AH576" s="11">
        <v>151530.0</v>
      </c>
      <c r="AI576" s="11">
        <v>145990.0</v>
      </c>
      <c r="AJ576" s="11">
        <v>137180.0</v>
      </c>
      <c r="AK576" s="11">
        <v>133750.0</v>
      </c>
      <c r="AL576" s="11">
        <v>214430.0</v>
      </c>
      <c r="AM576" s="11">
        <v>230260.0</v>
      </c>
      <c r="AN576" s="11">
        <v>61760.0</v>
      </c>
      <c r="AO576" s="11">
        <v>51220.0</v>
      </c>
      <c r="AP576" s="11">
        <v>36710.0</v>
      </c>
      <c r="AQ576" s="11">
        <v>97860.0</v>
      </c>
      <c r="AR576" s="11">
        <v>95380.0</v>
      </c>
      <c r="AS576" s="11">
        <v>117170.0</v>
      </c>
      <c r="AT576" s="11">
        <v>237140.0</v>
      </c>
      <c r="AU576" s="11">
        <v>164590.0</v>
      </c>
      <c r="AV576" s="11">
        <v>165250.0</v>
      </c>
      <c r="AW576" s="11">
        <v>145120.0</v>
      </c>
      <c r="AX576" s="11">
        <v>-29770.0</v>
      </c>
      <c r="AY576" s="11">
        <v>-57230.0</v>
      </c>
      <c r="AZ576" s="11">
        <v>-127850.0</v>
      </c>
      <c r="BA576" s="11">
        <v>-93970.0</v>
      </c>
      <c r="BB576" s="11">
        <v>-100650.0</v>
      </c>
      <c r="BC576" s="12"/>
      <c r="BD576" s="12"/>
      <c r="BE576" s="12"/>
      <c r="BF576" s="12"/>
      <c r="BG576" s="12"/>
      <c r="BH576" s="11">
        <v>81420.0</v>
      </c>
      <c r="BI576" s="11">
        <v>167360.0</v>
      </c>
      <c r="BJ576" s="11">
        <v>39940.0</v>
      </c>
      <c r="BK576" s="11">
        <v>48300.0</v>
      </c>
      <c r="BL576" s="11">
        <v>133290.0</v>
      </c>
      <c r="BM576" s="11">
        <v>29200.0</v>
      </c>
      <c r="BN576" s="11">
        <v>132390.0</v>
      </c>
      <c r="BO576" s="11">
        <v>33610.0</v>
      </c>
      <c r="BP576" s="11">
        <v>43530.0</v>
      </c>
      <c r="BQ576" s="11">
        <v>47270.0</v>
      </c>
      <c r="BR576" s="11">
        <v>365270.0</v>
      </c>
      <c r="BS576" s="11">
        <v>366670.0</v>
      </c>
      <c r="BT576" s="11">
        <v>388410.0</v>
      </c>
      <c r="BU576" s="11">
        <v>563680.0</v>
      </c>
      <c r="BV576" s="11">
        <v>529760.0</v>
      </c>
      <c r="BW576" s="11">
        <v>508180.0</v>
      </c>
      <c r="BX576" s="11">
        <v>731050.0</v>
      </c>
      <c r="BY576" s="11">
        <v>693090.0</v>
      </c>
      <c r="BZ576" s="11">
        <v>716970.0</v>
      </c>
      <c r="CA576" s="11">
        <v>800090.0</v>
      </c>
      <c r="CB576" s="11">
        <v>973360.0</v>
      </c>
      <c r="CC576" s="11">
        <v>277380.0</v>
      </c>
      <c r="CD576" s="11">
        <v>298550.0</v>
      </c>
      <c r="CE576" s="11">
        <v>330610.0</v>
      </c>
      <c r="CF576" s="11">
        <v>323330.0</v>
      </c>
      <c r="CG576" s="11">
        <v>122180.0</v>
      </c>
      <c r="CH576" s="11">
        <v>93080.0</v>
      </c>
      <c r="CI576" s="11">
        <v>100310.0</v>
      </c>
      <c r="CJ576" s="11">
        <v>271220.0</v>
      </c>
      <c r="CK576" s="11">
        <v>281390.0</v>
      </c>
      <c r="CL576" s="11">
        <v>1860000.0</v>
      </c>
      <c r="CM576" s="11">
        <v>1180000.0</v>
      </c>
      <c r="CN576" s="11">
        <v>1320000.0</v>
      </c>
      <c r="CO576" s="11">
        <v>1440000.0</v>
      </c>
      <c r="CP576" s="11">
        <v>1540000.0</v>
      </c>
      <c r="CQ576" s="11">
        <v>118680.0</v>
      </c>
      <c r="CR576" s="11">
        <v>129000.0</v>
      </c>
      <c r="CS576" s="11">
        <v>109090.0</v>
      </c>
      <c r="CT576" s="11">
        <v>134050.0</v>
      </c>
      <c r="CU576" s="11">
        <v>109240.0</v>
      </c>
      <c r="CV576" s="11">
        <v>361940.0</v>
      </c>
      <c r="CW576" s="11">
        <v>159800.0</v>
      </c>
      <c r="CX576" s="11">
        <v>29600.0</v>
      </c>
      <c r="CY576" s="11">
        <v>14200.0</v>
      </c>
      <c r="CZ576" s="11">
        <v>36700.0</v>
      </c>
      <c r="DA576" s="11">
        <v>45000.0</v>
      </c>
      <c r="DB576" s="11">
        <v>361940.0</v>
      </c>
      <c r="DC576" s="11">
        <v>276230.0</v>
      </c>
      <c r="DD576" s="11">
        <v>255070.0</v>
      </c>
      <c r="DE576" s="11">
        <v>309390.0</v>
      </c>
      <c r="DF576" s="11">
        <v>1240000.0</v>
      </c>
      <c r="DG576" s="11">
        <v>443530.0</v>
      </c>
      <c r="DH576" s="11">
        <v>484650.0</v>
      </c>
      <c r="DI576" s="11">
        <v>518480.0</v>
      </c>
      <c r="DJ576" s="11">
        <v>584410.0</v>
      </c>
      <c r="DK576" s="12"/>
      <c r="DL576" s="11"/>
      <c r="DM576" s="11"/>
      <c r="DN576" s="11"/>
      <c r="DO576" s="12"/>
      <c r="DP576" s="11">
        <v>662340.0</v>
      </c>
      <c r="DQ576" s="11">
        <v>56750.0</v>
      </c>
      <c r="DR576" s="11">
        <v>86620.0</v>
      </c>
      <c r="DS576" s="11">
        <v>73730.0</v>
      </c>
      <c r="DT576" s="11">
        <v>97580.0</v>
      </c>
      <c r="DU576" s="11">
        <v>1010.0</v>
      </c>
      <c r="DV576" s="11">
        <v>1060.0</v>
      </c>
      <c r="DW576" s="11">
        <v>1050.0</v>
      </c>
      <c r="DX576" s="11">
        <v>1060.0</v>
      </c>
      <c r="DY576" s="11">
        <v>1080.0</v>
      </c>
      <c r="DZ576" s="11">
        <v>619340.0</v>
      </c>
      <c r="EA576" s="11">
        <v>737550.0</v>
      </c>
      <c r="EB576" s="11">
        <v>829170.0</v>
      </c>
      <c r="EC576" s="11">
        <v>921050.0</v>
      </c>
      <c r="ED576" s="11">
        <v>955160.0</v>
      </c>
      <c r="EE576" s="14">
        <v>0.065</v>
      </c>
      <c r="EF576" s="14">
        <v>0.1</v>
      </c>
      <c r="EG576" s="14">
        <v>-0.448</v>
      </c>
      <c r="EH576" s="14">
        <v>3.978</v>
      </c>
    </row>
    <row r="577">
      <c r="A577" s="9">
        <f t="shared" si="2"/>
        <v>575</v>
      </c>
      <c r="B577" s="32" t="s">
        <v>712</v>
      </c>
      <c r="C577" s="11">
        <v>911200.0</v>
      </c>
      <c r="D577" s="11">
        <v>819200.0</v>
      </c>
      <c r="E577" s="11">
        <v>1010000.0</v>
      </c>
      <c r="F577" s="11">
        <v>1130000.0</v>
      </c>
      <c r="G577" s="11">
        <v>1080000.0</v>
      </c>
      <c r="H577" s="11">
        <v>1050000.0</v>
      </c>
      <c r="I577" s="11">
        <v>1420000.0</v>
      </c>
      <c r="J577" s="11">
        <v>383100.0</v>
      </c>
      <c r="K577" s="11">
        <v>409900.0</v>
      </c>
      <c r="L577" s="11">
        <v>417100.0</v>
      </c>
      <c r="M577" s="11">
        <v>417600.0</v>
      </c>
      <c r="N577" s="11">
        <v>516200.0</v>
      </c>
      <c r="O577" s="11">
        <v>291400.0</v>
      </c>
      <c r="P577" s="11">
        <v>309300.0</v>
      </c>
      <c r="Q577" s="11">
        <v>312500.0</v>
      </c>
      <c r="R577" s="11">
        <v>284700.0</v>
      </c>
      <c r="S577" s="11">
        <v>318700.0</v>
      </c>
      <c r="T577" s="11">
        <v>18400.0</v>
      </c>
      <c r="U577" s="11">
        <v>20200.0</v>
      </c>
      <c r="V577" s="11">
        <v>20000.0</v>
      </c>
      <c r="W577" s="11">
        <v>18400.0</v>
      </c>
      <c r="X577" s="11">
        <v>22300.0</v>
      </c>
      <c r="Y577" s="11">
        <v>63300.0</v>
      </c>
      <c r="Z577" s="11">
        <v>19000.0</v>
      </c>
      <c r="AA577" s="11">
        <v>78000.0</v>
      </c>
      <c r="AB577" s="11">
        <v>-17200.0</v>
      </c>
      <c r="AC577" s="11">
        <v>185900.0</v>
      </c>
      <c r="AD577" s="11">
        <v>34400.0</v>
      </c>
      <c r="AE577" s="11">
        <v>10500.0</v>
      </c>
      <c r="AF577" s="11">
        <v>-28300.0</v>
      </c>
      <c r="AG577" s="11">
        <v>35300.0</v>
      </c>
      <c r="AH577" s="11">
        <v>125200.0</v>
      </c>
      <c r="AI577" s="11">
        <v>134900.0</v>
      </c>
      <c r="AJ577" s="11">
        <v>142600.0</v>
      </c>
      <c r="AK577" s="11">
        <v>141400.0</v>
      </c>
      <c r="AL577" s="11">
        <v>162700.0</v>
      </c>
      <c r="AM577" s="11">
        <v>229300.0</v>
      </c>
      <c r="AN577" s="11">
        <v>40600.0</v>
      </c>
      <c r="AO577" s="11">
        <v>-16100.0</v>
      </c>
      <c r="AP577" s="11">
        <v>-110900.0</v>
      </c>
      <c r="AQ577" s="11">
        <v>27600.0</v>
      </c>
      <c r="AR577" s="11">
        <v>40100.0</v>
      </c>
      <c r="AS577" s="11">
        <v>64300.0</v>
      </c>
      <c r="AT577" s="11">
        <v>-57600.0</v>
      </c>
      <c r="AU577" s="11">
        <v>-39500.0</v>
      </c>
      <c r="AV577" s="11">
        <v>127900.0</v>
      </c>
      <c r="AW577" s="11">
        <v>151800.0</v>
      </c>
      <c r="AX577" s="11">
        <v>-61600.0</v>
      </c>
      <c r="AY577" s="11">
        <v>-55000.0</v>
      </c>
      <c r="AZ577" s="11">
        <v>-45000.0</v>
      </c>
      <c r="BA577" s="11">
        <v>-40900.0</v>
      </c>
      <c r="BB577" s="11">
        <v>-36000.0</v>
      </c>
      <c r="BC577" s="13"/>
      <c r="BD577" s="13"/>
      <c r="BE577" s="13"/>
      <c r="BF577" s="13"/>
      <c r="BG577" s="13"/>
      <c r="BH577" s="11">
        <v>325000.0</v>
      </c>
      <c r="BI577" s="11">
        <v>326100.0</v>
      </c>
      <c r="BJ577" s="11">
        <v>721900.0</v>
      </c>
      <c r="BK577" s="11">
        <v>147000.0</v>
      </c>
      <c r="BL577" s="11">
        <v>98700.0</v>
      </c>
      <c r="BM577" s="11">
        <v>214000.0</v>
      </c>
      <c r="BN577" s="11">
        <v>234000.0</v>
      </c>
      <c r="BO577" s="11">
        <v>251500.0</v>
      </c>
      <c r="BP577" s="11">
        <v>197100.0</v>
      </c>
      <c r="BQ577" s="11">
        <v>233500.0</v>
      </c>
      <c r="BR577" s="11">
        <v>95900.0</v>
      </c>
      <c r="BS577" s="11">
        <v>110500.0</v>
      </c>
      <c r="BT577" s="11">
        <v>106300.0</v>
      </c>
      <c r="BU577" s="11">
        <v>89300.0</v>
      </c>
      <c r="BV577" s="11">
        <v>105300.0</v>
      </c>
      <c r="BW577" s="11">
        <v>648300.0</v>
      </c>
      <c r="BX577" s="11">
        <v>683200.0</v>
      </c>
      <c r="BY577" s="11">
        <v>1110000.0</v>
      </c>
      <c r="BZ577" s="11">
        <v>553800.0</v>
      </c>
      <c r="CA577" s="11">
        <v>446400.0</v>
      </c>
      <c r="CB577" s="11">
        <v>274600.0</v>
      </c>
      <c r="CC577" s="11">
        <v>225100.0</v>
      </c>
      <c r="CD577" s="11">
        <v>216600.0</v>
      </c>
      <c r="CE577" s="11">
        <v>192600.0</v>
      </c>
      <c r="CF577" s="11">
        <v>197100.0</v>
      </c>
      <c r="CG577" s="11">
        <v>208900.0</v>
      </c>
      <c r="CH577" s="11">
        <v>207900.0</v>
      </c>
      <c r="CI577" s="11">
        <v>198200.0</v>
      </c>
      <c r="CJ577" s="11">
        <v>114900.0</v>
      </c>
      <c r="CK577" s="11">
        <v>102500.0</v>
      </c>
      <c r="CL577" s="11">
        <v>1300000.0</v>
      </c>
      <c r="CM577" s="11">
        <v>1280000.0</v>
      </c>
      <c r="CN577" s="11">
        <v>1700000.0</v>
      </c>
      <c r="CO577" s="11">
        <v>1090000.0</v>
      </c>
      <c r="CP577" s="11">
        <v>833100.0</v>
      </c>
      <c r="CQ577" s="11">
        <v>88400.0</v>
      </c>
      <c r="CR577" s="11">
        <v>121400.0</v>
      </c>
      <c r="CS577" s="11">
        <v>134800.0</v>
      </c>
      <c r="CT577" s="11">
        <v>95900.0</v>
      </c>
      <c r="CU577" s="11">
        <v>109000.0</v>
      </c>
      <c r="CV577" s="11">
        <v>212800.0</v>
      </c>
      <c r="CW577" s="11">
        <v>8100.0</v>
      </c>
      <c r="CX577" s="13"/>
      <c r="CY577" s="13"/>
      <c r="CZ577" s="13"/>
      <c r="DA577" s="11">
        <v>68000.0</v>
      </c>
      <c r="DB577" s="11">
        <v>212800.0</v>
      </c>
      <c r="DC577" s="11">
        <v>277500.0</v>
      </c>
      <c r="DD577" s="11">
        <v>482800.0</v>
      </c>
      <c r="DE577" s="11">
        <v>311500.0</v>
      </c>
      <c r="DF577" s="11">
        <v>761000.0</v>
      </c>
      <c r="DG577" s="11">
        <v>800500.0</v>
      </c>
      <c r="DH577" s="11">
        <v>1210000.0</v>
      </c>
      <c r="DI577" s="11">
        <v>1230000.0</v>
      </c>
      <c r="DJ577" s="11">
        <v>359000.0</v>
      </c>
      <c r="DK577" s="12"/>
      <c r="DL577" s="12"/>
      <c r="DM577" s="12"/>
      <c r="DN577" s="12"/>
      <c r="DO577" s="13"/>
      <c r="DP577" s="11">
        <v>368100.0</v>
      </c>
      <c r="DQ577" s="11">
        <v>346100.0</v>
      </c>
      <c r="DR577" s="11">
        <v>520300.0</v>
      </c>
      <c r="DS577" s="11">
        <v>783000.0</v>
      </c>
      <c r="DT577" s="12"/>
      <c r="DU577" s="13"/>
      <c r="DV577" s="12"/>
      <c r="DW577" s="12"/>
      <c r="DX577" s="12"/>
      <c r="DY577" s="13"/>
      <c r="DZ577" s="11">
        <v>538700.0</v>
      </c>
      <c r="EA577" s="11">
        <v>479400.0</v>
      </c>
      <c r="EB577" s="11">
        <v>490200.0</v>
      </c>
      <c r="EC577" s="11">
        <v>-142700.0</v>
      </c>
      <c r="ED577" s="11">
        <v>470600.0</v>
      </c>
      <c r="EE577" s="14">
        <v>0.059</v>
      </c>
      <c r="EF577" s="14">
        <v>0.097</v>
      </c>
      <c r="EG577" s="14">
        <v>0.111</v>
      </c>
      <c r="EH577" s="14">
        <v>-0.035</v>
      </c>
    </row>
    <row r="578">
      <c r="A578" s="9">
        <f t="shared" si="2"/>
        <v>576</v>
      </c>
      <c r="B578" s="10" t="s">
        <v>713</v>
      </c>
      <c r="C578" s="11">
        <v>4.024E7</v>
      </c>
      <c r="D578" s="11">
        <v>3.881E7</v>
      </c>
      <c r="E578" s="11">
        <v>3.935E7</v>
      </c>
      <c r="F578" s="11">
        <v>3.619E7</v>
      </c>
      <c r="G578" s="11">
        <v>3.097E7</v>
      </c>
      <c r="H578" s="11">
        <v>3.056E7</v>
      </c>
      <c r="I578" s="11">
        <v>3.147E7</v>
      </c>
      <c r="J578" s="11">
        <v>7060000.0</v>
      </c>
      <c r="K578" s="11">
        <v>6720000.0</v>
      </c>
      <c r="L578" s="11">
        <v>6190000.0</v>
      </c>
      <c r="M578" s="11">
        <v>5660000.0</v>
      </c>
      <c r="N578" s="11">
        <v>6130000.0</v>
      </c>
      <c r="O578" s="11">
        <v>2410000.0</v>
      </c>
      <c r="P578" s="11">
        <v>2260000.0</v>
      </c>
      <c r="Q578" s="11">
        <v>2010000.0</v>
      </c>
      <c r="R578" s="11">
        <v>1920000.0</v>
      </c>
      <c r="S578" s="11">
        <v>1950000.0</v>
      </c>
      <c r="T578" s="11">
        <v>466000.0</v>
      </c>
      <c r="U578" s="11">
        <v>502000.0</v>
      </c>
      <c r="V578" s="11">
        <v>521000.0</v>
      </c>
      <c r="W578" s="12"/>
      <c r="X578" s="11">
        <v>395000.0</v>
      </c>
      <c r="Y578" s="12"/>
      <c r="Z578" s="12"/>
      <c r="AA578" s="12"/>
      <c r="AB578" s="12"/>
      <c r="AC578" s="12"/>
      <c r="AD578" s="11">
        <v>4200000.0</v>
      </c>
      <c r="AE578" s="11">
        <v>4090000.0</v>
      </c>
      <c r="AF578" s="11">
        <v>4080000.0</v>
      </c>
      <c r="AG578" s="11">
        <v>3660000.0</v>
      </c>
      <c r="AH578" s="11">
        <v>4100000.0</v>
      </c>
      <c r="AI578" s="11">
        <v>5480000.0</v>
      </c>
      <c r="AJ578" s="11">
        <v>5220000.0</v>
      </c>
      <c r="AK578" s="11">
        <v>4620000.0</v>
      </c>
      <c r="AL578" s="11">
        <v>4190000.0</v>
      </c>
      <c r="AM578" s="11">
        <v>4660000.0</v>
      </c>
      <c r="AN578" s="11">
        <v>3480000.0</v>
      </c>
      <c r="AO578" s="11">
        <v>3360000.0</v>
      </c>
      <c r="AP578" s="11">
        <v>2910000.0</v>
      </c>
      <c r="AQ578" s="11">
        <v>2680000.0</v>
      </c>
      <c r="AR578" s="11">
        <v>2970000.0</v>
      </c>
      <c r="AS578" s="11">
        <v>2980000.0</v>
      </c>
      <c r="AT578" s="11">
        <v>3150000.0</v>
      </c>
      <c r="AU578" s="11">
        <v>3880000.0</v>
      </c>
      <c r="AV578" s="11">
        <v>2200000.0</v>
      </c>
      <c r="AW578" s="11">
        <v>2500000.0</v>
      </c>
      <c r="AX578" s="11">
        <v>-987000.0</v>
      </c>
      <c r="AY578" s="11">
        <v>-690000.0</v>
      </c>
      <c r="AZ578" s="11">
        <v>-428000.0</v>
      </c>
      <c r="BA578" s="11">
        <v>-392000.0</v>
      </c>
      <c r="BB578" s="11">
        <v>-569000.0</v>
      </c>
      <c r="BC578" s="11">
        <v>-1150000.0</v>
      </c>
      <c r="BD578" s="11">
        <v>-1080000.0</v>
      </c>
      <c r="BE578" s="11">
        <v>-986000.0</v>
      </c>
      <c r="BF578" s="11">
        <v>-911000.0</v>
      </c>
      <c r="BG578" s="11">
        <v>-873000.0</v>
      </c>
      <c r="BH578" s="11">
        <v>902000.0</v>
      </c>
      <c r="BI578" s="11">
        <v>963000.0</v>
      </c>
      <c r="BJ578" s="11">
        <v>2980000.0</v>
      </c>
      <c r="BK578" s="11">
        <v>2330000.0</v>
      </c>
      <c r="BL578" s="11">
        <v>2790000.0</v>
      </c>
      <c r="BM578" s="11">
        <v>1.14E7</v>
      </c>
      <c r="BN578" s="11">
        <v>1.034E7</v>
      </c>
      <c r="BO578" s="11">
        <v>8860000.0</v>
      </c>
      <c r="BP578" s="11">
        <v>7610000.0</v>
      </c>
      <c r="BQ578" s="11">
        <v>7800000.0</v>
      </c>
      <c r="BR578" s="11">
        <v>6310000.0</v>
      </c>
      <c r="BS578" s="11">
        <v>5980000.0</v>
      </c>
      <c r="BT578" s="11">
        <v>5300000.0</v>
      </c>
      <c r="BU578" s="11">
        <v>5120000.0</v>
      </c>
      <c r="BV578" s="11">
        <v>3370000.0</v>
      </c>
      <c r="BW578" s="11">
        <v>1.978E7</v>
      </c>
      <c r="BX578" s="11">
        <v>1.819E7</v>
      </c>
      <c r="BY578" s="11">
        <v>1.833E7</v>
      </c>
      <c r="BZ578" s="11">
        <v>1.653E7</v>
      </c>
      <c r="CA578" s="11">
        <v>1.457E7</v>
      </c>
      <c r="CB578" s="11">
        <v>5910000.0</v>
      </c>
      <c r="CC578" s="11">
        <v>4350000.0</v>
      </c>
      <c r="CD578" s="11">
        <v>3520000.0</v>
      </c>
      <c r="CE578" s="11">
        <v>3480000.0</v>
      </c>
      <c r="CF578" s="11">
        <v>3470000.0</v>
      </c>
      <c r="CG578" s="11">
        <v>1.968E7</v>
      </c>
      <c r="CH578" s="11">
        <v>1.959E7</v>
      </c>
      <c r="CI578" s="11">
        <v>1.191E7</v>
      </c>
      <c r="CJ578" s="11">
        <v>1.145E7</v>
      </c>
      <c r="CK578" s="11">
        <v>1.144E7</v>
      </c>
      <c r="CL578" s="11">
        <v>4.884E7</v>
      </c>
      <c r="CM578" s="11">
        <v>4.541E7</v>
      </c>
      <c r="CN578" s="11">
        <v>3.505E7</v>
      </c>
      <c r="CO578" s="11">
        <v>3.317E7</v>
      </c>
      <c r="CP578" s="11">
        <v>3.2E7</v>
      </c>
      <c r="CQ578" s="11">
        <v>3160000.0</v>
      </c>
      <c r="CR578" s="11">
        <v>3180000.0</v>
      </c>
      <c r="CS578" s="11">
        <v>3210000.0</v>
      </c>
      <c r="CT578" s="11">
        <v>2540000.0</v>
      </c>
      <c r="CU578" s="11">
        <v>1960000.0</v>
      </c>
      <c r="CV578" s="11">
        <v>1.68E7</v>
      </c>
      <c r="CW578" s="11">
        <v>252000.0</v>
      </c>
      <c r="CX578" s="12"/>
      <c r="CY578" s="12"/>
      <c r="CZ578" s="12"/>
      <c r="DA578" s="12"/>
      <c r="DB578" s="11">
        <v>1.68E7</v>
      </c>
      <c r="DC578" s="11">
        <v>1.474E7</v>
      </c>
      <c r="DD578" s="11">
        <v>1.31E7</v>
      </c>
      <c r="DE578" s="11">
        <v>1.345E7</v>
      </c>
      <c r="DF578" s="11">
        <v>3.526E7</v>
      </c>
      <c r="DG578" s="11">
        <v>3.368E7</v>
      </c>
      <c r="DH578" s="11">
        <v>2.361E7</v>
      </c>
      <c r="DI578" s="11">
        <v>2.287E7</v>
      </c>
      <c r="DJ578" s="11">
        <v>2.126E7</v>
      </c>
      <c r="DK578" s="12"/>
      <c r="DL578" s="12"/>
      <c r="DM578" s="12"/>
      <c r="DN578" s="12"/>
      <c r="DO578" s="12"/>
      <c r="DP578" s="11">
        <v>1.026E7</v>
      </c>
      <c r="DQ578" s="11">
        <v>1.144E7</v>
      </c>
      <c r="DR578" s="11">
        <v>3980000.0</v>
      </c>
      <c r="DS578" s="11">
        <v>2990000.0</v>
      </c>
      <c r="DT578" s="11">
        <v>2900000.0</v>
      </c>
      <c r="DU578" s="12"/>
      <c r="DV578" s="12"/>
      <c r="DW578" s="12"/>
      <c r="DX578" s="12"/>
      <c r="DY578" s="12"/>
      <c r="DZ578" s="11">
        <v>1.358E7</v>
      </c>
      <c r="EA578" s="11">
        <v>1.173E7</v>
      </c>
      <c r="EB578" s="11">
        <v>1.144E7</v>
      </c>
      <c r="EC578" s="11">
        <v>1.03E7</v>
      </c>
      <c r="ED578" s="11">
        <v>1.074E7</v>
      </c>
      <c r="EE578" s="14">
        <v>0.035</v>
      </c>
      <c r="EF578" s="14">
        <v>0.047</v>
      </c>
      <c r="EG578" s="14">
        <v>-0.054</v>
      </c>
      <c r="EH578" s="14">
        <v>0.007</v>
      </c>
    </row>
    <row r="579">
      <c r="A579" s="9">
        <f t="shared" si="2"/>
        <v>577</v>
      </c>
      <c r="B579" s="10" t="s">
        <v>714</v>
      </c>
      <c r="C579" s="15">
        <v>845560.0</v>
      </c>
      <c r="D579" s="15">
        <v>607930.0</v>
      </c>
      <c r="E579" s="15">
        <v>973410.0</v>
      </c>
      <c r="F579" s="15">
        <v>851790.0</v>
      </c>
      <c r="G579" s="15">
        <v>507140.0</v>
      </c>
      <c r="H579" s="15">
        <v>403200.0</v>
      </c>
      <c r="I579" s="15">
        <v>177040.0</v>
      </c>
      <c r="J579" s="15">
        <v>278310.0</v>
      </c>
      <c r="K579" s="15">
        <v>243110.0</v>
      </c>
      <c r="L579" s="15">
        <v>120050.0</v>
      </c>
      <c r="M579" s="15">
        <v>85370.0</v>
      </c>
      <c r="N579" s="15">
        <v>45380.0</v>
      </c>
      <c r="O579" s="15">
        <v>225850.0</v>
      </c>
      <c r="P579" s="15">
        <v>183890.0</v>
      </c>
      <c r="Q579" s="15">
        <v>98380.0</v>
      </c>
      <c r="R579" s="15">
        <v>70130.0</v>
      </c>
      <c r="S579" s="15">
        <v>38710.0</v>
      </c>
      <c r="T579" s="15">
        <v>0.0</v>
      </c>
      <c r="U579" s="15">
        <v>0.0</v>
      </c>
      <c r="V579" s="15">
        <v>0.0</v>
      </c>
      <c r="W579" s="15">
        <v>0.0</v>
      </c>
      <c r="X579" s="15">
        <v>0.0</v>
      </c>
      <c r="Y579" s="15">
        <v>35650.0</v>
      </c>
      <c r="Z579" s="15">
        <v>57260.0</v>
      </c>
      <c r="AA579" s="15">
        <v>-5990.0</v>
      </c>
      <c r="AB579" s="15">
        <v>13090.0</v>
      </c>
      <c r="AC579" s="15">
        <v>16440.0</v>
      </c>
      <c r="AD579" s="15">
        <v>-41420.0</v>
      </c>
      <c r="AE579" s="15">
        <v>-11280.0</v>
      </c>
      <c r="AF579" s="15">
        <v>-5840.0</v>
      </c>
      <c r="AG579" s="15">
        <v>11980.0</v>
      </c>
      <c r="AH579" s="15">
        <v>14550.0</v>
      </c>
      <c r="AI579" s="15">
        <v>169050.0</v>
      </c>
      <c r="AJ579" s="15">
        <v>153670.0</v>
      </c>
      <c r="AK579" s="15">
        <v>62460.0</v>
      </c>
      <c r="AL579" s="15">
        <v>42750.0</v>
      </c>
      <c r="AM579" s="15">
        <v>17030.0</v>
      </c>
      <c r="AN579" s="15">
        <v>-39550.0</v>
      </c>
      <c r="AO579" s="15">
        <v>-20910.0</v>
      </c>
      <c r="AP579" s="15">
        <v>2080.0</v>
      </c>
      <c r="AQ579" s="15">
        <v>16300.0</v>
      </c>
      <c r="AR579" s="15">
        <v>24520.0</v>
      </c>
      <c r="AS579" s="15">
        <v>113910.0</v>
      </c>
      <c r="AT579" s="15">
        <v>97730.0</v>
      </c>
      <c r="AU579" s="15">
        <v>22100.0</v>
      </c>
      <c r="AV579" s="15">
        <v>37400.0</v>
      </c>
      <c r="AW579" s="15">
        <v>9340.0</v>
      </c>
      <c r="AX579" s="15">
        <v>-107270.0</v>
      </c>
      <c r="AY579" s="15">
        <v>-69310.0</v>
      </c>
      <c r="AZ579" s="15">
        <v>-31680.0</v>
      </c>
      <c r="BA579" s="15">
        <v>-30630.0</v>
      </c>
      <c r="BB579" s="15">
        <v>-7950.0</v>
      </c>
      <c r="BC579" s="15">
        <v>0.0</v>
      </c>
      <c r="BD579" s="15">
        <v>0.0</v>
      </c>
      <c r="BE579" s="15">
        <v>0.0</v>
      </c>
      <c r="BF579" s="15">
        <v>-23530.0</v>
      </c>
      <c r="BG579" s="15">
        <v>0.0</v>
      </c>
      <c r="BH579" s="15">
        <v>111680.0</v>
      </c>
      <c r="BI579" s="15">
        <v>116070.0</v>
      </c>
      <c r="BJ579" s="15">
        <v>90580.0</v>
      </c>
      <c r="BK579" s="15">
        <v>46900.0</v>
      </c>
      <c r="BL579" s="15">
        <v>69180.0</v>
      </c>
      <c r="BM579" s="15">
        <v>16250.0</v>
      </c>
      <c r="BN579" s="15">
        <v>12780.0</v>
      </c>
      <c r="BO579" s="15">
        <v>14690.0</v>
      </c>
      <c r="BP579" s="15">
        <v>9040.0</v>
      </c>
      <c r="BQ579" s="15">
        <v>5110.0</v>
      </c>
      <c r="BR579" s="15">
        <v>8240.0</v>
      </c>
      <c r="BS579" s="15">
        <v>6760.0</v>
      </c>
      <c r="BT579" s="15">
        <v>5590.0</v>
      </c>
      <c r="BU579" s="15">
        <v>2610.0</v>
      </c>
      <c r="BV579" s="15">
        <v>0.0</v>
      </c>
      <c r="BW579" s="15">
        <v>160430.0</v>
      </c>
      <c r="BX579" s="15">
        <v>156760.0</v>
      </c>
      <c r="BY579" s="15">
        <v>133080.0</v>
      </c>
      <c r="BZ579" s="15">
        <v>69650.0</v>
      </c>
      <c r="CA579" s="15">
        <v>83640.0</v>
      </c>
      <c r="CB579" s="15">
        <v>1250000.0</v>
      </c>
      <c r="CC579" s="15">
        <v>894950.0</v>
      </c>
      <c r="CD579" s="15">
        <v>895240.0</v>
      </c>
      <c r="CE579" s="15">
        <v>137580.0</v>
      </c>
      <c r="CF579" s="15">
        <v>114310.0</v>
      </c>
      <c r="CG579" s="15">
        <v>184330.0</v>
      </c>
      <c r="CH579" s="15">
        <v>158130.0</v>
      </c>
      <c r="CI579" s="15">
        <v>158130.0</v>
      </c>
      <c r="CJ579" s="15">
        <v>105660.0</v>
      </c>
      <c r="CK579" s="15">
        <v>96290.0</v>
      </c>
      <c r="CL579" s="15">
        <v>1800000.0</v>
      </c>
      <c r="CM579" s="15">
        <v>1370000.0</v>
      </c>
      <c r="CN579" s="15">
        <v>1370000.0</v>
      </c>
      <c r="CO579" s="15">
        <v>419080.0</v>
      </c>
      <c r="CP579" s="15">
        <v>378780.0</v>
      </c>
      <c r="CQ579" s="15">
        <v>30150.0</v>
      </c>
      <c r="CR579" s="15">
        <v>27810.0</v>
      </c>
      <c r="CS579" s="15">
        <v>19470.0</v>
      </c>
      <c r="CT579" s="15">
        <v>11740.0</v>
      </c>
      <c r="CU579" s="15">
        <v>8240.0</v>
      </c>
      <c r="CV579" s="15">
        <v>132760.0</v>
      </c>
      <c r="CW579" s="15">
        <v>33880.0</v>
      </c>
      <c r="CX579" s="15">
        <v>0.0</v>
      </c>
      <c r="CY579" s="15">
        <v>0.0</v>
      </c>
      <c r="CZ579" s="15">
        <v>0.0</v>
      </c>
      <c r="DA579" s="15">
        <v>0.0</v>
      </c>
      <c r="DB579" s="15">
        <v>132760.0</v>
      </c>
      <c r="DC579" s="15">
        <v>83460.0</v>
      </c>
      <c r="DD579" s="15">
        <v>78840.0</v>
      </c>
      <c r="DE579" s="15">
        <v>37840.0</v>
      </c>
      <c r="DF579" s="15">
        <v>1510000.0</v>
      </c>
      <c r="DG579" s="15">
        <v>1050000.0</v>
      </c>
      <c r="DH579" s="15">
        <v>1050000.0</v>
      </c>
      <c r="DI579" s="15">
        <v>209650.0</v>
      </c>
      <c r="DJ579" s="15">
        <v>168300.0</v>
      </c>
      <c r="DK579" s="15">
        <v>0.0</v>
      </c>
      <c r="DL579" s="15">
        <v>0.0</v>
      </c>
      <c r="DM579" s="15">
        <v>0.0</v>
      </c>
      <c r="DN579" s="15">
        <v>0.0</v>
      </c>
      <c r="DO579" s="15">
        <v>0.0</v>
      </c>
      <c r="DP579" s="15">
        <v>1310000.0</v>
      </c>
      <c r="DQ579" s="15">
        <v>960560.0</v>
      </c>
      <c r="DR579" s="15">
        <v>963200.0</v>
      </c>
      <c r="DS579" s="15">
        <v>167690.0</v>
      </c>
      <c r="DT579" s="15">
        <v>136920.0</v>
      </c>
      <c r="DU579" s="16">
        <v>0.0</v>
      </c>
      <c r="DV579" s="15">
        <v>0.0</v>
      </c>
      <c r="DW579" s="15">
        <v>0.0</v>
      </c>
      <c r="DX579" s="15">
        <v>0.0</v>
      </c>
      <c r="DY579" s="16">
        <v>0.0</v>
      </c>
      <c r="DZ579" s="15">
        <v>289740.0</v>
      </c>
      <c r="EA579" s="15">
        <v>315150.0</v>
      </c>
      <c r="EB579" s="15">
        <v>319910.0</v>
      </c>
      <c r="EC579" s="15">
        <v>209430.0</v>
      </c>
      <c r="ED579" s="15">
        <v>210490.0</v>
      </c>
      <c r="EE579" s="17">
        <v>0.201</v>
      </c>
      <c r="EF579" s="17">
        <v>0.21</v>
      </c>
      <c r="EG579" s="17">
        <v>-2.774</v>
      </c>
      <c r="EH579" s="17">
        <v>-3.749</v>
      </c>
    </row>
    <row r="580">
      <c r="A580" s="9">
        <f t="shared" si="2"/>
        <v>578</v>
      </c>
      <c r="B580" s="32" t="s">
        <v>715</v>
      </c>
      <c r="C580" s="11"/>
      <c r="D580" s="11"/>
      <c r="E580" s="11">
        <v>81330.0</v>
      </c>
      <c r="F580" s="11">
        <v>98610.0</v>
      </c>
      <c r="G580" s="11">
        <v>80610.0</v>
      </c>
      <c r="H580" s="11">
        <v>69990.0</v>
      </c>
      <c r="I580" s="11">
        <v>39230.0</v>
      </c>
      <c r="J580" s="11">
        <v>22410.0</v>
      </c>
      <c r="K580" s="11">
        <v>26800.0</v>
      </c>
      <c r="L580" s="11">
        <v>21240.0</v>
      </c>
      <c r="M580" s="11">
        <v>17530.0</v>
      </c>
      <c r="N580" s="11">
        <v>7510.0</v>
      </c>
      <c r="O580" s="11">
        <v>12940.0</v>
      </c>
      <c r="P580" s="11">
        <v>12910.0</v>
      </c>
      <c r="Q580" s="11">
        <v>10920.0</v>
      </c>
      <c r="R580" s="11">
        <v>9710.0</v>
      </c>
      <c r="S580" s="11">
        <v>8300.0</v>
      </c>
      <c r="T580" s="11">
        <v>3300.0</v>
      </c>
      <c r="U580" s="11">
        <v>2920.0</v>
      </c>
      <c r="V580" s="11">
        <v>2150.0</v>
      </c>
      <c r="W580" s="11">
        <v>1570.0</v>
      </c>
      <c r="X580" s="11">
        <v>1420.0</v>
      </c>
      <c r="Y580" s="11"/>
      <c r="Z580" s="12"/>
      <c r="AA580" s="12"/>
      <c r="AB580" s="12"/>
      <c r="AC580" s="11"/>
      <c r="AD580" s="11">
        <v>12820.0</v>
      </c>
      <c r="AE580" s="11">
        <v>15060.0</v>
      </c>
      <c r="AF580" s="11">
        <v>12180.0</v>
      </c>
      <c r="AG580" s="11">
        <v>9400.0</v>
      </c>
      <c r="AH580" s="11">
        <v>-3550.0</v>
      </c>
      <c r="AI580" s="11">
        <v>11070.0</v>
      </c>
      <c r="AJ580" s="11">
        <v>15270.0</v>
      </c>
      <c r="AK580" s="11">
        <v>11360.0</v>
      </c>
      <c r="AL580" s="11">
        <v>9210.0</v>
      </c>
      <c r="AM580" s="11">
        <v>591.0</v>
      </c>
      <c r="AN580" s="11">
        <v>10200.0</v>
      </c>
      <c r="AO580" s="11">
        <v>12690.0</v>
      </c>
      <c r="AP580" s="11">
        <v>8420.0</v>
      </c>
      <c r="AQ580" s="11">
        <v>7040.0</v>
      </c>
      <c r="AR580" s="11">
        <v>-1820.0</v>
      </c>
      <c r="AS580" s="11">
        <v>4160.0</v>
      </c>
      <c r="AT580" s="11">
        <v>-12000.0</v>
      </c>
      <c r="AU580" s="11">
        <v>6110.0</v>
      </c>
      <c r="AV580" s="11">
        <v>6990.0</v>
      </c>
      <c r="AW580" s="11">
        <v>4510.0</v>
      </c>
      <c r="AX580" s="11">
        <v>-2100.0</v>
      </c>
      <c r="AY580" s="11">
        <v>-3550.0</v>
      </c>
      <c r="AZ580" s="11">
        <v>-1620.0</v>
      </c>
      <c r="BA580" s="11">
        <v>-306.0</v>
      </c>
      <c r="BB580" s="11">
        <v>-689.0</v>
      </c>
      <c r="BC580" s="13"/>
      <c r="BD580" s="13"/>
      <c r="BE580" s="13"/>
      <c r="BF580" s="13"/>
      <c r="BG580" s="13"/>
      <c r="BH580" s="11">
        <v>115620.0</v>
      </c>
      <c r="BI580" s="11">
        <v>112070.0</v>
      </c>
      <c r="BJ580" s="11">
        <v>110820.0</v>
      </c>
      <c r="BK580" s="11">
        <v>104160.0</v>
      </c>
      <c r="BL580" s="11">
        <v>95510.0</v>
      </c>
      <c r="BM580" s="11">
        <v>15440.0</v>
      </c>
      <c r="BN580" s="11">
        <v>12890.0</v>
      </c>
      <c r="BO580" s="11">
        <v>7950.0</v>
      </c>
      <c r="BP580" s="11">
        <v>6030.0</v>
      </c>
      <c r="BQ580" s="11">
        <v>3270.0</v>
      </c>
      <c r="BR580" s="11">
        <v>25370.0</v>
      </c>
      <c r="BS580" s="11">
        <v>21890.0</v>
      </c>
      <c r="BT580" s="11">
        <v>16690.0</v>
      </c>
      <c r="BU580" s="11">
        <v>11630.0</v>
      </c>
      <c r="BV580" s="11">
        <v>12770.0</v>
      </c>
      <c r="BW580" s="11">
        <v>156930.0</v>
      </c>
      <c r="BX580" s="11">
        <v>148200.0</v>
      </c>
      <c r="BY580" s="11">
        <v>137120.0</v>
      </c>
      <c r="BZ580" s="11">
        <v>123420.0</v>
      </c>
      <c r="CA580" s="11">
        <v>112370.0</v>
      </c>
      <c r="CB580" s="11">
        <v>8390.0</v>
      </c>
      <c r="CC580" s="11">
        <v>7890.0</v>
      </c>
      <c r="CD580" s="11">
        <v>5720.0</v>
      </c>
      <c r="CE580" s="11">
        <v>5240.0</v>
      </c>
      <c r="CF580" s="11">
        <v>6390.0</v>
      </c>
      <c r="CG580" s="11"/>
      <c r="CH580" s="11"/>
      <c r="CI580" s="11"/>
      <c r="CJ580" s="11"/>
      <c r="CK580" s="11"/>
      <c r="CL580" s="11">
        <v>166010.0</v>
      </c>
      <c r="CM580" s="11">
        <v>156890.0</v>
      </c>
      <c r="CN580" s="11">
        <v>142890.0</v>
      </c>
      <c r="CO580" s="11">
        <v>128710.0</v>
      </c>
      <c r="CP580" s="11">
        <v>121590.0</v>
      </c>
      <c r="CQ580" s="11">
        <v>1910.0</v>
      </c>
      <c r="CR580" s="11">
        <v>1840.0</v>
      </c>
      <c r="CS580" s="11">
        <v>1320.0</v>
      </c>
      <c r="CT580" s="11">
        <v>1440.0</v>
      </c>
      <c r="CU580" s="11">
        <v>1530.0</v>
      </c>
      <c r="CV580" s="11">
        <v>6490.0</v>
      </c>
      <c r="CW580" s="11"/>
      <c r="CX580" s="11"/>
      <c r="CY580" s="11"/>
      <c r="CZ580" s="11"/>
      <c r="DA580" s="11"/>
      <c r="DB580" s="11">
        <v>6490.0</v>
      </c>
      <c r="DC580" s="11">
        <v>8490.0</v>
      </c>
      <c r="DD580" s="11">
        <v>12370.0</v>
      </c>
      <c r="DE580" s="11">
        <v>8190.0</v>
      </c>
      <c r="DF580" s="11">
        <v>10490.0</v>
      </c>
      <c r="DG580" s="11">
        <v>11880.0</v>
      </c>
      <c r="DH580" s="11">
        <v>13980.0</v>
      </c>
      <c r="DI580" s="11">
        <v>8510.0</v>
      </c>
      <c r="DJ580" s="11">
        <v>8850.0</v>
      </c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3"/>
      <c r="DV580" s="12"/>
      <c r="DW580" s="12"/>
      <c r="DX580" s="12"/>
      <c r="DY580" s="13"/>
      <c r="DZ580" s="11">
        <v>155520.0</v>
      </c>
      <c r="EA580" s="11">
        <v>145020.0</v>
      </c>
      <c r="EB580" s="11">
        <v>128920.0</v>
      </c>
      <c r="EC580" s="11">
        <v>120210.0</v>
      </c>
      <c r="ED580" s="11">
        <v>112750.0</v>
      </c>
      <c r="EE580" s="14"/>
      <c r="EF580" s="14"/>
      <c r="EG580" s="29" t="s">
        <v>155</v>
      </c>
      <c r="EH580" s="14"/>
    </row>
    <row r="581">
      <c r="A581" s="9">
        <f t="shared" si="2"/>
        <v>579</v>
      </c>
      <c r="B581" s="22" t="s">
        <v>716</v>
      </c>
      <c r="C581" s="12"/>
      <c r="D581" s="12"/>
      <c r="E581" s="11">
        <v>25.0</v>
      </c>
      <c r="F581" s="11">
        <v>189.0</v>
      </c>
      <c r="G581" s="11">
        <v>519.0</v>
      </c>
      <c r="H581" s="11">
        <v>825.0</v>
      </c>
      <c r="I581" s="11">
        <v>2010.0</v>
      </c>
      <c r="J581" s="11">
        <v>-251.0</v>
      </c>
      <c r="K581" s="11">
        <v>-349.0</v>
      </c>
      <c r="L581" s="11">
        <v>-274.0</v>
      </c>
      <c r="M581" s="11">
        <v>-248.0</v>
      </c>
      <c r="N581" s="11">
        <v>944.0</v>
      </c>
      <c r="O581" s="11">
        <v>6770.0</v>
      </c>
      <c r="P581" s="11">
        <v>6180.0</v>
      </c>
      <c r="Q581" s="11">
        <v>7720.0</v>
      </c>
      <c r="R581" s="11">
        <v>8970.0</v>
      </c>
      <c r="S581" s="11">
        <v>11840.0</v>
      </c>
      <c r="T581" s="11">
        <v>2360.0</v>
      </c>
      <c r="U581" s="11">
        <v>2210.0</v>
      </c>
      <c r="V581" s="11">
        <v>2370.0</v>
      </c>
      <c r="W581" s="11">
        <v>396.0</v>
      </c>
      <c r="X581" s="11">
        <v>2750.0</v>
      </c>
      <c r="Y581" s="11">
        <v>-7520.0</v>
      </c>
      <c r="Z581" s="12"/>
      <c r="AA581" s="11">
        <v>-8540.0</v>
      </c>
      <c r="AB581" s="12"/>
      <c r="AC581" s="11">
        <v>-11340.0</v>
      </c>
      <c r="AD581" s="11">
        <v>-7280.0</v>
      </c>
      <c r="AE581" s="11">
        <v>-5760.0</v>
      </c>
      <c r="AF581" s="11">
        <v>-8660.0</v>
      </c>
      <c r="AG581" s="11">
        <v>-8820.0</v>
      </c>
      <c r="AH581" s="11">
        <v>-8920.0</v>
      </c>
      <c r="AI581" s="11">
        <v>-6860.0</v>
      </c>
      <c r="AJ581" s="11">
        <v>-6230.0</v>
      </c>
      <c r="AK581" s="11">
        <v>-7620.0</v>
      </c>
      <c r="AL581" s="11">
        <v>-8830.0</v>
      </c>
      <c r="AM581" s="11">
        <v>-10660.0</v>
      </c>
      <c r="AN581" s="11">
        <v>-6430.0</v>
      </c>
      <c r="AO581" s="11">
        <v>-5460.0</v>
      </c>
      <c r="AP581" s="11">
        <v>-8400.0</v>
      </c>
      <c r="AQ581" s="11">
        <v>-8460.0</v>
      </c>
      <c r="AR581" s="11">
        <v>-8810.0</v>
      </c>
      <c r="AS581" s="11">
        <v>-6050.0</v>
      </c>
      <c r="AT581" s="11">
        <v>-5620.0</v>
      </c>
      <c r="AU581" s="11">
        <v>-6810.0</v>
      </c>
      <c r="AV581" s="11">
        <v>-7730.0</v>
      </c>
      <c r="AW581" s="11">
        <v>-9690.0</v>
      </c>
      <c r="AX581" s="11">
        <v>-50.0</v>
      </c>
      <c r="AY581" s="11">
        <v>-2.0</v>
      </c>
      <c r="AZ581" s="11">
        <v>-235.0</v>
      </c>
      <c r="BA581" s="11">
        <v>-303.0</v>
      </c>
      <c r="BB581" s="11">
        <v>-193.0</v>
      </c>
      <c r="BC581" s="12"/>
      <c r="BD581" s="12"/>
      <c r="BE581" s="12"/>
      <c r="BF581" s="12"/>
      <c r="BG581" s="12"/>
      <c r="BH581" s="11">
        <v>2130.0</v>
      </c>
      <c r="BI581" s="11">
        <v>5490.0</v>
      </c>
      <c r="BJ581" s="11">
        <v>10990.0</v>
      </c>
      <c r="BK581" s="11">
        <v>11180.0</v>
      </c>
      <c r="BL581" s="11">
        <v>18340.0</v>
      </c>
      <c r="BM581" s="11">
        <v>819.0</v>
      </c>
      <c r="BN581" s="11">
        <v>301.0</v>
      </c>
      <c r="BO581" s="11">
        <v>426.0</v>
      </c>
      <c r="BP581" s="11">
        <v>631.0</v>
      </c>
      <c r="BQ581" s="11">
        <v>715.0</v>
      </c>
      <c r="BR581" s="11">
        <v>32.0</v>
      </c>
      <c r="BS581" s="11">
        <v>59.0</v>
      </c>
      <c r="BT581" s="11">
        <v>77.0</v>
      </c>
      <c r="BU581" s="11">
        <v>167.0</v>
      </c>
      <c r="BV581" s="11">
        <v>317.0</v>
      </c>
      <c r="BW581" s="11">
        <v>3200.0</v>
      </c>
      <c r="BX581" s="11">
        <v>5990.0</v>
      </c>
      <c r="BY581" s="11">
        <v>11630.0</v>
      </c>
      <c r="BZ581" s="11">
        <v>12130.0</v>
      </c>
      <c r="CA581" s="11">
        <v>19570.0</v>
      </c>
      <c r="CB581" s="11">
        <v>69.0</v>
      </c>
      <c r="CC581" s="11">
        <v>175.0</v>
      </c>
      <c r="CD581" s="11">
        <v>477.0</v>
      </c>
      <c r="CE581" s="11">
        <v>550.0</v>
      </c>
      <c r="CF581" s="11">
        <v>418.0</v>
      </c>
      <c r="CG581" s="12"/>
      <c r="CH581" s="12"/>
      <c r="CI581" s="12"/>
      <c r="CJ581" s="12"/>
      <c r="CK581" s="12"/>
      <c r="CL581" s="11">
        <v>3270.0</v>
      </c>
      <c r="CM581" s="11">
        <v>8670.0</v>
      </c>
      <c r="CN581" s="11">
        <v>12110.0</v>
      </c>
      <c r="CO581" s="11">
        <v>13290.0</v>
      </c>
      <c r="CP581" s="11">
        <v>20720.0</v>
      </c>
      <c r="CQ581" s="11">
        <v>590.0</v>
      </c>
      <c r="CR581" s="11">
        <v>536.0</v>
      </c>
      <c r="CS581" s="11">
        <v>398.0</v>
      </c>
      <c r="CT581" s="11">
        <v>392.0</v>
      </c>
      <c r="CU581" s="11">
        <v>517.0</v>
      </c>
      <c r="CV581" s="11">
        <v>1490.0</v>
      </c>
      <c r="CW581" s="12"/>
      <c r="CX581" s="12"/>
      <c r="CY581" s="12"/>
      <c r="CZ581" s="12"/>
      <c r="DA581" s="12"/>
      <c r="DB581" s="11">
        <v>1490.0</v>
      </c>
      <c r="DC581" s="11">
        <v>1450.0</v>
      </c>
      <c r="DD581" s="11">
        <v>1470.0</v>
      </c>
      <c r="DE581" s="11">
        <v>1330.0</v>
      </c>
      <c r="DF581" s="11">
        <v>1490.0</v>
      </c>
      <c r="DG581" s="11">
        <v>3950.0</v>
      </c>
      <c r="DH581" s="11">
        <v>1530.0</v>
      </c>
      <c r="DI581" s="11">
        <v>1410.0</v>
      </c>
      <c r="DJ581" s="11">
        <v>1760.0</v>
      </c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3"/>
      <c r="DV581" s="12"/>
      <c r="DW581" s="12"/>
      <c r="DX581" s="13"/>
      <c r="DY581" s="13"/>
      <c r="DZ581" s="11">
        <v>1770.0</v>
      </c>
      <c r="EA581" s="11">
        <v>4710.0</v>
      </c>
      <c r="EB581" s="11">
        <v>10580.0</v>
      </c>
      <c r="EC581" s="11">
        <v>11880.0</v>
      </c>
      <c r="ED581" s="11">
        <v>18960.0</v>
      </c>
      <c r="EE581" s="23"/>
      <c r="EF581" s="23"/>
      <c r="EG581" s="23" t="s">
        <v>155</v>
      </c>
      <c r="EH581" s="23"/>
    </row>
    <row r="582">
      <c r="A582" s="9">
        <f t="shared" si="2"/>
        <v>580</v>
      </c>
      <c r="B582" s="22" t="s">
        <v>717</v>
      </c>
      <c r="C582" s="12"/>
      <c r="D582" s="12"/>
      <c r="E582" s="11">
        <v>460.0</v>
      </c>
      <c r="F582" s="11">
        <v>1070.0</v>
      </c>
      <c r="G582" s="11">
        <v>1070.0</v>
      </c>
      <c r="H582" s="11">
        <v>6160.0</v>
      </c>
      <c r="I582" s="11">
        <v>36370.0</v>
      </c>
      <c r="J582" s="12"/>
      <c r="K582" s="12"/>
      <c r="L582" s="12"/>
      <c r="M582" s="12"/>
      <c r="N582" s="12"/>
      <c r="O582" s="11">
        <v>72190.0</v>
      </c>
      <c r="P582" s="11">
        <v>32080.0</v>
      </c>
      <c r="Q582" s="11">
        <v>30240.0</v>
      </c>
      <c r="R582" s="11">
        <v>36730.0</v>
      </c>
      <c r="S582" s="11">
        <v>35570.0</v>
      </c>
      <c r="T582" s="11">
        <v>52070.0</v>
      </c>
      <c r="U582" s="11">
        <v>13430.0</v>
      </c>
      <c r="V582" s="11">
        <v>11030.0</v>
      </c>
      <c r="W582" s="11">
        <v>18050.0</v>
      </c>
      <c r="X582" s="11">
        <v>17830.0</v>
      </c>
      <c r="Y582" s="11">
        <v>-72700.0</v>
      </c>
      <c r="Z582" s="11">
        <v>-31610.0</v>
      </c>
      <c r="AA582" s="12"/>
      <c r="AB582" s="12"/>
      <c r="AC582" s="11">
        <v>-543.0</v>
      </c>
      <c r="AD582" s="11">
        <v>-68550.0</v>
      </c>
      <c r="AE582" s="11">
        <v>-27020.0</v>
      </c>
      <c r="AF582" s="11">
        <v>-27920.0</v>
      </c>
      <c r="AG582" s="11">
        <v>-29540.0</v>
      </c>
      <c r="AH582" s="11">
        <v>46.0</v>
      </c>
      <c r="AI582" s="11">
        <v>-71730.0</v>
      </c>
      <c r="AJ582" s="11">
        <v>-31010.0</v>
      </c>
      <c r="AK582" s="11">
        <v>-29180.0</v>
      </c>
      <c r="AL582" s="11">
        <v>-30570.0</v>
      </c>
      <c r="AM582" s="11">
        <v>803.0</v>
      </c>
      <c r="AN582" s="11">
        <v>-68550.0</v>
      </c>
      <c r="AO582" s="11">
        <v>-27020.0</v>
      </c>
      <c r="AP582" s="11">
        <v>-27920.0</v>
      </c>
      <c r="AQ582" s="11">
        <v>-29540.0</v>
      </c>
      <c r="AR582" s="11">
        <v>46.0</v>
      </c>
      <c r="AS582" s="11">
        <v>-43170.0</v>
      </c>
      <c r="AT582" s="11">
        <v>-21010.0</v>
      </c>
      <c r="AU582" s="11">
        <v>-20560.0</v>
      </c>
      <c r="AV582" s="11">
        <v>-18370.0</v>
      </c>
      <c r="AW582" s="11">
        <v>-24200.0</v>
      </c>
      <c r="AX582" s="11">
        <v>-413.0</v>
      </c>
      <c r="AY582" s="11">
        <v>-16.0</v>
      </c>
      <c r="AZ582" s="12"/>
      <c r="BA582" s="11">
        <v>-57.0</v>
      </c>
      <c r="BB582" s="11">
        <v>-90.0</v>
      </c>
      <c r="BC582" s="12"/>
      <c r="BD582" s="12"/>
      <c r="BE582" s="12"/>
      <c r="BF582" s="12"/>
      <c r="BG582" s="12"/>
      <c r="BH582" s="11">
        <v>139600.0</v>
      </c>
      <c r="BI582" s="11">
        <v>163560.0</v>
      </c>
      <c r="BJ582" s="11">
        <v>94950.0</v>
      </c>
      <c r="BK582" s="11">
        <v>115110.0</v>
      </c>
      <c r="BL582" s="11">
        <v>114040.0</v>
      </c>
      <c r="BM582" s="11">
        <v>802.0</v>
      </c>
      <c r="BN582" s="11">
        <v>1170.0</v>
      </c>
      <c r="BO582" s="11">
        <v>436.0</v>
      </c>
      <c r="BP582" s="11">
        <v>475.0</v>
      </c>
      <c r="BQ582" s="11">
        <v>1210.0</v>
      </c>
      <c r="BR582" s="12"/>
      <c r="BS582" s="12"/>
      <c r="BT582" s="12"/>
      <c r="BU582" s="12"/>
      <c r="BV582" s="12"/>
      <c r="BW582" s="11">
        <v>141610.0</v>
      </c>
      <c r="BX582" s="11">
        <v>166060.0</v>
      </c>
      <c r="BY582" s="11">
        <v>95970.0</v>
      </c>
      <c r="BZ582" s="11">
        <v>116110.0</v>
      </c>
      <c r="CA582" s="11">
        <v>115890.0</v>
      </c>
      <c r="CB582" s="11">
        <v>2910.0</v>
      </c>
      <c r="CC582" s="11">
        <v>59.0</v>
      </c>
      <c r="CD582" s="11">
        <v>102.0</v>
      </c>
      <c r="CE582" s="11">
        <v>183.0</v>
      </c>
      <c r="CF582" s="11">
        <v>207.0</v>
      </c>
      <c r="CG582" s="12"/>
      <c r="CH582" s="12"/>
      <c r="CI582" s="12"/>
      <c r="CJ582" s="12"/>
      <c r="CK582" s="12"/>
      <c r="CL582" s="11">
        <v>165520.0</v>
      </c>
      <c r="CM582" s="11">
        <v>185280.0</v>
      </c>
      <c r="CN582" s="11">
        <v>110310.0</v>
      </c>
      <c r="CO582" s="11">
        <v>130250.0</v>
      </c>
      <c r="CP582" s="11">
        <v>148760.0</v>
      </c>
      <c r="CQ582" s="11">
        <v>1180.0</v>
      </c>
      <c r="CR582" s="11">
        <v>982.0</v>
      </c>
      <c r="CS582" s="11">
        <v>503.0</v>
      </c>
      <c r="CT582" s="11">
        <v>225.0</v>
      </c>
      <c r="CU582" s="11">
        <v>160.0</v>
      </c>
      <c r="CV582" s="11">
        <v>28160.0</v>
      </c>
      <c r="CW582" s="11">
        <v>354.0</v>
      </c>
      <c r="CX582" s="12"/>
      <c r="CY582" s="12"/>
      <c r="CZ582" s="12"/>
      <c r="DA582" s="12"/>
      <c r="DB582" s="11">
        <v>28160.0</v>
      </c>
      <c r="DC582" s="11">
        <v>7550.0</v>
      </c>
      <c r="DD582" s="11">
        <v>6520.0</v>
      </c>
      <c r="DE582" s="11">
        <v>7870.0</v>
      </c>
      <c r="DF582" s="11">
        <v>30360.0</v>
      </c>
      <c r="DG582" s="11">
        <v>7550.0</v>
      </c>
      <c r="DH582" s="11">
        <v>6520.0</v>
      </c>
      <c r="DI582" s="11">
        <v>7870.0</v>
      </c>
      <c r="DJ582" s="11">
        <v>6630.0</v>
      </c>
      <c r="DK582" s="11">
        <v>20040.0</v>
      </c>
      <c r="DL582" s="11">
        <v>19170.0</v>
      </c>
      <c r="DM582" s="11">
        <v>14240.0</v>
      </c>
      <c r="DN582" s="11">
        <v>13950.0</v>
      </c>
      <c r="DO582" s="11">
        <v>32660.0</v>
      </c>
      <c r="DP582" s="11">
        <v>2200.0</v>
      </c>
      <c r="DQ582" s="12"/>
      <c r="DR582" s="12"/>
      <c r="DS582" s="12"/>
      <c r="DT582" s="12"/>
      <c r="DU582" s="13"/>
      <c r="DV582" s="12"/>
      <c r="DW582" s="12"/>
      <c r="DX582" s="13"/>
      <c r="DY582" s="13"/>
      <c r="DZ582" s="11">
        <v>135160.0</v>
      </c>
      <c r="EA582" s="11">
        <v>177730.0</v>
      </c>
      <c r="EB582" s="11">
        <v>103800.0</v>
      </c>
      <c r="EC582" s="11">
        <v>122380.0</v>
      </c>
      <c r="ED582" s="11">
        <v>142130.0</v>
      </c>
      <c r="EE582" s="23"/>
      <c r="EF582" s="23"/>
      <c r="EG582" s="14">
        <v>0.0</v>
      </c>
      <c r="EH582" s="14">
        <v>0.263</v>
      </c>
    </row>
    <row r="583">
      <c r="A583" s="9">
        <f t="shared" si="2"/>
        <v>581</v>
      </c>
      <c r="B583" s="32" t="s">
        <v>718</v>
      </c>
      <c r="C583" s="11">
        <v>2360000.0</v>
      </c>
      <c r="D583" s="11">
        <v>2050000.0</v>
      </c>
      <c r="E583" s="11">
        <v>2680000.0</v>
      </c>
      <c r="F583" s="11">
        <v>2610000.0</v>
      </c>
      <c r="G583" s="11">
        <v>2360000.0</v>
      </c>
      <c r="H583" s="11">
        <v>2190000.0</v>
      </c>
      <c r="I583" s="11">
        <v>2200000.0</v>
      </c>
      <c r="J583" s="11">
        <v>1010000.0</v>
      </c>
      <c r="K583" s="11">
        <v>946620.0</v>
      </c>
      <c r="L583" s="11">
        <v>828830.0</v>
      </c>
      <c r="M583" s="11">
        <v>741520.0</v>
      </c>
      <c r="N583" s="11">
        <v>779120.0</v>
      </c>
      <c r="O583" s="11">
        <v>865060.0</v>
      </c>
      <c r="P583" s="11">
        <v>835290.0</v>
      </c>
      <c r="Q583" s="11">
        <v>741640.0</v>
      </c>
      <c r="R583" s="11">
        <v>682560.0</v>
      </c>
      <c r="S583" s="11">
        <v>663790.0</v>
      </c>
      <c r="T583" s="12"/>
      <c r="U583" s="12"/>
      <c r="V583" s="12"/>
      <c r="W583" s="12"/>
      <c r="X583" s="12"/>
      <c r="Y583" s="11">
        <v>141750.0</v>
      </c>
      <c r="Z583" s="11">
        <v>68420.0</v>
      </c>
      <c r="AA583" s="11">
        <v>-19960.0</v>
      </c>
      <c r="AB583" s="11">
        <v>-39770.0</v>
      </c>
      <c r="AC583" s="11">
        <v>115760.0</v>
      </c>
      <c r="AD583" s="11">
        <v>123740.0</v>
      </c>
      <c r="AE583" s="11">
        <v>46710.0</v>
      </c>
      <c r="AF583" s="11">
        <v>70270.0</v>
      </c>
      <c r="AG583" s="11">
        <v>53610.0</v>
      </c>
      <c r="AH583" s="11">
        <v>127280.0</v>
      </c>
      <c r="AI583" s="11">
        <v>215060.0</v>
      </c>
      <c r="AJ583" s="11">
        <v>179690.0</v>
      </c>
      <c r="AK583" s="11">
        <v>150780.0</v>
      </c>
      <c r="AL583" s="11">
        <v>128280.0</v>
      </c>
      <c r="AM583" s="11">
        <v>186010.0</v>
      </c>
      <c r="AN583" s="11">
        <v>95130.0</v>
      </c>
      <c r="AO583" s="11">
        <v>13340.0</v>
      </c>
      <c r="AP583" s="11">
        <v>-8660.0</v>
      </c>
      <c r="AQ583" s="11">
        <v>22230.0</v>
      </c>
      <c r="AR583" s="11">
        <v>81320.0</v>
      </c>
      <c r="AS583" s="11">
        <v>197910.0</v>
      </c>
      <c r="AT583" s="11">
        <v>81680.0</v>
      </c>
      <c r="AU583" s="11">
        <v>148370.0</v>
      </c>
      <c r="AV583" s="11">
        <v>71740.0</v>
      </c>
      <c r="AW583" s="11">
        <v>179430.0</v>
      </c>
      <c r="AX583" s="11">
        <v>-61870.0</v>
      </c>
      <c r="AY583" s="11">
        <v>-108120.0</v>
      </c>
      <c r="AZ583" s="11">
        <v>-84660.0</v>
      </c>
      <c r="BA583" s="11">
        <v>-90580.0</v>
      </c>
      <c r="BB583" s="11">
        <v>-83840.0</v>
      </c>
      <c r="BC583" s="11">
        <v>-42140.0</v>
      </c>
      <c r="BD583" s="11">
        <v>-73590.0</v>
      </c>
      <c r="BE583" s="11">
        <v>-76060.0</v>
      </c>
      <c r="BF583" s="11">
        <v>-76500.0</v>
      </c>
      <c r="BG583" s="11">
        <v>-76860.0</v>
      </c>
      <c r="BH583" s="11">
        <v>284610.0</v>
      </c>
      <c r="BI583" s="11">
        <v>210460.0</v>
      </c>
      <c r="BJ583" s="11">
        <v>367440.0</v>
      </c>
      <c r="BK583" s="11">
        <v>396130.0</v>
      </c>
      <c r="BL583" s="11">
        <v>445480.0</v>
      </c>
      <c r="BM583" s="11">
        <v>327280.0</v>
      </c>
      <c r="BN583" s="11">
        <v>322000.0</v>
      </c>
      <c r="BO583" s="11">
        <v>260000.0</v>
      </c>
      <c r="BP583" s="11">
        <v>225540.0</v>
      </c>
      <c r="BQ583" s="11">
        <v>222360.0</v>
      </c>
      <c r="BR583" s="11">
        <v>393130.0</v>
      </c>
      <c r="BS583" s="11">
        <v>468900.0</v>
      </c>
      <c r="BT583" s="11">
        <v>428300.0</v>
      </c>
      <c r="BU583" s="11">
        <v>367380.0</v>
      </c>
      <c r="BV583" s="11">
        <v>311700.0</v>
      </c>
      <c r="BW583" s="11">
        <v>1060000.0</v>
      </c>
      <c r="BX583" s="11">
        <v>1090000.0</v>
      </c>
      <c r="BY583" s="11">
        <v>1110000.0</v>
      </c>
      <c r="BZ583" s="11">
        <v>1040000.0</v>
      </c>
      <c r="CA583" s="11">
        <v>1040000.0</v>
      </c>
      <c r="CB583" s="11">
        <v>1140000.0</v>
      </c>
      <c r="CC583" s="11">
        <v>315560.0</v>
      </c>
      <c r="CD583" s="11">
        <v>294250.0</v>
      </c>
      <c r="CE583" s="11">
        <v>243010.0</v>
      </c>
      <c r="CF583" s="11">
        <v>255340.0</v>
      </c>
      <c r="CG583" s="11">
        <v>34780.0</v>
      </c>
      <c r="CH583" s="11">
        <v>37070.0</v>
      </c>
      <c r="CI583" s="11">
        <v>38480.0</v>
      </c>
      <c r="CJ583" s="11">
        <v>34100.0</v>
      </c>
      <c r="CK583" s="11">
        <v>33410.0</v>
      </c>
      <c r="CL583" s="11">
        <v>2430000.0</v>
      </c>
      <c r="CM583" s="11">
        <v>1650000.0</v>
      </c>
      <c r="CN583" s="11">
        <v>1660000.0</v>
      </c>
      <c r="CO583" s="11">
        <v>1530000.0</v>
      </c>
      <c r="CP583" s="11">
        <v>1540000.0</v>
      </c>
      <c r="CQ583" s="11">
        <v>232760.0</v>
      </c>
      <c r="CR583" s="11">
        <v>286660.0</v>
      </c>
      <c r="CS583" s="11">
        <v>264440.0</v>
      </c>
      <c r="CT583" s="11">
        <v>209620.0</v>
      </c>
      <c r="CU583" s="11">
        <v>177510.0</v>
      </c>
      <c r="CV583" s="11">
        <v>638410.0</v>
      </c>
      <c r="CW583" s="11">
        <v>192070.0</v>
      </c>
      <c r="CX583" s="12"/>
      <c r="CY583" s="13"/>
      <c r="CZ583" s="13"/>
      <c r="DA583" s="12"/>
      <c r="DB583" s="11">
        <v>638410.0</v>
      </c>
      <c r="DC583" s="11">
        <v>543360.0</v>
      </c>
      <c r="DD583" s="11">
        <v>467850.0</v>
      </c>
      <c r="DE583" s="11">
        <v>345450.0</v>
      </c>
      <c r="DF583" s="11">
        <v>1760000.0</v>
      </c>
      <c r="DG583" s="11">
        <v>790710.0</v>
      </c>
      <c r="DH583" s="11">
        <v>716570.0</v>
      </c>
      <c r="DI583" s="11">
        <v>549040.0</v>
      </c>
      <c r="DJ583" s="11">
        <v>502200.0</v>
      </c>
      <c r="DK583" s="11">
        <v>215.0</v>
      </c>
      <c r="DL583" s="11">
        <v>5630.0</v>
      </c>
      <c r="DM583" s="11">
        <v>1740.0</v>
      </c>
      <c r="DN583" s="11">
        <v>1520.0</v>
      </c>
      <c r="DO583" s="11"/>
      <c r="DP583" s="11">
        <v>994210.0</v>
      </c>
      <c r="DQ583" s="11">
        <v>35010.0</v>
      </c>
      <c r="DR583" s="11">
        <v>39200.0</v>
      </c>
      <c r="DS583" s="11">
        <v>23480.0</v>
      </c>
      <c r="DT583" s="11">
        <v>2320.0</v>
      </c>
      <c r="DU583" s="13"/>
      <c r="DV583" s="12"/>
      <c r="DW583" s="12"/>
      <c r="DX583" s="12"/>
      <c r="DY583" s="12"/>
      <c r="DZ583" s="11">
        <v>639710.0</v>
      </c>
      <c r="EA583" s="11">
        <v>837230.0</v>
      </c>
      <c r="EB583" s="11">
        <v>916820.0</v>
      </c>
      <c r="EC583" s="11">
        <v>969220.0</v>
      </c>
      <c r="ED583" s="11">
        <v>1020000.0</v>
      </c>
      <c r="EE583" s="14">
        <v>0.102</v>
      </c>
      <c r="EF583" s="14">
        <v>0.064</v>
      </c>
      <c r="EG583" s="14">
        <v>-0.885</v>
      </c>
      <c r="EH583" s="14">
        <v>-0.066</v>
      </c>
    </row>
    <row r="584">
      <c r="A584" s="9">
        <f t="shared" si="2"/>
        <v>582</v>
      </c>
      <c r="B584" s="25" t="s">
        <v>719</v>
      </c>
      <c r="C584" s="15">
        <v>10100.0</v>
      </c>
      <c r="D584" s="15">
        <v>3970.0</v>
      </c>
      <c r="E584" s="15">
        <v>24490.0</v>
      </c>
      <c r="F584" s="15">
        <v>32860.0</v>
      </c>
      <c r="G584" s="15">
        <v>27540.0</v>
      </c>
      <c r="H584" s="15">
        <v>27210.0</v>
      </c>
      <c r="I584" s="15">
        <v>30140.0</v>
      </c>
      <c r="J584" s="15">
        <v>-12620.0</v>
      </c>
      <c r="K584" s="15">
        <v>-8930.0</v>
      </c>
      <c r="L584" s="15">
        <v>-11070.0</v>
      </c>
      <c r="M584" s="15">
        <v>-10550.0</v>
      </c>
      <c r="N584" s="15">
        <v>-9500.0</v>
      </c>
      <c r="O584" s="15">
        <v>13730.0</v>
      </c>
      <c r="P584" s="15">
        <v>13080.0</v>
      </c>
      <c r="Q584" s="15">
        <v>11910.0</v>
      </c>
      <c r="R584" s="15">
        <v>13230.0</v>
      </c>
      <c r="S584" s="15">
        <v>21530.0</v>
      </c>
      <c r="T584" s="15">
        <v>4020.0</v>
      </c>
      <c r="U584" s="15">
        <v>5370.0</v>
      </c>
      <c r="V584" s="15">
        <v>5180.0</v>
      </c>
      <c r="W584" s="15">
        <v>5220.0</v>
      </c>
      <c r="X584" s="15">
        <v>6610.0</v>
      </c>
      <c r="Y584" s="15">
        <v>-25940.0</v>
      </c>
      <c r="Z584" s="15">
        <v>-24740.0</v>
      </c>
      <c r="AA584" s="15">
        <v>-21700.0</v>
      </c>
      <c r="AB584" s="15">
        <v>-29610.0</v>
      </c>
      <c r="AC584" s="15">
        <v>3060.0</v>
      </c>
      <c r="AD584" s="15">
        <v>-28660.0</v>
      </c>
      <c r="AE584" s="15">
        <v>-27980.0</v>
      </c>
      <c r="AF584" s="15">
        <v>-24630.0</v>
      </c>
      <c r="AG584" s="15">
        <v>-37230.0</v>
      </c>
      <c r="AH584" s="15">
        <v>-36190.0</v>
      </c>
      <c r="AI584" s="15">
        <v>-19650.0</v>
      </c>
      <c r="AJ584" s="15">
        <v>-15480.0</v>
      </c>
      <c r="AK584" s="15">
        <v>-16340.0</v>
      </c>
      <c r="AL584" s="15">
        <v>-17040.0</v>
      </c>
      <c r="AM584" s="15">
        <v>-24450.0</v>
      </c>
      <c r="AN584" s="15">
        <v>-28660.0</v>
      </c>
      <c r="AO584" s="15">
        <v>-27980.0</v>
      </c>
      <c r="AP584" s="15">
        <v>-24630.0</v>
      </c>
      <c r="AQ584" s="15">
        <v>-37230.0</v>
      </c>
      <c r="AR584" s="15">
        <v>-36190.0</v>
      </c>
      <c r="AS584" s="15">
        <v>-20840.0</v>
      </c>
      <c r="AT584" s="15">
        <v>-15850.0</v>
      </c>
      <c r="AU584" s="15">
        <v>-20630.0</v>
      </c>
      <c r="AV584" s="15">
        <v>-20520.0</v>
      </c>
      <c r="AW584" s="15">
        <v>-28160.0</v>
      </c>
      <c r="AX584" s="15">
        <v>-5990.0</v>
      </c>
      <c r="AY584" s="15">
        <v>-2230.0</v>
      </c>
      <c r="AZ584" s="15">
        <v>-1910.0</v>
      </c>
      <c r="BA584" s="15">
        <v>-5940.0</v>
      </c>
      <c r="BB584" s="15">
        <v>-1460.0</v>
      </c>
      <c r="BC584" s="13"/>
      <c r="BD584" s="13"/>
      <c r="BE584" s="13"/>
      <c r="BF584" s="13"/>
      <c r="BG584" s="13"/>
      <c r="BH584" s="15">
        <v>16300.0</v>
      </c>
      <c r="BI584" s="15">
        <v>33730.0</v>
      </c>
      <c r="BJ584" s="15">
        <v>11550.0</v>
      </c>
      <c r="BK584" s="15">
        <v>27890.0</v>
      </c>
      <c r="BL584" s="15">
        <v>17030.0</v>
      </c>
      <c r="BM584" s="15">
        <v>1140.0</v>
      </c>
      <c r="BN584" s="15">
        <v>526.0</v>
      </c>
      <c r="BO584" s="15">
        <v>1050.0</v>
      </c>
      <c r="BP584" s="15">
        <v>1120.0</v>
      </c>
      <c r="BQ584" s="15">
        <v>1390.0</v>
      </c>
      <c r="BR584" s="15">
        <v>3200.0</v>
      </c>
      <c r="BS584" s="15">
        <v>3170.0</v>
      </c>
      <c r="BT584" s="15">
        <v>4360.0</v>
      </c>
      <c r="BU584" s="15">
        <v>3460.0</v>
      </c>
      <c r="BV584" s="15">
        <v>3490.0</v>
      </c>
      <c r="BW584" s="15">
        <v>24230.0</v>
      </c>
      <c r="BX584" s="15">
        <v>38710.0</v>
      </c>
      <c r="BY584" s="15">
        <v>17680.0</v>
      </c>
      <c r="BZ584" s="15">
        <v>33320.0</v>
      </c>
      <c r="CA584" s="15">
        <v>22640.0</v>
      </c>
      <c r="CB584" s="15">
        <v>67300.0</v>
      </c>
      <c r="CC584" s="15">
        <v>67040.0</v>
      </c>
      <c r="CD584" s="15">
        <v>70370.0</v>
      </c>
      <c r="CE584" s="15">
        <v>75590.0</v>
      </c>
      <c r="CF584" s="15">
        <v>76780.0</v>
      </c>
      <c r="CG584" s="15"/>
      <c r="CH584" s="15"/>
      <c r="CI584" s="15"/>
      <c r="CJ584" s="15"/>
      <c r="CK584" s="15"/>
      <c r="CL584" s="15">
        <v>93360.0</v>
      </c>
      <c r="CM584" s="15">
        <v>107040.0</v>
      </c>
      <c r="CN584" s="15">
        <v>88850.0</v>
      </c>
      <c r="CO584" s="15">
        <v>112320.0</v>
      </c>
      <c r="CP584" s="15">
        <v>102830.0</v>
      </c>
      <c r="CQ584" s="15">
        <v>1470.0</v>
      </c>
      <c r="CR584" s="15">
        <v>1940.0</v>
      </c>
      <c r="CS584" s="15">
        <v>666.0</v>
      </c>
      <c r="CT584" s="15">
        <v>2610.0</v>
      </c>
      <c r="CU584" s="15">
        <v>2690.0</v>
      </c>
      <c r="CV584" s="15">
        <v>20090.0</v>
      </c>
      <c r="CW584" s="15">
        <v>400.0</v>
      </c>
      <c r="CX584" s="13"/>
      <c r="CY584" s="13"/>
      <c r="CZ584" s="13"/>
      <c r="DA584" s="12"/>
      <c r="DB584" s="15">
        <v>20090.0</v>
      </c>
      <c r="DC584" s="15">
        <v>5290.0</v>
      </c>
      <c r="DD584" s="15">
        <v>11190.0</v>
      </c>
      <c r="DE584" s="15">
        <v>34660.0</v>
      </c>
      <c r="DF584" s="15">
        <v>20860.0</v>
      </c>
      <c r="DG584" s="15">
        <v>18250.0</v>
      </c>
      <c r="DH584" s="15">
        <v>25320.0</v>
      </c>
      <c r="DI584" s="15">
        <v>43060.0</v>
      </c>
      <c r="DJ584" s="15">
        <v>54510.0</v>
      </c>
      <c r="DK584" s="15">
        <v>1500.0</v>
      </c>
      <c r="DL584" s="15"/>
      <c r="DM584" s="15"/>
      <c r="DN584" s="15">
        <v>2610.0</v>
      </c>
      <c r="DO584" s="15">
        <v>2610.0</v>
      </c>
      <c r="DP584" s="15">
        <v>533.0</v>
      </c>
      <c r="DQ584" s="15">
        <v>12550.0</v>
      </c>
      <c r="DR584" s="15">
        <v>14010.0</v>
      </c>
      <c r="DS584" s="15">
        <v>8400.0</v>
      </c>
      <c r="DT584" s="15">
        <v>36210.0</v>
      </c>
      <c r="DU584" s="15"/>
      <c r="DV584" s="15"/>
      <c r="DW584" s="15"/>
      <c r="DX584" s="13"/>
      <c r="DY584" s="13"/>
      <c r="DZ584" s="15">
        <v>72500.0</v>
      </c>
      <c r="EA584" s="15">
        <v>88790.0</v>
      </c>
      <c r="EB584" s="15">
        <v>63530.0</v>
      </c>
      <c r="EC584" s="15">
        <v>69260.0</v>
      </c>
      <c r="ED584" s="15">
        <v>48330.0</v>
      </c>
      <c r="EE584" s="23">
        <v>1.06</v>
      </c>
      <c r="EF584" s="23">
        <v>0.0</v>
      </c>
      <c r="EG584" s="23">
        <v>-0.341</v>
      </c>
      <c r="EH584" s="23">
        <v>-0.277</v>
      </c>
    </row>
    <row r="585">
      <c r="A585" s="9">
        <f t="shared" si="2"/>
        <v>583</v>
      </c>
      <c r="B585" s="32" t="s">
        <v>720</v>
      </c>
      <c r="C585" s="11">
        <v>2170000.0</v>
      </c>
      <c r="D585" s="11">
        <v>2160000.0</v>
      </c>
      <c r="E585" s="11">
        <v>2210000.0</v>
      </c>
      <c r="F585" s="11">
        <v>1980000.0</v>
      </c>
      <c r="G585" s="11">
        <v>1520000.0</v>
      </c>
      <c r="H585" s="11">
        <v>1480000.0</v>
      </c>
      <c r="I585" s="11">
        <v>2020000.0</v>
      </c>
      <c r="J585" s="11">
        <v>574310.0</v>
      </c>
      <c r="K585" s="11">
        <v>512220.0</v>
      </c>
      <c r="L585" s="11">
        <v>396580.0</v>
      </c>
      <c r="M585" s="11">
        <v>389720.0</v>
      </c>
      <c r="N585" s="11">
        <v>461550.0</v>
      </c>
      <c r="O585" s="11">
        <v>442620.0</v>
      </c>
      <c r="P585" s="11">
        <v>420070.0</v>
      </c>
      <c r="Q585" s="11">
        <v>326090.0</v>
      </c>
      <c r="R585" s="11">
        <v>306630.0</v>
      </c>
      <c r="S585" s="11">
        <v>361750.0</v>
      </c>
      <c r="T585" s="11">
        <v>15400.0</v>
      </c>
      <c r="U585" s="11">
        <v>15400.0</v>
      </c>
      <c r="V585" s="11">
        <v>17700.0</v>
      </c>
      <c r="W585" s="11">
        <v>18000.0</v>
      </c>
      <c r="X585" s="11">
        <v>25600.0</v>
      </c>
      <c r="Y585" s="11">
        <v>133350.0</v>
      </c>
      <c r="Z585" s="11">
        <v>-7.0</v>
      </c>
      <c r="AA585" s="11">
        <v>70110.0</v>
      </c>
      <c r="AB585" s="11">
        <v>157.0</v>
      </c>
      <c r="AC585" s="11">
        <v>99940.0</v>
      </c>
      <c r="AD585" s="11">
        <v>72180.0</v>
      </c>
      <c r="AE585" s="11">
        <v>33810.0</v>
      </c>
      <c r="AF585" s="11">
        <v>16700.0</v>
      </c>
      <c r="AG585" s="11">
        <v>32210.0</v>
      </c>
      <c r="AH585" s="11">
        <v>53640.0</v>
      </c>
      <c r="AI585" s="11">
        <v>193540.0</v>
      </c>
      <c r="AJ585" s="11">
        <v>147950.0</v>
      </c>
      <c r="AK585" s="11">
        <v>118360.0</v>
      </c>
      <c r="AL585" s="11">
        <v>129430.0</v>
      </c>
      <c r="AM585" s="11">
        <v>169590.0</v>
      </c>
      <c r="AN585" s="11">
        <v>45620.0</v>
      </c>
      <c r="AO585" s="11">
        <v>33260.0</v>
      </c>
      <c r="AP585" s="11">
        <v>17780.0</v>
      </c>
      <c r="AQ585" s="11">
        <v>19780.0</v>
      </c>
      <c r="AR585" s="11">
        <v>34290.0</v>
      </c>
      <c r="AS585" s="11">
        <v>113960.0</v>
      </c>
      <c r="AT585" s="11">
        <v>58190.0</v>
      </c>
      <c r="AU585" s="11">
        <v>49150.0</v>
      </c>
      <c r="AV585" s="11">
        <v>80120.0</v>
      </c>
      <c r="AW585" s="11">
        <v>76140.0</v>
      </c>
      <c r="AX585" s="11">
        <v>-45360.0</v>
      </c>
      <c r="AY585" s="11">
        <v>-50140.0</v>
      </c>
      <c r="AZ585" s="11">
        <v>-34940.0</v>
      </c>
      <c r="BA585" s="11">
        <v>-59280.0</v>
      </c>
      <c r="BB585" s="11">
        <v>-73620.0</v>
      </c>
      <c r="BC585" s="11">
        <v>-13680.0</v>
      </c>
      <c r="BD585" s="11">
        <v>-49800.0</v>
      </c>
      <c r="BE585" s="11">
        <v>-10330.0</v>
      </c>
      <c r="BF585" s="11">
        <v>-8800.0</v>
      </c>
      <c r="BG585" s="11">
        <v>-7650.0</v>
      </c>
      <c r="BH585" s="11">
        <v>72380.0</v>
      </c>
      <c r="BI585" s="11">
        <v>69760.0</v>
      </c>
      <c r="BJ585" s="11">
        <v>47680.0</v>
      </c>
      <c r="BK585" s="11">
        <v>72550.0</v>
      </c>
      <c r="BL585" s="11">
        <v>52000.0</v>
      </c>
      <c r="BM585" s="11">
        <v>369560.0</v>
      </c>
      <c r="BN585" s="11">
        <v>402310.0</v>
      </c>
      <c r="BO585" s="11">
        <v>339890.0</v>
      </c>
      <c r="BP585" s="11">
        <v>311300.0</v>
      </c>
      <c r="BQ585" s="11">
        <v>322650.0</v>
      </c>
      <c r="BR585" s="11">
        <v>442120.0</v>
      </c>
      <c r="BS585" s="11">
        <v>398360.0</v>
      </c>
      <c r="BT585" s="11">
        <v>299440.0</v>
      </c>
      <c r="BU585" s="11">
        <v>261320.0</v>
      </c>
      <c r="BV585" s="11">
        <v>325810.0</v>
      </c>
      <c r="BW585" s="11">
        <v>925180.0</v>
      </c>
      <c r="BX585" s="11">
        <v>912870.0</v>
      </c>
      <c r="BY585" s="11">
        <v>1100000.0</v>
      </c>
      <c r="BZ585" s="11">
        <v>780960.0</v>
      </c>
      <c r="CA585" s="11">
        <v>756860.0</v>
      </c>
      <c r="CB585" s="11">
        <v>337330.0</v>
      </c>
      <c r="CC585" s="11">
        <v>342490.0</v>
      </c>
      <c r="CD585" s="11">
        <v>232140.0</v>
      </c>
      <c r="CE585" s="11">
        <v>236910.0</v>
      </c>
      <c r="CF585" s="11">
        <v>379970.0</v>
      </c>
      <c r="CG585" s="11">
        <v>437070.0</v>
      </c>
      <c r="CH585" s="11">
        <v>439400.0</v>
      </c>
      <c r="CI585" s="11">
        <v>319140.0</v>
      </c>
      <c r="CJ585" s="11">
        <v>306160.0</v>
      </c>
      <c r="CK585" s="11">
        <v>356240.0</v>
      </c>
      <c r="CL585" s="11">
        <v>2070000.0</v>
      </c>
      <c r="CM585" s="11">
        <v>2080000.0</v>
      </c>
      <c r="CN585" s="11">
        <v>1870000.0</v>
      </c>
      <c r="CO585" s="11">
        <v>1780000.0</v>
      </c>
      <c r="CP585" s="11">
        <v>1730000.0</v>
      </c>
      <c r="CQ585" s="11">
        <v>250580.0</v>
      </c>
      <c r="CR585" s="11">
        <v>233660.0</v>
      </c>
      <c r="CS585" s="11">
        <v>183950.0</v>
      </c>
      <c r="CT585" s="11">
        <v>148130.0</v>
      </c>
      <c r="CU585" s="11">
        <v>199810.0</v>
      </c>
      <c r="CV585" s="11">
        <v>390100.0</v>
      </c>
      <c r="CW585" s="11"/>
      <c r="CX585" s="12"/>
      <c r="CY585" s="12"/>
      <c r="CZ585" s="11"/>
      <c r="DA585" s="11"/>
      <c r="DB585" s="11">
        <v>390100.0</v>
      </c>
      <c r="DC585" s="11">
        <v>393070.0</v>
      </c>
      <c r="DD585" s="11">
        <v>371080.0</v>
      </c>
      <c r="DE585" s="11">
        <v>318260.0</v>
      </c>
      <c r="DF585" s="11">
        <v>1600000.0</v>
      </c>
      <c r="DG585" s="11">
        <v>1610000.0</v>
      </c>
      <c r="DH585" s="11">
        <v>1470000.0</v>
      </c>
      <c r="DI585" s="11">
        <v>1370000.0</v>
      </c>
      <c r="DJ585" s="11">
        <v>1300000.0</v>
      </c>
      <c r="DK585" s="11"/>
      <c r="DL585" s="11"/>
      <c r="DM585" s="12"/>
      <c r="DN585" s="12"/>
      <c r="DO585" s="12"/>
      <c r="DP585" s="11">
        <v>1090000.0</v>
      </c>
      <c r="DQ585" s="11">
        <v>1110000.0</v>
      </c>
      <c r="DR585" s="11">
        <v>968080.0</v>
      </c>
      <c r="DS585" s="11">
        <v>896950.0</v>
      </c>
      <c r="DT585" s="11">
        <v>826980.0</v>
      </c>
      <c r="DU585" s="13"/>
      <c r="DV585" s="12"/>
      <c r="DW585" s="12"/>
      <c r="DX585" s="13"/>
      <c r="DY585" s="13"/>
      <c r="DZ585" s="11">
        <v>477760.0</v>
      </c>
      <c r="EA585" s="11">
        <v>474390.0</v>
      </c>
      <c r="EB585" s="11">
        <v>398810.0</v>
      </c>
      <c r="EC585" s="11">
        <v>410950.0</v>
      </c>
      <c r="ED585" s="11">
        <v>430530.0</v>
      </c>
      <c r="EE585" s="14">
        <v>0.005</v>
      </c>
      <c r="EF585" s="14">
        <v>0.037</v>
      </c>
      <c r="EG585" s="14">
        <v>0.211</v>
      </c>
      <c r="EH585" s="14">
        <v>0.321</v>
      </c>
    </row>
    <row r="586">
      <c r="A586" s="9">
        <f t="shared" si="2"/>
        <v>584</v>
      </c>
      <c r="B586" s="10" t="s">
        <v>721</v>
      </c>
      <c r="C586" s="12"/>
      <c r="D586" s="12"/>
      <c r="E586" s="15">
        <v>4.287E7</v>
      </c>
      <c r="F586" s="15">
        <v>3.416E7</v>
      </c>
      <c r="G586" s="15">
        <v>3.675E7</v>
      </c>
      <c r="H586" s="15">
        <v>3.918E7</v>
      </c>
      <c r="I586" s="15">
        <v>3.253E7</v>
      </c>
      <c r="J586" s="15">
        <v>1.191E7</v>
      </c>
      <c r="K586" s="15">
        <v>5560000.0</v>
      </c>
      <c r="L586" s="15">
        <v>7300000.0</v>
      </c>
      <c r="M586" s="15">
        <v>8490000.0</v>
      </c>
      <c r="N586" s="15">
        <v>5480000.0</v>
      </c>
      <c r="O586" s="15">
        <v>1510000.0</v>
      </c>
      <c r="P586" s="15">
        <v>1330000.0</v>
      </c>
      <c r="Q586" s="15">
        <v>1290000.0</v>
      </c>
      <c r="R586" s="15">
        <v>1690000.0</v>
      </c>
      <c r="S586" s="15">
        <v>1550000.0</v>
      </c>
      <c r="T586" s="15">
        <v>0.0</v>
      </c>
      <c r="U586" s="15">
        <v>0.0</v>
      </c>
      <c r="V586" s="15">
        <v>0.0</v>
      </c>
      <c r="W586" s="15">
        <v>0.0</v>
      </c>
      <c r="X586" s="15">
        <v>0.0</v>
      </c>
      <c r="Y586" s="15">
        <v>6120000.0</v>
      </c>
      <c r="Z586" s="15">
        <v>-8590000.0</v>
      </c>
      <c r="AA586" s="15">
        <v>3260000.0</v>
      </c>
      <c r="AB586" s="15">
        <v>-1080000.0</v>
      </c>
      <c r="AC586" s="15">
        <v>863940.0</v>
      </c>
      <c r="AD586" s="15">
        <v>5020000.0</v>
      </c>
      <c r="AE586" s="15">
        <v>-5270000.0</v>
      </c>
      <c r="AF586" s="15">
        <v>2050000.0</v>
      </c>
      <c r="AG586" s="15">
        <v>5290000.0</v>
      </c>
      <c r="AH586" s="15">
        <v>130360.0</v>
      </c>
      <c r="AI586" s="15">
        <v>1.957E7</v>
      </c>
      <c r="AJ586" s="15">
        <v>1.312E7</v>
      </c>
      <c r="AK586" s="15">
        <v>1.594E7</v>
      </c>
      <c r="AL586" s="15">
        <v>1.669E7</v>
      </c>
      <c r="AM586" s="15">
        <v>1.152E7</v>
      </c>
      <c r="AN586" s="15">
        <v>2330000.0</v>
      </c>
      <c r="AO586" s="15">
        <v>-4610000.0</v>
      </c>
      <c r="AP586" s="15">
        <v>-423140.0</v>
      </c>
      <c r="AQ586" s="15">
        <v>2310000.0</v>
      </c>
      <c r="AR586" s="15">
        <v>-3090000.0</v>
      </c>
      <c r="AS586" s="15">
        <v>1.292E7</v>
      </c>
      <c r="AT586" s="15">
        <v>8290000.0</v>
      </c>
      <c r="AU586" s="15">
        <v>1.109E7</v>
      </c>
      <c r="AV586" s="15">
        <v>1.408E7</v>
      </c>
      <c r="AW586" s="15">
        <v>9880000.0</v>
      </c>
      <c r="AX586" s="15">
        <v>-8850000.0</v>
      </c>
      <c r="AY586" s="15">
        <v>-1.079E7</v>
      </c>
      <c r="AZ586" s="15">
        <v>-1.109E7</v>
      </c>
      <c r="BA586" s="15">
        <v>-1.213E7</v>
      </c>
      <c r="BB586" s="15">
        <v>-8100000.0</v>
      </c>
      <c r="BC586" s="15">
        <v>-657430.0</v>
      </c>
      <c r="BD586" s="15">
        <v>-602970.0</v>
      </c>
      <c r="BE586" s="15">
        <v>-835640.0</v>
      </c>
      <c r="BF586" s="15">
        <v>-575960.0</v>
      </c>
      <c r="BG586" s="15">
        <v>-192980.0</v>
      </c>
      <c r="BH586" s="15">
        <v>7200000.0</v>
      </c>
      <c r="BI586" s="15">
        <v>3160000.0</v>
      </c>
      <c r="BJ586" s="15">
        <v>5930000.0</v>
      </c>
      <c r="BK586" s="15">
        <v>7200000.0</v>
      </c>
      <c r="BL586" s="15">
        <v>6820000.0</v>
      </c>
      <c r="BM586" s="15">
        <v>1320000.0</v>
      </c>
      <c r="BN586" s="15">
        <v>1370000.0</v>
      </c>
      <c r="BO586" s="15">
        <v>1860000.0</v>
      </c>
      <c r="BP586" s="15">
        <v>1640000.0</v>
      </c>
      <c r="BQ586" s="15">
        <v>1990000.0</v>
      </c>
      <c r="BR586" s="15">
        <v>5840000.0</v>
      </c>
      <c r="BS586" s="15">
        <v>5300000.0</v>
      </c>
      <c r="BT586" s="15">
        <v>4870000.0</v>
      </c>
      <c r="BU586" s="15">
        <v>4500000.0</v>
      </c>
      <c r="BV586" s="15">
        <v>4620000.0</v>
      </c>
      <c r="BW586" s="15">
        <v>1.496E7</v>
      </c>
      <c r="BX586" s="15">
        <v>1.045E7</v>
      </c>
      <c r="BY586" s="15">
        <v>1.38E7</v>
      </c>
      <c r="BZ586" s="15">
        <v>1.44E7</v>
      </c>
      <c r="CA586" s="15">
        <v>1.407E7</v>
      </c>
      <c r="CB586" s="15">
        <v>6.512E7</v>
      </c>
      <c r="CC586" s="15">
        <v>6.127E7</v>
      </c>
      <c r="CD586" s="15">
        <v>6.057E7</v>
      </c>
      <c r="CE586" s="15">
        <v>6.187E7</v>
      </c>
      <c r="CF586" s="15">
        <v>6.682E7</v>
      </c>
      <c r="CG586" s="15">
        <v>0.0</v>
      </c>
      <c r="CH586" s="15">
        <v>0.0</v>
      </c>
      <c r="CI586" s="15">
        <v>948310.0</v>
      </c>
      <c r="CJ586" s="15">
        <v>4350000.0</v>
      </c>
      <c r="CK586" s="15">
        <v>4580000.0</v>
      </c>
      <c r="CL586" s="15">
        <v>9.175E7</v>
      </c>
      <c r="CM586" s="15">
        <v>8.501E7</v>
      </c>
      <c r="CN586" s="15">
        <v>8.196E7</v>
      </c>
      <c r="CO586" s="15">
        <v>8.631E7</v>
      </c>
      <c r="CP586" s="15">
        <v>9.108E7</v>
      </c>
      <c r="CQ586" s="15">
        <v>1930000.0</v>
      </c>
      <c r="CR586" s="15">
        <v>868850.0</v>
      </c>
      <c r="CS586" s="15">
        <v>2360000.0</v>
      </c>
      <c r="CT586" s="15">
        <v>2320000.0</v>
      </c>
      <c r="CU586" s="15">
        <v>2410000.0</v>
      </c>
      <c r="CV586" s="15">
        <v>1.913E7</v>
      </c>
      <c r="CW586" s="15">
        <v>0.0</v>
      </c>
      <c r="CX586" s="16">
        <v>0.0</v>
      </c>
      <c r="CY586" s="16">
        <v>0.0</v>
      </c>
      <c r="CZ586" s="16">
        <v>0.0</v>
      </c>
      <c r="DA586" s="15">
        <v>0.0</v>
      </c>
      <c r="DB586" s="15">
        <v>1.913E7</v>
      </c>
      <c r="DC586" s="15">
        <v>7650000.0</v>
      </c>
      <c r="DD586" s="15">
        <v>1.057E7</v>
      </c>
      <c r="DE586" s="15">
        <v>1.175E7</v>
      </c>
      <c r="DF586" s="15">
        <v>5.108E7</v>
      </c>
      <c r="DG586" s="15">
        <v>4.607E7</v>
      </c>
      <c r="DH586" s="15">
        <v>3.983E7</v>
      </c>
      <c r="DI586" s="15">
        <v>4.291E7</v>
      </c>
      <c r="DJ586" s="15">
        <v>4.819E7</v>
      </c>
      <c r="DK586" s="15">
        <v>5550000.0</v>
      </c>
      <c r="DL586" s="15">
        <v>7500000.0</v>
      </c>
      <c r="DM586" s="15">
        <v>4100000.0</v>
      </c>
      <c r="DN586" s="15">
        <v>3210000.0</v>
      </c>
      <c r="DO586" s="15">
        <v>2710000.0</v>
      </c>
      <c r="DP586" s="15">
        <v>2.026E7</v>
      </c>
      <c r="DQ586" s="15">
        <v>2.725E7</v>
      </c>
      <c r="DR586" s="15">
        <v>1.966E7</v>
      </c>
      <c r="DS586" s="15">
        <v>2.058E7</v>
      </c>
      <c r="DT586" s="15">
        <v>2.73E7</v>
      </c>
      <c r="DU586" s="16">
        <v>0.0</v>
      </c>
      <c r="DV586" s="15">
        <v>0.0</v>
      </c>
      <c r="DW586" s="15">
        <v>0.0</v>
      </c>
      <c r="DX586" s="16">
        <v>0.0</v>
      </c>
      <c r="DY586" s="16">
        <v>0.0</v>
      </c>
      <c r="DZ586" s="15">
        <v>3.883E7</v>
      </c>
      <c r="EA586" s="15">
        <v>3.72E7</v>
      </c>
      <c r="EB586" s="15">
        <v>4.055E7</v>
      </c>
      <c r="EC586" s="15">
        <v>4.172E7</v>
      </c>
      <c r="ED586" s="15">
        <v>4.116E7</v>
      </c>
      <c r="EE586" s="23"/>
      <c r="EF586" s="23"/>
      <c r="EG586" s="23" t="s">
        <v>155</v>
      </c>
      <c r="EH586" s="23"/>
    </row>
    <row r="587">
      <c r="A587" s="9">
        <f t="shared" si="2"/>
        <v>585</v>
      </c>
      <c r="B587" s="10" t="s">
        <v>722</v>
      </c>
      <c r="C587" s="12"/>
      <c r="D587" s="12"/>
      <c r="E587" s="15">
        <v>54940.0</v>
      </c>
      <c r="F587" s="15">
        <v>57870.0</v>
      </c>
      <c r="G587" s="15">
        <v>48410.0</v>
      </c>
      <c r="H587" s="15">
        <v>43280.0</v>
      </c>
      <c r="I587" s="15">
        <v>33560.0</v>
      </c>
      <c r="J587" s="15">
        <v>0.0</v>
      </c>
      <c r="K587" s="15">
        <v>3110.0</v>
      </c>
      <c r="L587" s="15">
        <v>1450.0</v>
      </c>
      <c r="M587" s="15">
        <v>-2080.0</v>
      </c>
      <c r="N587" s="15">
        <v>-11080.0</v>
      </c>
      <c r="O587" s="15">
        <v>2260.0</v>
      </c>
      <c r="P587" s="15">
        <v>3860.0</v>
      </c>
      <c r="Q587" s="15">
        <v>2440.0</v>
      </c>
      <c r="R587" s="15">
        <v>3680.0</v>
      </c>
      <c r="S587" s="15">
        <v>2650.0</v>
      </c>
      <c r="T587" s="15">
        <v>0.0</v>
      </c>
      <c r="U587" s="15">
        <v>0.0</v>
      </c>
      <c r="V587" s="15">
        <v>0.0</v>
      </c>
      <c r="W587" s="15">
        <v>0.0</v>
      </c>
      <c r="X587" s="15">
        <v>0.0</v>
      </c>
      <c r="Y587" s="15">
        <v>-2860.0</v>
      </c>
      <c r="Z587" s="15">
        <v>0.0</v>
      </c>
      <c r="AA587" s="15">
        <v>0.0</v>
      </c>
      <c r="AB587" s="15">
        <v>-5750.0</v>
      </c>
      <c r="AC587" s="15">
        <v>-14310.0</v>
      </c>
      <c r="AD587" s="15">
        <v>-5070.0</v>
      </c>
      <c r="AE587" s="15">
        <v>0.0</v>
      </c>
      <c r="AF587" s="15">
        <v>-3040.0</v>
      </c>
      <c r="AG587" s="15">
        <v>-8830.0</v>
      </c>
      <c r="AH587" s="15">
        <v>-10890.0</v>
      </c>
      <c r="AI587" s="15">
        <v>6460.0</v>
      </c>
      <c r="AJ587" s="15">
        <v>7100.0</v>
      </c>
      <c r="AK587" s="15">
        <v>4920.0</v>
      </c>
      <c r="AL587" s="15">
        <v>0.0</v>
      </c>
      <c r="AM587" s="15">
        <v>-9660.0</v>
      </c>
      <c r="AN587" s="15">
        <v>-5070.0</v>
      </c>
      <c r="AO587" s="15">
        <v>0.0</v>
      </c>
      <c r="AP587" s="15">
        <v>-3040.0</v>
      </c>
      <c r="AQ587" s="15">
        <v>-7840.0</v>
      </c>
      <c r="AR587" s="15">
        <v>-11120.0</v>
      </c>
      <c r="AS587" s="15">
        <v>3240.0</v>
      </c>
      <c r="AT587" s="15">
        <v>5110.0</v>
      </c>
      <c r="AU587" s="15">
        <v>8930.0</v>
      </c>
      <c r="AV587" s="15">
        <v>6060.0</v>
      </c>
      <c r="AW587" s="15">
        <v>2560.0</v>
      </c>
      <c r="AX587" s="15">
        <v>-10880.0</v>
      </c>
      <c r="AY587" s="15">
        <v>-4740.0</v>
      </c>
      <c r="AZ587" s="15">
        <v>-2980.0</v>
      </c>
      <c r="BA587" s="15">
        <v>-6630.0</v>
      </c>
      <c r="BB587" s="15">
        <v>-9380.0</v>
      </c>
      <c r="BC587" s="15">
        <v>0.0</v>
      </c>
      <c r="BD587" s="15">
        <v>0.0</v>
      </c>
      <c r="BE587" s="15">
        <v>0.0</v>
      </c>
      <c r="BF587" s="15">
        <v>0.0</v>
      </c>
      <c r="BG587" s="15">
        <v>0.0</v>
      </c>
      <c r="BH587" s="15">
        <v>2860.0</v>
      </c>
      <c r="BI587" s="15">
        <v>5700.0</v>
      </c>
      <c r="BJ587" s="15">
        <v>3200.0</v>
      </c>
      <c r="BK587" s="15">
        <v>1100.0</v>
      </c>
      <c r="BL587" s="15">
        <v>2620.0</v>
      </c>
      <c r="BM587" s="15">
        <v>2010.0</v>
      </c>
      <c r="BN587" s="15">
        <v>1370.0</v>
      </c>
      <c r="BO587" s="15">
        <v>1210.0</v>
      </c>
      <c r="BP587" s="15">
        <v>1070.0</v>
      </c>
      <c r="BQ587" s="15">
        <v>0.0</v>
      </c>
      <c r="BR587" s="15">
        <v>6420.0</v>
      </c>
      <c r="BS587" s="15">
        <v>6020.0</v>
      </c>
      <c r="BT587" s="15">
        <v>5980.0</v>
      </c>
      <c r="BU587" s="15">
        <v>9290.0</v>
      </c>
      <c r="BV587" s="15">
        <v>12130.0</v>
      </c>
      <c r="BW587" s="15">
        <v>12120.0</v>
      </c>
      <c r="BX587" s="15">
        <v>14250.0</v>
      </c>
      <c r="BY587" s="15">
        <v>11160.0</v>
      </c>
      <c r="BZ587" s="15">
        <v>12230.0</v>
      </c>
      <c r="CA587" s="15">
        <v>15940.0</v>
      </c>
      <c r="CB587" s="15">
        <v>50460.0</v>
      </c>
      <c r="CC587" s="15">
        <v>49060.0</v>
      </c>
      <c r="CD587" s="15">
        <v>47170.0</v>
      </c>
      <c r="CE587" s="15">
        <v>52980.0</v>
      </c>
      <c r="CF587" s="15">
        <v>51130.0</v>
      </c>
      <c r="CG587" s="15">
        <v>0.0</v>
      </c>
      <c r="CH587" s="15">
        <v>0.0</v>
      </c>
      <c r="CI587" s="15">
        <v>0.0</v>
      </c>
      <c r="CJ587" s="15">
        <v>0.0</v>
      </c>
      <c r="CK587" s="15">
        <v>0.0</v>
      </c>
      <c r="CL587" s="15">
        <v>62580.0</v>
      </c>
      <c r="CM587" s="15">
        <v>63310.0</v>
      </c>
      <c r="CN587" s="15">
        <v>58330.0</v>
      </c>
      <c r="CO587" s="15">
        <v>65210.0</v>
      </c>
      <c r="CP587" s="15">
        <v>67070.0</v>
      </c>
      <c r="CQ587" s="15">
        <v>10270.0</v>
      </c>
      <c r="CR587" s="15">
        <v>10210.0</v>
      </c>
      <c r="CS587" s="15">
        <v>10980.0</v>
      </c>
      <c r="CT587" s="15">
        <v>12830.0</v>
      </c>
      <c r="CU587" s="15">
        <v>9810.0</v>
      </c>
      <c r="CV587" s="15">
        <v>30690.0</v>
      </c>
      <c r="CW587" s="15">
        <v>0.0</v>
      </c>
      <c r="CX587" s="16">
        <v>0.0</v>
      </c>
      <c r="CY587" s="16">
        <v>0.0</v>
      </c>
      <c r="CZ587" s="16">
        <v>0.0</v>
      </c>
      <c r="DA587" s="15">
        <v>0.0</v>
      </c>
      <c r="DB587" s="15">
        <v>30690.0</v>
      </c>
      <c r="DC587" s="15">
        <v>18120.0</v>
      </c>
      <c r="DD587" s="15">
        <v>24790.0</v>
      </c>
      <c r="DE587" s="15">
        <v>23690.0</v>
      </c>
      <c r="DF587" s="15">
        <v>45830.0</v>
      </c>
      <c r="DG587" s="15">
        <v>42850.0</v>
      </c>
      <c r="DH587" s="15">
        <v>40670.0</v>
      </c>
      <c r="DI587" s="15">
        <v>43730.0</v>
      </c>
      <c r="DJ587" s="15">
        <v>36410.0</v>
      </c>
      <c r="DK587" s="15">
        <v>0.0</v>
      </c>
      <c r="DL587" s="15">
        <v>0.0</v>
      </c>
      <c r="DM587" s="15">
        <v>0.0</v>
      </c>
      <c r="DN587" s="15">
        <v>0.0</v>
      </c>
      <c r="DO587" s="15">
        <v>0.0</v>
      </c>
      <c r="DP587" s="15">
        <v>7850.0</v>
      </c>
      <c r="DQ587" s="15">
        <v>14440.0</v>
      </c>
      <c r="DR587" s="15">
        <v>7660.0</v>
      </c>
      <c r="DS587" s="15">
        <v>12310.0</v>
      </c>
      <c r="DT587" s="15">
        <v>11380.0</v>
      </c>
      <c r="DU587" s="16">
        <v>0.0</v>
      </c>
      <c r="DV587" s="15">
        <v>0.0</v>
      </c>
      <c r="DW587" s="15">
        <v>0.0</v>
      </c>
      <c r="DX587" s="16">
        <v>0.0</v>
      </c>
      <c r="DY587" s="16">
        <v>0.0</v>
      </c>
      <c r="DZ587" s="15">
        <v>16750.0</v>
      </c>
      <c r="EA587" s="15">
        <v>20470.0</v>
      </c>
      <c r="EB587" s="15">
        <v>17660.0</v>
      </c>
      <c r="EC587" s="15">
        <v>21490.0</v>
      </c>
      <c r="ED587" s="15">
        <v>29800.0</v>
      </c>
      <c r="EE587" s="23"/>
      <c r="EF587" s="23"/>
      <c r="EG587" s="23"/>
      <c r="EH587" s="23"/>
    </row>
    <row r="588">
      <c r="A588" s="9">
        <f t="shared" si="2"/>
        <v>586</v>
      </c>
      <c r="B588" s="10" t="s">
        <v>723</v>
      </c>
      <c r="C588" s="15">
        <v>4.42E7</v>
      </c>
      <c r="D588" s="15">
        <v>3.902E7</v>
      </c>
      <c r="E588" s="15">
        <v>3.964E7</v>
      </c>
      <c r="F588" s="15">
        <v>4.616E7</v>
      </c>
      <c r="G588" s="15">
        <v>3.692E7</v>
      </c>
      <c r="H588" s="15">
        <v>3.765E7</v>
      </c>
      <c r="I588" s="15">
        <v>4.358E7</v>
      </c>
      <c r="J588" s="15">
        <v>4200000.0</v>
      </c>
      <c r="K588" s="15">
        <v>6150000.0</v>
      </c>
      <c r="L588" s="15">
        <v>3600000.0</v>
      </c>
      <c r="M588" s="15">
        <v>3460000.0</v>
      </c>
      <c r="N588" s="15">
        <v>4290000.0</v>
      </c>
      <c r="O588" s="15">
        <v>1450000.0</v>
      </c>
      <c r="P588" s="15">
        <v>1660000.0</v>
      </c>
      <c r="Q588" s="15">
        <v>1650000.0</v>
      </c>
      <c r="R588" s="15">
        <v>2240000.0</v>
      </c>
      <c r="S588" s="15">
        <v>2580000.0</v>
      </c>
      <c r="T588" s="15">
        <v>0.0</v>
      </c>
      <c r="U588" s="15">
        <v>0.0</v>
      </c>
      <c r="V588" s="15">
        <v>0.0</v>
      </c>
      <c r="W588" s="15">
        <v>0.0</v>
      </c>
      <c r="X588" s="15">
        <v>0.0</v>
      </c>
      <c r="Y588" s="15">
        <v>2740000.0</v>
      </c>
      <c r="Z588" s="15">
        <v>4520000.0</v>
      </c>
      <c r="AA588" s="15">
        <v>1760000.0</v>
      </c>
      <c r="AB588" s="15">
        <v>-1730000.0</v>
      </c>
      <c r="AC588" s="15">
        <v>-5200000.0</v>
      </c>
      <c r="AD588" s="15">
        <v>1690000.0</v>
      </c>
      <c r="AE588" s="15">
        <v>2560000.0</v>
      </c>
      <c r="AF588" s="15">
        <v>713000.0</v>
      </c>
      <c r="AG588" s="15">
        <v>-2510000.0</v>
      </c>
      <c r="AH588" s="15">
        <v>-6070000.0</v>
      </c>
      <c r="AI588" s="15">
        <v>4830000.0</v>
      </c>
      <c r="AJ588" s="15">
        <v>6380000.0</v>
      </c>
      <c r="AK588" s="15">
        <v>4970000.0</v>
      </c>
      <c r="AL588" s="15">
        <v>3760000.0</v>
      </c>
      <c r="AM588" s="15">
        <v>4320000.0</v>
      </c>
      <c r="AN588" s="15">
        <v>1200000.0</v>
      </c>
      <c r="AO588" s="15">
        <v>2300000.0</v>
      </c>
      <c r="AP588" s="15">
        <v>-359360.0</v>
      </c>
      <c r="AQ588" s="15">
        <v>-2890000.0</v>
      </c>
      <c r="AR588" s="15">
        <v>-4550000.0</v>
      </c>
      <c r="AS588" s="15">
        <v>4800000.0</v>
      </c>
      <c r="AT588" s="15">
        <v>1880000.0</v>
      </c>
      <c r="AU588" s="15">
        <v>1560000.0</v>
      </c>
      <c r="AV588" s="15">
        <v>3310000.0</v>
      </c>
      <c r="AW588" s="15">
        <v>7160000.0</v>
      </c>
      <c r="AX588" s="15">
        <v>-1850000.0</v>
      </c>
      <c r="AY588" s="15">
        <v>-1260000.0</v>
      </c>
      <c r="AZ588" s="15">
        <v>-911270.0</v>
      </c>
      <c r="BA588" s="15">
        <v>-1380000.0</v>
      </c>
      <c r="BB588" s="15">
        <v>-2450000.0</v>
      </c>
      <c r="BC588" s="16">
        <v>0.0</v>
      </c>
      <c r="BD588" s="15">
        <v>-599100.0</v>
      </c>
      <c r="BE588" s="15">
        <v>-86390.0</v>
      </c>
      <c r="BF588" s="15">
        <v>-85960.0</v>
      </c>
      <c r="BG588" s="15">
        <v>-358230.0</v>
      </c>
      <c r="BH588" s="15">
        <v>6290000.0</v>
      </c>
      <c r="BI588" s="15">
        <v>3350000.0</v>
      </c>
      <c r="BJ588" s="15">
        <v>3380000.0</v>
      </c>
      <c r="BK588" s="15">
        <v>6090000.0</v>
      </c>
      <c r="BL588" s="15">
        <v>6960000.0</v>
      </c>
      <c r="BM588" s="15">
        <v>3660000.0</v>
      </c>
      <c r="BN588" s="15">
        <v>4170000.0</v>
      </c>
      <c r="BO588" s="15">
        <v>4160000.0</v>
      </c>
      <c r="BP588" s="15">
        <v>5370000.0</v>
      </c>
      <c r="BQ588" s="15">
        <v>6440000.0</v>
      </c>
      <c r="BR588" s="15">
        <v>7660000.0</v>
      </c>
      <c r="BS588" s="15">
        <v>9170000.0</v>
      </c>
      <c r="BT588" s="15">
        <v>6700000.0</v>
      </c>
      <c r="BU588" s="15">
        <v>6330000.0</v>
      </c>
      <c r="BV588" s="15">
        <v>8780000.0</v>
      </c>
      <c r="BW588" s="15">
        <v>1.824E7</v>
      </c>
      <c r="BX588" s="15">
        <v>1.75E7</v>
      </c>
      <c r="BY588" s="15">
        <v>1.798E7</v>
      </c>
      <c r="BZ588" s="15">
        <v>1.78E7</v>
      </c>
      <c r="CA588" s="15">
        <v>2.218E7</v>
      </c>
      <c r="CB588" s="15">
        <v>1.668E7</v>
      </c>
      <c r="CC588" s="15">
        <v>1.555E7</v>
      </c>
      <c r="CD588" s="15">
        <v>1.644E7</v>
      </c>
      <c r="CE588" s="15">
        <v>1.935E7</v>
      </c>
      <c r="CF588" s="15">
        <v>2.326E7</v>
      </c>
      <c r="CG588" s="15">
        <v>9470000.0</v>
      </c>
      <c r="CH588" s="15">
        <v>9110000.0</v>
      </c>
      <c r="CI588" s="15">
        <v>7890000.0</v>
      </c>
      <c r="CJ588" s="15">
        <v>9470000.0</v>
      </c>
      <c r="CK588" s="15">
        <v>1.465E7</v>
      </c>
      <c r="CL588" s="15">
        <v>5.4E7</v>
      </c>
      <c r="CM588" s="15">
        <v>5.128E7</v>
      </c>
      <c r="CN588" s="15">
        <v>5.03E7</v>
      </c>
      <c r="CO588" s="15">
        <v>5.464E7</v>
      </c>
      <c r="CP588" s="15">
        <v>7.009E7</v>
      </c>
      <c r="CQ588" s="15">
        <v>3760000.0</v>
      </c>
      <c r="CR588" s="15">
        <v>4120000.0</v>
      </c>
      <c r="CS588" s="15">
        <v>3180000.0</v>
      </c>
      <c r="CT588" s="15">
        <v>2740000.0</v>
      </c>
      <c r="CU588" s="15">
        <v>3630000.0</v>
      </c>
      <c r="CV588" s="15">
        <v>7420000.0</v>
      </c>
      <c r="CW588" s="15">
        <v>1560000.0</v>
      </c>
      <c r="CX588" s="15">
        <v>1820000.0</v>
      </c>
      <c r="CY588" s="15">
        <v>2000000.0</v>
      </c>
      <c r="CZ588" s="15">
        <v>4460000.0</v>
      </c>
      <c r="DA588" s="15">
        <v>0.0</v>
      </c>
      <c r="DB588" s="15">
        <v>7420000.0</v>
      </c>
      <c r="DC588" s="15">
        <v>8500000.0</v>
      </c>
      <c r="DD588" s="15">
        <v>7710000.0</v>
      </c>
      <c r="DE588" s="15">
        <v>8620000.0</v>
      </c>
      <c r="DF588" s="15">
        <v>2.683E7</v>
      </c>
      <c r="DG588" s="15">
        <v>2.534E7</v>
      </c>
      <c r="DH588" s="15">
        <v>2.641E7</v>
      </c>
      <c r="DI588" s="15">
        <v>3.036E7</v>
      </c>
      <c r="DJ588" s="15">
        <v>3.812E7</v>
      </c>
      <c r="DK588" s="15">
        <v>3800000.0</v>
      </c>
      <c r="DL588" s="15">
        <v>3510000.0</v>
      </c>
      <c r="DM588" s="15">
        <v>3380000.0</v>
      </c>
      <c r="DN588" s="15">
        <v>2730000.0</v>
      </c>
      <c r="DO588" s="15">
        <v>3160000.0</v>
      </c>
      <c r="DP588" s="15">
        <v>1.509E7</v>
      </c>
      <c r="DQ588" s="15">
        <v>1.308E7</v>
      </c>
      <c r="DR588" s="15">
        <v>1.451E7</v>
      </c>
      <c r="DS588" s="15">
        <v>1.613E7</v>
      </c>
      <c r="DT588" s="15">
        <v>2.407E7</v>
      </c>
      <c r="DU588" s="16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2.696E7</v>
      </c>
      <c r="EA588" s="15">
        <v>2.573E7</v>
      </c>
      <c r="EB588" s="15">
        <v>2.365E7</v>
      </c>
      <c r="EC588" s="15">
        <v>2.403E7</v>
      </c>
      <c r="ED588" s="15">
        <v>3.169E7</v>
      </c>
      <c r="EE588" s="17">
        <v>0.24</v>
      </c>
      <c r="EF588" s="17">
        <v>0.093</v>
      </c>
      <c r="EG588" s="17">
        <v>1.157</v>
      </c>
      <c r="EH588" s="17">
        <v>-0.065</v>
      </c>
    </row>
    <row r="589">
      <c r="A589" s="9">
        <f t="shared" si="2"/>
        <v>587</v>
      </c>
      <c r="B589" s="10" t="s">
        <v>724</v>
      </c>
      <c r="C589" s="15">
        <v>201280.0</v>
      </c>
      <c r="D589" s="15">
        <v>134170.0</v>
      </c>
      <c r="E589" s="15">
        <v>158010.0</v>
      </c>
      <c r="F589" s="15">
        <v>142810.0</v>
      </c>
      <c r="G589" s="15">
        <v>115140.0</v>
      </c>
      <c r="H589" s="15">
        <v>97510.0</v>
      </c>
      <c r="I589" s="15">
        <v>102560.0</v>
      </c>
      <c r="J589" s="15">
        <v>108150.0</v>
      </c>
      <c r="K589" s="15">
        <v>99960.0</v>
      </c>
      <c r="L589" s="15">
        <v>80400.0</v>
      </c>
      <c r="M589" s="15">
        <v>61240.0</v>
      </c>
      <c r="N589" s="15">
        <v>59630.0</v>
      </c>
      <c r="O589" s="15">
        <v>38250.0</v>
      </c>
      <c r="P589" s="15">
        <v>21620.0</v>
      </c>
      <c r="Q589" s="15">
        <v>24500.0</v>
      </c>
      <c r="R589" s="15">
        <v>15610.0</v>
      </c>
      <c r="S589" s="15">
        <v>14160.0</v>
      </c>
      <c r="T589" s="15">
        <v>0.0</v>
      </c>
      <c r="U589" s="15">
        <v>0.0</v>
      </c>
      <c r="V589" s="15">
        <v>0.0</v>
      </c>
      <c r="W589" s="15">
        <v>0.0</v>
      </c>
      <c r="X589" s="15">
        <v>0.0</v>
      </c>
      <c r="Y589" s="15">
        <v>0.0</v>
      </c>
      <c r="Z589" s="15">
        <v>77790.0</v>
      </c>
      <c r="AA589" s="15">
        <v>0.0</v>
      </c>
      <c r="AB589" s="15">
        <v>0.0</v>
      </c>
      <c r="AC589" s="15">
        <v>0.0</v>
      </c>
      <c r="AD589" s="15">
        <v>90610.0</v>
      </c>
      <c r="AE589" s="15">
        <v>84950.0</v>
      </c>
      <c r="AF589" s="15">
        <v>69930.0</v>
      </c>
      <c r="AG589" s="15">
        <v>54220.0</v>
      </c>
      <c r="AH589" s="15">
        <v>53800.0</v>
      </c>
      <c r="AI589" s="15">
        <v>75740.0</v>
      </c>
      <c r="AJ589" s="15">
        <v>82200.0</v>
      </c>
      <c r="AK589" s="15">
        <v>59590.0</v>
      </c>
      <c r="AL589" s="15">
        <v>50950.0</v>
      </c>
      <c r="AM589" s="15">
        <v>52210.0</v>
      </c>
      <c r="AN589" s="15">
        <v>64070.0</v>
      </c>
      <c r="AO589" s="15">
        <v>59560.0</v>
      </c>
      <c r="AP589" s="15">
        <v>42230.0</v>
      </c>
      <c r="AQ589" s="15">
        <v>40030.0</v>
      </c>
      <c r="AR589" s="15">
        <v>38100.0</v>
      </c>
      <c r="AS589" s="15">
        <v>74380.0</v>
      </c>
      <c r="AT589" s="15">
        <v>83410.0</v>
      </c>
      <c r="AU589" s="15">
        <v>59900.0</v>
      </c>
      <c r="AV589" s="15">
        <v>68300.0</v>
      </c>
      <c r="AW589" s="15">
        <v>57730.0</v>
      </c>
      <c r="AX589" s="15">
        <v>-14470.0</v>
      </c>
      <c r="AY589" s="15">
        <v>-21450.0</v>
      </c>
      <c r="AZ589" s="15">
        <v>-2450.0</v>
      </c>
      <c r="BA589" s="15">
        <v>0.0</v>
      </c>
      <c r="BB589" s="15">
        <v>-2260.0</v>
      </c>
      <c r="BC589" s="15">
        <v>-32840.0</v>
      </c>
      <c r="BD589" s="15">
        <v>-30310.0</v>
      </c>
      <c r="BE589" s="15">
        <v>-85680.0</v>
      </c>
      <c r="BF589" s="15">
        <v>-2700.0</v>
      </c>
      <c r="BG589" s="15">
        <v>-8410.0</v>
      </c>
      <c r="BH589" s="15">
        <v>138410.0</v>
      </c>
      <c r="BI589" s="15">
        <v>328770.0</v>
      </c>
      <c r="BJ589" s="15">
        <v>192190.0</v>
      </c>
      <c r="BK589" s="15">
        <v>195770.0</v>
      </c>
      <c r="BL589" s="15">
        <v>156120.0</v>
      </c>
      <c r="BM589" s="15">
        <v>30690.0</v>
      </c>
      <c r="BN589" s="15">
        <v>19270.0</v>
      </c>
      <c r="BO589" s="15">
        <v>9790.0</v>
      </c>
      <c r="BP589" s="15">
        <v>26750.0</v>
      </c>
      <c r="BQ589" s="15">
        <v>19180.0</v>
      </c>
      <c r="BR589" s="15">
        <v>0.0</v>
      </c>
      <c r="BS589" s="15">
        <v>0.0</v>
      </c>
      <c r="BT589" s="15">
        <v>0.0</v>
      </c>
      <c r="BU589" s="15">
        <v>0.0</v>
      </c>
      <c r="BV589" s="15">
        <v>0.0</v>
      </c>
      <c r="BW589" s="15">
        <v>181640.0</v>
      </c>
      <c r="BX589" s="15">
        <v>356920.0</v>
      </c>
      <c r="BY589" s="15">
        <v>228110.0</v>
      </c>
      <c r="BZ589" s="15">
        <v>230430.0</v>
      </c>
      <c r="CA589" s="15">
        <v>182210.0</v>
      </c>
      <c r="CB589" s="15">
        <v>88280.0</v>
      </c>
      <c r="CC589" s="15">
        <v>32390.0</v>
      </c>
      <c r="CD589" s="15">
        <v>14840.0</v>
      </c>
      <c r="CE589" s="15">
        <v>15890.0</v>
      </c>
      <c r="CF589" s="15">
        <v>22770.0</v>
      </c>
      <c r="CG589" s="15">
        <v>14370.0</v>
      </c>
      <c r="CH589" s="15">
        <v>0.0</v>
      </c>
      <c r="CI589" s="15">
        <v>0.0</v>
      </c>
      <c r="CJ589" s="15">
        <v>0.0</v>
      </c>
      <c r="CK589" s="15">
        <v>0.0</v>
      </c>
      <c r="CL589" s="15">
        <v>547900.0</v>
      </c>
      <c r="CM589" s="15">
        <v>439050.0</v>
      </c>
      <c r="CN589" s="15">
        <v>269650.0</v>
      </c>
      <c r="CO589" s="15">
        <v>269910.0</v>
      </c>
      <c r="CP589" s="15">
        <v>226610.0</v>
      </c>
      <c r="CQ589" s="15">
        <v>2200.0</v>
      </c>
      <c r="CR589" s="15">
        <v>1340.0</v>
      </c>
      <c r="CS589" s="15">
        <v>1120.0</v>
      </c>
      <c r="CT589" s="15">
        <v>1110.0</v>
      </c>
      <c r="CU589" s="15">
        <v>1220.0</v>
      </c>
      <c r="CV589" s="15">
        <v>123270.0</v>
      </c>
      <c r="CW589" s="15">
        <v>8610.0</v>
      </c>
      <c r="CX589" s="15">
        <v>8740.0</v>
      </c>
      <c r="CY589" s="16">
        <v>0.0</v>
      </c>
      <c r="CZ589" s="16">
        <v>0.0</v>
      </c>
      <c r="DA589" s="15">
        <v>0.0</v>
      </c>
      <c r="DB589" s="15">
        <v>123270.0</v>
      </c>
      <c r="DC589" s="15">
        <v>98380.0</v>
      </c>
      <c r="DD589" s="15">
        <v>101820.0</v>
      </c>
      <c r="DE589" s="15">
        <v>70730.0</v>
      </c>
      <c r="DF589" s="15">
        <v>267360.0</v>
      </c>
      <c r="DG589" s="15">
        <v>167680.0</v>
      </c>
      <c r="DH589" s="15">
        <v>157150.0</v>
      </c>
      <c r="DI589" s="15">
        <v>122140.0</v>
      </c>
      <c r="DJ589" s="15">
        <v>101450.0</v>
      </c>
      <c r="DK589" s="15">
        <v>140830.0</v>
      </c>
      <c r="DL589" s="15">
        <v>25560.0</v>
      </c>
      <c r="DM589" s="15">
        <v>19270.0</v>
      </c>
      <c r="DN589" s="15">
        <v>5110.0</v>
      </c>
      <c r="DO589" s="15">
        <v>13070.0</v>
      </c>
      <c r="DP589" s="15">
        <v>0.0</v>
      </c>
      <c r="DQ589" s="15">
        <v>0.0</v>
      </c>
      <c r="DR589" s="15">
        <v>0.0</v>
      </c>
      <c r="DS589" s="15">
        <v>0.0</v>
      </c>
      <c r="DT589" s="15">
        <v>0.0</v>
      </c>
      <c r="DU589" s="16">
        <v>0.0</v>
      </c>
      <c r="DV589" s="15">
        <v>0.0</v>
      </c>
      <c r="DW589" s="15">
        <v>0.0</v>
      </c>
      <c r="DX589" s="16">
        <v>0.0</v>
      </c>
      <c r="DY589" s="16">
        <v>0.0</v>
      </c>
      <c r="DZ589" s="15">
        <v>258050.0</v>
      </c>
      <c r="EA589" s="15">
        <v>270150.0</v>
      </c>
      <c r="EB589" s="15">
        <v>112450.0</v>
      </c>
      <c r="EC589" s="15">
        <v>147670.0</v>
      </c>
      <c r="ED589" s="15">
        <v>125020.0</v>
      </c>
      <c r="EE589" s="17">
        <v>0.09</v>
      </c>
      <c r="EF589" s="17">
        <v>0.179</v>
      </c>
      <c r="EG589" s="17">
        <v>3.0</v>
      </c>
      <c r="EH589" s="17">
        <v>0.688</v>
      </c>
    </row>
    <row r="590">
      <c r="A590" s="9">
        <f t="shared" si="2"/>
        <v>588</v>
      </c>
      <c r="B590" s="25" t="s">
        <v>725</v>
      </c>
      <c r="C590" s="15">
        <v>2630000.0</v>
      </c>
      <c r="D590" s="15">
        <v>2190000.0</v>
      </c>
      <c r="E590" s="15">
        <v>3160000.0</v>
      </c>
      <c r="F590" s="15">
        <v>3080000.0</v>
      </c>
      <c r="G590" s="15">
        <v>2810000.0</v>
      </c>
      <c r="H590" s="15">
        <v>2390000.0</v>
      </c>
      <c r="I590" s="15">
        <v>2340000.0</v>
      </c>
      <c r="J590" s="15">
        <v>1080000.0</v>
      </c>
      <c r="K590" s="15">
        <v>1070000.0</v>
      </c>
      <c r="L590" s="15">
        <v>1020000.0</v>
      </c>
      <c r="M590" s="15">
        <v>808380.0</v>
      </c>
      <c r="N590" s="15">
        <v>813250.0</v>
      </c>
      <c r="O590" s="15">
        <v>832180.0</v>
      </c>
      <c r="P590" s="15">
        <v>834760.0</v>
      </c>
      <c r="Q590" s="15">
        <v>855250.0</v>
      </c>
      <c r="R590" s="15">
        <v>696640.0</v>
      </c>
      <c r="S590" s="15">
        <v>628760.0</v>
      </c>
      <c r="T590" s="15"/>
      <c r="U590" s="15"/>
      <c r="V590" s="15"/>
      <c r="W590" s="15"/>
      <c r="X590" s="15"/>
      <c r="Y590" s="15">
        <v>227650.0</v>
      </c>
      <c r="Z590" s="15">
        <v>230710.0</v>
      </c>
      <c r="AA590" s="15">
        <v>-7880.0</v>
      </c>
      <c r="AB590" s="15">
        <v>93460.0</v>
      </c>
      <c r="AC590" s="15">
        <v>185380.0</v>
      </c>
      <c r="AD590" s="15">
        <v>182100.0</v>
      </c>
      <c r="AE590" s="15">
        <v>183830.0</v>
      </c>
      <c r="AF590" s="15">
        <v>110050.0</v>
      </c>
      <c r="AG590" s="15">
        <v>77760.0</v>
      </c>
      <c r="AH590" s="15">
        <v>179130.0</v>
      </c>
      <c r="AI590" s="15">
        <v>359030.0</v>
      </c>
      <c r="AJ590" s="15">
        <v>272350.0</v>
      </c>
      <c r="AK590" s="15">
        <v>199490.0</v>
      </c>
      <c r="AL590" s="15">
        <v>144230.0</v>
      </c>
      <c r="AM590" s="15">
        <v>209880.0</v>
      </c>
      <c r="AN590" s="15">
        <v>143840.0</v>
      </c>
      <c r="AO590" s="15">
        <v>138070.0</v>
      </c>
      <c r="AP590" s="15">
        <v>62120.0</v>
      </c>
      <c r="AQ590" s="15">
        <v>51940.0</v>
      </c>
      <c r="AR590" s="15">
        <v>114330.0</v>
      </c>
      <c r="AS590" s="15">
        <v>288860.0</v>
      </c>
      <c r="AT590" s="15">
        <v>103830.0</v>
      </c>
      <c r="AU590" s="15">
        <v>79730.0</v>
      </c>
      <c r="AV590" s="15">
        <v>105700.0</v>
      </c>
      <c r="AW590" s="15">
        <v>64170.0</v>
      </c>
      <c r="AX590" s="15">
        <v>-37990.0</v>
      </c>
      <c r="AY590" s="15">
        <v>-29210.0</v>
      </c>
      <c r="AZ590" s="15">
        <v>-34510.0</v>
      </c>
      <c r="BA590" s="15">
        <v>-24930.0</v>
      </c>
      <c r="BB590" s="15">
        <v>-42170.0</v>
      </c>
      <c r="BC590" s="13"/>
      <c r="BD590" s="13"/>
      <c r="BE590" s="13"/>
      <c r="BF590" s="13"/>
      <c r="BG590" s="13"/>
      <c r="BH590" s="15">
        <v>197370.0</v>
      </c>
      <c r="BI590" s="15">
        <v>70140.0</v>
      </c>
      <c r="BJ590" s="15">
        <v>45780.0</v>
      </c>
      <c r="BK590" s="15">
        <v>79960.0</v>
      </c>
      <c r="BL590" s="15">
        <v>132590.0</v>
      </c>
      <c r="BM590" s="15">
        <v>530140.0</v>
      </c>
      <c r="BN590" s="15">
        <v>502130.0</v>
      </c>
      <c r="BO590" s="15">
        <v>294430.0</v>
      </c>
      <c r="BP590" s="15">
        <v>271180.0</v>
      </c>
      <c r="BQ590" s="15">
        <v>221500.0</v>
      </c>
      <c r="BR590" s="15">
        <v>551920.0</v>
      </c>
      <c r="BS590" s="15">
        <v>576380.0</v>
      </c>
      <c r="BT590" s="15">
        <v>553320.0</v>
      </c>
      <c r="BU590" s="15">
        <v>483270.0</v>
      </c>
      <c r="BV590" s="15">
        <v>485310.0</v>
      </c>
      <c r="BW590" s="15">
        <v>1360000.0</v>
      </c>
      <c r="BX590" s="15">
        <v>1250000.0</v>
      </c>
      <c r="BY590" s="15">
        <v>959600.0</v>
      </c>
      <c r="BZ590" s="15">
        <v>882940.0</v>
      </c>
      <c r="CA590" s="15">
        <v>902440.0</v>
      </c>
      <c r="CB590" s="15">
        <v>346060.0</v>
      </c>
      <c r="CC590" s="15">
        <v>86410.0</v>
      </c>
      <c r="CD590" s="15">
        <v>97860.0</v>
      </c>
      <c r="CE590" s="15">
        <v>102570.0</v>
      </c>
      <c r="CF590" s="15">
        <v>103580.0</v>
      </c>
      <c r="CG590" s="15">
        <v>260620.0</v>
      </c>
      <c r="CH590" s="15">
        <v>261140.0</v>
      </c>
      <c r="CI590" s="15">
        <v>262710.0</v>
      </c>
      <c r="CJ590" s="15">
        <v>269260.0</v>
      </c>
      <c r="CK590" s="15">
        <v>49440.0</v>
      </c>
      <c r="CL590" s="15">
        <v>2570000.0</v>
      </c>
      <c r="CM590" s="15">
        <v>2210000.0</v>
      </c>
      <c r="CN590" s="15">
        <v>1920000.0</v>
      </c>
      <c r="CO590" s="15">
        <v>1850000.0</v>
      </c>
      <c r="CP590" s="15">
        <v>1200000.0</v>
      </c>
      <c r="CQ590" s="15">
        <v>204790.0</v>
      </c>
      <c r="CR590" s="15">
        <v>225500.0</v>
      </c>
      <c r="CS590" s="15">
        <v>232360.0</v>
      </c>
      <c r="CT590" s="15">
        <v>217900.0</v>
      </c>
      <c r="CU590" s="15">
        <v>173590.0</v>
      </c>
      <c r="CV590" s="15">
        <v>613960.0</v>
      </c>
      <c r="CW590" s="15">
        <v>63170.0</v>
      </c>
      <c r="CX590" s="15"/>
      <c r="CY590" s="15"/>
      <c r="CZ590" s="15"/>
      <c r="DA590" s="15"/>
      <c r="DB590" s="15">
        <v>613960.0</v>
      </c>
      <c r="DC590" s="15">
        <v>580790.0</v>
      </c>
      <c r="DD590" s="15">
        <v>347170.0</v>
      </c>
      <c r="DE590" s="15">
        <v>315420.0</v>
      </c>
      <c r="DF590" s="15">
        <v>1270000.0</v>
      </c>
      <c r="DG590" s="15">
        <v>1020000.0</v>
      </c>
      <c r="DH590" s="15">
        <v>794490.0</v>
      </c>
      <c r="DI590" s="15">
        <v>830710.0</v>
      </c>
      <c r="DJ590" s="15">
        <v>310360.0</v>
      </c>
      <c r="DK590" s="15">
        <v>61990.0</v>
      </c>
      <c r="DL590" s="15">
        <v>66590.0</v>
      </c>
      <c r="DM590" s="15">
        <v>62420.0</v>
      </c>
      <c r="DN590" s="15">
        <v>61170.0</v>
      </c>
      <c r="DO590" s="15">
        <v>25660.0</v>
      </c>
      <c r="DP590" s="15">
        <v>645830.0</v>
      </c>
      <c r="DQ590" s="15">
        <v>386600.0</v>
      </c>
      <c r="DR590" s="15">
        <v>391040.0</v>
      </c>
      <c r="DS590" s="15">
        <v>461760.0</v>
      </c>
      <c r="DT590" s="12"/>
      <c r="DU590" s="13"/>
      <c r="DV590" s="12"/>
      <c r="DW590" s="12"/>
      <c r="DX590" s="13"/>
      <c r="DY590" s="13"/>
      <c r="DZ590" s="15">
        <v>1290000.0</v>
      </c>
      <c r="EA590" s="15">
        <v>1190000.0</v>
      </c>
      <c r="EB590" s="15">
        <v>1120000.0</v>
      </c>
      <c r="EC590" s="15">
        <v>1020000.0</v>
      </c>
      <c r="ED590" s="15">
        <v>888130.0</v>
      </c>
      <c r="EE590" s="17">
        <v>0.324</v>
      </c>
      <c r="EF590" s="17">
        <v>0.331</v>
      </c>
      <c r="EG590" s="17">
        <v>-0.25</v>
      </c>
      <c r="EH590" s="17">
        <v>-0.015</v>
      </c>
    </row>
    <row r="591">
      <c r="A591" s="9">
        <f t="shared" si="2"/>
        <v>589</v>
      </c>
      <c r="B591" s="25" t="s">
        <v>726</v>
      </c>
      <c r="C591" s="15">
        <v>2330000.0</v>
      </c>
      <c r="D591" s="15">
        <v>1750000.0</v>
      </c>
      <c r="E591" s="15">
        <v>3750000.0</v>
      </c>
      <c r="F591" s="15">
        <v>3770000.0</v>
      </c>
      <c r="G591" s="15">
        <v>3570000.0</v>
      </c>
      <c r="H591" s="15">
        <v>3420000.0</v>
      </c>
      <c r="I591" s="15">
        <v>3790000.0</v>
      </c>
      <c r="J591" s="15">
        <v>893930.0</v>
      </c>
      <c r="K591" s="15">
        <v>966630.0</v>
      </c>
      <c r="L591" s="15">
        <v>1010000.0</v>
      </c>
      <c r="M591" s="15">
        <v>924870.0</v>
      </c>
      <c r="N591" s="15">
        <v>900140.0</v>
      </c>
      <c r="O591" s="15">
        <v>459190.0</v>
      </c>
      <c r="P591" s="15">
        <v>397320.0</v>
      </c>
      <c r="Q591" s="15">
        <v>453840.0</v>
      </c>
      <c r="R591" s="15">
        <v>416660.0</v>
      </c>
      <c r="S591" s="15">
        <v>462930.0</v>
      </c>
      <c r="T591" s="15"/>
      <c r="U591" s="15"/>
      <c r="V591" s="12"/>
      <c r="W591" s="15"/>
      <c r="X591" s="15"/>
      <c r="Y591" s="15">
        <v>371940.0</v>
      </c>
      <c r="Z591" s="15">
        <v>524940.0</v>
      </c>
      <c r="AA591" s="15">
        <v>522050.0</v>
      </c>
      <c r="AB591" s="15">
        <v>492650.0</v>
      </c>
      <c r="AC591" s="15">
        <v>417070.0</v>
      </c>
      <c r="AD591" s="15">
        <v>331490.0</v>
      </c>
      <c r="AE591" s="15">
        <v>482340.0</v>
      </c>
      <c r="AF591" s="15">
        <v>489110.0</v>
      </c>
      <c r="AG591" s="15">
        <v>466160.0</v>
      </c>
      <c r="AH591" s="15">
        <v>395890.0</v>
      </c>
      <c r="AI591" s="15">
        <v>639110.0</v>
      </c>
      <c r="AJ591" s="15">
        <v>774580.0</v>
      </c>
      <c r="AK591" s="15">
        <v>762640.0</v>
      </c>
      <c r="AL591" s="15">
        <v>694940.0</v>
      </c>
      <c r="AM591" s="15">
        <v>625050.0</v>
      </c>
      <c r="AN591" s="15">
        <v>344740.0</v>
      </c>
      <c r="AO591" s="15">
        <v>454660.0</v>
      </c>
      <c r="AP591" s="15">
        <v>470310.0</v>
      </c>
      <c r="AQ591" s="15">
        <v>459270.0</v>
      </c>
      <c r="AR591" s="15">
        <v>390100.0</v>
      </c>
      <c r="AS591" s="15">
        <v>479050.0</v>
      </c>
      <c r="AT591" s="15">
        <v>698030.0</v>
      </c>
      <c r="AU591" s="15">
        <v>796150.0</v>
      </c>
      <c r="AV591" s="15">
        <v>712670.0</v>
      </c>
      <c r="AW591" s="15">
        <v>452420.0</v>
      </c>
      <c r="AX591" s="15">
        <v>-186080.0</v>
      </c>
      <c r="AY591" s="15">
        <v>-162300.0</v>
      </c>
      <c r="AZ591" s="15">
        <v>-123050.0</v>
      </c>
      <c r="BA591" s="15">
        <v>-185810.0</v>
      </c>
      <c r="BB591" s="15">
        <v>-418250.0</v>
      </c>
      <c r="BC591" s="15">
        <v>-146420.0</v>
      </c>
      <c r="BD591" s="15">
        <v>-122570.0</v>
      </c>
      <c r="BE591" s="15">
        <v>-110100.0</v>
      </c>
      <c r="BF591" s="15">
        <v>-98550.0</v>
      </c>
      <c r="BG591" s="15">
        <v>-101950.0</v>
      </c>
      <c r="BH591" s="15">
        <v>83160.0</v>
      </c>
      <c r="BI591" s="15">
        <v>63720.0</v>
      </c>
      <c r="BJ591" s="15">
        <v>102120.0</v>
      </c>
      <c r="BK591" s="15">
        <v>81700.0</v>
      </c>
      <c r="BL591" s="15">
        <v>70390.0</v>
      </c>
      <c r="BM591" s="15">
        <v>416170.0</v>
      </c>
      <c r="BN591" s="15">
        <v>435480.0</v>
      </c>
      <c r="BO591" s="15">
        <v>309800.0</v>
      </c>
      <c r="BP591" s="15">
        <v>372450.0</v>
      </c>
      <c r="BQ591" s="15">
        <v>425250.0</v>
      </c>
      <c r="BR591" s="15">
        <v>1360000.0</v>
      </c>
      <c r="BS591" s="15">
        <v>1280000.0</v>
      </c>
      <c r="BT591" s="15">
        <v>1180000.0</v>
      </c>
      <c r="BU591" s="15">
        <v>1280000.0</v>
      </c>
      <c r="BV591" s="15">
        <v>1180000.0</v>
      </c>
      <c r="BW591" s="15">
        <v>1960000.0</v>
      </c>
      <c r="BX591" s="15">
        <v>1890000.0</v>
      </c>
      <c r="BY591" s="15">
        <v>1640000.0</v>
      </c>
      <c r="BZ591" s="15">
        <v>1800000.0</v>
      </c>
      <c r="CA591" s="15">
        <v>1740000.0</v>
      </c>
      <c r="CB591" s="15">
        <v>1390000.0</v>
      </c>
      <c r="CC591" s="15">
        <v>1350000.0</v>
      </c>
      <c r="CD591" s="15">
        <v>1300000.0</v>
      </c>
      <c r="CE591" s="15">
        <v>1440000.0</v>
      </c>
      <c r="CF591" s="15">
        <v>1450000.0</v>
      </c>
      <c r="CG591" s="15">
        <v>295480.0</v>
      </c>
      <c r="CH591" s="15">
        <v>310530.0</v>
      </c>
      <c r="CI591" s="15">
        <v>283880.0</v>
      </c>
      <c r="CJ591" s="15">
        <v>271040.0</v>
      </c>
      <c r="CK591" s="15">
        <v>264800.0</v>
      </c>
      <c r="CL591" s="15">
        <v>4220000.0</v>
      </c>
      <c r="CM591" s="15">
        <v>4140000.0</v>
      </c>
      <c r="CN591" s="15">
        <v>3770000.0</v>
      </c>
      <c r="CO591" s="15">
        <v>4160000.0</v>
      </c>
      <c r="CP591" s="15">
        <v>4070000.0</v>
      </c>
      <c r="CQ591" s="15">
        <v>503040.0</v>
      </c>
      <c r="CR591" s="15">
        <v>442430.0</v>
      </c>
      <c r="CS591" s="15">
        <v>323860.0</v>
      </c>
      <c r="CT591" s="15">
        <v>313890.0</v>
      </c>
      <c r="CU591" s="15">
        <v>305140.0</v>
      </c>
      <c r="CV591" s="15">
        <v>547750.0</v>
      </c>
      <c r="CW591" s="15"/>
      <c r="CX591" s="15"/>
      <c r="CY591" s="15"/>
      <c r="CZ591" s="13"/>
      <c r="DA591" s="15"/>
      <c r="DB591" s="15">
        <v>547750.0</v>
      </c>
      <c r="DC591" s="15">
        <v>473910.0</v>
      </c>
      <c r="DD591" s="15">
        <v>323860.0</v>
      </c>
      <c r="DE591" s="15">
        <v>316390.0</v>
      </c>
      <c r="DF591" s="15">
        <v>1840000.0</v>
      </c>
      <c r="DG591" s="15">
        <v>1500000.0</v>
      </c>
      <c r="DH591" s="15">
        <v>1200000.0</v>
      </c>
      <c r="DI591" s="15">
        <v>1310000.0</v>
      </c>
      <c r="DJ591" s="15">
        <v>1030000.0</v>
      </c>
      <c r="DK591" s="15"/>
      <c r="DL591" s="15"/>
      <c r="DM591" s="15"/>
      <c r="DN591" s="12"/>
      <c r="DO591" s="15"/>
      <c r="DP591" s="15">
        <v>1180000.0</v>
      </c>
      <c r="DQ591" s="15">
        <v>913720.0</v>
      </c>
      <c r="DR591" s="15">
        <v>789360.0</v>
      </c>
      <c r="DS591" s="15">
        <v>804630.0</v>
      </c>
      <c r="DT591" s="15">
        <v>520910.0</v>
      </c>
      <c r="DU591" s="13"/>
      <c r="DV591" s="12"/>
      <c r="DW591" s="12"/>
      <c r="DX591" s="13"/>
      <c r="DY591" s="13"/>
      <c r="DZ591" s="15">
        <v>2380000.0</v>
      </c>
      <c r="EA591" s="15">
        <v>2640000.0</v>
      </c>
      <c r="EB591" s="15">
        <v>2570000.0</v>
      </c>
      <c r="EC591" s="15">
        <v>2840000.0</v>
      </c>
      <c r="ED591" s="15">
        <v>3040000.0</v>
      </c>
      <c r="EE591" s="17">
        <v>0.206</v>
      </c>
      <c r="EF591" s="17">
        <v>0.249</v>
      </c>
      <c r="EG591" s="17">
        <v>-1.605</v>
      </c>
      <c r="EH591" s="17">
        <v>-0.52</v>
      </c>
    </row>
    <row r="592">
      <c r="A592" s="9">
        <f t="shared" si="2"/>
        <v>590</v>
      </c>
      <c r="B592" s="22" t="s">
        <v>727</v>
      </c>
      <c r="C592" s="11">
        <v>2.41E7</v>
      </c>
      <c r="D592" s="11">
        <v>2.425E7</v>
      </c>
      <c r="E592" s="11">
        <v>2.232E7</v>
      </c>
      <c r="F592" s="11">
        <v>2.221E7</v>
      </c>
      <c r="G592" s="11">
        <v>2.614E7</v>
      </c>
      <c r="H592" s="11">
        <v>3.032E7</v>
      </c>
      <c r="I592" s="11">
        <v>3.204E7</v>
      </c>
      <c r="J592" s="11">
        <v>1.765E7</v>
      </c>
      <c r="K592" s="11">
        <v>1.736E7</v>
      </c>
      <c r="L592" s="11">
        <v>2.162E7</v>
      </c>
      <c r="M592" s="11">
        <v>2.592E7</v>
      </c>
      <c r="N592" s="11">
        <v>2.792E7</v>
      </c>
      <c r="O592" s="11">
        <v>1.269E7</v>
      </c>
      <c r="P592" s="11">
        <v>8250000.0</v>
      </c>
      <c r="Q592" s="11">
        <v>7300000.0</v>
      </c>
      <c r="R592" s="11">
        <v>7930000.0</v>
      </c>
      <c r="S592" s="11">
        <v>6330000.0</v>
      </c>
      <c r="T592" s="11">
        <v>8310000.0</v>
      </c>
      <c r="U592" s="11">
        <v>4200000.0</v>
      </c>
      <c r="V592" s="11">
        <v>3560000.0</v>
      </c>
      <c r="W592" s="11">
        <v>4670000.0</v>
      </c>
      <c r="X592" s="11">
        <v>3010000.0</v>
      </c>
      <c r="Y592" s="11">
        <v>5380000.0</v>
      </c>
      <c r="Z592" s="11">
        <v>8400000.0</v>
      </c>
      <c r="AA592" s="11">
        <v>1.408E7</v>
      </c>
      <c r="AB592" s="11">
        <v>-258000.0</v>
      </c>
      <c r="AC592" s="11">
        <v>130000.0</v>
      </c>
      <c r="AD592" s="11">
        <v>5160000.0</v>
      </c>
      <c r="AE592" s="11">
        <v>7800000.0</v>
      </c>
      <c r="AF592" s="11">
        <v>1.353E7</v>
      </c>
      <c r="AG592" s="11">
        <v>1.71E7</v>
      </c>
      <c r="AH592" s="11">
        <v>2.166E7</v>
      </c>
      <c r="AI592" s="11">
        <v>6360000.0</v>
      </c>
      <c r="AJ592" s="11">
        <v>1.054E7</v>
      </c>
      <c r="AK592" s="11">
        <v>1.561E7</v>
      </c>
      <c r="AL592" s="11">
        <v>1.915E7</v>
      </c>
      <c r="AM592" s="11">
        <v>2.269E7</v>
      </c>
      <c r="AN592" s="11">
        <v>5390000.0</v>
      </c>
      <c r="AO592" s="11">
        <v>5460000.0</v>
      </c>
      <c r="AP592" s="11">
        <v>4630000.0</v>
      </c>
      <c r="AQ592" s="11">
        <v>1.35E7</v>
      </c>
      <c r="AR592" s="11">
        <v>1.811E7</v>
      </c>
      <c r="AS592" s="11">
        <v>9140000.0</v>
      </c>
      <c r="AT592" s="11">
        <v>8400000.0</v>
      </c>
      <c r="AU592" s="11">
        <v>1.19E7</v>
      </c>
      <c r="AV592" s="11">
        <v>1.705E7</v>
      </c>
      <c r="AW592" s="11">
        <v>2.033E7</v>
      </c>
      <c r="AX592" s="11">
        <v>-825000.0</v>
      </c>
      <c r="AY592" s="11">
        <v>-924000.0</v>
      </c>
      <c r="AZ592" s="11">
        <v>-590000.0</v>
      </c>
      <c r="BA592" s="11">
        <v>-748000.0</v>
      </c>
      <c r="BB592" s="11">
        <v>-747000.0</v>
      </c>
      <c r="BC592" s="11">
        <v>-3220000.0</v>
      </c>
      <c r="BD592" s="11">
        <v>-2970000.0</v>
      </c>
      <c r="BE592" s="11">
        <v>-2730000.0</v>
      </c>
      <c r="BF592" s="11">
        <v>-2460000.0</v>
      </c>
      <c r="BG592" s="11">
        <v>-1870000.0</v>
      </c>
      <c r="BH592" s="11">
        <v>2.467E7</v>
      </c>
      <c r="BI592" s="11">
        <v>3.095E7</v>
      </c>
      <c r="BJ592" s="11">
        <v>2.615E7</v>
      </c>
      <c r="BK592" s="11">
        <v>1.19E7</v>
      </c>
      <c r="BL592" s="11">
        <v>1.461E7</v>
      </c>
      <c r="BM592" s="11">
        <v>3580000.0</v>
      </c>
      <c r="BN592" s="11">
        <v>3330000.0</v>
      </c>
      <c r="BO592" s="11">
        <v>3850000.0</v>
      </c>
      <c r="BP592" s="11">
        <v>4510000.0</v>
      </c>
      <c r="BQ592" s="11">
        <v>5850000.0</v>
      </c>
      <c r="BR592" s="11">
        <v>922000.0</v>
      </c>
      <c r="BS592" s="11">
        <v>814000.0</v>
      </c>
      <c r="BT592" s="11">
        <v>801000.0</v>
      </c>
      <c r="BU592" s="11">
        <v>1590000.0</v>
      </c>
      <c r="BV592" s="11">
        <v>1960000.0</v>
      </c>
      <c r="BW592" s="11">
        <v>3.03E7</v>
      </c>
      <c r="BX592" s="11">
        <v>3.584E7</v>
      </c>
      <c r="BY592" s="11">
        <v>3.182E7</v>
      </c>
      <c r="BZ592" s="11">
        <v>1.959E7</v>
      </c>
      <c r="CA592" s="11">
        <v>2.476E7</v>
      </c>
      <c r="CB592" s="11">
        <v>5170000.0</v>
      </c>
      <c r="CC592" s="11">
        <v>4010000.0</v>
      </c>
      <c r="CD592" s="11">
        <v>3300000.0</v>
      </c>
      <c r="CE592" s="11">
        <v>2870000.0</v>
      </c>
      <c r="CF592" s="11">
        <v>2280000.0</v>
      </c>
      <c r="CG592" s="11">
        <v>4120000.0</v>
      </c>
      <c r="CH592" s="11">
        <v>4120000.0</v>
      </c>
      <c r="CI592" s="11">
        <v>4160000.0</v>
      </c>
      <c r="CJ592" s="11">
        <v>1170000.0</v>
      </c>
      <c r="CK592" s="11">
        <v>1170000.0</v>
      </c>
      <c r="CL592" s="11">
        <v>6.163E7</v>
      </c>
      <c r="CM592" s="11">
        <v>6.368E7</v>
      </c>
      <c r="CN592" s="11">
        <v>7.028E7</v>
      </c>
      <c r="CO592" s="11">
        <v>5.698E7</v>
      </c>
      <c r="CP592" s="11">
        <v>5.172E7</v>
      </c>
      <c r="CQ592" s="11">
        <v>713000.0</v>
      </c>
      <c r="CR592" s="11">
        <v>790000.0</v>
      </c>
      <c r="CS592" s="11">
        <v>814000.0</v>
      </c>
      <c r="CT592" s="11">
        <v>1210000.0</v>
      </c>
      <c r="CU592" s="11">
        <v>1180000.0</v>
      </c>
      <c r="CV592" s="11">
        <v>9760000.0</v>
      </c>
      <c r="CW592" s="11">
        <v>99000.0</v>
      </c>
      <c r="CX592" s="12"/>
      <c r="CY592" s="12"/>
      <c r="CZ592" s="12"/>
      <c r="DA592" s="12"/>
      <c r="DB592" s="11">
        <v>9760000.0</v>
      </c>
      <c r="DC592" s="11">
        <v>1.061E7</v>
      </c>
      <c r="DD592" s="11">
        <v>1.164E7</v>
      </c>
      <c r="DE592" s="11">
        <v>9220000.0</v>
      </c>
      <c r="DF592" s="11">
        <v>3.898E7</v>
      </c>
      <c r="DG592" s="11">
        <v>4.214E7</v>
      </c>
      <c r="DH592" s="11">
        <v>4.978E7</v>
      </c>
      <c r="DI592" s="11">
        <v>3.761E7</v>
      </c>
      <c r="DJ592" s="11">
        <v>3.26E7</v>
      </c>
      <c r="DK592" s="11">
        <v>1660000.0</v>
      </c>
      <c r="DL592" s="11">
        <v>1570000.0</v>
      </c>
      <c r="DM592" s="11">
        <v>1.118E7</v>
      </c>
      <c r="DN592" s="11">
        <v>2.091E7</v>
      </c>
      <c r="DO592" s="11">
        <v>1.16E7</v>
      </c>
      <c r="DP592" s="11">
        <v>2.272E7</v>
      </c>
      <c r="DQ592" s="11">
        <v>2.457E7</v>
      </c>
      <c r="DR592" s="11">
        <v>3.08E7</v>
      </c>
      <c r="DS592" s="11">
        <v>2.635E7</v>
      </c>
      <c r="DT592" s="11">
        <v>2.108E7</v>
      </c>
      <c r="DU592" s="13"/>
      <c r="DV592" s="12"/>
      <c r="DW592" s="12"/>
      <c r="DX592" s="13"/>
      <c r="DY592" s="13"/>
      <c r="DZ592" s="11">
        <v>2.253E7</v>
      </c>
      <c r="EA592" s="11">
        <v>2.139E7</v>
      </c>
      <c r="EB592" s="11">
        <v>2.044E7</v>
      </c>
      <c r="EC592" s="11">
        <v>1.889E7</v>
      </c>
      <c r="ED592" s="11">
        <v>1.853E7</v>
      </c>
      <c r="EE592" s="14">
        <v>0.17</v>
      </c>
      <c r="EF592" s="14">
        <v>0.379</v>
      </c>
      <c r="EG592" s="14">
        <v>-0.234</v>
      </c>
      <c r="EH592" s="14">
        <v>-0.095</v>
      </c>
    </row>
    <row r="593">
      <c r="A593" s="9">
        <f t="shared" si="2"/>
        <v>591</v>
      </c>
      <c r="B593" s="10" t="s">
        <v>728</v>
      </c>
      <c r="C593" s="15">
        <v>1.732E7</v>
      </c>
      <c r="D593" s="15">
        <v>1.715E7</v>
      </c>
      <c r="E593" s="15">
        <v>1.763E7</v>
      </c>
      <c r="F593" s="15">
        <v>1.687E7</v>
      </c>
      <c r="G593" s="15">
        <v>1.574E7</v>
      </c>
      <c r="H593" s="15">
        <v>1.562E7</v>
      </c>
      <c r="I593" s="15">
        <v>1.656E7</v>
      </c>
      <c r="J593" s="15">
        <v>6250000.0</v>
      </c>
      <c r="K593" s="15">
        <v>5820000.0</v>
      </c>
      <c r="L593" s="15">
        <v>5440000.0</v>
      </c>
      <c r="M593" s="15">
        <v>5640000.0</v>
      </c>
      <c r="N593" s="15">
        <v>5900000.0</v>
      </c>
      <c r="O593" s="15">
        <v>3120000.0</v>
      </c>
      <c r="P593" s="15">
        <v>2910000.0</v>
      </c>
      <c r="Q593" s="15">
        <v>2770000.0</v>
      </c>
      <c r="R593" s="15">
        <v>2850000.0</v>
      </c>
      <c r="S593" s="15">
        <v>3140000.0</v>
      </c>
      <c r="T593" s="15">
        <v>224400.0</v>
      </c>
      <c r="U593" s="15">
        <v>221900.0</v>
      </c>
      <c r="V593" s="15">
        <v>219100.0</v>
      </c>
      <c r="W593" s="15">
        <v>218200.0</v>
      </c>
      <c r="X593" s="15">
        <v>222100.0</v>
      </c>
      <c r="Y593" s="15">
        <v>2980000.0</v>
      </c>
      <c r="Z593" s="15">
        <v>2550000.0</v>
      </c>
      <c r="AA593" s="15">
        <v>2520000.0</v>
      </c>
      <c r="AB593" s="15">
        <v>2520000.0</v>
      </c>
      <c r="AC593" s="15">
        <v>2410000.0</v>
      </c>
      <c r="AD593" s="15">
        <v>2600000.0</v>
      </c>
      <c r="AE593" s="15">
        <v>2080000.0</v>
      </c>
      <c r="AF593" s="15">
        <v>2140000.0</v>
      </c>
      <c r="AG593" s="15">
        <v>2270000.0</v>
      </c>
      <c r="AH593" s="15">
        <v>2400000.0</v>
      </c>
      <c r="AI593" s="15">
        <v>3720000.0</v>
      </c>
      <c r="AJ593" s="15">
        <v>3530000.0</v>
      </c>
      <c r="AK593" s="15">
        <v>3290000.0</v>
      </c>
      <c r="AL593" s="15">
        <v>3390000.0</v>
      </c>
      <c r="AM593" s="15">
        <v>3370000.0</v>
      </c>
      <c r="AN593" s="15">
        <v>2180000.0</v>
      </c>
      <c r="AO593" s="15">
        <v>1750000.0</v>
      </c>
      <c r="AP593" s="15">
        <v>2130000.0</v>
      </c>
      <c r="AQ593" s="15">
        <v>1660000.0</v>
      </c>
      <c r="AR593" s="15">
        <v>1700000.0</v>
      </c>
      <c r="AS593" s="15">
        <v>3680000.0</v>
      </c>
      <c r="AT593" s="15">
        <v>2810000.0</v>
      </c>
      <c r="AU593" s="15">
        <v>2840000.0</v>
      </c>
      <c r="AV593" s="15">
        <v>2310000.0</v>
      </c>
      <c r="AW593" s="15">
        <v>2630000.0</v>
      </c>
      <c r="AX593" s="15">
        <v>-460800.0</v>
      </c>
      <c r="AY593" s="15">
        <v>-537600.0</v>
      </c>
      <c r="AZ593" s="15">
        <v>-622700.0</v>
      </c>
      <c r="BA593" s="15">
        <v>-684400.0</v>
      </c>
      <c r="BB593" s="15">
        <v>-729300.0</v>
      </c>
      <c r="BC593" s="15">
        <v>-1200000.0</v>
      </c>
      <c r="BD593" s="15">
        <v>-1180000.0</v>
      </c>
      <c r="BE593" s="15">
        <v>-1140000.0</v>
      </c>
      <c r="BF593" s="15">
        <v>-1140000.0</v>
      </c>
      <c r="BG593" s="15">
        <v>-1070000.0</v>
      </c>
      <c r="BH593" s="15">
        <v>1680000.0</v>
      </c>
      <c r="BI593" s="15">
        <v>456700.0</v>
      </c>
      <c r="BJ593" s="15">
        <v>406100.0</v>
      </c>
      <c r="BK593" s="15">
        <v>768800.0</v>
      </c>
      <c r="BL593" s="15">
        <v>765500.0</v>
      </c>
      <c r="BM593" s="15">
        <v>1770000.0</v>
      </c>
      <c r="BN593" s="15">
        <v>1970000.0</v>
      </c>
      <c r="BO593" s="15">
        <v>1900000.0</v>
      </c>
      <c r="BP593" s="15">
        <v>1630000.0</v>
      </c>
      <c r="BQ593" s="15">
        <v>1560000.0</v>
      </c>
      <c r="BR593" s="15">
        <v>1430000.0</v>
      </c>
      <c r="BS593" s="15">
        <v>1560000.0</v>
      </c>
      <c r="BT593" s="15">
        <v>1640000.0</v>
      </c>
      <c r="BU593" s="15">
        <v>1480000.0</v>
      </c>
      <c r="BV593" s="15">
        <v>1410000.0</v>
      </c>
      <c r="BW593" s="15">
        <v>5120000.0</v>
      </c>
      <c r="BX593" s="15">
        <v>4190000.0</v>
      </c>
      <c r="BY593" s="15">
        <v>4120000.0</v>
      </c>
      <c r="BZ593" s="15">
        <v>4060000.0</v>
      </c>
      <c r="CA593" s="15">
        <v>3940000.0</v>
      </c>
      <c r="CB593" s="15">
        <v>3950000.0</v>
      </c>
      <c r="CC593" s="15">
        <v>3790000.0</v>
      </c>
      <c r="CD593" s="15">
        <v>4050000.0</v>
      </c>
      <c r="CE593" s="15">
        <v>3690000.0</v>
      </c>
      <c r="CF593" s="15">
        <v>3740000.0</v>
      </c>
      <c r="CG593" s="15">
        <v>1.392E7</v>
      </c>
      <c r="CH593" s="15">
        <v>1.4E7</v>
      </c>
      <c r="CI593" s="15">
        <v>1.407E7</v>
      </c>
      <c r="CJ593" s="15">
        <v>8750000.0</v>
      </c>
      <c r="CK593" s="15">
        <v>8740000.0</v>
      </c>
      <c r="CL593" s="15">
        <v>3.137E7</v>
      </c>
      <c r="CM593" s="15">
        <v>3.065E7</v>
      </c>
      <c r="CN593" s="15">
        <v>3.114E7</v>
      </c>
      <c r="CO593" s="15">
        <v>2.279E7</v>
      </c>
      <c r="CP593" s="15">
        <v>2.294E7</v>
      </c>
      <c r="CQ593" s="15">
        <v>3250000.0</v>
      </c>
      <c r="CR593" s="15">
        <v>2850000.0</v>
      </c>
      <c r="CS593" s="15">
        <v>2750000.0</v>
      </c>
      <c r="CT593" s="15">
        <v>2120000.0</v>
      </c>
      <c r="CU593" s="15">
        <v>2050000.0</v>
      </c>
      <c r="CV593" s="15">
        <v>7490000.0</v>
      </c>
      <c r="CW593" s="15">
        <v>381000.0</v>
      </c>
      <c r="CX593" s="15">
        <v>1470000.0</v>
      </c>
      <c r="CY593" s="15">
        <v>1550000.0</v>
      </c>
      <c r="CZ593" s="15">
        <v>1230000.0</v>
      </c>
      <c r="DA593" s="15">
        <v>269800.0</v>
      </c>
      <c r="DB593" s="15">
        <v>7490000.0</v>
      </c>
      <c r="DC593" s="15">
        <v>7090000.0</v>
      </c>
      <c r="DD593" s="15">
        <v>7340000.0</v>
      </c>
      <c r="DE593" s="15">
        <v>5330000.0</v>
      </c>
      <c r="DF593" s="15">
        <v>2.247E7</v>
      </c>
      <c r="DG593" s="15">
        <v>2.273E7</v>
      </c>
      <c r="DH593" s="15">
        <v>2.388E7</v>
      </c>
      <c r="DI593" s="15">
        <v>1.719E7</v>
      </c>
      <c r="DJ593" s="15">
        <v>1.679E7</v>
      </c>
      <c r="DK593" s="15">
        <v>566700.0</v>
      </c>
      <c r="DL593" s="15">
        <v>452900.0</v>
      </c>
      <c r="DM593" s="15">
        <v>499600.0</v>
      </c>
      <c r="DN593" s="15">
        <v>505300.0</v>
      </c>
      <c r="DO593" s="15">
        <v>518900.0</v>
      </c>
      <c r="DP593" s="15">
        <v>1.121E7</v>
      </c>
      <c r="DQ593" s="15">
        <v>1.162E7</v>
      </c>
      <c r="DR593" s="15">
        <v>1.267E7</v>
      </c>
      <c r="DS593" s="15">
        <v>7640000.0</v>
      </c>
      <c r="DT593" s="15">
        <v>7060000.0</v>
      </c>
      <c r="DU593" s="13"/>
      <c r="DV593" s="12"/>
      <c r="DW593" s="12"/>
      <c r="DX593" s="13"/>
      <c r="DY593" s="13"/>
      <c r="DZ593" s="15">
        <v>8060000.0</v>
      </c>
      <c r="EA593" s="15">
        <v>7050000.0</v>
      </c>
      <c r="EB593" s="15">
        <v>6140000.0</v>
      </c>
      <c r="EC593" s="15">
        <v>4330000.0</v>
      </c>
      <c r="ED593" s="15">
        <v>4930000.0</v>
      </c>
      <c r="EE593" s="17">
        <v>0.04</v>
      </c>
      <c r="EF593" s="17">
        <v>0.059</v>
      </c>
      <c r="EG593" s="17">
        <v>0.038</v>
      </c>
      <c r="EH593" s="17">
        <v>0.039</v>
      </c>
    </row>
    <row r="594">
      <c r="A594" s="9">
        <f t="shared" si="2"/>
        <v>592</v>
      </c>
      <c r="B594" s="32" t="s">
        <v>729</v>
      </c>
      <c r="C594" s="11">
        <v>740000.0</v>
      </c>
      <c r="D594" s="11">
        <v>729350.0</v>
      </c>
      <c r="E594" s="11">
        <v>711520.0</v>
      </c>
      <c r="F594" s="11">
        <v>620800.0</v>
      </c>
      <c r="G594" s="11">
        <v>592160.0</v>
      </c>
      <c r="H594" s="11">
        <v>637470.0</v>
      </c>
      <c r="I594" s="11">
        <v>856880.0</v>
      </c>
      <c r="J594" s="11">
        <v>151780.0</v>
      </c>
      <c r="K594" s="11">
        <v>122640.0</v>
      </c>
      <c r="L594" s="11">
        <v>66050.0</v>
      </c>
      <c r="M594" s="11">
        <v>85390.0</v>
      </c>
      <c r="N594" s="11">
        <v>89390.0</v>
      </c>
      <c r="O594" s="11">
        <v>59110.0</v>
      </c>
      <c r="P594" s="11">
        <v>54920.0</v>
      </c>
      <c r="Q594" s="11">
        <v>56050.0</v>
      </c>
      <c r="R594" s="11">
        <v>55270.0</v>
      </c>
      <c r="S594" s="11">
        <v>64530.0</v>
      </c>
      <c r="T594" s="12"/>
      <c r="U594" s="12"/>
      <c r="V594" s="12"/>
      <c r="W594" s="12"/>
      <c r="X594" s="12"/>
      <c r="Y594" s="11">
        <v>97290.0</v>
      </c>
      <c r="Z594" s="11">
        <v>51570.0</v>
      </c>
      <c r="AA594" s="11">
        <v>-31170.0</v>
      </c>
      <c r="AB594" s="12"/>
      <c r="AC594" s="11">
        <v>-2750.0</v>
      </c>
      <c r="AD594" s="11">
        <v>70920.0</v>
      </c>
      <c r="AE594" s="11">
        <v>16450.0</v>
      </c>
      <c r="AF594" s="11">
        <v>-49130.0</v>
      </c>
      <c r="AG594" s="11">
        <v>365.0</v>
      </c>
      <c r="AH594" s="11">
        <v>-8690.0</v>
      </c>
      <c r="AI594" s="11">
        <v>129820.0</v>
      </c>
      <c r="AJ594" s="11">
        <v>118100.0</v>
      </c>
      <c r="AK594" s="11">
        <v>65970.0</v>
      </c>
      <c r="AL594" s="11">
        <v>84940.0</v>
      </c>
      <c r="AM594" s="11">
        <v>89440.0</v>
      </c>
      <c r="AN594" s="11">
        <v>55670.0</v>
      </c>
      <c r="AO594" s="11">
        <v>11020.0</v>
      </c>
      <c r="AP594" s="11">
        <v>-15370.0</v>
      </c>
      <c r="AQ594" s="11">
        <v>542.0</v>
      </c>
      <c r="AR594" s="11">
        <v>-6190.0</v>
      </c>
      <c r="AS594" s="11">
        <v>190160.0</v>
      </c>
      <c r="AT594" s="11">
        <v>137650.0</v>
      </c>
      <c r="AU594" s="11">
        <v>21520.0</v>
      </c>
      <c r="AV594" s="11">
        <v>38670.0</v>
      </c>
      <c r="AW594" s="11">
        <v>29120.0</v>
      </c>
      <c r="AX594" s="11">
        <v>-49410.0</v>
      </c>
      <c r="AY594" s="11">
        <v>-49420.0</v>
      </c>
      <c r="AZ594" s="11">
        <v>-66000.0</v>
      </c>
      <c r="BA594" s="11">
        <v>-82850.0</v>
      </c>
      <c r="BB594" s="11">
        <v>-74460.0</v>
      </c>
      <c r="BC594" s="12"/>
      <c r="BD594" s="12"/>
      <c r="BE594" s="12"/>
      <c r="BF594" s="12"/>
      <c r="BG594" s="12"/>
      <c r="BH594" s="11">
        <v>187000.0</v>
      </c>
      <c r="BI594" s="11">
        <v>34460.0</v>
      </c>
      <c r="BJ594" s="11">
        <v>15850.0</v>
      </c>
      <c r="BK594" s="11">
        <v>13410.0</v>
      </c>
      <c r="BL594" s="11">
        <v>16430.0</v>
      </c>
      <c r="BM594" s="11">
        <v>42350.0</v>
      </c>
      <c r="BN594" s="11">
        <v>82730.0</v>
      </c>
      <c r="BO594" s="11">
        <v>129850.0</v>
      </c>
      <c r="BP594" s="11">
        <v>183100.0</v>
      </c>
      <c r="BQ594" s="11">
        <v>211970.0</v>
      </c>
      <c r="BR594" s="11">
        <v>30190.0</v>
      </c>
      <c r="BS594" s="11">
        <v>28110.0</v>
      </c>
      <c r="BT594" s="11">
        <v>34430.0</v>
      </c>
      <c r="BU594" s="11">
        <v>37140.0</v>
      </c>
      <c r="BV594" s="11">
        <v>35960.0</v>
      </c>
      <c r="BW594" s="11">
        <v>290410.0</v>
      </c>
      <c r="BX594" s="11">
        <v>193570.0</v>
      </c>
      <c r="BY594" s="11">
        <v>262180.0</v>
      </c>
      <c r="BZ594" s="11">
        <v>307230.0</v>
      </c>
      <c r="CA594" s="11">
        <v>329730.0</v>
      </c>
      <c r="CB594" s="11">
        <v>447210.0</v>
      </c>
      <c r="CC594" s="11">
        <v>369860.0</v>
      </c>
      <c r="CD594" s="11">
        <v>396930.0</v>
      </c>
      <c r="CE594" s="11">
        <v>413010.0</v>
      </c>
      <c r="CF594" s="11">
        <v>430210.0</v>
      </c>
      <c r="CG594" s="11">
        <v>76580.0</v>
      </c>
      <c r="CH594" s="11">
        <v>76580.0</v>
      </c>
      <c r="CI594" s="11">
        <v>76580.0</v>
      </c>
      <c r="CJ594" s="11">
        <v>83580.0</v>
      </c>
      <c r="CK594" s="11">
        <v>83580.0</v>
      </c>
      <c r="CL594" s="11">
        <v>962480.0</v>
      </c>
      <c r="CM594" s="11">
        <v>786390.0</v>
      </c>
      <c r="CN594" s="11">
        <v>897460.0</v>
      </c>
      <c r="CO594" s="11">
        <v>938190.0</v>
      </c>
      <c r="CP594" s="11">
        <v>951750.0</v>
      </c>
      <c r="CQ594" s="11">
        <v>76090.0</v>
      </c>
      <c r="CR594" s="11">
        <v>71540.0</v>
      </c>
      <c r="CS594" s="11">
        <v>65150.0</v>
      </c>
      <c r="CT594" s="11">
        <v>103190.0</v>
      </c>
      <c r="CU594" s="11">
        <v>118850.0</v>
      </c>
      <c r="CV594" s="11">
        <v>203930.0</v>
      </c>
      <c r="CW594" s="11">
        <v>21350.0</v>
      </c>
      <c r="CX594" s="11">
        <v>11500.0</v>
      </c>
      <c r="CY594" s="12"/>
      <c r="CZ594" s="12"/>
      <c r="DA594" s="12"/>
      <c r="DB594" s="11">
        <v>203930.0</v>
      </c>
      <c r="DC594" s="11">
        <v>163120.0</v>
      </c>
      <c r="DD594" s="11">
        <v>150250.0</v>
      </c>
      <c r="DE594" s="11">
        <v>179830.0</v>
      </c>
      <c r="DF594" s="11">
        <v>683080.0</v>
      </c>
      <c r="DG594" s="11">
        <v>571460.0</v>
      </c>
      <c r="DH594" s="11">
        <v>676170.0</v>
      </c>
      <c r="DI594" s="11">
        <v>690300.0</v>
      </c>
      <c r="DJ594" s="11">
        <v>699580.0</v>
      </c>
      <c r="DK594" s="12"/>
      <c r="DL594" s="12"/>
      <c r="DM594" s="12"/>
      <c r="DN594" s="11">
        <v>13270.0</v>
      </c>
      <c r="DO594" s="11">
        <v>5260.0</v>
      </c>
      <c r="DP594" s="11">
        <v>373970.0</v>
      </c>
      <c r="DQ594" s="11">
        <v>321950.0</v>
      </c>
      <c r="DR594" s="11">
        <v>428140.0</v>
      </c>
      <c r="DS594" s="11">
        <v>391760.0</v>
      </c>
      <c r="DT594" s="11">
        <v>348470.0</v>
      </c>
      <c r="DU594" s="13"/>
      <c r="DV594" s="12"/>
      <c r="DW594" s="12"/>
      <c r="DX594" s="12"/>
      <c r="DY594" s="13"/>
      <c r="DZ594" s="11">
        <v>279400.0</v>
      </c>
      <c r="EA594" s="11">
        <v>214930.0</v>
      </c>
      <c r="EB594" s="11">
        <v>221300.0</v>
      </c>
      <c r="EC594" s="11">
        <v>247890.0</v>
      </c>
      <c r="ED594" s="11">
        <v>252170.0</v>
      </c>
      <c r="EE594" s="14">
        <v>0.026</v>
      </c>
      <c r="EF594" s="14">
        <v>0.0</v>
      </c>
      <c r="EG594" s="14">
        <v>1.364</v>
      </c>
      <c r="EH594" s="14">
        <v>0.561</v>
      </c>
    </row>
    <row r="595">
      <c r="A595" s="9">
        <f t="shared" si="2"/>
        <v>593</v>
      </c>
      <c r="B595" s="22" t="s">
        <v>730</v>
      </c>
      <c r="C595" s="12"/>
      <c r="D595" s="12"/>
      <c r="E595" s="12"/>
      <c r="F595" s="11">
        <v>2040.0</v>
      </c>
      <c r="G595" s="11">
        <v>1090.0</v>
      </c>
      <c r="H595" s="11">
        <v>467.0</v>
      </c>
      <c r="I595" s="12"/>
      <c r="J595" s="11">
        <v>-35.0</v>
      </c>
      <c r="K595" s="12"/>
      <c r="L595" s="12"/>
      <c r="M595" s="12"/>
      <c r="N595" s="11">
        <v>-50.0</v>
      </c>
      <c r="O595" s="11">
        <v>22340.0</v>
      </c>
      <c r="P595" s="11">
        <v>12370.0</v>
      </c>
      <c r="Q595" s="11">
        <v>13210.0</v>
      </c>
      <c r="R595" s="11">
        <v>17180.0</v>
      </c>
      <c r="S595" s="11">
        <v>10830.0</v>
      </c>
      <c r="T595" s="11">
        <v>18180.0</v>
      </c>
      <c r="U595" s="11">
        <v>8310.0</v>
      </c>
      <c r="V595" s="11">
        <v>9650.0</v>
      </c>
      <c r="W595" s="11">
        <v>14270.0</v>
      </c>
      <c r="X595" s="11">
        <v>7630.0</v>
      </c>
      <c r="Y595" s="12"/>
      <c r="Z595" s="12"/>
      <c r="AA595" s="12"/>
      <c r="AB595" s="12"/>
      <c r="AC595" s="12"/>
      <c r="AD595" s="11">
        <v>-20460.0</v>
      </c>
      <c r="AE595" s="11">
        <v>-9780.0</v>
      </c>
      <c r="AF595" s="11">
        <v>-12300.0</v>
      </c>
      <c r="AG595" s="11">
        <v>-16850.0</v>
      </c>
      <c r="AH595" s="11">
        <v>-10620.0</v>
      </c>
      <c r="AI595" s="11">
        <v>-22340.0</v>
      </c>
      <c r="AJ595" s="11">
        <v>-10330.0</v>
      </c>
      <c r="AK595" s="11">
        <v>-12130.0</v>
      </c>
      <c r="AL595" s="11">
        <v>-16710.0</v>
      </c>
      <c r="AM595" s="11">
        <v>-10830.0</v>
      </c>
      <c r="AN595" s="11">
        <v>-20460.0</v>
      </c>
      <c r="AO595" s="11">
        <v>-9860.0</v>
      </c>
      <c r="AP595" s="11">
        <v>-12300.0</v>
      </c>
      <c r="AQ595" s="11">
        <v>-16950.0</v>
      </c>
      <c r="AR595" s="11">
        <v>-10620.0</v>
      </c>
      <c r="AS595" s="11">
        <v>-14940.0</v>
      </c>
      <c r="AT595" s="11">
        <v>-9020.0</v>
      </c>
      <c r="AU595" s="11">
        <v>-12070.0</v>
      </c>
      <c r="AV595" s="11">
        <v>-12130.0</v>
      </c>
      <c r="AW595" s="11">
        <v>-8470.0</v>
      </c>
      <c r="AX595" s="11">
        <v>-12.0</v>
      </c>
      <c r="AY595" s="11">
        <v>-90.0</v>
      </c>
      <c r="AZ595" s="11">
        <v>-12.0</v>
      </c>
      <c r="BA595" s="11">
        <v>-17.0</v>
      </c>
      <c r="BB595" s="11">
        <v>-159.0</v>
      </c>
      <c r="BC595" s="12"/>
      <c r="BD595" s="12"/>
      <c r="BE595" s="12"/>
      <c r="BF595" s="12"/>
      <c r="BG595" s="12"/>
      <c r="BH595" s="11">
        <v>75600.0</v>
      </c>
      <c r="BI595" s="11">
        <v>90190.0</v>
      </c>
      <c r="BJ595" s="11">
        <v>19000.0</v>
      </c>
      <c r="BK595" s="11">
        <v>15450.0</v>
      </c>
      <c r="BL595" s="11">
        <v>23000.0</v>
      </c>
      <c r="BM595" s="11">
        <v>226.0</v>
      </c>
      <c r="BN595" s="11">
        <v>218.0</v>
      </c>
      <c r="BO595" s="11">
        <v>155.0</v>
      </c>
      <c r="BP595" s="11">
        <v>284.0</v>
      </c>
      <c r="BQ595" s="11">
        <v>109.0</v>
      </c>
      <c r="BR595" s="12"/>
      <c r="BS595" s="12"/>
      <c r="BT595" s="12"/>
      <c r="BU595" s="12"/>
      <c r="BV595" s="12"/>
      <c r="BW595" s="11">
        <v>76430.0</v>
      </c>
      <c r="BX595" s="11">
        <v>90410.0</v>
      </c>
      <c r="BY595" s="11">
        <v>19150.0</v>
      </c>
      <c r="BZ595" s="11">
        <v>15730.0</v>
      </c>
      <c r="CA595" s="11">
        <v>23380.0</v>
      </c>
      <c r="CB595" s="11">
        <v>709.0</v>
      </c>
      <c r="CC595" s="11">
        <v>194.0</v>
      </c>
      <c r="CD595" s="11">
        <v>491.0</v>
      </c>
      <c r="CE595" s="11">
        <v>718.0</v>
      </c>
      <c r="CF595" s="11">
        <v>883.0</v>
      </c>
      <c r="CG595" s="12"/>
      <c r="CH595" s="12"/>
      <c r="CI595" s="12"/>
      <c r="CJ595" s="12"/>
      <c r="CK595" s="12"/>
      <c r="CL595" s="11">
        <v>77140.0</v>
      </c>
      <c r="CM595" s="11">
        <v>90600.0</v>
      </c>
      <c r="CN595" s="11">
        <v>19640.0</v>
      </c>
      <c r="CO595" s="11">
        <v>16450.0</v>
      </c>
      <c r="CP595" s="11">
        <v>24260.0</v>
      </c>
      <c r="CQ595" s="11">
        <v>6000.0</v>
      </c>
      <c r="CR595" s="11">
        <v>1810.0</v>
      </c>
      <c r="CS595" s="11">
        <v>2280.0</v>
      </c>
      <c r="CT595" s="11">
        <v>3120.0</v>
      </c>
      <c r="CU595" s="12"/>
      <c r="CV595" s="11">
        <v>6930.0</v>
      </c>
      <c r="CW595" s="12"/>
      <c r="CX595" s="12"/>
      <c r="CY595" s="12"/>
      <c r="CZ595" s="12"/>
      <c r="DA595" s="12"/>
      <c r="DB595" s="11">
        <v>6930.0</v>
      </c>
      <c r="DC595" s="11">
        <v>2710.0</v>
      </c>
      <c r="DD595" s="11">
        <v>3850.0</v>
      </c>
      <c r="DE595" s="11">
        <v>4580.0</v>
      </c>
      <c r="DF595" s="11">
        <v>7290.0</v>
      </c>
      <c r="DG595" s="11">
        <v>2710.0</v>
      </c>
      <c r="DH595" s="11">
        <v>3850.0</v>
      </c>
      <c r="DI595" s="11">
        <v>5380.0</v>
      </c>
      <c r="DJ595" s="11">
        <v>2720.0</v>
      </c>
      <c r="DK595" s="12"/>
      <c r="DL595" s="12"/>
      <c r="DM595" s="12"/>
      <c r="DN595" s="12"/>
      <c r="DO595" s="12"/>
      <c r="DP595" s="11">
        <v>352.0</v>
      </c>
      <c r="DQ595" s="12"/>
      <c r="DR595" s="12"/>
      <c r="DS595" s="12"/>
      <c r="DT595" s="12"/>
      <c r="DU595" s="13"/>
      <c r="DV595" s="12"/>
      <c r="DW595" s="12"/>
      <c r="DX595" s="13"/>
      <c r="DY595" s="13"/>
      <c r="DZ595" s="11">
        <v>69850.0</v>
      </c>
      <c r="EA595" s="11">
        <v>87890.0</v>
      </c>
      <c r="EB595" s="11">
        <v>15800.0</v>
      </c>
      <c r="EC595" s="11">
        <v>11080.0</v>
      </c>
      <c r="ED595" s="11">
        <v>21550.0</v>
      </c>
      <c r="EE595" s="23"/>
      <c r="EF595" s="23"/>
      <c r="EG595" s="14">
        <v>0.188</v>
      </c>
      <c r="EH595" s="14">
        <v>0.133</v>
      </c>
    </row>
    <row r="596">
      <c r="A596" s="9">
        <f t="shared" si="2"/>
        <v>594</v>
      </c>
      <c r="B596" s="10" t="s">
        <v>731</v>
      </c>
      <c r="C596" s="11">
        <v>412270.0</v>
      </c>
      <c r="D596" s="11">
        <v>422180.0</v>
      </c>
      <c r="E596" s="11">
        <v>448750.0</v>
      </c>
      <c r="F596" s="11">
        <v>430600.0</v>
      </c>
      <c r="G596" s="11">
        <v>143540.0</v>
      </c>
      <c r="H596" s="11">
        <v>80260.0</v>
      </c>
      <c r="I596" s="11">
        <v>102670.0</v>
      </c>
      <c r="J596" s="11">
        <v>175590.0</v>
      </c>
      <c r="K596" s="11">
        <v>134230.0</v>
      </c>
      <c r="L596" s="11">
        <v>-50220.0</v>
      </c>
      <c r="M596" s="11">
        <v>-93440.0</v>
      </c>
      <c r="N596" s="11">
        <v>-96450.0</v>
      </c>
      <c r="O596" s="11">
        <v>57160.0</v>
      </c>
      <c r="P596" s="11">
        <v>73230.0</v>
      </c>
      <c r="Q596" s="11">
        <v>50330.0</v>
      </c>
      <c r="R596" s="11">
        <v>45960.0</v>
      </c>
      <c r="S596" s="11">
        <v>33530.0</v>
      </c>
      <c r="T596" s="11">
        <v>4990.0</v>
      </c>
      <c r="U596" s="11">
        <v>21690.0</v>
      </c>
      <c r="V596" s="12"/>
      <c r="W596" s="12"/>
      <c r="X596" s="12"/>
      <c r="Y596" s="11">
        <v>-9730.0</v>
      </c>
      <c r="Z596" s="11">
        <v>30940.0</v>
      </c>
      <c r="AA596" s="11">
        <v>-62220.0</v>
      </c>
      <c r="AB596" s="11">
        <v>18300.0</v>
      </c>
      <c r="AC596" s="11">
        <v>-98720.0</v>
      </c>
      <c r="AD596" s="11">
        <v>-75550.0</v>
      </c>
      <c r="AE596" s="11">
        <v>-9310.0</v>
      </c>
      <c r="AF596" s="11">
        <v>-118330.0</v>
      </c>
      <c r="AG596" s="11">
        <v>-209250.0</v>
      </c>
      <c r="AH596" s="11">
        <v>-211030.0</v>
      </c>
      <c r="AI596" s="11">
        <v>231460.0</v>
      </c>
      <c r="AJ596" s="11">
        <v>154690.0</v>
      </c>
      <c r="AK596" s="11">
        <v>-24040.0</v>
      </c>
      <c r="AL596" s="11">
        <v>-66430.0</v>
      </c>
      <c r="AM596" s="11">
        <v>-56240.0</v>
      </c>
      <c r="AN596" s="11">
        <v>-211960.0</v>
      </c>
      <c r="AO596" s="11">
        <v>-231430.0</v>
      </c>
      <c r="AP596" s="11">
        <v>-179700.0</v>
      </c>
      <c r="AQ596" s="11">
        <v>-186530.0</v>
      </c>
      <c r="AR596" s="11">
        <v>-171150.0</v>
      </c>
      <c r="AS596" s="11">
        <v>111290.0</v>
      </c>
      <c r="AT596" s="11">
        <v>148040.0</v>
      </c>
      <c r="AU596" s="11">
        <v>-11540.0</v>
      </c>
      <c r="AV596" s="11">
        <v>-94760.0</v>
      </c>
      <c r="AW596" s="11">
        <v>-87920.0</v>
      </c>
      <c r="AX596" s="11">
        <v>-400670.0</v>
      </c>
      <c r="AY596" s="11">
        <v>-149830.0</v>
      </c>
      <c r="AZ596" s="11">
        <v>-391900.0</v>
      </c>
      <c r="BA596" s="11">
        <v>-234520.0</v>
      </c>
      <c r="BB596" s="11">
        <v>-697350.0</v>
      </c>
      <c r="BC596" s="11">
        <v>-65000.0</v>
      </c>
      <c r="BD596" s="11">
        <v>-42870.0</v>
      </c>
      <c r="BE596" s="11">
        <v>-20440.0</v>
      </c>
      <c r="BF596" s="11">
        <v>-54350.0</v>
      </c>
      <c r="BG596" s="11">
        <v>-121360.0</v>
      </c>
      <c r="BH596" s="11">
        <v>333670.0</v>
      </c>
      <c r="BI596" s="11">
        <v>549870.0</v>
      </c>
      <c r="BJ596" s="11">
        <v>437130.0</v>
      </c>
      <c r="BK596" s="11">
        <v>407880.0</v>
      </c>
      <c r="BL596" s="11">
        <v>333440.0</v>
      </c>
      <c r="BM596" s="11">
        <v>32460.0</v>
      </c>
      <c r="BN596" s="11">
        <v>74340.0</v>
      </c>
      <c r="BO596" s="11">
        <v>25880.0</v>
      </c>
      <c r="BP596" s="11">
        <v>8100.0</v>
      </c>
      <c r="BQ596" s="11">
        <v>25650.0</v>
      </c>
      <c r="BR596" s="11">
        <v>1230.0</v>
      </c>
      <c r="BS596" s="11">
        <v>7010.0</v>
      </c>
      <c r="BT596" s="11">
        <v>7410.0</v>
      </c>
      <c r="BU596" s="11">
        <v>7260.0</v>
      </c>
      <c r="BV596" s="11">
        <v>8650.0</v>
      </c>
      <c r="BW596" s="11">
        <v>371390.0</v>
      </c>
      <c r="BX596" s="11">
        <v>649940.0</v>
      </c>
      <c r="BY596" s="11">
        <v>473460.0</v>
      </c>
      <c r="BZ596" s="11">
        <v>426220.0</v>
      </c>
      <c r="CA596" s="11">
        <v>638350.0</v>
      </c>
      <c r="CB596" s="11">
        <v>3600000.0</v>
      </c>
      <c r="CC596" s="11">
        <v>3290000.0</v>
      </c>
      <c r="CD596" s="11">
        <v>3250000.0</v>
      </c>
      <c r="CE596" s="11">
        <v>2890000.0</v>
      </c>
      <c r="CF596" s="11">
        <v>2850000.0</v>
      </c>
      <c r="CG596" s="11"/>
      <c r="CH596" s="11"/>
      <c r="CI596" s="11"/>
      <c r="CJ596" s="11"/>
      <c r="CK596" s="11"/>
      <c r="CL596" s="11">
        <v>4630000.0</v>
      </c>
      <c r="CM596" s="11">
        <v>4810000.0</v>
      </c>
      <c r="CN596" s="11">
        <v>4760000.0</v>
      </c>
      <c r="CO596" s="11">
        <v>4260000.0</v>
      </c>
      <c r="CP596" s="11">
        <v>4270000.0</v>
      </c>
      <c r="CQ596" s="11">
        <v>13930.0</v>
      </c>
      <c r="CR596" s="11">
        <v>9700.0</v>
      </c>
      <c r="CS596" s="11">
        <v>70430.0</v>
      </c>
      <c r="CT596" s="11">
        <v>24560.0</v>
      </c>
      <c r="CU596" s="11">
        <v>53280.0</v>
      </c>
      <c r="CV596" s="11">
        <v>1440000.0</v>
      </c>
      <c r="CW596" s="11">
        <v>1240000.0</v>
      </c>
      <c r="CX596" s="12"/>
      <c r="CY596" s="11">
        <v>1380000.0</v>
      </c>
      <c r="CZ596" s="11">
        <v>451450.0</v>
      </c>
      <c r="DA596" s="11">
        <v>491400.0</v>
      </c>
      <c r="DB596" s="11">
        <v>1440000.0</v>
      </c>
      <c r="DC596" s="11">
        <v>1000000.0</v>
      </c>
      <c r="DD596" s="11">
        <v>1630000.0</v>
      </c>
      <c r="DE596" s="11">
        <v>769130.0</v>
      </c>
      <c r="DF596" s="11">
        <v>2880000.0</v>
      </c>
      <c r="DG596" s="11">
        <v>2980000.0</v>
      </c>
      <c r="DH596" s="11">
        <v>2970000.0</v>
      </c>
      <c r="DI596" s="11">
        <v>2350000.0</v>
      </c>
      <c r="DJ596" s="11">
        <v>2350000.0</v>
      </c>
      <c r="DK596" s="11">
        <v>631410.0</v>
      </c>
      <c r="DL596" s="11">
        <v>824550.0</v>
      </c>
      <c r="DM596" s="11">
        <v>998390.0</v>
      </c>
      <c r="DN596" s="11">
        <v>908480.0</v>
      </c>
      <c r="DO596" s="11">
        <v>734600.0</v>
      </c>
      <c r="DP596" s="11">
        <v>1300000.0</v>
      </c>
      <c r="DQ596" s="11">
        <v>1840000.0</v>
      </c>
      <c r="DR596" s="11">
        <v>1030000.0</v>
      </c>
      <c r="DS596" s="11">
        <v>1530000.0</v>
      </c>
      <c r="DT596" s="11">
        <v>1340000.0</v>
      </c>
      <c r="DU596" s="13"/>
      <c r="DV596" s="12"/>
      <c r="DW596" s="12"/>
      <c r="DX596" s="12"/>
      <c r="DY596" s="12"/>
      <c r="DZ596" s="11">
        <v>1500000.0</v>
      </c>
      <c r="EA596" s="11">
        <v>1750000.0</v>
      </c>
      <c r="EB596" s="11">
        <v>1720000.0</v>
      </c>
      <c r="EC596" s="11">
        <v>1860000.0</v>
      </c>
      <c r="ED596" s="11">
        <v>1900000.0</v>
      </c>
      <c r="EE596" s="14">
        <v>0.258</v>
      </c>
      <c r="EF596" s="14">
        <v>0.927</v>
      </c>
      <c r="EG596" s="14">
        <v>-17.444</v>
      </c>
      <c r="EH596" s="14">
        <v>-7.116</v>
      </c>
    </row>
    <row r="597">
      <c r="A597" s="9">
        <f t="shared" si="2"/>
        <v>595</v>
      </c>
      <c r="B597" s="10" t="s">
        <v>732</v>
      </c>
      <c r="C597" s="11">
        <v>737080.0</v>
      </c>
      <c r="D597" s="11">
        <v>659260.0</v>
      </c>
      <c r="E597" s="11">
        <v>668640.0</v>
      </c>
      <c r="F597" s="11">
        <v>618340.0</v>
      </c>
      <c r="G597" s="11">
        <v>525230.0</v>
      </c>
      <c r="H597" s="11">
        <v>466060.0</v>
      </c>
      <c r="I597" s="11">
        <v>415080.0</v>
      </c>
      <c r="J597" s="11">
        <v>337160.0</v>
      </c>
      <c r="K597" s="11">
        <v>316690.0</v>
      </c>
      <c r="L597" s="11">
        <v>257410.0</v>
      </c>
      <c r="M597" s="11">
        <v>215290.0</v>
      </c>
      <c r="N597" s="11">
        <v>195600.0</v>
      </c>
      <c r="O597" s="11">
        <v>42680.0</v>
      </c>
      <c r="P597" s="11">
        <v>41990.0</v>
      </c>
      <c r="Q597" s="11">
        <v>39850.0</v>
      </c>
      <c r="R597" s="11">
        <v>37400.0</v>
      </c>
      <c r="S597" s="11">
        <v>40590.0</v>
      </c>
      <c r="T597" s="12"/>
      <c r="U597" s="12"/>
      <c r="V597" s="12"/>
      <c r="W597" s="12"/>
      <c r="X597" s="12"/>
      <c r="Y597" s="11">
        <v>72730.0</v>
      </c>
      <c r="Z597" s="11">
        <v>266490.0</v>
      </c>
      <c r="AA597" s="11">
        <v>223700.0</v>
      </c>
      <c r="AB597" s="11">
        <v>172900.0</v>
      </c>
      <c r="AC597" s="11">
        <v>153570.0</v>
      </c>
      <c r="AD597" s="11">
        <v>-117240.0</v>
      </c>
      <c r="AE597" s="11">
        <v>124600.0</v>
      </c>
      <c r="AF597" s="11">
        <v>83050.0</v>
      </c>
      <c r="AG597" s="11">
        <v>26630.0</v>
      </c>
      <c r="AH597" s="11">
        <v>52450.0</v>
      </c>
      <c r="AI597" s="11">
        <v>462520.0</v>
      </c>
      <c r="AJ597" s="11">
        <v>427890.0</v>
      </c>
      <c r="AK597" s="11">
        <v>354750.0</v>
      </c>
      <c r="AL597" s="11">
        <v>300840.0</v>
      </c>
      <c r="AM597" s="11">
        <v>261640.0</v>
      </c>
      <c r="AN597" s="11">
        <v>-100660.0</v>
      </c>
      <c r="AO597" s="11">
        <v>47680.0</v>
      </c>
      <c r="AP597" s="11">
        <v>15510.0</v>
      </c>
      <c r="AQ597" s="11">
        <v>-21490.0</v>
      </c>
      <c r="AR597" s="11">
        <v>10830.0</v>
      </c>
      <c r="AS597" s="11">
        <v>324210.0</v>
      </c>
      <c r="AT597" s="11">
        <v>289670.0</v>
      </c>
      <c r="AU597" s="11">
        <v>227410.0</v>
      </c>
      <c r="AV597" s="11">
        <v>320710.0</v>
      </c>
      <c r="AW597" s="11">
        <v>163610.0</v>
      </c>
      <c r="AX597" s="11">
        <v>-480550.0</v>
      </c>
      <c r="AY597" s="11">
        <v>-673820.0</v>
      </c>
      <c r="AZ597" s="11">
        <v>-82350.0</v>
      </c>
      <c r="BA597" s="11">
        <v>-761510.0</v>
      </c>
      <c r="BB597" s="11">
        <v>-728450.0</v>
      </c>
      <c r="BC597" s="11">
        <v>-193440.0</v>
      </c>
      <c r="BD597" s="11">
        <v>-178030.0</v>
      </c>
      <c r="BE597" s="11">
        <v>-121070.0</v>
      </c>
      <c r="BF597" s="11">
        <v>-55160.0</v>
      </c>
      <c r="BG597" s="11">
        <v>-84530.0</v>
      </c>
      <c r="BH597" s="11">
        <v>268250.0</v>
      </c>
      <c r="BI597" s="11">
        <v>367590.0</v>
      </c>
      <c r="BJ597" s="11">
        <v>386290.0</v>
      </c>
      <c r="BK597" s="11">
        <v>245150.0</v>
      </c>
      <c r="BL597" s="11">
        <v>371710.0</v>
      </c>
      <c r="BM597" s="11">
        <v>25470.0</v>
      </c>
      <c r="BN597" s="11">
        <v>53640.0</v>
      </c>
      <c r="BO597" s="11">
        <v>19370.0</v>
      </c>
      <c r="BP597" s="11">
        <v>12320.0</v>
      </c>
      <c r="BQ597" s="11">
        <v>17420.0</v>
      </c>
      <c r="BR597" s="11">
        <v>8170.0</v>
      </c>
      <c r="BS597" s="11">
        <v>7750.0</v>
      </c>
      <c r="BT597" s="11">
        <v>6840.0</v>
      </c>
      <c r="BU597" s="11">
        <v>8460.0</v>
      </c>
      <c r="BV597" s="11">
        <v>6500.0</v>
      </c>
      <c r="BW597" s="11">
        <v>315800.0</v>
      </c>
      <c r="BX597" s="11">
        <v>438890.0</v>
      </c>
      <c r="BY597" s="11">
        <v>417070.0</v>
      </c>
      <c r="BZ597" s="11">
        <v>271180.0</v>
      </c>
      <c r="CA597" s="11">
        <v>400030.0</v>
      </c>
      <c r="CB597" s="11">
        <v>4840000.0</v>
      </c>
      <c r="CC597" s="11">
        <v>4690000.0</v>
      </c>
      <c r="CD597" s="11">
        <v>4150000.0</v>
      </c>
      <c r="CE597" s="11">
        <v>4210000.0</v>
      </c>
      <c r="CF597" s="11">
        <v>3580000.0</v>
      </c>
      <c r="CG597" s="11">
        <v>9510.0</v>
      </c>
      <c r="CH597" s="11">
        <v>9510.0</v>
      </c>
      <c r="CI597" s="11">
        <v>9510.0</v>
      </c>
      <c r="CJ597" s="11">
        <v>9510.0</v>
      </c>
      <c r="CK597" s="11">
        <v>9510.0</v>
      </c>
      <c r="CL597" s="11">
        <v>5220000.0</v>
      </c>
      <c r="CM597" s="11">
        <v>5170000.0</v>
      </c>
      <c r="CN597" s="11">
        <v>4630000.0</v>
      </c>
      <c r="CO597" s="11">
        <v>4520000.0</v>
      </c>
      <c r="CP597" s="11">
        <v>4040000.0</v>
      </c>
      <c r="CQ597" s="11">
        <v>28220.0</v>
      </c>
      <c r="CR597" s="11">
        <v>12470.0</v>
      </c>
      <c r="CS597" s="11">
        <v>13920.0</v>
      </c>
      <c r="CT597" s="11">
        <v>8100.0</v>
      </c>
      <c r="CU597" s="11">
        <v>15920.0</v>
      </c>
      <c r="CV597" s="11">
        <v>437540.0</v>
      </c>
      <c r="CW597" s="11"/>
      <c r="CX597" s="12"/>
      <c r="CY597" s="12"/>
      <c r="CZ597" s="12"/>
      <c r="DA597" s="12"/>
      <c r="DB597" s="11">
        <v>437540.0</v>
      </c>
      <c r="DC597" s="11">
        <v>669410.0</v>
      </c>
      <c r="DD597" s="11">
        <v>294860.0</v>
      </c>
      <c r="DE597" s="11">
        <v>262840.0</v>
      </c>
      <c r="DF597" s="11">
        <v>3570000.0</v>
      </c>
      <c r="DG597" s="11">
        <v>3190000.0</v>
      </c>
      <c r="DH597" s="11">
        <v>2870000.0</v>
      </c>
      <c r="DI597" s="11">
        <v>3010000.0</v>
      </c>
      <c r="DJ597" s="11">
        <v>2530000.0</v>
      </c>
      <c r="DK597" s="11">
        <v>25190.0</v>
      </c>
      <c r="DL597" s="11">
        <v>29680.0</v>
      </c>
      <c r="DM597" s="11">
        <v>36810.0</v>
      </c>
      <c r="DN597" s="11">
        <v>14120.0</v>
      </c>
      <c r="DO597" s="11">
        <v>32680.0</v>
      </c>
      <c r="DP597" s="11">
        <v>3090000.0</v>
      </c>
      <c r="DQ597" s="11">
        <v>2510000.0</v>
      </c>
      <c r="DR597" s="11">
        <v>2580000.0</v>
      </c>
      <c r="DS597" s="11">
        <v>2720000.0</v>
      </c>
      <c r="DT597" s="11">
        <v>1740000.0</v>
      </c>
      <c r="DU597" s="24">
        <v>46.0</v>
      </c>
      <c r="DV597" s="11">
        <v>46.0</v>
      </c>
      <c r="DW597" s="11">
        <v>46.0</v>
      </c>
      <c r="DX597" s="11">
        <v>46.0</v>
      </c>
      <c r="DY597" s="11">
        <v>110650.0</v>
      </c>
      <c r="DZ597" s="11">
        <v>688340.0</v>
      </c>
      <c r="EA597" s="11">
        <v>879740.0</v>
      </c>
      <c r="EB597" s="11">
        <v>918030.0</v>
      </c>
      <c r="EC597" s="11">
        <v>945640.0</v>
      </c>
      <c r="ED597" s="11">
        <v>1000000.0</v>
      </c>
      <c r="EE597" s="14">
        <v>0.126</v>
      </c>
      <c r="EF597" s="14">
        <v>0.213</v>
      </c>
      <c r="EG597" s="29" t="s">
        <v>155</v>
      </c>
      <c r="EH597" s="23"/>
    </row>
    <row r="598">
      <c r="A598" s="9">
        <f t="shared" si="2"/>
        <v>596</v>
      </c>
      <c r="B598" s="10" t="s">
        <v>733</v>
      </c>
      <c r="C598" s="11">
        <v>295600.0</v>
      </c>
      <c r="D598" s="11">
        <v>329550.0</v>
      </c>
      <c r="E598" s="11">
        <v>378690.0</v>
      </c>
      <c r="F598" s="11">
        <v>383200.0</v>
      </c>
      <c r="G598" s="11">
        <v>371150.0</v>
      </c>
      <c r="H598" s="11">
        <v>282340.0</v>
      </c>
      <c r="I598" s="11">
        <v>224190.0</v>
      </c>
      <c r="J598" s="11">
        <v>205330.0</v>
      </c>
      <c r="K598" s="11">
        <v>214410.0</v>
      </c>
      <c r="L598" s="11">
        <v>214040.0</v>
      </c>
      <c r="M598" s="11">
        <v>161310.0</v>
      </c>
      <c r="N598" s="11">
        <v>123500.0</v>
      </c>
      <c r="O598" s="11">
        <v>19400.0</v>
      </c>
      <c r="P598" s="11">
        <v>19750.0</v>
      </c>
      <c r="Q598" s="11">
        <v>15310.0</v>
      </c>
      <c r="R598" s="11">
        <v>12630.0</v>
      </c>
      <c r="S598" s="11">
        <v>11520.0</v>
      </c>
      <c r="T598" s="12"/>
      <c r="U598" s="12"/>
      <c r="V598" s="12"/>
      <c r="W598" s="12"/>
      <c r="X598" s="12"/>
      <c r="Y598" s="11">
        <v>33220.0</v>
      </c>
      <c r="Z598" s="11">
        <v>-1410.0</v>
      </c>
      <c r="AA598" s="11">
        <v>2170.0</v>
      </c>
      <c r="AB598" s="11">
        <v>-4100.0</v>
      </c>
      <c r="AC598" s="11">
        <v>-700.0</v>
      </c>
      <c r="AD598" s="11">
        <v>-34770.0</v>
      </c>
      <c r="AE598" s="11">
        <v>128050.0</v>
      </c>
      <c r="AF598" s="11">
        <v>134750.0</v>
      </c>
      <c r="AG598" s="11">
        <v>92470.0</v>
      </c>
      <c r="AH598" s="11">
        <v>77650.0</v>
      </c>
      <c r="AI598" s="11">
        <v>275240.0</v>
      </c>
      <c r="AJ598" s="11">
        <v>282240.0</v>
      </c>
      <c r="AK598" s="11">
        <v>279820.0</v>
      </c>
      <c r="AL598" s="11">
        <v>210450.0</v>
      </c>
      <c r="AM598" s="11">
        <v>161950.0</v>
      </c>
      <c r="AN598" s="11">
        <v>-37420.0</v>
      </c>
      <c r="AO598" s="11">
        <v>102600.0</v>
      </c>
      <c r="AP598" s="11">
        <v>94120.0</v>
      </c>
      <c r="AQ598" s="11">
        <v>77270.0</v>
      </c>
      <c r="AR598" s="11">
        <v>65040.0</v>
      </c>
      <c r="AS598" s="11">
        <v>241010.0</v>
      </c>
      <c r="AT598" s="11">
        <v>199000.0</v>
      </c>
      <c r="AU598" s="11">
        <v>243840.0</v>
      </c>
      <c r="AV598" s="11">
        <v>191250.0</v>
      </c>
      <c r="AW598" s="11">
        <v>125970.0</v>
      </c>
      <c r="AX598" s="11">
        <v>-13940.0</v>
      </c>
      <c r="AY598" s="11">
        <v>-24180.0</v>
      </c>
      <c r="AZ598" s="11">
        <v>-5130.0</v>
      </c>
      <c r="BA598" s="11">
        <v>-337650.0</v>
      </c>
      <c r="BB598" s="11">
        <v>-7320.0</v>
      </c>
      <c r="BC598" s="11">
        <v>-137950.0</v>
      </c>
      <c r="BD598" s="11">
        <v>-118090.0</v>
      </c>
      <c r="BE598" s="11">
        <v>-90280.0</v>
      </c>
      <c r="BF598" s="11">
        <v>-65580.0</v>
      </c>
      <c r="BG598" s="11">
        <v>-51190.0</v>
      </c>
      <c r="BH598" s="11">
        <v>96880.0</v>
      </c>
      <c r="BI598" s="11">
        <v>143370.0</v>
      </c>
      <c r="BJ598" s="11">
        <v>149460.0</v>
      </c>
      <c r="BK598" s="11">
        <v>62510.0</v>
      </c>
      <c r="BL598" s="11">
        <v>62680.0</v>
      </c>
      <c r="BM598" s="11">
        <v>7150.0</v>
      </c>
      <c r="BN598" s="11">
        <v>28350.0</v>
      </c>
      <c r="BO598" s="11">
        <v>3770.0</v>
      </c>
      <c r="BP598" s="11">
        <v>4200.0</v>
      </c>
      <c r="BQ598" s="11">
        <v>6400.0</v>
      </c>
      <c r="BR598" s="11">
        <v>3350.0</v>
      </c>
      <c r="BS598" s="11">
        <v>3380.0</v>
      </c>
      <c r="BT598" s="11">
        <v>3080.0</v>
      </c>
      <c r="BU598" s="11">
        <v>2810.0</v>
      </c>
      <c r="BV598" s="11">
        <v>1830.0</v>
      </c>
      <c r="BW598" s="11">
        <v>109350.0</v>
      </c>
      <c r="BX598" s="11">
        <v>180960.0</v>
      </c>
      <c r="BY598" s="11">
        <v>158560.0</v>
      </c>
      <c r="BZ598" s="11">
        <v>71070.0</v>
      </c>
      <c r="CA598" s="11">
        <v>73220.0</v>
      </c>
      <c r="CB598" s="11">
        <v>2290000.0</v>
      </c>
      <c r="CC598" s="11">
        <v>2510000.0</v>
      </c>
      <c r="CD598" s="11">
        <v>2360000.0</v>
      </c>
      <c r="CE598" s="11">
        <v>2010000.0</v>
      </c>
      <c r="CF598" s="11">
        <v>1460000.0</v>
      </c>
      <c r="CG598" s="11"/>
      <c r="CH598" s="11"/>
      <c r="CI598" s="11"/>
      <c r="CJ598" s="11"/>
      <c r="CK598" s="11"/>
      <c r="CL598" s="11">
        <v>2400000.0</v>
      </c>
      <c r="CM598" s="11">
        <v>2700000.0</v>
      </c>
      <c r="CN598" s="11">
        <v>2530000.0</v>
      </c>
      <c r="CO598" s="11">
        <v>2090000.0</v>
      </c>
      <c r="CP598" s="11">
        <v>1540000.0</v>
      </c>
      <c r="CQ598" s="11">
        <v>16630.0</v>
      </c>
      <c r="CR598" s="11">
        <v>7630.0</v>
      </c>
      <c r="CS598" s="11">
        <v>5130.0</v>
      </c>
      <c r="CT598" s="11">
        <v>2250.0</v>
      </c>
      <c r="CU598" s="11">
        <v>2740.0</v>
      </c>
      <c r="CV598" s="11">
        <v>186740.0</v>
      </c>
      <c r="CW598" s="11"/>
      <c r="CX598" s="12"/>
      <c r="CY598" s="12"/>
      <c r="CZ598" s="12"/>
      <c r="DA598" s="12"/>
      <c r="DB598" s="11">
        <v>186740.0</v>
      </c>
      <c r="DC598" s="11">
        <v>512560.0</v>
      </c>
      <c r="DD598" s="11">
        <v>183370.0</v>
      </c>
      <c r="DE598" s="11">
        <v>123720.0</v>
      </c>
      <c r="DF598" s="11">
        <v>1430000.0</v>
      </c>
      <c r="DG598" s="11">
        <v>1440000.0</v>
      </c>
      <c r="DH598" s="11">
        <v>1460000.0</v>
      </c>
      <c r="DI598" s="11">
        <v>1290000.0</v>
      </c>
      <c r="DJ598" s="11">
        <v>925720.0</v>
      </c>
      <c r="DK598" s="12"/>
      <c r="DL598" s="11">
        <v>5120.0</v>
      </c>
      <c r="DM598" s="11">
        <v>6040.0</v>
      </c>
      <c r="DN598" s="11">
        <v>6010.0</v>
      </c>
      <c r="DO598" s="11">
        <v>155.0</v>
      </c>
      <c r="DP598" s="11">
        <v>1240000.0</v>
      </c>
      <c r="DQ598" s="11">
        <v>925410.0</v>
      </c>
      <c r="DR598" s="11">
        <v>1280000.0</v>
      </c>
      <c r="DS598" s="11">
        <v>1170000.0</v>
      </c>
      <c r="DT598" s="11">
        <v>533550.0</v>
      </c>
      <c r="DU598" s="13"/>
      <c r="DV598" s="12"/>
      <c r="DW598" s="12"/>
      <c r="DX598" s="12"/>
      <c r="DY598" s="12"/>
      <c r="DZ598" s="11">
        <v>965970.0</v>
      </c>
      <c r="EA598" s="11">
        <v>1250000.0</v>
      </c>
      <c r="EB598" s="11">
        <v>1070000.0</v>
      </c>
      <c r="EC598" s="11">
        <v>798040.0</v>
      </c>
      <c r="ED598" s="11">
        <v>612490.0</v>
      </c>
      <c r="EE598" s="14">
        <v>0.098</v>
      </c>
      <c r="EF598" s="14">
        <v>0.113</v>
      </c>
      <c r="EG598" s="14">
        <v>0.357</v>
      </c>
      <c r="EH598" s="14">
        <v>0.118</v>
      </c>
    </row>
    <row r="599">
      <c r="A599" s="9">
        <f t="shared" si="2"/>
        <v>597</v>
      </c>
      <c r="B599" s="22" t="s">
        <v>734</v>
      </c>
      <c r="C599" s="11">
        <v>734850.0</v>
      </c>
      <c r="D599" s="11">
        <v>664920.0</v>
      </c>
      <c r="E599" s="11">
        <v>844990.0</v>
      </c>
      <c r="F599" s="11">
        <v>288840.0</v>
      </c>
      <c r="G599" s="11">
        <v>127090.0</v>
      </c>
      <c r="H599" s="11">
        <v>129520.0</v>
      </c>
      <c r="I599" s="11">
        <v>39560.0</v>
      </c>
      <c r="J599" s="12"/>
      <c r="K599" s="12"/>
      <c r="L599" s="12"/>
      <c r="M599" s="12"/>
      <c r="N599" s="12"/>
      <c r="O599" s="11">
        <v>513150.0</v>
      </c>
      <c r="P599" s="11">
        <v>357570.0</v>
      </c>
      <c r="Q599" s="11">
        <v>241440.0</v>
      </c>
      <c r="R599" s="11">
        <v>158920.0</v>
      </c>
      <c r="S599" s="11">
        <v>146620.0</v>
      </c>
      <c r="T599" s="11">
        <v>416450.0</v>
      </c>
      <c r="U599" s="11">
        <v>322880.0</v>
      </c>
      <c r="V599" s="11">
        <v>218500.0</v>
      </c>
      <c r="W599" s="11">
        <v>139570.0</v>
      </c>
      <c r="X599" s="11">
        <v>129710.0</v>
      </c>
      <c r="Y599" s="11">
        <v>140010.0</v>
      </c>
      <c r="Z599" s="11">
        <v>-72610.0</v>
      </c>
      <c r="AA599" s="12"/>
      <c r="AB599" s="11">
        <v>23900.0</v>
      </c>
      <c r="AC599" s="11">
        <v>-141090.0</v>
      </c>
      <c r="AD599" s="11">
        <v>140160.0</v>
      </c>
      <c r="AE599" s="11">
        <v>-35510.0</v>
      </c>
      <c r="AF599" s="11">
        <v>-115510.0</v>
      </c>
      <c r="AG599" s="11">
        <v>54250.0</v>
      </c>
      <c r="AH599" s="11">
        <v>-119630.0</v>
      </c>
      <c r="AI599" s="11">
        <v>331840.0</v>
      </c>
      <c r="AJ599" s="11">
        <v>-68740.0</v>
      </c>
      <c r="AK599" s="11">
        <v>-114350.0</v>
      </c>
      <c r="AL599" s="11">
        <v>-29400.0</v>
      </c>
      <c r="AM599" s="11">
        <v>-107060.0</v>
      </c>
      <c r="AN599" s="11">
        <v>149850.0</v>
      </c>
      <c r="AO599" s="11">
        <v>-29260.0</v>
      </c>
      <c r="AP599" s="11">
        <v>-115700.0</v>
      </c>
      <c r="AQ599" s="11">
        <v>54010.0</v>
      </c>
      <c r="AR599" s="11">
        <v>-118410.0</v>
      </c>
      <c r="AS599" s="11">
        <v>3210000.0</v>
      </c>
      <c r="AT599" s="11">
        <v>-142470.0</v>
      </c>
      <c r="AU599" s="11">
        <v>-147030.0</v>
      </c>
      <c r="AV599" s="11">
        <v>239400.0</v>
      </c>
      <c r="AW599" s="11">
        <v>-114590.0</v>
      </c>
      <c r="AX599" s="11">
        <v>-45690.0</v>
      </c>
      <c r="AY599" s="11">
        <v>-13720.0</v>
      </c>
      <c r="AZ599" s="11">
        <v>-7440.0</v>
      </c>
      <c r="BA599" s="11">
        <v>-4790.0</v>
      </c>
      <c r="BB599" s="11">
        <v>-6670.0</v>
      </c>
      <c r="BC599" s="12"/>
      <c r="BD599" s="12"/>
      <c r="BE599" s="12"/>
      <c r="BF599" s="12"/>
      <c r="BG599" s="12"/>
      <c r="BH599" s="11">
        <v>5780000.0</v>
      </c>
      <c r="BI599" s="11">
        <v>1290000.0</v>
      </c>
      <c r="BJ599" s="11">
        <v>1150000.0</v>
      </c>
      <c r="BK599" s="11">
        <v>979810.0</v>
      </c>
      <c r="BL599" s="11">
        <v>355540.0</v>
      </c>
      <c r="BM599" s="11">
        <v>80110.0</v>
      </c>
      <c r="BN599" s="11">
        <v>33530.0</v>
      </c>
      <c r="BO599" s="11">
        <v>41790.0</v>
      </c>
      <c r="BP599" s="11">
        <v>23480.0</v>
      </c>
      <c r="BQ599" s="11">
        <v>16060.0</v>
      </c>
      <c r="BR599" s="11">
        <v>255.0</v>
      </c>
      <c r="BS599" s="11">
        <v>276.0</v>
      </c>
      <c r="BT599" s="11">
        <v>279.0</v>
      </c>
      <c r="BU599" s="11">
        <v>300.0</v>
      </c>
      <c r="BV599" s="11">
        <v>325.0</v>
      </c>
      <c r="BW599" s="11">
        <v>5860000.0</v>
      </c>
      <c r="BX599" s="11">
        <v>1320000.0</v>
      </c>
      <c r="BY599" s="11">
        <v>1190000.0</v>
      </c>
      <c r="BZ599" s="11">
        <v>1000000.0</v>
      </c>
      <c r="CA599" s="11">
        <v>371930.0</v>
      </c>
      <c r="CB599" s="11">
        <v>66050.0</v>
      </c>
      <c r="CC599" s="11">
        <v>23140.0</v>
      </c>
      <c r="CD599" s="11">
        <v>16690.0</v>
      </c>
      <c r="CE599" s="11">
        <v>14960.0</v>
      </c>
      <c r="CF599" s="11">
        <v>13780.0</v>
      </c>
      <c r="CG599" s="12"/>
      <c r="CH599" s="12"/>
      <c r="CI599" s="12"/>
      <c r="CJ599" s="12"/>
      <c r="CK599" s="12"/>
      <c r="CL599" s="11">
        <v>6070000.0</v>
      </c>
      <c r="CM599" s="11">
        <v>1440000.0</v>
      </c>
      <c r="CN599" s="11">
        <v>1290000.0</v>
      </c>
      <c r="CO599" s="11">
        <v>1080000.0</v>
      </c>
      <c r="CP599" s="11">
        <v>442510.0</v>
      </c>
      <c r="CQ599" s="11">
        <v>142510.0</v>
      </c>
      <c r="CR599" s="11">
        <v>68040.0</v>
      </c>
      <c r="CS599" s="11">
        <v>47120.0</v>
      </c>
      <c r="CT599" s="11">
        <v>31210.0</v>
      </c>
      <c r="CU599" s="11">
        <v>29110.0</v>
      </c>
      <c r="CV599" s="11">
        <v>571790.0</v>
      </c>
      <c r="CW599" s="12"/>
      <c r="CX599" s="12"/>
      <c r="CY599" s="24">
        <v>9.0</v>
      </c>
      <c r="CZ599" s="12"/>
      <c r="DA599" s="12"/>
      <c r="DB599" s="11">
        <v>571790.0</v>
      </c>
      <c r="DC599" s="11">
        <v>219910.0</v>
      </c>
      <c r="DD599" s="11">
        <v>171700.0</v>
      </c>
      <c r="DE599" s="11">
        <v>103790.0</v>
      </c>
      <c r="DF599" s="11">
        <v>3190000.0</v>
      </c>
      <c r="DG599" s="11">
        <v>225250.0</v>
      </c>
      <c r="DH599" s="11">
        <v>274290.0</v>
      </c>
      <c r="DI599" s="11">
        <v>324640.0</v>
      </c>
      <c r="DJ599" s="11">
        <v>77520.0</v>
      </c>
      <c r="DK599" s="11">
        <v>12690.0</v>
      </c>
      <c r="DL599" s="11">
        <v>7280.0</v>
      </c>
      <c r="DM599" s="11">
        <v>2910.0</v>
      </c>
      <c r="DN599" s="11">
        <v>3450.0</v>
      </c>
      <c r="DO599" s="11">
        <v>1050.0</v>
      </c>
      <c r="DP599" s="11">
        <v>19560.0</v>
      </c>
      <c r="DQ599" s="12"/>
      <c r="DR599" s="12"/>
      <c r="DS599" s="11">
        <v>9.0</v>
      </c>
      <c r="DT599" s="11">
        <v>63.0</v>
      </c>
      <c r="DU599" s="13"/>
      <c r="DV599" s="12"/>
      <c r="DW599" s="12"/>
      <c r="DX599" s="13"/>
      <c r="DY599" s="13"/>
      <c r="DZ599" s="11">
        <v>2880000.0</v>
      </c>
      <c r="EA599" s="11">
        <v>1210000.0</v>
      </c>
      <c r="EB599" s="11">
        <v>1010000.0</v>
      </c>
      <c r="EC599" s="11">
        <v>758700.0</v>
      </c>
      <c r="ED599" s="11">
        <v>365000.0</v>
      </c>
      <c r="EE599" s="14">
        <v>0.652</v>
      </c>
      <c r="EF599" s="14">
        <v>1.119</v>
      </c>
      <c r="EG599" s="14">
        <v>-0.918</v>
      </c>
      <c r="EH599" s="14">
        <v>-4.402</v>
      </c>
    </row>
    <row r="600">
      <c r="A600" s="9">
        <f t="shared" si="2"/>
        <v>598</v>
      </c>
      <c r="B600" s="25" t="s">
        <v>735</v>
      </c>
      <c r="C600" s="12">
        <v>566620.0</v>
      </c>
      <c r="D600" s="12">
        <v>527460.0</v>
      </c>
      <c r="E600" s="12">
        <v>411380.0</v>
      </c>
      <c r="F600" s="12">
        <v>366560.0</v>
      </c>
      <c r="G600" s="12">
        <v>286830.0</v>
      </c>
      <c r="H600" s="12">
        <v>200580.0</v>
      </c>
      <c r="I600" s="12">
        <v>249900.0</v>
      </c>
      <c r="J600" s="12">
        <v>266340.0</v>
      </c>
      <c r="K600" s="12">
        <v>231700.0</v>
      </c>
      <c r="L600" s="12">
        <v>173000.0</v>
      </c>
      <c r="M600" s="12">
        <v>110550.0</v>
      </c>
      <c r="N600" s="12">
        <v>144550.0</v>
      </c>
      <c r="O600" s="12">
        <v>258640.0</v>
      </c>
      <c r="P600" s="12">
        <v>240460.0</v>
      </c>
      <c r="Q600" s="12">
        <v>231200.0</v>
      </c>
      <c r="R600" s="12">
        <v>160150.0</v>
      </c>
      <c r="S600" s="12">
        <v>147190.0</v>
      </c>
      <c r="T600" s="12">
        <v>95130.0</v>
      </c>
      <c r="U600" s="12">
        <v>94930.0</v>
      </c>
      <c r="V600" s="12">
        <v>92420.0</v>
      </c>
      <c r="W600" s="12">
        <v>81880.0</v>
      </c>
      <c r="X600" s="12">
        <v>72860.0</v>
      </c>
      <c r="Y600" s="12">
        <v>7240.0</v>
      </c>
      <c r="Z600" s="12">
        <v>-12420.0</v>
      </c>
      <c r="AA600" s="12">
        <v>-91550.0</v>
      </c>
      <c r="AB600" s="12">
        <v>-86290.0</v>
      </c>
      <c r="AC600" s="12">
        <v>-6300.0</v>
      </c>
      <c r="AD600" s="12">
        <v>9340.0</v>
      </c>
      <c r="AE600" s="12">
        <v>-12650.0</v>
      </c>
      <c r="AF600" s="12">
        <v>-98400.0</v>
      </c>
      <c r="AG600" s="12">
        <v>-87740.0</v>
      </c>
      <c r="AH600" s="12">
        <v>-7040.0</v>
      </c>
      <c r="AI600" s="12">
        <v>19660.0</v>
      </c>
      <c r="AJ600" s="12">
        <v>6910.0</v>
      </c>
      <c r="AK600" s="12">
        <v>-44680.0</v>
      </c>
      <c r="AL600" s="12">
        <v>-31870.0</v>
      </c>
      <c r="AM600" s="12">
        <v>9890.0</v>
      </c>
      <c r="AN600" s="12">
        <v>8870.0</v>
      </c>
      <c r="AO600" s="12">
        <v>-13200.0</v>
      </c>
      <c r="AP600" s="12">
        <v>-97570.0</v>
      </c>
      <c r="AQ600" s="12">
        <v>-87440.0</v>
      </c>
      <c r="AR600" s="12">
        <v>-7190.0</v>
      </c>
      <c r="AS600" s="12">
        <v>38200.0</v>
      </c>
      <c r="AT600" s="12">
        <v>32290.0</v>
      </c>
      <c r="AU600" s="12">
        <v>-28240.0</v>
      </c>
      <c r="AV600" s="12">
        <v>-19780.0</v>
      </c>
      <c r="AW600" s="12">
        <v>-11470.0</v>
      </c>
      <c r="AX600" s="12">
        <v>-5280.0</v>
      </c>
      <c r="AY600" s="12">
        <v>-3360.0</v>
      </c>
      <c r="AZ600" s="12">
        <v>-11340.0</v>
      </c>
      <c r="BA600" s="12">
        <v>-5570.0</v>
      </c>
      <c r="BB600" s="12">
        <v>-5250.0</v>
      </c>
      <c r="BC600" s="12">
        <v>0.0</v>
      </c>
      <c r="BD600" s="12">
        <v>0.0</v>
      </c>
      <c r="BE600" s="12">
        <v>0.0</v>
      </c>
      <c r="BF600" s="12">
        <v>0.0</v>
      </c>
      <c r="BG600" s="12">
        <v>0.0</v>
      </c>
      <c r="BH600" s="12">
        <v>127050.0</v>
      </c>
      <c r="BI600" s="12">
        <v>97940.0</v>
      </c>
      <c r="BJ600" s="12">
        <v>64370.0</v>
      </c>
      <c r="BK600" s="12">
        <v>102100.0</v>
      </c>
      <c r="BL600" s="12">
        <v>180540.0</v>
      </c>
      <c r="BM600" s="12">
        <v>29300.0</v>
      </c>
      <c r="BN600" s="12">
        <v>27330.0</v>
      </c>
      <c r="BO600" s="12">
        <v>34670.0</v>
      </c>
      <c r="BP600" s="12">
        <v>21540.0</v>
      </c>
      <c r="BQ600" s="12">
        <v>18720.0</v>
      </c>
      <c r="BR600" s="12">
        <v>0.0</v>
      </c>
      <c r="BS600" s="12">
        <v>0.0</v>
      </c>
      <c r="BT600" s="12">
        <v>0.0</v>
      </c>
      <c r="BU600" s="12">
        <v>0.0</v>
      </c>
      <c r="BV600" s="12">
        <v>0.0</v>
      </c>
      <c r="BW600" s="12">
        <v>180330.0</v>
      </c>
      <c r="BX600" s="12">
        <v>140730.0</v>
      </c>
      <c r="BY600" s="12">
        <v>112770.0</v>
      </c>
      <c r="BZ600" s="12">
        <v>140180.0</v>
      </c>
      <c r="CA600" s="12">
        <v>226710.0</v>
      </c>
      <c r="CB600" s="12">
        <v>52810.0</v>
      </c>
      <c r="CC600" s="12">
        <v>13890.0</v>
      </c>
      <c r="CD600" s="12">
        <v>14630.0</v>
      </c>
      <c r="CE600" s="12">
        <v>5640.0</v>
      </c>
      <c r="CF600" s="12">
        <v>5450.0</v>
      </c>
      <c r="CG600" s="12">
        <v>116230.0</v>
      </c>
      <c r="CH600" s="12">
        <v>116230.0</v>
      </c>
      <c r="CI600" s="12">
        <v>116230.0</v>
      </c>
      <c r="CJ600" s="12">
        <v>116830.0</v>
      </c>
      <c r="CK600" s="12">
        <v>87890.0</v>
      </c>
      <c r="CL600" s="12">
        <v>418050.0</v>
      </c>
      <c r="CM600" s="12">
        <v>314430.0</v>
      </c>
      <c r="CN600" s="12">
        <v>299300.0</v>
      </c>
      <c r="CO600" s="12">
        <v>339500.0</v>
      </c>
      <c r="CP600" s="12">
        <v>402990.0</v>
      </c>
      <c r="CQ600" s="12">
        <v>16890.0</v>
      </c>
      <c r="CR600" s="12">
        <v>10480.0</v>
      </c>
      <c r="CS600" s="12">
        <v>21200.0</v>
      </c>
      <c r="CT600" s="12">
        <v>16300.0</v>
      </c>
      <c r="CU600" s="12">
        <v>9390.0</v>
      </c>
      <c r="CV600" s="12">
        <v>150750.0</v>
      </c>
      <c r="CW600" s="12">
        <v>3530.0</v>
      </c>
      <c r="CX600" s="13">
        <v>0.0</v>
      </c>
      <c r="CY600" s="13">
        <v>0.0</v>
      </c>
      <c r="CZ600" s="12">
        <v>0.0</v>
      </c>
      <c r="DA600" s="12">
        <v>0.0</v>
      </c>
      <c r="DB600" s="12">
        <v>150750.0</v>
      </c>
      <c r="DC600" s="12">
        <v>129930.0</v>
      </c>
      <c r="DD600" s="12">
        <v>132900.0</v>
      </c>
      <c r="DE600" s="12">
        <v>84340.0</v>
      </c>
      <c r="DF600" s="12">
        <v>214960.0</v>
      </c>
      <c r="DG600" s="12">
        <v>137120.0</v>
      </c>
      <c r="DH600" s="12">
        <v>145440.0</v>
      </c>
      <c r="DI600" s="12">
        <v>106690.0</v>
      </c>
      <c r="DJ600" s="12">
        <v>96560.0</v>
      </c>
      <c r="DK600" s="12">
        <v>0.0</v>
      </c>
      <c r="DL600" s="12">
        <v>0.0</v>
      </c>
      <c r="DM600" s="12">
        <v>0.0</v>
      </c>
      <c r="DN600" s="12">
        <v>3310.0</v>
      </c>
      <c r="DO600" s="12">
        <v>1500.0</v>
      </c>
      <c r="DP600" s="12">
        <v>37350.0</v>
      </c>
      <c r="DQ600" s="12">
        <v>0.0</v>
      </c>
      <c r="DR600" s="12">
        <v>0.0</v>
      </c>
      <c r="DS600" s="12">
        <v>0.0</v>
      </c>
      <c r="DT600" s="12">
        <v>0.0</v>
      </c>
      <c r="DU600" s="12">
        <v>0.0</v>
      </c>
      <c r="DV600" s="12">
        <v>0.0</v>
      </c>
      <c r="DW600" s="12">
        <v>0.0</v>
      </c>
      <c r="DX600" s="12">
        <v>0.0</v>
      </c>
      <c r="DY600" s="12">
        <v>0.0</v>
      </c>
      <c r="DZ600" s="12">
        <v>203090.0</v>
      </c>
      <c r="EA600" s="12">
        <v>177310.0</v>
      </c>
      <c r="EB600" s="12">
        <v>153860.0</v>
      </c>
      <c r="EC600" s="12">
        <v>232810.0</v>
      </c>
      <c r="ED600" s="12">
        <v>306430.0</v>
      </c>
      <c r="EE600" s="17">
        <v>0.153</v>
      </c>
      <c r="EF600" s="17">
        <v>0.173</v>
      </c>
      <c r="EG600" s="23" t="s">
        <v>155</v>
      </c>
      <c r="EH600" s="17">
        <v>0.553</v>
      </c>
    </row>
    <row r="601">
      <c r="A601" s="9">
        <f t="shared" si="2"/>
        <v>599</v>
      </c>
      <c r="B601" s="22" t="s">
        <v>736</v>
      </c>
      <c r="C601" s="12"/>
      <c r="D601" s="11">
        <v>9000.0</v>
      </c>
      <c r="E601" s="12"/>
      <c r="F601" s="12"/>
      <c r="G601" s="12"/>
      <c r="H601" s="11">
        <v>19.0</v>
      </c>
      <c r="I601" s="11">
        <v>20070.0</v>
      </c>
      <c r="J601" s="11">
        <v>-899.0</v>
      </c>
      <c r="K601" s="11">
        <v>-275.0</v>
      </c>
      <c r="L601" s="11">
        <v>-264.0</v>
      </c>
      <c r="M601" s="12"/>
      <c r="N601" s="12"/>
      <c r="O601" s="11">
        <v>60490.0</v>
      </c>
      <c r="P601" s="11">
        <v>51230.0</v>
      </c>
      <c r="Q601" s="11">
        <v>33670.0</v>
      </c>
      <c r="R601" s="11">
        <v>31740.0</v>
      </c>
      <c r="S601" s="11">
        <v>32660.0</v>
      </c>
      <c r="T601" s="11">
        <v>47030.0</v>
      </c>
      <c r="U601" s="11">
        <v>40090.0</v>
      </c>
      <c r="V601" s="11">
        <v>24100.0</v>
      </c>
      <c r="W601" s="11">
        <v>23280.0</v>
      </c>
      <c r="X601" s="11">
        <v>25050.0</v>
      </c>
      <c r="Y601" s="12"/>
      <c r="Z601" s="12"/>
      <c r="AA601" s="12"/>
      <c r="AB601" s="12"/>
      <c r="AC601" s="12"/>
      <c r="AD601" s="11">
        <v>-57890.0</v>
      </c>
      <c r="AE601" s="11">
        <v>-48270.0</v>
      </c>
      <c r="AF601" s="11">
        <v>-33280.0</v>
      </c>
      <c r="AG601" s="11">
        <v>-31810.0</v>
      </c>
      <c r="AH601" s="11">
        <v>-12770.0</v>
      </c>
      <c r="AI601" s="11">
        <v>-60490.0</v>
      </c>
      <c r="AJ601" s="11">
        <v>-51230.0</v>
      </c>
      <c r="AK601" s="11">
        <v>-33670.0</v>
      </c>
      <c r="AL601" s="11">
        <v>-31720.0</v>
      </c>
      <c r="AM601" s="11">
        <v>-12590.0</v>
      </c>
      <c r="AN601" s="11">
        <v>-57890.0</v>
      </c>
      <c r="AO601" s="11">
        <v>-48270.0</v>
      </c>
      <c r="AP601" s="11">
        <v>-33280.0</v>
      </c>
      <c r="AQ601" s="11">
        <v>-31810.0</v>
      </c>
      <c r="AR601" s="11">
        <v>-12770.0</v>
      </c>
      <c r="AS601" s="11">
        <v>-51980.0</v>
      </c>
      <c r="AT601" s="11">
        <v>-43330.0</v>
      </c>
      <c r="AU601" s="11">
        <v>-29770.0</v>
      </c>
      <c r="AV601" s="11">
        <v>-29730.0</v>
      </c>
      <c r="AW601" s="11">
        <v>-8240.0</v>
      </c>
      <c r="AX601" s="11">
        <v>-145.0</v>
      </c>
      <c r="AY601" s="11">
        <v>-126.0</v>
      </c>
      <c r="AZ601" s="11">
        <v>-294.0</v>
      </c>
      <c r="BA601" s="11">
        <v>-704.0</v>
      </c>
      <c r="BB601" s="11">
        <v>-269.0</v>
      </c>
      <c r="BC601" s="12"/>
      <c r="BD601" s="12"/>
      <c r="BE601" s="12"/>
      <c r="BF601" s="12"/>
      <c r="BG601" s="12"/>
      <c r="BH601" s="11">
        <v>158200.0</v>
      </c>
      <c r="BI601" s="11">
        <v>209920.0</v>
      </c>
      <c r="BJ601" s="11">
        <v>123920.0</v>
      </c>
      <c r="BK601" s="11">
        <v>40040.0</v>
      </c>
      <c r="BL601" s="11">
        <v>46800.0</v>
      </c>
      <c r="BM601" s="11">
        <v>186.0</v>
      </c>
      <c r="BN601" s="11">
        <v>413.0</v>
      </c>
      <c r="BO601" s="11">
        <v>102.0</v>
      </c>
      <c r="BP601" s="11">
        <v>269.0</v>
      </c>
      <c r="BQ601" s="11">
        <v>39.0</v>
      </c>
      <c r="BR601" s="12"/>
      <c r="BS601" s="12"/>
      <c r="BT601" s="12"/>
      <c r="BU601" s="12"/>
      <c r="BV601" s="12"/>
      <c r="BW601" s="11">
        <v>162530.0</v>
      </c>
      <c r="BX601" s="11">
        <v>212270.0</v>
      </c>
      <c r="BY601" s="11">
        <v>127220.0</v>
      </c>
      <c r="BZ601" s="11">
        <v>40520.0</v>
      </c>
      <c r="CA601" s="11">
        <v>47240.0</v>
      </c>
      <c r="CB601" s="11">
        <v>3830.0</v>
      </c>
      <c r="CC601" s="11">
        <v>957.0</v>
      </c>
      <c r="CD601" s="11">
        <v>1110.0</v>
      </c>
      <c r="CE601" s="11">
        <v>1060.0</v>
      </c>
      <c r="CF601" s="11">
        <v>521.0</v>
      </c>
      <c r="CG601" s="12"/>
      <c r="CH601" s="12"/>
      <c r="CI601" s="12"/>
      <c r="CJ601" s="12"/>
      <c r="CK601" s="12"/>
      <c r="CL601" s="11">
        <v>167970.0</v>
      </c>
      <c r="CM601" s="11">
        <v>214840.0</v>
      </c>
      <c r="CN601" s="11">
        <v>128580.0</v>
      </c>
      <c r="CO601" s="11">
        <v>42390.0</v>
      </c>
      <c r="CP601" s="11">
        <v>48460.0</v>
      </c>
      <c r="CQ601" s="11">
        <v>1440.0</v>
      </c>
      <c r="CR601" s="11">
        <v>2660.0</v>
      </c>
      <c r="CS601" s="11">
        <v>2650.0</v>
      </c>
      <c r="CT601" s="12"/>
      <c r="CU601" s="11">
        <v>564.0</v>
      </c>
      <c r="CV601" s="11">
        <v>10950.0</v>
      </c>
      <c r="CW601" s="11">
        <v>804.0</v>
      </c>
      <c r="CX601" s="12"/>
      <c r="CY601" s="12"/>
      <c r="CZ601" s="12"/>
      <c r="DA601" s="12"/>
      <c r="DB601" s="11">
        <v>10950.0</v>
      </c>
      <c r="DC601" s="11">
        <v>8760.0</v>
      </c>
      <c r="DD601" s="11">
        <v>8170.0</v>
      </c>
      <c r="DE601" s="11">
        <v>6330.0</v>
      </c>
      <c r="DF601" s="11">
        <v>13770.0</v>
      </c>
      <c r="DG601" s="11">
        <v>9370.0</v>
      </c>
      <c r="DH601" s="11">
        <v>8880.0</v>
      </c>
      <c r="DI601" s="11">
        <v>7090.0</v>
      </c>
      <c r="DJ601" s="11">
        <v>7990.0</v>
      </c>
      <c r="DK601" s="12"/>
      <c r="DL601" s="12"/>
      <c r="DM601" s="12"/>
      <c r="DN601" s="12"/>
      <c r="DO601" s="12"/>
      <c r="DP601" s="11">
        <v>2820.0</v>
      </c>
      <c r="DQ601" s="12"/>
      <c r="DR601" s="12"/>
      <c r="DS601" s="12"/>
      <c r="DT601" s="12"/>
      <c r="DU601" s="13"/>
      <c r="DV601" s="12"/>
      <c r="DW601" s="12"/>
      <c r="DX601" s="13"/>
      <c r="DY601" s="13"/>
      <c r="DZ601" s="11">
        <v>154200.0</v>
      </c>
      <c r="EA601" s="11">
        <v>205460.0</v>
      </c>
      <c r="EB601" s="11">
        <v>119700.0</v>
      </c>
      <c r="EC601" s="11">
        <v>35300.0</v>
      </c>
      <c r="ED601" s="11">
        <v>40470.0</v>
      </c>
      <c r="EE601" s="14">
        <v>0.0</v>
      </c>
      <c r="EF601" s="23"/>
      <c r="EG601" s="14">
        <v>0.158</v>
      </c>
      <c r="EH601" s="14">
        <v>0.198</v>
      </c>
    </row>
    <row r="602">
      <c r="A602" s="9">
        <f t="shared" si="2"/>
        <v>600</v>
      </c>
      <c r="B602" s="25" t="s">
        <v>737</v>
      </c>
      <c r="C602" s="15">
        <v>1.3175E8</v>
      </c>
      <c r="D602" s="15">
        <v>1.1851E8</v>
      </c>
      <c r="E602" s="15">
        <v>1.3724E8</v>
      </c>
      <c r="F602" s="15">
        <v>1.4705E8</v>
      </c>
      <c r="G602" s="15">
        <v>1.4559E8</v>
      </c>
      <c r="H602" s="15">
        <v>1.4918E8</v>
      </c>
      <c r="I602" s="15">
        <v>1.5236E8</v>
      </c>
      <c r="J602" s="15">
        <v>1.442E7</v>
      </c>
      <c r="K602" s="15">
        <v>2.19E7</v>
      </c>
      <c r="L602" s="15">
        <v>2.553E7</v>
      </c>
      <c r="M602" s="15">
        <v>2.692E7</v>
      </c>
      <c r="N602" s="15">
        <v>2.602E7</v>
      </c>
      <c r="O602" s="15">
        <v>8500000.0</v>
      </c>
      <c r="P602" s="15">
        <v>1.701E7</v>
      </c>
      <c r="Q602" s="15">
        <v>1.668E7</v>
      </c>
      <c r="R602" s="15">
        <v>1.665E7</v>
      </c>
      <c r="S602" s="15">
        <v>1.912E7</v>
      </c>
      <c r="T602" s="15">
        <v>6800.0</v>
      </c>
      <c r="U602" s="15">
        <v>7800000.0</v>
      </c>
      <c r="V602" s="15">
        <v>7300000.0</v>
      </c>
      <c r="W602" s="15">
        <v>6600000.0</v>
      </c>
      <c r="X602" s="15">
        <v>7500000.0</v>
      </c>
      <c r="Y602" s="15">
        <v>5720000.0</v>
      </c>
      <c r="Z602" s="15">
        <v>4700000.0</v>
      </c>
      <c r="AA602" s="15">
        <v>-250000.0</v>
      </c>
      <c r="AB602" s="15">
        <v>-300000.0</v>
      </c>
      <c r="AC602" s="15">
        <v>-1550000.0</v>
      </c>
      <c r="AD602" s="15">
        <v>7440000.0</v>
      </c>
      <c r="AE602" s="15">
        <v>8550000.0</v>
      </c>
      <c r="AF602" s="15">
        <v>1.186E7</v>
      </c>
      <c r="AG602" s="15">
        <v>1.201E7</v>
      </c>
      <c r="AH602" s="15">
        <v>7720000.0</v>
      </c>
      <c r="AI602" s="15">
        <v>1.998E7</v>
      </c>
      <c r="AJ602" s="15">
        <v>1.803E7</v>
      </c>
      <c r="AK602" s="15">
        <v>2.082E7</v>
      </c>
      <c r="AL602" s="15">
        <v>1.995E7</v>
      </c>
      <c r="AM602" s="15">
        <v>1.407E7</v>
      </c>
      <c r="AN602" s="15">
        <v>6730000.0</v>
      </c>
      <c r="AO602" s="15">
        <v>8080000.0</v>
      </c>
      <c r="AP602" s="15">
        <v>348000.0</v>
      </c>
      <c r="AQ602" s="15">
        <v>9430000.0</v>
      </c>
      <c r="AR602" s="15">
        <v>9690000.0</v>
      </c>
      <c r="AS602" s="15">
        <v>1.502E7</v>
      </c>
      <c r="AT602" s="15">
        <v>1.526E7</v>
      </c>
      <c r="AU602" s="15">
        <v>1.733E7</v>
      </c>
      <c r="AV602" s="15">
        <v>1.661E7</v>
      </c>
      <c r="AW602" s="15">
        <v>1.169E7</v>
      </c>
      <c r="AX602" s="15">
        <v>-2.4E7</v>
      </c>
      <c r="AY602" s="15">
        <v>-2.55E7</v>
      </c>
      <c r="AZ602" s="15">
        <v>-2.763E7</v>
      </c>
      <c r="BA602" s="15">
        <v>-2.788E7</v>
      </c>
      <c r="BB602" s="15">
        <v>-2.303E7</v>
      </c>
      <c r="BC602" s="15">
        <v>-2350000.0</v>
      </c>
      <c r="BD602" s="15">
        <v>-2240000.0</v>
      </c>
      <c r="BE602" s="15">
        <v>-2220000.0</v>
      </c>
      <c r="BF602" s="15">
        <v>-2370000.0</v>
      </c>
      <c r="BG602" s="15">
        <v>-2240000.0</v>
      </c>
      <c r="BH602" s="15">
        <v>2.66E7</v>
      </c>
      <c r="BI602" s="15">
        <v>2.889E7</v>
      </c>
      <c r="BJ602" s="15">
        <v>2.557E7</v>
      </c>
      <c r="BK602" s="15">
        <v>2.58E7</v>
      </c>
      <c r="BL602" s="15">
        <v>2.493E7</v>
      </c>
      <c r="BM602" s="15">
        <v>3.34E7</v>
      </c>
      <c r="BN602" s="15">
        <v>3.34E7</v>
      </c>
      <c r="BO602" s="15">
        <v>2.869E7</v>
      </c>
      <c r="BP602" s="15">
        <v>2.483E7</v>
      </c>
      <c r="BQ602" s="15">
        <v>2.639E7</v>
      </c>
      <c r="BR602" s="15">
        <v>1.04E7</v>
      </c>
      <c r="BS602" s="15">
        <v>9820000.0</v>
      </c>
      <c r="BT602" s="15">
        <v>1.066E7</v>
      </c>
      <c r="BU602" s="15">
        <v>1.104E7</v>
      </c>
      <c r="BV602" s="15">
        <v>1.376E7</v>
      </c>
      <c r="BW602" s="15">
        <v>7.499E7</v>
      </c>
      <c r="BX602" s="15">
        <v>7.529E7</v>
      </c>
      <c r="BY602" s="15">
        <v>6.874E7</v>
      </c>
      <c r="BZ602" s="15">
        <v>7.62E7</v>
      </c>
      <c r="CA602" s="15">
        <v>6.941E7</v>
      </c>
      <c r="CB602" s="15">
        <v>8.191E7</v>
      </c>
      <c r="CC602" s="15">
        <v>8.232E7</v>
      </c>
      <c r="CD602" s="15">
        <v>7.914E7</v>
      </c>
      <c r="CE602" s="15">
        <v>6.695E7</v>
      </c>
      <c r="CF602" s="15">
        <v>5.14E7</v>
      </c>
      <c r="CG602" s="15">
        <v>1860000.0</v>
      </c>
      <c r="CH602" s="15">
        <v>1860000.0</v>
      </c>
      <c r="CI602" s="15">
        <v>1860000.0</v>
      </c>
      <c r="CJ602" s="15">
        <v>1860000.0</v>
      </c>
      <c r="CK602" s="15">
        <v>1370000.0</v>
      </c>
      <c r="CL602" s="15">
        <v>2.2804E8</v>
      </c>
      <c r="CM602" s="15">
        <v>2.2734E8</v>
      </c>
      <c r="CN602" s="15">
        <v>2.1248E8</v>
      </c>
      <c r="CO602" s="15">
        <v>2.2169E8</v>
      </c>
      <c r="CP602" s="15">
        <v>1.9434E8</v>
      </c>
      <c r="CQ602" s="15">
        <v>2.102E7</v>
      </c>
      <c r="CR602" s="15">
        <v>2.23E7</v>
      </c>
      <c r="CS602" s="15">
        <v>2.393E7</v>
      </c>
      <c r="CT602" s="15">
        <v>2.333E7</v>
      </c>
      <c r="CU602" s="15">
        <v>2.406E7</v>
      </c>
      <c r="CV602" s="15">
        <v>8.491E7</v>
      </c>
      <c r="CW602" s="15">
        <v>3.574E7</v>
      </c>
      <c r="CX602" s="15">
        <v>3.096E7</v>
      </c>
      <c r="CY602" s="15">
        <v>2.445E7</v>
      </c>
      <c r="CZ602" s="15">
        <v>2.274E7</v>
      </c>
      <c r="DA602" s="15">
        <v>1.875E7</v>
      </c>
      <c r="DB602" s="15">
        <v>8.491E7</v>
      </c>
      <c r="DC602" s="15">
        <v>8.224E7</v>
      </c>
      <c r="DD602" s="15">
        <v>7.689E7</v>
      </c>
      <c r="DE602" s="15">
        <v>8.518E7</v>
      </c>
      <c r="DF602" s="15">
        <v>1.8208E8</v>
      </c>
      <c r="DG602" s="15">
        <v>1.8456E8</v>
      </c>
      <c r="DH602" s="15">
        <v>1.7628E8</v>
      </c>
      <c r="DI602" s="15">
        <v>1.7762E8</v>
      </c>
      <c r="DJ602" s="15">
        <v>1.5402E8</v>
      </c>
      <c r="DK602" s="15">
        <v>9080000.0</v>
      </c>
      <c r="DL602" s="15">
        <v>9780000.0</v>
      </c>
      <c r="DM602" s="15">
        <v>9660000.0</v>
      </c>
      <c r="DN602" s="15">
        <v>9530000.0</v>
      </c>
      <c r="DO602" s="15">
        <v>9770000.0</v>
      </c>
      <c r="DP602" s="15">
        <v>6.693E7</v>
      </c>
      <c r="DQ602" s="15">
        <v>7.306E7</v>
      </c>
      <c r="DR602" s="15">
        <v>6.725E7</v>
      </c>
      <c r="DS602" s="15">
        <v>5.133E7</v>
      </c>
      <c r="DT602" s="15">
        <v>4.355E7</v>
      </c>
      <c r="DU602" s="13"/>
      <c r="DV602" s="12"/>
      <c r="DW602" s="12"/>
      <c r="DX602" s="13"/>
      <c r="DY602" s="13"/>
      <c r="DZ602" s="15">
        <v>4.179E7</v>
      </c>
      <c r="EA602" s="15">
        <v>3.886E7</v>
      </c>
      <c r="EB602" s="15">
        <v>3.5E7</v>
      </c>
      <c r="EC602" s="15">
        <v>4.384E7</v>
      </c>
      <c r="ED602" s="15">
        <v>3.987E7</v>
      </c>
      <c r="EE602" s="17">
        <v>0.088</v>
      </c>
      <c r="EF602" s="17">
        <v>0.23</v>
      </c>
      <c r="EG602" s="17">
        <v>0.718</v>
      </c>
      <c r="EH602" s="17">
        <v>1.525</v>
      </c>
    </row>
    <row r="603">
      <c r="A603" s="9">
        <f t="shared" si="2"/>
        <v>601</v>
      </c>
      <c r="B603" s="22" t="s">
        <v>738</v>
      </c>
      <c r="C603" s="11">
        <v>1330000.0</v>
      </c>
      <c r="D603" s="11">
        <v>1530000.0</v>
      </c>
      <c r="E603" s="11">
        <v>5370000.0</v>
      </c>
      <c r="F603" s="11">
        <v>3030000.0</v>
      </c>
      <c r="G603" s="11">
        <v>2370000.0</v>
      </c>
      <c r="H603" s="11">
        <v>1820000.0</v>
      </c>
      <c r="I603" s="11">
        <v>1130000.0</v>
      </c>
      <c r="J603" s="12"/>
      <c r="K603" s="12"/>
      <c r="L603" s="12"/>
      <c r="M603" s="12"/>
      <c r="N603" s="12"/>
      <c r="O603" s="11">
        <v>2590000.0</v>
      </c>
      <c r="P603" s="11">
        <v>1560000.0</v>
      </c>
      <c r="Q603" s="11">
        <v>951510.0</v>
      </c>
      <c r="R603" s="11">
        <v>722330.0</v>
      </c>
      <c r="S603" s="11">
        <v>547060.0</v>
      </c>
      <c r="T603" s="11">
        <v>2250000.0</v>
      </c>
      <c r="U603" s="11">
        <v>1350000.0</v>
      </c>
      <c r="V603" s="11">
        <v>804980.0</v>
      </c>
      <c r="W603" s="11">
        <v>620080.0</v>
      </c>
      <c r="X603" s="11">
        <v>456080.0</v>
      </c>
      <c r="Y603" s="12"/>
      <c r="Z603" s="12"/>
      <c r="AA603" s="11">
        <v>1340000.0</v>
      </c>
      <c r="AB603" s="11">
        <v>1040000.0</v>
      </c>
      <c r="AC603" s="11">
        <v>524750.0</v>
      </c>
      <c r="AD603" s="11">
        <v>2860000.0</v>
      </c>
      <c r="AE603" s="11">
        <v>1610000.0</v>
      </c>
      <c r="AF603" s="11">
        <v>1060000.0</v>
      </c>
      <c r="AG603" s="11">
        <v>1130000.0</v>
      </c>
      <c r="AH603" s="11">
        <v>757530.0</v>
      </c>
      <c r="AI603" s="11">
        <v>2780000.0</v>
      </c>
      <c r="AJ603" s="11">
        <v>1470000.0</v>
      </c>
      <c r="AK603" s="11">
        <v>1410000.0</v>
      </c>
      <c r="AL603" s="11">
        <v>1090000.0</v>
      </c>
      <c r="AM603" s="11">
        <v>585980.0</v>
      </c>
      <c r="AN603" s="11">
        <v>2170000.0</v>
      </c>
      <c r="AO603" s="11">
        <v>1470000.0</v>
      </c>
      <c r="AP603" s="11">
        <v>1100000.0</v>
      </c>
      <c r="AQ603" s="11">
        <v>1190000.0</v>
      </c>
      <c r="AR603" s="11">
        <v>763510.0</v>
      </c>
      <c r="AS603" s="11">
        <v>1330000.0</v>
      </c>
      <c r="AT603" s="11">
        <v>1010000.0</v>
      </c>
      <c r="AU603" s="11">
        <v>1590000.0</v>
      </c>
      <c r="AV603" s="11">
        <v>327720.0</v>
      </c>
      <c r="AW603" s="11">
        <v>311450.0</v>
      </c>
      <c r="AX603" s="11">
        <v>-111000.0</v>
      </c>
      <c r="AY603" s="11">
        <v>-477370.0</v>
      </c>
      <c r="AZ603" s="11">
        <v>-88510.0</v>
      </c>
      <c r="BA603" s="11">
        <v>-33110.0</v>
      </c>
      <c r="BB603" s="11">
        <v>-135390.0</v>
      </c>
      <c r="BC603" s="12"/>
      <c r="BD603" s="12"/>
      <c r="BE603" s="12"/>
      <c r="BF603" s="12"/>
      <c r="BG603" s="12"/>
      <c r="BH603" s="11">
        <v>1.097E7</v>
      </c>
      <c r="BI603" s="11">
        <v>6110000.0</v>
      </c>
      <c r="BJ603" s="11">
        <v>5420000.0</v>
      </c>
      <c r="BK603" s="11">
        <v>3920000.0</v>
      </c>
      <c r="BL603" s="11">
        <v>3490000.0</v>
      </c>
      <c r="BM603" s="11">
        <v>2990000.0</v>
      </c>
      <c r="BN603" s="11">
        <v>1330000.0</v>
      </c>
      <c r="BO603" s="11">
        <v>636690.0</v>
      </c>
      <c r="BP603" s="11">
        <v>975670.0</v>
      </c>
      <c r="BQ603" s="11">
        <v>174660.0</v>
      </c>
      <c r="BR603" s="12"/>
      <c r="BS603" s="12"/>
      <c r="BT603" s="12"/>
      <c r="BU603" s="12"/>
      <c r="BV603" s="12"/>
      <c r="BW603" s="11">
        <v>1.396E7</v>
      </c>
      <c r="BX603" s="11">
        <v>7430000.0</v>
      </c>
      <c r="BY603" s="11">
        <v>6060000.0</v>
      </c>
      <c r="BZ603" s="11">
        <v>4900000.0</v>
      </c>
      <c r="CA603" s="11">
        <v>3670000.0</v>
      </c>
      <c r="CB603" s="11">
        <v>414000.0</v>
      </c>
      <c r="CC603" s="11">
        <v>161550.0</v>
      </c>
      <c r="CD603" s="11">
        <v>113420.0</v>
      </c>
      <c r="CE603" s="11">
        <v>32190.0</v>
      </c>
      <c r="CF603" s="11">
        <v>28810.0</v>
      </c>
      <c r="CG603" s="12"/>
      <c r="CH603" s="12"/>
      <c r="CI603" s="12"/>
      <c r="CJ603" s="12"/>
      <c r="CK603" s="12"/>
      <c r="CL603" s="11">
        <v>1.514E7</v>
      </c>
      <c r="CM603" s="11">
        <v>8460000.0</v>
      </c>
      <c r="CN603" s="11">
        <v>6600000.0</v>
      </c>
      <c r="CO603" s="11">
        <v>5240000.0</v>
      </c>
      <c r="CP603" s="11">
        <v>3900000.0</v>
      </c>
      <c r="CQ603" s="11">
        <v>839000.0</v>
      </c>
      <c r="CR603" s="11">
        <v>316390.0</v>
      </c>
      <c r="CS603" s="11">
        <v>40950.0</v>
      </c>
      <c r="CT603" s="11">
        <v>22270.0</v>
      </c>
      <c r="CU603" s="11">
        <v>31990.0</v>
      </c>
      <c r="CV603" s="11">
        <v>938000.0</v>
      </c>
      <c r="CW603" s="12"/>
      <c r="CX603" s="12"/>
      <c r="CY603" s="12"/>
      <c r="CZ603" s="12"/>
      <c r="DA603" s="12"/>
      <c r="DB603" s="11">
        <v>938000.0</v>
      </c>
      <c r="DC603" s="11">
        <v>443350.0</v>
      </c>
      <c r="DD603" s="11">
        <v>327120.0</v>
      </c>
      <c r="DE603" s="11">
        <v>411540.0</v>
      </c>
      <c r="DF603" s="11">
        <v>1100000.0</v>
      </c>
      <c r="DG603" s="11">
        <v>446640.0</v>
      </c>
      <c r="DH603" s="11">
        <v>330750.0</v>
      </c>
      <c r="DI603" s="11">
        <v>411540.0</v>
      </c>
      <c r="DJ603" s="11">
        <v>415830.0</v>
      </c>
      <c r="DK603" s="11">
        <v>149000.0</v>
      </c>
      <c r="DL603" s="12"/>
      <c r="DM603" s="12"/>
      <c r="DN603" s="12"/>
      <c r="DO603" s="12"/>
      <c r="DP603" s="11">
        <v>155000.0</v>
      </c>
      <c r="DQ603" s="12"/>
      <c r="DR603" s="12"/>
      <c r="DS603" s="12"/>
      <c r="DT603" s="12"/>
      <c r="DU603" s="13"/>
      <c r="DV603" s="12"/>
      <c r="DW603" s="12"/>
      <c r="DX603" s="13"/>
      <c r="DY603" s="13"/>
      <c r="DZ603" s="11">
        <v>1.405E7</v>
      </c>
      <c r="EA603" s="11">
        <v>8010000.0</v>
      </c>
      <c r="EB603" s="11">
        <v>6270000.0</v>
      </c>
      <c r="EC603" s="11">
        <v>4830000.0</v>
      </c>
      <c r="ED603" s="11">
        <v>3490000.0</v>
      </c>
      <c r="EE603" s="14">
        <v>0.052</v>
      </c>
      <c r="EF603" s="14">
        <v>0.128</v>
      </c>
      <c r="EG603" s="14">
        <v>0.034</v>
      </c>
      <c r="EH603" s="14">
        <v>0.547</v>
      </c>
    </row>
    <row r="604">
      <c r="A604" s="9">
        <f t="shared" si="2"/>
        <v>602</v>
      </c>
      <c r="B604" s="22" t="s">
        <v>739</v>
      </c>
      <c r="C604" s="11">
        <v>24370.0</v>
      </c>
      <c r="D604" s="12"/>
      <c r="E604" s="12"/>
      <c r="F604" s="12"/>
      <c r="G604" s="12"/>
      <c r="H604" s="12"/>
      <c r="I604" s="12"/>
      <c r="J604" s="11">
        <v>-2140.0</v>
      </c>
      <c r="K604" s="11">
        <v>-269.0</v>
      </c>
      <c r="L604" s="11">
        <v>-162.0</v>
      </c>
      <c r="M604" s="11">
        <v>-124.0</v>
      </c>
      <c r="N604" s="12"/>
      <c r="O604" s="11">
        <v>47190.0</v>
      </c>
      <c r="P604" s="11">
        <v>33380.0</v>
      </c>
      <c r="Q604" s="11">
        <v>19330.0</v>
      </c>
      <c r="R604" s="11">
        <v>23590.0</v>
      </c>
      <c r="S604" s="12"/>
      <c r="T604" s="11">
        <v>31330.0</v>
      </c>
      <c r="U604" s="11">
        <v>21850.0</v>
      </c>
      <c r="V604" s="11">
        <v>14880.0</v>
      </c>
      <c r="W604" s="11">
        <v>18970.0</v>
      </c>
      <c r="X604" s="12"/>
      <c r="Y604" s="11">
        <v>-35960.0</v>
      </c>
      <c r="Z604" s="11">
        <v>-53280.0</v>
      </c>
      <c r="AA604" s="11">
        <v>-19280.0</v>
      </c>
      <c r="AB604" s="11">
        <v>-22900.0</v>
      </c>
      <c r="AC604" s="12"/>
      <c r="AD604" s="11">
        <v>-34420.0</v>
      </c>
      <c r="AE604" s="11">
        <v>-52860.0</v>
      </c>
      <c r="AF604" s="11">
        <v>-19010.0</v>
      </c>
      <c r="AG604" s="11">
        <v>-22670.0</v>
      </c>
      <c r="AH604" s="12"/>
      <c r="AI604" s="11">
        <v>-47190.0</v>
      </c>
      <c r="AJ604" s="11">
        <v>-33380.0</v>
      </c>
      <c r="AK604" s="11">
        <v>-19330.0</v>
      </c>
      <c r="AL604" s="11">
        <v>-23590.0</v>
      </c>
      <c r="AM604" s="12"/>
      <c r="AN604" s="11">
        <v>-34350.0</v>
      </c>
      <c r="AO604" s="11">
        <v>-52930.0</v>
      </c>
      <c r="AP604" s="11">
        <v>-19010.0</v>
      </c>
      <c r="AQ604" s="11">
        <v>-22670.0</v>
      </c>
      <c r="AR604" s="12"/>
      <c r="AS604" s="11">
        <v>-37930.0</v>
      </c>
      <c r="AT604" s="11">
        <v>-26430.0</v>
      </c>
      <c r="AU604" s="11">
        <v>-17760.0</v>
      </c>
      <c r="AV604" s="11">
        <v>-12590.0</v>
      </c>
      <c r="AW604" s="12"/>
      <c r="AX604" s="11">
        <v>-3060.0</v>
      </c>
      <c r="AY604" s="11">
        <v>-1650.0</v>
      </c>
      <c r="AZ604" s="11">
        <v>-402.0</v>
      </c>
      <c r="BA604" s="11">
        <v>-284.0</v>
      </c>
      <c r="BB604" s="12"/>
      <c r="BC604" s="12"/>
      <c r="BD604" s="12"/>
      <c r="BE604" s="12"/>
      <c r="BF604" s="12"/>
      <c r="BG604" s="12"/>
      <c r="BH604" s="11">
        <v>55550.0</v>
      </c>
      <c r="BI604" s="11">
        <v>60840.0</v>
      </c>
      <c r="BJ604" s="11">
        <v>41080.0</v>
      </c>
      <c r="BK604" s="11">
        <v>18060.0</v>
      </c>
      <c r="BL604" s="12"/>
      <c r="BM604" s="11">
        <v>871.0</v>
      </c>
      <c r="BN604" s="12"/>
      <c r="BO604" s="12"/>
      <c r="BP604" s="12"/>
      <c r="BQ604" s="12"/>
      <c r="BR604" s="12"/>
      <c r="BS604" s="12"/>
      <c r="BT604" s="12"/>
      <c r="BU604" s="12"/>
      <c r="BV604" s="12"/>
      <c r="BW604" s="11">
        <v>56700.0</v>
      </c>
      <c r="BX604" s="11">
        <v>62190.0</v>
      </c>
      <c r="BY604" s="11">
        <v>43620.0</v>
      </c>
      <c r="BZ604" s="11">
        <v>18440.0</v>
      </c>
      <c r="CA604" s="12"/>
      <c r="CB604" s="11">
        <v>11430.0</v>
      </c>
      <c r="CC604" s="11">
        <v>2310.0</v>
      </c>
      <c r="CD604" s="11">
        <v>940.0</v>
      </c>
      <c r="CE604" s="11">
        <v>700.0</v>
      </c>
      <c r="CF604" s="12"/>
      <c r="CG604" s="12"/>
      <c r="CH604" s="12"/>
      <c r="CI604" s="12"/>
      <c r="CJ604" s="12"/>
      <c r="CK604" s="12"/>
      <c r="CL604" s="11">
        <v>68780.0</v>
      </c>
      <c r="CM604" s="11">
        <v>65160.0</v>
      </c>
      <c r="CN604" s="11">
        <v>44920.0</v>
      </c>
      <c r="CO604" s="11">
        <v>19180.0</v>
      </c>
      <c r="CP604" s="12"/>
      <c r="CQ604" s="11">
        <v>1160.0</v>
      </c>
      <c r="CR604" s="11">
        <v>1990.0</v>
      </c>
      <c r="CS604" s="11">
        <v>2390.0</v>
      </c>
      <c r="CT604" s="11">
        <v>926.0</v>
      </c>
      <c r="CU604" s="12"/>
      <c r="CV604" s="11">
        <v>11400.0</v>
      </c>
      <c r="CW604" s="12"/>
      <c r="CX604" s="12"/>
      <c r="CY604" s="12"/>
      <c r="CZ604" s="12"/>
      <c r="DA604" s="12"/>
      <c r="DB604" s="11">
        <v>11400.0</v>
      </c>
      <c r="DC604" s="11">
        <v>6710.0</v>
      </c>
      <c r="DD604" s="11">
        <v>4580.0</v>
      </c>
      <c r="DE604" s="11">
        <v>1900.0</v>
      </c>
      <c r="DF604" s="11">
        <v>21490.0</v>
      </c>
      <c r="DG604" s="11">
        <v>30940.0</v>
      </c>
      <c r="DH604" s="11">
        <v>15080.0</v>
      </c>
      <c r="DI604" s="11">
        <v>2500.0</v>
      </c>
      <c r="DJ604" s="12"/>
      <c r="DK604" s="12"/>
      <c r="DL604" s="12"/>
      <c r="DM604" s="12"/>
      <c r="DN604" s="12"/>
      <c r="DO604" s="12"/>
      <c r="DP604" s="11">
        <v>4100.0</v>
      </c>
      <c r="DQ604" s="12"/>
      <c r="DR604" s="12"/>
      <c r="DS604" s="12"/>
      <c r="DT604" s="12"/>
      <c r="DU604" s="13"/>
      <c r="DV604" s="12"/>
      <c r="DW604" s="11">
        <v>38.0</v>
      </c>
      <c r="DX604" s="24">
        <v>26.0</v>
      </c>
      <c r="DY604" s="13"/>
      <c r="DZ604" s="11">
        <v>34980.0</v>
      </c>
      <c r="EA604" s="11">
        <v>24690.0</v>
      </c>
      <c r="EB604" s="11">
        <v>22960.0</v>
      </c>
      <c r="EC604" s="11">
        <v>10960.0</v>
      </c>
      <c r="ED604" s="12"/>
      <c r="EE604" s="23"/>
      <c r="EF604" s="23"/>
      <c r="EG604" s="14">
        <v>-0.233</v>
      </c>
      <c r="EH604" s="14">
        <v>0.083</v>
      </c>
    </row>
    <row r="605">
      <c r="A605" s="9">
        <f t="shared" si="2"/>
        <v>603</v>
      </c>
      <c r="B605" s="32" t="s">
        <v>740</v>
      </c>
      <c r="C605" s="11"/>
      <c r="D605" s="11"/>
      <c r="E605" s="11">
        <v>6470000.0</v>
      </c>
      <c r="F605" s="11">
        <v>8290000.0</v>
      </c>
      <c r="G605" s="11">
        <v>8550000.0</v>
      </c>
      <c r="H605" s="11">
        <v>8610000.0</v>
      </c>
      <c r="I605" s="11">
        <v>9360000.0</v>
      </c>
      <c r="J605" s="11">
        <v>1910000.0</v>
      </c>
      <c r="K605" s="11">
        <v>2200000.0</v>
      </c>
      <c r="L605" s="11">
        <v>2360000.0</v>
      </c>
      <c r="M605" s="11">
        <v>2840000.0</v>
      </c>
      <c r="N605" s="11">
        <v>2760000.0</v>
      </c>
      <c r="O605" s="11">
        <v>1860000.0</v>
      </c>
      <c r="P605" s="11">
        <v>1890000.0</v>
      </c>
      <c r="Q605" s="11">
        <v>1910000.0</v>
      </c>
      <c r="R605" s="11">
        <v>2240000.0</v>
      </c>
      <c r="S605" s="11">
        <v>2110000.0</v>
      </c>
      <c r="T605" s="11"/>
      <c r="U605" s="11"/>
      <c r="V605" s="11"/>
      <c r="W605" s="11"/>
      <c r="X605" s="11"/>
      <c r="Y605" s="11">
        <v>-396500.0</v>
      </c>
      <c r="Z605" s="11">
        <v>-695400.0</v>
      </c>
      <c r="AA605" s="11">
        <v>-38400.0</v>
      </c>
      <c r="AB605" s="11">
        <v>573200.0</v>
      </c>
      <c r="AC605" s="11">
        <v>-9800.0</v>
      </c>
      <c r="AD605" s="11">
        <v>-426800.0</v>
      </c>
      <c r="AE605" s="11">
        <v>-753100.0</v>
      </c>
      <c r="AF605" s="11">
        <v>383900.0</v>
      </c>
      <c r="AG605" s="11">
        <v>504700.0</v>
      </c>
      <c r="AH605" s="11">
        <v>625200.0</v>
      </c>
      <c r="AI605" s="11">
        <v>141900.0</v>
      </c>
      <c r="AJ605" s="11">
        <v>417700.0</v>
      </c>
      <c r="AK605" s="11">
        <v>574100.0</v>
      </c>
      <c r="AL605" s="11">
        <v>773500.0</v>
      </c>
      <c r="AM605" s="11">
        <v>809400.0</v>
      </c>
      <c r="AN605" s="11">
        <v>-464400.0</v>
      </c>
      <c r="AO605" s="11">
        <v>-794800.0</v>
      </c>
      <c r="AP605" s="11">
        <v>230400.0</v>
      </c>
      <c r="AQ605" s="11">
        <v>353200.0</v>
      </c>
      <c r="AR605" s="11">
        <v>402800.0</v>
      </c>
      <c r="AS605" s="11">
        <v>-414500.0</v>
      </c>
      <c r="AT605" s="11">
        <v>325100.0</v>
      </c>
      <c r="AU605" s="11">
        <v>434900.0</v>
      </c>
      <c r="AV605" s="11">
        <v>537100.0</v>
      </c>
      <c r="AW605" s="11">
        <v>656800.0</v>
      </c>
      <c r="AX605" s="11">
        <v>-78500.0</v>
      </c>
      <c r="AY605" s="11">
        <v>-93700.0</v>
      </c>
      <c r="AZ605" s="11">
        <v>-113400.0</v>
      </c>
      <c r="BA605" s="11">
        <v>-142700.0</v>
      </c>
      <c r="BB605" s="11">
        <v>-173200.0</v>
      </c>
      <c r="BC605" s="11">
        <v>-40500.0</v>
      </c>
      <c r="BD605" s="11">
        <v>-157400.0</v>
      </c>
      <c r="BE605" s="11">
        <v>-155200.0</v>
      </c>
      <c r="BF605" s="11">
        <v>-155500.0</v>
      </c>
      <c r="BG605" s="11">
        <v>-154100.0</v>
      </c>
      <c r="BH605" s="11">
        <v>499700.0</v>
      </c>
      <c r="BI605" s="11">
        <v>1630000.0</v>
      </c>
      <c r="BJ605" s="11">
        <v>854200.0</v>
      </c>
      <c r="BK605" s="11">
        <v>669400.0</v>
      </c>
      <c r="BL605" s="11">
        <v>450400.0</v>
      </c>
      <c r="BM605" s="11">
        <v>141900.0</v>
      </c>
      <c r="BN605" s="11">
        <v>134200.0</v>
      </c>
      <c r="BO605" s="11">
        <v>138600.0</v>
      </c>
      <c r="BP605" s="11">
        <v>220900.0</v>
      </c>
      <c r="BQ605" s="11">
        <v>176500.0</v>
      </c>
      <c r="BR605" s="11">
        <v>859700.0</v>
      </c>
      <c r="BS605" s="11">
        <v>1250000.0</v>
      </c>
      <c r="BT605" s="11">
        <v>1250000.0</v>
      </c>
      <c r="BU605" s="11">
        <v>1120000.0</v>
      </c>
      <c r="BV605" s="11">
        <v>1160000.0</v>
      </c>
      <c r="BW605" s="11">
        <v>1630000.0</v>
      </c>
      <c r="BX605" s="11">
        <v>3130000.0</v>
      </c>
      <c r="BY605" s="11">
        <v>3020000.0</v>
      </c>
      <c r="BZ605" s="11">
        <v>2140000.0</v>
      </c>
      <c r="CA605" s="11">
        <v>1940000.0</v>
      </c>
      <c r="CB605" s="11">
        <v>1040000.0</v>
      </c>
      <c r="CC605" s="11">
        <v>321300.0</v>
      </c>
      <c r="CD605" s="11">
        <v>351000.0</v>
      </c>
      <c r="CE605" s="11">
        <v>471000.0</v>
      </c>
      <c r="CF605" s="11">
        <v>484500.0</v>
      </c>
      <c r="CG605" s="11"/>
      <c r="CH605" s="11">
        <v>363900.0</v>
      </c>
      <c r="CI605" s="11">
        <v>1350000.0</v>
      </c>
      <c r="CJ605" s="11">
        <v>1730000.0</v>
      </c>
      <c r="CK605" s="11">
        <v>1480000.0</v>
      </c>
      <c r="CL605" s="11">
        <v>2820000.0</v>
      </c>
      <c r="CM605" s="11">
        <v>4040000.0</v>
      </c>
      <c r="CN605" s="11">
        <v>5040000.0</v>
      </c>
      <c r="CO605" s="11">
        <v>4980000.0</v>
      </c>
      <c r="CP605" s="11">
        <v>4330000.0</v>
      </c>
      <c r="CQ605" s="11">
        <v>380800.0</v>
      </c>
      <c r="CR605" s="11">
        <v>1050000.0</v>
      </c>
      <c r="CS605" s="11">
        <v>892300.0</v>
      </c>
      <c r="CT605" s="11">
        <v>616600.0</v>
      </c>
      <c r="CU605" s="11">
        <v>631900.0</v>
      </c>
      <c r="CV605" s="11">
        <v>1240000.0</v>
      </c>
      <c r="CW605" s="11">
        <v>239400.0</v>
      </c>
      <c r="CX605" s="12"/>
      <c r="CY605" s="12"/>
      <c r="CZ605" s="13"/>
      <c r="DA605" s="12"/>
      <c r="DB605" s="11">
        <v>1240000.0</v>
      </c>
      <c r="DC605" s="11">
        <v>2180000.0</v>
      </c>
      <c r="DD605" s="11">
        <v>1930000.0</v>
      </c>
      <c r="DE605" s="11">
        <v>1760000.0</v>
      </c>
      <c r="DF605" s="11">
        <v>2210000.0</v>
      </c>
      <c r="DG605" s="11">
        <v>2710000.0</v>
      </c>
      <c r="DH605" s="11">
        <v>2830000.0</v>
      </c>
      <c r="DI605" s="11">
        <v>2720000.0</v>
      </c>
      <c r="DJ605" s="11">
        <v>2250000.0</v>
      </c>
      <c r="DK605" s="11">
        <v>17900.0</v>
      </c>
      <c r="DL605" s="11">
        <v>13400.0</v>
      </c>
      <c r="DM605" s="11">
        <v>14900.0</v>
      </c>
      <c r="DN605" s="11">
        <v>10200.0</v>
      </c>
      <c r="DO605" s="11">
        <v>9700.0</v>
      </c>
      <c r="DP605" s="11">
        <v>949100.0</v>
      </c>
      <c r="DQ605" s="11">
        <v>471600.0</v>
      </c>
      <c r="DR605" s="11">
        <v>817900.0</v>
      </c>
      <c r="DS605" s="11">
        <v>815000.0</v>
      </c>
      <c r="DT605" s="11">
        <v>345400.0</v>
      </c>
      <c r="DU605" s="13"/>
      <c r="DV605" s="12"/>
      <c r="DW605" s="12"/>
      <c r="DX605" s="12"/>
      <c r="DY605" s="12"/>
      <c r="DZ605" s="11">
        <v>611500.0</v>
      </c>
      <c r="EA605" s="11">
        <v>1340000.0</v>
      </c>
      <c r="EB605" s="11">
        <v>2210000.0</v>
      </c>
      <c r="EC605" s="11">
        <v>2250000.0</v>
      </c>
      <c r="ED605" s="11">
        <v>2080000.0</v>
      </c>
      <c r="EE605" s="14"/>
      <c r="EF605" s="14"/>
      <c r="EG605" s="23"/>
      <c r="EH605" s="14"/>
    </row>
    <row r="606">
      <c r="A606" s="9">
        <f t="shared" si="2"/>
        <v>604</v>
      </c>
      <c r="B606" s="10" t="s">
        <v>741</v>
      </c>
      <c r="C606" s="11">
        <v>289340.0</v>
      </c>
      <c r="D606" s="11">
        <v>285450.0</v>
      </c>
      <c r="E606" s="11">
        <v>299650.0</v>
      </c>
      <c r="F606" s="11">
        <v>346650.0</v>
      </c>
      <c r="G606" s="11">
        <v>433100.0</v>
      </c>
      <c r="H606" s="11">
        <v>441600.0</v>
      </c>
      <c r="I606" s="11">
        <v>434690.0</v>
      </c>
      <c r="J606" s="11">
        <v>147810.0</v>
      </c>
      <c r="K606" s="11">
        <v>171370.0</v>
      </c>
      <c r="L606" s="11">
        <v>251320.0</v>
      </c>
      <c r="M606" s="11">
        <v>275270.0</v>
      </c>
      <c r="N606" s="11">
        <v>262460.0</v>
      </c>
      <c r="O606" s="11">
        <v>13410.0</v>
      </c>
      <c r="P606" s="11">
        <v>14810.0</v>
      </c>
      <c r="Q606" s="11">
        <v>15210.0</v>
      </c>
      <c r="R606" s="11">
        <v>8600.0</v>
      </c>
      <c r="S606" s="11">
        <v>6640.0</v>
      </c>
      <c r="T606" s="12"/>
      <c r="U606" s="12"/>
      <c r="V606" s="12"/>
      <c r="W606" s="12"/>
      <c r="X606" s="12"/>
      <c r="Y606" s="12"/>
      <c r="Z606" s="12"/>
      <c r="AA606" s="11">
        <v>240190.0</v>
      </c>
      <c r="AB606" s="11">
        <v>276560.0</v>
      </c>
      <c r="AC606" s="11">
        <v>256490.0</v>
      </c>
      <c r="AD606" s="11">
        <v>34560.0</v>
      </c>
      <c r="AE606" s="11">
        <v>92820.0</v>
      </c>
      <c r="AF606" s="11">
        <v>161840.0</v>
      </c>
      <c r="AG606" s="11">
        <v>202600.0</v>
      </c>
      <c r="AH606" s="11">
        <v>178350.0</v>
      </c>
      <c r="AI606" s="11">
        <v>217630.0</v>
      </c>
      <c r="AJ606" s="11">
        <v>255370.0</v>
      </c>
      <c r="AK606" s="11">
        <v>339920.0</v>
      </c>
      <c r="AL606" s="11">
        <v>367140.0</v>
      </c>
      <c r="AM606" s="11">
        <v>355080.0</v>
      </c>
      <c r="AN606" s="11">
        <v>17690.0</v>
      </c>
      <c r="AO606" s="11">
        <v>71970.0</v>
      </c>
      <c r="AP606" s="11">
        <v>129280.0</v>
      </c>
      <c r="AQ606" s="11">
        <v>172170.0</v>
      </c>
      <c r="AR606" s="11">
        <v>162140.0</v>
      </c>
      <c r="AS606" s="11">
        <v>166920.0</v>
      </c>
      <c r="AT606" s="11">
        <v>137920.0</v>
      </c>
      <c r="AU606" s="11">
        <v>271000.0</v>
      </c>
      <c r="AV606" s="11">
        <v>261230.0</v>
      </c>
      <c r="AW606" s="11">
        <v>212230.0</v>
      </c>
      <c r="AX606" s="11">
        <v>-10230.0</v>
      </c>
      <c r="AY606" s="11">
        <v>-10740.0</v>
      </c>
      <c r="AZ606" s="12">
        <v>-426.0</v>
      </c>
      <c r="BA606" s="11"/>
      <c r="BB606" s="11">
        <v>-3670.0</v>
      </c>
      <c r="BC606" s="11">
        <v>-126600.0</v>
      </c>
      <c r="BD606" s="11">
        <v>-165250.0</v>
      </c>
      <c r="BE606" s="11">
        <v>-161060.0</v>
      </c>
      <c r="BF606" s="11">
        <v>-154670.0</v>
      </c>
      <c r="BG606" s="11">
        <v>-152900.0</v>
      </c>
      <c r="BH606" s="11">
        <v>96300.0</v>
      </c>
      <c r="BI606" s="11">
        <v>127980.0</v>
      </c>
      <c r="BJ606" s="11">
        <v>274260.0</v>
      </c>
      <c r="BK606" s="11">
        <v>110640.0</v>
      </c>
      <c r="BL606" s="11">
        <v>97400.0</v>
      </c>
      <c r="BM606" s="11">
        <v>32210.0</v>
      </c>
      <c r="BN606" s="11">
        <v>30330.0</v>
      </c>
      <c r="BO606" s="11">
        <v>28590.0</v>
      </c>
      <c r="BP606" s="11">
        <v>46820.0</v>
      </c>
      <c r="BQ606" s="11">
        <v>30670.0</v>
      </c>
      <c r="BR606" s="11">
        <v>2700.0</v>
      </c>
      <c r="BS606" s="11">
        <v>2030.0</v>
      </c>
      <c r="BT606" s="11">
        <v>3510.0</v>
      </c>
      <c r="BU606" s="11">
        <v>1110.0</v>
      </c>
      <c r="BV606" s="11">
        <v>1340.0</v>
      </c>
      <c r="BW606" s="11">
        <v>133300.0</v>
      </c>
      <c r="BX606" s="11">
        <v>164530.0</v>
      </c>
      <c r="BY606" s="11">
        <v>311500.0</v>
      </c>
      <c r="BZ606" s="11">
        <v>160930.0</v>
      </c>
      <c r="CA606" s="11">
        <v>131850.0</v>
      </c>
      <c r="CB606" s="11">
        <v>1480000.0</v>
      </c>
      <c r="CC606" s="11">
        <v>1650000.0</v>
      </c>
      <c r="CD606" s="11">
        <v>1690000.0</v>
      </c>
      <c r="CE606" s="11">
        <v>1760000.0</v>
      </c>
      <c r="CF606" s="11">
        <v>1850000.0</v>
      </c>
      <c r="CG606" s="11"/>
      <c r="CH606" s="11"/>
      <c r="CI606" s="11"/>
      <c r="CJ606" s="11"/>
      <c r="CK606" s="11"/>
      <c r="CL606" s="11">
        <v>2110000.0</v>
      </c>
      <c r="CM606" s="11">
        <v>2240000.0</v>
      </c>
      <c r="CN606" s="11">
        <v>2430000.0</v>
      </c>
      <c r="CO606" s="11">
        <v>2250000.0</v>
      </c>
      <c r="CP606" s="11">
        <v>2250000.0</v>
      </c>
      <c r="CQ606" s="11">
        <v>2760.0</v>
      </c>
      <c r="CR606" s="11">
        <v>5590.0</v>
      </c>
      <c r="CS606" s="11">
        <v>4780.0</v>
      </c>
      <c r="CT606" s="11">
        <v>2110.0</v>
      </c>
      <c r="CU606" s="11">
        <v>3960.0</v>
      </c>
      <c r="CV606" s="11">
        <v>309150.0</v>
      </c>
      <c r="CW606" s="11"/>
      <c r="CX606" s="12"/>
      <c r="CY606" s="12"/>
      <c r="CZ606" s="12"/>
      <c r="DA606" s="12"/>
      <c r="DB606" s="11">
        <v>309150.0</v>
      </c>
      <c r="DC606" s="11">
        <v>136110.0</v>
      </c>
      <c r="DD606" s="11">
        <v>180090.0</v>
      </c>
      <c r="DE606" s="11">
        <v>215470.0</v>
      </c>
      <c r="DF606" s="11">
        <v>1450000.0</v>
      </c>
      <c r="DG606" s="11">
        <v>1480000.0</v>
      </c>
      <c r="DH606" s="11">
        <v>1580000.0</v>
      </c>
      <c r="DI606" s="11">
        <v>1650000.0</v>
      </c>
      <c r="DJ606" s="11">
        <v>1650000.0</v>
      </c>
      <c r="DK606" s="11">
        <v>442310.0</v>
      </c>
      <c r="DL606" s="11">
        <v>363110.0</v>
      </c>
      <c r="DM606" s="11">
        <v>344810.0</v>
      </c>
      <c r="DN606" s="11">
        <v>232930.0</v>
      </c>
      <c r="DO606" s="11">
        <v>138440.0</v>
      </c>
      <c r="DP606" s="11">
        <v>1110000.0</v>
      </c>
      <c r="DQ606" s="11">
        <v>1320000.0</v>
      </c>
      <c r="DR606" s="11">
        <v>1380000.0</v>
      </c>
      <c r="DS606" s="11">
        <v>1410000.0</v>
      </c>
      <c r="DT606" s="11">
        <v>1370000.0</v>
      </c>
      <c r="DU606" s="13"/>
      <c r="DV606" s="12"/>
      <c r="DW606" s="11">
        <v>132990.0</v>
      </c>
      <c r="DX606" s="12"/>
      <c r="DY606" s="12"/>
      <c r="DZ606" s="11">
        <v>520620.0</v>
      </c>
      <c r="EA606" s="11">
        <v>628570.0</v>
      </c>
      <c r="EB606" s="11">
        <v>718460.0</v>
      </c>
      <c r="EC606" s="11">
        <v>485510.0</v>
      </c>
      <c r="ED606" s="11">
        <v>489460.0</v>
      </c>
      <c r="EE606" s="14">
        <v>0.07</v>
      </c>
      <c r="EF606" s="14">
        <v>0.113</v>
      </c>
      <c r="EG606" s="14">
        <v>-3.526</v>
      </c>
      <c r="EH606" s="14">
        <v>-1.162</v>
      </c>
    </row>
    <row r="607">
      <c r="A607" s="9">
        <f t="shared" si="2"/>
        <v>605</v>
      </c>
      <c r="B607" s="10" t="s">
        <v>742</v>
      </c>
      <c r="C607" s="12"/>
      <c r="D607" s="12"/>
      <c r="E607" s="12">
        <v>0.0</v>
      </c>
      <c r="F607" s="12">
        <v>0.0</v>
      </c>
      <c r="G607" s="12">
        <v>0.0</v>
      </c>
      <c r="H607" s="12">
        <v>0.0</v>
      </c>
      <c r="I607" s="12">
        <v>0.0</v>
      </c>
      <c r="J607" s="12">
        <v>0.0</v>
      </c>
      <c r="K607" s="12">
        <v>-1870.0</v>
      </c>
      <c r="L607" s="12">
        <v>0.0</v>
      </c>
      <c r="M607" s="12">
        <v>0.0</v>
      </c>
      <c r="N607" s="12">
        <v>0.0</v>
      </c>
      <c r="O607" s="12">
        <v>4040.0</v>
      </c>
      <c r="P607" s="12">
        <v>8470.0</v>
      </c>
      <c r="Q607" s="12">
        <v>6860.0</v>
      </c>
      <c r="R607" s="12">
        <v>6890.0</v>
      </c>
      <c r="S607" s="12">
        <v>9480.0</v>
      </c>
      <c r="T607" s="12">
        <v>0.0</v>
      </c>
      <c r="U607" s="12">
        <v>0.0</v>
      </c>
      <c r="V607" s="12">
        <v>0.0</v>
      </c>
      <c r="W607" s="12">
        <v>0.0</v>
      </c>
      <c r="X607" s="12">
        <v>0.0</v>
      </c>
      <c r="Y607" s="15">
        <v>-4180.0</v>
      </c>
      <c r="Z607" s="15">
        <v>-10240.0</v>
      </c>
      <c r="AA607" s="15">
        <v>0.0</v>
      </c>
      <c r="AB607" s="12">
        <v>-7030.0</v>
      </c>
      <c r="AC607" s="12">
        <v>-5290.0</v>
      </c>
      <c r="AD607" s="15">
        <v>-7900.0</v>
      </c>
      <c r="AE607" s="15">
        <v>-11120.0</v>
      </c>
      <c r="AF607" s="15">
        <v>-8070.0</v>
      </c>
      <c r="AG607" s="12">
        <v>-8090.0</v>
      </c>
      <c r="AH607" s="12">
        <v>-16120.0</v>
      </c>
      <c r="AI607" s="15">
        <v>-4040.0</v>
      </c>
      <c r="AJ607" s="15">
        <v>-8470.0</v>
      </c>
      <c r="AK607" s="15">
        <v>-6860.0</v>
      </c>
      <c r="AL607" s="12">
        <v>-6890.0</v>
      </c>
      <c r="AM607" s="12">
        <v>-9480.0</v>
      </c>
      <c r="AN607" s="15">
        <v>-7880.0</v>
      </c>
      <c r="AO607" s="15">
        <v>-10740.0</v>
      </c>
      <c r="AP607" s="15">
        <v>-8050.0</v>
      </c>
      <c r="AQ607" s="12">
        <v>-8070.0</v>
      </c>
      <c r="AR607" s="12">
        <v>-15220.0</v>
      </c>
      <c r="AS607" s="15">
        <v>-5780.0</v>
      </c>
      <c r="AT607" s="15">
        <v>-8950.0</v>
      </c>
      <c r="AU607" s="15">
        <v>-8310.0</v>
      </c>
      <c r="AV607" s="12">
        <v>-8280.0</v>
      </c>
      <c r="AW607" s="12">
        <v>-16420.0</v>
      </c>
      <c r="AX607" s="15">
        <v>0.0</v>
      </c>
      <c r="AY607" s="15">
        <v>-2770.0</v>
      </c>
      <c r="AZ607" s="15">
        <v>-2540.0</v>
      </c>
      <c r="BA607" s="12">
        <v>-3690.0</v>
      </c>
      <c r="BB607" s="12">
        <v>-15090.0</v>
      </c>
      <c r="BC607" s="12">
        <v>0.0</v>
      </c>
      <c r="BD607" s="12">
        <v>0.0</v>
      </c>
      <c r="BE607" s="12">
        <v>0.0</v>
      </c>
      <c r="BF607" s="12">
        <v>0.0</v>
      </c>
      <c r="BG607" s="12">
        <v>0.0</v>
      </c>
      <c r="BH607" s="12">
        <v>4610.0</v>
      </c>
      <c r="BI607" s="12">
        <v>2020.0</v>
      </c>
      <c r="BJ607" s="12">
        <v>6680.0</v>
      </c>
      <c r="BK607" s="12">
        <v>8470.0</v>
      </c>
      <c r="BL607" s="12">
        <v>13050.0</v>
      </c>
      <c r="BM607" s="12">
        <v>0.0</v>
      </c>
      <c r="BN607" s="12">
        <v>0.0</v>
      </c>
      <c r="BO607" s="12">
        <v>0.0</v>
      </c>
      <c r="BP607" s="12">
        <v>0.0</v>
      </c>
      <c r="BQ607" s="12">
        <v>0.0</v>
      </c>
      <c r="BR607" s="12">
        <v>0.0</v>
      </c>
      <c r="BS607" s="12">
        <v>0.0</v>
      </c>
      <c r="BT607" s="12">
        <v>0.0</v>
      </c>
      <c r="BU607" s="12">
        <v>0.0</v>
      </c>
      <c r="BV607" s="12">
        <v>0.0</v>
      </c>
      <c r="BW607" s="12">
        <v>4890.0</v>
      </c>
      <c r="BX607" s="12">
        <v>2080.0</v>
      </c>
      <c r="BY607" s="12">
        <v>6790.0</v>
      </c>
      <c r="BZ607" s="12">
        <v>8560.0</v>
      </c>
      <c r="CA607" s="12">
        <v>13200.0</v>
      </c>
      <c r="CB607" s="12">
        <v>332140.0</v>
      </c>
      <c r="CC607" s="12">
        <v>317340.0</v>
      </c>
      <c r="CD607" s="12">
        <v>314220.0</v>
      </c>
      <c r="CE607" s="12">
        <v>310750.0</v>
      </c>
      <c r="CF607" s="12">
        <v>306700.0</v>
      </c>
      <c r="CG607" s="12">
        <v>0.0</v>
      </c>
      <c r="CH607" s="12">
        <v>0.0</v>
      </c>
      <c r="CI607" s="12">
        <v>0.0</v>
      </c>
      <c r="CJ607" s="12">
        <v>0.0</v>
      </c>
      <c r="CK607" s="12">
        <v>0.0</v>
      </c>
      <c r="CL607" s="12">
        <v>344230.0</v>
      </c>
      <c r="CM607" s="12">
        <v>329490.0</v>
      </c>
      <c r="CN607" s="12">
        <v>335780.0</v>
      </c>
      <c r="CO607" s="12">
        <v>337290.0</v>
      </c>
      <c r="CP607" s="12">
        <v>346310.0</v>
      </c>
      <c r="CQ607" s="12">
        <v>0.0</v>
      </c>
      <c r="CR607" s="12">
        <v>0.0</v>
      </c>
      <c r="CS607" s="12">
        <v>0.0</v>
      </c>
      <c r="CT607" s="12">
        <v>0.0</v>
      </c>
      <c r="CU607" s="12">
        <v>0.0</v>
      </c>
      <c r="CV607" s="12">
        <v>35360.0</v>
      </c>
      <c r="CW607" s="12">
        <v>0.0</v>
      </c>
      <c r="CX607" s="12">
        <v>7150.0</v>
      </c>
      <c r="CY607" s="12">
        <v>7090.0</v>
      </c>
      <c r="CZ607" s="12">
        <v>0.0</v>
      </c>
      <c r="DA607" s="12">
        <v>0.0</v>
      </c>
      <c r="DB607" s="12">
        <v>35360.0</v>
      </c>
      <c r="DC607" s="12">
        <v>8220.0</v>
      </c>
      <c r="DD607" s="12">
        <v>8190.0</v>
      </c>
      <c r="DE607" s="12">
        <v>1520.0</v>
      </c>
      <c r="DF607" s="12">
        <v>74540.0</v>
      </c>
      <c r="DG607" s="12">
        <v>56960.0</v>
      </c>
      <c r="DH607" s="12">
        <v>55360.0</v>
      </c>
      <c r="DI607" s="12">
        <v>54950.0</v>
      </c>
      <c r="DJ607" s="12">
        <v>55640.0</v>
      </c>
      <c r="DK607" s="12">
        <v>4100.0</v>
      </c>
      <c r="DL607" s="12">
        <v>7000.0</v>
      </c>
      <c r="DM607" s="12">
        <v>11700.0</v>
      </c>
      <c r="DN607" s="12">
        <v>14980.0</v>
      </c>
      <c r="DO607" s="12">
        <v>23420.0</v>
      </c>
      <c r="DP607" s="12">
        <v>7880.0</v>
      </c>
      <c r="DQ607" s="12">
        <v>0.0</v>
      </c>
      <c r="DR607" s="12">
        <v>0.0</v>
      </c>
      <c r="DS607" s="12">
        <v>6880.0</v>
      </c>
      <c r="DT607" s="12">
        <v>6830.0</v>
      </c>
      <c r="DU607" s="12">
        <v>1300.0</v>
      </c>
      <c r="DV607" s="12">
        <v>0.0</v>
      </c>
      <c r="DW607" s="12">
        <v>0.0</v>
      </c>
      <c r="DX607" s="12">
        <v>0.0</v>
      </c>
      <c r="DY607" s="12">
        <v>0.0</v>
      </c>
      <c r="DZ607" s="15">
        <v>97450.0</v>
      </c>
      <c r="EA607" s="12">
        <v>100280.0</v>
      </c>
      <c r="EB607" s="12">
        <v>107790.0</v>
      </c>
      <c r="EC607" s="12">
        <v>109670.0</v>
      </c>
      <c r="ED607" s="12">
        <v>117400.0</v>
      </c>
      <c r="EE607" s="31"/>
      <c r="EF607" s="31"/>
      <c r="EG607" s="31"/>
      <c r="EH607" s="31"/>
    </row>
    <row r="608">
      <c r="A608" s="9">
        <f t="shared" si="2"/>
        <v>606</v>
      </c>
      <c r="B608" s="32" t="s">
        <v>743</v>
      </c>
      <c r="C608" s="11">
        <v>3210000.0</v>
      </c>
      <c r="D608" s="11">
        <v>3160000.0</v>
      </c>
      <c r="E608" s="11">
        <v>3240000.0</v>
      </c>
      <c r="F608" s="11">
        <v>3120000.0</v>
      </c>
      <c r="G608" s="11">
        <v>2510000.0</v>
      </c>
      <c r="H608" s="11">
        <v>2320000.0</v>
      </c>
      <c r="I608" s="11">
        <v>1860000.0</v>
      </c>
      <c r="J608" s="11">
        <v>946680.0</v>
      </c>
      <c r="K608" s="11">
        <v>886660.0</v>
      </c>
      <c r="L608" s="11">
        <v>753050.0</v>
      </c>
      <c r="M608" s="11">
        <v>689330.0</v>
      </c>
      <c r="N608" s="11">
        <v>528950.0</v>
      </c>
      <c r="O608" s="11">
        <v>782480.0</v>
      </c>
      <c r="P608" s="11">
        <v>733700.0</v>
      </c>
      <c r="Q608" s="11">
        <v>633880.0</v>
      </c>
      <c r="R608" s="11">
        <v>582430.0</v>
      </c>
      <c r="S608" s="11">
        <v>467590.0</v>
      </c>
      <c r="T608" s="12"/>
      <c r="U608" s="12"/>
      <c r="V608" s="12"/>
      <c r="W608" s="12"/>
      <c r="X608" s="12"/>
      <c r="Y608" s="11">
        <v>112220.0</v>
      </c>
      <c r="Z608" s="11">
        <v>140810.0</v>
      </c>
      <c r="AA608" s="11">
        <v>112970.0</v>
      </c>
      <c r="AB608" s="11">
        <v>96770.0</v>
      </c>
      <c r="AC608" s="11">
        <v>-2460.0</v>
      </c>
      <c r="AD608" s="11">
        <v>46330.0</v>
      </c>
      <c r="AE608" s="11">
        <v>70040.0</v>
      </c>
      <c r="AF608" s="11">
        <v>83850.0</v>
      </c>
      <c r="AG608" s="11">
        <v>71540.0</v>
      </c>
      <c r="AH608" s="11">
        <v>25150.0</v>
      </c>
      <c r="AI608" s="11">
        <v>280730.0</v>
      </c>
      <c r="AJ608" s="11">
        <v>270420.0</v>
      </c>
      <c r="AK608" s="11">
        <v>184700.0</v>
      </c>
      <c r="AL608" s="11">
        <v>176140.0</v>
      </c>
      <c r="AM608" s="11">
        <v>125570.0</v>
      </c>
      <c r="AN608" s="11">
        <v>23310.0</v>
      </c>
      <c r="AO608" s="11">
        <v>54620.0</v>
      </c>
      <c r="AP608" s="11">
        <v>62970.0</v>
      </c>
      <c r="AQ608" s="11">
        <v>48890.0</v>
      </c>
      <c r="AR608" s="11">
        <v>12560.0</v>
      </c>
      <c r="AS608" s="11">
        <v>303080.0</v>
      </c>
      <c r="AT608" s="11">
        <v>193620.0</v>
      </c>
      <c r="AU608" s="11">
        <v>88620.0</v>
      </c>
      <c r="AV608" s="11">
        <v>66710.0</v>
      </c>
      <c r="AW608" s="11">
        <v>47750.0</v>
      </c>
      <c r="AX608" s="11">
        <v>-25190.0</v>
      </c>
      <c r="AY608" s="11">
        <v>-18770.0</v>
      </c>
      <c r="AZ608" s="11">
        <v>-23740.0</v>
      </c>
      <c r="BA608" s="11">
        <v>-11080.0</v>
      </c>
      <c r="BB608" s="11">
        <v>-7690.0</v>
      </c>
      <c r="BC608" s="13"/>
      <c r="BD608" s="13"/>
      <c r="BE608" s="13"/>
      <c r="BF608" s="13"/>
      <c r="BG608" s="13"/>
      <c r="BH608" s="11">
        <v>210910.0</v>
      </c>
      <c r="BI608" s="11">
        <v>47340.0</v>
      </c>
      <c r="BJ608" s="11">
        <v>36440.0</v>
      </c>
      <c r="BK608" s="11">
        <v>14560.0</v>
      </c>
      <c r="BL608" s="11">
        <v>19070.0</v>
      </c>
      <c r="BM608" s="11">
        <v>405250.0</v>
      </c>
      <c r="BN608" s="11">
        <v>445770.0</v>
      </c>
      <c r="BO608" s="11">
        <v>346450.0</v>
      </c>
      <c r="BP608" s="11">
        <v>333400.0</v>
      </c>
      <c r="BQ608" s="11">
        <v>274230.0</v>
      </c>
      <c r="BR608" s="11">
        <v>299820.0</v>
      </c>
      <c r="BS608" s="11">
        <v>290830.0</v>
      </c>
      <c r="BT608" s="11">
        <v>239220.0</v>
      </c>
      <c r="BU608" s="11">
        <v>200230.0</v>
      </c>
      <c r="BV608" s="11">
        <v>165770.0</v>
      </c>
      <c r="BW608" s="11">
        <v>930950.0</v>
      </c>
      <c r="BX608" s="11">
        <v>802310.0</v>
      </c>
      <c r="BY608" s="11">
        <v>633840.0</v>
      </c>
      <c r="BZ608" s="11">
        <v>555190.0</v>
      </c>
      <c r="CA608" s="11">
        <v>471640.0</v>
      </c>
      <c r="CB608" s="11">
        <v>420720.0</v>
      </c>
      <c r="CC608" s="11">
        <v>282350.0</v>
      </c>
      <c r="CD608" s="11">
        <v>163580.0</v>
      </c>
      <c r="CE608" s="11">
        <v>154470.0</v>
      </c>
      <c r="CF608" s="11">
        <v>153260.0</v>
      </c>
      <c r="CG608" s="11">
        <v>553070.0</v>
      </c>
      <c r="CH608" s="11">
        <v>617330.0</v>
      </c>
      <c r="CI608" s="11">
        <v>427650.0</v>
      </c>
      <c r="CJ608" s="11">
        <v>423640.0</v>
      </c>
      <c r="CK608" s="11">
        <v>386310.0</v>
      </c>
      <c r="CL608" s="11">
        <v>2290000.0</v>
      </c>
      <c r="CM608" s="11">
        <v>2150000.0</v>
      </c>
      <c r="CN608" s="11">
        <v>1480000.0</v>
      </c>
      <c r="CO608" s="11">
        <v>1430000.0</v>
      </c>
      <c r="CP608" s="11">
        <v>1270000.0</v>
      </c>
      <c r="CQ608" s="11">
        <v>213230.0</v>
      </c>
      <c r="CR608" s="11">
        <v>173750.0</v>
      </c>
      <c r="CS608" s="11">
        <v>116170.0</v>
      </c>
      <c r="CT608" s="11">
        <v>102690.0</v>
      </c>
      <c r="CU608" s="11">
        <v>91500.0</v>
      </c>
      <c r="CV608" s="11">
        <v>427870.0</v>
      </c>
      <c r="CW608" s="11">
        <v>33040.0</v>
      </c>
      <c r="CX608" s="12"/>
      <c r="CY608" s="12"/>
      <c r="CZ608" s="12"/>
      <c r="DA608" s="11">
        <v>26910.0</v>
      </c>
      <c r="DB608" s="11">
        <v>427870.0</v>
      </c>
      <c r="DC608" s="11">
        <v>358580.0</v>
      </c>
      <c r="DD608" s="11">
        <v>233920.0</v>
      </c>
      <c r="DE608" s="11">
        <v>210500.0</v>
      </c>
      <c r="DF608" s="11">
        <v>1650000.0</v>
      </c>
      <c r="DG608" s="11">
        <v>1510000.0</v>
      </c>
      <c r="DH608" s="11">
        <v>882950.0</v>
      </c>
      <c r="DI608" s="11">
        <v>890080.0</v>
      </c>
      <c r="DJ608" s="11">
        <v>933570.0</v>
      </c>
      <c r="DK608" s="11"/>
      <c r="DL608" s="11"/>
      <c r="DM608" s="12"/>
      <c r="DN608" s="11">
        <v>88.0</v>
      </c>
      <c r="DO608" s="11">
        <v>271.0</v>
      </c>
      <c r="DP608" s="11">
        <v>1140000.0</v>
      </c>
      <c r="DQ608" s="11">
        <v>1100000.0</v>
      </c>
      <c r="DR608" s="11">
        <v>579600.0</v>
      </c>
      <c r="DS608" s="11">
        <v>583390.0</v>
      </c>
      <c r="DT608" s="11">
        <v>609030.0</v>
      </c>
      <c r="DU608" s="13"/>
      <c r="DV608" s="12"/>
      <c r="DW608" s="12"/>
      <c r="DX608" s="12"/>
      <c r="DY608" s="13"/>
      <c r="DZ608" s="11">
        <v>633980.0</v>
      </c>
      <c r="EA608" s="11">
        <v>629180.0</v>
      </c>
      <c r="EB608" s="11">
        <v>579450.0</v>
      </c>
      <c r="EC608" s="11">
        <v>514610.0</v>
      </c>
      <c r="ED608" s="11">
        <v>311160.0</v>
      </c>
      <c r="EE608" s="14">
        <v>0.07</v>
      </c>
      <c r="EF608" s="14">
        <v>0.115</v>
      </c>
      <c r="EG608" s="14">
        <v>0.077</v>
      </c>
      <c r="EH608" s="14">
        <v>0.045</v>
      </c>
    </row>
    <row r="609">
      <c r="A609" s="9">
        <f t="shared" si="2"/>
        <v>607</v>
      </c>
      <c r="B609" s="10" t="s">
        <v>744</v>
      </c>
      <c r="C609" s="11">
        <v>218270.0</v>
      </c>
      <c r="D609" s="11">
        <v>198360.0</v>
      </c>
      <c r="E609" s="11">
        <v>389500.0</v>
      </c>
      <c r="F609" s="11">
        <v>367520.0</v>
      </c>
      <c r="G609" s="11">
        <v>209700.0</v>
      </c>
      <c r="H609" s="11">
        <v>135590.0</v>
      </c>
      <c r="I609" s="11">
        <v>153960.0</v>
      </c>
      <c r="J609" s="11">
        <v>31240.0</v>
      </c>
      <c r="K609" s="11">
        <v>86260.0</v>
      </c>
      <c r="L609" s="11">
        <v>14520.0</v>
      </c>
      <c r="M609" s="11">
        <v>-67610.0</v>
      </c>
      <c r="N609" s="11">
        <v>-67860.0</v>
      </c>
      <c r="O609" s="11">
        <v>32160.0</v>
      </c>
      <c r="P609" s="11">
        <v>32680.0</v>
      </c>
      <c r="Q609" s="11">
        <v>29850.0</v>
      </c>
      <c r="R609" s="11">
        <v>54110.0</v>
      </c>
      <c r="S609" s="11">
        <v>83900.0</v>
      </c>
      <c r="T609" s="12"/>
      <c r="U609" s="12"/>
      <c r="V609" s="12"/>
      <c r="W609" s="12"/>
      <c r="X609" s="12"/>
      <c r="Y609" s="11">
        <v>-28530.0</v>
      </c>
      <c r="Z609" s="11">
        <v>-7530.0</v>
      </c>
      <c r="AA609" s="11">
        <v>-21990.0</v>
      </c>
      <c r="AB609" s="11">
        <v>-193960.0</v>
      </c>
      <c r="AC609" s="11">
        <v>-78860.0</v>
      </c>
      <c r="AD609" s="11">
        <v>-55990.0</v>
      </c>
      <c r="AE609" s="11">
        <v>-32940.0</v>
      </c>
      <c r="AF609" s="11">
        <v>-58730.0</v>
      </c>
      <c r="AG609" s="11">
        <v>-217050.0</v>
      </c>
      <c r="AH609" s="11">
        <v>-252550.0</v>
      </c>
      <c r="AI609" s="11">
        <v>73160.0</v>
      </c>
      <c r="AJ609" s="11">
        <v>122570.0</v>
      </c>
      <c r="AK609" s="11">
        <v>56440.0</v>
      </c>
      <c r="AL609" s="11">
        <v>-45380.0</v>
      </c>
      <c r="AM609" s="11">
        <v>-72210.0</v>
      </c>
      <c r="AN609" s="11">
        <v>-55990.0</v>
      </c>
      <c r="AO609" s="11">
        <v>-32940.0</v>
      </c>
      <c r="AP609" s="11">
        <v>-58730.0</v>
      </c>
      <c r="AQ609" s="11">
        <v>-217760.0</v>
      </c>
      <c r="AR609" s="11">
        <v>-194900.0</v>
      </c>
      <c r="AS609" s="11">
        <v>61120.0</v>
      </c>
      <c r="AT609" s="11">
        <v>65910.0</v>
      </c>
      <c r="AU609" s="11">
        <v>24070.0</v>
      </c>
      <c r="AV609" s="11">
        <v>-49980.0</v>
      </c>
      <c r="AW609" s="11">
        <v>-56090.0</v>
      </c>
      <c r="AX609" s="11">
        <v>-50420.0</v>
      </c>
      <c r="AY609" s="11">
        <v>-243330.0</v>
      </c>
      <c r="AZ609" s="12">
        <v>-552.0</v>
      </c>
      <c r="BA609" s="12">
        <v>-787.0</v>
      </c>
      <c r="BB609" s="11">
        <v>-67360.0</v>
      </c>
      <c r="BC609" s="11">
        <v>-20880.0</v>
      </c>
      <c r="BD609" s="12"/>
      <c r="BE609" s="12"/>
      <c r="BF609" s="12"/>
      <c r="BG609" s="12"/>
      <c r="BH609" s="11">
        <v>161930.0</v>
      </c>
      <c r="BI609" s="11">
        <v>202450.0</v>
      </c>
      <c r="BJ609" s="11">
        <v>181710.0</v>
      </c>
      <c r="BK609" s="11">
        <v>141640.0</v>
      </c>
      <c r="BL609" s="11">
        <v>140570.0</v>
      </c>
      <c r="BM609" s="11">
        <v>15740.0</v>
      </c>
      <c r="BN609" s="11">
        <v>23160.0</v>
      </c>
      <c r="BO609" s="11">
        <v>16350.0</v>
      </c>
      <c r="BP609" s="11">
        <v>11400.0</v>
      </c>
      <c r="BQ609" s="11">
        <v>13320.0</v>
      </c>
      <c r="BR609" s="11">
        <v>27850.0</v>
      </c>
      <c r="BS609" s="11">
        <v>30150.0</v>
      </c>
      <c r="BT609" s="11">
        <v>15980.0</v>
      </c>
      <c r="BU609" s="11">
        <v>9630.0</v>
      </c>
      <c r="BV609" s="11">
        <v>10480.0</v>
      </c>
      <c r="BW609" s="11">
        <v>221240.0</v>
      </c>
      <c r="BX609" s="11">
        <v>268160.0</v>
      </c>
      <c r="BY609" s="11">
        <v>217240.0</v>
      </c>
      <c r="BZ609" s="11">
        <v>172610.0</v>
      </c>
      <c r="CA609" s="11">
        <v>172530.0</v>
      </c>
      <c r="CB609" s="11">
        <v>1290000.0</v>
      </c>
      <c r="CC609" s="11">
        <v>1350000.0</v>
      </c>
      <c r="CD609" s="11">
        <v>1270000.0</v>
      </c>
      <c r="CE609" s="11">
        <v>1360000.0</v>
      </c>
      <c r="CF609" s="11">
        <v>1510000.0</v>
      </c>
      <c r="CG609" s="11"/>
      <c r="CH609" s="11"/>
      <c r="CI609" s="11"/>
      <c r="CJ609" s="11"/>
      <c r="CK609" s="11"/>
      <c r="CL609" s="11">
        <v>1530000.0</v>
      </c>
      <c r="CM609" s="11">
        <v>1630000.0</v>
      </c>
      <c r="CN609" s="11">
        <v>1520000.0</v>
      </c>
      <c r="CO609" s="11">
        <v>1570000.0</v>
      </c>
      <c r="CP609" s="11">
        <v>1710000.0</v>
      </c>
      <c r="CQ609" s="11">
        <v>26040.0</v>
      </c>
      <c r="CR609" s="11">
        <v>15110.0</v>
      </c>
      <c r="CS609" s="11">
        <v>9860.0</v>
      </c>
      <c r="CT609" s="11">
        <v>6700.0</v>
      </c>
      <c r="CU609" s="11">
        <v>8270.0</v>
      </c>
      <c r="CV609" s="11">
        <v>127660.0</v>
      </c>
      <c r="CW609" s="11">
        <v>1680.0</v>
      </c>
      <c r="CX609" s="12"/>
      <c r="CY609" s="12"/>
      <c r="CZ609" s="12"/>
      <c r="DA609" s="12"/>
      <c r="DB609" s="11">
        <v>127660.0</v>
      </c>
      <c r="DC609" s="11">
        <v>101870.0</v>
      </c>
      <c r="DD609" s="11">
        <v>52450.0</v>
      </c>
      <c r="DE609" s="11">
        <v>28950.0</v>
      </c>
      <c r="DF609" s="11">
        <v>550460.0</v>
      </c>
      <c r="DG609" s="11">
        <v>574160.0</v>
      </c>
      <c r="DH609" s="11">
        <v>545930.0</v>
      </c>
      <c r="DI609" s="11">
        <v>539260.0</v>
      </c>
      <c r="DJ609" s="11">
        <v>608700.0</v>
      </c>
      <c r="DK609" s="11">
        <v>315.0</v>
      </c>
      <c r="DL609" s="12">
        <v>315.0</v>
      </c>
      <c r="DM609" s="11">
        <v>23230.0</v>
      </c>
      <c r="DN609" s="11">
        <v>27430.0</v>
      </c>
      <c r="DO609" s="11">
        <v>12640.0</v>
      </c>
      <c r="DP609" s="11">
        <v>422810.0</v>
      </c>
      <c r="DQ609" s="11">
        <v>472300.0</v>
      </c>
      <c r="DR609" s="11">
        <v>493480.0</v>
      </c>
      <c r="DS609" s="11">
        <v>510310.0</v>
      </c>
      <c r="DT609" s="11">
        <v>1150.0</v>
      </c>
      <c r="DU609" s="13"/>
      <c r="DV609" s="12"/>
      <c r="DW609" s="12"/>
      <c r="DX609" s="11">
        <v>120790.0</v>
      </c>
      <c r="DY609" s="12"/>
      <c r="DZ609" s="11">
        <v>978430.0</v>
      </c>
      <c r="EA609" s="11">
        <v>1050000.0</v>
      </c>
      <c r="EB609" s="11">
        <v>975030.0</v>
      </c>
      <c r="EC609" s="11">
        <v>1030000.0</v>
      </c>
      <c r="ED609" s="11">
        <v>1110000.0</v>
      </c>
      <c r="EE609" s="14">
        <v>0.232</v>
      </c>
      <c r="EF609" s="14">
        <v>0.198</v>
      </c>
      <c r="EG609" s="14">
        <v>0.189</v>
      </c>
      <c r="EH609" s="14">
        <v>-1.177</v>
      </c>
    </row>
    <row r="610">
      <c r="A610" s="9">
        <f t="shared" si="2"/>
        <v>608</v>
      </c>
      <c r="B610" s="32" t="s">
        <v>745</v>
      </c>
      <c r="C610" s="11">
        <v>135260.0</v>
      </c>
      <c r="D610" s="11">
        <v>127890.0</v>
      </c>
      <c r="E610" s="11">
        <v>88020.0</v>
      </c>
      <c r="F610" s="11">
        <v>70760.0</v>
      </c>
      <c r="G610" s="11">
        <v>52520.0</v>
      </c>
      <c r="H610" s="11">
        <v>49270.0</v>
      </c>
      <c r="I610" s="11">
        <v>39410.0</v>
      </c>
      <c r="J610" s="11">
        <v>28600.0</v>
      </c>
      <c r="K610" s="11">
        <v>19480.0</v>
      </c>
      <c r="L610" s="11">
        <v>20010.0</v>
      </c>
      <c r="M610" s="11">
        <v>29570.0</v>
      </c>
      <c r="N610" s="11">
        <v>24090.0</v>
      </c>
      <c r="O610" s="11">
        <v>70420.0</v>
      </c>
      <c r="P610" s="11">
        <v>67250.0</v>
      </c>
      <c r="Q610" s="11">
        <v>79520.0</v>
      </c>
      <c r="R610" s="11">
        <v>78560.0</v>
      </c>
      <c r="S610" s="11">
        <v>65630.0</v>
      </c>
      <c r="T610" s="11">
        <v>27140.0</v>
      </c>
      <c r="U610" s="11">
        <v>27930.0</v>
      </c>
      <c r="V610" s="11">
        <v>42760.0</v>
      </c>
      <c r="W610" s="11">
        <v>49460.0</v>
      </c>
      <c r="X610" s="11">
        <v>37470.0</v>
      </c>
      <c r="Y610" s="12"/>
      <c r="Z610" s="12"/>
      <c r="AA610" s="12"/>
      <c r="AB610" s="12"/>
      <c r="AC610" s="12"/>
      <c r="AD610" s="11">
        <v>-47290.0</v>
      </c>
      <c r="AE610" s="11">
        <v>-50360.0</v>
      </c>
      <c r="AF610" s="11">
        <v>-61750.0</v>
      </c>
      <c r="AG610" s="11">
        <v>-50500.0</v>
      </c>
      <c r="AH610" s="11">
        <v>-42160.0</v>
      </c>
      <c r="AI610" s="11">
        <v>-34550.0</v>
      </c>
      <c r="AJ610" s="11">
        <v>-40680.0</v>
      </c>
      <c r="AK610" s="11">
        <v>-54200.0</v>
      </c>
      <c r="AL610" s="11">
        <v>-45070.0</v>
      </c>
      <c r="AM610" s="11">
        <v>-38130.0</v>
      </c>
      <c r="AN610" s="11">
        <v>-47350.0</v>
      </c>
      <c r="AO610" s="11">
        <v>-50500.0</v>
      </c>
      <c r="AP610" s="11">
        <v>-61850.0</v>
      </c>
      <c r="AQ610" s="11">
        <v>-50600.0</v>
      </c>
      <c r="AR610" s="11">
        <v>-42200.0</v>
      </c>
      <c r="AS610" s="11">
        <v>-34930.0</v>
      </c>
      <c r="AT610" s="11">
        <v>-32510.0</v>
      </c>
      <c r="AU610" s="11">
        <v>-53420.0</v>
      </c>
      <c r="AV610" s="11">
        <v>-35640.0</v>
      </c>
      <c r="AW610" s="11">
        <v>-31920.0</v>
      </c>
      <c r="AX610" s="11">
        <v>-2090.0</v>
      </c>
      <c r="AY610" s="11">
        <v>-2580.0</v>
      </c>
      <c r="AZ610" s="11">
        <v>-5320.0</v>
      </c>
      <c r="BA610" s="11">
        <v>-8500.0</v>
      </c>
      <c r="BB610" s="11">
        <v>-4310.0</v>
      </c>
      <c r="BC610" s="12"/>
      <c r="BD610" s="12"/>
      <c r="BE610" s="12"/>
      <c r="BF610" s="12"/>
      <c r="BG610" s="12"/>
      <c r="BH610" s="11">
        <v>53460.0</v>
      </c>
      <c r="BI610" s="11">
        <v>45170.0</v>
      </c>
      <c r="BJ610" s="11">
        <v>71990.0</v>
      </c>
      <c r="BK610" s="11">
        <v>41570.0</v>
      </c>
      <c r="BL610" s="11">
        <v>45470.0</v>
      </c>
      <c r="BM610" s="11">
        <v>16760.0</v>
      </c>
      <c r="BN610" s="11">
        <v>11530.0</v>
      </c>
      <c r="BO610" s="11">
        <v>10680.0</v>
      </c>
      <c r="BP610" s="11">
        <v>9050.0</v>
      </c>
      <c r="BQ610" s="11">
        <v>6850.0</v>
      </c>
      <c r="BR610" s="11">
        <v>11300.0</v>
      </c>
      <c r="BS610" s="11">
        <v>10240.0</v>
      </c>
      <c r="BT610" s="11">
        <v>10950.0</v>
      </c>
      <c r="BU610" s="11">
        <v>6630.0</v>
      </c>
      <c r="BV610" s="11">
        <v>3050.0</v>
      </c>
      <c r="BW610" s="11">
        <v>83400.0</v>
      </c>
      <c r="BX610" s="11">
        <v>68430.0</v>
      </c>
      <c r="BY610" s="11">
        <v>95830.0</v>
      </c>
      <c r="BZ610" s="11">
        <v>58450.0</v>
      </c>
      <c r="CA610" s="11">
        <v>55960.0</v>
      </c>
      <c r="CB610" s="11">
        <v>25060.0</v>
      </c>
      <c r="CC610" s="11">
        <v>21070.0</v>
      </c>
      <c r="CD610" s="11">
        <v>22580.0</v>
      </c>
      <c r="CE610" s="11">
        <v>18270.0</v>
      </c>
      <c r="CF610" s="11">
        <v>11400.0</v>
      </c>
      <c r="CG610" s="12"/>
      <c r="CH610" s="12"/>
      <c r="CI610" s="12"/>
      <c r="CJ610" s="12"/>
      <c r="CK610" s="12"/>
      <c r="CL610" s="11">
        <v>111470.0</v>
      </c>
      <c r="CM610" s="11">
        <v>92980.0</v>
      </c>
      <c r="CN610" s="11">
        <v>122300.0</v>
      </c>
      <c r="CO610" s="11">
        <v>80320.0</v>
      </c>
      <c r="CP610" s="11">
        <v>70670.0</v>
      </c>
      <c r="CQ610" s="11">
        <v>12250.0</v>
      </c>
      <c r="CR610" s="11">
        <v>9890.0</v>
      </c>
      <c r="CS610" s="11">
        <v>11170.0</v>
      </c>
      <c r="CT610" s="11">
        <v>8700.0</v>
      </c>
      <c r="CU610" s="11">
        <v>4380.0</v>
      </c>
      <c r="CV610" s="11">
        <v>24320.0</v>
      </c>
      <c r="CW610" s="11">
        <v>1840.0</v>
      </c>
      <c r="CX610" s="12"/>
      <c r="CY610" s="12"/>
      <c r="CZ610" s="12"/>
      <c r="DA610" s="12"/>
      <c r="DB610" s="11">
        <v>24320.0</v>
      </c>
      <c r="DC610" s="11">
        <v>20290.0</v>
      </c>
      <c r="DD610" s="11">
        <v>27740.0</v>
      </c>
      <c r="DE610" s="11">
        <v>26420.0</v>
      </c>
      <c r="DF610" s="11">
        <v>99310.0</v>
      </c>
      <c r="DG610" s="11">
        <v>59430.0</v>
      </c>
      <c r="DH610" s="11">
        <v>51140.0</v>
      </c>
      <c r="DI610" s="11">
        <v>42170.0</v>
      </c>
      <c r="DJ610" s="11">
        <v>22070.0</v>
      </c>
      <c r="DK610" s="11">
        <v>758.0</v>
      </c>
      <c r="DL610" s="11">
        <v>758.0</v>
      </c>
      <c r="DM610" s="11">
        <v>758.0</v>
      </c>
      <c r="DN610" s="11">
        <v>758.0</v>
      </c>
      <c r="DO610" s="24">
        <v>758.0</v>
      </c>
      <c r="DP610" s="11">
        <v>74940.0</v>
      </c>
      <c r="DQ610" s="11">
        <v>36040.0</v>
      </c>
      <c r="DR610" s="11">
        <v>20100.0</v>
      </c>
      <c r="DS610" s="11">
        <v>11880.0</v>
      </c>
      <c r="DT610" s="11">
        <v>9890.0</v>
      </c>
      <c r="DU610" s="13"/>
      <c r="DV610" s="12"/>
      <c r="DW610" s="12"/>
      <c r="DX610" s="12"/>
      <c r="DY610" s="13"/>
      <c r="DZ610" s="11">
        <v>12160.0</v>
      </c>
      <c r="EA610" s="11">
        <v>33550.0</v>
      </c>
      <c r="EB610" s="11">
        <v>71160.0</v>
      </c>
      <c r="EC610" s="11">
        <v>38150.0</v>
      </c>
      <c r="ED610" s="11">
        <v>48600.0</v>
      </c>
      <c r="EE610" s="14">
        <v>0.149</v>
      </c>
      <c r="EF610" s="14">
        <v>0.084</v>
      </c>
      <c r="EG610" s="14">
        <v>0.143</v>
      </c>
      <c r="EH610" s="14">
        <v>-0.017</v>
      </c>
    </row>
    <row r="611">
      <c r="A611" s="9">
        <f t="shared" si="2"/>
        <v>609</v>
      </c>
      <c r="B611" s="22" t="s">
        <v>746</v>
      </c>
      <c r="C611" s="11">
        <v>50000.0</v>
      </c>
      <c r="D611" s="12"/>
      <c r="E611" s="12"/>
      <c r="F611" s="12"/>
      <c r="G611" s="12"/>
      <c r="H611" s="12"/>
      <c r="I611" s="12"/>
      <c r="J611" s="11">
        <v>-13.0</v>
      </c>
      <c r="K611" s="11">
        <v>-6.0</v>
      </c>
      <c r="L611" s="12"/>
      <c r="M611" s="12"/>
      <c r="N611" s="12"/>
      <c r="O611" s="11">
        <v>10670.0</v>
      </c>
      <c r="P611" s="11">
        <v>12360.0</v>
      </c>
      <c r="Q611" s="12"/>
      <c r="R611" s="12"/>
      <c r="S611" s="12"/>
      <c r="T611" s="11">
        <v>1970.0</v>
      </c>
      <c r="U611" s="11">
        <v>971.0</v>
      </c>
      <c r="V611" s="12"/>
      <c r="W611" s="12"/>
      <c r="X611" s="12"/>
      <c r="Y611" s="12"/>
      <c r="Z611" s="12"/>
      <c r="AA611" s="12"/>
      <c r="AB611" s="12"/>
      <c r="AC611" s="12"/>
      <c r="AD611" s="11">
        <v>-10650.0</v>
      </c>
      <c r="AE611" s="11">
        <v>-12370.0</v>
      </c>
      <c r="AF611" s="12"/>
      <c r="AG611" s="12"/>
      <c r="AH611" s="12"/>
      <c r="AI611" s="11">
        <v>-10670.0</v>
      </c>
      <c r="AJ611" s="11">
        <v>-12360.0</v>
      </c>
      <c r="AK611" s="12"/>
      <c r="AL611" s="12"/>
      <c r="AM611" s="12"/>
      <c r="AN611" s="11">
        <v>-10650.0</v>
      </c>
      <c r="AO611" s="11">
        <v>-12370.0</v>
      </c>
      <c r="AP611" s="12"/>
      <c r="AQ611" s="12"/>
      <c r="AR611" s="12"/>
      <c r="AS611" s="11">
        <v>-6920.0</v>
      </c>
      <c r="AT611" s="11">
        <v>-6830.0</v>
      </c>
      <c r="AU611" s="12"/>
      <c r="AV611" s="12"/>
      <c r="AW611" s="12"/>
      <c r="AX611" s="11">
        <v>-145.0</v>
      </c>
      <c r="AY611" s="11">
        <v>-103.0</v>
      </c>
      <c r="AZ611" s="12"/>
      <c r="BA611" s="12"/>
      <c r="BB611" s="12"/>
      <c r="BC611" s="12"/>
      <c r="BD611" s="12"/>
      <c r="BE611" s="12"/>
      <c r="BF611" s="12"/>
      <c r="BG611" s="12"/>
      <c r="BH611" s="11">
        <v>2000.0</v>
      </c>
      <c r="BI611" s="11">
        <v>8600.0</v>
      </c>
      <c r="BJ611" s="12"/>
      <c r="BK611" s="12"/>
      <c r="BL611" s="12"/>
      <c r="BM611" s="11">
        <v>1.0</v>
      </c>
      <c r="BN611" s="11">
        <v>9.0</v>
      </c>
      <c r="BO611" s="12"/>
      <c r="BP611" s="12"/>
      <c r="BQ611" s="12"/>
      <c r="BR611" s="11">
        <v>802.0</v>
      </c>
      <c r="BS611" s="12"/>
      <c r="BT611" s="12"/>
      <c r="BU611" s="12"/>
      <c r="BV611" s="12"/>
      <c r="BW611" s="11">
        <v>2980.0</v>
      </c>
      <c r="BX611" s="11">
        <v>8850.0</v>
      </c>
      <c r="BY611" s="12"/>
      <c r="BZ611" s="12"/>
      <c r="CA611" s="12"/>
      <c r="CB611" s="11">
        <v>45.0</v>
      </c>
      <c r="CC611" s="11">
        <v>24.0</v>
      </c>
      <c r="CD611" s="12"/>
      <c r="CE611" s="12"/>
      <c r="CF611" s="12"/>
      <c r="CG611" s="12"/>
      <c r="CH611" s="12"/>
      <c r="CI611" s="12"/>
      <c r="CJ611" s="12"/>
      <c r="CK611" s="12"/>
      <c r="CL611" s="11">
        <v>3530.0</v>
      </c>
      <c r="CM611" s="11">
        <v>9270.0</v>
      </c>
      <c r="CN611" s="12"/>
      <c r="CO611" s="12"/>
      <c r="CP611" s="12"/>
      <c r="CQ611" s="11">
        <v>436.0</v>
      </c>
      <c r="CR611" s="12"/>
      <c r="CS611" s="12"/>
      <c r="CT611" s="12"/>
      <c r="CU611" s="12"/>
      <c r="CV611" s="11">
        <v>511.0</v>
      </c>
      <c r="CW611" s="12"/>
      <c r="CX611" s="12"/>
      <c r="CY611" s="12"/>
      <c r="CZ611" s="12"/>
      <c r="DA611" s="12"/>
      <c r="DB611" s="11">
        <v>511.0</v>
      </c>
      <c r="DC611" s="11">
        <v>388.0</v>
      </c>
      <c r="DD611" s="12"/>
      <c r="DE611" s="12"/>
      <c r="DF611" s="11">
        <v>511.0</v>
      </c>
      <c r="DG611" s="11">
        <v>388.0</v>
      </c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3"/>
      <c r="DV611" s="12"/>
      <c r="DW611" s="12"/>
      <c r="DX611" s="13"/>
      <c r="DY611" s="13"/>
      <c r="DZ611" s="11">
        <v>3020.0</v>
      </c>
      <c r="EA611" s="11">
        <v>8880.0</v>
      </c>
      <c r="EB611" s="12"/>
      <c r="EC611" s="12"/>
      <c r="ED611" s="12"/>
      <c r="EE611" s="23"/>
      <c r="EF611" s="14">
        <v>0.0</v>
      </c>
      <c r="EG611" s="14">
        <v>0.077</v>
      </c>
      <c r="EH611" s="14">
        <v>-0.317</v>
      </c>
    </row>
    <row r="612">
      <c r="A612" s="9">
        <f t="shared" si="2"/>
        <v>610</v>
      </c>
      <c r="B612" s="10" t="s">
        <v>747</v>
      </c>
      <c r="C612" s="11">
        <v>1880000.0</v>
      </c>
      <c r="D612" s="11">
        <v>1610000.0</v>
      </c>
      <c r="E612" s="11">
        <v>1860000.0</v>
      </c>
      <c r="F612" s="11">
        <v>1830000.0</v>
      </c>
      <c r="G612" s="11">
        <v>1790000.0</v>
      </c>
      <c r="H612" s="11">
        <v>1680000.0</v>
      </c>
      <c r="I612" s="11">
        <v>1540000.0</v>
      </c>
      <c r="J612" s="11">
        <v>688310.0</v>
      </c>
      <c r="K612" s="11">
        <v>690470.0</v>
      </c>
      <c r="L612" s="11">
        <v>694530.0</v>
      </c>
      <c r="M612" s="11">
        <v>668450.0</v>
      </c>
      <c r="N612" s="11">
        <v>603780.0</v>
      </c>
      <c r="O612" s="11">
        <v>199770.0</v>
      </c>
      <c r="P612" s="11">
        <v>182340.0</v>
      </c>
      <c r="Q612" s="11">
        <v>171170.0</v>
      </c>
      <c r="R612" s="11">
        <v>156710.0</v>
      </c>
      <c r="S612" s="11">
        <v>145010.0</v>
      </c>
      <c r="T612" s="11">
        <v>114690.0</v>
      </c>
      <c r="U612" s="11">
        <v>107130.0</v>
      </c>
      <c r="V612" s="11">
        <v>99730.0</v>
      </c>
      <c r="W612" s="11">
        <v>94240.0</v>
      </c>
      <c r="X612" s="11">
        <v>88390.0</v>
      </c>
      <c r="Y612" s="12"/>
      <c r="Z612" s="12"/>
      <c r="AA612" s="11">
        <v>523260.0</v>
      </c>
      <c r="AB612" s="12"/>
      <c r="AC612" s="12"/>
      <c r="AD612" s="11">
        <v>500420.0</v>
      </c>
      <c r="AE612" s="11">
        <v>522050.0</v>
      </c>
      <c r="AF612" s="11">
        <v>531800.0</v>
      </c>
      <c r="AG612" s="11">
        <v>510560.0</v>
      </c>
      <c r="AH612" s="11">
        <v>463590.0</v>
      </c>
      <c r="AI612" s="11">
        <v>593240.0</v>
      </c>
      <c r="AJ612" s="11">
        <v>610310.0</v>
      </c>
      <c r="AK612" s="11">
        <v>622930.0</v>
      </c>
      <c r="AL612" s="11">
        <v>600330.0</v>
      </c>
      <c r="AM612" s="11">
        <v>539370.0</v>
      </c>
      <c r="AN612" s="11">
        <v>419660.0</v>
      </c>
      <c r="AO612" s="11">
        <v>437880.0</v>
      </c>
      <c r="AP612" s="11">
        <v>406790.0</v>
      </c>
      <c r="AQ612" s="11">
        <v>347590.0</v>
      </c>
      <c r="AR612" s="11">
        <v>318470.0</v>
      </c>
      <c r="AS612" s="11">
        <v>505970.0</v>
      </c>
      <c r="AT612" s="11">
        <v>552420.0</v>
      </c>
      <c r="AU612" s="11">
        <v>501000.0</v>
      </c>
      <c r="AV612" s="11">
        <v>471460.0</v>
      </c>
      <c r="AW612" s="11">
        <v>351580.0</v>
      </c>
      <c r="AX612" s="11">
        <v>-87610.0</v>
      </c>
      <c r="AY612" s="11">
        <v>-91590.0</v>
      </c>
      <c r="AZ612" s="11">
        <v>-104040.0</v>
      </c>
      <c r="BA612" s="11">
        <v>-128230.0</v>
      </c>
      <c r="BB612" s="11">
        <v>-100780.0</v>
      </c>
      <c r="BC612" s="11">
        <v>-116310.0</v>
      </c>
      <c r="BD612" s="11">
        <v>-116570.0</v>
      </c>
      <c r="BE612" s="11">
        <v>-108820.0</v>
      </c>
      <c r="BF612" s="11">
        <v>-101130.0</v>
      </c>
      <c r="BG612" s="11">
        <v>-96990.0</v>
      </c>
      <c r="BH612" s="11">
        <v>436710.0</v>
      </c>
      <c r="BI612" s="11">
        <v>386440.0</v>
      </c>
      <c r="BJ612" s="11">
        <v>722270.0</v>
      </c>
      <c r="BK612" s="11">
        <v>723500.0</v>
      </c>
      <c r="BL612" s="11">
        <v>556100.0</v>
      </c>
      <c r="BM612" s="11">
        <v>235410.0</v>
      </c>
      <c r="BN612" s="11">
        <v>213540.0</v>
      </c>
      <c r="BO612" s="11">
        <v>231120.0</v>
      </c>
      <c r="BP612" s="11">
        <v>211590.0</v>
      </c>
      <c r="BQ612" s="11">
        <v>195970.0</v>
      </c>
      <c r="BR612" s="11">
        <v>248940.0</v>
      </c>
      <c r="BS612" s="11">
        <v>225280.0</v>
      </c>
      <c r="BT612" s="11">
        <v>216770.0</v>
      </c>
      <c r="BU612" s="11">
        <v>189310.0</v>
      </c>
      <c r="BV612" s="11">
        <v>174700.0</v>
      </c>
      <c r="BW612" s="11">
        <v>950380.0</v>
      </c>
      <c r="BX612" s="11">
        <v>850930.0</v>
      </c>
      <c r="BY612" s="11">
        <v>1180000.0</v>
      </c>
      <c r="BZ612" s="11">
        <v>1150000.0</v>
      </c>
      <c r="CA612" s="11">
        <v>984010.0</v>
      </c>
      <c r="CB612" s="11">
        <v>498320.0</v>
      </c>
      <c r="CC612" s="11">
        <v>498470.0</v>
      </c>
      <c r="CD612" s="11">
        <v>492480.0</v>
      </c>
      <c r="CE612" s="11">
        <v>465820.0</v>
      </c>
      <c r="CF612" s="11">
        <v>412720.0</v>
      </c>
      <c r="CG612" s="11">
        <v>307370.0</v>
      </c>
      <c r="CH612" s="11">
        <v>307370.0</v>
      </c>
      <c r="CI612" s="11">
        <v>307370.0</v>
      </c>
      <c r="CJ612" s="11">
        <v>307370.0</v>
      </c>
      <c r="CK612" s="11">
        <v>307370.0</v>
      </c>
      <c r="CL612" s="11">
        <v>2180000.0</v>
      </c>
      <c r="CM612" s="11">
        <v>2100000.0</v>
      </c>
      <c r="CN612" s="11">
        <v>2370000.0</v>
      </c>
      <c r="CO612" s="11">
        <v>2340000.0</v>
      </c>
      <c r="CP612" s="11">
        <v>2150000.0</v>
      </c>
      <c r="CQ612" s="11">
        <v>97550.0</v>
      </c>
      <c r="CR612" s="11">
        <v>92810.0</v>
      </c>
      <c r="CS612" s="11">
        <v>89900.0</v>
      </c>
      <c r="CT612" s="11">
        <v>79960.0</v>
      </c>
      <c r="CU612" s="11">
        <v>66350.0</v>
      </c>
      <c r="CV612" s="11">
        <v>171850.0</v>
      </c>
      <c r="CW612" s="12"/>
      <c r="CX612" s="12"/>
      <c r="CY612" s="12"/>
      <c r="CZ612" s="12"/>
      <c r="DA612" s="12"/>
      <c r="DB612" s="11">
        <v>171850.0</v>
      </c>
      <c r="DC612" s="11">
        <v>169160.0</v>
      </c>
      <c r="DD612" s="11">
        <v>243650.0</v>
      </c>
      <c r="DE612" s="11">
        <v>149860.0</v>
      </c>
      <c r="DF612" s="11">
        <v>246360.0</v>
      </c>
      <c r="DG612" s="11">
        <v>238740.0</v>
      </c>
      <c r="DH612" s="11">
        <v>319360.0</v>
      </c>
      <c r="DI612" s="11">
        <v>426100.0</v>
      </c>
      <c r="DJ612" s="11">
        <v>430240.0</v>
      </c>
      <c r="DK612" s="11">
        <v>139910.0</v>
      </c>
      <c r="DL612" s="11">
        <v>137980.0</v>
      </c>
      <c r="DM612" s="11">
        <v>57780.0</v>
      </c>
      <c r="DN612" s="11">
        <v>49890.0</v>
      </c>
      <c r="DO612" s="11">
        <v>95160.0</v>
      </c>
      <c r="DP612" s="12"/>
      <c r="DQ612" s="12"/>
      <c r="DR612" s="12"/>
      <c r="DS612" s="11">
        <v>178130.0</v>
      </c>
      <c r="DT612" s="11">
        <v>225630.0</v>
      </c>
      <c r="DU612" s="13"/>
      <c r="DV612" s="13"/>
      <c r="DW612" s="12"/>
      <c r="DX612" s="12"/>
      <c r="DY612" s="13"/>
      <c r="DZ612" s="11">
        <v>1940000.0</v>
      </c>
      <c r="EA612" s="11">
        <v>1860000.0</v>
      </c>
      <c r="EB612" s="11">
        <v>2050000.0</v>
      </c>
      <c r="EC612" s="11">
        <v>1910000.0</v>
      </c>
      <c r="ED612" s="11">
        <v>1720000.0</v>
      </c>
      <c r="EE612" s="14">
        <v>0.037</v>
      </c>
      <c r="EF612" s="14">
        <v>0.17</v>
      </c>
      <c r="EG612" s="14">
        <v>0.059</v>
      </c>
      <c r="EH612" s="14">
        <v>0.053</v>
      </c>
    </row>
    <row r="613">
      <c r="A613" s="9">
        <f t="shared" si="2"/>
        <v>611</v>
      </c>
      <c r="B613" s="10" t="s">
        <v>748</v>
      </c>
      <c r="C613" s="11">
        <v>460020.0</v>
      </c>
      <c r="D613" s="11">
        <v>375120.0</v>
      </c>
      <c r="E613" s="11">
        <v>705800.0</v>
      </c>
      <c r="F613" s="11">
        <v>656070.0</v>
      </c>
      <c r="G613" s="11">
        <v>460020.0</v>
      </c>
      <c r="H613" s="11">
        <v>256860.0</v>
      </c>
      <c r="I613" s="11">
        <v>190240.0</v>
      </c>
      <c r="J613" s="11">
        <v>115950.0</v>
      </c>
      <c r="K613" s="11">
        <v>157550.0</v>
      </c>
      <c r="L613" s="11">
        <v>60130.0</v>
      </c>
      <c r="M613" s="11">
        <v>-55990.0</v>
      </c>
      <c r="N613" s="11">
        <v>-54330.0</v>
      </c>
      <c r="O613" s="11">
        <v>14120.0</v>
      </c>
      <c r="P613" s="11">
        <v>14710.0</v>
      </c>
      <c r="Q613" s="11">
        <v>12560.0</v>
      </c>
      <c r="R613" s="11">
        <v>14530.0</v>
      </c>
      <c r="S613" s="11">
        <v>17200.0</v>
      </c>
      <c r="T613" s="12"/>
      <c r="U613" s="12"/>
      <c r="V613" s="12"/>
      <c r="W613" s="12"/>
      <c r="X613" s="12"/>
      <c r="Y613" s="12"/>
      <c r="Z613" s="11">
        <v>141760.0</v>
      </c>
      <c r="AA613" s="11">
        <v>46650.0</v>
      </c>
      <c r="AB613" s="11">
        <v>-13850.0</v>
      </c>
      <c r="AC613" s="11">
        <v>-252050.0</v>
      </c>
      <c r="AD613" s="11">
        <v>37430.0</v>
      </c>
      <c r="AE613" s="11">
        <v>84770.0</v>
      </c>
      <c r="AF613" s="11">
        <v>-6910.0</v>
      </c>
      <c r="AG613" s="11">
        <v>-127490.0</v>
      </c>
      <c r="AH613" s="11">
        <v>-220220.0</v>
      </c>
      <c r="AI613" s="11">
        <v>195670.0</v>
      </c>
      <c r="AJ613" s="11">
        <v>234990.0</v>
      </c>
      <c r="AK613" s="11">
        <v>125670.0</v>
      </c>
      <c r="AL613" s="11">
        <v>-7090.0</v>
      </c>
      <c r="AM613" s="11">
        <v>-18800.0</v>
      </c>
      <c r="AN613" s="11">
        <v>37190.0</v>
      </c>
      <c r="AO613" s="11">
        <v>84540.0</v>
      </c>
      <c r="AP613" s="11">
        <v>-2350.0</v>
      </c>
      <c r="AQ613" s="11">
        <v>-127710.0</v>
      </c>
      <c r="AR613" s="11">
        <v>-220840.0</v>
      </c>
      <c r="AS613" s="11">
        <v>158610.0</v>
      </c>
      <c r="AT613" s="11">
        <v>186690.0</v>
      </c>
      <c r="AU613" s="11">
        <v>97540.0</v>
      </c>
      <c r="AV613" s="11">
        <v>-39440.0</v>
      </c>
      <c r="AW613" s="11">
        <v>-23720.0</v>
      </c>
      <c r="AX613" s="11">
        <v>-44120.0</v>
      </c>
      <c r="AY613" s="11">
        <v>-158240.0</v>
      </c>
      <c r="AZ613" s="11">
        <v>-159550.0</v>
      </c>
      <c r="BA613" s="11">
        <v>-267540.0</v>
      </c>
      <c r="BB613" s="11">
        <v>-519010.0</v>
      </c>
      <c r="BC613" s="11">
        <v>-46620.0</v>
      </c>
      <c r="BD613" s="11">
        <v>-64910.0</v>
      </c>
      <c r="BE613" s="12"/>
      <c r="BF613" s="12"/>
      <c r="BG613" s="12"/>
      <c r="BH613" s="11">
        <v>118240.0</v>
      </c>
      <c r="BI613" s="11">
        <v>337660.0</v>
      </c>
      <c r="BJ613" s="11">
        <v>333440.0</v>
      </c>
      <c r="BK613" s="11">
        <v>219780.0</v>
      </c>
      <c r="BL613" s="11">
        <v>117580.0</v>
      </c>
      <c r="BM613" s="11">
        <v>119570.0</v>
      </c>
      <c r="BN613" s="11">
        <v>88240.0</v>
      </c>
      <c r="BO613" s="11">
        <v>81670.0</v>
      </c>
      <c r="BP613" s="11">
        <v>55190.0</v>
      </c>
      <c r="BQ613" s="11">
        <v>64950.0</v>
      </c>
      <c r="BR613" s="11">
        <v>28240.0</v>
      </c>
      <c r="BS613" s="11">
        <v>28150.0</v>
      </c>
      <c r="BT613" s="11">
        <v>20140.0</v>
      </c>
      <c r="BU613" s="11">
        <v>17950.0</v>
      </c>
      <c r="BV613" s="11">
        <v>15160.0</v>
      </c>
      <c r="BW613" s="11">
        <v>273080.0</v>
      </c>
      <c r="BX613" s="11">
        <v>461230.0</v>
      </c>
      <c r="BY613" s="11">
        <v>444500.0</v>
      </c>
      <c r="BZ613" s="11">
        <v>299930.0</v>
      </c>
      <c r="CA613" s="11">
        <v>203660.0</v>
      </c>
      <c r="CB613" s="11">
        <v>2590000.0</v>
      </c>
      <c r="CC613" s="11">
        <v>2410000.0</v>
      </c>
      <c r="CD613" s="11">
        <v>2320000.0</v>
      </c>
      <c r="CE613" s="11">
        <v>1940000.0</v>
      </c>
      <c r="CF613" s="11">
        <v>1840000.0</v>
      </c>
      <c r="CG613" s="11"/>
      <c r="CH613" s="11"/>
      <c r="CI613" s="11"/>
      <c r="CJ613" s="11"/>
      <c r="CK613" s="11"/>
      <c r="CL613" s="11">
        <v>2970000.0</v>
      </c>
      <c r="CM613" s="11">
        <v>2950000.0</v>
      </c>
      <c r="CN613" s="11">
        <v>2870000.0</v>
      </c>
      <c r="CO613" s="11">
        <v>2360000.0</v>
      </c>
      <c r="CP613" s="11">
        <v>2180000.0</v>
      </c>
      <c r="CQ613" s="11">
        <v>12400.0</v>
      </c>
      <c r="CR613" s="11">
        <v>7750.0</v>
      </c>
      <c r="CS613" s="11">
        <v>8130.0</v>
      </c>
      <c r="CT613" s="11">
        <v>4270.0</v>
      </c>
      <c r="CU613" s="11">
        <v>6630.0</v>
      </c>
      <c r="CV613" s="11">
        <v>233370.0</v>
      </c>
      <c r="CW613" s="11">
        <v>14380.0</v>
      </c>
      <c r="CX613" s="12"/>
      <c r="CY613" s="12"/>
      <c r="CZ613" s="12"/>
      <c r="DA613" s="12"/>
      <c r="DB613" s="11">
        <v>233370.0</v>
      </c>
      <c r="DC613" s="11">
        <v>541500.0</v>
      </c>
      <c r="DD613" s="11">
        <v>181730.0</v>
      </c>
      <c r="DE613" s="11">
        <v>43600.0</v>
      </c>
      <c r="DF613" s="11">
        <v>1450000.0</v>
      </c>
      <c r="DG613" s="11">
        <v>1430000.0</v>
      </c>
      <c r="DH613" s="11">
        <v>1380000.0</v>
      </c>
      <c r="DI613" s="11">
        <v>1120000.0</v>
      </c>
      <c r="DJ613" s="11">
        <v>1020000.0</v>
      </c>
      <c r="DK613" s="11">
        <v>80350.0</v>
      </c>
      <c r="DL613" s="11">
        <v>48640.0</v>
      </c>
      <c r="DM613" s="11">
        <v>57130.0</v>
      </c>
      <c r="DN613" s="11">
        <v>58020.0</v>
      </c>
      <c r="DO613" s="11">
        <v>54750.0</v>
      </c>
      <c r="DP613" s="11">
        <v>1220000.0</v>
      </c>
      <c r="DQ613" s="11">
        <v>879060.0</v>
      </c>
      <c r="DR613" s="11">
        <v>1190000.0</v>
      </c>
      <c r="DS613" s="11">
        <v>1070000.0</v>
      </c>
      <c r="DT613" s="11">
        <v>931440.0</v>
      </c>
      <c r="DU613" s="13"/>
      <c r="DV613" s="12"/>
      <c r="DW613" s="12"/>
      <c r="DX613" s="12"/>
      <c r="DY613" s="12"/>
      <c r="DZ613" s="11">
        <v>1510000.0</v>
      </c>
      <c r="EA613" s="11">
        <v>1520000.0</v>
      </c>
      <c r="EB613" s="11">
        <v>1490000.0</v>
      </c>
      <c r="EC613" s="11">
        <v>1240000.0</v>
      </c>
      <c r="ED613" s="11">
        <v>1160000.0</v>
      </c>
      <c r="EE613" s="14">
        <v>0.48</v>
      </c>
      <c r="EF613" s="14">
        <v>0.298</v>
      </c>
      <c r="EG613" s="14">
        <v>-0.19</v>
      </c>
      <c r="EH613" s="14">
        <v>-0.067</v>
      </c>
    </row>
    <row r="614">
      <c r="A614" s="9">
        <f t="shared" si="2"/>
        <v>612</v>
      </c>
      <c r="B614" s="10" t="s">
        <v>749</v>
      </c>
      <c r="C614" s="11">
        <v>2040000.0</v>
      </c>
      <c r="D614" s="11">
        <v>1330000.0</v>
      </c>
      <c r="E614" s="11">
        <v>1.386E7</v>
      </c>
      <c r="F614" s="11">
        <v>1.141E7</v>
      </c>
      <c r="G614" s="11">
        <v>1.033E7</v>
      </c>
      <c r="H614" s="11">
        <v>9870000.0</v>
      </c>
      <c r="I614" s="11">
        <v>9780000.0</v>
      </c>
      <c r="J614" s="11">
        <v>4030000.0</v>
      </c>
      <c r="K614" s="11">
        <v>2250000.0</v>
      </c>
      <c r="L614" s="11">
        <v>2880000.0</v>
      </c>
      <c r="M614" s="11">
        <v>2290000.0</v>
      </c>
      <c r="N614" s="11">
        <v>1460000.0</v>
      </c>
      <c r="O614" s="11">
        <v>2210000.0</v>
      </c>
      <c r="P614" s="11">
        <v>1770000.0</v>
      </c>
      <c r="Q614" s="11">
        <v>1890000.0</v>
      </c>
      <c r="R614" s="11">
        <v>1700000.0</v>
      </c>
      <c r="S614" s="11">
        <v>1660000.0</v>
      </c>
      <c r="T614" s="12"/>
      <c r="U614" s="12"/>
      <c r="V614" s="12"/>
      <c r="W614" s="12"/>
      <c r="X614" s="12"/>
      <c r="Y614" s="11">
        <v>1800000.0</v>
      </c>
      <c r="Z614" s="11">
        <v>451570.0</v>
      </c>
      <c r="AA614" s="11">
        <v>-5720.0</v>
      </c>
      <c r="AB614" s="11">
        <v>725300.0</v>
      </c>
      <c r="AC614" s="11">
        <v>-155370.0</v>
      </c>
      <c r="AD614" s="11">
        <v>388870.0</v>
      </c>
      <c r="AE614" s="11">
        <v>-482980.0</v>
      </c>
      <c r="AF614" s="11">
        <v>70060.0</v>
      </c>
      <c r="AG614" s="11">
        <v>1360000.0</v>
      </c>
      <c r="AH614" s="11">
        <v>-3440000.0</v>
      </c>
      <c r="AI614" s="11">
        <v>3540000.0</v>
      </c>
      <c r="AJ614" s="11">
        <v>1150000.0</v>
      </c>
      <c r="AK614" s="11">
        <v>1500000.0</v>
      </c>
      <c r="AL614" s="11">
        <v>1040000.0</v>
      </c>
      <c r="AM614" s="11">
        <v>214160.0</v>
      </c>
      <c r="AN614" s="11">
        <v>-117270.0</v>
      </c>
      <c r="AO614" s="11">
        <v>-1090000.0</v>
      </c>
      <c r="AP614" s="11">
        <v>18790.0</v>
      </c>
      <c r="AQ614" s="11">
        <v>849620.0</v>
      </c>
      <c r="AR614" s="11">
        <v>-4460000.0</v>
      </c>
      <c r="AS614" s="11">
        <v>2300000.0</v>
      </c>
      <c r="AT614" s="11">
        <v>1390000.0</v>
      </c>
      <c r="AU614" s="11">
        <v>1030000.0</v>
      </c>
      <c r="AV614" s="11">
        <v>-102140.0</v>
      </c>
      <c r="AW614" s="11">
        <v>-907910.0</v>
      </c>
      <c r="AX614" s="11">
        <v>-979220.0</v>
      </c>
      <c r="AY614" s="11">
        <v>-875650.0</v>
      </c>
      <c r="AZ614" s="11">
        <v>-425890.0</v>
      </c>
      <c r="BA614" s="11">
        <v>-510870.0</v>
      </c>
      <c r="BB614" s="11">
        <v>-1040000.0</v>
      </c>
      <c r="BC614" s="12"/>
      <c r="BD614" s="12"/>
      <c r="BE614" s="12"/>
      <c r="BF614" s="12"/>
      <c r="BG614" s="12"/>
      <c r="BH614" s="11">
        <v>2900000.0</v>
      </c>
      <c r="BI614" s="11">
        <v>1440000.0</v>
      </c>
      <c r="BJ614" s="11">
        <v>1980000.0</v>
      </c>
      <c r="BK614" s="11">
        <v>997260.0</v>
      </c>
      <c r="BL614" s="11">
        <v>1630000.0</v>
      </c>
      <c r="BM614" s="11">
        <v>1680000.0</v>
      </c>
      <c r="BN614" s="11">
        <v>1210000.0</v>
      </c>
      <c r="BO614" s="11">
        <v>1020000.0</v>
      </c>
      <c r="BP614" s="11">
        <v>787520.0</v>
      </c>
      <c r="BQ614" s="11">
        <v>520690.0</v>
      </c>
      <c r="BR614" s="11">
        <v>199210.0</v>
      </c>
      <c r="BS614" s="11">
        <v>180140.0</v>
      </c>
      <c r="BT614" s="11">
        <v>178490.0</v>
      </c>
      <c r="BU614" s="11">
        <v>182590.0</v>
      </c>
      <c r="BV614" s="11">
        <v>199240.0</v>
      </c>
      <c r="BW614" s="11">
        <v>4930000.0</v>
      </c>
      <c r="BX614" s="11">
        <v>3310000.0</v>
      </c>
      <c r="BY614" s="11">
        <v>3340000.0</v>
      </c>
      <c r="BZ614" s="11">
        <v>2080000.0</v>
      </c>
      <c r="CA614" s="11">
        <v>2460000.0</v>
      </c>
      <c r="CB614" s="11">
        <v>6060000.0</v>
      </c>
      <c r="CC614" s="11">
        <v>2820000.0</v>
      </c>
      <c r="CD614" s="11">
        <v>3200000.0</v>
      </c>
      <c r="CE614" s="11">
        <v>3030000.0</v>
      </c>
      <c r="CF614" s="11">
        <v>4260000.0</v>
      </c>
      <c r="CG614" s="11">
        <v>542300.0</v>
      </c>
      <c r="CH614" s="11">
        <v>542300.0</v>
      </c>
      <c r="CI614" s="11">
        <v>542300.0</v>
      </c>
      <c r="CJ614" s="11">
        <v>542300.0</v>
      </c>
      <c r="CK614" s="11">
        <v>542300.0</v>
      </c>
      <c r="CL614" s="11">
        <v>1.53E7</v>
      </c>
      <c r="CM614" s="11">
        <v>1.038E7</v>
      </c>
      <c r="CN614" s="11">
        <v>1.0E7</v>
      </c>
      <c r="CO614" s="11">
        <v>8400000.0</v>
      </c>
      <c r="CP614" s="11">
        <v>1.037E7</v>
      </c>
      <c r="CQ614" s="11">
        <v>1290000.0</v>
      </c>
      <c r="CR614" s="11">
        <v>1400000.0</v>
      </c>
      <c r="CS614" s="11">
        <v>1250000.0</v>
      </c>
      <c r="CT614" s="11">
        <v>1100000.0</v>
      </c>
      <c r="CU614" s="11">
        <v>900680.0</v>
      </c>
      <c r="CV614" s="11">
        <v>1.036E7</v>
      </c>
      <c r="CW614" s="11">
        <v>2540000.0</v>
      </c>
      <c r="CX614" s="11">
        <v>970310.0</v>
      </c>
      <c r="CY614" s="11">
        <v>850760.0</v>
      </c>
      <c r="CZ614" s="11">
        <v>356850.0</v>
      </c>
      <c r="DA614" s="11">
        <v>577450.0</v>
      </c>
      <c r="DB614" s="11">
        <v>1.036E7</v>
      </c>
      <c r="DC614" s="11">
        <v>7200000.0</v>
      </c>
      <c r="DD614" s="11">
        <v>5770000.0</v>
      </c>
      <c r="DE614" s="11">
        <v>4850000.0</v>
      </c>
      <c r="DF614" s="11">
        <v>2.24E7</v>
      </c>
      <c r="DG614" s="11">
        <v>1.488E7</v>
      </c>
      <c r="DH614" s="11">
        <v>1.309E7</v>
      </c>
      <c r="DI614" s="11">
        <v>1.176E7</v>
      </c>
      <c r="DJ614" s="11">
        <v>1.469E7</v>
      </c>
      <c r="DK614" s="11">
        <v>1130000.0</v>
      </c>
      <c r="DL614" s="11">
        <v>1420000.0</v>
      </c>
      <c r="DM614" s="11">
        <v>777900.0</v>
      </c>
      <c r="DN614" s="11">
        <v>1370000.0</v>
      </c>
      <c r="DO614" s="11">
        <v>1710000.0</v>
      </c>
      <c r="DP614" s="11">
        <v>1.051E7</v>
      </c>
      <c r="DQ614" s="11">
        <v>5860000.0</v>
      </c>
      <c r="DR614" s="11">
        <v>5940000.0</v>
      </c>
      <c r="DS614" s="11">
        <v>5540000.0</v>
      </c>
      <c r="DT614" s="11">
        <v>7910000.0</v>
      </c>
      <c r="DU614" s="13"/>
      <c r="DV614" s="12"/>
      <c r="DW614" s="12"/>
      <c r="DX614" s="12"/>
      <c r="DY614" s="12"/>
      <c r="DZ614" s="11">
        <v>-7680000.0</v>
      </c>
      <c r="EA614" s="11">
        <v>-4990000.0</v>
      </c>
      <c r="EB614" s="11">
        <v>-3500000.0</v>
      </c>
      <c r="EC614" s="11">
        <v>-3650000.0</v>
      </c>
      <c r="ED614" s="11">
        <v>-4550000.0</v>
      </c>
      <c r="EE614" s="14">
        <v>0.158</v>
      </c>
      <c r="EF614" s="14">
        <v>0.368</v>
      </c>
      <c r="EG614" s="14">
        <v>-1.297</v>
      </c>
      <c r="EH614" s="14">
        <v>-6.328</v>
      </c>
    </row>
    <row r="615">
      <c r="A615" s="9">
        <f t="shared" si="2"/>
        <v>613</v>
      </c>
      <c r="B615" s="10" t="s">
        <v>750</v>
      </c>
      <c r="C615" s="15">
        <v>1.172E7</v>
      </c>
      <c r="D615" s="15">
        <v>1.119E7</v>
      </c>
      <c r="E615" s="15">
        <v>1.286E7</v>
      </c>
      <c r="F615" s="15">
        <v>9450000.0</v>
      </c>
      <c r="G615" s="15">
        <v>1.081E7</v>
      </c>
      <c r="H615" s="15">
        <v>1.125E7</v>
      </c>
      <c r="I615" s="15">
        <v>1.164E7</v>
      </c>
      <c r="J615" s="15">
        <v>3130000.0</v>
      </c>
      <c r="K615" s="15">
        <v>2100000.0</v>
      </c>
      <c r="L615" s="15">
        <v>3320000.0</v>
      </c>
      <c r="M615" s="15">
        <v>3620000.0</v>
      </c>
      <c r="N615" s="15">
        <v>2620000.0</v>
      </c>
      <c r="O615" s="15">
        <v>257420.0</v>
      </c>
      <c r="P615" s="15">
        <v>261820.0</v>
      </c>
      <c r="Q615" s="15">
        <v>318010.0</v>
      </c>
      <c r="R615" s="15">
        <v>343150.0</v>
      </c>
      <c r="S615" s="15">
        <v>500240.0</v>
      </c>
      <c r="T615" s="15">
        <v>0.0</v>
      </c>
      <c r="U615" s="15">
        <v>0.0</v>
      </c>
      <c r="V615" s="15">
        <v>0.0</v>
      </c>
      <c r="W615" s="15">
        <v>0.0</v>
      </c>
      <c r="X615" s="15">
        <v>0.0</v>
      </c>
      <c r="Y615" s="15">
        <v>8070000.0</v>
      </c>
      <c r="Z615" s="15">
        <v>366810.0</v>
      </c>
      <c r="AA615" s="15">
        <v>3160000.0</v>
      </c>
      <c r="AB615" s="15">
        <v>3480000.0</v>
      </c>
      <c r="AC615" s="15">
        <v>-3040000.0</v>
      </c>
      <c r="AD615" s="15">
        <v>8220000.0</v>
      </c>
      <c r="AE615" s="15">
        <v>-366810.0</v>
      </c>
      <c r="AF615" s="15">
        <v>3470000.0</v>
      </c>
      <c r="AG615" s="15">
        <v>2330000.0</v>
      </c>
      <c r="AH615" s="15">
        <v>-4010000.0</v>
      </c>
      <c r="AI615" s="15">
        <v>5680000.0</v>
      </c>
      <c r="AJ615" s="15">
        <v>3820000.0</v>
      </c>
      <c r="AK615" s="15">
        <v>5290000.0</v>
      </c>
      <c r="AL615" s="15">
        <v>5600000.0</v>
      </c>
      <c r="AM615" s="15">
        <v>4460000.0</v>
      </c>
      <c r="AN615" s="15">
        <v>5270000.0</v>
      </c>
      <c r="AO615" s="15">
        <v>-2000000.0</v>
      </c>
      <c r="AP615" s="15">
        <v>1870000.0</v>
      </c>
      <c r="AQ615" s="15">
        <v>867820.0</v>
      </c>
      <c r="AR615" s="15">
        <v>-3630000.0</v>
      </c>
      <c r="AS615" s="15">
        <v>3920000.0</v>
      </c>
      <c r="AT615" s="15">
        <v>2290000.0</v>
      </c>
      <c r="AU615" s="15">
        <v>2680000.0</v>
      </c>
      <c r="AV615" s="15">
        <v>3500000.0</v>
      </c>
      <c r="AW615" s="15">
        <v>3570000.0</v>
      </c>
      <c r="AX615" s="15">
        <v>-2260000.0</v>
      </c>
      <c r="AY615" s="15">
        <v>-1810000.0</v>
      </c>
      <c r="AZ615" s="15">
        <v>-1810000.0</v>
      </c>
      <c r="BA615" s="15">
        <v>-1490000.0</v>
      </c>
      <c r="BB615" s="15">
        <v>-2190000.0</v>
      </c>
      <c r="BC615" s="15">
        <v>-727140.0</v>
      </c>
      <c r="BD615" s="15">
        <v>-162020.0</v>
      </c>
      <c r="BE615" s="15">
        <v>-162250.0</v>
      </c>
      <c r="BF615" s="15">
        <v>-113940.0</v>
      </c>
      <c r="BG615" s="15">
        <v>-204700.0</v>
      </c>
      <c r="BH615" s="15">
        <v>4300000.0</v>
      </c>
      <c r="BI615" s="15">
        <v>2150000.0</v>
      </c>
      <c r="BJ615" s="15">
        <v>2800000.0</v>
      </c>
      <c r="BK615" s="15">
        <v>3210000.0</v>
      </c>
      <c r="BL615" s="15">
        <v>3440000.0</v>
      </c>
      <c r="BM615" s="15">
        <v>862340.0</v>
      </c>
      <c r="BN615" s="15">
        <v>587290.0</v>
      </c>
      <c r="BO615" s="15">
        <v>508700.0</v>
      </c>
      <c r="BP615" s="15">
        <v>654430.0</v>
      </c>
      <c r="BQ615" s="15">
        <v>630650.0</v>
      </c>
      <c r="BR615" s="15">
        <v>2970000.0</v>
      </c>
      <c r="BS615" s="15">
        <v>2530000.0</v>
      </c>
      <c r="BT615" s="15">
        <v>2370000.0</v>
      </c>
      <c r="BU615" s="15">
        <v>2590000.0</v>
      </c>
      <c r="BV615" s="15">
        <v>2390000.0</v>
      </c>
      <c r="BW615" s="15">
        <v>8930000.0</v>
      </c>
      <c r="BX615" s="15">
        <v>5430000.0</v>
      </c>
      <c r="BY615" s="15">
        <v>5870000.0</v>
      </c>
      <c r="BZ615" s="15">
        <v>6540000.0</v>
      </c>
      <c r="CA615" s="15">
        <v>7600000.0</v>
      </c>
      <c r="CB615" s="15">
        <v>3.13E7</v>
      </c>
      <c r="CC615" s="15">
        <v>1.752E7</v>
      </c>
      <c r="CD615" s="15">
        <v>1.73E7</v>
      </c>
      <c r="CE615" s="15">
        <v>1.891E7</v>
      </c>
      <c r="CF615" s="15">
        <v>2.005E7</v>
      </c>
      <c r="CG615" s="15">
        <v>6180000.0</v>
      </c>
      <c r="CH615" s="15">
        <v>1610000.0</v>
      </c>
      <c r="CI615" s="15">
        <v>1670000.0</v>
      </c>
      <c r="CJ615" s="15">
        <v>1840000.0</v>
      </c>
      <c r="CK615" s="15">
        <v>1900000.0</v>
      </c>
      <c r="CL615" s="15">
        <v>5.757E7</v>
      </c>
      <c r="CM615" s="15">
        <v>3.091E7</v>
      </c>
      <c r="CN615" s="15">
        <v>3.171E7</v>
      </c>
      <c r="CO615" s="15">
        <v>3.388E7</v>
      </c>
      <c r="CP615" s="15">
        <v>3.654E7</v>
      </c>
      <c r="CQ615" s="15">
        <v>927180.0</v>
      </c>
      <c r="CR615" s="15">
        <v>1020000.0</v>
      </c>
      <c r="CS615" s="15">
        <v>952240.0</v>
      </c>
      <c r="CT615" s="15">
        <v>1000000.0</v>
      </c>
      <c r="CU615" s="15">
        <v>1020000.0</v>
      </c>
      <c r="CV615" s="15">
        <v>3080000.0</v>
      </c>
      <c r="CW615" s="15">
        <v>0.0</v>
      </c>
      <c r="CX615" s="15">
        <v>0.0</v>
      </c>
      <c r="CY615" s="16">
        <v>0.0</v>
      </c>
      <c r="CZ615" s="16">
        <v>0.0</v>
      </c>
      <c r="DA615" s="15">
        <v>0.0</v>
      </c>
      <c r="DB615" s="15">
        <v>3080000.0</v>
      </c>
      <c r="DC615" s="15">
        <v>2280000.0</v>
      </c>
      <c r="DD615" s="15">
        <v>2190000.0</v>
      </c>
      <c r="DE615" s="15">
        <v>2440000.0</v>
      </c>
      <c r="DF615" s="15">
        <v>1.889E7</v>
      </c>
      <c r="DG615" s="15">
        <v>1.809E7</v>
      </c>
      <c r="DH615" s="15">
        <v>1.789E7</v>
      </c>
      <c r="DI615" s="15">
        <v>2.01E7</v>
      </c>
      <c r="DJ615" s="15">
        <v>2.346E7</v>
      </c>
      <c r="DK615" s="15">
        <v>6420000.0</v>
      </c>
      <c r="DL615" s="15">
        <v>2140000.0</v>
      </c>
      <c r="DM615" s="15">
        <v>1670000.0</v>
      </c>
      <c r="DN615" s="15">
        <v>1770000.0</v>
      </c>
      <c r="DO615" s="15">
        <v>1800000.0</v>
      </c>
      <c r="DP615" s="15">
        <v>6690000.0</v>
      </c>
      <c r="DQ615" s="15">
        <v>7780000.0</v>
      </c>
      <c r="DR615" s="15">
        <v>8020000.0</v>
      </c>
      <c r="DS615" s="15">
        <v>1.05E7</v>
      </c>
      <c r="DT615" s="15">
        <v>1.461E7</v>
      </c>
      <c r="DU615" s="16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2.779E7</v>
      </c>
      <c r="EA615" s="15">
        <v>1.037E7</v>
      </c>
      <c r="EB615" s="15">
        <v>1.159E7</v>
      </c>
      <c r="EC615" s="15">
        <v>1.059E7</v>
      </c>
      <c r="ED615" s="15">
        <v>9920000.0</v>
      </c>
      <c r="EE615" s="17">
        <v>0.369</v>
      </c>
      <c r="EF615" s="17">
        <v>0.472</v>
      </c>
      <c r="EG615" s="17">
        <v>0.0</v>
      </c>
      <c r="EH615" s="17">
        <v>0.145</v>
      </c>
    </row>
    <row r="616">
      <c r="A616" s="9">
        <f t="shared" si="2"/>
        <v>614</v>
      </c>
      <c r="B616" s="25" t="s">
        <v>751</v>
      </c>
      <c r="C616" s="15">
        <v>1680000.0</v>
      </c>
      <c r="D616" s="15">
        <v>1480000.0</v>
      </c>
      <c r="E616" s="15">
        <v>1680000.0</v>
      </c>
      <c r="F616" s="15">
        <v>1630000.0</v>
      </c>
      <c r="G616" s="15">
        <v>1560000.0</v>
      </c>
      <c r="H616" s="15">
        <v>1570000.0</v>
      </c>
      <c r="I616" s="15">
        <v>1500000.0</v>
      </c>
      <c r="J616" s="15">
        <v>856290.0</v>
      </c>
      <c r="K616" s="15">
        <v>837120.0</v>
      </c>
      <c r="L616" s="15">
        <v>794030.0</v>
      </c>
      <c r="M616" s="15">
        <v>786920.0</v>
      </c>
      <c r="N616" s="15">
        <v>742420.0</v>
      </c>
      <c r="O616" s="15">
        <v>678810.0</v>
      </c>
      <c r="P616" s="15">
        <v>663140.0</v>
      </c>
      <c r="Q616" s="15">
        <v>626900.0</v>
      </c>
      <c r="R616" s="15">
        <v>648610.0</v>
      </c>
      <c r="S616" s="15">
        <v>653840.0</v>
      </c>
      <c r="T616" s="15">
        <v>51600.0</v>
      </c>
      <c r="U616" s="15">
        <v>51490.0</v>
      </c>
      <c r="V616" s="15">
        <v>47240.0</v>
      </c>
      <c r="W616" s="15">
        <v>48800.0</v>
      </c>
      <c r="X616" s="15">
        <v>45980.0</v>
      </c>
      <c r="Y616" s="15">
        <v>185660.0</v>
      </c>
      <c r="Z616" s="15">
        <v>174020.0</v>
      </c>
      <c r="AA616" s="15">
        <v>-1580.0</v>
      </c>
      <c r="AB616" s="15">
        <v>136900.0</v>
      </c>
      <c r="AC616" s="15">
        <v>92230.0</v>
      </c>
      <c r="AD616" s="15">
        <v>165170.0</v>
      </c>
      <c r="AE616" s="15">
        <v>150300.0</v>
      </c>
      <c r="AF616" s="15">
        <v>151680.0</v>
      </c>
      <c r="AG616" s="15">
        <v>89220.0</v>
      </c>
      <c r="AH616" s="15">
        <v>32150.0</v>
      </c>
      <c r="AI616" s="15">
        <v>220490.0</v>
      </c>
      <c r="AJ616" s="15">
        <v>214480.0</v>
      </c>
      <c r="AK616" s="15">
        <v>208000.0</v>
      </c>
      <c r="AL616" s="15">
        <v>179140.0</v>
      </c>
      <c r="AM616" s="15">
        <v>130280.0</v>
      </c>
      <c r="AN616" s="15">
        <v>121070.0</v>
      </c>
      <c r="AO616" s="15">
        <v>99870.0</v>
      </c>
      <c r="AP616" s="15">
        <v>98700.0</v>
      </c>
      <c r="AQ616" s="15">
        <v>45010.0</v>
      </c>
      <c r="AR616" s="15">
        <v>-966.0</v>
      </c>
      <c r="AS616" s="15">
        <v>134280.0</v>
      </c>
      <c r="AT616" s="15">
        <v>163350.0</v>
      </c>
      <c r="AU616" s="15">
        <v>-27040.0</v>
      </c>
      <c r="AV616" s="15">
        <v>105190.0</v>
      </c>
      <c r="AW616" s="15">
        <v>91830.0</v>
      </c>
      <c r="AX616" s="15">
        <v>-32960.0</v>
      </c>
      <c r="AY616" s="15">
        <v>-32800.0</v>
      </c>
      <c r="AZ616" s="15">
        <v>-18850.0</v>
      </c>
      <c r="BA616" s="15">
        <v>-19180.0</v>
      </c>
      <c r="BB616" s="15">
        <v>-23200.0</v>
      </c>
      <c r="BC616" s="15">
        <v>-43490.0</v>
      </c>
      <c r="BD616" s="15">
        <v>-39060.0</v>
      </c>
      <c r="BE616" s="15">
        <v>-35740.0</v>
      </c>
      <c r="BF616" s="15">
        <v>-17320.0</v>
      </c>
      <c r="BG616" s="15">
        <v>-13750.0</v>
      </c>
      <c r="BH616" s="15">
        <v>34180.0</v>
      </c>
      <c r="BI616" s="15">
        <v>31010.0</v>
      </c>
      <c r="BJ616" s="15">
        <v>47720.0</v>
      </c>
      <c r="BK616" s="15">
        <v>79140.0</v>
      </c>
      <c r="BL616" s="15">
        <v>59130.0</v>
      </c>
      <c r="BM616" s="15">
        <v>215430.0</v>
      </c>
      <c r="BN616" s="15">
        <v>186110.0</v>
      </c>
      <c r="BO616" s="15">
        <v>190850.0</v>
      </c>
      <c r="BP616" s="15">
        <v>178910.0</v>
      </c>
      <c r="BQ616" s="15">
        <v>196180.0</v>
      </c>
      <c r="BR616" s="15">
        <v>398370.0</v>
      </c>
      <c r="BS616" s="15">
        <v>361210.0</v>
      </c>
      <c r="BT616" s="15">
        <v>363960.0</v>
      </c>
      <c r="BU616" s="15">
        <v>323290.0</v>
      </c>
      <c r="BV616" s="15">
        <v>326360.0</v>
      </c>
      <c r="BW616" s="15">
        <v>742820.0</v>
      </c>
      <c r="BX616" s="15">
        <v>664000.0</v>
      </c>
      <c r="BY616" s="15">
        <v>687080.0</v>
      </c>
      <c r="BZ616" s="15">
        <v>664530.0</v>
      </c>
      <c r="CA616" s="15">
        <v>671520.0</v>
      </c>
      <c r="CB616" s="15">
        <v>275980.0</v>
      </c>
      <c r="CC616" s="15">
        <v>228390.0</v>
      </c>
      <c r="CD616" s="15">
        <v>228920.0</v>
      </c>
      <c r="CE616" s="15">
        <v>239750.0</v>
      </c>
      <c r="CF616" s="15">
        <v>254890.0</v>
      </c>
      <c r="CG616" s="15">
        <v>214060.0</v>
      </c>
      <c r="CH616" s="15">
        <v>209670.0</v>
      </c>
      <c r="CI616" s="15">
        <v>203400.0</v>
      </c>
      <c r="CJ616" s="15">
        <v>179240.0</v>
      </c>
      <c r="CK616" s="15">
        <v>181180.0</v>
      </c>
      <c r="CL616" s="15">
        <v>1820000.0</v>
      </c>
      <c r="CM616" s="15">
        <v>1690000.0</v>
      </c>
      <c r="CN616" s="15">
        <v>1730000.0</v>
      </c>
      <c r="CO616" s="15">
        <v>1740000.0</v>
      </c>
      <c r="CP616" s="15">
        <v>1760000.0</v>
      </c>
      <c r="CQ616" s="15">
        <v>102340.0</v>
      </c>
      <c r="CR616" s="15">
        <v>86050.0</v>
      </c>
      <c r="CS616" s="15">
        <v>92760.0</v>
      </c>
      <c r="CT616" s="15">
        <v>87610.0</v>
      </c>
      <c r="CU616" s="15">
        <v>102440.0</v>
      </c>
      <c r="CV616" s="15">
        <v>359120.0</v>
      </c>
      <c r="CW616" s="15">
        <v>65460.0</v>
      </c>
      <c r="CX616" s="15">
        <v>920.0</v>
      </c>
      <c r="CY616" s="15">
        <v>20360.0</v>
      </c>
      <c r="CZ616" s="15">
        <v>42500.0</v>
      </c>
      <c r="DA616" s="15"/>
      <c r="DB616" s="15">
        <v>359120.0</v>
      </c>
      <c r="DC616" s="15">
        <v>294870.0</v>
      </c>
      <c r="DD616" s="15">
        <v>306780.0</v>
      </c>
      <c r="DE616" s="15">
        <v>462110.0</v>
      </c>
      <c r="DF616" s="15">
        <v>865420.0</v>
      </c>
      <c r="DG616" s="15">
        <v>764640.0</v>
      </c>
      <c r="DH616" s="15">
        <v>879930.0</v>
      </c>
      <c r="DI616" s="15">
        <v>967350.0</v>
      </c>
      <c r="DJ616" s="15">
        <v>1430000.0</v>
      </c>
      <c r="DK616" s="15">
        <v>1110.0</v>
      </c>
      <c r="DL616" s="15">
        <v>1020.0</v>
      </c>
      <c r="DM616" s="15">
        <v>562.0</v>
      </c>
      <c r="DN616" s="12"/>
      <c r="DO616" s="15"/>
      <c r="DP616" s="15">
        <v>364840.0</v>
      </c>
      <c r="DQ616" s="15">
        <v>346950.0</v>
      </c>
      <c r="DR616" s="15">
        <v>416970.0</v>
      </c>
      <c r="DS616" s="15">
        <v>348350.0</v>
      </c>
      <c r="DT616" s="15">
        <v>394510.0</v>
      </c>
      <c r="DU616" s="13">
        <v>807.0</v>
      </c>
      <c r="DV616" s="12"/>
      <c r="DW616" s="12"/>
      <c r="DX616" s="13"/>
      <c r="DY616" s="15">
        <v>131040.0</v>
      </c>
      <c r="DZ616" s="15">
        <v>919250.0</v>
      </c>
      <c r="EA616" s="15">
        <v>894870.0</v>
      </c>
      <c r="EB616" s="15">
        <v>821310.0</v>
      </c>
      <c r="EC616" s="15">
        <v>735870.0</v>
      </c>
      <c r="ED616" s="15">
        <v>291290.0</v>
      </c>
      <c r="EE616" s="17">
        <v>0.02</v>
      </c>
      <c r="EF616" s="17">
        <v>0.036</v>
      </c>
      <c r="EG616" s="17">
        <v>-0.812</v>
      </c>
      <c r="EH616" s="17">
        <v>-0.263</v>
      </c>
    </row>
    <row r="617">
      <c r="A617" s="9">
        <f t="shared" si="2"/>
        <v>615</v>
      </c>
      <c r="B617" s="25" t="s">
        <v>752</v>
      </c>
      <c r="C617" s="15">
        <v>508510.0</v>
      </c>
      <c r="D617" s="15">
        <v>420000.0</v>
      </c>
      <c r="E617" s="15">
        <v>719800.0</v>
      </c>
      <c r="F617" s="15">
        <v>638000.0</v>
      </c>
      <c r="G617" s="15">
        <v>460610.0</v>
      </c>
      <c r="H617" s="15">
        <v>307600.0</v>
      </c>
      <c r="I617" s="15">
        <v>221680.0</v>
      </c>
      <c r="J617" s="15">
        <v>407660.0</v>
      </c>
      <c r="K617" s="15">
        <v>384400.0</v>
      </c>
      <c r="L617" s="15">
        <v>263530.0</v>
      </c>
      <c r="M617" s="15">
        <v>156440.0</v>
      </c>
      <c r="N617" s="15">
        <v>107520.0</v>
      </c>
      <c r="O617" s="15">
        <v>264060.0</v>
      </c>
      <c r="P617" s="15">
        <v>237440.0</v>
      </c>
      <c r="Q617" s="15">
        <v>153960.0</v>
      </c>
      <c r="R617" s="15">
        <v>101360.0</v>
      </c>
      <c r="S617" s="15">
        <v>80390.0</v>
      </c>
      <c r="T617" s="15"/>
      <c r="U617" s="15"/>
      <c r="V617" s="15"/>
      <c r="W617" s="15"/>
      <c r="X617" s="15"/>
      <c r="Y617" s="15">
        <v>135790.0</v>
      </c>
      <c r="Z617" s="15">
        <v>146810.0</v>
      </c>
      <c r="AA617" s="15">
        <v>108670.0</v>
      </c>
      <c r="AB617" s="15">
        <v>30850.0</v>
      </c>
      <c r="AC617" s="15">
        <v>31220.0</v>
      </c>
      <c r="AD617" s="15">
        <v>123010.0</v>
      </c>
      <c r="AE617" s="15">
        <v>139110.0</v>
      </c>
      <c r="AF617" s="15">
        <v>97580.0</v>
      </c>
      <c r="AG617" s="15">
        <v>23270.0</v>
      </c>
      <c r="AH617" s="15">
        <v>25120.0</v>
      </c>
      <c r="AI617" s="15">
        <v>191020.0</v>
      </c>
      <c r="AJ617" s="15">
        <v>164260.0</v>
      </c>
      <c r="AK617" s="15">
        <v>120650.0</v>
      </c>
      <c r="AL617" s="15">
        <v>61570.0</v>
      </c>
      <c r="AM617" s="15">
        <v>31640.0</v>
      </c>
      <c r="AN617" s="15">
        <v>113990.0</v>
      </c>
      <c r="AO617" s="15">
        <v>109460.0</v>
      </c>
      <c r="AP617" s="15">
        <v>74840.0</v>
      </c>
      <c r="AQ617" s="15">
        <v>16490.0</v>
      </c>
      <c r="AR617" s="15">
        <v>20190.0</v>
      </c>
      <c r="AS617" s="15">
        <v>45240.0</v>
      </c>
      <c r="AT617" s="15">
        <v>55950.0</v>
      </c>
      <c r="AU617" s="15">
        <v>98350.0</v>
      </c>
      <c r="AV617" s="15">
        <v>29960.0</v>
      </c>
      <c r="AW617" s="15">
        <v>-4910.0</v>
      </c>
      <c r="AX617" s="15">
        <v>-46810.0</v>
      </c>
      <c r="AY617" s="15">
        <v>-37580.0</v>
      </c>
      <c r="AZ617" s="15">
        <v>-26330.0</v>
      </c>
      <c r="BA617" s="15">
        <v>-20010.0</v>
      </c>
      <c r="BB617" s="15">
        <v>-16650.0</v>
      </c>
      <c r="BC617" s="13"/>
      <c r="BD617" s="13"/>
      <c r="BE617" s="13"/>
      <c r="BF617" s="13"/>
      <c r="BG617" s="13"/>
      <c r="BH617" s="15">
        <v>22270.0</v>
      </c>
      <c r="BI617" s="15">
        <v>66320.0</v>
      </c>
      <c r="BJ617" s="15">
        <v>76080.0</v>
      </c>
      <c r="BK617" s="15">
        <v>7490.0</v>
      </c>
      <c r="BL617" s="15">
        <v>9010.0</v>
      </c>
      <c r="BM617" s="15">
        <v>31120.0</v>
      </c>
      <c r="BN617" s="15">
        <v>18260.0</v>
      </c>
      <c r="BO617" s="15">
        <v>13210.0</v>
      </c>
      <c r="BP617" s="15">
        <v>9690.0</v>
      </c>
      <c r="BQ617" s="15">
        <v>13510.0</v>
      </c>
      <c r="BR617" s="15">
        <v>289670.0</v>
      </c>
      <c r="BS617" s="15">
        <v>200080.0</v>
      </c>
      <c r="BT617" s="15">
        <v>128270.0</v>
      </c>
      <c r="BU617" s="15">
        <v>94080.0</v>
      </c>
      <c r="BV617" s="15">
        <v>92390.0</v>
      </c>
      <c r="BW617" s="15">
        <v>368290.0</v>
      </c>
      <c r="BX617" s="15">
        <v>309290.0</v>
      </c>
      <c r="BY617" s="15">
        <v>233450.0</v>
      </c>
      <c r="BZ617" s="15">
        <v>122390.0</v>
      </c>
      <c r="CA617" s="15">
        <v>119630.0</v>
      </c>
      <c r="CB617" s="15">
        <v>229670.0</v>
      </c>
      <c r="CC617" s="15">
        <v>63100.0</v>
      </c>
      <c r="CD617" s="15">
        <v>46670.0</v>
      </c>
      <c r="CE617" s="15">
        <v>27340.0</v>
      </c>
      <c r="CF617" s="15">
        <v>18890.0</v>
      </c>
      <c r="CG617" s="15">
        <v>37310.0</v>
      </c>
      <c r="CH617" s="15">
        <v>39750.0</v>
      </c>
      <c r="CI617" s="15">
        <v>35110.0</v>
      </c>
      <c r="CJ617" s="15">
        <v>33940.0</v>
      </c>
      <c r="CK617" s="15">
        <v>34430.0</v>
      </c>
      <c r="CL617" s="15">
        <v>781750.0</v>
      </c>
      <c r="CM617" s="15">
        <v>542980.0</v>
      </c>
      <c r="CN617" s="15">
        <v>425390.0</v>
      </c>
      <c r="CO617" s="15">
        <v>285580.0</v>
      </c>
      <c r="CP617" s="15">
        <v>272930.0</v>
      </c>
      <c r="CQ617" s="15">
        <v>36960.0</v>
      </c>
      <c r="CR617" s="15">
        <v>34810.0</v>
      </c>
      <c r="CS617" s="15">
        <v>21730.0</v>
      </c>
      <c r="CT617" s="15">
        <v>18820.0</v>
      </c>
      <c r="CU617" s="15">
        <v>18100.0</v>
      </c>
      <c r="CV617" s="15">
        <v>141430.0</v>
      </c>
      <c r="CW617" s="15"/>
      <c r="CX617" s="15"/>
      <c r="CY617" s="15"/>
      <c r="CZ617" s="15"/>
      <c r="DA617" s="15"/>
      <c r="DB617" s="15">
        <v>141430.0</v>
      </c>
      <c r="DC617" s="15">
        <v>102250.0</v>
      </c>
      <c r="DD617" s="15">
        <v>103620.0</v>
      </c>
      <c r="DE617" s="15">
        <v>48190.0</v>
      </c>
      <c r="DF617" s="15">
        <v>416270.0</v>
      </c>
      <c r="DG617" s="15">
        <v>244250.0</v>
      </c>
      <c r="DH617" s="15">
        <v>236440.0</v>
      </c>
      <c r="DI617" s="15">
        <v>175980.0</v>
      </c>
      <c r="DJ617" s="15">
        <v>162600.0</v>
      </c>
      <c r="DK617" s="15">
        <v>4150.0</v>
      </c>
      <c r="DL617" s="15">
        <v>5240.0</v>
      </c>
      <c r="DM617" s="15">
        <v>1690.0</v>
      </c>
      <c r="DN617" s="15"/>
      <c r="DO617" s="15"/>
      <c r="DP617" s="15">
        <v>245970.0</v>
      </c>
      <c r="DQ617" s="15">
        <v>108690.0</v>
      </c>
      <c r="DR617" s="15">
        <v>106320.0</v>
      </c>
      <c r="DS617" s="15">
        <v>109540.0</v>
      </c>
      <c r="DT617" s="15">
        <v>106880.0</v>
      </c>
      <c r="DU617" s="13"/>
      <c r="DV617" s="12"/>
      <c r="DW617" s="12"/>
      <c r="DX617" s="13"/>
      <c r="DY617" s="15">
        <v>43970.0</v>
      </c>
      <c r="DZ617" s="15">
        <v>365480.0</v>
      </c>
      <c r="EA617" s="15">
        <v>298740.0</v>
      </c>
      <c r="EB617" s="15">
        <v>188950.0</v>
      </c>
      <c r="EC617" s="15">
        <v>109600.0</v>
      </c>
      <c r="ED617" s="15">
        <v>110330.0</v>
      </c>
      <c r="EE617" s="17">
        <v>0.013</v>
      </c>
      <c r="EF617" s="17">
        <v>0.059</v>
      </c>
      <c r="EG617" s="17">
        <v>0.211</v>
      </c>
      <c r="EH617" s="17"/>
    </row>
    <row r="618">
      <c r="A618" s="9">
        <f t="shared" si="2"/>
        <v>616</v>
      </c>
      <c r="B618" s="22" t="s">
        <v>753</v>
      </c>
      <c r="C618" s="12"/>
      <c r="D618" s="12"/>
      <c r="E618" s="12"/>
      <c r="F618" s="12"/>
      <c r="G618" s="12"/>
      <c r="H618" s="12"/>
      <c r="I618" s="12"/>
      <c r="J618" s="11">
        <v>-3090.0</v>
      </c>
      <c r="K618" s="11">
        <v>-297.0</v>
      </c>
      <c r="L618" s="12"/>
      <c r="M618" s="12"/>
      <c r="N618" s="12"/>
      <c r="O618" s="11">
        <v>179450.0</v>
      </c>
      <c r="P618" s="11">
        <v>99040.0</v>
      </c>
      <c r="Q618" s="11">
        <v>1150.0</v>
      </c>
      <c r="R618" s="11">
        <v>83.0</v>
      </c>
      <c r="S618" s="12"/>
      <c r="T618" s="11">
        <v>143400.0</v>
      </c>
      <c r="U618" s="11">
        <v>55280.0</v>
      </c>
      <c r="V618" s="11">
        <v>891.0</v>
      </c>
      <c r="W618" s="12"/>
      <c r="X618" s="12"/>
      <c r="Y618" s="11">
        <v>-186140.0</v>
      </c>
      <c r="Z618" s="11">
        <v>-148990.0</v>
      </c>
      <c r="AA618" s="11">
        <v>-6650.0</v>
      </c>
      <c r="AB618" s="12"/>
      <c r="AC618" s="12"/>
      <c r="AD618" s="11">
        <v>-180310.0</v>
      </c>
      <c r="AE618" s="11">
        <v>-146970.0</v>
      </c>
      <c r="AF618" s="11">
        <v>-6770.0</v>
      </c>
      <c r="AG618" s="11">
        <v>-83.0</v>
      </c>
      <c r="AH618" s="12"/>
      <c r="AI618" s="11">
        <v>-179450.0</v>
      </c>
      <c r="AJ618" s="11">
        <v>-99040.0</v>
      </c>
      <c r="AK618" s="11">
        <v>-1150.0</v>
      </c>
      <c r="AL618" s="11">
        <v>-83.0</v>
      </c>
      <c r="AM618" s="12"/>
      <c r="AN618" s="11">
        <v>-180310.0</v>
      </c>
      <c r="AO618" s="11">
        <v>-146970.0</v>
      </c>
      <c r="AP618" s="11">
        <v>-6770.0</v>
      </c>
      <c r="AQ618" s="11">
        <v>-83.0</v>
      </c>
      <c r="AR618" s="12"/>
      <c r="AS618" s="11">
        <v>-142730.0</v>
      </c>
      <c r="AT618" s="11">
        <v>-51040.0</v>
      </c>
      <c r="AU618" s="11">
        <v>-5750.0</v>
      </c>
      <c r="AV618" s="11">
        <v>20.0</v>
      </c>
      <c r="AW618" s="12"/>
      <c r="AX618" s="11">
        <v>-2970.0</v>
      </c>
      <c r="AY618" s="11">
        <v>-3490.0</v>
      </c>
      <c r="AZ618" s="12"/>
      <c r="BA618" s="12"/>
      <c r="BB618" s="12"/>
      <c r="BC618" s="12"/>
      <c r="BD618" s="12"/>
      <c r="BE618" s="12"/>
      <c r="BF618" s="12"/>
      <c r="BG618" s="12"/>
      <c r="BH618" s="11">
        <v>401830.0</v>
      </c>
      <c r="BI618" s="11">
        <v>228860.0</v>
      </c>
      <c r="BJ618" s="11">
        <v>315.0</v>
      </c>
      <c r="BK618" s="11">
        <v>60.0</v>
      </c>
      <c r="BL618" s="12"/>
      <c r="BM618" s="11">
        <v>1500.0</v>
      </c>
      <c r="BN618" s="12"/>
      <c r="BO618" s="12"/>
      <c r="BP618" s="12"/>
      <c r="BQ618" s="12"/>
      <c r="BR618" s="12"/>
      <c r="BS618" s="12"/>
      <c r="BT618" s="12"/>
      <c r="BU618" s="12"/>
      <c r="BV618" s="12"/>
      <c r="BW618" s="11">
        <v>409320.0</v>
      </c>
      <c r="BX618" s="11">
        <v>231950.0</v>
      </c>
      <c r="BY618" s="11">
        <v>445.0</v>
      </c>
      <c r="BZ618" s="11">
        <v>60.0</v>
      </c>
      <c r="CA618" s="12"/>
      <c r="CB618" s="11">
        <v>15730.0</v>
      </c>
      <c r="CC618" s="11">
        <v>3190.0</v>
      </c>
      <c r="CD618" s="12"/>
      <c r="CE618" s="12"/>
      <c r="CF618" s="12"/>
      <c r="CG618" s="12"/>
      <c r="CH618" s="12"/>
      <c r="CI618" s="12"/>
      <c r="CJ618" s="12"/>
      <c r="CK618" s="12"/>
      <c r="CL618" s="11">
        <v>426600.0</v>
      </c>
      <c r="CM618" s="11">
        <v>239420.0</v>
      </c>
      <c r="CN618" s="11">
        <v>445.0</v>
      </c>
      <c r="CO618" s="11">
        <v>60.0</v>
      </c>
      <c r="CP618" s="12"/>
      <c r="CQ618" s="11">
        <v>956.0</v>
      </c>
      <c r="CR618" s="11">
        <v>2180.0</v>
      </c>
      <c r="CS618" s="12"/>
      <c r="CT618" s="12"/>
      <c r="CU618" s="12"/>
      <c r="CV618" s="11">
        <v>36920.0</v>
      </c>
      <c r="CW618" s="11">
        <v>2350.0</v>
      </c>
      <c r="CX618" s="12"/>
      <c r="CY618" s="12"/>
      <c r="CZ618" s="12"/>
      <c r="DA618" s="12"/>
      <c r="DB618" s="11">
        <v>36920.0</v>
      </c>
      <c r="DC618" s="11">
        <v>20400.0</v>
      </c>
      <c r="DD618" s="11">
        <v>1270.0</v>
      </c>
      <c r="DE618" s="11">
        <v>143.0</v>
      </c>
      <c r="DF618" s="11">
        <v>74120.0</v>
      </c>
      <c r="DG618" s="11">
        <v>21120.0</v>
      </c>
      <c r="DH618" s="11">
        <v>7310.0</v>
      </c>
      <c r="DI618" s="11">
        <v>183.0</v>
      </c>
      <c r="DJ618" s="12"/>
      <c r="DK618" s="12"/>
      <c r="DL618" s="12"/>
      <c r="DM618" s="12"/>
      <c r="DN618" s="12"/>
      <c r="DO618" s="12"/>
      <c r="DP618" s="11">
        <v>37200.0</v>
      </c>
      <c r="DQ618" s="12"/>
      <c r="DR618" s="11">
        <v>6040.0</v>
      </c>
      <c r="DS618" s="11">
        <v>40.0</v>
      </c>
      <c r="DT618" s="12"/>
      <c r="DU618" s="13"/>
      <c r="DV618" s="11">
        <v>338370.0</v>
      </c>
      <c r="DW618" s="12"/>
      <c r="DX618" s="13"/>
      <c r="DY618" s="13"/>
      <c r="DZ618" s="11">
        <v>352490.0</v>
      </c>
      <c r="EA618" s="11">
        <v>218300.0</v>
      </c>
      <c r="EB618" s="11">
        <v>-6860.0</v>
      </c>
      <c r="EC618" s="11">
        <v>-123.0</v>
      </c>
      <c r="ED618" s="12"/>
      <c r="EE618" s="23"/>
      <c r="EF618" s="23"/>
      <c r="EG618" s="14">
        <v>-0.163</v>
      </c>
      <c r="EH618" s="14">
        <v>-0.111</v>
      </c>
    </row>
    <row r="619">
      <c r="A619" s="9">
        <f t="shared" si="2"/>
        <v>617</v>
      </c>
      <c r="B619" s="32" t="s">
        <v>754</v>
      </c>
      <c r="C619" s="11">
        <v>1.17E7</v>
      </c>
      <c r="D619" s="11">
        <v>1.068E7</v>
      </c>
      <c r="E619" s="11">
        <v>1.204E7</v>
      </c>
      <c r="F619" s="11">
        <v>1.16E7</v>
      </c>
      <c r="G619" s="11">
        <v>1.113E7</v>
      </c>
      <c r="H619" s="11">
        <v>1.089E7</v>
      </c>
      <c r="I619" s="11">
        <v>1.063E7</v>
      </c>
      <c r="J619" s="11">
        <v>1740000.0</v>
      </c>
      <c r="K619" s="11">
        <v>1660000.0</v>
      </c>
      <c r="L619" s="11">
        <v>1590000.0</v>
      </c>
      <c r="M619" s="11">
        <v>1540000.0</v>
      </c>
      <c r="N619" s="11">
        <v>1490000.0</v>
      </c>
      <c r="O619" s="11">
        <v>1350000.0</v>
      </c>
      <c r="P619" s="11">
        <v>1240000.0</v>
      </c>
      <c r="Q619" s="11">
        <v>1220000.0</v>
      </c>
      <c r="R619" s="11">
        <v>1180000.0</v>
      </c>
      <c r="S619" s="11">
        <v>1130000.0</v>
      </c>
      <c r="T619" s="11"/>
      <c r="U619" s="11"/>
      <c r="V619" s="11"/>
      <c r="W619" s="11"/>
      <c r="X619" s="11"/>
      <c r="Y619" s="11">
        <v>358800.0</v>
      </c>
      <c r="Z619" s="11">
        <v>365170.0</v>
      </c>
      <c r="AA619" s="11">
        <v>341870.0</v>
      </c>
      <c r="AB619" s="11">
        <v>340230.0</v>
      </c>
      <c r="AC619" s="11">
        <v>-90360.0</v>
      </c>
      <c r="AD619" s="11">
        <v>227300.0</v>
      </c>
      <c r="AE619" s="11">
        <v>205400.0</v>
      </c>
      <c r="AF619" s="11">
        <v>219000.0</v>
      </c>
      <c r="AG619" s="11">
        <v>227370.0</v>
      </c>
      <c r="AH619" s="11">
        <v>182170.0</v>
      </c>
      <c r="AI619" s="11">
        <v>470400.0</v>
      </c>
      <c r="AJ619" s="11">
        <v>487520.0</v>
      </c>
      <c r="AK619" s="11">
        <v>432910.0</v>
      </c>
      <c r="AL619" s="11">
        <v>419310.0</v>
      </c>
      <c r="AM619" s="11">
        <v>407540.0</v>
      </c>
      <c r="AN619" s="11">
        <v>167600.0</v>
      </c>
      <c r="AO619" s="11">
        <v>152360.0</v>
      </c>
      <c r="AP619" s="11">
        <v>205930.0</v>
      </c>
      <c r="AQ619" s="11">
        <v>141190.0</v>
      </c>
      <c r="AR619" s="11">
        <v>90400.0</v>
      </c>
      <c r="AS619" s="11">
        <v>360200.0</v>
      </c>
      <c r="AT619" s="11">
        <v>231570.0</v>
      </c>
      <c r="AU619" s="11">
        <v>207220.0</v>
      </c>
      <c r="AV619" s="11">
        <v>397490.0</v>
      </c>
      <c r="AW619" s="11">
        <v>53530.0</v>
      </c>
      <c r="AX619" s="11">
        <v>-191800.0</v>
      </c>
      <c r="AY619" s="11">
        <v>-141030.0</v>
      </c>
      <c r="AZ619" s="11">
        <v>-215830.0</v>
      </c>
      <c r="BA619" s="11">
        <v>-156520.0</v>
      </c>
      <c r="BB619" s="11">
        <v>-120250.0</v>
      </c>
      <c r="BC619" s="11">
        <v>-20300.0</v>
      </c>
      <c r="BD619" s="11">
        <v>-20870.0</v>
      </c>
      <c r="BE619" s="11">
        <v>-20470.0</v>
      </c>
      <c r="BF619" s="11">
        <v>-19990.0</v>
      </c>
      <c r="BG619" s="11">
        <v>-19940.0</v>
      </c>
      <c r="BH619" s="11">
        <v>23800.0</v>
      </c>
      <c r="BI619" s="11">
        <v>15930.0</v>
      </c>
      <c r="BJ619" s="11">
        <v>28790.0</v>
      </c>
      <c r="BK619" s="11">
        <v>20990.0</v>
      </c>
      <c r="BL619" s="11">
        <v>13040.0</v>
      </c>
      <c r="BM619" s="11">
        <v>478900.0</v>
      </c>
      <c r="BN619" s="11">
        <v>459640.0</v>
      </c>
      <c r="BO619" s="11">
        <v>495040.0</v>
      </c>
      <c r="BP619" s="11">
        <v>442870.0</v>
      </c>
      <c r="BQ619" s="11">
        <v>410210.0</v>
      </c>
      <c r="BR619" s="11">
        <v>1900000.0</v>
      </c>
      <c r="BS619" s="11">
        <v>1840000.0</v>
      </c>
      <c r="BT619" s="11">
        <v>1760000.0</v>
      </c>
      <c r="BU619" s="11">
        <v>1650000.0</v>
      </c>
      <c r="BV619" s="11">
        <v>1740000.0</v>
      </c>
      <c r="BW619" s="11">
        <v>2520000.0</v>
      </c>
      <c r="BX619" s="11">
        <v>2400000.0</v>
      </c>
      <c r="BY619" s="11">
        <v>2330000.0</v>
      </c>
      <c r="BZ619" s="11">
        <v>2150000.0</v>
      </c>
      <c r="CA619" s="11">
        <v>2180000.0</v>
      </c>
      <c r="CB619" s="11">
        <v>1770000.0</v>
      </c>
      <c r="CC619" s="11">
        <v>1350000.0</v>
      </c>
      <c r="CD619" s="11">
        <v>1320000.0</v>
      </c>
      <c r="CE619" s="11">
        <v>1130000.0</v>
      </c>
      <c r="CF619" s="11">
        <v>1030000.0</v>
      </c>
      <c r="CG619" s="11">
        <v>1010000.0</v>
      </c>
      <c r="CH619" s="11">
        <v>963930.0</v>
      </c>
      <c r="CI619" s="11">
        <v>913030.0</v>
      </c>
      <c r="CJ619" s="11">
        <v>876760.0</v>
      </c>
      <c r="CK619" s="11">
        <v>854920.0</v>
      </c>
      <c r="CL619" s="11">
        <v>5570000.0</v>
      </c>
      <c r="CM619" s="11">
        <v>5000000.0</v>
      </c>
      <c r="CN619" s="11">
        <v>4870000.0</v>
      </c>
      <c r="CO619" s="11">
        <v>4460000.0</v>
      </c>
      <c r="CP619" s="11">
        <v>4400000.0</v>
      </c>
      <c r="CQ619" s="11">
        <v>527500.0</v>
      </c>
      <c r="CR619" s="11">
        <v>419350.0</v>
      </c>
      <c r="CS619" s="11">
        <v>412980.0</v>
      </c>
      <c r="CT619" s="11">
        <v>356100.0</v>
      </c>
      <c r="CU619" s="11">
        <v>280420.0</v>
      </c>
      <c r="CV619" s="11">
        <v>2420000.0</v>
      </c>
      <c r="CW619" s="11">
        <v>1630000.0</v>
      </c>
      <c r="CX619" s="11">
        <v>1680000.0</v>
      </c>
      <c r="CY619" s="11">
        <v>1570000.0</v>
      </c>
      <c r="CZ619" s="11">
        <v>1440000.0</v>
      </c>
      <c r="DA619" s="11">
        <v>1520000.0</v>
      </c>
      <c r="DB619" s="11">
        <v>2420000.0</v>
      </c>
      <c r="DC619" s="11">
        <v>2390000.0</v>
      </c>
      <c r="DD619" s="11">
        <v>2200000.0</v>
      </c>
      <c r="DE619" s="11">
        <v>2050000.0</v>
      </c>
      <c r="DF619" s="11">
        <v>4310000.0</v>
      </c>
      <c r="DG619" s="11">
        <v>3910000.0</v>
      </c>
      <c r="DH619" s="11">
        <v>3750000.0</v>
      </c>
      <c r="DI619" s="11">
        <v>3530000.0</v>
      </c>
      <c r="DJ619" s="11">
        <v>3480000.0</v>
      </c>
      <c r="DK619" s="11">
        <v>6200.0</v>
      </c>
      <c r="DL619" s="11">
        <v>2790.0</v>
      </c>
      <c r="DM619" s="11"/>
      <c r="DN619" s="11"/>
      <c r="DO619" s="11"/>
      <c r="DP619" s="11">
        <v>1640000.0</v>
      </c>
      <c r="DQ619" s="11">
        <v>1280000.0</v>
      </c>
      <c r="DR619" s="11">
        <v>1320000.0</v>
      </c>
      <c r="DS619" s="11">
        <v>1210000.0</v>
      </c>
      <c r="DT619" s="11">
        <v>1200000.0</v>
      </c>
      <c r="DU619" s="13"/>
      <c r="DV619" s="12"/>
      <c r="DW619" s="12"/>
      <c r="DX619" s="12"/>
      <c r="DY619" s="12"/>
      <c r="DZ619" s="11">
        <v>1260000.0</v>
      </c>
      <c r="EA619" s="11">
        <v>1100000.0</v>
      </c>
      <c r="EB619" s="11">
        <v>1120000.0</v>
      </c>
      <c r="EC619" s="11">
        <v>930200.0</v>
      </c>
      <c r="ED619" s="11">
        <v>918250.0</v>
      </c>
      <c r="EE619" s="14">
        <v>0.072</v>
      </c>
      <c r="EF619" s="14">
        <v>0.113</v>
      </c>
      <c r="EG619" s="14">
        <v>4.544</v>
      </c>
      <c r="EH619" s="14">
        <v>1.256</v>
      </c>
    </row>
    <row r="620">
      <c r="A620" s="9">
        <f t="shared" si="2"/>
        <v>618</v>
      </c>
      <c r="B620" s="25" t="s">
        <v>755</v>
      </c>
      <c r="C620" s="15">
        <v>1010000.0</v>
      </c>
      <c r="D620" s="15">
        <v>844930.0</v>
      </c>
      <c r="E620" s="15">
        <v>1190000.0</v>
      </c>
      <c r="F620" s="15">
        <v>1150000.0</v>
      </c>
      <c r="G620" s="15">
        <v>1180000.0</v>
      </c>
      <c r="H620" s="15">
        <v>1190000.0</v>
      </c>
      <c r="I620" s="15">
        <v>1620000.0</v>
      </c>
      <c r="J620" s="15">
        <v>420660.0</v>
      </c>
      <c r="K620" s="15">
        <v>374250.0</v>
      </c>
      <c r="L620" s="15">
        <v>391150.0</v>
      </c>
      <c r="M620" s="15">
        <v>483450.0</v>
      </c>
      <c r="N620" s="15">
        <v>699550.0</v>
      </c>
      <c r="O620" s="15">
        <v>413720.0</v>
      </c>
      <c r="P620" s="15">
        <v>434010.0</v>
      </c>
      <c r="Q620" s="15">
        <v>525330.0</v>
      </c>
      <c r="R620" s="15">
        <v>769620.0</v>
      </c>
      <c r="S620" s="15">
        <v>614060.0</v>
      </c>
      <c r="T620" s="15">
        <v>142310.0</v>
      </c>
      <c r="U620" s="15">
        <v>154500.0</v>
      </c>
      <c r="V620" s="15">
        <v>216150.0</v>
      </c>
      <c r="W620" s="15">
        <v>320180.0</v>
      </c>
      <c r="X620" s="15">
        <v>238540.0</v>
      </c>
      <c r="Y620" s="15">
        <v>-2330.0</v>
      </c>
      <c r="Z620" s="15">
        <v>-93960.0</v>
      </c>
      <c r="AA620" s="15">
        <v>-163460.0</v>
      </c>
      <c r="AB620" s="15">
        <v>-372970.0</v>
      </c>
      <c r="AC620" s="15">
        <v>54750.0</v>
      </c>
      <c r="AD620" s="15">
        <v>-19070.0</v>
      </c>
      <c r="AE620" s="15">
        <v>-107680.0</v>
      </c>
      <c r="AF620" s="15">
        <v>-176390.0</v>
      </c>
      <c r="AG620" s="15">
        <v>-375170.0</v>
      </c>
      <c r="AH620" s="15">
        <v>52590.0</v>
      </c>
      <c r="AI620" s="15">
        <v>40200.0</v>
      </c>
      <c r="AJ620" s="15">
        <v>-24700.0</v>
      </c>
      <c r="AK620" s="15">
        <v>-92700.0</v>
      </c>
      <c r="AL620" s="15">
        <v>-263810.0</v>
      </c>
      <c r="AM620" s="15">
        <v>89100.0</v>
      </c>
      <c r="AN620" s="15">
        <v>-14640.0</v>
      </c>
      <c r="AO620" s="15">
        <v>-109030.0</v>
      </c>
      <c r="AP620" s="15">
        <v>-182870.0</v>
      </c>
      <c r="AQ620" s="15">
        <v>-419000.0</v>
      </c>
      <c r="AR620" s="15">
        <v>36130.0</v>
      </c>
      <c r="AS620" s="15">
        <v>-24440.0</v>
      </c>
      <c r="AT620" s="15">
        <v>-42430.0</v>
      </c>
      <c r="AU620" s="15">
        <v>-36850.0</v>
      </c>
      <c r="AV620" s="15">
        <v>-107750.0</v>
      </c>
      <c r="AW620" s="15">
        <v>157610.0</v>
      </c>
      <c r="AX620" s="15">
        <v>-8350.0</v>
      </c>
      <c r="AY620" s="15">
        <v>-11000.0</v>
      </c>
      <c r="AZ620" s="15">
        <v>-24060.0</v>
      </c>
      <c r="BA620" s="15">
        <v>-43630.0</v>
      </c>
      <c r="BB620" s="15">
        <v>-51250.0</v>
      </c>
      <c r="BC620" s="13"/>
      <c r="BD620" s="13"/>
      <c r="BE620" s="13"/>
      <c r="BF620" s="13"/>
      <c r="BG620" s="13"/>
      <c r="BH620" s="15">
        <v>165150.0</v>
      </c>
      <c r="BI620" s="15">
        <v>197510.0</v>
      </c>
      <c r="BJ620" s="15">
        <v>247390.0</v>
      </c>
      <c r="BK620" s="15">
        <v>217950.0</v>
      </c>
      <c r="BL620" s="15">
        <v>474060.0</v>
      </c>
      <c r="BM620" s="15">
        <v>200630.0</v>
      </c>
      <c r="BN620" s="15">
        <v>129220.0</v>
      </c>
      <c r="BO620" s="15">
        <v>112940.0</v>
      </c>
      <c r="BP620" s="15">
        <v>164550.0</v>
      </c>
      <c r="BQ620" s="15">
        <v>149940.0</v>
      </c>
      <c r="BR620" s="15">
        <v>144240.0</v>
      </c>
      <c r="BS620" s="15">
        <v>116460.0</v>
      </c>
      <c r="BT620" s="15">
        <v>150550.0</v>
      </c>
      <c r="BU620" s="15">
        <v>167190.0</v>
      </c>
      <c r="BV620" s="15">
        <v>188230.0</v>
      </c>
      <c r="BW620" s="15">
        <v>535980.0</v>
      </c>
      <c r="BX620" s="15">
        <v>474070.0</v>
      </c>
      <c r="BY620" s="15">
        <v>573690.0</v>
      </c>
      <c r="BZ620" s="15">
        <v>587810.0</v>
      </c>
      <c r="CA620" s="15">
        <v>833240.0</v>
      </c>
      <c r="CB620" s="15">
        <v>89660.0</v>
      </c>
      <c r="CC620" s="15">
        <v>46570.0</v>
      </c>
      <c r="CD620" s="15">
        <v>68590.0</v>
      </c>
      <c r="CE620" s="15">
        <v>76510.0</v>
      </c>
      <c r="CF620" s="15">
        <v>70050.0</v>
      </c>
      <c r="CG620" s="15">
        <v>146460.0</v>
      </c>
      <c r="CH620" s="15">
        <v>146460.0</v>
      </c>
      <c r="CI620" s="15">
        <v>146460.0</v>
      </c>
      <c r="CJ620" s="15">
        <v>146460.0</v>
      </c>
      <c r="CK620" s="15">
        <v>57100.0</v>
      </c>
      <c r="CL620" s="15">
        <v>792800.0</v>
      </c>
      <c r="CM620" s="15">
        <v>698360.0</v>
      </c>
      <c r="CN620" s="15">
        <v>850250.0</v>
      </c>
      <c r="CO620" s="15">
        <v>922640.0</v>
      </c>
      <c r="CP620" s="15">
        <v>1100000.0</v>
      </c>
      <c r="CQ620" s="15">
        <v>160700.0</v>
      </c>
      <c r="CR620" s="15">
        <v>148480.0</v>
      </c>
      <c r="CS620" s="15">
        <v>138260.0</v>
      </c>
      <c r="CT620" s="15">
        <v>205030.0</v>
      </c>
      <c r="CU620" s="15">
        <v>89990.0</v>
      </c>
      <c r="CV620" s="15">
        <v>327050.0</v>
      </c>
      <c r="CW620" s="15">
        <v>9100.0</v>
      </c>
      <c r="CX620" s="15"/>
      <c r="CY620" s="15"/>
      <c r="CZ620" s="15"/>
      <c r="DA620" s="15"/>
      <c r="DB620" s="15">
        <v>327050.0</v>
      </c>
      <c r="DC620" s="15">
        <v>299500.0</v>
      </c>
      <c r="DD620" s="15">
        <v>370530.0</v>
      </c>
      <c r="DE620" s="15">
        <v>430740.0</v>
      </c>
      <c r="DF620" s="15">
        <v>559270.0</v>
      </c>
      <c r="DG620" s="15">
        <v>486250.0</v>
      </c>
      <c r="DH620" s="15">
        <v>551540.0</v>
      </c>
      <c r="DI620" s="15">
        <v>475700.0</v>
      </c>
      <c r="DJ620" s="15">
        <v>330940.0</v>
      </c>
      <c r="DK620" s="15"/>
      <c r="DL620" s="15"/>
      <c r="DM620" s="15"/>
      <c r="DN620" s="15"/>
      <c r="DO620" s="15"/>
      <c r="DP620" s="15">
        <v>211770.0</v>
      </c>
      <c r="DQ620" s="15">
        <v>138990.0</v>
      </c>
      <c r="DR620" s="15">
        <v>130050.0</v>
      </c>
      <c r="DS620" s="15"/>
      <c r="DT620" s="12"/>
      <c r="DU620" s="13"/>
      <c r="DV620" s="12"/>
      <c r="DW620" s="12"/>
      <c r="DX620" s="13"/>
      <c r="DY620" s="13"/>
      <c r="DZ620" s="15">
        <v>233530.0</v>
      </c>
      <c r="EA620" s="15">
        <v>212110.0</v>
      </c>
      <c r="EB620" s="15">
        <v>298710.0</v>
      </c>
      <c r="EC620" s="15">
        <v>446950.0</v>
      </c>
      <c r="ED620" s="15">
        <v>772030.0</v>
      </c>
      <c r="EE620" s="17">
        <v>0.245</v>
      </c>
      <c r="EF620" s="17">
        <v>0.407</v>
      </c>
      <c r="EG620" s="17">
        <v>-0.176</v>
      </c>
      <c r="EH620" s="17">
        <v>-0.034</v>
      </c>
    </row>
    <row r="621">
      <c r="A621" s="9">
        <f t="shared" si="2"/>
        <v>619</v>
      </c>
      <c r="B621" s="32" t="s">
        <v>756</v>
      </c>
      <c r="C621" s="11">
        <v>1.495E7</v>
      </c>
      <c r="D621" s="11">
        <v>1.31E7</v>
      </c>
      <c r="E621" s="11">
        <v>1.638E7</v>
      </c>
      <c r="F621" s="11">
        <v>1.658E7</v>
      </c>
      <c r="G621" s="11">
        <v>1.586E7</v>
      </c>
      <c r="H621" s="11">
        <v>1.552E7</v>
      </c>
      <c r="I621" s="11">
        <v>1.58E7</v>
      </c>
      <c r="J621" s="11">
        <v>6130000.0</v>
      </c>
      <c r="K621" s="11">
        <v>6310000.0</v>
      </c>
      <c r="L621" s="11">
        <v>6070000.0</v>
      </c>
      <c r="M621" s="11">
        <v>5610000.0</v>
      </c>
      <c r="N621" s="11">
        <v>5620000.0</v>
      </c>
      <c r="O621" s="11">
        <v>5120000.0</v>
      </c>
      <c r="P621" s="11">
        <v>4980000.0</v>
      </c>
      <c r="Q621" s="11">
        <v>4560000.0</v>
      </c>
      <c r="R621" s="11">
        <v>4140000.0</v>
      </c>
      <c r="S621" s="11">
        <v>4060000.0</v>
      </c>
      <c r="T621" s="11">
        <v>41000.0</v>
      </c>
      <c r="U621" s="11">
        <v>50000.0</v>
      </c>
      <c r="V621" s="12"/>
      <c r="W621" s="12"/>
      <c r="X621" s="12"/>
      <c r="Y621" s="11">
        <v>351000.0</v>
      </c>
      <c r="Z621" s="11">
        <v>1350000.0</v>
      </c>
      <c r="AA621" s="11">
        <v>1510000.0</v>
      </c>
      <c r="AB621" s="11">
        <v>1190000.0</v>
      </c>
      <c r="AC621" s="11">
        <v>1390000.0</v>
      </c>
      <c r="AD621" s="11">
        <v>528000.0</v>
      </c>
      <c r="AE621" s="11">
        <v>1320000.0</v>
      </c>
      <c r="AF621" s="11">
        <v>1420000.0</v>
      </c>
      <c r="AG621" s="11">
        <v>1120000.0</v>
      </c>
      <c r="AH621" s="11">
        <v>1470000.0</v>
      </c>
      <c r="AI621" s="11">
        <v>1570000.0</v>
      </c>
      <c r="AJ621" s="11">
        <v>1910000.0</v>
      </c>
      <c r="AK621" s="11">
        <v>2060000.0</v>
      </c>
      <c r="AL621" s="11">
        <v>2060000.0</v>
      </c>
      <c r="AM621" s="11">
        <v>2150000.0</v>
      </c>
      <c r="AN621" s="11">
        <v>351000.0</v>
      </c>
      <c r="AO621" s="11">
        <v>1000000.0</v>
      </c>
      <c r="AP621" s="11">
        <v>848000.0</v>
      </c>
      <c r="AQ621" s="11">
        <v>676000.0</v>
      </c>
      <c r="AR621" s="11">
        <v>920000.0</v>
      </c>
      <c r="AS621" s="11">
        <v>1410000.0</v>
      </c>
      <c r="AT621" s="11">
        <v>1380000.0</v>
      </c>
      <c r="AU621" s="11">
        <v>1380000.0</v>
      </c>
      <c r="AV621" s="11">
        <v>1720000.0</v>
      </c>
      <c r="AW621" s="11">
        <v>1590000.0</v>
      </c>
      <c r="AX621" s="11">
        <v>-1050000.0</v>
      </c>
      <c r="AY621" s="11">
        <v>-705000.0</v>
      </c>
      <c r="AZ621" s="11">
        <v>-731000.0</v>
      </c>
      <c r="BA621" s="11">
        <v>-524000.0</v>
      </c>
      <c r="BB621" s="11">
        <v>-726000.0</v>
      </c>
      <c r="BC621" s="11">
        <v>-364000.0</v>
      </c>
      <c r="BD621" s="11">
        <v>-373000.0</v>
      </c>
      <c r="BE621" s="11">
        <v>-361000.0</v>
      </c>
      <c r="BF621" s="11">
        <v>-367000.0</v>
      </c>
      <c r="BG621" s="11">
        <v>-377000.0</v>
      </c>
      <c r="BH621" s="11">
        <v>1650000.0</v>
      </c>
      <c r="BI621" s="11">
        <v>1370000.0</v>
      </c>
      <c r="BJ621" s="11">
        <v>1800000.0</v>
      </c>
      <c r="BK621" s="11">
        <v>1820000.0</v>
      </c>
      <c r="BL621" s="11">
        <v>1460000.0</v>
      </c>
      <c r="BM621" s="11">
        <v>316000.0</v>
      </c>
      <c r="BN621" s="11">
        <v>359000.0</v>
      </c>
      <c r="BO621" s="11">
        <v>282000.0</v>
      </c>
      <c r="BP621" s="11">
        <v>335000.0</v>
      </c>
      <c r="BQ621" s="11">
        <v>282000.0</v>
      </c>
      <c r="BR621" s="11">
        <v>2160000.0</v>
      </c>
      <c r="BS621" s="11">
        <v>2130000.0</v>
      </c>
      <c r="BT621" s="11">
        <v>2000000.0</v>
      </c>
      <c r="BU621" s="11">
        <v>1830000.0</v>
      </c>
      <c r="BV621" s="11">
        <v>1870000.0</v>
      </c>
      <c r="BW621" s="11">
        <v>4520000.0</v>
      </c>
      <c r="BX621" s="11">
        <v>4250000.0</v>
      </c>
      <c r="BY621" s="11">
        <v>4570000.0</v>
      </c>
      <c r="BZ621" s="11">
        <v>4320000.0</v>
      </c>
      <c r="CA621" s="11">
        <v>3990000.0</v>
      </c>
      <c r="CB621" s="11">
        <v>8520000.0</v>
      </c>
      <c r="CC621" s="11">
        <v>2910000.0</v>
      </c>
      <c r="CD621" s="11">
        <v>2810000.0</v>
      </c>
      <c r="CE621" s="11">
        <v>2620000.0</v>
      </c>
      <c r="CF621" s="11">
        <v>2850000.0</v>
      </c>
      <c r="CG621" s="11">
        <v>109000.0</v>
      </c>
      <c r="CH621" s="11">
        <v>109000.0</v>
      </c>
      <c r="CI621" s="11">
        <v>109000.0</v>
      </c>
      <c r="CJ621" s="11">
        <v>109000.0</v>
      </c>
      <c r="CK621" s="11">
        <v>180000.0</v>
      </c>
      <c r="CL621" s="11">
        <v>1.368E7</v>
      </c>
      <c r="CM621" s="11">
        <v>8050000.0</v>
      </c>
      <c r="CN621" s="11">
        <v>7990000.0</v>
      </c>
      <c r="CO621" s="11">
        <v>7610000.0</v>
      </c>
      <c r="CP621" s="11">
        <v>7470000.0</v>
      </c>
      <c r="CQ621" s="11">
        <v>1170000.0</v>
      </c>
      <c r="CR621" s="11">
        <v>1130000.0</v>
      </c>
      <c r="CS621" s="11">
        <v>1180000.0</v>
      </c>
      <c r="CT621" s="11">
        <v>1240000.0</v>
      </c>
      <c r="CU621" s="11">
        <v>1110000.0</v>
      </c>
      <c r="CV621" s="11">
        <v>3210000.0</v>
      </c>
      <c r="CW621" s="11">
        <v>920000.0</v>
      </c>
      <c r="CX621" s="12"/>
      <c r="CY621" s="13"/>
      <c r="CZ621" s="13"/>
      <c r="DA621" s="12"/>
      <c r="DB621" s="11">
        <v>3210000.0</v>
      </c>
      <c r="DC621" s="11">
        <v>2170000.0</v>
      </c>
      <c r="DD621" s="11">
        <v>2460000.0</v>
      </c>
      <c r="DE621" s="11">
        <v>2450000.0</v>
      </c>
      <c r="DF621" s="11">
        <v>1.036E7</v>
      </c>
      <c r="DG621" s="11">
        <v>4500000.0</v>
      </c>
      <c r="DH621" s="11">
        <v>4850000.0</v>
      </c>
      <c r="DI621" s="11">
        <v>4710000.0</v>
      </c>
      <c r="DJ621" s="11">
        <v>4930000.0</v>
      </c>
      <c r="DK621" s="11">
        <v>17000.0</v>
      </c>
      <c r="DL621" s="11">
        <v>338000.0</v>
      </c>
      <c r="DM621" s="12"/>
      <c r="DN621" s="12"/>
      <c r="DO621" s="12"/>
      <c r="DP621" s="11">
        <v>6760000.0</v>
      </c>
      <c r="DQ621" s="11">
        <v>1250000.0</v>
      </c>
      <c r="DR621" s="11">
        <v>1250000.0</v>
      </c>
      <c r="DS621" s="11">
        <v>1250000.0</v>
      </c>
      <c r="DT621" s="11">
        <v>1310000.0</v>
      </c>
      <c r="DU621" s="13"/>
      <c r="DV621" s="12"/>
      <c r="DW621" s="12"/>
      <c r="DX621" s="12"/>
      <c r="DY621" s="12"/>
      <c r="DZ621" s="11">
        <v>3320000.0</v>
      </c>
      <c r="EA621" s="11">
        <v>3550000.0</v>
      </c>
      <c r="EB621" s="11">
        <v>3140000.0</v>
      </c>
      <c r="EC621" s="11">
        <v>2900000.0</v>
      </c>
      <c r="ED621" s="11">
        <v>2550000.0</v>
      </c>
      <c r="EE621" s="14">
        <v>0.147</v>
      </c>
      <c r="EF621" s="14">
        <v>0.185</v>
      </c>
      <c r="EG621" s="14">
        <v>-2.746</v>
      </c>
      <c r="EH621" s="14">
        <v>-0.526</v>
      </c>
    </row>
    <row r="622">
      <c r="A622" s="9">
        <f t="shared" si="2"/>
        <v>620</v>
      </c>
      <c r="B622" s="25" t="s">
        <v>757</v>
      </c>
      <c r="C622" s="15">
        <v>1860000.0</v>
      </c>
      <c r="D622" s="15">
        <v>1710000.0</v>
      </c>
      <c r="E622" s="15">
        <v>1960000.0</v>
      </c>
      <c r="F622" s="15">
        <v>1930000.0</v>
      </c>
      <c r="G622" s="15">
        <v>1720000.0</v>
      </c>
      <c r="H622" s="15">
        <v>1600000.0</v>
      </c>
      <c r="I622" s="15">
        <v>1630000.0</v>
      </c>
      <c r="J622" s="15">
        <v>793700.0</v>
      </c>
      <c r="K622" s="15">
        <v>692900.0</v>
      </c>
      <c r="L622" s="15">
        <v>651700.0</v>
      </c>
      <c r="M622" s="15">
        <v>627100.0</v>
      </c>
      <c r="N622" s="15">
        <v>649900.0</v>
      </c>
      <c r="O622" s="15">
        <v>363500.0</v>
      </c>
      <c r="P622" s="15">
        <v>369700.0</v>
      </c>
      <c r="Q622" s="15">
        <v>330300.0</v>
      </c>
      <c r="R622" s="15">
        <v>358100.0</v>
      </c>
      <c r="S622" s="15">
        <v>370500.0</v>
      </c>
      <c r="T622" s="15">
        <v>64500.0</v>
      </c>
      <c r="U622" s="15">
        <v>62700.0</v>
      </c>
      <c r="V622" s="15">
        <v>56300.0</v>
      </c>
      <c r="W622" s="15">
        <v>48800.0</v>
      </c>
      <c r="X622" s="15">
        <v>47100.0</v>
      </c>
      <c r="Y622" s="15">
        <v>310700.0</v>
      </c>
      <c r="Z622" s="15">
        <v>262100.0</v>
      </c>
      <c r="AA622" s="15">
        <v>-4400.0</v>
      </c>
      <c r="AB622" s="15">
        <v>212600.0</v>
      </c>
      <c r="AC622" s="15">
        <v>-17300.0</v>
      </c>
      <c r="AD622" s="15">
        <v>183500.0</v>
      </c>
      <c r="AE622" s="15">
        <v>244900.0</v>
      </c>
      <c r="AF622" s="15">
        <v>210900.0</v>
      </c>
      <c r="AG622" s="15">
        <v>166000.0</v>
      </c>
      <c r="AH622" s="15">
        <v>193700.0</v>
      </c>
      <c r="AI622" s="15">
        <v>532200.0</v>
      </c>
      <c r="AJ622" s="15">
        <v>497800.0</v>
      </c>
      <c r="AK622" s="15">
        <v>447300.0</v>
      </c>
      <c r="AL622" s="15">
        <v>398000.0</v>
      </c>
      <c r="AM622" s="15">
        <v>385000.0</v>
      </c>
      <c r="AN622" s="15">
        <v>126300.0</v>
      </c>
      <c r="AO622" s="15">
        <v>167600.0</v>
      </c>
      <c r="AP622" s="15">
        <v>11200.0</v>
      </c>
      <c r="AQ622" s="15">
        <v>107000.0</v>
      </c>
      <c r="AR622" s="15">
        <v>124000.0</v>
      </c>
      <c r="AS622" s="15">
        <v>392100.0</v>
      </c>
      <c r="AT622" s="15">
        <v>342000.0</v>
      </c>
      <c r="AU622" s="15">
        <v>319200.0</v>
      </c>
      <c r="AV622" s="15">
        <v>267500.0</v>
      </c>
      <c r="AW622" s="15">
        <v>-189800.0</v>
      </c>
      <c r="AX622" s="15">
        <v>-194100.0</v>
      </c>
      <c r="AY622" s="15">
        <v>-216300.0</v>
      </c>
      <c r="AZ622" s="15">
        <v>-125200.0</v>
      </c>
      <c r="BA622" s="15">
        <v>-116900.0</v>
      </c>
      <c r="BB622" s="15">
        <v>-118800.0</v>
      </c>
      <c r="BC622" s="15">
        <v>-72600.0</v>
      </c>
      <c r="BD622" s="15">
        <v>-64600.0</v>
      </c>
      <c r="BE622" s="15">
        <v>-57300.0</v>
      </c>
      <c r="BF622" s="15">
        <v>-36000.0</v>
      </c>
      <c r="BG622" s="15"/>
      <c r="BH622" s="15">
        <v>282900.0</v>
      </c>
      <c r="BI622" s="15">
        <v>201000.0</v>
      </c>
      <c r="BJ622" s="15">
        <v>163500.0</v>
      </c>
      <c r="BK622" s="15">
        <v>100600.0</v>
      </c>
      <c r="BL622" s="15">
        <v>240700.0</v>
      </c>
      <c r="BM622" s="15">
        <v>335300.0</v>
      </c>
      <c r="BN622" s="15">
        <v>288500.0</v>
      </c>
      <c r="BO622" s="15">
        <v>285200.0</v>
      </c>
      <c r="BP622" s="15">
        <v>273900.0</v>
      </c>
      <c r="BQ622" s="15">
        <v>254500.0</v>
      </c>
      <c r="BR622" s="15">
        <v>309900.0</v>
      </c>
      <c r="BS622" s="15">
        <v>281100.0</v>
      </c>
      <c r="BT622" s="15">
        <v>230900.0</v>
      </c>
      <c r="BU622" s="15">
        <v>228000.0</v>
      </c>
      <c r="BV622" s="15">
        <v>198800.0</v>
      </c>
      <c r="BW622" s="15">
        <v>1130000.0</v>
      </c>
      <c r="BX622" s="15">
        <v>857300.0</v>
      </c>
      <c r="BY622" s="15">
        <v>728600.0</v>
      </c>
      <c r="BZ622" s="15">
        <v>654800.0</v>
      </c>
      <c r="CA622" s="15">
        <v>1180000.0</v>
      </c>
      <c r="CB622" s="15">
        <v>1180000.0</v>
      </c>
      <c r="CC622" s="15">
        <v>1010000.0</v>
      </c>
      <c r="CD622" s="15">
        <v>799100.0</v>
      </c>
      <c r="CE622" s="15">
        <v>729600.0</v>
      </c>
      <c r="CF622" s="15">
        <v>621700.0</v>
      </c>
      <c r="CG622" s="15">
        <v>556900.0</v>
      </c>
      <c r="CH622" s="15">
        <v>540400.0</v>
      </c>
      <c r="CI622" s="15">
        <v>402400.0</v>
      </c>
      <c r="CJ622" s="15">
        <v>394200.0</v>
      </c>
      <c r="CK622" s="15">
        <v>336500.0</v>
      </c>
      <c r="CL622" s="15">
        <v>3930000.0</v>
      </c>
      <c r="CM622" s="15">
        <v>3570000.0</v>
      </c>
      <c r="CN622" s="15">
        <v>2910000.0</v>
      </c>
      <c r="CO622" s="15">
        <v>2910000.0</v>
      </c>
      <c r="CP622" s="15">
        <v>3650000.0</v>
      </c>
      <c r="CQ622" s="15">
        <v>302300.0</v>
      </c>
      <c r="CR622" s="15">
        <v>248600.0</v>
      </c>
      <c r="CS622" s="15">
        <v>210300.0</v>
      </c>
      <c r="CT622" s="15">
        <v>195400.0</v>
      </c>
      <c r="CU622" s="15">
        <v>157800.0</v>
      </c>
      <c r="CV622" s="15">
        <v>745100.0</v>
      </c>
      <c r="CW622" s="15">
        <v>9300.0</v>
      </c>
      <c r="CX622" s="15"/>
      <c r="CY622" s="15"/>
      <c r="CZ622" s="15"/>
      <c r="DA622" s="15"/>
      <c r="DB622" s="15">
        <v>745100.0</v>
      </c>
      <c r="DC622" s="15">
        <v>514400.0</v>
      </c>
      <c r="DD622" s="15">
        <v>448200.0</v>
      </c>
      <c r="DE622" s="15">
        <v>480800.0</v>
      </c>
      <c r="DF622" s="15">
        <v>3530000.0</v>
      </c>
      <c r="DG622" s="15">
        <v>3230000.0</v>
      </c>
      <c r="DH622" s="15">
        <v>2640000.0</v>
      </c>
      <c r="DI622" s="15">
        <v>2540000.0</v>
      </c>
      <c r="DJ622" s="15">
        <v>3430000.0</v>
      </c>
      <c r="DK622" s="15">
        <v>185900.0</v>
      </c>
      <c r="DL622" s="15">
        <v>157400.0</v>
      </c>
      <c r="DM622" s="15">
        <v>125900.0</v>
      </c>
      <c r="DN622" s="15">
        <v>117600.0</v>
      </c>
      <c r="DO622" s="15">
        <v>103200.0</v>
      </c>
      <c r="DP622" s="15">
        <v>1980000.0</v>
      </c>
      <c r="DQ622" s="15">
        <v>1960000.0</v>
      </c>
      <c r="DR622" s="15">
        <v>1520000.0</v>
      </c>
      <c r="DS622" s="15">
        <v>1510000.0</v>
      </c>
      <c r="DT622" s="15">
        <v>2110000.0</v>
      </c>
      <c r="DU622" s="13"/>
      <c r="DV622" s="12"/>
      <c r="DW622" s="12"/>
      <c r="DX622" s="13"/>
      <c r="DY622" s="13"/>
      <c r="DZ622" s="15">
        <v>395700.0</v>
      </c>
      <c r="EA622" s="15">
        <v>330900.0</v>
      </c>
      <c r="EB622" s="15">
        <v>256400.0</v>
      </c>
      <c r="EC622" s="15">
        <v>368800.0</v>
      </c>
      <c r="ED622" s="15">
        <v>207800.0</v>
      </c>
      <c r="EE622" s="23"/>
      <c r="EF622" s="23"/>
      <c r="EG622" s="23">
        <v>0.044</v>
      </c>
      <c r="EH622" s="23">
        <v>0.045</v>
      </c>
    </row>
    <row r="623">
      <c r="A623" s="9">
        <f t="shared" si="2"/>
        <v>621</v>
      </c>
      <c r="B623" s="32" t="s">
        <v>758</v>
      </c>
      <c r="C623" s="11">
        <v>967600.0</v>
      </c>
      <c r="D623" s="11">
        <v>890470.0</v>
      </c>
      <c r="E623" s="11">
        <v>791660.0</v>
      </c>
      <c r="F623" s="11">
        <v>623650.0</v>
      </c>
      <c r="G623" s="11">
        <v>458250.0</v>
      </c>
      <c r="H623" s="11">
        <v>380330.0</v>
      </c>
      <c r="I623" s="11">
        <v>291150.0</v>
      </c>
      <c r="J623" s="11">
        <v>166000.0</v>
      </c>
      <c r="K623" s="11">
        <v>127390.0</v>
      </c>
      <c r="L623" s="11">
        <v>98710.0</v>
      </c>
      <c r="M623" s="11">
        <v>64220.0</v>
      </c>
      <c r="N623" s="11">
        <v>46340.0</v>
      </c>
      <c r="O623" s="11">
        <v>95580.0</v>
      </c>
      <c r="P623" s="11">
        <v>53390.0</v>
      </c>
      <c r="Q623" s="11">
        <v>38690.0</v>
      </c>
      <c r="R623" s="11">
        <v>16470.0</v>
      </c>
      <c r="S623" s="11">
        <v>13670.0</v>
      </c>
      <c r="T623" s="11"/>
      <c r="U623" s="11"/>
      <c r="V623" s="11"/>
      <c r="W623" s="11"/>
      <c r="X623" s="11"/>
      <c r="Y623" s="11">
        <v>65520.0</v>
      </c>
      <c r="Z623" s="11">
        <v>71810.0</v>
      </c>
      <c r="AA623" s="11"/>
      <c r="AB623" s="11"/>
      <c r="AC623" s="11">
        <v>32280.0</v>
      </c>
      <c r="AD623" s="11">
        <v>84330.0</v>
      </c>
      <c r="AE623" s="11">
        <v>81670.0</v>
      </c>
      <c r="AF623" s="11">
        <v>64240.0</v>
      </c>
      <c r="AG623" s="11">
        <v>50550.0</v>
      </c>
      <c r="AH623" s="11">
        <v>34720.0</v>
      </c>
      <c r="AI623" s="11">
        <v>73500.0</v>
      </c>
      <c r="AJ623" s="11">
        <v>76940.0</v>
      </c>
      <c r="AK623" s="11">
        <v>60340.0</v>
      </c>
      <c r="AL623" s="11">
        <v>48030.0</v>
      </c>
      <c r="AM623" s="11">
        <v>33140.0</v>
      </c>
      <c r="AN623" s="11">
        <v>58660.0</v>
      </c>
      <c r="AO623" s="11">
        <v>51620.0</v>
      </c>
      <c r="AP623" s="11">
        <v>14970.0</v>
      </c>
      <c r="AQ623" s="11">
        <v>23760.0</v>
      </c>
      <c r="AR623" s="11">
        <v>15330.0</v>
      </c>
      <c r="AS623" s="11">
        <v>-22060.0</v>
      </c>
      <c r="AT623" s="11">
        <v>-39480.0</v>
      </c>
      <c r="AU623" s="11">
        <v>-18000.0</v>
      </c>
      <c r="AV623" s="11">
        <v>-5180.0</v>
      </c>
      <c r="AW623" s="11">
        <v>-47890.0</v>
      </c>
      <c r="AX623" s="11">
        <v>-2570.0</v>
      </c>
      <c r="AY623" s="11">
        <v>-3210.0</v>
      </c>
      <c r="AZ623" s="11">
        <v>-149.0</v>
      </c>
      <c r="BA623" s="11">
        <v>-458.0</v>
      </c>
      <c r="BB623" s="11">
        <v>-307.0</v>
      </c>
      <c r="BC623" s="13"/>
      <c r="BD623" s="13"/>
      <c r="BE623" s="13"/>
      <c r="BF623" s="13"/>
      <c r="BG623" s="13"/>
      <c r="BH623" s="11">
        <v>37690.0</v>
      </c>
      <c r="BI623" s="11">
        <v>41760.0</v>
      </c>
      <c r="BJ623" s="11">
        <v>40290.0</v>
      </c>
      <c r="BK623" s="11">
        <v>39600.0</v>
      </c>
      <c r="BL623" s="11">
        <v>19910.0</v>
      </c>
      <c r="BM623" s="11">
        <v>4720.0</v>
      </c>
      <c r="BN623" s="11">
        <v>4840.0</v>
      </c>
      <c r="BO623" s="11">
        <v>1610.0</v>
      </c>
      <c r="BP623" s="11">
        <v>2450.0</v>
      </c>
      <c r="BQ623" s="11">
        <v>3310.0</v>
      </c>
      <c r="BR623" s="11">
        <v>753570.0</v>
      </c>
      <c r="BS623" s="11">
        <v>668960.0</v>
      </c>
      <c r="BT623" s="11">
        <v>496050.0</v>
      </c>
      <c r="BU623" s="11">
        <v>410300.0</v>
      </c>
      <c r="BV623" s="11">
        <v>344130.0</v>
      </c>
      <c r="BW623" s="11">
        <v>795970.0</v>
      </c>
      <c r="BX623" s="11">
        <v>715560.0</v>
      </c>
      <c r="BY623" s="11">
        <v>537950.0</v>
      </c>
      <c r="BZ623" s="11">
        <v>452350.0</v>
      </c>
      <c r="CA623" s="11">
        <v>368750.0</v>
      </c>
      <c r="CB623" s="11">
        <v>7770.0</v>
      </c>
      <c r="CC623" s="11">
        <v>4690.0</v>
      </c>
      <c r="CD623" s="11">
        <v>804.0</v>
      </c>
      <c r="CE623" s="11">
        <v>892.0</v>
      </c>
      <c r="CF623" s="11">
        <v>802.0</v>
      </c>
      <c r="CG623" s="11">
        <v>680.0</v>
      </c>
      <c r="CH623" s="11">
        <v>680.0</v>
      </c>
      <c r="CI623" s="11"/>
      <c r="CJ623" s="11"/>
      <c r="CK623" s="11"/>
      <c r="CL623" s="11">
        <v>876890.0</v>
      </c>
      <c r="CM623" s="11">
        <v>784090.0</v>
      </c>
      <c r="CN623" s="11">
        <v>611060.0</v>
      </c>
      <c r="CO623" s="11">
        <v>541140.0</v>
      </c>
      <c r="CP623" s="11">
        <v>474030.0</v>
      </c>
      <c r="CQ623" s="11">
        <v>30040.0</v>
      </c>
      <c r="CR623" s="11">
        <v>26090.0</v>
      </c>
      <c r="CS623" s="11">
        <v>22350.0</v>
      </c>
      <c r="CT623" s="11">
        <v>15110.0</v>
      </c>
      <c r="CU623" s="11">
        <v>13530.0</v>
      </c>
      <c r="CV623" s="11">
        <v>79970.0</v>
      </c>
      <c r="CW623" s="11">
        <v>1320.0</v>
      </c>
      <c r="CX623" s="12"/>
      <c r="CY623" s="13"/>
      <c r="CZ623" s="13"/>
      <c r="DA623" s="12"/>
      <c r="DB623" s="11">
        <v>79970.0</v>
      </c>
      <c r="DC623" s="11">
        <v>87270.0</v>
      </c>
      <c r="DD623" s="11">
        <v>62270.0</v>
      </c>
      <c r="DE623" s="11">
        <v>43490.0</v>
      </c>
      <c r="DF623" s="11">
        <v>326880.0</v>
      </c>
      <c r="DG623" s="11">
        <v>289930.0</v>
      </c>
      <c r="DH623" s="11">
        <v>178020.0</v>
      </c>
      <c r="DI623" s="11">
        <v>139660.0</v>
      </c>
      <c r="DJ623" s="11">
        <v>102170.0</v>
      </c>
      <c r="DK623" s="11">
        <v>30290.0</v>
      </c>
      <c r="DL623" s="11">
        <v>20270.0</v>
      </c>
      <c r="DM623" s="11">
        <v>16880.0</v>
      </c>
      <c r="DN623" s="11">
        <v>18140.0</v>
      </c>
      <c r="DO623" s="11"/>
      <c r="DP623" s="11">
        <v>240290.0</v>
      </c>
      <c r="DQ623" s="11">
        <v>200390.0</v>
      </c>
      <c r="DR623" s="11">
        <v>115700.0</v>
      </c>
      <c r="DS623" s="11">
        <v>85950.0</v>
      </c>
      <c r="DT623" s="11">
        <v>57660.0</v>
      </c>
      <c r="DU623" s="13"/>
      <c r="DV623" s="12"/>
      <c r="DW623" s="12"/>
      <c r="DX623" s="13"/>
      <c r="DY623" s="13"/>
      <c r="DZ623" s="11">
        <v>523170.0</v>
      </c>
      <c r="EA623" s="11">
        <v>468350.0</v>
      </c>
      <c r="EB623" s="11">
        <v>416350.0</v>
      </c>
      <c r="EC623" s="11">
        <v>384570.0</v>
      </c>
      <c r="ED623" s="11">
        <v>359530.0</v>
      </c>
      <c r="EE623" s="14">
        <v>0.026</v>
      </c>
      <c r="EF623" s="14">
        <v>0.06</v>
      </c>
      <c r="EG623" s="14">
        <v>0.292</v>
      </c>
      <c r="EH623" s="14">
        <v>0.19</v>
      </c>
    </row>
    <row r="624">
      <c r="A624" s="9">
        <f t="shared" si="2"/>
        <v>622</v>
      </c>
      <c r="B624" s="22" t="s">
        <v>759</v>
      </c>
      <c r="C624" s="11">
        <v>6890000.0</v>
      </c>
      <c r="D624" s="11">
        <v>6430000.0</v>
      </c>
      <c r="E624" s="11">
        <v>5100000.0</v>
      </c>
      <c r="F624" s="11">
        <v>4490000.0</v>
      </c>
      <c r="G624" s="11">
        <v>4320000.0</v>
      </c>
      <c r="H624" s="11">
        <v>4050000.0</v>
      </c>
      <c r="I624" s="11">
        <v>3930000.0</v>
      </c>
      <c r="J624" s="11">
        <v>2230000.0</v>
      </c>
      <c r="K624" s="11">
        <v>1970000.0</v>
      </c>
      <c r="L624" s="11">
        <v>2070000.0</v>
      </c>
      <c r="M624" s="11">
        <v>1840000.0</v>
      </c>
      <c r="N624" s="11">
        <v>1850000.0</v>
      </c>
      <c r="O624" s="11">
        <v>1110000.0</v>
      </c>
      <c r="P624" s="11">
        <v>973360.0</v>
      </c>
      <c r="Q624" s="11">
        <v>1070000.0</v>
      </c>
      <c r="R624" s="11">
        <v>898010.0</v>
      </c>
      <c r="S624" s="11">
        <v>881770.0</v>
      </c>
      <c r="T624" s="11">
        <v>253550.0</v>
      </c>
      <c r="U624" s="11">
        <v>220830.0</v>
      </c>
      <c r="V624" s="11">
        <v>222740.0</v>
      </c>
      <c r="W624" s="11">
        <v>184570.0</v>
      </c>
      <c r="X624" s="11">
        <v>210540.0</v>
      </c>
      <c r="Y624" s="11">
        <v>1090000.0</v>
      </c>
      <c r="Z624" s="12"/>
      <c r="AA624" s="11">
        <v>999590.0</v>
      </c>
      <c r="AB624" s="11">
        <v>931800.0</v>
      </c>
      <c r="AC624" s="11">
        <v>945160.0</v>
      </c>
      <c r="AD624" s="11">
        <v>847670.0</v>
      </c>
      <c r="AE624" s="11">
        <v>736880.0</v>
      </c>
      <c r="AF624" s="11">
        <v>715610.0</v>
      </c>
      <c r="AG624" s="11">
        <v>705820.0</v>
      </c>
      <c r="AH624" s="11">
        <v>698530.0</v>
      </c>
      <c r="AI624" s="11">
        <v>1420000.0</v>
      </c>
      <c r="AJ624" s="11">
        <v>1220000.0</v>
      </c>
      <c r="AK624" s="11">
        <v>1220000.0</v>
      </c>
      <c r="AL624" s="11">
        <v>1140000.0</v>
      </c>
      <c r="AM624" s="11">
        <v>1160000.0</v>
      </c>
      <c r="AN624" s="11">
        <v>625150.0</v>
      </c>
      <c r="AO624" s="11">
        <v>596640.0</v>
      </c>
      <c r="AP624" s="11">
        <v>662700.0</v>
      </c>
      <c r="AQ624" s="11">
        <v>545460.0</v>
      </c>
      <c r="AR624" s="11">
        <v>532150.0</v>
      </c>
      <c r="AS624" s="11">
        <v>573400.0</v>
      </c>
      <c r="AT624" s="11">
        <v>740490.0</v>
      </c>
      <c r="AU624" s="11">
        <v>841750.0</v>
      </c>
      <c r="AV624" s="11">
        <v>553280.0</v>
      </c>
      <c r="AW624" s="11">
        <v>747780.0</v>
      </c>
      <c r="AX624" s="11">
        <v>-412310.0</v>
      </c>
      <c r="AY624" s="11">
        <v>-307720.0</v>
      </c>
      <c r="AZ624" s="11">
        <v>-322970.0</v>
      </c>
      <c r="BA624" s="11">
        <v>-292690.0</v>
      </c>
      <c r="BB624" s="11">
        <v>-567020.0</v>
      </c>
      <c r="BC624" s="11">
        <v>-238740.0</v>
      </c>
      <c r="BD624" s="11">
        <v>-278840.0</v>
      </c>
      <c r="BE624" s="11">
        <v>-218260.0</v>
      </c>
      <c r="BF624" s="11">
        <v>-216150.0</v>
      </c>
      <c r="BG624" s="11">
        <v>-221770.0</v>
      </c>
      <c r="BH624" s="11">
        <v>2460000.0</v>
      </c>
      <c r="BI624" s="11">
        <v>1030000.0</v>
      </c>
      <c r="BJ624" s="11">
        <v>886520.0</v>
      </c>
      <c r="BK624" s="11">
        <v>895010.0</v>
      </c>
      <c r="BL624" s="11">
        <v>1140000.0</v>
      </c>
      <c r="BM624" s="11">
        <v>470500.0</v>
      </c>
      <c r="BN624" s="11">
        <v>401570.0</v>
      </c>
      <c r="BO624" s="11">
        <v>385270.0</v>
      </c>
      <c r="BP624" s="11">
        <v>528520.0</v>
      </c>
      <c r="BQ624" s="11">
        <v>477020.0</v>
      </c>
      <c r="BR624" s="11">
        <v>2340000.0</v>
      </c>
      <c r="BS624" s="11">
        <v>1950000.0</v>
      </c>
      <c r="BT624" s="11">
        <v>1630000.0</v>
      </c>
      <c r="BU624" s="11">
        <v>1640000.0</v>
      </c>
      <c r="BV624" s="11">
        <v>1430000.0</v>
      </c>
      <c r="BW624" s="11">
        <v>5360000.0</v>
      </c>
      <c r="BX624" s="11">
        <v>3480000.0</v>
      </c>
      <c r="BY624" s="11">
        <v>2950000.0</v>
      </c>
      <c r="BZ624" s="11">
        <v>3120000.0</v>
      </c>
      <c r="CA624" s="11">
        <v>3090000.0</v>
      </c>
      <c r="CB624" s="11">
        <v>2860000.0</v>
      </c>
      <c r="CC624" s="11">
        <v>1950000.0</v>
      </c>
      <c r="CD624" s="11">
        <v>1760000.0</v>
      </c>
      <c r="CE624" s="11">
        <v>1810000.0</v>
      </c>
      <c r="CF624" s="11">
        <v>1640000.0</v>
      </c>
      <c r="CG624" s="11">
        <v>5510000.0</v>
      </c>
      <c r="CH624" s="11">
        <v>5210000.0</v>
      </c>
      <c r="CI624" s="11">
        <v>4590000.0</v>
      </c>
      <c r="CJ624" s="11">
        <v>3640000.0</v>
      </c>
      <c r="CK624" s="11">
        <v>3530000.0</v>
      </c>
      <c r="CL624" s="11">
        <v>1.554E7</v>
      </c>
      <c r="CM624" s="11">
        <v>1.248E7</v>
      </c>
      <c r="CN624" s="11">
        <v>1.092E7</v>
      </c>
      <c r="CO624" s="11">
        <v>1.013E7</v>
      </c>
      <c r="CP624" s="11">
        <v>9600000.0</v>
      </c>
      <c r="CQ624" s="11">
        <v>581880.0</v>
      </c>
      <c r="CR624" s="11">
        <v>561880.0</v>
      </c>
      <c r="CS624" s="11">
        <v>423100.0</v>
      </c>
      <c r="CT624" s="11">
        <v>461070.0</v>
      </c>
      <c r="CU624" s="11">
        <v>409990.0</v>
      </c>
      <c r="CV624" s="11">
        <v>1370000.0</v>
      </c>
      <c r="CW624" s="11">
        <v>128850.0</v>
      </c>
      <c r="CX624" s="11">
        <v>14210.0</v>
      </c>
      <c r="CY624" s="11">
        <v>114440.0</v>
      </c>
      <c r="CZ624" s="11">
        <v>118220.0</v>
      </c>
      <c r="DA624" s="11">
        <v>106010.0</v>
      </c>
      <c r="DB624" s="11">
        <v>1370000.0</v>
      </c>
      <c r="DC624" s="11">
        <v>1260000.0</v>
      </c>
      <c r="DD624" s="11">
        <v>977990.0</v>
      </c>
      <c r="DE624" s="11">
        <v>1070000.0</v>
      </c>
      <c r="DF624" s="11">
        <v>8690000.0</v>
      </c>
      <c r="DG624" s="11">
        <v>7770000.0</v>
      </c>
      <c r="DH624" s="11">
        <v>7270000.0</v>
      </c>
      <c r="DI624" s="11">
        <v>6390000.0</v>
      </c>
      <c r="DJ624" s="11">
        <v>6290000.0</v>
      </c>
      <c r="DK624" s="11">
        <v>143980.0</v>
      </c>
      <c r="DL624" s="11">
        <v>228820.0</v>
      </c>
      <c r="DM624" s="11">
        <v>284080.0</v>
      </c>
      <c r="DN624" s="11">
        <v>290890.0</v>
      </c>
      <c r="DO624" s="11">
        <v>107120.0</v>
      </c>
      <c r="DP624" s="11">
        <v>6790000.0</v>
      </c>
      <c r="DQ624" s="11">
        <v>6020000.0</v>
      </c>
      <c r="DR624" s="11">
        <v>5880000.0</v>
      </c>
      <c r="DS624" s="11">
        <v>4680000.0</v>
      </c>
      <c r="DT624" s="11">
        <v>4570000.0</v>
      </c>
      <c r="DU624" s="13"/>
      <c r="DV624" s="12"/>
      <c r="DW624" s="12"/>
      <c r="DX624" s="13"/>
      <c r="DY624" s="13"/>
      <c r="DZ624" s="11">
        <v>4820000.0</v>
      </c>
      <c r="EA624" s="11">
        <v>4230000.0</v>
      </c>
      <c r="EB624" s="11">
        <v>3630000.0</v>
      </c>
      <c r="EC624" s="11">
        <v>3720000.0</v>
      </c>
      <c r="ED624" s="11">
        <v>3300000.0</v>
      </c>
      <c r="EE624" s="14">
        <v>0.079</v>
      </c>
      <c r="EF624" s="14">
        <v>0.015</v>
      </c>
      <c r="EG624" s="14">
        <v>-0.15</v>
      </c>
      <c r="EH624" s="14">
        <v>-0.112</v>
      </c>
    </row>
    <row r="625">
      <c r="A625" s="9">
        <f t="shared" si="2"/>
        <v>623</v>
      </c>
      <c r="B625" s="25" t="s">
        <v>760</v>
      </c>
      <c r="C625" s="15">
        <v>4050000.0</v>
      </c>
      <c r="D625" s="15">
        <v>3740000.0</v>
      </c>
      <c r="E625" s="15">
        <v>3760000.0</v>
      </c>
      <c r="F625" s="15">
        <v>3350000.0</v>
      </c>
      <c r="G625" s="15">
        <v>3120000.0</v>
      </c>
      <c r="H625" s="15">
        <v>3020000.0</v>
      </c>
      <c r="I625" s="15">
        <v>2820000.0</v>
      </c>
      <c r="J625" s="15">
        <v>2230000.0</v>
      </c>
      <c r="K625" s="15">
        <v>1980000.0</v>
      </c>
      <c r="L625" s="15">
        <v>1800000.0</v>
      </c>
      <c r="M625" s="15">
        <v>1680000.0</v>
      </c>
      <c r="N625" s="15">
        <v>1540000.0</v>
      </c>
      <c r="O625" s="15">
        <v>1290000.0</v>
      </c>
      <c r="P625" s="15">
        <v>1200000.0</v>
      </c>
      <c r="Q625" s="15">
        <v>1110000.0</v>
      </c>
      <c r="R625" s="15">
        <v>1060000.0</v>
      </c>
      <c r="S625" s="15">
        <v>989120.0</v>
      </c>
      <c r="T625" s="15">
        <v>605370.0</v>
      </c>
      <c r="U625" s="15">
        <v>567810.0</v>
      </c>
      <c r="V625" s="15">
        <v>511630.0</v>
      </c>
      <c r="W625" s="15">
        <v>467960.0</v>
      </c>
      <c r="X625" s="15">
        <v>427040.0</v>
      </c>
      <c r="Y625" s="12"/>
      <c r="Z625" s="12"/>
      <c r="AA625" s="12"/>
      <c r="AB625" s="15"/>
      <c r="AC625" s="15"/>
      <c r="AD625" s="15">
        <v>987220.0</v>
      </c>
      <c r="AE625" s="15">
        <v>823250.0</v>
      </c>
      <c r="AF625" s="15">
        <v>697070.0</v>
      </c>
      <c r="AG625" s="15">
        <v>629670.0</v>
      </c>
      <c r="AH625" s="15">
        <v>567190.0</v>
      </c>
      <c r="AI625" s="15">
        <v>1050000.0</v>
      </c>
      <c r="AJ625" s="15">
        <v>874540.0</v>
      </c>
      <c r="AK625" s="15">
        <v>769890.0</v>
      </c>
      <c r="AL625" s="15">
        <v>710250.0</v>
      </c>
      <c r="AM625" s="15">
        <v>627940.0</v>
      </c>
      <c r="AN625" s="15">
        <v>952490.0</v>
      </c>
      <c r="AO625" s="15">
        <v>694080.0</v>
      </c>
      <c r="AP625" s="15">
        <v>709010.0</v>
      </c>
      <c r="AQ625" s="15">
        <v>510810.0</v>
      </c>
      <c r="AR625" s="15">
        <v>456230.0</v>
      </c>
      <c r="AS625" s="15">
        <v>698550.0</v>
      </c>
      <c r="AT625" s="15">
        <v>919520.0</v>
      </c>
      <c r="AU625" s="15">
        <v>660840.0</v>
      </c>
      <c r="AV625" s="15">
        <v>705680.0</v>
      </c>
      <c r="AW625" s="15">
        <v>280470.0</v>
      </c>
      <c r="AX625" s="15">
        <v>-120410.0</v>
      </c>
      <c r="AY625" s="15">
        <v>-160360.0</v>
      </c>
      <c r="AZ625" s="15">
        <v>-151930.0</v>
      </c>
      <c r="BA625" s="15">
        <v>-96680.0</v>
      </c>
      <c r="BB625" s="15">
        <v>-84480.0</v>
      </c>
      <c r="BC625" s="15">
        <v>-417260.0</v>
      </c>
      <c r="BD625" s="15">
        <v>-296150.0</v>
      </c>
      <c r="BE625" s="15">
        <v>-382980.0</v>
      </c>
      <c r="BF625" s="15">
        <v>-481450.0</v>
      </c>
      <c r="BG625" s="15">
        <v>-378120.0</v>
      </c>
      <c r="BH625" s="15">
        <v>1400000.0</v>
      </c>
      <c r="BI625" s="15">
        <v>1380000.0</v>
      </c>
      <c r="BJ625" s="15">
        <v>1050000.0</v>
      </c>
      <c r="BK625" s="15">
        <v>1110000.0</v>
      </c>
      <c r="BL625" s="15">
        <v>1050000.0</v>
      </c>
      <c r="BM625" s="15">
        <v>706760.0</v>
      </c>
      <c r="BN625" s="15">
        <v>569830.0</v>
      </c>
      <c r="BO625" s="15">
        <v>590880.0</v>
      </c>
      <c r="BP625" s="15">
        <v>527060.0</v>
      </c>
      <c r="BQ625" s="15">
        <v>531480.0</v>
      </c>
      <c r="BR625" s="15">
        <v>752910.0</v>
      </c>
      <c r="BS625" s="15">
        <v>561840.0</v>
      </c>
      <c r="BT625" s="15">
        <v>517640.0</v>
      </c>
      <c r="BU625" s="15">
        <v>484820.0</v>
      </c>
      <c r="BV625" s="15">
        <v>500550.0</v>
      </c>
      <c r="BW625" s="15">
        <v>3030000.0</v>
      </c>
      <c r="BX625" s="15">
        <v>2640000.0</v>
      </c>
      <c r="BY625" s="15">
        <v>2320000.0</v>
      </c>
      <c r="BZ625" s="15">
        <v>2220000.0</v>
      </c>
      <c r="CA625" s="15">
        <v>2160000.0</v>
      </c>
      <c r="CB625" s="15">
        <v>792510.0</v>
      </c>
      <c r="CC625" s="15">
        <v>663530.0</v>
      </c>
      <c r="CD625" s="15">
        <v>595680.0</v>
      </c>
      <c r="CE625" s="15">
        <v>482880.0</v>
      </c>
      <c r="CF625" s="15">
        <v>446090.0</v>
      </c>
      <c r="CG625" s="15">
        <v>467110.0</v>
      </c>
      <c r="CH625" s="15">
        <v>301020.0</v>
      </c>
      <c r="CI625" s="15">
        <v>286980.0</v>
      </c>
      <c r="CJ625" s="15">
        <v>224550.0</v>
      </c>
      <c r="CK625" s="15">
        <v>187790.0</v>
      </c>
      <c r="CL625" s="15">
        <v>6170000.0</v>
      </c>
      <c r="CM625" s="15">
        <v>5380000.0</v>
      </c>
      <c r="CN625" s="15">
        <v>4950000.0</v>
      </c>
      <c r="CO625" s="15">
        <v>4530000.0</v>
      </c>
      <c r="CP625" s="15">
        <v>4500000.0</v>
      </c>
      <c r="CQ625" s="15">
        <v>240830.0</v>
      </c>
      <c r="CR625" s="15">
        <v>204990.0</v>
      </c>
      <c r="CS625" s="15">
        <v>169640.0</v>
      </c>
      <c r="CT625" s="15">
        <v>172400.0</v>
      </c>
      <c r="CU625" s="15">
        <v>178910.0</v>
      </c>
      <c r="CV625" s="15">
        <v>1040000.0</v>
      </c>
      <c r="CW625" s="15">
        <v>14760.0</v>
      </c>
      <c r="CX625" s="15"/>
      <c r="CY625" s="15"/>
      <c r="CZ625" s="15"/>
      <c r="DA625" s="15"/>
      <c r="DB625" s="15">
        <v>1040000.0</v>
      </c>
      <c r="DC625" s="15">
        <v>921310.0</v>
      </c>
      <c r="DD625" s="15">
        <v>792120.0</v>
      </c>
      <c r="DE625" s="15">
        <v>782740.0</v>
      </c>
      <c r="DF625" s="15">
        <v>1370000.0</v>
      </c>
      <c r="DG625" s="15">
        <v>1220000.0</v>
      </c>
      <c r="DH625" s="15">
        <v>1100000.0</v>
      </c>
      <c r="DI625" s="15">
        <v>1110000.0</v>
      </c>
      <c r="DJ625" s="15">
        <v>1150000.0</v>
      </c>
      <c r="DK625" s="15">
        <v>1210000.0</v>
      </c>
      <c r="DL625" s="15">
        <v>1330000.0</v>
      </c>
      <c r="DM625" s="15">
        <v>1260000.0</v>
      </c>
      <c r="DN625" s="15">
        <v>1210000.0</v>
      </c>
      <c r="DO625" s="15">
        <v>1340000.0</v>
      </c>
      <c r="DP625" s="15">
        <v>49240.0</v>
      </c>
      <c r="DQ625" s="15"/>
      <c r="DR625" s="15"/>
      <c r="DS625" s="15"/>
      <c r="DT625" s="15"/>
      <c r="DU625" s="13"/>
      <c r="DV625" s="12"/>
      <c r="DW625" s="12"/>
      <c r="DX625" s="13"/>
      <c r="DY625" s="13"/>
      <c r="DZ625" s="15">
        <v>4790000.0</v>
      </c>
      <c r="EA625" s="15">
        <v>4160000.0</v>
      </c>
      <c r="EB625" s="15">
        <v>3850000.0</v>
      </c>
      <c r="EC625" s="15">
        <v>3420000.0</v>
      </c>
      <c r="ED625" s="15">
        <v>3350000.0</v>
      </c>
      <c r="EE625" s="17">
        <v>0.064</v>
      </c>
      <c r="EF625" s="17">
        <v>0.099</v>
      </c>
      <c r="EG625" s="17">
        <v>1.333</v>
      </c>
      <c r="EH625" s="17">
        <v>0.498</v>
      </c>
    </row>
    <row r="626">
      <c r="A626" s="9">
        <f t="shared" si="2"/>
        <v>624</v>
      </c>
      <c r="B626" s="22" t="s">
        <v>761</v>
      </c>
      <c r="C626" s="11">
        <v>4840.0</v>
      </c>
      <c r="D626" s="11">
        <v>4180.0</v>
      </c>
      <c r="E626" s="11">
        <v>4370.0</v>
      </c>
      <c r="F626" s="11">
        <v>1190.0</v>
      </c>
      <c r="G626" s="12"/>
      <c r="H626" s="12"/>
      <c r="I626" s="12"/>
      <c r="J626" s="12"/>
      <c r="K626" s="12"/>
      <c r="L626" s="11">
        <v>-1970.0</v>
      </c>
      <c r="M626" s="11">
        <v>-823.0</v>
      </c>
      <c r="N626" s="12"/>
      <c r="O626" s="11">
        <v>97560.0</v>
      </c>
      <c r="P626" s="11">
        <v>62810.0</v>
      </c>
      <c r="Q626" s="11">
        <v>39790.0</v>
      </c>
      <c r="R626" s="11">
        <v>18160.0</v>
      </c>
      <c r="S626" s="12"/>
      <c r="T626" s="11">
        <v>82900.0</v>
      </c>
      <c r="U626" s="11">
        <v>54970.0</v>
      </c>
      <c r="V626" s="11">
        <v>35690.0</v>
      </c>
      <c r="W626" s="11">
        <v>13920.0</v>
      </c>
      <c r="X626" s="12"/>
      <c r="Y626" s="12"/>
      <c r="Z626" s="12"/>
      <c r="AA626" s="12"/>
      <c r="AB626" s="12"/>
      <c r="AC626" s="12"/>
      <c r="AD626" s="11">
        <v>-94430.0</v>
      </c>
      <c r="AE626" s="11">
        <v>-64780.0</v>
      </c>
      <c r="AF626" s="11">
        <v>-41380.0</v>
      </c>
      <c r="AG626" s="11">
        <v>-18750.0</v>
      </c>
      <c r="AH626" s="12"/>
      <c r="AI626" s="11">
        <v>-93200.0</v>
      </c>
      <c r="AJ626" s="11">
        <v>-61620.0</v>
      </c>
      <c r="AK626" s="11">
        <v>-39790.0</v>
      </c>
      <c r="AL626" s="11">
        <v>-18160.0</v>
      </c>
      <c r="AM626" s="12"/>
      <c r="AN626" s="11">
        <v>-94430.0</v>
      </c>
      <c r="AO626" s="11">
        <v>-64780.0</v>
      </c>
      <c r="AP626" s="11">
        <v>-41380.0</v>
      </c>
      <c r="AQ626" s="11">
        <v>-18750.0</v>
      </c>
      <c r="AR626" s="12"/>
      <c r="AS626" s="11">
        <v>-85070.0</v>
      </c>
      <c r="AT626" s="11">
        <v>-38160.0</v>
      </c>
      <c r="AU626" s="11">
        <v>-34970.0</v>
      </c>
      <c r="AV626" s="11">
        <v>-15290.0</v>
      </c>
      <c r="AW626" s="12"/>
      <c r="AX626" s="11">
        <v>-16170.0</v>
      </c>
      <c r="AY626" s="11">
        <v>-5660.0</v>
      </c>
      <c r="AZ626" s="11">
        <v>-11520.0</v>
      </c>
      <c r="BA626" s="11">
        <v>-6980.0</v>
      </c>
      <c r="BB626" s="12"/>
      <c r="BC626" s="12"/>
      <c r="BD626" s="12"/>
      <c r="BE626" s="12"/>
      <c r="BF626" s="12"/>
      <c r="BG626" s="12"/>
      <c r="BH626" s="11">
        <v>127780.0</v>
      </c>
      <c r="BI626" s="11">
        <v>153110.0</v>
      </c>
      <c r="BJ626" s="11">
        <v>85950.0</v>
      </c>
      <c r="BK626" s="11">
        <v>37510.0</v>
      </c>
      <c r="BL626" s="12"/>
      <c r="BM626" s="11">
        <v>482.0</v>
      </c>
      <c r="BN626" s="11">
        <v>462.0</v>
      </c>
      <c r="BO626" s="11">
        <v>1710.0</v>
      </c>
      <c r="BP626" s="11">
        <v>171.0</v>
      </c>
      <c r="BQ626" s="12"/>
      <c r="BR626" s="12"/>
      <c r="BS626" s="12"/>
      <c r="BT626" s="12"/>
      <c r="BU626" s="12"/>
      <c r="BV626" s="12"/>
      <c r="BW626" s="11">
        <v>131270.0</v>
      </c>
      <c r="BX626" s="11">
        <v>157640.0</v>
      </c>
      <c r="BY626" s="11">
        <v>88480.0</v>
      </c>
      <c r="BZ626" s="11">
        <v>38390.0</v>
      </c>
      <c r="CA626" s="12"/>
      <c r="CB626" s="11">
        <v>50340.0</v>
      </c>
      <c r="CC626" s="11">
        <v>29490.0</v>
      </c>
      <c r="CD626" s="11">
        <v>27210.0</v>
      </c>
      <c r="CE626" s="11">
        <v>7490.0</v>
      </c>
      <c r="CF626" s="12"/>
      <c r="CG626" s="12"/>
      <c r="CH626" s="12"/>
      <c r="CI626" s="12"/>
      <c r="CJ626" s="12"/>
      <c r="CK626" s="12"/>
      <c r="CL626" s="11">
        <v>184390.0</v>
      </c>
      <c r="CM626" s="11">
        <v>189560.0</v>
      </c>
      <c r="CN626" s="11">
        <v>117300.0</v>
      </c>
      <c r="CO626" s="11">
        <v>46420.0</v>
      </c>
      <c r="CP626" s="12"/>
      <c r="CQ626" s="11">
        <v>4620.0</v>
      </c>
      <c r="CR626" s="11">
        <v>4830.0</v>
      </c>
      <c r="CS626" s="11">
        <v>3940.0</v>
      </c>
      <c r="CT626" s="11">
        <v>762.0</v>
      </c>
      <c r="CU626" s="12"/>
      <c r="CV626" s="11">
        <v>19500.0</v>
      </c>
      <c r="CW626" s="11">
        <v>2510.0</v>
      </c>
      <c r="CX626" s="12"/>
      <c r="CY626" s="12"/>
      <c r="CZ626" s="12"/>
      <c r="DA626" s="12"/>
      <c r="DB626" s="11">
        <v>19500.0</v>
      </c>
      <c r="DC626" s="11">
        <v>15110.0</v>
      </c>
      <c r="DD626" s="11">
        <v>7650.0</v>
      </c>
      <c r="DE626" s="11">
        <v>2490.0</v>
      </c>
      <c r="DF626" s="11">
        <v>50050.0</v>
      </c>
      <c r="DG626" s="11">
        <v>40440.0</v>
      </c>
      <c r="DH626" s="11">
        <v>20020.0</v>
      </c>
      <c r="DI626" s="11">
        <v>4730.0</v>
      </c>
      <c r="DJ626" s="12"/>
      <c r="DK626" s="11">
        <v>992.0</v>
      </c>
      <c r="DL626" s="11">
        <v>992.0</v>
      </c>
      <c r="DM626" s="12"/>
      <c r="DN626" s="12"/>
      <c r="DO626" s="12"/>
      <c r="DP626" s="11">
        <v>20990.0</v>
      </c>
      <c r="DQ626" s="11">
        <v>10490.0</v>
      </c>
      <c r="DR626" s="11">
        <v>10520.0</v>
      </c>
      <c r="DS626" s="12"/>
      <c r="DT626" s="12"/>
      <c r="DU626" s="13"/>
      <c r="DV626" s="12"/>
      <c r="DW626" s="11">
        <v>156940.0</v>
      </c>
      <c r="DX626" s="11">
        <v>61140.0</v>
      </c>
      <c r="DY626" s="13"/>
      <c r="DZ626" s="11">
        <v>134340.0</v>
      </c>
      <c r="EA626" s="11">
        <v>149120.0</v>
      </c>
      <c r="EB626" s="11">
        <v>97280.0</v>
      </c>
      <c r="EC626" s="11">
        <v>41690.0</v>
      </c>
      <c r="ED626" s="12"/>
      <c r="EE626" s="14">
        <v>0.478</v>
      </c>
      <c r="EF626" s="14">
        <v>0.785</v>
      </c>
      <c r="EG626" s="14">
        <v>0.055</v>
      </c>
      <c r="EH626" s="14">
        <v>-0.055</v>
      </c>
    </row>
    <row r="627">
      <c r="A627" s="9">
        <f t="shared" si="2"/>
        <v>625</v>
      </c>
      <c r="B627" s="22" t="s">
        <v>762</v>
      </c>
      <c r="C627" s="11">
        <v>32500.0</v>
      </c>
      <c r="D627" s="12"/>
      <c r="E627" s="12"/>
      <c r="F627" s="12"/>
      <c r="G627" s="12"/>
      <c r="H627" s="12"/>
      <c r="I627" s="12"/>
      <c r="J627" s="11">
        <v>-267.0</v>
      </c>
      <c r="K627" s="11">
        <v>-127.0</v>
      </c>
      <c r="L627" s="11">
        <v>-84.0</v>
      </c>
      <c r="M627" s="12"/>
      <c r="N627" s="12"/>
      <c r="O627" s="11">
        <v>50420.0</v>
      </c>
      <c r="P627" s="11">
        <v>24130.0</v>
      </c>
      <c r="Q627" s="11">
        <v>24010.0</v>
      </c>
      <c r="R627" s="12"/>
      <c r="S627" s="12"/>
      <c r="T627" s="11">
        <v>42330.0</v>
      </c>
      <c r="U627" s="11">
        <v>18660.0</v>
      </c>
      <c r="V627" s="11">
        <v>20590.0</v>
      </c>
      <c r="W627" s="12"/>
      <c r="X627" s="12"/>
      <c r="Y627" s="12"/>
      <c r="Z627" s="12"/>
      <c r="AA627" s="12"/>
      <c r="AB627" s="12"/>
      <c r="AC627" s="12"/>
      <c r="AD627" s="11">
        <v>-51940.0</v>
      </c>
      <c r="AE627" s="11">
        <v>-23900.0</v>
      </c>
      <c r="AF627" s="11">
        <v>-23910.0</v>
      </c>
      <c r="AG627" s="12"/>
      <c r="AH627" s="12"/>
      <c r="AI627" s="11">
        <v>-50420.0</v>
      </c>
      <c r="AJ627" s="11">
        <v>-24130.0</v>
      </c>
      <c r="AK627" s="11">
        <v>-24010.0</v>
      </c>
      <c r="AL627" s="12"/>
      <c r="AM627" s="12"/>
      <c r="AN627" s="11">
        <v>-51930.0</v>
      </c>
      <c r="AO627" s="11">
        <v>-23680.0</v>
      </c>
      <c r="AP627" s="11">
        <v>-23550.0</v>
      </c>
      <c r="AQ627" s="12"/>
      <c r="AR627" s="12"/>
      <c r="AS627" s="11">
        <v>-46660.0</v>
      </c>
      <c r="AT627" s="11">
        <v>-22170.0</v>
      </c>
      <c r="AU627" s="11">
        <v>-23410.0</v>
      </c>
      <c r="AV627" s="12"/>
      <c r="AW627" s="12"/>
      <c r="AX627" s="11">
        <v>-633.0</v>
      </c>
      <c r="AY627" s="11">
        <v>-347.0</v>
      </c>
      <c r="AZ627" s="11">
        <v>-319.0</v>
      </c>
      <c r="BA627" s="12"/>
      <c r="BB627" s="12"/>
      <c r="BC627" s="12"/>
      <c r="BD627" s="12"/>
      <c r="BE627" s="12"/>
      <c r="BF627" s="12"/>
      <c r="BG627" s="12"/>
      <c r="BH627" s="11">
        <v>112290.0</v>
      </c>
      <c r="BI627" s="11">
        <v>81520.0</v>
      </c>
      <c r="BJ627" s="11">
        <v>14180.0</v>
      </c>
      <c r="BK627" s="12"/>
      <c r="BL627" s="12"/>
      <c r="BM627" s="12"/>
      <c r="BN627" s="11">
        <v>914.0</v>
      </c>
      <c r="BO627" s="11">
        <v>507.0</v>
      </c>
      <c r="BP627" s="12"/>
      <c r="BQ627" s="12"/>
      <c r="BR627" s="12"/>
      <c r="BS627" s="12"/>
      <c r="BT627" s="12"/>
      <c r="BU627" s="12"/>
      <c r="BV627" s="12"/>
      <c r="BW627" s="11">
        <v>117570.0</v>
      </c>
      <c r="BX627" s="11">
        <v>83850.0</v>
      </c>
      <c r="BY627" s="11">
        <v>15170.0</v>
      </c>
      <c r="BZ627" s="12"/>
      <c r="CA627" s="12"/>
      <c r="CB627" s="11">
        <v>1750.0</v>
      </c>
      <c r="CC627" s="11">
        <v>568.0</v>
      </c>
      <c r="CD627" s="11">
        <v>325.0</v>
      </c>
      <c r="CE627" s="12"/>
      <c r="CF627" s="12"/>
      <c r="CG627" s="11">
        <v>881.0</v>
      </c>
      <c r="CH627" s="11">
        <v>881.0</v>
      </c>
      <c r="CI627" s="11">
        <v>881.0</v>
      </c>
      <c r="CJ627" s="12"/>
      <c r="CK627" s="12"/>
      <c r="CL627" s="11">
        <v>123380.0</v>
      </c>
      <c r="CM627" s="11">
        <v>88060.0</v>
      </c>
      <c r="CN627" s="11">
        <v>18870.0</v>
      </c>
      <c r="CO627" s="12"/>
      <c r="CP627" s="12"/>
      <c r="CQ627" s="11">
        <v>3950.0</v>
      </c>
      <c r="CR627" s="11">
        <v>3870.0</v>
      </c>
      <c r="CS627" s="11">
        <v>2260.0</v>
      </c>
      <c r="CT627" s="12"/>
      <c r="CU627" s="12"/>
      <c r="CV627" s="11">
        <v>9690.0</v>
      </c>
      <c r="CW627" s="11">
        <v>297.0</v>
      </c>
      <c r="CX627" s="12"/>
      <c r="CY627" s="12"/>
      <c r="CZ627" s="12"/>
      <c r="DA627" s="12"/>
      <c r="DB627" s="11">
        <v>9690.0</v>
      </c>
      <c r="DC627" s="11">
        <v>6440.0</v>
      </c>
      <c r="DD627" s="11">
        <v>4290.0</v>
      </c>
      <c r="DE627" s="12"/>
      <c r="DF627" s="11">
        <v>53770.0</v>
      </c>
      <c r="DG627" s="11">
        <v>26970.0</v>
      </c>
      <c r="DH627" s="11">
        <v>4830.0</v>
      </c>
      <c r="DI627" s="12"/>
      <c r="DJ627" s="12"/>
      <c r="DK627" s="12"/>
      <c r="DL627" s="12"/>
      <c r="DM627" s="12"/>
      <c r="DN627" s="12"/>
      <c r="DO627" s="12"/>
      <c r="DP627" s="11">
        <v>43790.0</v>
      </c>
      <c r="DQ627" s="11">
        <v>20220.0</v>
      </c>
      <c r="DR627" s="12"/>
      <c r="DS627" s="12"/>
      <c r="DT627" s="12"/>
      <c r="DU627" s="13"/>
      <c r="DV627" s="11">
        <v>165900.0</v>
      </c>
      <c r="DW627" s="11">
        <v>90150.0</v>
      </c>
      <c r="DX627" s="13"/>
      <c r="DY627" s="13"/>
      <c r="DZ627" s="11">
        <v>69610.0</v>
      </c>
      <c r="EA627" s="11">
        <v>61080.0</v>
      </c>
      <c r="EB627" s="11">
        <v>14040.0</v>
      </c>
      <c r="EC627" s="12"/>
      <c r="ED627" s="12"/>
      <c r="EE627" s="23"/>
      <c r="EF627" s="23"/>
      <c r="EG627" s="14">
        <v>0.013</v>
      </c>
      <c r="EH627" s="23"/>
    </row>
    <row r="628">
      <c r="A628" s="9">
        <f t="shared" si="2"/>
        <v>626</v>
      </c>
      <c r="B628" s="10" t="s">
        <v>763</v>
      </c>
      <c r="C628" s="12"/>
      <c r="D628" s="12"/>
      <c r="E628" s="11">
        <v>2.395E7</v>
      </c>
      <c r="F628" s="11">
        <v>2.347E7</v>
      </c>
      <c r="G628" s="11">
        <v>2.111E7</v>
      </c>
      <c r="H628" s="11">
        <v>2.013E7</v>
      </c>
      <c r="I628" s="11">
        <v>1.93E7</v>
      </c>
      <c r="J628" s="11">
        <v>9670000.0</v>
      </c>
      <c r="K628" s="11">
        <v>9690000.0</v>
      </c>
      <c r="L628" s="11">
        <v>8410000.0</v>
      </c>
      <c r="M628" s="11">
        <v>8380000.0</v>
      </c>
      <c r="N628" s="11">
        <v>8300000.0</v>
      </c>
      <c r="O628" s="11">
        <v>8420000.0</v>
      </c>
      <c r="P628" s="11">
        <v>8300000.0</v>
      </c>
      <c r="Q628" s="11">
        <v>6810000.0</v>
      </c>
      <c r="R628" s="11">
        <v>6460000.0</v>
      </c>
      <c r="S628" s="11">
        <v>6280000.0</v>
      </c>
      <c r="T628" s="12"/>
      <c r="U628" s="12"/>
      <c r="V628" s="12"/>
      <c r="W628" s="12"/>
      <c r="X628" s="12"/>
      <c r="Y628" s="11">
        <v>1230000.0</v>
      </c>
      <c r="Z628" s="11">
        <v>1370000.0</v>
      </c>
      <c r="AA628" s="11">
        <v>1590000.0</v>
      </c>
      <c r="AB628" s="11">
        <v>1910000.0</v>
      </c>
      <c r="AC628" s="11">
        <v>1780000.0</v>
      </c>
      <c r="AD628" s="11">
        <v>1150000.0</v>
      </c>
      <c r="AE628" s="11">
        <v>1260000.0</v>
      </c>
      <c r="AF628" s="11">
        <v>1550000.0</v>
      </c>
      <c r="AG628" s="11">
        <v>1800000.0</v>
      </c>
      <c r="AH628" s="11">
        <v>1790000.0</v>
      </c>
      <c r="AI628" s="11">
        <v>3180000.0</v>
      </c>
      <c r="AJ628" s="11">
        <v>3290000.0</v>
      </c>
      <c r="AK628" s="11">
        <v>3520000.0</v>
      </c>
      <c r="AL628" s="11">
        <v>3690000.0</v>
      </c>
      <c r="AM628" s="11">
        <v>3680000.0</v>
      </c>
      <c r="AN628" s="11">
        <v>848670.0</v>
      </c>
      <c r="AO628" s="11">
        <v>928680.0</v>
      </c>
      <c r="AP628" s="11">
        <v>1170000.0</v>
      </c>
      <c r="AQ628" s="11">
        <v>1350000.0</v>
      </c>
      <c r="AR628" s="11">
        <v>1320000.0</v>
      </c>
      <c r="AS628" s="11">
        <v>2720000.0</v>
      </c>
      <c r="AT628" s="11">
        <v>3870000.0</v>
      </c>
      <c r="AU628" s="11">
        <v>3050000.0</v>
      </c>
      <c r="AV628" s="11">
        <v>1940000.0</v>
      </c>
      <c r="AW628" s="11">
        <v>2800000.0</v>
      </c>
      <c r="AX628" s="11">
        <v>-2770000.0</v>
      </c>
      <c r="AY628" s="11">
        <v>-3180000.0</v>
      </c>
      <c r="AZ628" s="11">
        <v>-2620000.0</v>
      </c>
      <c r="BA628" s="11">
        <v>-2310000.0</v>
      </c>
      <c r="BB628" s="11">
        <v>-1590000.0</v>
      </c>
      <c r="BC628" s="11">
        <v>-481930.0</v>
      </c>
      <c r="BD628" s="11">
        <v>-671210.0</v>
      </c>
      <c r="BE628" s="11">
        <v>-656490.0</v>
      </c>
      <c r="BF628" s="11">
        <v>-662120.0</v>
      </c>
      <c r="BG628" s="11">
        <v>-436870.0</v>
      </c>
      <c r="BH628" s="11">
        <v>1750000.0</v>
      </c>
      <c r="BI628" s="11">
        <v>2110000.0</v>
      </c>
      <c r="BJ628" s="11">
        <v>1520000.0</v>
      </c>
      <c r="BK628" s="11">
        <v>1640000.0</v>
      </c>
      <c r="BL628" s="11">
        <v>2780000.0</v>
      </c>
      <c r="BM628" s="11">
        <v>5310000.0</v>
      </c>
      <c r="BN628" s="11">
        <v>4760000.0</v>
      </c>
      <c r="BO628" s="11">
        <v>5300000.0</v>
      </c>
      <c r="BP628" s="11">
        <v>4090000.0</v>
      </c>
      <c r="BQ628" s="11">
        <v>3610000.0</v>
      </c>
      <c r="BR628" s="11">
        <v>303430.0</v>
      </c>
      <c r="BS628" s="11">
        <v>337790.0</v>
      </c>
      <c r="BT628" s="11">
        <v>397020.0</v>
      </c>
      <c r="BU628" s="11">
        <v>371070.0</v>
      </c>
      <c r="BV628" s="11">
        <v>366470.0</v>
      </c>
      <c r="BW628" s="11">
        <v>7500000.0</v>
      </c>
      <c r="BX628" s="11">
        <v>7250000.0</v>
      </c>
      <c r="BY628" s="11">
        <v>7270000.0</v>
      </c>
      <c r="BZ628" s="11">
        <v>6130000.0</v>
      </c>
      <c r="CA628" s="11">
        <v>6760000.0</v>
      </c>
      <c r="CB628" s="11">
        <v>3.247E7</v>
      </c>
      <c r="CC628" s="11">
        <v>2.972E7</v>
      </c>
      <c r="CD628" s="11">
        <v>3.013E7</v>
      </c>
      <c r="CE628" s="11">
        <v>2.803E7</v>
      </c>
      <c r="CF628" s="11">
        <v>2.947E7</v>
      </c>
      <c r="CG628" s="11">
        <v>314610.0</v>
      </c>
      <c r="CH628" s="11">
        <v>320730.0</v>
      </c>
      <c r="CI628" s="11">
        <v>337630.0</v>
      </c>
      <c r="CJ628" s="11">
        <v>313780.0</v>
      </c>
      <c r="CK628" s="11">
        <v>335680.0</v>
      </c>
      <c r="CL628" s="11">
        <v>4.135E7</v>
      </c>
      <c r="CM628" s="11">
        <v>4.046E7</v>
      </c>
      <c r="CN628" s="11">
        <v>4.09E7</v>
      </c>
      <c r="CO628" s="11">
        <v>3.669E7</v>
      </c>
      <c r="CP628" s="11">
        <v>3.815E7</v>
      </c>
      <c r="CQ628" s="11">
        <v>1720000.0</v>
      </c>
      <c r="CR628" s="11">
        <v>1640000.0</v>
      </c>
      <c r="CS628" s="11">
        <v>1590000.0</v>
      </c>
      <c r="CT628" s="11">
        <v>1280000.0</v>
      </c>
      <c r="CU628" s="11">
        <v>1320000.0</v>
      </c>
      <c r="CV628" s="11">
        <v>7250000.0</v>
      </c>
      <c r="CW628" s="11"/>
      <c r="CX628" s="12"/>
      <c r="CY628" s="12"/>
      <c r="CZ628" s="12"/>
      <c r="DA628" s="12"/>
      <c r="DB628" s="11">
        <v>7250000.0</v>
      </c>
      <c r="DC628" s="11">
        <v>7320000.0</v>
      </c>
      <c r="DD628" s="11">
        <v>6200000.0</v>
      </c>
      <c r="DE628" s="11">
        <v>5200000.0</v>
      </c>
      <c r="DF628" s="11">
        <v>8650000.0</v>
      </c>
      <c r="DG628" s="11">
        <v>7480000.0</v>
      </c>
      <c r="DH628" s="11">
        <v>6370000.0</v>
      </c>
      <c r="DI628" s="11">
        <v>5300000.0</v>
      </c>
      <c r="DJ628" s="11">
        <v>5270000.0</v>
      </c>
      <c r="DK628" s="11">
        <v>588080.0</v>
      </c>
      <c r="DL628" s="11">
        <v>573570.0</v>
      </c>
      <c r="DM628" s="11">
        <v>565360.0</v>
      </c>
      <c r="DN628" s="11">
        <v>247040.0</v>
      </c>
      <c r="DO628" s="11">
        <v>265600.0</v>
      </c>
      <c r="DP628" s="11">
        <v>1250000.0</v>
      </c>
      <c r="DQ628" s="12"/>
      <c r="DR628" s="12"/>
      <c r="DS628" s="12"/>
      <c r="DT628" s="12"/>
      <c r="DU628" s="13"/>
      <c r="DV628" s="12"/>
      <c r="DW628" s="12"/>
      <c r="DX628" s="12"/>
      <c r="DY628" s="12"/>
      <c r="DZ628" s="11">
        <v>3.264E7</v>
      </c>
      <c r="EA628" s="11">
        <v>3.29E7</v>
      </c>
      <c r="EB628" s="11">
        <v>3.443E7</v>
      </c>
      <c r="EC628" s="11">
        <v>3.13E7</v>
      </c>
      <c r="ED628" s="11">
        <v>3.278E7</v>
      </c>
      <c r="EE628" s="23"/>
      <c r="EF628" s="23"/>
      <c r="EG628" s="29" t="s">
        <v>155</v>
      </c>
      <c r="EH628" s="23"/>
    </row>
    <row r="629">
      <c r="A629" s="9">
        <f t="shared" si="2"/>
        <v>627</v>
      </c>
      <c r="B629" s="25" t="s">
        <v>764</v>
      </c>
      <c r="C629" s="15"/>
      <c r="D629" s="15">
        <v>41000.0</v>
      </c>
      <c r="E629" s="15">
        <v>43340.0</v>
      </c>
      <c r="F629" s="15">
        <v>51490.0</v>
      </c>
      <c r="G629" s="15">
        <v>42640.0</v>
      </c>
      <c r="H629" s="15">
        <v>48180.0</v>
      </c>
      <c r="I629" s="15">
        <v>52740.0</v>
      </c>
      <c r="J629" s="15">
        <v>24140.0</v>
      </c>
      <c r="K629" s="15">
        <v>31630.0</v>
      </c>
      <c r="L629" s="15">
        <v>22430.0</v>
      </c>
      <c r="M629" s="15">
        <v>26420.0</v>
      </c>
      <c r="N629" s="15">
        <v>26740.0</v>
      </c>
      <c r="O629" s="15">
        <v>34750.0</v>
      </c>
      <c r="P629" s="15">
        <v>31480.0</v>
      </c>
      <c r="Q629" s="15">
        <v>26590.0</v>
      </c>
      <c r="R629" s="15">
        <v>26600.0</v>
      </c>
      <c r="S629" s="15">
        <v>29330.0</v>
      </c>
      <c r="T629" s="15">
        <v>24020.0</v>
      </c>
      <c r="U629" s="15">
        <v>21360.0</v>
      </c>
      <c r="V629" s="15">
        <v>17000.0</v>
      </c>
      <c r="W629" s="15">
        <v>15800.0</v>
      </c>
      <c r="X629" s="15">
        <v>12100.0</v>
      </c>
      <c r="Y629" s="15">
        <v>-10800.0</v>
      </c>
      <c r="Z629" s="15">
        <v>0.0</v>
      </c>
      <c r="AA629" s="15">
        <v>-4470.0</v>
      </c>
      <c r="AB629" s="15">
        <v>0.0</v>
      </c>
      <c r="AC629" s="15">
        <v>-3020.0</v>
      </c>
      <c r="AD629" s="15">
        <v>-10090.0</v>
      </c>
      <c r="AE629" s="15">
        <v>0.0</v>
      </c>
      <c r="AF629" s="15">
        <v>-4060.0</v>
      </c>
      <c r="AG629" s="15">
        <v>0.0</v>
      </c>
      <c r="AH629" s="15">
        <v>-2810.0</v>
      </c>
      <c r="AI629" s="15">
        <v>-8560.0</v>
      </c>
      <c r="AJ629" s="15">
        <v>1600.0</v>
      </c>
      <c r="AK629" s="15">
        <v>-2920.0</v>
      </c>
      <c r="AL629" s="15">
        <v>1350.0</v>
      </c>
      <c r="AM629" s="15">
        <v>0.0</v>
      </c>
      <c r="AN629" s="15">
        <v>-10340.0</v>
      </c>
      <c r="AO629" s="15">
        <v>0.0</v>
      </c>
      <c r="AP629" s="15">
        <v>-4520.0</v>
      </c>
      <c r="AQ629" s="15">
        <v>0.0</v>
      </c>
      <c r="AR629" s="15">
        <v>-2170.0</v>
      </c>
      <c r="AS629" s="15">
        <v>-4680.0</v>
      </c>
      <c r="AT629" s="15">
        <v>3010.0</v>
      </c>
      <c r="AU629" s="15">
        <v>1070.0</v>
      </c>
      <c r="AV629" s="15">
        <v>2050.0</v>
      </c>
      <c r="AW629" s="15">
        <v>0.0</v>
      </c>
      <c r="AX629" s="15">
        <v>0.0</v>
      </c>
      <c r="AY629" s="15">
        <v>-2090.0</v>
      </c>
      <c r="AZ629" s="15">
        <v>-1320.0</v>
      </c>
      <c r="BA629" s="15">
        <v>0.0</v>
      </c>
      <c r="BB629" s="15">
        <v>-1160.0</v>
      </c>
      <c r="BC629" s="15">
        <v>0.0</v>
      </c>
      <c r="BD629" s="15">
        <v>0.0</v>
      </c>
      <c r="BE629" s="15">
        <v>0.0</v>
      </c>
      <c r="BF629" s="15">
        <v>0.0</v>
      </c>
      <c r="BG629" s="15">
        <v>0.0</v>
      </c>
      <c r="BH629" s="15">
        <v>66570.0</v>
      </c>
      <c r="BI629" s="15">
        <v>62840.0</v>
      </c>
      <c r="BJ629" s="15">
        <v>59120.0</v>
      </c>
      <c r="BK629" s="15">
        <v>51170.0</v>
      </c>
      <c r="BL629" s="15">
        <v>55110.0</v>
      </c>
      <c r="BM629" s="15">
        <v>6540.0</v>
      </c>
      <c r="BN629" s="15">
        <v>7660.0</v>
      </c>
      <c r="BO629" s="15">
        <v>5650.0</v>
      </c>
      <c r="BP629" s="15">
        <v>6570.0</v>
      </c>
      <c r="BQ629" s="15">
        <v>7710.0</v>
      </c>
      <c r="BR629" s="15">
        <v>4280.0</v>
      </c>
      <c r="BS629" s="15">
        <v>5690.0</v>
      </c>
      <c r="BT629" s="15">
        <v>5550.0</v>
      </c>
      <c r="BU629" s="15">
        <v>9210.0</v>
      </c>
      <c r="BV629" s="15">
        <v>7170.0</v>
      </c>
      <c r="BW629" s="15">
        <v>79110.0</v>
      </c>
      <c r="BX629" s="15">
        <v>77370.0</v>
      </c>
      <c r="BY629" s="15">
        <v>71270.0</v>
      </c>
      <c r="BZ629" s="15">
        <v>68270.0</v>
      </c>
      <c r="CA629" s="15">
        <v>71960.0</v>
      </c>
      <c r="CB629" s="15">
        <v>8740.0</v>
      </c>
      <c r="CC629" s="15">
        <v>9000.0</v>
      </c>
      <c r="CD629" s="15">
        <v>8170.0</v>
      </c>
      <c r="CE629" s="15">
        <v>7690.0</v>
      </c>
      <c r="CF629" s="15">
        <v>8650.0</v>
      </c>
      <c r="CG629" s="15">
        <v>7980.0</v>
      </c>
      <c r="CH629" s="15">
        <v>7980.0</v>
      </c>
      <c r="CI629" s="15">
        <v>7980.0</v>
      </c>
      <c r="CJ629" s="15">
        <v>7980.0</v>
      </c>
      <c r="CK629" s="15">
        <v>8030.0</v>
      </c>
      <c r="CL629" s="15">
        <v>102560.0</v>
      </c>
      <c r="CM629" s="15">
        <v>106230.0</v>
      </c>
      <c r="CN629" s="15">
        <v>99540.0</v>
      </c>
      <c r="CO629" s="15">
        <v>102600.0</v>
      </c>
      <c r="CP629" s="15">
        <v>106530.0</v>
      </c>
      <c r="CQ629" s="15">
        <v>1180.0</v>
      </c>
      <c r="CR629" s="15">
        <v>1860.0</v>
      </c>
      <c r="CS629" s="15">
        <v>1840.0</v>
      </c>
      <c r="CT629" s="15">
        <v>1630.0</v>
      </c>
      <c r="CU629" s="15">
        <v>2510.0</v>
      </c>
      <c r="CV629" s="15">
        <v>8260.0</v>
      </c>
      <c r="CW629" s="15">
        <v>0.0</v>
      </c>
      <c r="CX629" s="15">
        <v>0.0</v>
      </c>
      <c r="CY629" s="16">
        <v>0.0</v>
      </c>
      <c r="CZ629" s="16">
        <v>0.0</v>
      </c>
      <c r="DA629" s="15">
        <v>0.0</v>
      </c>
      <c r="DB629" s="15">
        <v>8260.0</v>
      </c>
      <c r="DC629" s="15">
        <v>8730.0</v>
      </c>
      <c r="DD629" s="15">
        <v>7400.0</v>
      </c>
      <c r="DE629" s="15">
        <v>10470.0</v>
      </c>
      <c r="DF629" s="15">
        <v>12920.0</v>
      </c>
      <c r="DG629" s="15">
        <v>13070.0</v>
      </c>
      <c r="DH629" s="15">
        <v>12730.0</v>
      </c>
      <c r="DI629" s="15">
        <v>16150.0</v>
      </c>
      <c r="DJ629" s="15">
        <v>16660.0</v>
      </c>
      <c r="DK629" s="15">
        <v>4120.0</v>
      </c>
      <c r="DL629" s="15">
        <v>9000.0</v>
      </c>
      <c r="DM629" s="15">
        <v>8920.0</v>
      </c>
      <c r="DN629" s="15">
        <v>14650.0</v>
      </c>
      <c r="DO629" s="15">
        <v>11150.0</v>
      </c>
      <c r="DP629" s="15">
        <v>0.0</v>
      </c>
      <c r="DQ629" s="15">
        <v>0.0</v>
      </c>
      <c r="DR629" s="15">
        <v>0.0</v>
      </c>
      <c r="DS629" s="15">
        <v>0.0</v>
      </c>
      <c r="DT629" s="15">
        <v>0.0</v>
      </c>
      <c r="DU629" s="16">
        <v>0.0</v>
      </c>
      <c r="DV629" s="15">
        <v>0.0</v>
      </c>
      <c r="DW629" s="15">
        <v>0.0</v>
      </c>
      <c r="DX629" s="15">
        <v>0.0</v>
      </c>
      <c r="DY629" s="15">
        <v>0.0</v>
      </c>
      <c r="DZ629" s="15">
        <v>89640.0</v>
      </c>
      <c r="EA629" s="15">
        <v>93160.0</v>
      </c>
      <c r="EB629" s="15">
        <v>86820.0</v>
      </c>
      <c r="EC629" s="15">
        <v>86440.0</v>
      </c>
      <c r="ED629" s="15">
        <v>89870.0</v>
      </c>
      <c r="EE629" s="17">
        <v>0.0</v>
      </c>
      <c r="EF629" s="17"/>
      <c r="EG629" s="17">
        <v>0.0</v>
      </c>
      <c r="EH629" s="17">
        <v>-0.315</v>
      </c>
    </row>
    <row r="630">
      <c r="A630" s="9">
        <f t="shared" si="2"/>
        <v>628</v>
      </c>
      <c r="B630" s="10" t="s">
        <v>765</v>
      </c>
      <c r="C630" s="11">
        <v>4.675E7</v>
      </c>
      <c r="D630" s="11">
        <v>4.49E7</v>
      </c>
      <c r="E630" s="11">
        <v>3.375E7</v>
      </c>
      <c r="F630" s="11">
        <v>3.082E7</v>
      </c>
      <c r="G630" s="11">
        <v>3.019E7</v>
      </c>
      <c r="H630" s="11">
        <v>2.789E7</v>
      </c>
      <c r="I630" s="11">
        <v>2.392E7</v>
      </c>
      <c r="J630" s="11">
        <v>2.289E7</v>
      </c>
      <c r="K630" s="11">
        <v>2.093E7</v>
      </c>
      <c r="L630" s="11">
        <v>2.009E7</v>
      </c>
      <c r="M630" s="11">
        <v>1.844E7</v>
      </c>
      <c r="N630" s="11">
        <v>1.501E7</v>
      </c>
      <c r="O630" s="11">
        <v>1.51E7</v>
      </c>
      <c r="P630" s="11">
        <v>1.293E7</v>
      </c>
      <c r="Q630" s="11">
        <v>1.211E7</v>
      </c>
      <c r="R630" s="11">
        <v>1.161E7</v>
      </c>
      <c r="S630" s="11">
        <v>1.055E7</v>
      </c>
      <c r="T630" s="11">
        <v>4250000.0</v>
      </c>
      <c r="U630" s="11">
        <v>3660000.0</v>
      </c>
      <c r="V630" s="11">
        <v>3870000.0</v>
      </c>
      <c r="W630" s="11">
        <v>3480000.0</v>
      </c>
      <c r="X630" s="11">
        <v>3420000.0</v>
      </c>
      <c r="Y630" s="11">
        <v>6020000.0</v>
      </c>
      <c r="Z630" s="11">
        <v>5020000.0</v>
      </c>
      <c r="AA630" s="11">
        <v>3680000.0</v>
      </c>
      <c r="AB630" s="11">
        <v>1660000.0</v>
      </c>
      <c r="AC630" s="11">
        <v>-252000.0</v>
      </c>
      <c r="AD630" s="11">
        <v>6150000.0</v>
      </c>
      <c r="AE630" s="11">
        <v>4770000.0</v>
      </c>
      <c r="AF630" s="11">
        <v>3510000.0</v>
      </c>
      <c r="AG630" s="11">
        <v>1930000.0</v>
      </c>
      <c r="AH630" s="11">
        <v>1.051E7</v>
      </c>
      <c r="AI630" s="11">
        <v>1.012E7</v>
      </c>
      <c r="AJ630" s="11">
        <v>9860000.0</v>
      </c>
      <c r="AK630" s="11">
        <v>9900000.0</v>
      </c>
      <c r="AL630" s="11">
        <v>8600000.0</v>
      </c>
      <c r="AM630" s="11">
        <v>6090000.0</v>
      </c>
      <c r="AN630" s="11">
        <v>4650000.0</v>
      </c>
      <c r="AO630" s="11">
        <v>3620000.0</v>
      </c>
      <c r="AP630" s="11">
        <v>1530000.0</v>
      </c>
      <c r="AQ630" s="11">
        <v>912000.0</v>
      </c>
      <c r="AR630" s="11">
        <v>8420000.0</v>
      </c>
      <c r="AS630" s="11">
        <v>7210000.0</v>
      </c>
      <c r="AT630" s="11">
        <v>7770000.0</v>
      </c>
      <c r="AU630" s="11">
        <v>6210000.0</v>
      </c>
      <c r="AV630" s="11">
        <v>5880000.0</v>
      </c>
      <c r="AW630" s="11">
        <v>1910000.0</v>
      </c>
      <c r="AX630" s="11">
        <v>-2160000.0</v>
      </c>
      <c r="AY630" s="11">
        <v>-1800000.0</v>
      </c>
      <c r="AZ630" s="11">
        <v>-2200000.0</v>
      </c>
      <c r="BA630" s="11">
        <v>-2350000.0</v>
      </c>
      <c r="BB630" s="11">
        <v>-1900000.0</v>
      </c>
      <c r="BC630" s="11">
        <v>-3950000.0</v>
      </c>
      <c r="BD630" s="11">
        <v>-3930000.0</v>
      </c>
      <c r="BE630" s="11">
        <v>-3910000.0</v>
      </c>
      <c r="BF630" s="11">
        <v>-4850000.0</v>
      </c>
      <c r="BG630" s="11">
        <v>-3870000.0</v>
      </c>
      <c r="BH630" s="11">
        <v>4790000.0</v>
      </c>
      <c r="BI630" s="11">
        <v>3960000.0</v>
      </c>
      <c r="BJ630" s="11">
        <v>3980000.0</v>
      </c>
      <c r="BK630" s="11">
        <v>5140000.0</v>
      </c>
      <c r="BL630" s="11">
        <v>6030000.0</v>
      </c>
      <c r="BM630" s="11">
        <v>7150000.0</v>
      </c>
      <c r="BN630" s="11">
        <v>6320000.0</v>
      </c>
      <c r="BO630" s="11">
        <v>5950000.0</v>
      </c>
      <c r="BP630" s="11">
        <v>5920000.0</v>
      </c>
      <c r="BQ630" s="11">
        <v>5490000.0</v>
      </c>
      <c r="BR630" s="11">
        <v>5950000.0</v>
      </c>
      <c r="BS630" s="11">
        <v>5480000.0</v>
      </c>
      <c r="BT630" s="11">
        <v>5560000.0</v>
      </c>
      <c r="BU630" s="11">
        <v>5100000.0</v>
      </c>
      <c r="BV630" s="11">
        <v>4720000.0</v>
      </c>
      <c r="BW630" s="11">
        <v>1.949E7</v>
      </c>
      <c r="BX630" s="11">
        <v>1.693E7</v>
      </c>
      <c r="BY630" s="11">
        <v>1.591E7</v>
      </c>
      <c r="BZ630" s="11">
        <v>1.671E7</v>
      </c>
      <c r="CA630" s="11">
        <v>1.659E7</v>
      </c>
      <c r="CB630" s="11">
        <v>1.131E7</v>
      </c>
      <c r="CC630" s="11">
        <v>1.106E7</v>
      </c>
      <c r="CD630" s="11">
        <v>1.086E7</v>
      </c>
      <c r="CE630" s="11">
        <v>1.081E7</v>
      </c>
      <c r="CF630" s="11">
        <v>9670000.0</v>
      </c>
      <c r="CG630" s="11">
        <v>1.056E7</v>
      </c>
      <c r="CH630" s="11">
        <v>5790000.0</v>
      </c>
      <c r="CI630" s="11">
        <v>5730000.0</v>
      </c>
      <c r="CJ630" s="11">
        <v>5970000.0</v>
      </c>
      <c r="CK630" s="11">
        <v>5160000.0</v>
      </c>
      <c r="CL630" s="11">
        <v>7.969E7</v>
      </c>
      <c r="CM630" s="11">
        <v>5.807E7</v>
      </c>
      <c r="CN630" s="11">
        <v>5.638E7</v>
      </c>
      <c r="CO630" s="11">
        <v>5.908E7</v>
      </c>
      <c r="CP630" s="11">
        <v>5.345E7</v>
      </c>
      <c r="CQ630" s="11">
        <v>4140000.0</v>
      </c>
      <c r="CR630" s="11">
        <v>3650000.0</v>
      </c>
      <c r="CS630" s="11">
        <v>3530000.0</v>
      </c>
      <c r="CT630" s="11">
        <v>3600000.0</v>
      </c>
      <c r="CU630" s="11">
        <v>3120000.0</v>
      </c>
      <c r="CV630" s="11">
        <v>2.405E7</v>
      </c>
      <c r="CW630" s="11">
        <v>5020000.0</v>
      </c>
      <c r="CX630" s="11">
        <v>4420000.0</v>
      </c>
      <c r="CY630" s="11">
        <v>765000.0</v>
      </c>
      <c r="CZ630" s="11">
        <v>1430000.0</v>
      </c>
      <c r="DA630" s="11">
        <v>435000.0</v>
      </c>
      <c r="DB630" s="11">
        <v>2.405E7</v>
      </c>
      <c r="DC630" s="11">
        <v>2.249E7</v>
      </c>
      <c r="DD630" s="11">
        <v>2.657E7</v>
      </c>
      <c r="DE630" s="11">
        <v>1.9E7</v>
      </c>
      <c r="DF630" s="11">
        <v>6.134E7</v>
      </c>
      <c r="DG630" s="11">
        <v>5.439E7</v>
      </c>
      <c r="DH630" s="11">
        <v>5.289E7</v>
      </c>
      <c r="DI630" s="11">
        <v>5.412E7</v>
      </c>
      <c r="DJ630" s="11">
        <v>4.457E7</v>
      </c>
      <c r="DK630" s="11">
        <v>2250000.0</v>
      </c>
      <c r="DL630" s="11">
        <v>1630000.0</v>
      </c>
      <c r="DM630" s="11">
        <v>1110000.0</v>
      </c>
      <c r="DN630" s="11">
        <v>1250000.0</v>
      </c>
      <c r="DO630" s="11">
        <v>1460000.0</v>
      </c>
      <c r="DP630" s="11">
        <v>2.359E7</v>
      </c>
      <c r="DQ630" s="11">
        <v>2.027E7</v>
      </c>
      <c r="DR630" s="11">
        <v>1.426E7</v>
      </c>
      <c r="DS630" s="11">
        <v>1.466E7</v>
      </c>
      <c r="DT630" s="11">
        <v>1.532E7</v>
      </c>
      <c r="DU630" s="12"/>
      <c r="DV630" s="12"/>
      <c r="DW630" s="12"/>
      <c r="DX630" s="13"/>
      <c r="DY630" s="13"/>
      <c r="DZ630" s="11">
        <v>1.141E7</v>
      </c>
      <c r="EA630" s="11">
        <v>4360000.0</v>
      </c>
      <c r="EB630" s="11">
        <v>-68000.0</v>
      </c>
      <c r="EC630" s="11">
        <v>1120000.0</v>
      </c>
      <c r="ED630" s="11">
        <v>5110000.0</v>
      </c>
      <c r="EE630" s="14">
        <v>0.036</v>
      </c>
      <c r="EF630" s="14">
        <v>0.028</v>
      </c>
      <c r="EG630" s="14">
        <v>0.352</v>
      </c>
      <c r="EH630" s="14">
        <v>0.175</v>
      </c>
    </row>
    <row r="631">
      <c r="A631" s="9">
        <f t="shared" si="2"/>
        <v>629</v>
      </c>
      <c r="B631" s="10" t="s">
        <v>766</v>
      </c>
      <c r="C631" s="11">
        <v>286170.0</v>
      </c>
      <c r="D631" s="11">
        <v>275710.0</v>
      </c>
      <c r="E631" s="11">
        <v>261100.0</v>
      </c>
      <c r="F631" s="11">
        <v>157100.0</v>
      </c>
      <c r="G631" s="11">
        <v>159280.0</v>
      </c>
      <c r="H631" s="11">
        <v>166520.0</v>
      </c>
      <c r="I631" s="11">
        <v>164920.0</v>
      </c>
      <c r="J631" s="11">
        <v>120380.0</v>
      </c>
      <c r="K631" s="11">
        <v>70800.0</v>
      </c>
      <c r="L631" s="11">
        <v>77640.0</v>
      </c>
      <c r="M631" s="11">
        <v>78020.0</v>
      </c>
      <c r="N631" s="11">
        <v>69960.0</v>
      </c>
      <c r="O631" s="11">
        <v>8820.0</v>
      </c>
      <c r="P631" s="11">
        <v>9220.0</v>
      </c>
      <c r="Q631" s="11">
        <v>5370.0</v>
      </c>
      <c r="R631" s="11">
        <v>6300.0</v>
      </c>
      <c r="S631" s="11">
        <v>6480.0</v>
      </c>
      <c r="T631" s="12"/>
      <c r="U631" s="12"/>
      <c r="V631" s="12"/>
      <c r="W631" s="12"/>
      <c r="X631" s="12"/>
      <c r="Y631" s="12"/>
      <c r="Z631" s="11">
        <v>-10260.0</v>
      </c>
      <c r="AA631" s="11">
        <v>-87620.0</v>
      </c>
      <c r="AB631" s="11">
        <v>-20700.0</v>
      </c>
      <c r="AC631" s="11">
        <v>18780.0</v>
      </c>
      <c r="AD631" s="11">
        <v>39840.0</v>
      </c>
      <c r="AE631" s="11">
        <v>-57310.0</v>
      </c>
      <c r="AF631" s="11">
        <v>-74230.0</v>
      </c>
      <c r="AG631" s="11">
        <v>-65050.0</v>
      </c>
      <c r="AH631" s="11">
        <v>-28840.0</v>
      </c>
      <c r="AI631" s="11">
        <v>157410.0</v>
      </c>
      <c r="AJ631" s="11">
        <v>97030.0</v>
      </c>
      <c r="AK631" s="11">
        <v>110250.0</v>
      </c>
      <c r="AL631" s="11">
        <v>114530.0</v>
      </c>
      <c r="AM631" s="11">
        <v>108340.0</v>
      </c>
      <c r="AN631" s="11">
        <v>39840.0</v>
      </c>
      <c r="AO631" s="11">
        <v>-57360.0</v>
      </c>
      <c r="AP631" s="11">
        <v>-74270.0</v>
      </c>
      <c r="AQ631" s="11">
        <v>-65100.0</v>
      </c>
      <c r="AR631" s="11">
        <v>-28880.0</v>
      </c>
      <c r="AS631" s="11">
        <v>93380.0</v>
      </c>
      <c r="AT631" s="11">
        <v>47740.0</v>
      </c>
      <c r="AU631" s="11">
        <v>66870.0</v>
      </c>
      <c r="AV631" s="11">
        <v>71150.0</v>
      </c>
      <c r="AW631" s="11">
        <v>62340.0</v>
      </c>
      <c r="AX631" s="11">
        <v>-99100.0</v>
      </c>
      <c r="AY631" s="11">
        <v>-14310.0</v>
      </c>
      <c r="AZ631" s="11">
        <v>-4900.0</v>
      </c>
      <c r="BA631" s="11">
        <v>-6940.0</v>
      </c>
      <c r="BB631" s="11">
        <v>-110740.0</v>
      </c>
      <c r="BC631" s="11">
        <v>-3080.0</v>
      </c>
      <c r="BD631" s="11">
        <v>-3060.0</v>
      </c>
      <c r="BE631" s="11">
        <v>-3060.0</v>
      </c>
      <c r="BF631" s="11">
        <v>-3060.0</v>
      </c>
      <c r="BG631" s="11">
        <v>-12570.0</v>
      </c>
      <c r="BH631" s="11">
        <v>141930.0</v>
      </c>
      <c r="BI631" s="11">
        <v>84250.0</v>
      </c>
      <c r="BJ631" s="11">
        <v>73270.0</v>
      </c>
      <c r="BK631" s="11">
        <v>54240.0</v>
      </c>
      <c r="BL631" s="11">
        <v>53590.0</v>
      </c>
      <c r="BM631" s="11">
        <v>7920.0</v>
      </c>
      <c r="BN631" s="11">
        <v>4510.0</v>
      </c>
      <c r="BO631" s="11">
        <v>2350.0</v>
      </c>
      <c r="BP631" s="12">
        <v>987.0</v>
      </c>
      <c r="BQ631" s="11">
        <v>2330.0</v>
      </c>
      <c r="BR631" s="11">
        <v>5600.0</v>
      </c>
      <c r="BS631" s="11">
        <v>5770.0</v>
      </c>
      <c r="BT631" s="11">
        <v>742.0</v>
      </c>
      <c r="BU631" s="11">
        <v>553.0</v>
      </c>
      <c r="BV631" s="11">
        <v>610.0</v>
      </c>
      <c r="BW631" s="11">
        <v>161870.0</v>
      </c>
      <c r="BX631" s="11">
        <v>98970.0</v>
      </c>
      <c r="BY631" s="11">
        <v>77390.0</v>
      </c>
      <c r="BZ631" s="11">
        <v>56930.0</v>
      </c>
      <c r="CA631" s="11">
        <v>57630.0</v>
      </c>
      <c r="CB631" s="11">
        <v>1170000.0</v>
      </c>
      <c r="CC631" s="11">
        <v>1110000.0</v>
      </c>
      <c r="CD631" s="11">
        <v>586530.0</v>
      </c>
      <c r="CE631" s="11">
        <v>719120.0</v>
      </c>
      <c r="CF631" s="11">
        <v>846940.0</v>
      </c>
      <c r="CG631" s="11"/>
      <c r="CH631" s="11"/>
      <c r="CI631" s="11"/>
      <c r="CJ631" s="11"/>
      <c r="CK631" s="11"/>
      <c r="CL631" s="11">
        <v>1350000.0</v>
      </c>
      <c r="CM631" s="11">
        <v>1230000.0</v>
      </c>
      <c r="CN631" s="11">
        <v>675880.0</v>
      </c>
      <c r="CO631" s="11">
        <v>776260.0</v>
      </c>
      <c r="CP631" s="11">
        <v>904920.0</v>
      </c>
      <c r="CQ631" s="11">
        <v>9050.0</v>
      </c>
      <c r="CR631" s="11">
        <v>12900.0</v>
      </c>
      <c r="CS631" s="11">
        <v>4300.0</v>
      </c>
      <c r="CT631" s="11">
        <v>2280.0</v>
      </c>
      <c r="CU631" s="12">
        <v>622.0</v>
      </c>
      <c r="CV631" s="11">
        <v>129600.0</v>
      </c>
      <c r="CW631" s="11"/>
      <c r="CX631" s="12"/>
      <c r="CY631" s="12"/>
      <c r="CZ631" s="12"/>
      <c r="DA631" s="12"/>
      <c r="DB631" s="11">
        <v>129600.0</v>
      </c>
      <c r="DC631" s="11">
        <v>95520.0</v>
      </c>
      <c r="DD631" s="11">
        <v>55270.0</v>
      </c>
      <c r="DE631" s="11">
        <v>48720.0</v>
      </c>
      <c r="DF631" s="11">
        <v>945420.0</v>
      </c>
      <c r="DG631" s="11">
        <v>917130.0</v>
      </c>
      <c r="DH631" s="11">
        <v>424280.0</v>
      </c>
      <c r="DI631" s="11">
        <v>447360.0</v>
      </c>
      <c r="DJ631" s="11">
        <v>508150.0</v>
      </c>
      <c r="DK631" s="11">
        <v>5700.0</v>
      </c>
      <c r="DL631" s="11">
        <v>5830.0</v>
      </c>
      <c r="DM631" s="11"/>
      <c r="DN631" s="11"/>
      <c r="DO631" s="12"/>
      <c r="DP631" s="11">
        <v>809360.0</v>
      </c>
      <c r="DQ631" s="11">
        <v>813130.0</v>
      </c>
      <c r="DR631" s="11">
        <v>358520.0</v>
      </c>
      <c r="DS631" s="11">
        <v>388850.0</v>
      </c>
      <c r="DT631" s="11">
        <v>442910.0</v>
      </c>
      <c r="DU631" s="24">
        <v>3.0</v>
      </c>
      <c r="DV631" s="11">
        <v>3.0</v>
      </c>
      <c r="DW631" s="12"/>
      <c r="DX631" s="12"/>
      <c r="DY631" s="12"/>
      <c r="DZ631" s="11">
        <v>406400.0</v>
      </c>
      <c r="EA631" s="11">
        <v>316360.0</v>
      </c>
      <c r="EB631" s="11">
        <v>251610.0</v>
      </c>
      <c r="EC631" s="11">
        <v>328890.0</v>
      </c>
      <c r="ED631" s="11">
        <v>396770.0</v>
      </c>
      <c r="EE631" s="14">
        <v>0.041</v>
      </c>
      <c r="EF631" s="14">
        <v>0.106</v>
      </c>
      <c r="EG631" s="14">
        <v>0.312</v>
      </c>
      <c r="EH631" s="14">
        <v>-0.152</v>
      </c>
    </row>
    <row r="632">
      <c r="A632" s="9">
        <f t="shared" si="2"/>
        <v>630</v>
      </c>
      <c r="B632" s="25" t="s">
        <v>767</v>
      </c>
      <c r="C632" s="12">
        <v>1500000.0</v>
      </c>
      <c r="D632" s="12">
        <v>1720000.0</v>
      </c>
      <c r="E632" s="12">
        <v>1620000.0</v>
      </c>
      <c r="F632" s="12">
        <v>2240000.0</v>
      </c>
      <c r="G632" s="12">
        <v>1740000.0</v>
      </c>
      <c r="H632" s="12">
        <v>1580000.0</v>
      </c>
      <c r="I632" s="12">
        <v>1290000.0</v>
      </c>
      <c r="J632" s="12">
        <v>-4330.0</v>
      </c>
      <c r="K632" s="12">
        <v>342620.0</v>
      </c>
      <c r="L632" s="12">
        <v>293840.0</v>
      </c>
      <c r="M632" s="12">
        <v>117880.0</v>
      </c>
      <c r="N632" s="12">
        <v>214060.0</v>
      </c>
      <c r="O632" s="12">
        <v>225710.0</v>
      </c>
      <c r="P632" s="12">
        <v>277560.0</v>
      </c>
      <c r="Q632" s="12">
        <v>241710.0</v>
      </c>
      <c r="R632" s="12">
        <v>251520.0</v>
      </c>
      <c r="S632" s="12">
        <v>205600.0</v>
      </c>
      <c r="T632" s="12">
        <v>0.0</v>
      </c>
      <c r="U632" s="12">
        <v>0.0</v>
      </c>
      <c r="V632" s="12">
        <v>0.0</v>
      </c>
      <c r="W632" s="12">
        <v>0.0</v>
      </c>
      <c r="X632" s="12">
        <v>0.0</v>
      </c>
      <c r="Y632" s="12">
        <v>-404850.0</v>
      </c>
      <c r="Z632" s="12">
        <v>-63700.0</v>
      </c>
      <c r="AA632" s="12">
        <v>18960.0</v>
      </c>
      <c r="AB632" s="12">
        <v>-266200.0</v>
      </c>
      <c r="AC632" s="12">
        <v>-50710.0</v>
      </c>
      <c r="AD632" s="12">
        <v>-411820.0</v>
      </c>
      <c r="AE632" s="12">
        <v>35570.0</v>
      </c>
      <c r="AF632" s="12">
        <v>-20640.0</v>
      </c>
      <c r="AG632" s="12">
        <v>-405310.0</v>
      </c>
      <c r="AH632" s="12">
        <v>-9560.0</v>
      </c>
      <c r="AI632" s="12">
        <v>-109970.0</v>
      </c>
      <c r="AJ632" s="12">
        <v>178910.0</v>
      </c>
      <c r="AK632" s="12">
        <v>151760.0</v>
      </c>
      <c r="AL632" s="12">
        <v>-15090.0</v>
      </c>
      <c r="AM632" s="12">
        <v>61950.0</v>
      </c>
      <c r="AN632" s="12">
        <v>-365240.0</v>
      </c>
      <c r="AO632" s="12">
        <v>34200.0</v>
      </c>
      <c r="AP632" s="12">
        <v>0.0</v>
      </c>
      <c r="AQ632" s="12">
        <v>-338430.0</v>
      </c>
      <c r="AR632" s="12">
        <v>-43070.0</v>
      </c>
      <c r="AS632" s="12">
        <v>-72550.0</v>
      </c>
      <c r="AT632" s="12">
        <v>77610.0</v>
      </c>
      <c r="AU632" s="12">
        <v>151330.0</v>
      </c>
      <c r="AV632" s="12">
        <v>122720.0</v>
      </c>
      <c r="AW632" s="12">
        <v>146550.0</v>
      </c>
      <c r="AX632" s="12">
        <v>-32630.0</v>
      </c>
      <c r="AY632" s="12">
        <v>-109450.0</v>
      </c>
      <c r="AZ632" s="12">
        <v>-75430.0</v>
      </c>
      <c r="BA632" s="12">
        <v>-76030.0</v>
      </c>
      <c r="BB632" s="12">
        <v>-73060.0</v>
      </c>
      <c r="BC632" s="16">
        <v>0.0</v>
      </c>
      <c r="BD632" s="12">
        <v>-20640.0</v>
      </c>
      <c r="BE632" s="16">
        <v>0.0</v>
      </c>
      <c r="BF632" s="12">
        <v>-54990.0</v>
      </c>
      <c r="BG632" s="12">
        <v>-21480.0</v>
      </c>
      <c r="BH632" s="12">
        <v>100400.0</v>
      </c>
      <c r="BI632" s="12">
        <v>219170.0</v>
      </c>
      <c r="BJ632" s="12">
        <v>184470.0</v>
      </c>
      <c r="BK632" s="12">
        <v>196930.0</v>
      </c>
      <c r="BL632" s="12">
        <v>116670.0</v>
      </c>
      <c r="BM632" s="12">
        <v>339950.0</v>
      </c>
      <c r="BN632" s="12">
        <v>197630.0</v>
      </c>
      <c r="BO632" s="12">
        <v>133190.0</v>
      </c>
      <c r="BP632" s="12">
        <v>241250.0</v>
      </c>
      <c r="BQ632" s="12">
        <v>295480.0</v>
      </c>
      <c r="BR632" s="12">
        <v>354120.0</v>
      </c>
      <c r="BS632" s="12">
        <v>456970.0</v>
      </c>
      <c r="BT632" s="12">
        <v>361230.0</v>
      </c>
      <c r="BU632" s="12">
        <v>316700.0</v>
      </c>
      <c r="BV632" s="12">
        <v>425370.0</v>
      </c>
      <c r="BW632" s="12">
        <v>818140.0</v>
      </c>
      <c r="BX632" s="12">
        <v>882580.0</v>
      </c>
      <c r="BY632" s="12">
        <v>691290.0</v>
      </c>
      <c r="BZ632" s="12">
        <v>861680.0</v>
      </c>
      <c r="CA632" s="12">
        <v>851760.0</v>
      </c>
      <c r="CB632" s="12">
        <v>740910.0</v>
      </c>
      <c r="CC632" s="12">
        <v>896650.0</v>
      </c>
      <c r="CD632" s="12">
        <v>945250.0</v>
      </c>
      <c r="CE632" s="12">
        <v>798970.0</v>
      </c>
      <c r="CF632" s="12">
        <v>985340.0</v>
      </c>
      <c r="CG632" s="12">
        <v>29700.0</v>
      </c>
      <c r="CH632" s="12">
        <v>202850.0</v>
      </c>
      <c r="CI632" s="12">
        <v>205290.0</v>
      </c>
      <c r="CJ632" s="12">
        <v>230210.0</v>
      </c>
      <c r="CK632" s="12">
        <v>426850.0</v>
      </c>
      <c r="CL632" s="12">
        <v>1730000.0</v>
      </c>
      <c r="CM632" s="12">
        <v>2120000.0</v>
      </c>
      <c r="CN632" s="12">
        <v>2000000.0</v>
      </c>
      <c r="CO632" s="12">
        <v>2020000.0</v>
      </c>
      <c r="CP632" s="12">
        <v>2390000.0</v>
      </c>
      <c r="CQ632" s="12">
        <v>189230.0</v>
      </c>
      <c r="CR632" s="12">
        <v>256820.0</v>
      </c>
      <c r="CS632" s="12">
        <v>192860.0</v>
      </c>
      <c r="CT632" s="12">
        <v>157710.0</v>
      </c>
      <c r="CU632" s="12">
        <v>147070.0</v>
      </c>
      <c r="CV632" s="12">
        <v>397460.0</v>
      </c>
      <c r="CW632" s="12">
        <v>0.0</v>
      </c>
      <c r="CX632" s="16">
        <v>0.0</v>
      </c>
      <c r="CY632" s="16">
        <v>0.0</v>
      </c>
      <c r="CZ632" s="16">
        <v>0.0</v>
      </c>
      <c r="DA632" s="15">
        <v>0.0</v>
      </c>
      <c r="DB632" s="12">
        <v>397460.0</v>
      </c>
      <c r="DC632" s="12">
        <v>499080.0</v>
      </c>
      <c r="DD632" s="12">
        <v>450200.0</v>
      </c>
      <c r="DE632" s="12">
        <v>626760.0</v>
      </c>
      <c r="DF632" s="12">
        <v>1130000.0</v>
      </c>
      <c r="DG632" s="12">
        <v>1240000.0</v>
      </c>
      <c r="DH632" s="12">
        <v>1060000.0</v>
      </c>
      <c r="DI632" s="12">
        <v>1130000.0</v>
      </c>
      <c r="DJ632" s="12">
        <v>1100000.0</v>
      </c>
      <c r="DK632" s="12">
        <v>30940.0</v>
      </c>
      <c r="DL632" s="12">
        <v>70340.0</v>
      </c>
      <c r="DM632" s="12">
        <v>0.0</v>
      </c>
      <c r="DN632" s="12">
        <v>0.0</v>
      </c>
      <c r="DO632" s="12">
        <v>0.0</v>
      </c>
      <c r="DP632" s="12">
        <v>538930.0</v>
      </c>
      <c r="DQ632" s="12">
        <v>537280.0</v>
      </c>
      <c r="DR632" s="12">
        <v>420020.0</v>
      </c>
      <c r="DS632" s="12">
        <v>268630.0</v>
      </c>
      <c r="DT632" s="12">
        <v>313440.0</v>
      </c>
      <c r="DU632" s="16">
        <v>0.0</v>
      </c>
      <c r="DV632" s="15">
        <v>0.0</v>
      </c>
      <c r="DW632" s="15">
        <v>0.0</v>
      </c>
      <c r="DX632" s="16">
        <v>0.0</v>
      </c>
      <c r="DY632" s="16">
        <v>0.0</v>
      </c>
      <c r="DZ632" s="12">
        <v>484220.0</v>
      </c>
      <c r="EA632" s="12">
        <v>768230.0</v>
      </c>
      <c r="EB632" s="12">
        <v>816020.0</v>
      </c>
      <c r="EC632" s="12">
        <v>766490.0</v>
      </c>
      <c r="ED632" s="12">
        <v>1150000.0</v>
      </c>
      <c r="EE632" s="23">
        <v>0.0</v>
      </c>
      <c r="EF632" s="23">
        <v>0.0</v>
      </c>
      <c r="EG632" s="23">
        <v>-0.455</v>
      </c>
      <c r="EH632" s="23">
        <v>-0.094</v>
      </c>
    </row>
    <row r="633">
      <c r="A633" s="9">
        <f t="shared" si="2"/>
        <v>631</v>
      </c>
      <c r="B633" s="10" t="s">
        <v>768</v>
      </c>
      <c r="C633" s="15">
        <v>330780.0</v>
      </c>
      <c r="D633" s="15">
        <v>303500.0</v>
      </c>
      <c r="E633" s="15">
        <v>264740.0</v>
      </c>
      <c r="F633" s="15">
        <v>273020.0</v>
      </c>
      <c r="G633" s="15">
        <v>315500.0</v>
      </c>
      <c r="H633" s="15">
        <v>221290.0</v>
      </c>
      <c r="I633" s="15">
        <v>255190.0</v>
      </c>
      <c r="J633" s="15">
        <v>45230.0</v>
      </c>
      <c r="K633" s="15">
        <v>26520.0</v>
      </c>
      <c r="L633" s="15">
        <v>63310.0</v>
      </c>
      <c r="M633" s="15">
        <v>24240.0</v>
      </c>
      <c r="N633" s="15">
        <v>-16120.0</v>
      </c>
      <c r="O633" s="15">
        <v>18540.0</v>
      </c>
      <c r="P633" s="15">
        <v>16390.0</v>
      </c>
      <c r="Q633" s="15">
        <v>25060.0</v>
      </c>
      <c r="R633" s="15">
        <v>25740.0</v>
      </c>
      <c r="S633" s="15">
        <v>14250.0</v>
      </c>
      <c r="T633" s="15">
        <v>0.0</v>
      </c>
      <c r="U633" s="15">
        <v>0.0</v>
      </c>
      <c r="V633" s="15">
        <v>0.0</v>
      </c>
      <c r="W633" s="15">
        <v>0.0</v>
      </c>
      <c r="X633" s="15">
        <v>0.0</v>
      </c>
      <c r="Y633" s="15">
        <v>-39120.0</v>
      </c>
      <c r="Z633" s="15">
        <v>5140.0</v>
      </c>
      <c r="AA633" s="15">
        <v>34220.0</v>
      </c>
      <c r="AB633" s="15">
        <v>-31880.0</v>
      </c>
      <c r="AC633" s="15">
        <v>-72030.0</v>
      </c>
      <c r="AD633" s="15">
        <v>-50540.0</v>
      </c>
      <c r="AE633" s="15">
        <v>-11720.0</v>
      </c>
      <c r="AF633" s="15">
        <v>28020.0</v>
      </c>
      <c r="AG633" s="15">
        <v>-41760.0</v>
      </c>
      <c r="AH633" s="15">
        <v>-78410.0</v>
      </c>
      <c r="AI633" s="15">
        <v>57030.0</v>
      </c>
      <c r="AJ633" s="15">
        <v>44800.0</v>
      </c>
      <c r="AK633" s="15">
        <v>71320.0</v>
      </c>
      <c r="AL633" s="15">
        <v>23730.0</v>
      </c>
      <c r="AM633" s="15">
        <v>-16900.0</v>
      </c>
      <c r="AN633" s="15">
        <v>-67430.0</v>
      </c>
      <c r="AO633" s="15">
        <v>-18120.0</v>
      </c>
      <c r="AP633" s="15">
        <v>38770.0</v>
      </c>
      <c r="AQ633" s="15">
        <v>-39650.0</v>
      </c>
      <c r="AR633" s="15">
        <v>-67680.0</v>
      </c>
      <c r="AS633" s="15">
        <v>22840.0</v>
      </c>
      <c r="AT633" s="15">
        <v>-7560.0</v>
      </c>
      <c r="AU633" s="15">
        <v>55180.0</v>
      </c>
      <c r="AV633" s="15">
        <v>53250.0</v>
      </c>
      <c r="AW633" s="15">
        <v>60150.0</v>
      </c>
      <c r="AX633" s="15">
        <v>-73380.0</v>
      </c>
      <c r="AY633" s="15">
        <v>-44940.0</v>
      </c>
      <c r="AZ633" s="15">
        <v>-68870.0</v>
      </c>
      <c r="BA633" s="15">
        <v>-84360.0</v>
      </c>
      <c r="BB633" s="15">
        <v>-57050.0</v>
      </c>
      <c r="BC633" s="16">
        <v>0.0</v>
      </c>
      <c r="BD633" s="16">
        <v>0.0</v>
      </c>
      <c r="BE633" s="16">
        <v>0.0</v>
      </c>
      <c r="BF633" s="16">
        <v>0.0</v>
      </c>
      <c r="BG633" s="16">
        <v>0.0</v>
      </c>
      <c r="BH633" s="15">
        <v>53370.0</v>
      </c>
      <c r="BI633" s="15">
        <v>96510.0</v>
      </c>
      <c r="BJ633" s="15">
        <v>27790.0</v>
      </c>
      <c r="BK633" s="15">
        <v>21760.0</v>
      </c>
      <c r="BL633" s="15">
        <v>35110.0</v>
      </c>
      <c r="BM633" s="15">
        <v>6500.0</v>
      </c>
      <c r="BN633" s="15">
        <v>3210.0</v>
      </c>
      <c r="BO633" s="15">
        <v>3430.0</v>
      </c>
      <c r="BP633" s="15">
        <v>7300.0</v>
      </c>
      <c r="BQ633" s="15">
        <v>5110.0</v>
      </c>
      <c r="BR633" s="15">
        <v>38860.0</v>
      </c>
      <c r="BS633" s="15">
        <v>35200.0</v>
      </c>
      <c r="BT633" s="15">
        <v>50650.0</v>
      </c>
      <c r="BU633" s="15">
        <v>44380.0</v>
      </c>
      <c r="BV633" s="15">
        <v>36690.0</v>
      </c>
      <c r="BW633" s="15">
        <v>107290.0</v>
      </c>
      <c r="BX633" s="15">
        <v>140210.0</v>
      </c>
      <c r="BY633" s="15">
        <v>86880.0</v>
      </c>
      <c r="BZ633" s="15">
        <v>77370.0</v>
      </c>
      <c r="CA633" s="15">
        <v>82670.0</v>
      </c>
      <c r="CB633" s="15">
        <v>264690.0</v>
      </c>
      <c r="CC633" s="15">
        <v>270640.0</v>
      </c>
      <c r="CD633" s="15">
        <v>254060.0</v>
      </c>
      <c r="CE633" s="15">
        <v>215020.0</v>
      </c>
      <c r="CF633" s="15">
        <v>149850.0</v>
      </c>
      <c r="CG633" s="15">
        <v>0.0</v>
      </c>
      <c r="CH633" s="15">
        <v>0.0</v>
      </c>
      <c r="CI633" s="15">
        <v>0.0</v>
      </c>
      <c r="CJ633" s="15">
        <v>0.0</v>
      </c>
      <c r="CK633" s="15">
        <v>0.0</v>
      </c>
      <c r="CL633" s="15">
        <v>374060.0</v>
      </c>
      <c r="CM633" s="15">
        <v>417990.0</v>
      </c>
      <c r="CN633" s="15">
        <v>370040.0</v>
      </c>
      <c r="CO633" s="15">
        <v>298850.0</v>
      </c>
      <c r="CP633" s="15">
        <v>238980.0</v>
      </c>
      <c r="CQ633" s="15">
        <v>44490.0</v>
      </c>
      <c r="CR633" s="15">
        <v>42950.0</v>
      </c>
      <c r="CS633" s="15">
        <v>44050.0</v>
      </c>
      <c r="CT633" s="15">
        <v>48590.0</v>
      </c>
      <c r="CU633" s="15">
        <v>71080.0</v>
      </c>
      <c r="CV633" s="15">
        <v>123850.0</v>
      </c>
      <c r="CW633" s="15">
        <v>0.0</v>
      </c>
      <c r="CX633" s="15">
        <v>0.0</v>
      </c>
      <c r="CY633" s="16">
        <v>0.0</v>
      </c>
      <c r="CZ633" s="16">
        <v>0.0</v>
      </c>
      <c r="DA633" s="15">
        <v>0.0</v>
      </c>
      <c r="DB633" s="15">
        <v>123850.0</v>
      </c>
      <c r="DC633" s="15">
        <v>134360.0</v>
      </c>
      <c r="DD633" s="15">
        <v>148450.0</v>
      </c>
      <c r="DE633" s="15">
        <v>137830.0</v>
      </c>
      <c r="DF633" s="15">
        <v>406180.0</v>
      </c>
      <c r="DG633" s="15">
        <v>375950.0</v>
      </c>
      <c r="DH633" s="15">
        <v>411790.0</v>
      </c>
      <c r="DI633" s="15">
        <v>419610.0</v>
      </c>
      <c r="DJ633" s="15">
        <v>370220.0</v>
      </c>
      <c r="DK633" s="15">
        <v>2080.0</v>
      </c>
      <c r="DL633" s="15">
        <v>6550.0</v>
      </c>
      <c r="DM633" s="15">
        <v>6510.0</v>
      </c>
      <c r="DN633" s="15">
        <v>6460.0</v>
      </c>
      <c r="DO633" s="15">
        <v>6460.0</v>
      </c>
      <c r="DP633" s="15">
        <v>90780.0</v>
      </c>
      <c r="DQ633" s="15">
        <v>73220.0</v>
      </c>
      <c r="DR633" s="15">
        <v>79740.0</v>
      </c>
      <c r="DS633" s="15">
        <v>89450.0</v>
      </c>
      <c r="DT633" s="15">
        <v>91900.0</v>
      </c>
      <c r="DU633" s="16">
        <v>0.0</v>
      </c>
      <c r="DV633" s="15">
        <v>0.0</v>
      </c>
      <c r="DW633" s="15">
        <v>0.0</v>
      </c>
      <c r="DX633" s="16">
        <v>0.0</v>
      </c>
      <c r="DY633" s="16">
        <v>0.0</v>
      </c>
      <c r="DZ633" s="15">
        <v>50390.0</v>
      </c>
      <c r="EA633" s="15">
        <v>114010.0</v>
      </c>
      <c r="EB633" s="15">
        <v>24270.0</v>
      </c>
      <c r="EC633" s="15">
        <v>-52550.0</v>
      </c>
      <c r="ED633" s="15">
        <v>-65140.0</v>
      </c>
      <c r="EE633" s="17">
        <v>0.138</v>
      </c>
      <c r="EF633" s="17">
        <v>0.384</v>
      </c>
      <c r="EG633" s="17">
        <v>-1.25</v>
      </c>
      <c r="EH633" s="17">
        <v>-0.361</v>
      </c>
    </row>
    <row r="634">
      <c r="A634" s="9">
        <f t="shared" si="2"/>
        <v>632</v>
      </c>
      <c r="B634" s="10" t="s">
        <v>769</v>
      </c>
      <c r="C634" s="12"/>
      <c r="D634" s="12"/>
      <c r="E634" s="15">
        <v>0.0</v>
      </c>
      <c r="F634" s="15">
        <v>0.0</v>
      </c>
      <c r="G634" s="15">
        <v>0.0</v>
      </c>
      <c r="H634" s="15">
        <v>0.0</v>
      </c>
      <c r="I634" s="15">
        <v>0.0</v>
      </c>
      <c r="J634" s="15">
        <v>0.0</v>
      </c>
      <c r="K634" s="15">
        <v>0.0</v>
      </c>
      <c r="L634" s="15">
        <v>0.0</v>
      </c>
      <c r="M634" s="15">
        <v>0.0</v>
      </c>
      <c r="N634" s="15">
        <v>0.0</v>
      </c>
      <c r="O634" s="15">
        <v>9140.0</v>
      </c>
      <c r="P634" s="15">
        <v>11090.0</v>
      </c>
      <c r="Q634" s="15">
        <v>10150.0</v>
      </c>
      <c r="R634" s="15">
        <v>8690.0</v>
      </c>
      <c r="S634" s="15">
        <v>5640.0</v>
      </c>
      <c r="T634" s="15">
        <v>0.0</v>
      </c>
      <c r="U634" s="15">
        <v>0.0</v>
      </c>
      <c r="V634" s="15">
        <v>0.0</v>
      </c>
      <c r="W634" s="15">
        <v>0.0</v>
      </c>
      <c r="X634" s="15">
        <v>0.0</v>
      </c>
      <c r="Y634" s="15">
        <v>0.0</v>
      </c>
      <c r="Z634" s="15">
        <v>-11360.0</v>
      </c>
      <c r="AA634" s="15">
        <v>-10180.0</v>
      </c>
      <c r="AB634" s="15">
        <v>-8890.0</v>
      </c>
      <c r="AC634" s="15">
        <v>-6560.0</v>
      </c>
      <c r="AD634" s="15">
        <v>-9720.0</v>
      </c>
      <c r="AE634" s="15">
        <v>-10240.0</v>
      </c>
      <c r="AF634" s="15">
        <v>-10620.0</v>
      </c>
      <c r="AG634" s="15">
        <v>-9060.0</v>
      </c>
      <c r="AH634" s="15">
        <v>-6290.0</v>
      </c>
      <c r="AI634" s="15">
        <v>-9140.0</v>
      </c>
      <c r="AJ634" s="15">
        <v>-11090.0</v>
      </c>
      <c r="AK634" s="15">
        <v>-10150.0</v>
      </c>
      <c r="AL634" s="15">
        <v>-8690.0</v>
      </c>
      <c r="AM634" s="15">
        <v>-5640.0</v>
      </c>
      <c r="AN634" s="15">
        <v>-9720.0</v>
      </c>
      <c r="AO634" s="15">
        <v>-10240.0</v>
      </c>
      <c r="AP634" s="15">
        <v>-11430.0</v>
      </c>
      <c r="AQ634" s="15">
        <v>-9470.0</v>
      </c>
      <c r="AR634" s="15">
        <v>-6290.0</v>
      </c>
      <c r="AS634" s="15">
        <v>-6300.0</v>
      </c>
      <c r="AT634" s="15">
        <v>-6740.0</v>
      </c>
      <c r="AU634" s="15">
        <v>-8160.0</v>
      </c>
      <c r="AV634" s="15">
        <v>-7220.0</v>
      </c>
      <c r="AW634" s="15">
        <v>-3820.0</v>
      </c>
      <c r="AX634" s="15">
        <v>-24130.0</v>
      </c>
      <c r="AY634" s="15">
        <v>-40780.0</v>
      </c>
      <c r="AZ634" s="15">
        <v>-29460.0</v>
      </c>
      <c r="BA634" s="15">
        <v>-19890.0</v>
      </c>
      <c r="BB634" s="15">
        <v>-9110.0</v>
      </c>
      <c r="BC634" s="15">
        <v>0.0</v>
      </c>
      <c r="BD634" s="15">
        <v>0.0</v>
      </c>
      <c r="BE634" s="15">
        <v>0.0</v>
      </c>
      <c r="BF634" s="15">
        <v>0.0</v>
      </c>
      <c r="BG634" s="15">
        <v>0.0</v>
      </c>
      <c r="BH634" s="15">
        <v>7260.0</v>
      </c>
      <c r="BI634" s="15">
        <v>18330.0</v>
      </c>
      <c r="BJ634" s="15">
        <v>18770.0</v>
      </c>
      <c r="BK634" s="15">
        <v>53610.0</v>
      </c>
      <c r="BL634" s="15">
        <v>10120.0</v>
      </c>
      <c r="BM634" s="15">
        <v>0.0</v>
      </c>
      <c r="BN634" s="15">
        <v>0.0</v>
      </c>
      <c r="BO634" s="15">
        <v>0.0</v>
      </c>
      <c r="BP634" s="15">
        <v>0.0</v>
      </c>
      <c r="BQ634" s="15">
        <v>0.0</v>
      </c>
      <c r="BR634" s="15">
        <v>0.0</v>
      </c>
      <c r="BS634" s="15">
        <v>0.0</v>
      </c>
      <c r="BT634" s="15">
        <v>0.0</v>
      </c>
      <c r="BU634" s="15">
        <v>0.0</v>
      </c>
      <c r="BV634" s="15">
        <v>0.0</v>
      </c>
      <c r="BW634" s="15">
        <v>7740.0</v>
      </c>
      <c r="BX634" s="15">
        <v>18860.0</v>
      </c>
      <c r="BY634" s="15">
        <v>19150.0</v>
      </c>
      <c r="BZ634" s="15">
        <v>54140.0</v>
      </c>
      <c r="CA634" s="15">
        <v>10280.0</v>
      </c>
      <c r="CB634" s="15">
        <v>1030.0</v>
      </c>
      <c r="CC634" s="15">
        <v>0.0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0.0</v>
      </c>
      <c r="CL634" s="15">
        <v>232220.0</v>
      </c>
      <c r="CM634" s="15">
        <v>218130.0</v>
      </c>
      <c r="CN634" s="15">
        <v>175250.0</v>
      </c>
      <c r="CO634" s="15">
        <v>155340.0</v>
      </c>
      <c r="CP634" s="15">
        <v>85880.0</v>
      </c>
      <c r="CQ634" s="15">
        <v>0.0</v>
      </c>
      <c r="CR634" s="15">
        <v>0.0</v>
      </c>
      <c r="CS634" s="15">
        <v>0.0</v>
      </c>
      <c r="CT634" s="15">
        <v>0.0</v>
      </c>
      <c r="CU634" s="15">
        <v>0.0</v>
      </c>
      <c r="CV634" s="15">
        <v>2830.0</v>
      </c>
      <c r="CW634" s="15">
        <v>0.0</v>
      </c>
      <c r="CX634" s="16">
        <v>0.0</v>
      </c>
      <c r="CY634" s="16">
        <v>0.0</v>
      </c>
      <c r="CZ634" s="15">
        <v>0.0</v>
      </c>
      <c r="DA634" s="15">
        <v>0.0</v>
      </c>
      <c r="DB634" s="15">
        <v>2830.0</v>
      </c>
      <c r="DC634" s="15">
        <v>1950.0</v>
      </c>
      <c r="DD634" s="15">
        <v>1640.0</v>
      </c>
      <c r="DE634" s="15">
        <v>1500.0</v>
      </c>
      <c r="DF634" s="15">
        <v>4360.0</v>
      </c>
      <c r="DG634" s="15">
        <v>2950.0</v>
      </c>
      <c r="DH634" s="15">
        <v>1640.0</v>
      </c>
      <c r="DI634" s="15">
        <v>1500.0</v>
      </c>
      <c r="DJ634" s="15">
        <v>1180.0</v>
      </c>
      <c r="DK634" s="15">
        <v>2120.0</v>
      </c>
      <c r="DL634" s="15">
        <v>2150.0</v>
      </c>
      <c r="DM634" s="15">
        <v>1250.0</v>
      </c>
      <c r="DN634" s="15">
        <v>7150.0</v>
      </c>
      <c r="DO634" s="15">
        <v>0.0</v>
      </c>
      <c r="DP634" s="15">
        <v>0.0</v>
      </c>
      <c r="DQ634" s="15">
        <v>0.0</v>
      </c>
      <c r="DR634" s="15">
        <v>0.0</v>
      </c>
      <c r="DS634" s="15">
        <v>0.0</v>
      </c>
      <c r="DT634" s="15">
        <v>0.0</v>
      </c>
      <c r="DU634" s="16">
        <v>0.0</v>
      </c>
      <c r="DV634" s="15">
        <v>0.0</v>
      </c>
      <c r="DW634" s="15">
        <v>0.0</v>
      </c>
      <c r="DX634" s="16">
        <v>0.0</v>
      </c>
      <c r="DY634" s="16">
        <v>0.0</v>
      </c>
      <c r="DZ634" s="15">
        <v>227860.0</v>
      </c>
      <c r="EA634" s="15">
        <v>215180.0</v>
      </c>
      <c r="EB634" s="15">
        <v>173600.0</v>
      </c>
      <c r="EC634" s="15">
        <v>153840.0</v>
      </c>
      <c r="ED634" s="15">
        <v>84700.0</v>
      </c>
      <c r="EE634" s="23"/>
      <c r="EF634" s="23"/>
      <c r="EG634" s="17">
        <v>-1.0</v>
      </c>
      <c r="EH634" s="17">
        <v>-0.5</v>
      </c>
    </row>
    <row r="635">
      <c r="A635" s="9">
        <f t="shared" si="2"/>
        <v>633</v>
      </c>
      <c r="B635" s="34" t="s">
        <v>770</v>
      </c>
      <c r="C635" s="15">
        <v>1.358E7</v>
      </c>
      <c r="D635" s="15">
        <v>1.271E7</v>
      </c>
      <c r="E635" s="15">
        <v>1.475E7</v>
      </c>
      <c r="F635" s="15">
        <v>1.548E7</v>
      </c>
      <c r="G635" s="15">
        <v>1.538E7</v>
      </c>
      <c r="H635" s="15">
        <v>1.516E7</v>
      </c>
      <c r="I635" s="15">
        <v>1.644E7</v>
      </c>
      <c r="J635" s="15">
        <v>3570000.0</v>
      </c>
      <c r="K635" s="15">
        <v>3950000.0</v>
      </c>
      <c r="L635" s="15">
        <v>4140000.0</v>
      </c>
      <c r="M635" s="15">
        <v>4590000.0</v>
      </c>
      <c r="N635" s="15">
        <v>4640000.0</v>
      </c>
      <c r="O635" s="15">
        <v>2750000.0</v>
      </c>
      <c r="P635" s="15">
        <v>2740000.0</v>
      </c>
      <c r="Q635" s="15">
        <v>2740000.0</v>
      </c>
      <c r="R635" s="15">
        <v>2800000.0</v>
      </c>
      <c r="S635" s="15">
        <v>2990000.0</v>
      </c>
      <c r="T635" s="15">
        <v>430000.0</v>
      </c>
      <c r="U635" s="15">
        <v>424000.0</v>
      </c>
      <c r="V635" s="15">
        <v>406000.0</v>
      </c>
      <c r="W635" s="15">
        <v>388000.0</v>
      </c>
      <c r="X635" s="15">
        <v>382000.0</v>
      </c>
      <c r="Y635" s="15">
        <v>587000.0</v>
      </c>
      <c r="Z635" s="15">
        <v>1500000.0</v>
      </c>
      <c r="AA635" s="15">
        <v>-244000.0</v>
      </c>
      <c r="AB635" s="15">
        <v>1590000.0</v>
      </c>
      <c r="AC635" s="15">
        <v>976000.0</v>
      </c>
      <c r="AD635" s="15">
        <v>177000.0</v>
      </c>
      <c r="AE635" s="15">
        <v>1010000.0</v>
      </c>
      <c r="AF635" s="15">
        <v>878000.0</v>
      </c>
      <c r="AG635" s="15">
        <v>1210000.0</v>
      </c>
      <c r="AH635" s="15">
        <v>608000.0</v>
      </c>
      <c r="AI635" s="15">
        <v>1620000.0</v>
      </c>
      <c r="AJ635" s="15">
        <v>1990000.0</v>
      </c>
      <c r="AK635" s="15">
        <v>2180000.0</v>
      </c>
      <c r="AL635" s="15">
        <v>2520000.0</v>
      </c>
      <c r="AM635" s="15">
        <v>2350000.0</v>
      </c>
      <c r="AN635" s="15">
        <v>-311000.0</v>
      </c>
      <c r="AO635" s="15">
        <v>693000.0</v>
      </c>
      <c r="AP635" s="15">
        <v>346000.0</v>
      </c>
      <c r="AQ635" s="15">
        <v>1260000.0</v>
      </c>
      <c r="AR635" s="15">
        <v>307000.0</v>
      </c>
      <c r="AS635" s="15">
        <v>1210000.0</v>
      </c>
      <c r="AT635" s="15">
        <v>916000.0</v>
      </c>
      <c r="AU635" s="15">
        <v>1160000.0</v>
      </c>
      <c r="AV635" s="15">
        <v>1500000.0</v>
      </c>
      <c r="AW635" s="15">
        <v>1690000.0</v>
      </c>
      <c r="AX635" s="15">
        <v>-770000.0</v>
      </c>
      <c r="AY635" s="15">
        <v>-811000.0</v>
      </c>
      <c r="AZ635" s="15">
        <v>-881000.0</v>
      </c>
      <c r="BA635" s="15">
        <v>-996000.0</v>
      </c>
      <c r="BB635" s="15">
        <v>-983000.0</v>
      </c>
      <c r="BC635" s="15">
        <v>-148000.0</v>
      </c>
      <c r="BD635" s="15">
        <v>-138000.0</v>
      </c>
      <c r="BE635" s="15">
        <v>-110000.0</v>
      </c>
      <c r="BF635" s="15">
        <v>-82000.0</v>
      </c>
      <c r="BG635" s="15">
        <v>-68000.0</v>
      </c>
      <c r="BH635" s="15">
        <v>974000.0</v>
      </c>
      <c r="BI635" s="15">
        <v>873000.0</v>
      </c>
      <c r="BJ635" s="15">
        <v>1110000.0</v>
      </c>
      <c r="BK635" s="15">
        <v>1130000.0</v>
      </c>
      <c r="BL635" s="15">
        <v>1480000.0</v>
      </c>
      <c r="BM635" s="15">
        <v>1940000.0</v>
      </c>
      <c r="BN635" s="15">
        <v>2030000.0</v>
      </c>
      <c r="BO635" s="15">
        <v>2030000.0</v>
      </c>
      <c r="BP635" s="15">
        <v>1770000.0</v>
      </c>
      <c r="BQ635" s="15">
        <v>2030000.0</v>
      </c>
      <c r="BR635" s="15">
        <v>2850000.0</v>
      </c>
      <c r="BS635" s="15">
        <v>2860000.0</v>
      </c>
      <c r="BT635" s="15">
        <v>2790000.0</v>
      </c>
      <c r="BU635" s="15">
        <v>2630000.0</v>
      </c>
      <c r="BV635" s="15">
        <v>2460000.0</v>
      </c>
      <c r="BW635" s="15">
        <v>5930000.0</v>
      </c>
      <c r="BX635" s="15">
        <v>5930000.0</v>
      </c>
      <c r="BY635" s="15">
        <v>6080000.0</v>
      </c>
      <c r="BZ635" s="15">
        <v>5720000.0</v>
      </c>
      <c r="CA635" s="15">
        <v>6140000.0</v>
      </c>
      <c r="CB635" s="15">
        <v>8060000.0</v>
      </c>
      <c r="CC635" s="15">
        <v>7260000.0</v>
      </c>
      <c r="CD635" s="15">
        <v>7450000.0</v>
      </c>
      <c r="CE635" s="15">
        <v>7040000.0</v>
      </c>
      <c r="CF635" s="15">
        <v>6780000.0</v>
      </c>
      <c r="CG635" s="15">
        <v>565000.0</v>
      </c>
      <c r="CH635" s="15">
        <v>569000.0</v>
      </c>
      <c r="CI635" s="15">
        <v>595000.0</v>
      </c>
      <c r="CJ635" s="15">
        <v>535000.0</v>
      </c>
      <c r="CK635" s="15">
        <v>555000.0</v>
      </c>
      <c r="CL635" s="15">
        <v>1.719E7</v>
      </c>
      <c r="CM635" s="15">
        <v>1.687E7</v>
      </c>
      <c r="CN635" s="15">
        <v>1.706E7</v>
      </c>
      <c r="CO635" s="15">
        <v>1.651E7</v>
      </c>
      <c r="CP635" s="15">
        <v>1.644E7</v>
      </c>
      <c r="CQ635" s="15">
        <v>2910000.0</v>
      </c>
      <c r="CR635" s="15">
        <v>2920000.0</v>
      </c>
      <c r="CS635" s="15">
        <v>2810000.0</v>
      </c>
      <c r="CT635" s="15">
        <v>2590000.0</v>
      </c>
      <c r="CU635" s="15">
        <v>2770000.0</v>
      </c>
      <c r="CV635" s="15">
        <v>5290000.0</v>
      </c>
      <c r="CW635" s="15">
        <v>547000.0</v>
      </c>
      <c r="CX635" s="15">
        <v>410000.0</v>
      </c>
      <c r="CY635" s="15">
        <v>262000.0</v>
      </c>
      <c r="CZ635" s="15">
        <v>245000.0</v>
      </c>
      <c r="DA635" s="15">
        <v>49000.0</v>
      </c>
      <c r="DB635" s="15">
        <v>5290000.0</v>
      </c>
      <c r="DC635" s="15">
        <v>4780000.0</v>
      </c>
      <c r="DD635" s="15">
        <v>5030000.0</v>
      </c>
      <c r="DE635" s="15">
        <v>4820000.0</v>
      </c>
      <c r="DF635" s="15">
        <v>1.264E7</v>
      </c>
      <c r="DG635" s="15">
        <v>1.18E7</v>
      </c>
      <c r="DH635" s="15">
        <v>1.221E7</v>
      </c>
      <c r="DI635" s="15">
        <v>1.179E7</v>
      </c>
      <c r="DJ635" s="15">
        <v>1.23E7</v>
      </c>
      <c r="DK635" s="15">
        <v>263000.0</v>
      </c>
      <c r="DL635" s="15">
        <v>2000.0</v>
      </c>
      <c r="DM635" s="15"/>
      <c r="DN635" s="12"/>
      <c r="DO635" s="15"/>
      <c r="DP635" s="15">
        <v>5420000.0</v>
      </c>
      <c r="DQ635" s="15">
        <v>5110000.0</v>
      </c>
      <c r="DR635" s="15">
        <v>5080000.0</v>
      </c>
      <c r="DS635" s="15">
        <v>4800000.0</v>
      </c>
      <c r="DT635" s="15">
        <v>5120000.0</v>
      </c>
      <c r="DU635" s="13"/>
      <c r="DV635" s="12"/>
      <c r="DW635" s="12"/>
      <c r="DX635" s="13"/>
      <c r="DY635" s="13"/>
      <c r="DZ635" s="15">
        <v>4350000.0</v>
      </c>
      <c r="EA635" s="15">
        <v>4860000.0</v>
      </c>
      <c r="EB635" s="15">
        <v>4600000.0</v>
      </c>
      <c r="EC635" s="15">
        <v>4510000.0</v>
      </c>
      <c r="ED635" s="15">
        <v>3920000.0</v>
      </c>
      <c r="EE635" s="17">
        <v>0.287</v>
      </c>
      <c r="EF635" s="17">
        <v>0.152</v>
      </c>
      <c r="EG635" s="17">
        <v>0.097</v>
      </c>
      <c r="EH635" s="17">
        <v>-0.668</v>
      </c>
    </row>
    <row r="636">
      <c r="A636" s="9">
        <f t="shared" si="2"/>
        <v>634</v>
      </c>
      <c r="B636" s="35" t="s">
        <v>771</v>
      </c>
      <c r="C636" s="11">
        <v>94010.0</v>
      </c>
      <c r="D636" s="11">
        <v>61650.0</v>
      </c>
      <c r="E636" s="11">
        <v>46810.0</v>
      </c>
      <c r="F636" s="11">
        <v>34030.0</v>
      </c>
      <c r="G636" s="11">
        <v>14950.0</v>
      </c>
      <c r="H636" s="12"/>
      <c r="I636" s="12"/>
      <c r="J636" s="11">
        <v>20980.0</v>
      </c>
      <c r="K636" s="11">
        <v>14010.0</v>
      </c>
      <c r="L636" s="11">
        <v>3970.0</v>
      </c>
      <c r="M636" s="12"/>
      <c r="N636" s="12"/>
      <c r="O636" s="11">
        <v>63400.0</v>
      </c>
      <c r="P636" s="11">
        <v>51800.0</v>
      </c>
      <c r="Q636" s="11">
        <v>27500.0</v>
      </c>
      <c r="R636" s="12"/>
      <c r="S636" s="12"/>
      <c r="T636" s="11">
        <v>13270.0</v>
      </c>
      <c r="U636" s="11">
        <v>10790.0</v>
      </c>
      <c r="V636" s="11">
        <v>6770.0</v>
      </c>
      <c r="W636" s="12"/>
      <c r="X636" s="12"/>
      <c r="Y636" s="11">
        <v>-94580.0</v>
      </c>
      <c r="Z636" s="11">
        <v>-73100.0</v>
      </c>
      <c r="AA636" s="11">
        <v>-61790.0</v>
      </c>
      <c r="AB636" s="12"/>
      <c r="AC636" s="12"/>
      <c r="AD636" s="11">
        <v>-97840.0</v>
      </c>
      <c r="AE636" s="11">
        <v>-70270.0</v>
      </c>
      <c r="AF636" s="11">
        <v>-62240.0</v>
      </c>
      <c r="AG636" s="12"/>
      <c r="AH636" s="12"/>
      <c r="AI636" s="11">
        <v>-35680.0</v>
      </c>
      <c r="AJ636" s="11">
        <v>-33580.0</v>
      </c>
      <c r="AK636" s="11">
        <v>-20550.0</v>
      </c>
      <c r="AL636" s="12"/>
      <c r="AM636" s="12"/>
      <c r="AN636" s="11">
        <v>-97840.0</v>
      </c>
      <c r="AO636" s="11">
        <v>-70270.0</v>
      </c>
      <c r="AP636" s="11">
        <v>-62240.0</v>
      </c>
      <c r="AQ636" s="12"/>
      <c r="AR636" s="12"/>
      <c r="AS636" s="11">
        <v>-29180.0</v>
      </c>
      <c r="AT636" s="11">
        <v>-29330.0</v>
      </c>
      <c r="AU636" s="11">
        <v>-19060.0</v>
      </c>
      <c r="AV636" s="12"/>
      <c r="AW636" s="12"/>
      <c r="AX636" s="11">
        <v>-3700.0</v>
      </c>
      <c r="AY636" s="11">
        <v>-7170.0</v>
      </c>
      <c r="AZ636" s="11">
        <v>-3160.0</v>
      </c>
      <c r="BA636" s="12"/>
      <c r="BB636" s="12"/>
      <c r="BC636" s="12"/>
      <c r="BD636" s="12"/>
      <c r="BE636" s="12"/>
      <c r="BF636" s="12"/>
      <c r="BG636" s="12"/>
      <c r="BH636" s="11">
        <v>37640.0</v>
      </c>
      <c r="BI636" s="11">
        <v>14670.0</v>
      </c>
      <c r="BJ636" s="11">
        <v>45290.0</v>
      </c>
      <c r="BK636" s="12"/>
      <c r="BL636" s="12"/>
      <c r="BM636" s="11">
        <v>18600.0</v>
      </c>
      <c r="BN636" s="11">
        <v>12350.0</v>
      </c>
      <c r="BO636" s="11">
        <v>6620.0</v>
      </c>
      <c r="BP636" s="12"/>
      <c r="BQ636" s="12"/>
      <c r="BR636" s="11">
        <v>2570.0</v>
      </c>
      <c r="BS636" s="11">
        <v>3150.0</v>
      </c>
      <c r="BT636" s="11">
        <v>1960.0</v>
      </c>
      <c r="BU636" s="12"/>
      <c r="BV636" s="12"/>
      <c r="BW636" s="11">
        <v>61610.0</v>
      </c>
      <c r="BX636" s="11">
        <v>33600.0</v>
      </c>
      <c r="BY636" s="11">
        <v>56410.0</v>
      </c>
      <c r="BZ636" s="12"/>
      <c r="CA636" s="12"/>
      <c r="CB636" s="11">
        <v>18120.0</v>
      </c>
      <c r="CC636" s="11">
        <v>12020.0</v>
      </c>
      <c r="CD636" s="11">
        <v>10030.0</v>
      </c>
      <c r="CE636" s="12"/>
      <c r="CF636" s="12"/>
      <c r="CG636" s="12"/>
      <c r="CH636" s="12"/>
      <c r="CI636" s="12"/>
      <c r="CJ636" s="12"/>
      <c r="CK636" s="12"/>
      <c r="CL636" s="11">
        <v>82330.0</v>
      </c>
      <c r="CM636" s="11">
        <v>47250.0</v>
      </c>
      <c r="CN636" s="11">
        <v>67790.0</v>
      </c>
      <c r="CO636" s="12"/>
      <c r="CP636" s="12"/>
      <c r="CQ636" s="11">
        <v>7170.0</v>
      </c>
      <c r="CR636" s="11">
        <v>1730.0</v>
      </c>
      <c r="CS636" s="11">
        <v>1360.0</v>
      </c>
      <c r="CT636" s="12"/>
      <c r="CU636" s="12"/>
      <c r="CV636" s="11">
        <v>30540.0</v>
      </c>
      <c r="CW636" s="11">
        <v>5520.0</v>
      </c>
      <c r="CX636" s="12"/>
      <c r="CY636" s="12"/>
      <c r="CZ636" s="12"/>
      <c r="DA636" s="12"/>
      <c r="DB636" s="11">
        <v>30540.0</v>
      </c>
      <c r="DC636" s="11">
        <v>9870.0</v>
      </c>
      <c r="DD636" s="11">
        <v>7010.0</v>
      </c>
      <c r="DE636" s="12"/>
      <c r="DF636" s="11">
        <v>337630.0</v>
      </c>
      <c r="DG636" s="11">
        <v>202230.0</v>
      </c>
      <c r="DH636" s="11">
        <v>163340.0</v>
      </c>
      <c r="DI636" s="12"/>
      <c r="DJ636" s="12"/>
      <c r="DK636" s="12"/>
      <c r="DL636" s="12"/>
      <c r="DM636" s="12"/>
      <c r="DN636" s="12"/>
      <c r="DO636" s="12"/>
      <c r="DP636" s="11">
        <v>307090.0</v>
      </c>
      <c r="DQ636" s="11">
        <v>192360.0</v>
      </c>
      <c r="DR636" s="11">
        <v>156330.0</v>
      </c>
      <c r="DS636" s="12"/>
      <c r="DT636" s="12"/>
      <c r="DU636" s="13"/>
      <c r="DV636" s="12"/>
      <c r="DW636" s="12"/>
      <c r="DX636" s="13"/>
      <c r="DY636" s="13"/>
      <c r="DZ636" s="11">
        <v>-255300.0</v>
      </c>
      <c r="EA636" s="11">
        <v>-154980.0</v>
      </c>
      <c r="EB636" s="11">
        <v>-95540.0</v>
      </c>
      <c r="EC636" s="12"/>
      <c r="ED636" s="12"/>
      <c r="EE636" s="14">
        <v>0.003</v>
      </c>
      <c r="EF636" s="14">
        <v>0.069</v>
      </c>
      <c r="EG636" s="14">
        <v>-1.111</v>
      </c>
      <c r="EH636" s="23"/>
    </row>
    <row r="637">
      <c r="A637" s="9">
        <f t="shared" si="2"/>
        <v>635</v>
      </c>
      <c r="B637" s="22" t="s">
        <v>772</v>
      </c>
      <c r="C637" s="11">
        <v>18510.0</v>
      </c>
      <c r="D637" s="11">
        <v>27090.0</v>
      </c>
      <c r="E637" s="12"/>
      <c r="F637" s="12"/>
      <c r="G637" s="12"/>
      <c r="H637" s="12"/>
      <c r="I637" s="11">
        <v>522.0</v>
      </c>
      <c r="J637" s="11">
        <v>-356.0</v>
      </c>
      <c r="K637" s="11">
        <v>-175.0</v>
      </c>
      <c r="L637" s="11">
        <v>-89.0</v>
      </c>
      <c r="M637" s="11">
        <v>-67.0</v>
      </c>
      <c r="N637" s="12"/>
      <c r="O637" s="11">
        <v>128690.0</v>
      </c>
      <c r="P637" s="11">
        <v>89110.0</v>
      </c>
      <c r="Q637" s="11">
        <v>60880.0</v>
      </c>
      <c r="R637" s="11">
        <v>30320.0</v>
      </c>
      <c r="S637" s="11">
        <v>15900.0</v>
      </c>
      <c r="T637" s="11">
        <v>89000.0</v>
      </c>
      <c r="U637" s="11">
        <v>70680.0</v>
      </c>
      <c r="V637" s="11">
        <v>53880.0</v>
      </c>
      <c r="W637" s="11">
        <v>25160.0</v>
      </c>
      <c r="X637" s="11">
        <v>12730.0</v>
      </c>
      <c r="Y637" s="12"/>
      <c r="Z637" s="12"/>
      <c r="AA637" s="11">
        <v>-61010.0</v>
      </c>
      <c r="AB637" s="11">
        <v>-30470.0</v>
      </c>
      <c r="AC637" s="11">
        <v>-20280.0</v>
      </c>
      <c r="AD637" s="11">
        <v>-122450.0</v>
      </c>
      <c r="AE637" s="11">
        <v>-85290.0</v>
      </c>
      <c r="AF637" s="11">
        <v>-60120.0</v>
      </c>
      <c r="AG637" s="11">
        <v>-30290.0</v>
      </c>
      <c r="AH637" s="11">
        <v>-20260.0</v>
      </c>
      <c r="AI637" s="11">
        <v>-128690.0</v>
      </c>
      <c r="AJ637" s="11">
        <v>-89110.0</v>
      </c>
      <c r="AK637" s="11">
        <v>-60880.0</v>
      </c>
      <c r="AL637" s="11">
        <v>-30320.0</v>
      </c>
      <c r="AM637" s="11">
        <v>-15380.0</v>
      </c>
      <c r="AN637" s="11">
        <v>-122450.0</v>
      </c>
      <c r="AO637" s="11">
        <v>-85290.0</v>
      </c>
      <c r="AP637" s="11">
        <v>-60120.0</v>
      </c>
      <c r="AQ637" s="11">
        <v>-30290.0</v>
      </c>
      <c r="AR637" s="11">
        <v>-20260.0</v>
      </c>
      <c r="AS637" s="11">
        <v>-99570.0</v>
      </c>
      <c r="AT637" s="11">
        <v>-74310.0</v>
      </c>
      <c r="AU637" s="11">
        <v>-50520.0</v>
      </c>
      <c r="AV637" s="11">
        <v>-25140.0</v>
      </c>
      <c r="AW637" s="11">
        <v>-13840.0</v>
      </c>
      <c r="AX637" s="11">
        <v>-2720.0</v>
      </c>
      <c r="AY637" s="11">
        <v>-709.0</v>
      </c>
      <c r="AZ637" s="11">
        <v>-294.0</v>
      </c>
      <c r="BA637" s="11">
        <v>-250.0</v>
      </c>
      <c r="BB637" s="11">
        <v>-87.0</v>
      </c>
      <c r="BC637" s="12"/>
      <c r="BD637" s="12"/>
      <c r="BE637" s="12"/>
      <c r="BF637" s="12"/>
      <c r="BG637" s="12"/>
      <c r="BH637" s="11">
        <v>269270.0</v>
      </c>
      <c r="BI637" s="11">
        <v>369290.0</v>
      </c>
      <c r="BJ637" s="11">
        <v>103810.0</v>
      </c>
      <c r="BK637" s="11">
        <v>47300.0</v>
      </c>
      <c r="BL637" s="11">
        <v>22940.0</v>
      </c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1">
        <v>271000.0</v>
      </c>
      <c r="BX637" s="11">
        <v>370130.0</v>
      </c>
      <c r="BY637" s="11">
        <v>104660.0</v>
      </c>
      <c r="BZ637" s="11">
        <v>47900.0</v>
      </c>
      <c r="CA637" s="11">
        <v>23750.0</v>
      </c>
      <c r="CB637" s="11">
        <v>13390.0</v>
      </c>
      <c r="CC637" s="11">
        <v>1140.0</v>
      </c>
      <c r="CD637" s="11">
        <v>510.0</v>
      </c>
      <c r="CE637" s="11">
        <v>311.0</v>
      </c>
      <c r="CF637" s="11">
        <v>147.0</v>
      </c>
      <c r="CG637" s="12"/>
      <c r="CH637" s="12"/>
      <c r="CI637" s="12"/>
      <c r="CJ637" s="12"/>
      <c r="CK637" s="12"/>
      <c r="CL637" s="11">
        <v>284830.0</v>
      </c>
      <c r="CM637" s="11">
        <v>371270.0</v>
      </c>
      <c r="CN637" s="11">
        <v>105170.0</v>
      </c>
      <c r="CO637" s="11">
        <v>48210.0</v>
      </c>
      <c r="CP637" s="11">
        <v>23900.0</v>
      </c>
      <c r="CQ637" s="11">
        <v>3680.0</v>
      </c>
      <c r="CR637" s="11">
        <v>3380.0</v>
      </c>
      <c r="CS637" s="11">
        <v>4180.0</v>
      </c>
      <c r="CT637" s="12"/>
      <c r="CU637" s="12"/>
      <c r="CV637" s="11">
        <v>19770.0</v>
      </c>
      <c r="CW637" s="11">
        <v>682.0</v>
      </c>
      <c r="CX637" s="12"/>
      <c r="CY637" s="12"/>
      <c r="CZ637" s="12"/>
      <c r="DA637" s="12"/>
      <c r="DB637" s="11">
        <v>19770.0</v>
      </c>
      <c r="DC637" s="11">
        <v>12360.0</v>
      </c>
      <c r="DD637" s="11">
        <v>11700.0</v>
      </c>
      <c r="DE637" s="11">
        <v>5630.0</v>
      </c>
      <c r="DF637" s="11">
        <v>29300.0</v>
      </c>
      <c r="DG637" s="11">
        <v>12450.0</v>
      </c>
      <c r="DH637" s="11">
        <v>11780.0</v>
      </c>
      <c r="DI637" s="11">
        <v>5630.0</v>
      </c>
      <c r="DJ637" s="11">
        <v>2170.0</v>
      </c>
      <c r="DK637" s="11">
        <v>437.0</v>
      </c>
      <c r="DL637" s="12"/>
      <c r="DM637" s="12"/>
      <c r="DN637" s="12"/>
      <c r="DO637" s="12"/>
      <c r="DP637" s="11">
        <v>9540.0</v>
      </c>
      <c r="DQ637" s="12"/>
      <c r="DR637" s="12"/>
      <c r="DS637" s="12"/>
      <c r="DT637" s="12"/>
      <c r="DU637" s="13"/>
      <c r="DV637" s="12"/>
      <c r="DW637" s="12"/>
      <c r="DX637" s="11">
        <v>107580.0</v>
      </c>
      <c r="DY637" s="11">
        <v>53420.0</v>
      </c>
      <c r="DZ637" s="11">
        <v>255530.0</v>
      </c>
      <c r="EA637" s="11">
        <v>358820.0</v>
      </c>
      <c r="EB637" s="11">
        <v>93390.0</v>
      </c>
      <c r="EC637" s="11">
        <v>42590.0</v>
      </c>
      <c r="ED637" s="11">
        <v>21730.0</v>
      </c>
      <c r="EE637" s="14">
        <v>1.482</v>
      </c>
      <c r="EF637" s="14">
        <v>1.647</v>
      </c>
      <c r="EG637" s="14">
        <v>0.0</v>
      </c>
      <c r="EH637" s="14">
        <v>0.043</v>
      </c>
    </row>
    <row r="638">
      <c r="A638" s="9">
        <f t="shared" si="2"/>
        <v>636</v>
      </c>
      <c r="B638" s="25" t="s">
        <v>773</v>
      </c>
      <c r="C638" s="15"/>
      <c r="D638" s="15"/>
      <c r="E638" s="15">
        <v>10600.0</v>
      </c>
      <c r="F638" s="15">
        <v>2590.0</v>
      </c>
      <c r="G638" s="15">
        <v>107520.0</v>
      </c>
      <c r="H638" s="15">
        <v>149280.0</v>
      </c>
      <c r="I638" s="15">
        <v>162320.0</v>
      </c>
      <c r="J638" s="15">
        <v>4320.0</v>
      </c>
      <c r="K638" s="15">
        <v>318.0</v>
      </c>
      <c r="L638" s="15">
        <v>36270.0</v>
      </c>
      <c r="M638" s="15">
        <v>53160.0</v>
      </c>
      <c r="N638" s="15">
        <v>51490.0</v>
      </c>
      <c r="O638" s="15">
        <v>12860.0</v>
      </c>
      <c r="P638" s="15">
        <v>11680.0</v>
      </c>
      <c r="Q638" s="15">
        <v>6240.0</v>
      </c>
      <c r="R638" s="15">
        <v>3010.0</v>
      </c>
      <c r="S638" s="15">
        <v>5810.0</v>
      </c>
      <c r="T638" s="15"/>
      <c r="U638" s="15"/>
      <c r="V638" s="15">
        <v>195.0</v>
      </c>
      <c r="W638" s="15">
        <v>262.0</v>
      </c>
      <c r="X638" s="15">
        <v>231.0</v>
      </c>
      <c r="Y638" s="15">
        <v>-23720.0</v>
      </c>
      <c r="Z638" s="15">
        <v>-84460.0</v>
      </c>
      <c r="AA638" s="15">
        <v>12450.0</v>
      </c>
      <c r="AB638" s="15">
        <v>-1160.0</v>
      </c>
      <c r="AC638" s="15">
        <v>44710.0</v>
      </c>
      <c r="AD638" s="15">
        <v>-22990.0</v>
      </c>
      <c r="AE638" s="15">
        <v>-83050.0</v>
      </c>
      <c r="AF638" s="15">
        <v>11560.0</v>
      </c>
      <c r="AG638" s="15">
        <v>48040.0</v>
      </c>
      <c r="AH638" s="15">
        <v>45440.0</v>
      </c>
      <c r="AI638" s="15">
        <v>-5280.0</v>
      </c>
      <c r="AJ638" s="15">
        <v>-10130.0</v>
      </c>
      <c r="AK638" s="15">
        <v>50230.0</v>
      </c>
      <c r="AL638" s="15">
        <v>75030.0</v>
      </c>
      <c r="AM638" s="15">
        <v>74780.0</v>
      </c>
      <c r="AN638" s="15">
        <v>-25800.0</v>
      </c>
      <c r="AO638" s="15">
        <v>-69960.0</v>
      </c>
      <c r="AP638" s="15">
        <v>7950.0</v>
      </c>
      <c r="AQ638" s="15">
        <v>36230.0</v>
      </c>
      <c r="AR638" s="15">
        <v>34070.0</v>
      </c>
      <c r="AS638" s="15">
        <v>-15420.0</v>
      </c>
      <c r="AT638" s="15">
        <v>17340.0</v>
      </c>
      <c r="AU638" s="15">
        <v>62750.0</v>
      </c>
      <c r="AV638" s="15">
        <v>55220.0</v>
      </c>
      <c r="AW638" s="15">
        <v>70400.0</v>
      </c>
      <c r="AX638" s="15">
        <v>-60610.0</v>
      </c>
      <c r="AY638" s="15">
        <v>-35950.0</v>
      </c>
      <c r="AZ638" s="15">
        <v>-28420.0</v>
      </c>
      <c r="BA638" s="15">
        <v>-17670.0</v>
      </c>
      <c r="BB638" s="15">
        <v>-23540.0</v>
      </c>
      <c r="BC638" s="13"/>
      <c r="BD638" s="13"/>
      <c r="BE638" s="15"/>
      <c r="BF638" s="13"/>
      <c r="BG638" s="13"/>
      <c r="BH638" s="15">
        <v>100300.0</v>
      </c>
      <c r="BI638" s="15">
        <v>179000.0</v>
      </c>
      <c r="BJ638" s="15">
        <v>208910.0</v>
      </c>
      <c r="BK638" s="15">
        <v>163880.0</v>
      </c>
      <c r="BL638" s="15">
        <v>133610.0</v>
      </c>
      <c r="BM638" s="15">
        <v>4880.0</v>
      </c>
      <c r="BN638" s="15">
        <v>13.0</v>
      </c>
      <c r="BO638" s="15">
        <v>29770.0</v>
      </c>
      <c r="BP638" s="15">
        <v>51840.0</v>
      </c>
      <c r="BQ638" s="15">
        <v>49980.0</v>
      </c>
      <c r="BR638" s="15">
        <v>690.0</v>
      </c>
      <c r="BS638" s="15"/>
      <c r="BT638" s="15">
        <v>1200.0</v>
      </c>
      <c r="BU638" s="15">
        <v>5880.0</v>
      </c>
      <c r="BV638" s="15">
        <v>7180.0</v>
      </c>
      <c r="BW638" s="15">
        <v>107200.0</v>
      </c>
      <c r="BX638" s="15">
        <v>187110.0</v>
      </c>
      <c r="BY638" s="15">
        <v>241270.0</v>
      </c>
      <c r="BZ638" s="15">
        <v>221720.0</v>
      </c>
      <c r="CA638" s="15">
        <v>190770.0</v>
      </c>
      <c r="CB638" s="15">
        <v>146990.0</v>
      </c>
      <c r="CC638" s="15">
        <v>82530.0</v>
      </c>
      <c r="CD638" s="15">
        <v>95610.0</v>
      </c>
      <c r="CE638" s="15">
        <v>109290.0</v>
      </c>
      <c r="CF638" s="15">
        <v>128800.0</v>
      </c>
      <c r="CG638" s="15"/>
      <c r="CH638" s="15"/>
      <c r="CI638" s="15">
        <v>29370.0</v>
      </c>
      <c r="CJ638" s="15">
        <v>27670.0</v>
      </c>
      <c r="CK638" s="15">
        <v>29560.0</v>
      </c>
      <c r="CL638" s="15">
        <v>279250.0</v>
      </c>
      <c r="CM638" s="15">
        <v>298550.0</v>
      </c>
      <c r="CN638" s="15">
        <v>387500.0</v>
      </c>
      <c r="CO638" s="15">
        <v>365690.0</v>
      </c>
      <c r="CP638" s="15">
        <v>356740.0</v>
      </c>
      <c r="CQ638" s="15"/>
      <c r="CR638" s="15"/>
      <c r="CS638" s="15"/>
      <c r="CT638" s="15">
        <v>7510.0</v>
      </c>
      <c r="CU638" s="15">
        <v>8840.0</v>
      </c>
      <c r="CV638" s="15">
        <v>6310.0</v>
      </c>
      <c r="CW638" s="15">
        <v>417.0</v>
      </c>
      <c r="CX638" s="13"/>
      <c r="CY638" s="13"/>
      <c r="CZ638" s="13"/>
      <c r="DA638" s="12"/>
      <c r="DB638" s="15">
        <v>6310.0</v>
      </c>
      <c r="DC638" s="15">
        <v>2620.0</v>
      </c>
      <c r="DD638" s="15">
        <v>3230.0</v>
      </c>
      <c r="DE638" s="15">
        <v>13950.0</v>
      </c>
      <c r="DF638" s="15">
        <v>16140.0</v>
      </c>
      <c r="DG638" s="15">
        <v>4690.0</v>
      </c>
      <c r="DH638" s="15">
        <v>5540.0</v>
      </c>
      <c r="DI638" s="15">
        <v>16230.0</v>
      </c>
      <c r="DJ638" s="15">
        <v>18630.0</v>
      </c>
      <c r="DK638" s="15"/>
      <c r="DL638" s="15"/>
      <c r="DM638" s="15"/>
      <c r="DN638" s="15"/>
      <c r="DO638" s="15"/>
      <c r="DP638" s="15">
        <v>9840.0</v>
      </c>
      <c r="DQ638" s="15">
        <v>2070.0</v>
      </c>
      <c r="DR638" s="15">
        <v>2300.0</v>
      </c>
      <c r="DS638" s="15">
        <v>2280.0</v>
      </c>
      <c r="DT638" s="15">
        <v>2560.0</v>
      </c>
      <c r="DU638" s="13"/>
      <c r="DV638" s="12"/>
      <c r="DW638" s="15"/>
      <c r="DX638" s="15"/>
      <c r="DY638" s="15"/>
      <c r="DZ638" s="15">
        <v>263110.0</v>
      </c>
      <c r="EA638" s="15">
        <v>293850.0</v>
      </c>
      <c r="EB638" s="15">
        <v>381960.0</v>
      </c>
      <c r="EC638" s="15">
        <v>349460.0</v>
      </c>
      <c r="ED638" s="15">
        <v>338110.0</v>
      </c>
      <c r="EE638" s="23"/>
      <c r="EF638" s="23"/>
      <c r="EG638" s="23" t="s">
        <v>155</v>
      </c>
      <c r="EH638" s="23"/>
    </row>
    <row r="639">
      <c r="A639" s="9">
        <f t="shared" si="2"/>
        <v>637</v>
      </c>
      <c r="B639" s="32" t="s">
        <v>774</v>
      </c>
      <c r="C639" s="11"/>
      <c r="D639" s="11"/>
      <c r="E639" s="11">
        <v>180650.0</v>
      </c>
      <c r="F639" s="11">
        <v>138150.0</v>
      </c>
      <c r="G639" s="11">
        <v>113950.0</v>
      </c>
      <c r="H639" s="11">
        <v>130420.0</v>
      </c>
      <c r="I639" s="11">
        <v>120570.0</v>
      </c>
      <c r="J639" s="11">
        <v>20620.0</v>
      </c>
      <c r="K639" s="11">
        <v>14720.0</v>
      </c>
      <c r="L639" s="11">
        <v>16870.0</v>
      </c>
      <c r="M639" s="11">
        <v>27300.0</v>
      </c>
      <c r="N639" s="11">
        <v>13500.0</v>
      </c>
      <c r="O639" s="11">
        <v>9450.0</v>
      </c>
      <c r="P639" s="11">
        <v>7340.0</v>
      </c>
      <c r="Q639" s="11">
        <v>6610.0</v>
      </c>
      <c r="R639" s="11">
        <v>5910.0</v>
      </c>
      <c r="S639" s="11">
        <v>4750.0</v>
      </c>
      <c r="T639" s="12"/>
      <c r="U639" s="12"/>
      <c r="V639" s="12"/>
      <c r="W639" s="12"/>
      <c r="X639" s="11"/>
      <c r="Y639" s="11"/>
      <c r="Z639" s="11"/>
      <c r="AA639" s="12"/>
      <c r="AB639" s="11"/>
      <c r="AC639" s="11"/>
      <c r="AD639" s="11">
        <v>9990.0</v>
      </c>
      <c r="AE639" s="11">
        <v>6820.0</v>
      </c>
      <c r="AF639" s="11">
        <v>9610.0</v>
      </c>
      <c r="AG639" s="11">
        <v>20920.0</v>
      </c>
      <c r="AH639" s="11">
        <v>8200.0</v>
      </c>
      <c r="AI639" s="11">
        <v>22010.0</v>
      </c>
      <c r="AJ639" s="11">
        <v>15820.0</v>
      </c>
      <c r="AK639" s="11">
        <v>17480.0</v>
      </c>
      <c r="AL639" s="11">
        <v>27700.0</v>
      </c>
      <c r="AM639" s="11">
        <v>15310.0</v>
      </c>
      <c r="AN639" s="11">
        <v>6730.0</v>
      </c>
      <c r="AO639" s="11">
        <v>5030.0</v>
      </c>
      <c r="AP639" s="11">
        <v>8570.0</v>
      </c>
      <c r="AQ639" s="11">
        <v>13110.0</v>
      </c>
      <c r="AR639" s="11">
        <v>4830.0</v>
      </c>
      <c r="AS639" s="11">
        <v>28360.0</v>
      </c>
      <c r="AT639" s="11">
        <v>6820.0</v>
      </c>
      <c r="AU639" s="11">
        <v>8130.0</v>
      </c>
      <c r="AV639" s="11">
        <v>17920.0</v>
      </c>
      <c r="AW639" s="11">
        <v>5570.0</v>
      </c>
      <c r="AX639" s="11">
        <v>-19850.0</v>
      </c>
      <c r="AY639" s="11">
        <v>-19610.0</v>
      </c>
      <c r="AZ639" s="11">
        <v>-10300.0</v>
      </c>
      <c r="BA639" s="11">
        <v>-4990.0</v>
      </c>
      <c r="BB639" s="11">
        <v>-6000.0</v>
      </c>
      <c r="BC639" s="13"/>
      <c r="BD639" s="13"/>
      <c r="BE639" s="13"/>
      <c r="BF639" s="13"/>
      <c r="BG639" s="13"/>
      <c r="BH639" s="11">
        <v>23270.0</v>
      </c>
      <c r="BI639" s="11">
        <v>11380.0</v>
      </c>
      <c r="BJ639" s="11">
        <v>18530.0</v>
      </c>
      <c r="BK639" s="11">
        <v>20600.0</v>
      </c>
      <c r="BL639" s="11">
        <v>11370.0</v>
      </c>
      <c r="BM639" s="11">
        <v>34730.0</v>
      </c>
      <c r="BN639" s="11">
        <v>35490.0</v>
      </c>
      <c r="BO639" s="11">
        <v>28260.0</v>
      </c>
      <c r="BP639" s="11">
        <v>26940.0</v>
      </c>
      <c r="BQ639" s="11">
        <v>27590.0</v>
      </c>
      <c r="BR639" s="11">
        <v>2060.0</v>
      </c>
      <c r="BS639" s="11">
        <v>8240.0</v>
      </c>
      <c r="BT639" s="11">
        <v>2410.0</v>
      </c>
      <c r="BU639" s="11">
        <v>1550.0</v>
      </c>
      <c r="BV639" s="12"/>
      <c r="BW639" s="11">
        <v>61040.0</v>
      </c>
      <c r="BX639" s="11">
        <v>57580.0</v>
      </c>
      <c r="BY639" s="11">
        <v>51730.0</v>
      </c>
      <c r="BZ639" s="11">
        <v>51430.0</v>
      </c>
      <c r="CA639" s="11">
        <v>42230.0</v>
      </c>
      <c r="CB639" s="11">
        <v>61930.0</v>
      </c>
      <c r="CC639" s="11">
        <v>48930.0</v>
      </c>
      <c r="CD639" s="11">
        <v>36070.0</v>
      </c>
      <c r="CE639" s="11">
        <v>33250.0</v>
      </c>
      <c r="CF639" s="11">
        <v>34670.0</v>
      </c>
      <c r="CG639" s="11">
        <v>101.0</v>
      </c>
      <c r="CH639" s="11">
        <v>101.0</v>
      </c>
      <c r="CI639" s="11">
        <v>101.0</v>
      </c>
      <c r="CJ639" s="11">
        <v>101.0</v>
      </c>
      <c r="CK639" s="11">
        <v>101.0</v>
      </c>
      <c r="CL639" s="11">
        <v>133670.0</v>
      </c>
      <c r="CM639" s="11">
        <v>116440.0</v>
      </c>
      <c r="CN639" s="11">
        <v>94880.0</v>
      </c>
      <c r="CO639" s="11">
        <v>92060.0</v>
      </c>
      <c r="CP639" s="11">
        <v>81160.0</v>
      </c>
      <c r="CQ639" s="11">
        <v>13880.0</v>
      </c>
      <c r="CR639" s="11">
        <v>16000.0</v>
      </c>
      <c r="CS639" s="11">
        <v>9380.0</v>
      </c>
      <c r="CT639" s="11">
        <v>11390.0</v>
      </c>
      <c r="CU639" s="11">
        <v>10000.0</v>
      </c>
      <c r="CV639" s="11">
        <v>24340.0</v>
      </c>
      <c r="CW639" s="11">
        <v>1880.0</v>
      </c>
      <c r="CX639" s="13"/>
      <c r="CY639" s="13"/>
      <c r="CZ639" s="13"/>
      <c r="DA639" s="12"/>
      <c r="DB639" s="11">
        <v>24340.0</v>
      </c>
      <c r="DC639" s="11">
        <v>24500.0</v>
      </c>
      <c r="DD639" s="11">
        <v>15730.0</v>
      </c>
      <c r="DE639" s="11">
        <v>18440.0</v>
      </c>
      <c r="DF639" s="11">
        <v>67490.0</v>
      </c>
      <c r="DG639" s="11">
        <v>56830.0</v>
      </c>
      <c r="DH639" s="11">
        <v>38330.0</v>
      </c>
      <c r="DI639" s="11">
        <v>43810.0</v>
      </c>
      <c r="DJ639" s="11">
        <v>45910.0</v>
      </c>
      <c r="DK639" s="11">
        <v>5060.0</v>
      </c>
      <c r="DL639" s="11">
        <v>4710.0</v>
      </c>
      <c r="DM639" s="11">
        <v>4430.0</v>
      </c>
      <c r="DN639" s="11">
        <v>5100.0</v>
      </c>
      <c r="DO639" s="11">
        <v>2720.0</v>
      </c>
      <c r="DP639" s="11">
        <v>29390.0</v>
      </c>
      <c r="DQ639" s="11">
        <v>21910.0</v>
      </c>
      <c r="DR639" s="11">
        <v>16150.0</v>
      </c>
      <c r="DS639" s="11">
        <v>16230.0</v>
      </c>
      <c r="DT639" s="11">
        <v>20660.0</v>
      </c>
      <c r="DU639" s="13"/>
      <c r="DV639" s="12"/>
      <c r="DW639" s="12"/>
      <c r="DX639" s="12"/>
      <c r="DY639" s="13"/>
      <c r="DZ639" s="11">
        <v>66170.0</v>
      </c>
      <c r="EA639" s="11">
        <v>59610.0</v>
      </c>
      <c r="EB639" s="11">
        <v>56550.0</v>
      </c>
      <c r="EC639" s="11">
        <v>48250.0</v>
      </c>
      <c r="ED639" s="11">
        <v>35250.0</v>
      </c>
      <c r="EE639" s="14"/>
      <c r="EF639" s="14"/>
      <c r="EG639" s="23"/>
      <c r="EH639" s="14"/>
    </row>
    <row r="640">
      <c r="A640" s="9">
        <f t="shared" si="2"/>
        <v>638</v>
      </c>
      <c r="B640" s="32" t="s">
        <v>775</v>
      </c>
      <c r="C640" s="11">
        <v>3540000.0</v>
      </c>
      <c r="D640" s="11">
        <v>3410000.0</v>
      </c>
      <c r="E640" s="11">
        <v>3320000.0</v>
      </c>
      <c r="F640" s="11">
        <v>2990000.0</v>
      </c>
      <c r="G640" s="11">
        <v>2510000.0</v>
      </c>
      <c r="H640" s="11">
        <v>2370000.0</v>
      </c>
      <c r="I640" s="11">
        <v>2280000.0</v>
      </c>
      <c r="J640" s="11">
        <v>389190.0</v>
      </c>
      <c r="K640" s="11">
        <v>314930.0</v>
      </c>
      <c r="L640" s="11">
        <v>299370.0</v>
      </c>
      <c r="M640" s="11">
        <v>297640.0</v>
      </c>
      <c r="N640" s="11">
        <v>248010.0</v>
      </c>
      <c r="O640" s="11">
        <v>272780.0</v>
      </c>
      <c r="P640" s="11">
        <v>220400.0</v>
      </c>
      <c r="Q640" s="11">
        <v>217300.0</v>
      </c>
      <c r="R640" s="11">
        <v>201620.0</v>
      </c>
      <c r="S640" s="11">
        <v>201520.0</v>
      </c>
      <c r="T640" s="11"/>
      <c r="U640" s="11"/>
      <c r="V640" s="11"/>
      <c r="W640" s="11"/>
      <c r="X640" s="11"/>
      <c r="Y640" s="11">
        <v>56370.0</v>
      </c>
      <c r="Z640" s="11"/>
      <c r="AA640" s="11">
        <v>84300.0</v>
      </c>
      <c r="AB640" s="11">
        <v>7500.0</v>
      </c>
      <c r="AC640" s="11">
        <v>49130.0</v>
      </c>
      <c r="AD640" s="11">
        <v>64160.0</v>
      </c>
      <c r="AE640" s="11">
        <v>104460.0</v>
      </c>
      <c r="AF640" s="11">
        <v>96360.0</v>
      </c>
      <c r="AG640" s="11">
        <v>103430.0</v>
      </c>
      <c r="AH640" s="11">
        <v>55600.0</v>
      </c>
      <c r="AI640" s="11">
        <v>227960.0</v>
      </c>
      <c r="AJ640" s="11">
        <v>160880.0</v>
      </c>
      <c r="AK640" s="11">
        <v>145070.0</v>
      </c>
      <c r="AL640" s="11">
        <v>159220.0</v>
      </c>
      <c r="AM640" s="11">
        <v>113690.0</v>
      </c>
      <c r="AN640" s="11">
        <v>42410.0</v>
      </c>
      <c r="AO640" s="11">
        <v>69100.0</v>
      </c>
      <c r="AP640" s="11">
        <v>57120.0</v>
      </c>
      <c r="AQ640" s="11">
        <v>60490.0</v>
      </c>
      <c r="AR640" s="11">
        <v>25350.0</v>
      </c>
      <c r="AS640" s="11">
        <v>86390.0</v>
      </c>
      <c r="AT640" s="11">
        <v>146200.0</v>
      </c>
      <c r="AU640" s="11">
        <v>75380.0</v>
      </c>
      <c r="AV640" s="11">
        <v>67280.0</v>
      </c>
      <c r="AW640" s="11">
        <v>43140.0</v>
      </c>
      <c r="AX640" s="11">
        <v>-111100.0</v>
      </c>
      <c r="AY640" s="11">
        <v>-67700.0</v>
      </c>
      <c r="AZ640" s="11">
        <v>-90970.0</v>
      </c>
      <c r="BA640" s="11">
        <v>-44180.0</v>
      </c>
      <c r="BB640" s="11">
        <v>-43430.0</v>
      </c>
      <c r="BC640" s="11">
        <v>-22420.0</v>
      </c>
      <c r="BD640" s="11">
        <v>-20690.0</v>
      </c>
      <c r="BE640" s="11">
        <v>-20560.0</v>
      </c>
      <c r="BF640" s="11">
        <v>-20450.0</v>
      </c>
      <c r="BG640" s="11">
        <v>-20320.0</v>
      </c>
      <c r="BH640" s="11">
        <v>306810.0</v>
      </c>
      <c r="BI640" s="11">
        <v>301490.0</v>
      </c>
      <c r="BJ640" s="11">
        <v>254210.0</v>
      </c>
      <c r="BK640" s="11">
        <v>502570.0</v>
      </c>
      <c r="BL640" s="11">
        <v>281470.0</v>
      </c>
      <c r="BM640" s="11">
        <v>693000.0</v>
      </c>
      <c r="BN640" s="11">
        <v>583760.0</v>
      </c>
      <c r="BO640" s="11">
        <v>492450.0</v>
      </c>
      <c r="BP640" s="11">
        <v>399890.0</v>
      </c>
      <c r="BQ640" s="11">
        <v>347350.0</v>
      </c>
      <c r="BR640" s="11">
        <v>88620.0</v>
      </c>
      <c r="BS640" s="11">
        <v>62500.0</v>
      </c>
      <c r="BT640" s="11">
        <v>55250.0</v>
      </c>
      <c r="BU640" s="11">
        <v>55550.0</v>
      </c>
      <c r="BV640" s="11">
        <v>68920.0</v>
      </c>
      <c r="BW640" s="11">
        <v>1420000.0</v>
      </c>
      <c r="BX640" s="11">
        <v>1230000.0</v>
      </c>
      <c r="BY640" s="11">
        <v>1090000.0</v>
      </c>
      <c r="BZ640" s="11">
        <v>985000.0</v>
      </c>
      <c r="CA640" s="11">
        <v>970180.0</v>
      </c>
      <c r="CB640" s="11">
        <v>549690.0</v>
      </c>
      <c r="CC640" s="11">
        <v>407420.0</v>
      </c>
      <c r="CD640" s="11">
        <v>406650.0</v>
      </c>
      <c r="CE640" s="11">
        <v>385130.0</v>
      </c>
      <c r="CF640" s="11">
        <v>409650.0</v>
      </c>
      <c r="CG640" s="11">
        <v>259470.0</v>
      </c>
      <c r="CH640" s="11">
        <v>53800.0</v>
      </c>
      <c r="CI640" s="11">
        <v>53800.0</v>
      </c>
      <c r="CJ640" s="11">
        <v>53800.0</v>
      </c>
      <c r="CK640" s="11">
        <v>53800.0</v>
      </c>
      <c r="CL640" s="11">
        <v>2480000.0</v>
      </c>
      <c r="CM640" s="11">
        <v>1900000.0</v>
      </c>
      <c r="CN640" s="11">
        <v>1730000.0</v>
      </c>
      <c r="CO640" s="11">
        <v>1630000.0</v>
      </c>
      <c r="CP640" s="11">
        <v>1620000.0</v>
      </c>
      <c r="CQ640" s="11">
        <v>251480.0</v>
      </c>
      <c r="CR640" s="11">
        <v>237670.0</v>
      </c>
      <c r="CS640" s="11">
        <v>199030.0</v>
      </c>
      <c r="CT640" s="11">
        <v>157570.0</v>
      </c>
      <c r="CU640" s="11">
        <v>151940.0</v>
      </c>
      <c r="CV640" s="11">
        <v>677840.0</v>
      </c>
      <c r="CW640" s="11"/>
      <c r="CX640" s="13"/>
      <c r="CY640" s="12"/>
      <c r="CZ640" s="13"/>
      <c r="DA640" s="12"/>
      <c r="DB640" s="11">
        <v>677840.0</v>
      </c>
      <c r="DC640" s="11">
        <v>655270.0</v>
      </c>
      <c r="DD640" s="11">
        <v>529930.0</v>
      </c>
      <c r="DE640" s="11">
        <v>465820.0</v>
      </c>
      <c r="DF640" s="11">
        <v>1080000.0</v>
      </c>
      <c r="DG640" s="11">
        <v>902380.0</v>
      </c>
      <c r="DH640" s="11">
        <v>810860.0</v>
      </c>
      <c r="DI640" s="11">
        <v>756760.0</v>
      </c>
      <c r="DJ640" s="11">
        <v>803390.0</v>
      </c>
      <c r="DK640" s="11">
        <v>126280.0</v>
      </c>
      <c r="DL640" s="11">
        <v>103480.0</v>
      </c>
      <c r="DM640" s="11">
        <v>98560.0</v>
      </c>
      <c r="DN640" s="11">
        <v>113830.0</v>
      </c>
      <c r="DO640" s="11">
        <v>108920.0</v>
      </c>
      <c r="DP640" s="11">
        <v>335120.0</v>
      </c>
      <c r="DQ640" s="11">
        <v>178450.0</v>
      </c>
      <c r="DR640" s="11">
        <v>229500.0</v>
      </c>
      <c r="DS640" s="11">
        <v>244320.0</v>
      </c>
      <c r="DT640" s="11">
        <v>275620.0</v>
      </c>
      <c r="DU640" s="13"/>
      <c r="DV640" s="12"/>
      <c r="DW640" s="12"/>
      <c r="DX640" s="12"/>
      <c r="DY640" s="12"/>
      <c r="DZ640" s="11">
        <v>1350000.0</v>
      </c>
      <c r="EA640" s="11">
        <v>945110.0</v>
      </c>
      <c r="EB640" s="11">
        <v>885990.0</v>
      </c>
      <c r="EC640" s="11">
        <v>839240.0</v>
      </c>
      <c r="ED640" s="11">
        <v>794390.0</v>
      </c>
      <c r="EE640" s="14">
        <v>0.029</v>
      </c>
      <c r="EF640" s="14">
        <v>0.031</v>
      </c>
      <c r="EG640" s="14">
        <v>-0.701</v>
      </c>
      <c r="EH640" s="14">
        <v>-2.654</v>
      </c>
    </row>
    <row r="641">
      <c r="A641" s="9">
        <f t="shared" si="2"/>
        <v>639</v>
      </c>
      <c r="B641" s="22" t="s">
        <v>776</v>
      </c>
      <c r="C641" s="11">
        <v>791100.0</v>
      </c>
      <c r="D641" s="11">
        <v>510380.0</v>
      </c>
      <c r="E641" s="11">
        <v>312620.0</v>
      </c>
      <c r="F641" s="11">
        <v>15490.0</v>
      </c>
      <c r="G641" s="11">
        <v>10580.0</v>
      </c>
      <c r="H641" s="11">
        <v>14580.0</v>
      </c>
      <c r="I641" s="11">
        <v>44010.0</v>
      </c>
      <c r="J641" s="11">
        <v>285310.0</v>
      </c>
      <c r="K641" s="11">
        <v>4480.0</v>
      </c>
      <c r="L641" s="11">
        <v>-1060.0</v>
      </c>
      <c r="M641" s="11">
        <v>5560.0</v>
      </c>
      <c r="N641" s="11">
        <v>36590.0</v>
      </c>
      <c r="O641" s="11">
        <v>408230.0</v>
      </c>
      <c r="P641" s="11">
        <v>278630.0</v>
      </c>
      <c r="Q641" s="11">
        <v>188800.0</v>
      </c>
      <c r="R641" s="11">
        <v>164130.0</v>
      </c>
      <c r="S641" s="11">
        <v>133480.0</v>
      </c>
      <c r="T641" s="11">
        <v>147280.0</v>
      </c>
      <c r="U641" s="11">
        <v>133490.0</v>
      </c>
      <c r="V641" s="11">
        <v>142870.0</v>
      </c>
      <c r="W641" s="11">
        <v>141130.0</v>
      </c>
      <c r="X641" s="11">
        <v>114090.0</v>
      </c>
      <c r="Y641" s="12"/>
      <c r="Z641" s="12"/>
      <c r="AA641" s="11">
        <v>-536.0</v>
      </c>
      <c r="AB641" s="12"/>
      <c r="AC641" s="11">
        <v>-97820.0</v>
      </c>
      <c r="AD641" s="11">
        <v>-13250.0</v>
      </c>
      <c r="AE641" s="11">
        <v>-268620.0</v>
      </c>
      <c r="AF641" s="11">
        <v>-195760.0</v>
      </c>
      <c r="AG641" s="11">
        <v>-121840.0</v>
      </c>
      <c r="AH641" s="11">
        <v>-88000.0</v>
      </c>
      <c r="AI641" s="11">
        <v>-113650.0</v>
      </c>
      <c r="AJ641" s="11">
        <v>-264770.0</v>
      </c>
      <c r="AK641" s="11">
        <v>-182760.0</v>
      </c>
      <c r="AL641" s="11">
        <v>-153390.0</v>
      </c>
      <c r="AM641" s="11">
        <v>-93340.0</v>
      </c>
      <c r="AN641" s="11">
        <v>-9060.0</v>
      </c>
      <c r="AO641" s="11">
        <v>-272690.0</v>
      </c>
      <c r="AP641" s="11">
        <v>-169150.0</v>
      </c>
      <c r="AQ641" s="11">
        <v>-90000.0</v>
      </c>
      <c r="AR641" s="11">
        <v>-68720.0</v>
      </c>
      <c r="AS641" s="11">
        <v>-123980.0</v>
      </c>
      <c r="AT641" s="11">
        <v>-297260.0</v>
      </c>
      <c r="AU641" s="11">
        <v>-141000.0</v>
      </c>
      <c r="AV641" s="11">
        <v>-119090.0</v>
      </c>
      <c r="AW641" s="11">
        <v>-71410.0</v>
      </c>
      <c r="AX641" s="11">
        <v>-42660.0</v>
      </c>
      <c r="AY641" s="11">
        <v>-47050.0</v>
      </c>
      <c r="AZ641" s="11">
        <v>-21900.0</v>
      </c>
      <c r="BA641" s="11">
        <v>-12990.0</v>
      </c>
      <c r="BB641" s="11">
        <v>-27800.0</v>
      </c>
      <c r="BC641" s="12"/>
      <c r="BD641" s="12"/>
      <c r="BE641" s="12"/>
      <c r="BF641" s="12"/>
      <c r="BG641" s="12"/>
      <c r="BH641" s="11">
        <v>536930.0</v>
      </c>
      <c r="BI641" s="11">
        <v>591500.0</v>
      </c>
      <c r="BJ641" s="11">
        <v>322150.0</v>
      </c>
      <c r="BK641" s="11">
        <v>486340.0</v>
      </c>
      <c r="BL641" s="11">
        <v>355770.0</v>
      </c>
      <c r="BM641" s="11">
        <v>48880.0</v>
      </c>
      <c r="BN641" s="11">
        <v>24260.0</v>
      </c>
      <c r="BO641" s="11">
        <v>41800.0</v>
      </c>
      <c r="BP641" s="11">
        <v>30190.0</v>
      </c>
      <c r="BQ641" s="11">
        <v>21160.0</v>
      </c>
      <c r="BR641" s="11">
        <v>85530.0</v>
      </c>
      <c r="BS641" s="11">
        <v>51010.0</v>
      </c>
      <c r="BT641" s="11">
        <v>5670.0</v>
      </c>
      <c r="BU641" s="11">
        <v>5520.0</v>
      </c>
      <c r="BV641" s="11">
        <v>7200.0</v>
      </c>
      <c r="BW641" s="11">
        <v>699640.0</v>
      </c>
      <c r="BX641" s="11">
        <v>666760.0</v>
      </c>
      <c r="BY641" s="11">
        <v>369620.0</v>
      </c>
      <c r="BZ641" s="11">
        <v>525470.0</v>
      </c>
      <c r="CA641" s="11">
        <v>386480.0</v>
      </c>
      <c r="CB641" s="11">
        <v>152680.0</v>
      </c>
      <c r="CC641" s="11">
        <v>89430.0</v>
      </c>
      <c r="CD641" s="11">
        <v>58330.0</v>
      </c>
      <c r="CE641" s="11">
        <v>50590.0</v>
      </c>
      <c r="CF641" s="11">
        <v>43520.0</v>
      </c>
      <c r="CG641" s="11">
        <v>6960.0</v>
      </c>
      <c r="CH641" s="11">
        <v>6960.0</v>
      </c>
      <c r="CI641" s="11">
        <v>6960.0</v>
      </c>
      <c r="CJ641" s="11">
        <v>6770.0</v>
      </c>
      <c r="CK641" s="11">
        <v>7890.0</v>
      </c>
      <c r="CL641" s="11">
        <v>882250.0</v>
      </c>
      <c r="CM641" s="11">
        <v>773950.0</v>
      </c>
      <c r="CN641" s="11">
        <v>444700.0</v>
      </c>
      <c r="CO641" s="11">
        <v>588680.0</v>
      </c>
      <c r="CP641" s="11">
        <v>438900.0</v>
      </c>
      <c r="CQ641" s="11">
        <v>9990.0</v>
      </c>
      <c r="CR641" s="11">
        <v>9790.0</v>
      </c>
      <c r="CS641" s="11">
        <v>7760.0</v>
      </c>
      <c r="CT641" s="11">
        <v>4460.0</v>
      </c>
      <c r="CU641" s="11">
        <v>5750.0</v>
      </c>
      <c r="CV641" s="11">
        <v>117560.0</v>
      </c>
      <c r="CW641" s="11">
        <v>5900.0</v>
      </c>
      <c r="CX641" s="12"/>
      <c r="CY641" s="12"/>
      <c r="CZ641" s="12"/>
      <c r="DA641" s="12"/>
      <c r="DB641" s="11">
        <v>117560.0</v>
      </c>
      <c r="DC641" s="11">
        <v>66380.0</v>
      </c>
      <c r="DD641" s="11">
        <v>48710.0</v>
      </c>
      <c r="DE641" s="11">
        <v>45400.0</v>
      </c>
      <c r="DF641" s="11">
        <v>156220.0</v>
      </c>
      <c r="DG641" s="11">
        <v>82000.0</v>
      </c>
      <c r="DH641" s="11">
        <v>73120.0</v>
      </c>
      <c r="DI641" s="11">
        <v>71040.0</v>
      </c>
      <c r="DJ641" s="11">
        <v>67370.0</v>
      </c>
      <c r="DK641" s="12"/>
      <c r="DL641" s="12"/>
      <c r="DM641" s="12"/>
      <c r="DN641" s="12"/>
      <c r="DO641" s="12"/>
      <c r="DP641" s="11">
        <v>27220.0</v>
      </c>
      <c r="DQ641" s="11">
        <v>15120.0</v>
      </c>
      <c r="DR641" s="11">
        <v>16980.0</v>
      </c>
      <c r="DS641" s="11">
        <v>18680.0</v>
      </c>
      <c r="DT641" s="11">
        <v>15120.0</v>
      </c>
      <c r="DU641" s="13"/>
      <c r="DV641" s="12"/>
      <c r="DW641" s="12"/>
      <c r="DX641" s="13"/>
      <c r="DY641" s="13"/>
      <c r="DZ641" s="11">
        <v>726030.0</v>
      </c>
      <c r="EA641" s="11">
        <v>691950.0</v>
      </c>
      <c r="EB641" s="11">
        <v>371580.0</v>
      </c>
      <c r="EC641" s="11">
        <v>517640.0</v>
      </c>
      <c r="ED641" s="11">
        <v>371520.0</v>
      </c>
      <c r="EE641" s="14">
        <v>0.069</v>
      </c>
      <c r="EF641" s="14">
        <v>0.639</v>
      </c>
      <c r="EG641" s="14">
        <v>0.619</v>
      </c>
      <c r="EH641" s="14">
        <v>0.289</v>
      </c>
    </row>
    <row r="642">
      <c r="A642" s="9">
        <f t="shared" si="2"/>
        <v>640</v>
      </c>
      <c r="B642" s="10" t="s">
        <v>777</v>
      </c>
      <c r="C642" s="11">
        <v>2440000.0</v>
      </c>
      <c r="D642" s="11">
        <v>2330000.0</v>
      </c>
      <c r="E642" s="11">
        <v>35470.0</v>
      </c>
      <c r="F642" s="11">
        <v>35520.0</v>
      </c>
      <c r="G642" s="11">
        <v>31210.0</v>
      </c>
      <c r="H642" s="11">
        <v>29800.0</v>
      </c>
      <c r="I642" s="11">
        <v>31960.0</v>
      </c>
      <c r="J642" s="11">
        <v>18200.0</v>
      </c>
      <c r="K642" s="11">
        <v>19820.0</v>
      </c>
      <c r="L642" s="11">
        <v>16750.0</v>
      </c>
      <c r="M642" s="11">
        <v>15480.0</v>
      </c>
      <c r="N642" s="11">
        <v>14480.0</v>
      </c>
      <c r="O642" s="11">
        <v>11240.0</v>
      </c>
      <c r="P642" s="11">
        <v>10550.0</v>
      </c>
      <c r="Q642" s="11">
        <v>9410.0</v>
      </c>
      <c r="R642" s="11">
        <v>9670.0</v>
      </c>
      <c r="S642" s="11">
        <v>7960.0</v>
      </c>
      <c r="T642" s="12"/>
      <c r="U642" s="12"/>
      <c r="V642" s="12"/>
      <c r="W642" s="12"/>
      <c r="X642" s="12"/>
      <c r="Y642" s="12"/>
      <c r="Z642" s="12"/>
      <c r="AA642" s="11">
        <v>5940.0</v>
      </c>
      <c r="AB642" s="11">
        <v>-246.0</v>
      </c>
      <c r="AC642" s="11">
        <v>-176.0</v>
      </c>
      <c r="AD642" s="11">
        <v>3390.0</v>
      </c>
      <c r="AE642" s="11">
        <v>4890.0</v>
      </c>
      <c r="AF642" s="11">
        <v>3950.0</v>
      </c>
      <c r="AG642" s="11">
        <v>-3800.0</v>
      </c>
      <c r="AH642" s="11">
        <v>41990.0</v>
      </c>
      <c r="AI642" s="11">
        <v>15310.0</v>
      </c>
      <c r="AJ642" s="11">
        <v>16740.0</v>
      </c>
      <c r="AK642" s="11">
        <v>14250.0</v>
      </c>
      <c r="AL642" s="11">
        <v>12090.0</v>
      </c>
      <c r="AM642" s="11">
        <v>14740.0</v>
      </c>
      <c r="AN642" s="11">
        <v>2220.0</v>
      </c>
      <c r="AO642" s="11">
        <v>3100.0</v>
      </c>
      <c r="AP642" s="11">
        <v>4550.0</v>
      </c>
      <c r="AQ642" s="11">
        <v>-2510.0</v>
      </c>
      <c r="AR642" s="11">
        <v>21360.0</v>
      </c>
      <c r="AS642" s="11">
        <v>11570.0</v>
      </c>
      <c r="AT642" s="11">
        <v>11310.0</v>
      </c>
      <c r="AU642" s="11">
        <v>11140.0</v>
      </c>
      <c r="AV642" s="11">
        <v>1140.0</v>
      </c>
      <c r="AW642" s="11">
        <v>4250.0</v>
      </c>
      <c r="AX642" s="11">
        <v>-11190.0</v>
      </c>
      <c r="AY642" s="11">
        <v>-4790.0</v>
      </c>
      <c r="AZ642" s="11">
        <v>-20890.0</v>
      </c>
      <c r="BA642" s="11">
        <v>-8590.0</v>
      </c>
      <c r="BB642" s="11">
        <v>-3360.0</v>
      </c>
      <c r="BC642" s="11">
        <v>-6170.0</v>
      </c>
      <c r="BD642" s="11">
        <v>-5790.0</v>
      </c>
      <c r="BE642" s="11">
        <v>-5400.0</v>
      </c>
      <c r="BF642" s="11">
        <v>-5040.0</v>
      </c>
      <c r="BG642" s="11">
        <v>-27610.0</v>
      </c>
      <c r="BH642" s="11">
        <v>7510.0</v>
      </c>
      <c r="BI642" s="11">
        <v>12760.0</v>
      </c>
      <c r="BJ642" s="11">
        <v>5250.0</v>
      </c>
      <c r="BK642" s="11">
        <v>20500.0</v>
      </c>
      <c r="BL642" s="11">
        <v>11510.0</v>
      </c>
      <c r="BM642" s="11">
        <v>4110.0</v>
      </c>
      <c r="BN642" s="11">
        <v>3890.0</v>
      </c>
      <c r="BO642" s="11">
        <v>3720.0</v>
      </c>
      <c r="BP642" s="11">
        <v>3420.0</v>
      </c>
      <c r="BQ642" s="11">
        <v>3180.0</v>
      </c>
      <c r="BR642" s="12"/>
      <c r="BS642" s="12"/>
      <c r="BT642" s="12"/>
      <c r="BU642" s="12"/>
      <c r="BV642" s="12"/>
      <c r="BW642" s="11">
        <v>12290.0</v>
      </c>
      <c r="BX642" s="11">
        <v>17330.0</v>
      </c>
      <c r="BY642" s="11">
        <v>9670.0</v>
      </c>
      <c r="BZ642" s="11">
        <v>24740.0</v>
      </c>
      <c r="CA642" s="11">
        <v>18720.0</v>
      </c>
      <c r="CB642" s="11">
        <v>233550.0</v>
      </c>
      <c r="CC642" s="11">
        <v>227060.0</v>
      </c>
      <c r="CD642" s="11">
        <v>213460.0</v>
      </c>
      <c r="CE642" s="11">
        <v>200490.0</v>
      </c>
      <c r="CF642" s="11">
        <v>194150.0</v>
      </c>
      <c r="CG642" s="11">
        <v>4400.0</v>
      </c>
      <c r="CH642" s="11">
        <v>2640.0</v>
      </c>
      <c r="CI642" s="11"/>
      <c r="CJ642" s="11"/>
      <c r="CK642" s="11"/>
      <c r="CL642" s="11">
        <v>266110.0</v>
      </c>
      <c r="CM642" s="11">
        <v>262460.0</v>
      </c>
      <c r="CN642" s="11">
        <v>238570.0</v>
      </c>
      <c r="CO642" s="11">
        <v>238820.0</v>
      </c>
      <c r="CP642" s="11">
        <v>235740.0</v>
      </c>
      <c r="CQ642" s="12">
        <v>992.0</v>
      </c>
      <c r="CR642" s="12">
        <v>604.0</v>
      </c>
      <c r="CS642" s="12">
        <v>321.0</v>
      </c>
      <c r="CT642" s="11">
        <v>1790.0</v>
      </c>
      <c r="CU642" s="11">
        <v>1320.0</v>
      </c>
      <c r="CV642" s="11">
        <v>10100.0</v>
      </c>
      <c r="CW642" s="11"/>
      <c r="CX642" s="12"/>
      <c r="CY642" s="12"/>
      <c r="CZ642" s="12"/>
      <c r="DA642" s="12"/>
      <c r="DB642" s="11">
        <v>10100.0</v>
      </c>
      <c r="DC642" s="11">
        <v>9580.0</v>
      </c>
      <c r="DD642" s="11">
        <v>8980.0</v>
      </c>
      <c r="DE642" s="11">
        <v>10900.0</v>
      </c>
      <c r="DF642" s="11">
        <v>241440.0</v>
      </c>
      <c r="DG642" s="11">
        <v>234590.0</v>
      </c>
      <c r="DH642" s="11">
        <v>223710.0</v>
      </c>
      <c r="DI642" s="11">
        <v>223830.0</v>
      </c>
      <c r="DJ642" s="11">
        <v>215680.0</v>
      </c>
      <c r="DK642" s="11">
        <v>1580.0</v>
      </c>
      <c r="DL642" s="12">
        <v>520.0</v>
      </c>
      <c r="DM642" s="12">
        <v>781.0</v>
      </c>
      <c r="DN642" s="12">
        <v>708.0</v>
      </c>
      <c r="DO642" s="11">
        <v>9860.0</v>
      </c>
      <c r="DP642" s="11">
        <v>114660.0</v>
      </c>
      <c r="DQ642" s="11">
        <v>114510.0</v>
      </c>
      <c r="DR642" s="11">
        <v>114360.0</v>
      </c>
      <c r="DS642" s="11">
        <v>114320.0</v>
      </c>
      <c r="DT642" s="11">
        <v>102420.0</v>
      </c>
      <c r="DU642" s="13"/>
      <c r="DV642" s="12"/>
      <c r="DW642" s="12"/>
      <c r="DX642" s="12"/>
      <c r="DY642" s="12"/>
      <c r="DZ642" s="11">
        <v>24670.0</v>
      </c>
      <c r="EA642" s="11">
        <v>27870.0</v>
      </c>
      <c r="EB642" s="11">
        <v>14860.0</v>
      </c>
      <c r="EC642" s="11">
        <v>14990.0</v>
      </c>
      <c r="ED642" s="11">
        <v>20060.0</v>
      </c>
      <c r="EE642" s="14">
        <v>0.043</v>
      </c>
      <c r="EF642" s="14">
        <v>0.045</v>
      </c>
      <c r="EG642" s="14">
        <v>-0.046</v>
      </c>
      <c r="EH642" s="14">
        <v>0.004</v>
      </c>
    </row>
    <row r="643">
      <c r="A643" s="9">
        <f t="shared" si="2"/>
        <v>641</v>
      </c>
      <c r="B643" s="10" t="s">
        <v>778</v>
      </c>
      <c r="C643" s="15">
        <v>4080000.0</v>
      </c>
      <c r="D643" s="15">
        <v>2930000.0</v>
      </c>
      <c r="E643" s="15">
        <v>5020000.0</v>
      </c>
      <c r="F643" s="15">
        <v>4450000.0</v>
      </c>
      <c r="G643" s="15">
        <v>4460000.0</v>
      </c>
      <c r="H643" s="15">
        <v>4430000.0</v>
      </c>
      <c r="I643" s="15">
        <v>4330000.0</v>
      </c>
      <c r="J643" s="15">
        <v>614000.0</v>
      </c>
      <c r="K643" s="15">
        <v>652000.0</v>
      </c>
      <c r="L643" s="15">
        <v>637000.0</v>
      </c>
      <c r="M643" s="15">
        <v>614000.0</v>
      </c>
      <c r="N643" s="15">
        <v>631000.0</v>
      </c>
      <c r="O643" s="15">
        <v>417000.0</v>
      </c>
      <c r="P643" s="15">
        <v>320000.0</v>
      </c>
      <c r="Q643" s="15">
        <v>377000.0</v>
      </c>
      <c r="R643" s="15">
        <v>315000.0</v>
      </c>
      <c r="S643" s="15">
        <v>308000.0</v>
      </c>
      <c r="T643" s="15">
        <v>0.0</v>
      </c>
      <c r="U643" s="15">
        <v>0.0</v>
      </c>
      <c r="V643" s="15">
        <v>0.0</v>
      </c>
      <c r="W643" s="15">
        <v>0.0</v>
      </c>
      <c r="X643" s="15">
        <v>0.0</v>
      </c>
      <c r="Y643" s="15">
        <v>234000.0</v>
      </c>
      <c r="Z643" s="15">
        <v>162000.0</v>
      </c>
      <c r="AA643" s="15">
        <v>-3000.0</v>
      </c>
      <c r="AB643" s="15">
        <v>290000.0</v>
      </c>
      <c r="AC643" s="15">
        <v>-5000.0</v>
      </c>
      <c r="AD643" s="15">
        <v>1010000.0</v>
      </c>
      <c r="AE643" s="15">
        <v>951000.0</v>
      </c>
      <c r="AF643" s="15">
        <v>722000.0</v>
      </c>
      <c r="AG643" s="15">
        <v>289000.0</v>
      </c>
      <c r="AH643" s="15">
        <v>194000.0</v>
      </c>
      <c r="AI643" s="15">
        <v>519000.0</v>
      </c>
      <c r="AJ643" s="15">
        <v>600000.0</v>
      </c>
      <c r="AK643" s="15">
        <v>531000.0</v>
      </c>
      <c r="AL643" s="15">
        <v>641000.0</v>
      </c>
      <c r="AM643" s="15">
        <v>643000.0</v>
      </c>
      <c r="AN643" s="15">
        <v>766000.0</v>
      </c>
      <c r="AO643" s="15">
        <v>769000.0</v>
      </c>
      <c r="AP643" s="15">
        <v>389000.0</v>
      </c>
      <c r="AQ643" s="15">
        <v>204000.0</v>
      </c>
      <c r="AR643" s="15">
        <v>124000.0</v>
      </c>
      <c r="AS643" s="15">
        <v>430000.0</v>
      </c>
      <c r="AT643" s="15">
        <v>341000.0</v>
      </c>
      <c r="AU643" s="15">
        <v>587000.0</v>
      </c>
      <c r="AV643" s="15">
        <v>493000.0</v>
      </c>
      <c r="AW643" s="15">
        <v>460000.0</v>
      </c>
      <c r="AX643" s="15">
        <v>-369000.0</v>
      </c>
      <c r="AY643" s="15">
        <v>-297000.0</v>
      </c>
      <c r="AZ643" s="15">
        <v>-298000.0</v>
      </c>
      <c r="BA643" s="15">
        <v>-211000.0</v>
      </c>
      <c r="BB643" s="15">
        <v>-269000.0</v>
      </c>
      <c r="BC643" s="15">
        <v>-80000.0</v>
      </c>
      <c r="BD643" s="15">
        <v>-68000.0</v>
      </c>
      <c r="BE643" s="16">
        <v>0.0</v>
      </c>
      <c r="BF643" s="16">
        <v>0.0</v>
      </c>
      <c r="BG643" s="16">
        <v>0.0</v>
      </c>
      <c r="BH643" s="15">
        <v>1110000.0</v>
      </c>
      <c r="BI643" s="15">
        <v>719000.0</v>
      </c>
      <c r="BJ643" s="15">
        <v>786000.0</v>
      </c>
      <c r="BK643" s="15">
        <v>614000.0</v>
      </c>
      <c r="BL643" s="15">
        <v>599000.0</v>
      </c>
      <c r="BM643" s="15">
        <v>421000.0</v>
      </c>
      <c r="BN643" s="15">
        <v>427000.0</v>
      </c>
      <c r="BO643" s="15">
        <v>350000.0</v>
      </c>
      <c r="BP643" s="15">
        <v>304000.0</v>
      </c>
      <c r="BQ643" s="15">
        <v>298000.0</v>
      </c>
      <c r="BR643" s="15">
        <v>12000.0</v>
      </c>
      <c r="BS643" s="15">
        <v>14000.0</v>
      </c>
      <c r="BT643" s="15">
        <v>14000.0</v>
      </c>
      <c r="BU643" s="15">
        <v>28000.0</v>
      </c>
      <c r="BV643" s="15">
        <v>12000.0</v>
      </c>
      <c r="BW643" s="15">
        <v>1710000.0</v>
      </c>
      <c r="BX643" s="15">
        <v>1350000.0</v>
      </c>
      <c r="BY643" s="15">
        <v>1330000.0</v>
      </c>
      <c r="BZ643" s="15">
        <v>1140000.0</v>
      </c>
      <c r="CA643" s="15">
        <v>1120000.0</v>
      </c>
      <c r="CB643" s="15">
        <v>3950000.0</v>
      </c>
      <c r="CC643" s="15">
        <v>3610000.0</v>
      </c>
      <c r="CD643" s="15">
        <v>4030000.0</v>
      </c>
      <c r="CE643" s="15">
        <v>4270000.0</v>
      </c>
      <c r="CF643" s="15">
        <v>4030000.0</v>
      </c>
      <c r="CG643" s="15">
        <v>326000.0</v>
      </c>
      <c r="CH643" s="15">
        <v>283000.0</v>
      </c>
      <c r="CI643" s="15">
        <v>150000.0</v>
      </c>
      <c r="CJ643" s="15">
        <v>125000.0</v>
      </c>
      <c r="CK643" s="15">
        <v>129000.0</v>
      </c>
      <c r="CL643" s="15">
        <v>8420000.0</v>
      </c>
      <c r="CM643" s="15">
        <v>7640000.0</v>
      </c>
      <c r="CN643" s="15">
        <v>7570000.0</v>
      </c>
      <c r="CO643" s="15">
        <v>7750000.0</v>
      </c>
      <c r="CP643" s="15">
        <v>7590000.0</v>
      </c>
      <c r="CQ643" s="15">
        <v>150000.0</v>
      </c>
      <c r="CR643" s="15">
        <v>151000.0</v>
      </c>
      <c r="CS643" s="15">
        <v>136000.0</v>
      </c>
      <c r="CT643" s="15">
        <v>162000.0</v>
      </c>
      <c r="CU643" s="15">
        <v>141000.0</v>
      </c>
      <c r="CV643" s="15">
        <v>1090000.0</v>
      </c>
      <c r="CW643" s="15">
        <v>32000.0</v>
      </c>
      <c r="CX643" s="16">
        <v>0.0</v>
      </c>
      <c r="CY643" s="16">
        <v>0.0</v>
      </c>
      <c r="CZ643" s="16">
        <v>0.0</v>
      </c>
      <c r="DA643" s="15">
        <v>0.0</v>
      </c>
      <c r="DB643" s="15">
        <v>1090000.0</v>
      </c>
      <c r="DC643" s="15">
        <v>1060000.0</v>
      </c>
      <c r="DD643" s="15">
        <v>992000.0</v>
      </c>
      <c r="DE643" s="15">
        <v>924000.0</v>
      </c>
      <c r="DF643" s="15">
        <v>4450000.0</v>
      </c>
      <c r="DG643" s="15">
        <v>3970000.0</v>
      </c>
      <c r="DH643" s="15">
        <v>3720000.0</v>
      </c>
      <c r="DI643" s="15">
        <v>3840000.0</v>
      </c>
      <c r="DJ643" s="15">
        <v>3600000.0</v>
      </c>
      <c r="DK643" s="15">
        <v>1310000.0</v>
      </c>
      <c r="DL643" s="15">
        <v>339000.0</v>
      </c>
      <c r="DM643" s="15">
        <v>358000.0</v>
      </c>
      <c r="DN643" s="15">
        <v>487000.0</v>
      </c>
      <c r="DO643" s="15">
        <v>672000.0</v>
      </c>
      <c r="DP643" s="15">
        <v>2010000.0</v>
      </c>
      <c r="DQ643" s="15">
        <v>1620000.0</v>
      </c>
      <c r="DR643" s="15">
        <v>1440000.0</v>
      </c>
      <c r="DS643" s="15">
        <v>1450000.0</v>
      </c>
      <c r="DT643" s="15">
        <v>1040000.0</v>
      </c>
      <c r="DU643" s="16">
        <v>0.0</v>
      </c>
      <c r="DV643" s="15">
        <v>0.0</v>
      </c>
      <c r="DW643" s="15">
        <v>0.0</v>
      </c>
      <c r="DX643" s="15">
        <v>0.0</v>
      </c>
      <c r="DY643" s="15">
        <v>0.0</v>
      </c>
      <c r="DZ643" s="15">
        <v>3960000.0</v>
      </c>
      <c r="EA643" s="15">
        <v>3670000.0</v>
      </c>
      <c r="EB643" s="15">
        <v>3840000.0</v>
      </c>
      <c r="EC643" s="15">
        <v>3900000.0</v>
      </c>
      <c r="ED643" s="15">
        <v>3990000.0</v>
      </c>
      <c r="EE643" s="17">
        <v>0.567</v>
      </c>
      <c r="EF643" s="17">
        <v>0.375</v>
      </c>
      <c r="EG643" s="17">
        <v>-0.944</v>
      </c>
      <c r="EH643" s="17">
        <v>0.225</v>
      </c>
    </row>
    <row r="644">
      <c r="A644" s="9">
        <f t="shared" si="2"/>
        <v>642</v>
      </c>
      <c r="B644" s="18" t="s">
        <v>779</v>
      </c>
      <c r="C644" s="19">
        <v>1920000.0</v>
      </c>
      <c r="D644" s="19">
        <v>1010000.0</v>
      </c>
      <c r="E644" s="19">
        <v>2830000.0</v>
      </c>
      <c r="F644" s="19">
        <v>2840000.0</v>
      </c>
      <c r="G644" s="19">
        <v>2670000.0</v>
      </c>
      <c r="H644" s="19">
        <v>2450000.0</v>
      </c>
      <c r="I644" s="19">
        <v>2300000.0</v>
      </c>
      <c r="J644" s="19">
        <v>607650.0</v>
      </c>
      <c r="K644" s="19">
        <v>629830.0</v>
      </c>
      <c r="L644" s="19">
        <v>756380.0</v>
      </c>
      <c r="M644" s="19">
        <v>757630.0</v>
      </c>
      <c r="N644" s="19">
        <v>642570.0</v>
      </c>
      <c r="O644" s="19">
        <v>131590.0</v>
      </c>
      <c r="P644" s="19">
        <v>130840.0</v>
      </c>
      <c r="Q644" s="19">
        <v>128560.0</v>
      </c>
      <c r="R644" s="19">
        <v>128630.0</v>
      </c>
      <c r="S644" s="19">
        <v>120230.0</v>
      </c>
      <c r="T644" s="20"/>
      <c r="U644" s="20"/>
      <c r="V644" s="20"/>
      <c r="W644" s="20"/>
      <c r="X644" s="20"/>
      <c r="Y644" s="19">
        <v>327860.0</v>
      </c>
      <c r="Z644" s="19">
        <v>293020.0</v>
      </c>
      <c r="AA644" s="19">
        <v>-60420.0</v>
      </c>
      <c r="AB644" s="19">
        <v>432470.0</v>
      </c>
      <c r="AC644" s="19">
        <v>-11040.0</v>
      </c>
      <c r="AD644" s="19">
        <v>305000.0</v>
      </c>
      <c r="AE644" s="19">
        <v>301160.0</v>
      </c>
      <c r="AF644" s="19">
        <v>390820.0</v>
      </c>
      <c r="AG644" s="19">
        <v>379460.0</v>
      </c>
      <c r="AH644" s="19">
        <v>295690.0</v>
      </c>
      <c r="AI644" s="19">
        <v>481080.0</v>
      </c>
      <c r="AJ644" s="19">
        <v>488180.0</v>
      </c>
      <c r="AK644" s="19">
        <v>598370.0</v>
      </c>
      <c r="AL644" s="19">
        <v>612540.0</v>
      </c>
      <c r="AM644" s="19">
        <v>514240.0</v>
      </c>
      <c r="AN644" s="19">
        <v>223980.0</v>
      </c>
      <c r="AO644" s="19">
        <v>233200.0</v>
      </c>
      <c r="AP644" s="19">
        <v>330610.0</v>
      </c>
      <c r="AQ644" s="19">
        <v>235430.0</v>
      </c>
      <c r="AR644" s="19">
        <v>182650.0</v>
      </c>
      <c r="AS644" s="19">
        <v>485140.0</v>
      </c>
      <c r="AT644" s="19">
        <v>508510.0</v>
      </c>
      <c r="AU644" s="19">
        <v>330950.0</v>
      </c>
      <c r="AV644" s="19">
        <v>417390.0</v>
      </c>
      <c r="AW644" s="19">
        <v>476030.0</v>
      </c>
      <c r="AX644" s="19">
        <v>-397420.0</v>
      </c>
      <c r="AY644" s="19">
        <v>-486780.0</v>
      </c>
      <c r="AZ644" s="19">
        <v>-341520.0</v>
      </c>
      <c r="BA644" s="19">
        <v>-178840.0</v>
      </c>
      <c r="BB644" s="19">
        <v>-118830.0</v>
      </c>
      <c r="BC644" s="19">
        <v>-22770.0</v>
      </c>
      <c r="BD644" s="19">
        <v>-24170.0</v>
      </c>
      <c r="BE644" s="19">
        <v>-6260.0</v>
      </c>
      <c r="BF644" s="20"/>
      <c r="BG644" s="20"/>
      <c r="BH644" s="19">
        <v>618660.0</v>
      </c>
      <c r="BI644" s="19">
        <v>500820.0</v>
      </c>
      <c r="BJ644" s="19">
        <v>461250.0</v>
      </c>
      <c r="BK644" s="19">
        <v>615070.0</v>
      </c>
      <c r="BL644" s="19">
        <v>565050.0</v>
      </c>
      <c r="BM644" s="19">
        <v>161570.0</v>
      </c>
      <c r="BN644" s="19">
        <v>111830.0</v>
      </c>
      <c r="BO644" s="19">
        <v>140280.0</v>
      </c>
      <c r="BP644" s="19">
        <v>96070.0</v>
      </c>
      <c r="BQ644" s="19">
        <v>81720.0</v>
      </c>
      <c r="BR644" s="19">
        <v>37630.0</v>
      </c>
      <c r="BS644" s="19">
        <v>33940.0</v>
      </c>
      <c r="BT644" s="19">
        <v>35360.0</v>
      </c>
      <c r="BU644" s="19">
        <v>20360.0</v>
      </c>
      <c r="BV644" s="19">
        <v>19160.0</v>
      </c>
      <c r="BW644" s="19">
        <v>874710.0</v>
      </c>
      <c r="BX644" s="19">
        <v>705170.0</v>
      </c>
      <c r="BY644" s="19">
        <v>716080.0</v>
      </c>
      <c r="BZ644" s="19">
        <v>798240.0</v>
      </c>
      <c r="CA644" s="19">
        <v>740980.0</v>
      </c>
      <c r="CB644" s="19">
        <v>2950000.0</v>
      </c>
      <c r="CC644" s="19">
        <v>2190000.0</v>
      </c>
      <c r="CD644" s="19">
        <v>1840000.0</v>
      </c>
      <c r="CE644" s="19">
        <v>1650000.0</v>
      </c>
      <c r="CF644" s="19">
        <v>1550000.0</v>
      </c>
      <c r="CG644" s="19">
        <v>106660.0</v>
      </c>
      <c r="CH644" s="19">
        <v>106660.0</v>
      </c>
      <c r="CI644" s="19">
        <v>106660.0</v>
      </c>
      <c r="CJ644" s="19">
        <v>106660.0</v>
      </c>
      <c r="CK644" s="19">
        <v>106660.0</v>
      </c>
      <c r="CL644" s="19">
        <v>4440000.0</v>
      </c>
      <c r="CM644" s="19">
        <v>3370000.0</v>
      </c>
      <c r="CN644" s="19">
        <v>3020000.0</v>
      </c>
      <c r="CO644" s="19">
        <v>2940000.0</v>
      </c>
      <c r="CP644" s="19">
        <v>2760000.0</v>
      </c>
      <c r="CQ644" s="19">
        <v>148750.0</v>
      </c>
      <c r="CR644" s="19">
        <v>143150.0</v>
      </c>
      <c r="CS644" s="19">
        <v>140810.0</v>
      </c>
      <c r="CT644" s="19">
        <v>116510.0</v>
      </c>
      <c r="CU644" s="19">
        <v>101310.0</v>
      </c>
      <c r="CV644" s="19">
        <v>1080000.0</v>
      </c>
      <c r="CW644" s="19">
        <v>83220.0</v>
      </c>
      <c r="CX644" s="20"/>
      <c r="CY644" s="20"/>
      <c r="CZ644" s="20"/>
      <c r="DA644" s="20"/>
      <c r="DB644" s="19">
        <v>1080000.0</v>
      </c>
      <c r="DC644" s="19">
        <v>1010000.0</v>
      </c>
      <c r="DD644" s="19">
        <v>936960.0</v>
      </c>
      <c r="DE644" s="19">
        <v>830120.0</v>
      </c>
      <c r="DF644" s="19">
        <v>3360000.0</v>
      </c>
      <c r="DG644" s="19">
        <v>2420000.0</v>
      </c>
      <c r="DH644" s="19">
        <v>2180000.0</v>
      </c>
      <c r="DI644" s="19">
        <v>2260000.0</v>
      </c>
      <c r="DJ644" s="19">
        <v>2320000.0</v>
      </c>
      <c r="DK644" s="19">
        <v>425.0</v>
      </c>
      <c r="DL644" s="19">
        <v>341.0</v>
      </c>
      <c r="DM644" s="19">
        <v>351.0</v>
      </c>
      <c r="DN644" s="20"/>
      <c r="DO644" s="20"/>
      <c r="DP644" s="19">
        <v>1200000.0</v>
      </c>
      <c r="DQ644" s="19">
        <v>608680.0</v>
      </c>
      <c r="DR644" s="19">
        <v>511200.0</v>
      </c>
      <c r="DS644" s="19">
        <v>497910.0</v>
      </c>
      <c r="DT644" s="19">
        <v>677920.0</v>
      </c>
      <c r="DU644" s="27"/>
      <c r="DV644" s="27"/>
      <c r="DW644" s="27"/>
      <c r="DX644" s="27"/>
      <c r="DY644" s="27"/>
      <c r="DZ644" s="19">
        <v>1080000.0</v>
      </c>
      <c r="EA644" s="19">
        <v>947990.0</v>
      </c>
      <c r="EB644" s="19">
        <v>845130.0</v>
      </c>
      <c r="EC644" s="19">
        <v>680450.0</v>
      </c>
      <c r="ED644" s="19">
        <v>446060.0</v>
      </c>
      <c r="EE644" s="21">
        <v>0.204</v>
      </c>
      <c r="EF644" s="21">
        <v>0.109</v>
      </c>
      <c r="EG644" s="21">
        <v>-0.095</v>
      </c>
      <c r="EH644" s="21">
        <v>-0.002</v>
      </c>
    </row>
    <row r="645">
      <c r="A645" s="9">
        <f t="shared" si="2"/>
        <v>643</v>
      </c>
      <c r="B645" s="10" t="s">
        <v>780</v>
      </c>
      <c r="C645" s="15">
        <v>2040000.0</v>
      </c>
      <c r="D645" s="15">
        <v>2050000.0</v>
      </c>
      <c r="E645" s="15">
        <v>2300000.0</v>
      </c>
      <c r="F645" s="15">
        <v>2460000.0</v>
      </c>
      <c r="G645" s="15">
        <v>2340000.0</v>
      </c>
      <c r="H645" s="15">
        <v>2890000.0</v>
      </c>
      <c r="I645" s="15">
        <v>2610000.0</v>
      </c>
      <c r="J645" s="15">
        <v>429890.0</v>
      </c>
      <c r="K645" s="15">
        <v>497140.0</v>
      </c>
      <c r="L645" s="15">
        <v>501830.0</v>
      </c>
      <c r="M645" s="15">
        <v>588470.0</v>
      </c>
      <c r="N645" s="15">
        <v>539920.0</v>
      </c>
      <c r="O645" s="15">
        <v>375440.0</v>
      </c>
      <c r="P645" s="15">
        <v>348720.0</v>
      </c>
      <c r="Q645" s="15">
        <v>342150.0</v>
      </c>
      <c r="R645" s="15">
        <v>303760.0</v>
      </c>
      <c r="S645" s="15">
        <v>297100.0</v>
      </c>
      <c r="T645" s="15">
        <v>11120.0</v>
      </c>
      <c r="U645" s="15">
        <v>9700.0</v>
      </c>
      <c r="V645" s="15">
        <v>10130.0</v>
      </c>
      <c r="W645" s="15">
        <v>11350.0</v>
      </c>
      <c r="X645" s="15">
        <v>10270.0</v>
      </c>
      <c r="Y645" s="15">
        <v>-14920.0</v>
      </c>
      <c r="Z645" s="15">
        <v>105930.0</v>
      </c>
      <c r="AA645" s="15">
        <v>-50840.0</v>
      </c>
      <c r="AB645" s="15">
        <v>153320.0</v>
      </c>
      <c r="AC645" s="15">
        <v>-14050.0</v>
      </c>
      <c r="AD645" s="15">
        <v>-51990.0</v>
      </c>
      <c r="AE645" s="15">
        <v>81200.0</v>
      </c>
      <c r="AF645" s="15">
        <v>87880.0</v>
      </c>
      <c r="AG645" s="15">
        <v>118410.0</v>
      </c>
      <c r="AH645" s="15">
        <v>212870.0</v>
      </c>
      <c r="AI645" s="15">
        <v>102610.0</v>
      </c>
      <c r="AJ645" s="15">
        <v>200590.0</v>
      </c>
      <c r="AK645" s="15">
        <v>210230.0</v>
      </c>
      <c r="AL645" s="15">
        <v>341700.0</v>
      </c>
      <c r="AM645" s="15">
        <v>292960.0</v>
      </c>
      <c r="AN645" s="15">
        <v>-49950.0</v>
      </c>
      <c r="AO645" s="15">
        <v>82430.0</v>
      </c>
      <c r="AP645" s="15">
        <v>65540.0</v>
      </c>
      <c r="AQ645" s="15">
        <v>47430.0</v>
      </c>
      <c r="AR645" s="15">
        <v>164960.0</v>
      </c>
      <c r="AS645" s="15">
        <v>49520.0</v>
      </c>
      <c r="AT645" s="15">
        <v>121310.0</v>
      </c>
      <c r="AU645" s="15">
        <v>232700.0</v>
      </c>
      <c r="AV645" s="15">
        <v>206580.0</v>
      </c>
      <c r="AW645" s="15">
        <v>185480.0</v>
      </c>
      <c r="AX645" s="15">
        <v>-77130.0</v>
      </c>
      <c r="AY645" s="15">
        <v>-70890.0</v>
      </c>
      <c r="AZ645" s="15">
        <v>-47310.0</v>
      </c>
      <c r="BA645" s="15">
        <v>-77280.0</v>
      </c>
      <c r="BB645" s="15">
        <v>-51220.0</v>
      </c>
      <c r="BC645" s="13"/>
      <c r="BD645" s="13"/>
      <c r="BE645" s="13"/>
      <c r="BF645" s="13"/>
      <c r="BG645" s="13"/>
      <c r="BH645" s="15">
        <v>39530.0</v>
      </c>
      <c r="BI645" s="15">
        <v>106560.0</v>
      </c>
      <c r="BJ645" s="15">
        <v>137060.0</v>
      </c>
      <c r="BK645" s="15">
        <v>127930.0</v>
      </c>
      <c r="BL645" s="15">
        <v>166920.0</v>
      </c>
      <c r="BM645" s="15">
        <v>236950.0</v>
      </c>
      <c r="BN645" s="15">
        <v>252710.0</v>
      </c>
      <c r="BO645" s="15">
        <v>225770.0</v>
      </c>
      <c r="BP645" s="15">
        <v>283170.0</v>
      </c>
      <c r="BQ645" s="15">
        <v>263110.0</v>
      </c>
      <c r="BR645" s="15">
        <v>364890.0</v>
      </c>
      <c r="BS645" s="15">
        <v>391530.0</v>
      </c>
      <c r="BT645" s="15">
        <v>342000.0</v>
      </c>
      <c r="BU645" s="15">
        <v>408560.0</v>
      </c>
      <c r="BV645" s="15">
        <v>397320.0</v>
      </c>
      <c r="BW645" s="15">
        <v>701790.0</v>
      </c>
      <c r="BX645" s="15">
        <v>1050000.0</v>
      </c>
      <c r="BY645" s="15">
        <v>874780.0</v>
      </c>
      <c r="BZ645" s="15">
        <v>900230.0</v>
      </c>
      <c r="CA645" s="15">
        <v>928800.0</v>
      </c>
      <c r="CB645" s="15">
        <v>328360.0</v>
      </c>
      <c r="CC645" s="15">
        <v>310170.0</v>
      </c>
      <c r="CD645" s="15">
        <v>291870.0</v>
      </c>
      <c r="CE645" s="15">
        <v>389840.0</v>
      </c>
      <c r="CF645" s="15">
        <v>353660.0</v>
      </c>
      <c r="CG645" s="15">
        <v>1010000.0</v>
      </c>
      <c r="CH645" s="15">
        <v>1020000.0</v>
      </c>
      <c r="CI645" s="15">
        <v>1020000.0</v>
      </c>
      <c r="CJ645" s="15">
        <v>1060000.0</v>
      </c>
      <c r="CK645" s="15">
        <v>1140000.0</v>
      </c>
      <c r="CL645" s="15">
        <v>2580000.0</v>
      </c>
      <c r="CM645" s="15">
        <v>2950000.0</v>
      </c>
      <c r="CN645" s="15">
        <v>2930000.0</v>
      </c>
      <c r="CO645" s="15">
        <v>3010000.0</v>
      </c>
      <c r="CP645" s="15">
        <v>3100000.0</v>
      </c>
      <c r="CQ645" s="15">
        <v>238300.0</v>
      </c>
      <c r="CR645" s="15">
        <v>229990.0</v>
      </c>
      <c r="CS645" s="15">
        <v>186190.0</v>
      </c>
      <c r="CT645" s="15">
        <v>251710.0</v>
      </c>
      <c r="CU645" s="15">
        <v>274450.0</v>
      </c>
      <c r="CV645" s="15">
        <v>383160.0</v>
      </c>
      <c r="CW645" s="15"/>
      <c r="CX645" s="13"/>
      <c r="CY645" s="13"/>
      <c r="CZ645" s="13"/>
      <c r="DA645" s="12"/>
      <c r="DB645" s="15">
        <v>383160.0</v>
      </c>
      <c r="DC645" s="15">
        <v>422450.0</v>
      </c>
      <c r="DD645" s="15">
        <v>340490.0</v>
      </c>
      <c r="DE645" s="15">
        <v>357030.0</v>
      </c>
      <c r="DF645" s="15">
        <v>1060000.0</v>
      </c>
      <c r="DG645" s="15">
        <v>1210000.0</v>
      </c>
      <c r="DH645" s="15">
        <v>1220000.0</v>
      </c>
      <c r="DI645" s="15">
        <v>1340000.0</v>
      </c>
      <c r="DJ645" s="15">
        <v>1370000.0</v>
      </c>
      <c r="DK645" s="15">
        <v>18890.0</v>
      </c>
      <c r="DL645" s="15">
        <v>20730.0</v>
      </c>
      <c r="DM645" s="15">
        <v>19000.0</v>
      </c>
      <c r="DN645" s="15">
        <v>20240.0</v>
      </c>
      <c r="DO645" s="15">
        <v>2310.0</v>
      </c>
      <c r="DP645" s="15">
        <v>613540.0</v>
      </c>
      <c r="DQ645" s="15">
        <v>687500.0</v>
      </c>
      <c r="DR645" s="15">
        <v>740140.0</v>
      </c>
      <c r="DS645" s="15">
        <v>836170.0</v>
      </c>
      <c r="DT645" s="15">
        <v>812610.0</v>
      </c>
      <c r="DU645" s="15"/>
      <c r="DV645" s="15"/>
      <c r="DW645" s="15"/>
      <c r="DX645" s="13"/>
      <c r="DY645" s="13"/>
      <c r="DZ645" s="15">
        <v>1520000.0</v>
      </c>
      <c r="EA645" s="15">
        <v>1740000.0</v>
      </c>
      <c r="EB645" s="15">
        <v>1710000.0</v>
      </c>
      <c r="EC645" s="15">
        <v>1660000.0</v>
      </c>
      <c r="ED645" s="15">
        <v>1730000.0</v>
      </c>
      <c r="EE645" s="17">
        <v>0.015</v>
      </c>
      <c r="EF645" s="17">
        <v>0.039</v>
      </c>
      <c r="EG645" s="17">
        <v>0.167</v>
      </c>
      <c r="EH645" s="17">
        <v>0.123</v>
      </c>
    </row>
    <row r="646">
      <c r="A646" s="9">
        <f t="shared" si="2"/>
        <v>644</v>
      </c>
      <c r="B646" s="22" t="s">
        <v>781</v>
      </c>
      <c r="C646" s="11">
        <v>375450.0</v>
      </c>
      <c r="D646" s="11">
        <v>235710.0</v>
      </c>
      <c r="E646" s="11">
        <v>195990.0</v>
      </c>
      <c r="F646" s="11">
        <v>151860.0</v>
      </c>
      <c r="G646" s="11">
        <v>316610.0</v>
      </c>
      <c r="H646" s="11">
        <v>146690.0</v>
      </c>
      <c r="I646" s="11">
        <v>135060.0</v>
      </c>
      <c r="J646" s="11">
        <v>150450.0</v>
      </c>
      <c r="K646" s="11">
        <v>141730.0</v>
      </c>
      <c r="L646" s="11">
        <v>285460.0</v>
      </c>
      <c r="M646" s="11">
        <v>113490.0</v>
      </c>
      <c r="N646" s="11">
        <v>105810.0</v>
      </c>
      <c r="O646" s="11">
        <v>187100.0</v>
      </c>
      <c r="P646" s="11">
        <v>255260.0</v>
      </c>
      <c r="Q646" s="11">
        <v>204460.0</v>
      </c>
      <c r="R646" s="11">
        <v>196700.0</v>
      </c>
      <c r="S646" s="11">
        <v>133260.0</v>
      </c>
      <c r="T646" s="11">
        <v>123600.0</v>
      </c>
      <c r="U646" s="11">
        <v>194450.0</v>
      </c>
      <c r="V646" s="11">
        <v>150640.0</v>
      </c>
      <c r="W646" s="11">
        <v>150840.0</v>
      </c>
      <c r="X646" s="11">
        <v>93240.0</v>
      </c>
      <c r="Y646" s="11">
        <v>-67610.0</v>
      </c>
      <c r="Z646" s="12"/>
      <c r="AA646" s="12"/>
      <c r="AB646" s="12"/>
      <c r="AC646" s="12"/>
      <c r="AD646" s="11">
        <v>-72250.0</v>
      </c>
      <c r="AE646" s="11">
        <v>-123990.0</v>
      </c>
      <c r="AF646" s="11">
        <v>61610.0</v>
      </c>
      <c r="AG646" s="11">
        <v>-101860.0</v>
      </c>
      <c r="AH646" s="11">
        <v>-32230.0</v>
      </c>
      <c r="AI646" s="11">
        <v>-32580.0</v>
      </c>
      <c r="AJ646" s="11">
        <v>-111140.0</v>
      </c>
      <c r="AK646" s="11">
        <v>83160.0</v>
      </c>
      <c r="AL646" s="11">
        <v>-80800.0</v>
      </c>
      <c r="AM646" s="11">
        <v>-25780.0</v>
      </c>
      <c r="AN646" s="11">
        <v>-72240.0</v>
      </c>
      <c r="AO646" s="11">
        <v>-80330.0</v>
      </c>
      <c r="AP646" s="11">
        <v>62970.0</v>
      </c>
      <c r="AQ646" s="11">
        <v>-103020.0</v>
      </c>
      <c r="AR646" s="11">
        <v>-32230.0</v>
      </c>
      <c r="AS646" s="11">
        <v>-85420.0</v>
      </c>
      <c r="AT646" s="11">
        <v>-49500.0</v>
      </c>
      <c r="AU646" s="11">
        <v>134050.0</v>
      </c>
      <c r="AV646" s="11">
        <v>-50380.0</v>
      </c>
      <c r="AW646" s="11">
        <v>-37080.0</v>
      </c>
      <c r="AX646" s="11">
        <v>-4040.0</v>
      </c>
      <c r="AY646" s="11">
        <v>-4660.0</v>
      </c>
      <c r="AZ646" s="11">
        <v>-1350.0</v>
      </c>
      <c r="BA646" s="11">
        <v>-3140.0</v>
      </c>
      <c r="BB646" s="11">
        <v>-2360.0</v>
      </c>
      <c r="BC646" s="12"/>
      <c r="BD646" s="12"/>
      <c r="BE646" s="12"/>
      <c r="BF646" s="12"/>
      <c r="BG646" s="12"/>
      <c r="BH646" s="11">
        <v>421260.0</v>
      </c>
      <c r="BI646" s="11">
        <v>354530.0</v>
      </c>
      <c r="BJ646" s="11">
        <v>469210.0</v>
      </c>
      <c r="BK646" s="11">
        <v>204980.0</v>
      </c>
      <c r="BL646" s="11">
        <v>108340.0</v>
      </c>
      <c r="BM646" s="11">
        <v>59440.0</v>
      </c>
      <c r="BN646" s="11">
        <v>30010.0</v>
      </c>
      <c r="BO646" s="11">
        <v>22130.0</v>
      </c>
      <c r="BP646" s="11">
        <v>15680.0</v>
      </c>
      <c r="BQ646" s="11">
        <v>32410.0</v>
      </c>
      <c r="BR646" s="11">
        <v>29360.0</v>
      </c>
      <c r="BS646" s="11">
        <v>22630.0</v>
      </c>
      <c r="BT646" s="11">
        <v>5150.0</v>
      </c>
      <c r="BU646" s="11">
        <v>14620.0</v>
      </c>
      <c r="BV646" s="11">
        <v>9490.0</v>
      </c>
      <c r="BW646" s="11">
        <v>543440.0</v>
      </c>
      <c r="BX646" s="11">
        <v>427850.0</v>
      </c>
      <c r="BY646" s="11">
        <v>510370.0</v>
      </c>
      <c r="BZ646" s="11">
        <v>256530.0</v>
      </c>
      <c r="CA646" s="11">
        <v>171770.0</v>
      </c>
      <c r="CB646" s="11">
        <v>10860.0</v>
      </c>
      <c r="CC646" s="11">
        <v>7470.0</v>
      </c>
      <c r="CD646" s="11">
        <v>3520.0</v>
      </c>
      <c r="CE646" s="11">
        <v>4260.0</v>
      </c>
      <c r="CF646" s="11">
        <v>3940.0</v>
      </c>
      <c r="CG646" s="12"/>
      <c r="CH646" s="12"/>
      <c r="CI646" s="12"/>
      <c r="CJ646" s="12"/>
      <c r="CK646" s="12"/>
      <c r="CL646" s="11">
        <v>565870.0</v>
      </c>
      <c r="CM646" s="11">
        <v>440250.0</v>
      </c>
      <c r="CN646" s="11">
        <v>519950.0</v>
      </c>
      <c r="CO646" s="11">
        <v>261520.0</v>
      </c>
      <c r="CP646" s="11">
        <v>181790.0</v>
      </c>
      <c r="CQ646" s="11">
        <v>6430.0</v>
      </c>
      <c r="CR646" s="11">
        <v>4080.0</v>
      </c>
      <c r="CS646" s="11">
        <v>7950.0</v>
      </c>
      <c r="CT646" s="11">
        <v>3580.0</v>
      </c>
      <c r="CU646" s="11">
        <v>4500.0</v>
      </c>
      <c r="CV646" s="11">
        <v>85640.0</v>
      </c>
      <c r="CW646" s="12"/>
      <c r="CX646" s="12"/>
      <c r="CY646" s="12"/>
      <c r="CZ646" s="12"/>
      <c r="DA646" s="12"/>
      <c r="DB646" s="11">
        <v>85640.0</v>
      </c>
      <c r="DC646" s="11">
        <v>149360.0</v>
      </c>
      <c r="DD646" s="11">
        <v>131330.0</v>
      </c>
      <c r="DE646" s="11">
        <v>54590.0</v>
      </c>
      <c r="DF646" s="11">
        <v>474110.0</v>
      </c>
      <c r="DG646" s="11">
        <v>191360.0</v>
      </c>
      <c r="DH646" s="11">
        <v>311580.0</v>
      </c>
      <c r="DI646" s="11">
        <v>294000.0</v>
      </c>
      <c r="DJ646" s="11">
        <v>138790.0</v>
      </c>
      <c r="DK646" s="11">
        <v>500.0</v>
      </c>
      <c r="DL646" s="11">
        <v>500.0</v>
      </c>
      <c r="DM646" s="11">
        <v>500.0</v>
      </c>
      <c r="DN646" s="11">
        <v>500.0</v>
      </c>
      <c r="DO646" s="24">
        <v>500.0</v>
      </c>
      <c r="DP646" s="11">
        <v>383050.0</v>
      </c>
      <c r="DQ646" s="11">
        <v>34870.0</v>
      </c>
      <c r="DR646" s="11">
        <v>125140.0</v>
      </c>
      <c r="DS646" s="11">
        <v>199230.0</v>
      </c>
      <c r="DT646" s="11">
        <v>27970.0</v>
      </c>
      <c r="DU646" s="13"/>
      <c r="DV646" s="12"/>
      <c r="DW646" s="12"/>
      <c r="DX646" s="13"/>
      <c r="DY646" s="13"/>
      <c r="DZ646" s="11">
        <v>91770.0</v>
      </c>
      <c r="EA646" s="11">
        <v>248890.0</v>
      </c>
      <c r="EB646" s="11">
        <v>208370.0</v>
      </c>
      <c r="EC646" s="11">
        <v>-32480.0</v>
      </c>
      <c r="ED646" s="11">
        <v>43000.0</v>
      </c>
      <c r="EE646" s="14">
        <v>0.048</v>
      </c>
      <c r="EF646" s="14">
        <v>0.627</v>
      </c>
      <c r="EG646" s="14">
        <v>-0.24</v>
      </c>
      <c r="EH646" s="14">
        <v>-0.564</v>
      </c>
    </row>
    <row r="647">
      <c r="A647" s="9">
        <f t="shared" si="2"/>
        <v>645</v>
      </c>
      <c r="B647" s="22" t="s">
        <v>782</v>
      </c>
      <c r="C647" s="11">
        <v>26000.0</v>
      </c>
      <c r="D647" s="11">
        <v>17950.0</v>
      </c>
      <c r="E647" s="11">
        <v>5780.0</v>
      </c>
      <c r="F647" s="11">
        <v>4750.0</v>
      </c>
      <c r="G647" s="11">
        <v>708.0</v>
      </c>
      <c r="H647" s="12"/>
      <c r="I647" s="12"/>
      <c r="J647" s="12"/>
      <c r="K647" s="12"/>
      <c r="L647" s="12"/>
      <c r="M647" s="11">
        <v>-198.0</v>
      </c>
      <c r="N647" s="12"/>
      <c r="O647" s="11">
        <v>61180.0</v>
      </c>
      <c r="P647" s="11">
        <v>31830.0</v>
      </c>
      <c r="Q647" s="11">
        <v>16870.0</v>
      </c>
      <c r="R647" s="11">
        <v>10950.0</v>
      </c>
      <c r="S647" s="12"/>
      <c r="T647" s="11">
        <v>38790.0</v>
      </c>
      <c r="U647" s="11">
        <v>26370.0</v>
      </c>
      <c r="V647" s="11">
        <v>13620.0</v>
      </c>
      <c r="W647" s="11">
        <v>7780.0</v>
      </c>
      <c r="X647" s="12"/>
      <c r="Y647" s="12"/>
      <c r="Z647" s="12"/>
      <c r="AA647" s="12"/>
      <c r="AB647" s="12"/>
      <c r="AC647" s="12"/>
      <c r="AD647" s="11">
        <v>-55570.0</v>
      </c>
      <c r="AE647" s="11">
        <v>-27370.0</v>
      </c>
      <c r="AF647" s="11">
        <v>-16830.0</v>
      </c>
      <c r="AG647" s="11">
        <v>-11410.0</v>
      </c>
      <c r="AH647" s="12"/>
      <c r="AI647" s="11">
        <v>-55400.0</v>
      </c>
      <c r="AJ647" s="11">
        <v>-27080.0</v>
      </c>
      <c r="AK647" s="11">
        <v>-16160.0</v>
      </c>
      <c r="AL647" s="11">
        <v>-10950.0</v>
      </c>
      <c r="AM647" s="12"/>
      <c r="AN647" s="11">
        <v>-55570.0</v>
      </c>
      <c r="AO647" s="11">
        <v>-27370.0</v>
      </c>
      <c r="AP647" s="11">
        <v>-16830.0</v>
      </c>
      <c r="AQ647" s="11">
        <v>-11410.0</v>
      </c>
      <c r="AR647" s="12"/>
      <c r="AS647" s="11">
        <v>-2880.0</v>
      </c>
      <c r="AT647" s="11">
        <v>-27130.0</v>
      </c>
      <c r="AU647" s="11">
        <v>1710.0</v>
      </c>
      <c r="AV647" s="11">
        <v>-10790.0</v>
      </c>
      <c r="AW647" s="12"/>
      <c r="AX647" s="11">
        <v>-3520.0</v>
      </c>
      <c r="AY647" s="11">
        <v>-663.0</v>
      </c>
      <c r="AZ647" s="11">
        <v>-2280.0</v>
      </c>
      <c r="BA647" s="11">
        <v>-553.0</v>
      </c>
      <c r="BB647" s="12"/>
      <c r="BC647" s="12"/>
      <c r="BD647" s="12"/>
      <c r="BE647" s="12"/>
      <c r="BF647" s="12"/>
      <c r="BG647" s="12"/>
      <c r="BH647" s="11">
        <v>148070.0</v>
      </c>
      <c r="BI647" s="11">
        <v>89490.0</v>
      </c>
      <c r="BJ647" s="11">
        <v>29420.0</v>
      </c>
      <c r="BK647" s="11">
        <v>985.0</v>
      </c>
      <c r="BL647" s="12"/>
      <c r="BM647" s="12"/>
      <c r="BN647" s="12"/>
      <c r="BO647" s="12"/>
      <c r="BP647" s="11">
        <v>6750.0</v>
      </c>
      <c r="BQ647" s="12"/>
      <c r="BR647" s="12"/>
      <c r="BS647" s="12"/>
      <c r="BT647" s="12"/>
      <c r="BU647" s="12"/>
      <c r="BV647" s="12"/>
      <c r="BW647" s="11">
        <v>150620.0</v>
      </c>
      <c r="BX647" s="11">
        <v>90220.0</v>
      </c>
      <c r="BY647" s="11">
        <v>29650.0</v>
      </c>
      <c r="BZ647" s="11">
        <v>8290.0</v>
      </c>
      <c r="CA647" s="12"/>
      <c r="CB647" s="11">
        <v>18400.0</v>
      </c>
      <c r="CC647" s="11">
        <v>3000.0</v>
      </c>
      <c r="CD647" s="11">
        <v>2090.0</v>
      </c>
      <c r="CE647" s="11">
        <v>90.0</v>
      </c>
      <c r="CF647" s="12"/>
      <c r="CG647" s="12"/>
      <c r="CH647" s="12"/>
      <c r="CI647" s="12"/>
      <c r="CJ647" s="12"/>
      <c r="CK647" s="12"/>
      <c r="CL647" s="11">
        <v>176600.0</v>
      </c>
      <c r="CM647" s="11">
        <v>102580.0</v>
      </c>
      <c r="CN647" s="11">
        <v>31900.0</v>
      </c>
      <c r="CO647" s="11">
        <v>8410.0</v>
      </c>
      <c r="CP647" s="12"/>
      <c r="CQ647" s="11">
        <v>2590.0</v>
      </c>
      <c r="CR647" s="11">
        <v>4360.0</v>
      </c>
      <c r="CS647" s="11">
        <v>1170.0</v>
      </c>
      <c r="CT647" s="11">
        <v>281.0</v>
      </c>
      <c r="CU647" s="12"/>
      <c r="CV647" s="11">
        <v>22510.0</v>
      </c>
      <c r="CW647" s="11">
        <v>1220.0</v>
      </c>
      <c r="CX647" s="12"/>
      <c r="CY647" s="12"/>
      <c r="CZ647" s="11">
        <v>2310.0</v>
      </c>
      <c r="DA647" s="12"/>
      <c r="DB647" s="11">
        <v>22510.0</v>
      </c>
      <c r="DC647" s="11">
        <v>11950.0</v>
      </c>
      <c r="DD647" s="11">
        <v>6920.0</v>
      </c>
      <c r="DE647" s="11">
        <v>3860.0</v>
      </c>
      <c r="DF647" s="11">
        <v>82380.0</v>
      </c>
      <c r="DG647" s="11">
        <v>26480.0</v>
      </c>
      <c r="DH647" s="11">
        <v>18970.0</v>
      </c>
      <c r="DI647" s="11">
        <v>3900.0</v>
      </c>
      <c r="DJ647" s="12"/>
      <c r="DK647" s="11">
        <v>7520.0</v>
      </c>
      <c r="DL647" s="11">
        <v>467.0</v>
      </c>
      <c r="DM647" s="12"/>
      <c r="DN647" s="12"/>
      <c r="DO647" s="12"/>
      <c r="DP647" s="11">
        <v>13730.0</v>
      </c>
      <c r="DQ647" s="12"/>
      <c r="DR647" s="12"/>
      <c r="DS647" s="12"/>
      <c r="DT647" s="12"/>
      <c r="DU647" s="13"/>
      <c r="DV647" s="11">
        <v>129580.0</v>
      </c>
      <c r="DW647" s="11">
        <v>39840.0</v>
      </c>
      <c r="DX647" s="11">
        <v>14930.0</v>
      </c>
      <c r="DY647" s="13"/>
      <c r="DZ647" s="11">
        <v>94220.0</v>
      </c>
      <c r="EA647" s="11">
        <v>76100.0</v>
      </c>
      <c r="EB647" s="11">
        <v>12930.0</v>
      </c>
      <c r="EC647" s="11">
        <v>4510.0</v>
      </c>
      <c r="ED647" s="12"/>
      <c r="EE647" s="14">
        <v>0.963</v>
      </c>
      <c r="EF647" s="14">
        <v>1.21</v>
      </c>
      <c r="EG647" s="14">
        <v>-0.085</v>
      </c>
      <c r="EH647" s="14">
        <v>-0.151</v>
      </c>
    </row>
    <row r="648">
      <c r="A648" s="9">
        <f t="shared" si="2"/>
        <v>646</v>
      </c>
      <c r="B648" s="25" t="s">
        <v>783</v>
      </c>
      <c r="C648" s="15">
        <v>6000000.0</v>
      </c>
      <c r="D648" s="15">
        <v>5380000.0</v>
      </c>
      <c r="E648" s="15">
        <v>4710000.0</v>
      </c>
      <c r="F648" s="15">
        <v>4580000.0</v>
      </c>
      <c r="G648" s="15">
        <v>5200000.0</v>
      </c>
      <c r="H648" s="15">
        <v>5010000.0</v>
      </c>
      <c r="I648" s="15">
        <v>4460000.0</v>
      </c>
      <c r="J648" s="15">
        <v>2340000.0</v>
      </c>
      <c r="K648" s="15">
        <v>2310000.0</v>
      </c>
      <c r="L648" s="15">
        <v>2710000.0</v>
      </c>
      <c r="M648" s="15">
        <v>2570000.0</v>
      </c>
      <c r="N648" s="15">
        <v>2250000.0</v>
      </c>
      <c r="O648" s="15">
        <v>1700000.0</v>
      </c>
      <c r="P648" s="15">
        <v>1880000.0</v>
      </c>
      <c r="Q648" s="15">
        <v>1900000.0</v>
      </c>
      <c r="R648" s="15">
        <v>1810000.0</v>
      </c>
      <c r="S648" s="15">
        <v>1620000.0</v>
      </c>
      <c r="T648" s="15">
        <v>262160.0</v>
      </c>
      <c r="U648" s="15">
        <v>246170.0</v>
      </c>
      <c r="V648" s="15">
        <v>269020.0</v>
      </c>
      <c r="W648" s="15">
        <v>266380.0</v>
      </c>
      <c r="X648" s="15">
        <v>242940.0</v>
      </c>
      <c r="Y648" s="15">
        <v>739560.0</v>
      </c>
      <c r="Z648" s="15">
        <v>343530.0</v>
      </c>
      <c r="AA648" s="15">
        <v>830080.0</v>
      </c>
      <c r="AB648" s="15">
        <v>762110.0</v>
      </c>
      <c r="AC648" s="15">
        <v>680090.0</v>
      </c>
      <c r="AD648" s="15">
        <v>594210.0</v>
      </c>
      <c r="AE648" s="15">
        <v>270400.0</v>
      </c>
      <c r="AF648" s="15">
        <v>786150.0</v>
      </c>
      <c r="AG648" s="15">
        <v>692490.0</v>
      </c>
      <c r="AH648" s="15">
        <v>603920.0</v>
      </c>
      <c r="AI648" s="15">
        <v>913870.0</v>
      </c>
      <c r="AJ648" s="15">
        <v>633220.0</v>
      </c>
      <c r="AK648" s="15">
        <v>1020000.0</v>
      </c>
      <c r="AL648" s="15">
        <v>951830.0</v>
      </c>
      <c r="AM648" s="15">
        <v>830060.0</v>
      </c>
      <c r="AN648" s="15">
        <v>520450.0</v>
      </c>
      <c r="AO648" s="15">
        <v>220430.0</v>
      </c>
      <c r="AP648" s="15">
        <v>396610.0</v>
      </c>
      <c r="AQ648" s="15">
        <v>551380.0</v>
      </c>
      <c r="AR648" s="15">
        <v>451840.0</v>
      </c>
      <c r="AS648" s="15">
        <v>653060.0</v>
      </c>
      <c r="AT648" s="15">
        <v>646000.0</v>
      </c>
      <c r="AU648" s="15">
        <v>724380.0</v>
      </c>
      <c r="AV648" s="15">
        <v>774870.0</v>
      </c>
      <c r="AW648" s="15">
        <v>552450.0</v>
      </c>
      <c r="AX648" s="15">
        <v>-133640.0</v>
      </c>
      <c r="AY648" s="15">
        <v>-140430.0</v>
      </c>
      <c r="AZ648" s="15">
        <v>-134880.0</v>
      </c>
      <c r="BA648" s="15">
        <v>-154900.0</v>
      </c>
      <c r="BB648" s="15">
        <v>-142020.0</v>
      </c>
      <c r="BC648" s="15">
        <v>-336600.0</v>
      </c>
      <c r="BD648" s="15">
        <v>-309260.0</v>
      </c>
      <c r="BE648" s="15">
        <v>-276970.0</v>
      </c>
      <c r="BF648" s="15">
        <v>-248880.0</v>
      </c>
      <c r="BG648" s="15">
        <v>-225800.0</v>
      </c>
      <c r="BH648" s="15">
        <v>4610000.0</v>
      </c>
      <c r="BI648" s="15">
        <v>1210000.0</v>
      </c>
      <c r="BJ648" s="15">
        <v>1610000.0</v>
      </c>
      <c r="BK648" s="15">
        <v>1310000.0</v>
      </c>
      <c r="BL648" s="15">
        <v>999290.0</v>
      </c>
      <c r="BM648" s="15">
        <v>1440000.0</v>
      </c>
      <c r="BN648" s="15">
        <v>1190000.0</v>
      </c>
      <c r="BO648" s="15">
        <v>1410000.0</v>
      </c>
      <c r="BP648" s="15">
        <v>1320000.0</v>
      </c>
      <c r="BQ648" s="15">
        <v>1220000.0</v>
      </c>
      <c r="BR648" s="15">
        <v>446110.0</v>
      </c>
      <c r="BS648" s="15">
        <v>443380.0</v>
      </c>
      <c r="BT648" s="15">
        <v>433290.0</v>
      </c>
      <c r="BU648" s="15">
        <v>387680.0</v>
      </c>
      <c r="BV648" s="15">
        <v>384490.0</v>
      </c>
      <c r="BW648" s="15">
        <v>6750000.0</v>
      </c>
      <c r="BX648" s="15">
        <v>3080000.0</v>
      </c>
      <c r="BY648" s="15">
        <v>3630000.0</v>
      </c>
      <c r="BZ648" s="15">
        <v>3230000.0</v>
      </c>
      <c r="CA648" s="15">
        <v>2870000.0</v>
      </c>
      <c r="CB648" s="15">
        <v>382250.0</v>
      </c>
      <c r="CC648" s="15">
        <v>256470.0</v>
      </c>
      <c r="CD648" s="15">
        <v>259710.0</v>
      </c>
      <c r="CE648" s="15">
        <v>267400.0</v>
      </c>
      <c r="CF648" s="15">
        <v>237530.0</v>
      </c>
      <c r="CG648" s="15">
        <v>494580.0</v>
      </c>
      <c r="CH648" s="15">
        <v>485880.0</v>
      </c>
      <c r="CI648" s="15">
        <v>573060.0</v>
      </c>
      <c r="CJ648" s="15">
        <v>570560.0</v>
      </c>
      <c r="CK648" s="15">
        <v>592700.0</v>
      </c>
      <c r="CL648" s="15">
        <v>8860000.0</v>
      </c>
      <c r="CM648" s="15">
        <v>5260000.0</v>
      </c>
      <c r="CN648" s="15">
        <v>5290000.0</v>
      </c>
      <c r="CO648" s="15">
        <v>5090000.0</v>
      </c>
      <c r="CP648" s="15">
        <v>4720000.0</v>
      </c>
      <c r="CQ648" s="15">
        <v>343930.0</v>
      </c>
      <c r="CR648" s="15">
        <v>333520.0</v>
      </c>
      <c r="CS648" s="15">
        <v>348480.0</v>
      </c>
      <c r="CT648" s="15">
        <v>319530.0</v>
      </c>
      <c r="CU648" s="15">
        <v>241210.0</v>
      </c>
      <c r="CV648" s="15">
        <v>1260000.0</v>
      </c>
      <c r="CW648" s="15">
        <v>31180.0</v>
      </c>
      <c r="CX648" s="15">
        <v>9740.0</v>
      </c>
      <c r="CY648" s="15">
        <v>154960.0</v>
      </c>
      <c r="CZ648" s="15">
        <v>172580.0</v>
      </c>
      <c r="DA648" s="15">
        <v>164560.0</v>
      </c>
      <c r="DB648" s="15">
        <v>1260000.0</v>
      </c>
      <c r="DC648" s="15">
        <v>1270000.0</v>
      </c>
      <c r="DD648" s="15">
        <v>1250000.0</v>
      </c>
      <c r="DE648" s="15">
        <v>1620000.0</v>
      </c>
      <c r="DF648" s="15">
        <v>5860000.0</v>
      </c>
      <c r="DG648" s="15">
        <v>3510000.0</v>
      </c>
      <c r="DH648" s="15">
        <v>3460000.0</v>
      </c>
      <c r="DI648" s="15">
        <v>3210000.0</v>
      </c>
      <c r="DJ648" s="15">
        <v>3020000.0</v>
      </c>
      <c r="DK648" s="15">
        <v>235720.0</v>
      </c>
      <c r="DL648" s="15">
        <v>242260.0</v>
      </c>
      <c r="DM648" s="15">
        <v>246880.0</v>
      </c>
      <c r="DN648" s="15">
        <v>293440.0</v>
      </c>
      <c r="DO648" s="15">
        <v>277590.0</v>
      </c>
      <c r="DP648" s="15">
        <v>4160000.0</v>
      </c>
      <c r="DQ648" s="15">
        <v>1700000.0</v>
      </c>
      <c r="DR648" s="15">
        <v>1690000.0</v>
      </c>
      <c r="DS648" s="15">
        <v>1200000.0</v>
      </c>
      <c r="DT648" s="15">
        <v>1550000.0</v>
      </c>
      <c r="DU648" s="13"/>
      <c r="DV648" s="12"/>
      <c r="DW648" s="12"/>
      <c r="DX648" s="13"/>
      <c r="DY648" s="13"/>
      <c r="DZ648" s="15">
        <v>3000000.0</v>
      </c>
      <c r="EA648" s="15">
        <v>1750000.0</v>
      </c>
      <c r="EB648" s="15">
        <v>1830000.0</v>
      </c>
      <c r="EC648" s="15">
        <v>1860000.0</v>
      </c>
      <c r="ED648" s="15">
        <v>1660000.0</v>
      </c>
      <c r="EE648" s="17">
        <v>0.112</v>
      </c>
      <c r="EF648" s="17">
        <v>0.093</v>
      </c>
      <c r="EG648" s="17">
        <v>-0.913</v>
      </c>
      <c r="EH648" s="17">
        <v>-0.184</v>
      </c>
    </row>
    <row r="649">
      <c r="A649" s="9">
        <f t="shared" si="2"/>
        <v>647</v>
      </c>
      <c r="B649" s="10" t="s">
        <v>784</v>
      </c>
      <c r="C649" s="15">
        <v>468630.0</v>
      </c>
      <c r="D649" s="15">
        <v>431520.0</v>
      </c>
      <c r="E649" s="15">
        <v>490220.0</v>
      </c>
      <c r="F649" s="15">
        <v>435330.0</v>
      </c>
      <c r="G649" s="15">
        <v>395210.0</v>
      </c>
      <c r="H649" s="15">
        <v>406360.0</v>
      </c>
      <c r="I649" s="15">
        <v>487640.0</v>
      </c>
      <c r="J649" s="15">
        <v>65500.0</v>
      </c>
      <c r="K649" s="15">
        <v>55840.0</v>
      </c>
      <c r="L649" s="15">
        <v>29710.0</v>
      </c>
      <c r="M649" s="15">
        <v>47580.0</v>
      </c>
      <c r="N649" s="15">
        <v>93660.0</v>
      </c>
      <c r="O649" s="15">
        <v>47220.0</v>
      </c>
      <c r="P649" s="15">
        <v>50310.0</v>
      </c>
      <c r="Q649" s="15">
        <v>46250.0</v>
      </c>
      <c r="R649" s="15">
        <v>43380.0</v>
      </c>
      <c r="S649" s="15">
        <v>46170.0</v>
      </c>
      <c r="T649" s="15">
        <v>3590.0</v>
      </c>
      <c r="U649" s="15">
        <v>3790.0</v>
      </c>
      <c r="V649" s="15">
        <v>3860.0</v>
      </c>
      <c r="W649" s="15">
        <v>3700.0</v>
      </c>
      <c r="X649" s="15">
        <v>3600.0</v>
      </c>
      <c r="Y649" s="15">
        <v>16650.0</v>
      </c>
      <c r="Z649" s="15">
        <v>0.0</v>
      </c>
      <c r="AA649" s="15">
        <v>0.0</v>
      </c>
      <c r="AB649" s="15">
        <v>0.0</v>
      </c>
      <c r="AC649" s="15">
        <v>0.0</v>
      </c>
      <c r="AD649" s="15">
        <v>13370.0</v>
      </c>
      <c r="AE649" s="15">
        <v>-4050.0</v>
      </c>
      <c r="AF649" s="15">
        <v>-17220.0</v>
      </c>
      <c r="AG649" s="15">
        <v>3750.0</v>
      </c>
      <c r="AH649" s="15">
        <v>47180.0</v>
      </c>
      <c r="AI649" s="15">
        <v>37410.0</v>
      </c>
      <c r="AJ649" s="15">
        <v>28680.0</v>
      </c>
      <c r="AK649" s="15">
        <v>5560.0</v>
      </c>
      <c r="AL649" s="15">
        <v>25230.0</v>
      </c>
      <c r="AM649" s="15">
        <v>67000.0</v>
      </c>
      <c r="AN649" s="15">
        <v>9700.0</v>
      </c>
      <c r="AO649" s="15">
        <v>-21850.0</v>
      </c>
      <c r="AP649" s="15">
        <v>-10290.0</v>
      </c>
      <c r="AQ649" s="15">
        <v>4970.0</v>
      </c>
      <c r="AR649" s="15">
        <v>30210.0</v>
      </c>
      <c r="AS649" s="15">
        <v>43050.0</v>
      </c>
      <c r="AT649" s="15">
        <v>-13740.0</v>
      </c>
      <c r="AU649" s="15">
        <v>7680.0</v>
      </c>
      <c r="AV649" s="15">
        <v>59140.0</v>
      </c>
      <c r="AW649" s="15">
        <v>48400.0</v>
      </c>
      <c r="AX649" s="15">
        <v>-10040.0</v>
      </c>
      <c r="AY649" s="15">
        <v>-11090.0</v>
      </c>
      <c r="AZ649" s="15">
        <v>-15010.0</v>
      </c>
      <c r="BA649" s="15">
        <v>-31630.0</v>
      </c>
      <c r="BB649" s="15">
        <v>-18550.0</v>
      </c>
      <c r="BC649" s="15">
        <v>-11010.0</v>
      </c>
      <c r="BD649" s="15">
        <v>-11010.0</v>
      </c>
      <c r="BE649" s="15">
        <v>-11010.0</v>
      </c>
      <c r="BF649" s="15">
        <v>-10990.0</v>
      </c>
      <c r="BG649" s="15">
        <v>-10950.0</v>
      </c>
      <c r="BH649" s="15">
        <v>31040.0</v>
      </c>
      <c r="BI649" s="15">
        <v>9800.0</v>
      </c>
      <c r="BJ649" s="15">
        <v>46330.0</v>
      </c>
      <c r="BK649" s="15">
        <v>64740.0</v>
      </c>
      <c r="BL649" s="15">
        <v>49050.0</v>
      </c>
      <c r="BM649" s="15">
        <v>78740.0</v>
      </c>
      <c r="BN649" s="15">
        <v>80680.0</v>
      </c>
      <c r="BO649" s="15">
        <v>61600.0</v>
      </c>
      <c r="BP649" s="15">
        <v>62150.0</v>
      </c>
      <c r="BQ649" s="15">
        <v>79290.0</v>
      </c>
      <c r="BR649" s="15">
        <v>258800.0</v>
      </c>
      <c r="BS649" s="15">
        <v>273050.0</v>
      </c>
      <c r="BT649" s="15">
        <v>244460.0</v>
      </c>
      <c r="BU649" s="15">
        <v>236560.0</v>
      </c>
      <c r="BV649" s="15">
        <v>247840.0</v>
      </c>
      <c r="BW649" s="15">
        <v>371870.0</v>
      </c>
      <c r="BX649" s="15">
        <v>366350.0</v>
      </c>
      <c r="BY649" s="15">
        <v>355170.0</v>
      </c>
      <c r="BZ649" s="15">
        <v>366260.0</v>
      </c>
      <c r="CA649" s="15">
        <v>385440.0</v>
      </c>
      <c r="CB649" s="15">
        <v>169970.0</v>
      </c>
      <c r="CC649" s="15">
        <v>179400.0</v>
      </c>
      <c r="CD649" s="15">
        <v>192560.0</v>
      </c>
      <c r="CE649" s="15">
        <v>199180.0</v>
      </c>
      <c r="CF649" s="15">
        <v>185350.0</v>
      </c>
      <c r="CG649" s="15">
        <v>4790.0</v>
      </c>
      <c r="CH649" s="15">
        <v>4790.0</v>
      </c>
      <c r="CI649" s="15">
        <v>4790.0</v>
      </c>
      <c r="CJ649" s="15">
        <v>4790.0</v>
      </c>
      <c r="CK649" s="15">
        <v>4790.0</v>
      </c>
      <c r="CL649" s="15">
        <v>593800.0</v>
      </c>
      <c r="CM649" s="15">
        <v>588690.0</v>
      </c>
      <c r="CN649" s="15">
        <v>621820.0</v>
      </c>
      <c r="CO649" s="15">
        <v>649600.0</v>
      </c>
      <c r="CP649" s="15">
        <v>638190.0</v>
      </c>
      <c r="CQ649" s="15">
        <v>34500.0</v>
      </c>
      <c r="CR649" s="15">
        <v>37140.0</v>
      </c>
      <c r="CS649" s="15">
        <v>32800.0</v>
      </c>
      <c r="CT649" s="15">
        <v>29930.0</v>
      </c>
      <c r="CU649" s="15">
        <v>29390.0</v>
      </c>
      <c r="CV649" s="15">
        <v>60080.0</v>
      </c>
      <c r="CW649" s="15">
        <v>0.0</v>
      </c>
      <c r="CX649" s="15">
        <v>0.0</v>
      </c>
      <c r="CY649" s="15">
        <v>0.0</v>
      </c>
      <c r="CZ649" s="15">
        <v>0.0</v>
      </c>
      <c r="DA649" s="15">
        <v>0.0</v>
      </c>
      <c r="DB649" s="15">
        <v>60080.0</v>
      </c>
      <c r="DC649" s="15">
        <v>62200.0</v>
      </c>
      <c r="DD649" s="15">
        <v>54700.0</v>
      </c>
      <c r="DE649" s="15">
        <v>55390.0</v>
      </c>
      <c r="DF649" s="15">
        <v>297530.0</v>
      </c>
      <c r="DG649" s="15">
        <v>255470.0</v>
      </c>
      <c r="DH649" s="15">
        <v>288050.0</v>
      </c>
      <c r="DI649" s="15">
        <v>338300.0</v>
      </c>
      <c r="DJ649" s="15">
        <v>296200.0</v>
      </c>
      <c r="DK649" s="15">
        <v>0.0</v>
      </c>
      <c r="DL649" s="15">
        <v>0.0</v>
      </c>
      <c r="DM649" s="15">
        <v>0.0</v>
      </c>
      <c r="DN649" s="15">
        <v>0.0</v>
      </c>
      <c r="DO649" s="15">
        <v>0.0</v>
      </c>
      <c r="DP649" s="15">
        <v>7960.0</v>
      </c>
      <c r="DQ649" s="15">
        <v>7930.0</v>
      </c>
      <c r="DR649" s="15">
        <v>7900.0</v>
      </c>
      <c r="DS649" s="15">
        <v>8260.0</v>
      </c>
      <c r="DT649" s="15">
        <v>4570.0</v>
      </c>
      <c r="DU649" s="15">
        <v>0.0</v>
      </c>
      <c r="DV649" s="15">
        <v>0.0</v>
      </c>
      <c r="DW649" s="15">
        <v>0.0</v>
      </c>
      <c r="DX649" s="15">
        <v>0.0</v>
      </c>
      <c r="DY649" s="15">
        <v>0.0</v>
      </c>
      <c r="DZ649" s="15">
        <v>296280.0</v>
      </c>
      <c r="EA649" s="15">
        <v>333220.0</v>
      </c>
      <c r="EB649" s="15">
        <v>333770.0</v>
      </c>
      <c r="EC649" s="15">
        <v>311300.0</v>
      </c>
      <c r="ED649" s="15">
        <v>341990.0</v>
      </c>
      <c r="EE649" s="17">
        <v>0.159</v>
      </c>
      <c r="EF649" s="17">
        <v>0.155</v>
      </c>
      <c r="EG649" s="17">
        <v>4.333</v>
      </c>
      <c r="EH649" s="17">
        <v>1.108</v>
      </c>
    </row>
    <row r="650">
      <c r="A650" s="9">
        <f t="shared" si="2"/>
        <v>648</v>
      </c>
      <c r="B650" s="25" t="s">
        <v>785</v>
      </c>
      <c r="C650" s="15">
        <v>6600000.0</v>
      </c>
      <c r="D650" s="15">
        <v>6320000.0</v>
      </c>
      <c r="E650" s="15">
        <v>6970000.0</v>
      </c>
      <c r="F650" s="15">
        <v>6800000.0</v>
      </c>
      <c r="G650" s="15">
        <v>6470000.0</v>
      </c>
      <c r="H650" s="15">
        <v>6030000.0</v>
      </c>
      <c r="I650" s="15">
        <v>5730000.0</v>
      </c>
      <c r="J650" s="15">
        <v>2780000.0</v>
      </c>
      <c r="K650" s="15">
        <v>2680000.0</v>
      </c>
      <c r="L650" s="15">
        <v>2540000.0</v>
      </c>
      <c r="M650" s="15">
        <v>2310000.0</v>
      </c>
      <c r="N650" s="15">
        <v>2190000.0</v>
      </c>
      <c r="O650" s="15">
        <v>1820000.0</v>
      </c>
      <c r="P650" s="15">
        <v>1750000.0</v>
      </c>
      <c r="Q650" s="15">
        <v>1610000.0</v>
      </c>
      <c r="R650" s="15">
        <v>1410000.0</v>
      </c>
      <c r="S650" s="15">
        <v>1330000.0</v>
      </c>
      <c r="T650" s="15">
        <v>51520.0</v>
      </c>
      <c r="U650" s="15">
        <v>59310.0</v>
      </c>
      <c r="V650" s="15">
        <v>65460.0</v>
      </c>
      <c r="W650" s="15">
        <v>70100.0</v>
      </c>
      <c r="X650" s="15">
        <v>62320.0</v>
      </c>
      <c r="Y650" s="15">
        <v>864410.0</v>
      </c>
      <c r="Z650" s="15">
        <v>-62690.0</v>
      </c>
      <c r="AA650" s="15">
        <v>-197790.0</v>
      </c>
      <c r="AB650" s="15">
        <v>-173590.0</v>
      </c>
      <c r="AC650" s="15">
        <v>-275330.0</v>
      </c>
      <c r="AD650" s="15">
        <v>679730.0</v>
      </c>
      <c r="AE650" s="15">
        <v>643580.0</v>
      </c>
      <c r="AF650" s="15">
        <v>537270.0</v>
      </c>
      <c r="AG650" s="15">
        <v>571200.0</v>
      </c>
      <c r="AH650" s="15">
        <v>473870.0</v>
      </c>
      <c r="AI650" s="15">
        <v>1090000.0</v>
      </c>
      <c r="AJ650" s="15">
        <v>1070000.0</v>
      </c>
      <c r="AK650" s="15">
        <v>1060000.0</v>
      </c>
      <c r="AL650" s="15">
        <v>1000000.0</v>
      </c>
      <c r="AM650" s="15">
        <v>962380.0</v>
      </c>
      <c r="AN650" s="15">
        <v>600720.0</v>
      </c>
      <c r="AO650" s="15">
        <v>539670.0</v>
      </c>
      <c r="AP650" s="15">
        <v>63990.0</v>
      </c>
      <c r="AQ650" s="15">
        <v>536930.0</v>
      </c>
      <c r="AR650" s="15">
        <v>428860.0</v>
      </c>
      <c r="AS650" s="15">
        <v>803430.0</v>
      </c>
      <c r="AT650" s="15">
        <v>643400.0</v>
      </c>
      <c r="AU650" s="15">
        <v>655720.0</v>
      </c>
      <c r="AV650" s="15">
        <v>605610.0</v>
      </c>
      <c r="AW650" s="15">
        <v>227010.0</v>
      </c>
      <c r="AX650" s="15">
        <v>-101080.0</v>
      </c>
      <c r="AY650" s="15">
        <v>-86290.0</v>
      </c>
      <c r="AZ650" s="15">
        <v>-87010.0</v>
      </c>
      <c r="BA650" s="15">
        <v>-83400.0</v>
      </c>
      <c r="BB650" s="15">
        <v>-99380.0</v>
      </c>
      <c r="BC650" s="15">
        <v>-216960.0</v>
      </c>
      <c r="BD650" s="15">
        <v>-216320.0</v>
      </c>
      <c r="BE650" s="15">
        <v>-219900.0</v>
      </c>
      <c r="BF650" s="15">
        <v>-167380.0</v>
      </c>
      <c r="BG650" s="15">
        <v>-161320.0</v>
      </c>
      <c r="BH650" s="15">
        <v>329920.0</v>
      </c>
      <c r="BI650" s="15">
        <v>455730.0</v>
      </c>
      <c r="BJ650" s="15">
        <v>421570.0</v>
      </c>
      <c r="BK650" s="15">
        <v>460250.0</v>
      </c>
      <c r="BL650" s="15">
        <v>319170.0</v>
      </c>
      <c r="BM650" s="15">
        <v>815210.0</v>
      </c>
      <c r="BN650" s="15">
        <v>870880.0</v>
      </c>
      <c r="BO650" s="15">
        <v>903320.0</v>
      </c>
      <c r="BP650" s="15">
        <v>814180.0</v>
      </c>
      <c r="BQ650" s="15">
        <v>680420.0</v>
      </c>
      <c r="BR650" s="15">
        <v>1910000.0</v>
      </c>
      <c r="BS650" s="15">
        <v>2060000.0</v>
      </c>
      <c r="BT650" s="15">
        <v>1870000.0</v>
      </c>
      <c r="BU650" s="15">
        <v>1840000.0</v>
      </c>
      <c r="BV650" s="15">
        <v>1810000.0</v>
      </c>
      <c r="BW650" s="15">
        <v>3220000.0</v>
      </c>
      <c r="BX650" s="15">
        <v>3540000.0</v>
      </c>
      <c r="BY650" s="15">
        <v>3390000.0</v>
      </c>
      <c r="BZ650" s="15">
        <v>3300000.0</v>
      </c>
      <c r="CA650" s="15">
        <v>2920000.0</v>
      </c>
      <c r="CB650" s="15">
        <v>1080000.0</v>
      </c>
      <c r="CC650" s="15">
        <v>607690.0</v>
      </c>
      <c r="CD650" s="15">
        <v>623990.0</v>
      </c>
      <c r="CE650" s="15">
        <v>692460.0</v>
      </c>
      <c r="CF650" s="15">
        <v>650460.0</v>
      </c>
      <c r="CG650" s="15">
        <v>1240000.0</v>
      </c>
      <c r="CH650" s="15">
        <v>1240000.0</v>
      </c>
      <c r="CI650" s="15">
        <v>1170000.0</v>
      </c>
      <c r="CJ650" s="15">
        <v>1100000.0</v>
      </c>
      <c r="CK650" s="15">
        <v>834320.0</v>
      </c>
      <c r="CL650" s="15">
        <v>7350000.0</v>
      </c>
      <c r="CM650" s="15">
        <v>7240000.0</v>
      </c>
      <c r="CN650" s="15">
        <v>6890000.0</v>
      </c>
      <c r="CO650" s="15">
        <v>6910000.0</v>
      </c>
      <c r="CP650" s="15">
        <v>5600000.0</v>
      </c>
      <c r="CQ650" s="15">
        <v>959010.0</v>
      </c>
      <c r="CR650" s="15">
        <v>1030000.0</v>
      </c>
      <c r="CS650" s="15">
        <v>867650.0</v>
      </c>
      <c r="CT650" s="15">
        <v>761650.0</v>
      </c>
      <c r="CU650" s="15">
        <v>672970.0</v>
      </c>
      <c r="CV650" s="15">
        <v>1770000.0</v>
      </c>
      <c r="CW650" s="15">
        <v>170340.0</v>
      </c>
      <c r="CX650" s="15">
        <v>5820.0</v>
      </c>
      <c r="CY650" s="15">
        <v>11870.0</v>
      </c>
      <c r="CZ650" s="15">
        <v>56400.0</v>
      </c>
      <c r="DA650" s="15">
        <v>117790.0</v>
      </c>
      <c r="DB650" s="15">
        <v>1770000.0</v>
      </c>
      <c r="DC650" s="15">
        <v>2050000.0</v>
      </c>
      <c r="DD650" s="15">
        <v>1780000.0</v>
      </c>
      <c r="DE650" s="15">
        <v>1600000.0</v>
      </c>
      <c r="DF650" s="15">
        <v>6120000.0</v>
      </c>
      <c r="DG650" s="15">
        <v>6370000.0</v>
      </c>
      <c r="DH650" s="15">
        <v>6210000.0</v>
      </c>
      <c r="DI650" s="15">
        <v>5680000.0</v>
      </c>
      <c r="DJ650" s="15">
        <v>4320000.0</v>
      </c>
      <c r="DK650" s="15">
        <v>2980.0</v>
      </c>
      <c r="DL650" s="15"/>
      <c r="DM650" s="15"/>
      <c r="DN650" s="12"/>
      <c r="DO650" s="15"/>
      <c r="DP650" s="15">
        <v>3620000.0</v>
      </c>
      <c r="DQ650" s="15">
        <v>3530000.0</v>
      </c>
      <c r="DR650" s="15">
        <v>3700000.0</v>
      </c>
      <c r="DS650" s="15">
        <v>3510000.0</v>
      </c>
      <c r="DT650" s="15">
        <v>2230000.0</v>
      </c>
      <c r="DU650" s="13"/>
      <c r="DV650" s="12"/>
      <c r="DW650" s="12"/>
      <c r="DX650" s="13"/>
      <c r="DY650" s="13"/>
      <c r="DZ650" s="15">
        <v>1240000.0</v>
      </c>
      <c r="EA650" s="15">
        <v>872130.0</v>
      </c>
      <c r="EB650" s="15">
        <v>686200.0</v>
      </c>
      <c r="EC650" s="15">
        <v>1220000.0</v>
      </c>
      <c r="ED650" s="15">
        <v>1280000.0</v>
      </c>
      <c r="EE650" s="17">
        <v>0.161</v>
      </c>
      <c r="EF650" s="17">
        <v>0.112</v>
      </c>
      <c r="EG650" s="17">
        <v>9.571</v>
      </c>
      <c r="EH650" s="17">
        <v>2.232</v>
      </c>
    </row>
    <row r="651">
      <c r="A651" s="9">
        <f t="shared" si="2"/>
        <v>649</v>
      </c>
      <c r="B651" s="22" t="s">
        <v>786</v>
      </c>
      <c r="C651" s="11">
        <v>110690.0</v>
      </c>
      <c r="D651" s="11">
        <v>99560.0</v>
      </c>
      <c r="E651" s="11">
        <v>116180.0</v>
      </c>
      <c r="F651" s="11">
        <v>120770.0</v>
      </c>
      <c r="G651" s="11">
        <v>77410.0</v>
      </c>
      <c r="H651" s="11">
        <v>104520.0</v>
      </c>
      <c r="I651" s="11">
        <v>108660.0</v>
      </c>
      <c r="J651" s="11">
        <v>58580.0</v>
      </c>
      <c r="K651" s="11">
        <v>57800.0</v>
      </c>
      <c r="L651" s="11">
        <v>37620.0</v>
      </c>
      <c r="M651" s="11">
        <v>45690.0</v>
      </c>
      <c r="N651" s="11">
        <v>45900.0</v>
      </c>
      <c r="O651" s="11">
        <v>56740.0</v>
      </c>
      <c r="P651" s="11">
        <v>56810.0</v>
      </c>
      <c r="Q651" s="11">
        <v>38250.0</v>
      </c>
      <c r="R651" s="11">
        <v>46690.0</v>
      </c>
      <c r="S651" s="11">
        <v>46850.0</v>
      </c>
      <c r="T651" s="11">
        <v>10720.0</v>
      </c>
      <c r="U651" s="11">
        <v>10990.0</v>
      </c>
      <c r="V651" s="11">
        <v>5650.0</v>
      </c>
      <c r="W651" s="11">
        <v>5390.0</v>
      </c>
      <c r="X651" s="11">
        <v>6420.0</v>
      </c>
      <c r="Y651" s="11">
        <v>377.0</v>
      </c>
      <c r="Z651" s="11">
        <v>-2420.0</v>
      </c>
      <c r="AA651" s="12"/>
      <c r="AB651" s="11">
        <v>-1910.0</v>
      </c>
      <c r="AC651" s="11">
        <v>-1990.0</v>
      </c>
      <c r="AD651" s="11">
        <v>-5500.0</v>
      </c>
      <c r="AE651" s="11">
        <v>-7980.0</v>
      </c>
      <c r="AF651" s="11">
        <v>-2620.0</v>
      </c>
      <c r="AG651" s="11">
        <v>-3080.0</v>
      </c>
      <c r="AH651" s="11">
        <v>-3610.0</v>
      </c>
      <c r="AI651" s="11">
        <v>9570.0</v>
      </c>
      <c r="AJ651" s="11">
        <v>8820.0</v>
      </c>
      <c r="AK651" s="11">
        <v>2280.0</v>
      </c>
      <c r="AL651" s="11">
        <v>3140.0</v>
      </c>
      <c r="AM651" s="11">
        <v>3650.0</v>
      </c>
      <c r="AN651" s="11">
        <v>-4690.0</v>
      </c>
      <c r="AO651" s="11">
        <v>-4300.0</v>
      </c>
      <c r="AP651" s="11">
        <v>-2020.0</v>
      </c>
      <c r="AQ651" s="11">
        <v>-4310.0</v>
      </c>
      <c r="AR651" s="11">
        <v>-19040.0</v>
      </c>
      <c r="AS651" s="11">
        <v>8050.0</v>
      </c>
      <c r="AT651" s="11">
        <v>2880.0</v>
      </c>
      <c r="AU651" s="11">
        <v>1060.0</v>
      </c>
      <c r="AV651" s="11">
        <v>5380.0</v>
      </c>
      <c r="AW651" s="11">
        <v>705.0</v>
      </c>
      <c r="AX651" s="11">
        <v>-1220.0</v>
      </c>
      <c r="AY651" s="11">
        <v>-1010.0</v>
      </c>
      <c r="AZ651" s="11">
        <v>-929.0</v>
      </c>
      <c r="BA651" s="11">
        <v>-1480.0</v>
      </c>
      <c r="BB651" s="11">
        <v>-2980.0</v>
      </c>
      <c r="BC651" s="12"/>
      <c r="BD651" s="12"/>
      <c r="BE651" s="12"/>
      <c r="BF651" s="12"/>
      <c r="BG651" s="12"/>
      <c r="BH651" s="11">
        <v>8340.0</v>
      </c>
      <c r="BI651" s="11">
        <v>8170.0</v>
      </c>
      <c r="BJ651" s="11">
        <v>5190.0</v>
      </c>
      <c r="BK651" s="11">
        <v>5600.0</v>
      </c>
      <c r="BL651" s="11">
        <v>6740.0</v>
      </c>
      <c r="BM651" s="11">
        <v>20700.0</v>
      </c>
      <c r="BN651" s="11">
        <v>21460.0</v>
      </c>
      <c r="BO651" s="11">
        <v>13380.0</v>
      </c>
      <c r="BP651" s="11">
        <v>15750.0</v>
      </c>
      <c r="BQ651" s="11">
        <v>17550.0</v>
      </c>
      <c r="BR651" s="11">
        <v>22060.0</v>
      </c>
      <c r="BS651" s="11">
        <v>25090.0</v>
      </c>
      <c r="BT651" s="11">
        <v>16850.0</v>
      </c>
      <c r="BU651" s="11">
        <v>19960.0</v>
      </c>
      <c r="BV651" s="11">
        <v>22340.0</v>
      </c>
      <c r="BW651" s="11">
        <v>53570.0</v>
      </c>
      <c r="BX651" s="11">
        <v>57830.0</v>
      </c>
      <c r="BY651" s="11">
        <v>47540.0</v>
      </c>
      <c r="BZ651" s="11">
        <v>45470.0</v>
      </c>
      <c r="CA651" s="11">
        <v>50550.0</v>
      </c>
      <c r="CB651" s="11">
        <v>13240.0</v>
      </c>
      <c r="CC651" s="11">
        <v>5900.0</v>
      </c>
      <c r="CD651" s="11">
        <v>3740.0</v>
      </c>
      <c r="CE651" s="11">
        <v>4300.0</v>
      </c>
      <c r="CF651" s="11">
        <v>5900.0</v>
      </c>
      <c r="CG651" s="11">
        <v>57380.0</v>
      </c>
      <c r="CH651" s="11">
        <v>57300.0</v>
      </c>
      <c r="CI651" s="11">
        <v>36340.0</v>
      </c>
      <c r="CJ651" s="11">
        <v>38030.0</v>
      </c>
      <c r="CK651" s="11">
        <v>40360.0</v>
      </c>
      <c r="CL651" s="11">
        <v>164870.0</v>
      </c>
      <c r="CM651" s="11">
        <v>168610.0</v>
      </c>
      <c r="CN651" s="11">
        <v>109350.0</v>
      </c>
      <c r="CO651" s="11">
        <v>107770.0</v>
      </c>
      <c r="CP651" s="11">
        <v>120050.0</v>
      </c>
      <c r="CQ651" s="11">
        <v>5340.0</v>
      </c>
      <c r="CR651" s="11">
        <v>7360.0</v>
      </c>
      <c r="CS651" s="11">
        <v>4410.0</v>
      </c>
      <c r="CT651" s="11">
        <v>6200.0</v>
      </c>
      <c r="CU651" s="11">
        <v>8780.0</v>
      </c>
      <c r="CV651" s="11">
        <v>25310.0</v>
      </c>
      <c r="CW651" s="11">
        <v>2420.0</v>
      </c>
      <c r="CX651" s="12"/>
      <c r="CY651" s="12"/>
      <c r="CZ651" s="12"/>
      <c r="DA651" s="12"/>
      <c r="DB651" s="11">
        <v>25310.0</v>
      </c>
      <c r="DC651" s="11">
        <v>21510.0</v>
      </c>
      <c r="DD651" s="11">
        <v>14040.0</v>
      </c>
      <c r="DE651" s="11">
        <v>14600.0</v>
      </c>
      <c r="DF651" s="11">
        <v>83180.0</v>
      </c>
      <c r="DG651" s="11">
        <v>85890.0</v>
      </c>
      <c r="DH651" s="11">
        <v>28450.0</v>
      </c>
      <c r="DI651" s="11">
        <v>35570.0</v>
      </c>
      <c r="DJ651" s="11">
        <v>42450.0</v>
      </c>
      <c r="DK651" s="12"/>
      <c r="DL651" s="12"/>
      <c r="DM651" s="12"/>
      <c r="DN651" s="12"/>
      <c r="DO651" s="12"/>
      <c r="DP651" s="11">
        <v>55140.0</v>
      </c>
      <c r="DQ651" s="11">
        <v>58800.0</v>
      </c>
      <c r="DR651" s="11">
        <v>8980.0</v>
      </c>
      <c r="DS651" s="11">
        <v>11370.0</v>
      </c>
      <c r="DT651" s="11">
        <v>16370.0</v>
      </c>
      <c r="DU651" s="13"/>
      <c r="DV651" s="12"/>
      <c r="DW651" s="12"/>
      <c r="DX651" s="13"/>
      <c r="DY651" s="13"/>
      <c r="DZ651" s="11">
        <v>81690.0</v>
      </c>
      <c r="EA651" s="11">
        <v>82720.0</v>
      </c>
      <c r="EB651" s="11">
        <v>80900.0</v>
      </c>
      <c r="EC651" s="11">
        <v>72200.0</v>
      </c>
      <c r="ED651" s="11">
        <v>77600.0</v>
      </c>
      <c r="EE651" s="14">
        <v>0.037</v>
      </c>
      <c r="EF651" s="14">
        <v>0.106</v>
      </c>
      <c r="EG651" s="14">
        <v>6.0</v>
      </c>
      <c r="EH651" s="14">
        <v>1.089</v>
      </c>
    </row>
    <row r="652">
      <c r="A652" s="9">
        <f t="shared" si="2"/>
        <v>650</v>
      </c>
      <c r="B652" s="10" t="s">
        <v>787</v>
      </c>
      <c r="C652" s="15">
        <v>1560000.0</v>
      </c>
      <c r="D652" s="15">
        <v>1480000.0</v>
      </c>
      <c r="E652" s="15">
        <v>1660000.0</v>
      </c>
      <c r="F652" s="15">
        <v>1920000.0</v>
      </c>
      <c r="G652" s="15">
        <v>1810000.0</v>
      </c>
      <c r="H652" s="15">
        <v>1520000.0</v>
      </c>
      <c r="I652" s="15">
        <v>1120000.0</v>
      </c>
      <c r="J652" s="15">
        <v>167750.0</v>
      </c>
      <c r="K652" s="15">
        <v>449460.0</v>
      </c>
      <c r="L652" s="15">
        <v>498440.0</v>
      </c>
      <c r="M652" s="15">
        <v>310330.0</v>
      </c>
      <c r="N652" s="15">
        <v>120270.0</v>
      </c>
      <c r="O652" s="15">
        <v>50250.0</v>
      </c>
      <c r="P652" s="15">
        <v>40750.0</v>
      </c>
      <c r="Q652" s="15">
        <v>60010.0</v>
      </c>
      <c r="R652" s="15">
        <v>55190.0</v>
      </c>
      <c r="S652" s="15">
        <v>42860.0</v>
      </c>
      <c r="T652" s="15">
        <v>0.0</v>
      </c>
      <c r="U652" s="15">
        <v>0.0</v>
      </c>
      <c r="V652" s="15">
        <v>0.0</v>
      </c>
      <c r="W652" s="15">
        <v>0.0</v>
      </c>
      <c r="X652" s="15">
        <v>0.0</v>
      </c>
      <c r="Y652" s="15">
        <v>-377470.0</v>
      </c>
      <c r="Z652" s="15">
        <v>395830.0</v>
      </c>
      <c r="AA652" s="15">
        <v>13900.0</v>
      </c>
      <c r="AB652" s="15">
        <v>219050.0</v>
      </c>
      <c r="AC652" s="15">
        <v>-464110.0</v>
      </c>
      <c r="AD652" s="15">
        <v>-600770.0</v>
      </c>
      <c r="AE652" s="15">
        <v>221430.0</v>
      </c>
      <c r="AF652" s="15">
        <v>224440.0</v>
      </c>
      <c r="AG652" s="15">
        <v>7430.0</v>
      </c>
      <c r="AH652" s="15">
        <v>-510520.0</v>
      </c>
      <c r="AI652" s="15">
        <v>564350.0</v>
      </c>
      <c r="AJ652" s="15">
        <v>827920.0</v>
      </c>
      <c r="AK652" s="15">
        <v>827150.0</v>
      </c>
      <c r="AL652" s="15">
        <v>646680.0</v>
      </c>
      <c r="AM652" s="15">
        <v>351410.0</v>
      </c>
      <c r="AN652" s="15">
        <v>-456200.0</v>
      </c>
      <c r="AO652" s="15">
        <v>110710.0</v>
      </c>
      <c r="AP652" s="15">
        <v>181320.0</v>
      </c>
      <c r="AQ652" s="15">
        <v>-46630.0</v>
      </c>
      <c r="AR652" s="15">
        <v>-424020.0</v>
      </c>
      <c r="AS652" s="15">
        <v>324060.0</v>
      </c>
      <c r="AT652" s="15">
        <v>533410.0</v>
      </c>
      <c r="AU652" s="15">
        <v>633070.0</v>
      </c>
      <c r="AV652" s="15">
        <v>462090.0</v>
      </c>
      <c r="AW652" s="15">
        <v>92930.0</v>
      </c>
      <c r="AX652" s="15">
        <v>-343930.0</v>
      </c>
      <c r="AY652" s="15">
        <v>-247430.0</v>
      </c>
      <c r="AZ652" s="15">
        <v>-324190.0</v>
      </c>
      <c r="BA652" s="15">
        <v>-255470.0</v>
      </c>
      <c r="BB652" s="15">
        <v>-627740.0</v>
      </c>
      <c r="BC652" s="15">
        <v>-5210.0</v>
      </c>
      <c r="BD652" s="15">
        <v>-5240.0</v>
      </c>
      <c r="BE652" s="15">
        <v>-4780.0</v>
      </c>
      <c r="BF652" s="15">
        <v>-4730.0</v>
      </c>
      <c r="BG652" s="15">
        <v>-4610.0</v>
      </c>
      <c r="BH652" s="15">
        <v>514140.0</v>
      </c>
      <c r="BI652" s="15">
        <v>718220.0</v>
      </c>
      <c r="BJ652" s="15">
        <v>450240.0</v>
      </c>
      <c r="BK652" s="15">
        <v>201510.0</v>
      </c>
      <c r="BL652" s="15">
        <v>97740.0</v>
      </c>
      <c r="BM652" s="15">
        <v>146900.0</v>
      </c>
      <c r="BN652" s="15">
        <v>162750.0</v>
      </c>
      <c r="BO652" s="15">
        <v>194870.0</v>
      </c>
      <c r="BP652" s="15">
        <v>227830.0</v>
      </c>
      <c r="BQ652" s="15">
        <v>327340.0</v>
      </c>
      <c r="BR652" s="15">
        <v>180010.0</v>
      </c>
      <c r="BS652" s="15">
        <v>161810.0</v>
      </c>
      <c r="BT652" s="15">
        <v>177520.0</v>
      </c>
      <c r="BU652" s="15">
        <v>155750.0</v>
      </c>
      <c r="BV652" s="15">
        <v>178550.0</v>
      </c>
      <c r="BW652" s="15">
        <v>859790.0</v>
      </c>
      <c r="BX652" s="15">
        <v>1050000.0</v>
      </c>
      <c r="BY652" s="15">
        <v>833890.0</v>
      </c>
      <c r="BZ652" s="15">
        <v>585510.0</v>
      </c>
      <c r="CA652" s="15">
        <v>604510.0</v>
      </c>
      <c r="CB652" s="15">
        <v>4750000.0</v>
      </c>
      <c r="CC652" s="15">
        <v>5150000.0</v>
      </c>
      <c r="CD652" s="15">
        <v>4940000.0</v>
      </c>
      <c r="CE652" s="15">
        <v>5160000.0</v>
      </c>
      <c r="CF652" s="15">
        <v>5380000.0</v>
      </c>
      <c r="CG652" s="15">
        <v>0.0</v>
      </c>
      <c r="CH652" s="15">
        <v>0.0</v>
      </c>
      <c r="CI652" s="15">
        <v>0.0</v>
      </c>
      <c r="CJ652" s="15">
        <v>0.0</v>
      </c>
      <c r="CK652" s="15">
        <v>0.0</v>
      </c>
      <c r="CL652" s="15">
        <v>5780000.0</v>
      </c>
      <c r="CM652" s="15">
        <v>6400000.0</v>
      </c>
      <c r="CN652" s="15">
        <v>5920000.0</v>
      </c>
      <c r="CO652" s="15">
        <v>5980000.0</v>
      </c>
      <c r="CP652" s="15">
        <v>6220000.0</v>
      </c>
      <c r="CQ652" s="15">
        <v>89140.0</v>
      </c>
      <c r="CR652" s="15">
        <v>83850.0</v>
      </c>
      <c r="CS652" s="15">
        <v>89380.0</v>
      </c>
      <c r="CT652" s="15">
        <v>107970.0</v>
      </c>
      <c r="CU652" s="15">
        <v>86620.0</v>
      </c>
      <c r="CV652" s="15">
        <v>508000.0</v>
      </c>
      <c r="CW652" s="15">
        <v>0.0</v>
      </c>
      <c r="CX652" s="15">
        <v>0.0</v>
      </c>
      <c r="CY652" s="15">
        <v>0.0</v>
      </c>
      <c r="CZ652" s="16">
        <v>0.0</v>
      </c>
      <c r="DA652" s="15">
        <v>0.0</v>
      </c>
      <c r="DB652" s="15">
        <v>508000.0</v>
      </c>
      <c r="DC652" s="15">
        <v>446840.0</v>
      </c>
      <c r="DD652" s="15">
        <v>518910.0</v>
      </c>
      <c r="DE652" s="15">
        <v>422520.0</v>
      </c>
      <c r="DF652" s="15">
        <v>3380000.0</v>
      </c>
      <c r="DG652" s="15">
        <v>3420000.0</v>
      </c>
      <c r="DH652" s="15">
        <v>3280000.0</v>
      </c>
      <c r="DI652" s="15">
        <v>3610000.0</v>
      </c>
      <c r="DJ652" s="15">
        <v>3740000.0</v>
      </c>
      <c r="DK652" s="15">
        <v>14640.0</v>
      </c>
      <c r="DL652" s="15">
        <v>20700.0</v>
      </c>
      <c r="DM652" s="15">
        <v>28140.0</v>
      </c>
      <c r="DN652" s="15">
        <v>41370.0</v>
      </c>
      <c r="DO652" s="15">
        <v>101030.0</v>
      </c>
      <c r="DP652" s="15">
        <v>1340000.0</v>
      </c>
      <c r="DQ652" s="15">
        <v>1410000.0</v>
      </c>
      <c r="DR652" s="15">
        <v>1310000.0</v>
      </c>
      <c r="DS652" s="15">
        <v>1630000.0</v>
      </c>
      <c r="DT652" s="15">
        <v>1680000.0</v>
      </c>
      <c r="DU652" s="16">
        <v>0.0</v>
      </c>
      <c r="DV652" s="15">
        <v>0.0</v>
      </c>
      <c r="DW652" s="15">
        <v>0.0</v>
      </c>
      <c r="DX652" s="16">
        <v>0.0</v>
      </c>
      <c r="DY652" s="16">
        <v>0.0</v>
      </c>
      <c r="DZ652" s="15">
        <v>2400000.0</v>
      </c>
      <c r="EA652" s="15">
        <v>2980000.0</v>
      </c>
      <c r="EB652" s="15">
        <v>2650000.0</v>
      </c>
      <c r="EC652" s="15">
        <v>2360000.0</v>
      </c>
      <c r="ED652" s="15">
        <v>2480000.0</v>
      </c>
      <c r="EE652" s="17">
        <v>0.189</v>
      </c>
      <c r="EF652" s="17">
        <v>0.276</v>
      </c>
      <c r="EG652" s="17">
        <v>0.0</v>
      </c>
      <c r="EH652" s="17">
        <v>-0.194</v>
      </c>
    </row>
    <row r="653">
      <c r="A653" s="9">
        <f t="shared" si="2"/>
        <v>651</v>
      </c>
      <c r="B653" s="32" t="s">
        <v>788</v>
      </c>
      <c r="C653" s="11">
        <v>5.486E7</v>
      </c>
      <c r="D653" s="11">
        <v>4.99E7</v>
      </c>
      <c r="E653" s="11">
        <v>5.134E7</v>
      </c>
      <c r="F653" s="11">
        <v>4.668E7</v>
      </c>
      <c r="G653" s="11">
        <v>4.361E7</v>
      </c>
      <c r="H653" s="11">
        <v>4.149E7</v>
      </c>
      <c r="I653" s="11">
        <v>3.968E7</v>
      </c>
      <c r="J653" s="11">
        <v>7720000.0</v>
      </c>
      <c r="K653" s="11">
        <v>7040000.0</v>
      </c>
      <c r="L653" s="11">
        <v>6520000.0</v>
      </c>
      <c r="M653" s="11">
        <v>6620000.0</v>
      </c>
      <c r="N653" s="11">
        <v>6260000.0</v>
      </c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1">
        <v>7010000.0</v>
      </c>
      <c r="Z653" s="11">
        <v>6630000.0</v>
      </c>
      <c r="AA653" s="11">
        <v>-39000.0</v>
      </c>
      <c r="AB653" s="11">
        <v>6430000.0</v>
      </c>
      <c r="AC653" s="11">
        <v>5530000.0</v>
      </c>
      <c r="AD653" s="11">
        <v>5240000.0</v>
      </c>
      <c r="AE653" s="11">
        <v>5340000.0</v>
      </c>
      <c r="AF653" s="11">
        <v>4380000.0</v>
      </c>
      <c r="AG653" s="11">
        <v>4810000.0</v>
      </c>
      <c r="AH653" s="11">
        <v>3960000.0</v>
      </c>
      <c r="AI653" s="11">
        <v>9810000.0</v>
      </c>
      <c r="AJ653" s="11">
        <v>8870000.0</v>
      </c>
      <c r="AK653" s="11">
        <v>8190000.0</v>
      </c>
      <c r="AL653" s="11">
        <v>8150000.0</v>
      </c>
      <c r="AM653" s="11">
        <v>7820000.0</v>
      </c>
      <c r="AN653" s="11">
        <v>3510000.0</v>
      </c>
      <c r="AO653" s="11">
        <v>3790000.0</v>
      </c>
      <c r="AP653" s="11">
        <v>2220000.0</v>
      </c>
      <c r="AQ653" s="11">
        <v>2890000.0</v>
      </c>
      <c r="AR653" s="11">
        <v>2130000.0</v>
      </c>
      <c r="AS653" s="11">
        <v>7600000.0</v>
      </c>
      <c r="AT653" s="11">
        <v>6760000.0</v>
      </c>
      <c r="AU653" s="11">
        <v>5430000.0</v>
      </c>
      <c r="AV653" s="11">
        <v>5650000.0</v>
      </c>
      <c r="AW653" s="11">
        <v>4730000.0</v>
      </c>
      <c r="AX653" s="11">
        <v>-4160000.0</v>
      </c>
      <c r="AY653" s="11">
        <v>-3570000.0</v>
      </c>
      <c r="AZ653" s="11">
        <v>-3020000.0</v>
      </c>
      <c r="BA653" s="11">
        <v>-2760000.0</v>
      </c>
      <c r="BB653" s="11">
        <v>-2380000.0</v>
      </c>
      <c r="BC653" s="11">
        <v>-550000.0</v>
      </c>
      <c r="BD653" s="11">
        <v>-487000.0</v>
      </c>
      <c r="BE653" s="12"/>
      <c r="BF653" s="12"/>
      <c r="BG653" s="12"/>
      <c r="BH653" s="11">
        <v>768000.0</v>
      </c>
      <c r="BI653" s="11">
        <v>549000.0</v>
      </c>
      <c r="BJ653" s="11">
        <v>786000.0</v>
      </c>
      <c r="BK653" s="11">
        <v>695000.0</v>
      </c>
      <c r="BL653" s="11">
        <v>791000.0</v>
      </c>
      <c r="BM653" s="11">
        <v>7390000.0</v>
      </c>
      <c r="BN653" s="11">
        <v>6800000.0</v>
      </c>
      <c r="BO653" s="11">
        <v>6510000.0</v>
      </c>
      <c r="BP653" s="11">
        <v>5840000.0</v>
      </c>
      <c r="BQ653" s="11">
        <v>5900000.0</v>
      </c>
      <c r="BR653" s="11">
        <v>1850000.0</v>
      </c>
      <c r="BS653" s="11">
        <v>1730000.0</v>
      </c>
      <c r="BT653" s="11">
        <v>1570000.0</v>
      </c>
      <c r="BU653" s="11">
        <v>1500000.0</v>
      </c>
      <c r="BV653" s="11">
        <v>1440000.0</v>
      </c>
      <c r="BW653" s="11">
        <v>1.12E7</v>
      </c>
      <c r="BX653" s="11">
        <v>1.021E7</v>
      </c>
      <c r="BY653" s="11">
        <v>9980000.0</v>
      </c>
      <c r="BZ653" s="11">
        <v>9090000.0</v>
      </c>
      <c r="CA653" s="11">
        <v>9230000.0</v>
      </c>
      <c r="CB653" s="11">
        <v>2.455E7</v>
      </c>
      <c r="CC653" s="11">
        <v>1.976E7</v>
      </c>
      <c r="CD653" s="11">
        <v>1.79E7</v>
      </c>
      <c r="CE653" s="11">
        <v>1.635E7</v>
      </c>
      <c r="CF653" s="11">
        <v>1.501E7</v>
      </c>
      <c r="CG653" s="11">
        <v>7940000.0</v>
      </c>
      <c r="CH653" s="11">
        <v>7610000.0</v>
      </c>
      <c r="CI653" s="11">
        <v>7040000.0</v>
      </c>
      <c r="CJ653" s="11">
        <v>6330000.0</v>
      </c>
      <c r="CK653" s="11">
        <v>6340000.0</v>
      </c>
      <c r="CL653" s="11">
        <v>4.506E7</v>
      </c>
      <c r="CM653" s="11">
        <v>3.921E7</v>
      </c>
      <c r="CN653" s="11">
        <v>3.659E7</v>
      </c>
      <c r="CO653" s="11">
        <v>3.376E7</v>
      </c>
      <c r="CP653" s="11">
        <v>3.274E7</v>
      </c>
      <c r="CQ653" s="11">
        <v>2910000.0</v>
      </c>
      <c r="CR653" s="11">
        <v>2580000.0</v>
      </c>
      <c r="CS653" s="11">
        <v>2610000.0</v>
      </c>
      <c r="CT653" s="11">
        <v>2320000.0</v>
      </c>
      <c r="CU653" s="11">
        <v>2170000.0</v>
      </c>
      <c r="CV653" s="11">
        <v>7760000.0</v>
      </c>
      <c r="CW653" s="11">
        <v>350000.0</v>
      </c>
      <c r="CX653" s="13"/>
      <c r="CY653" s="13"/>
      <c r="CZ653" s="13"/>
      <c r="DA653" s="12"/>
      <c r="DB653" s="11">
        <v>7760000.0</v>
      </c>
      <c r="DC653" s="11">
        <v>7570000.0</v>
      </c>
      <c r="DD653" s="11">
        <v>6160000.0</v>
      </c>
      <c r="DE653" s="11">
        <v>5830000.0</v>
      </c>
      <c r="DF653" s="11">
        <v>4.562E7</v>
      </c>
      <c r="DG653" s="11">
        <v>4.213E7</v>
      </c>
      <c r="DH653" s="11">
        <v>4.159E7</v>
      </c>
      <c r="DI653" s="11">
        <v>3.939E7</v>
      </c>
      <c r="DJ653" s="11">
        <v>3.879E7</v>
      </c>
      <c r="DK653" s="11">
        <v>564000.0</v>
      </c>
      <c r="DL653" s="11">
        <v>594000.0</v>
      </c>
      <c r="DM653" s="11">
        <v>617000.0</v>
      </c>
      <c r="DN653" s="11">
        <v>542000.0</v>
      </c>
      <c r="DO653" s="11">
        <v>610000.0</v>
      </c>
      <c r="DP653" s="11">
        <v>3.508E7</v>
      </c>
      <c r="DQ653" s="11">
        <v>3.203E7</v>
      </c>
      <c r="DR653" s="11">
        <v>3.286E7</v>
      </c>
      <c r="DS653" s="11">
        <v>3.116E7</v>
      </c>
      <c r="DT653" s="11">
        <v>3.026E7</v>
      </c>
      <c r="DU653" s="13"/>
      <c r="DV653" s="12"/>
      <c r="DW653" s="12"/>
      <c r="DX653" s="12"/>
      <c r="DY653" s="13"/>
      <c r="DZ653" s="11">
        <v>-2810000.0</v>
      </c>
      <c r="EA653" s="11">
        <v>-4950000.0</v>
      </c>
      <c r="EB653" s="11">
        <v>-6810000.0</v>
      </c>
      <c r="EC653" s="11">
        <v>-7300000.0</v>
      </c>
      <c r="ED653" s="11">
        <v>-7600000.0</v>
      </c>
      <c r="EE653" s="14">
        <v>0.12</v>
      </c>
      <c r="EF653" s="14">
        <v>0.116</v>
      </c>
      <c r="EG653" s="14">
        <v>9.282</v>
      </c>
      <c r="EH653" s="14">
        <v>2.303</v>
      </c>
    </row>
    <row r="654">
      <c r="A654" s="9">
        <f t="shared" si="2"/>
        <v>652</v>
      </c>
      <c r="B654" s="10" t="s">
        <v>789</v>
      </c>
      <c r="C654" s="15">
        <v>1070000.0</v>
      </c>
      <c r="D654" s="15">
        <v>831440.0</v>
      </c>
      <c r="E654" s="15">
        <v>1270000.0</v>
      </c>
      <c r="F654" s="15">
        <v>1380000.0</v>
      </c>
      <c r="G654" s="15">
        <v>1170000.0</v>
      </c>
      <c r="H654" s="15">
        <v>369020.0</v>
      </c>
      <c r="I654" s="15">
        <v>0.0</v>
      </c>
      <c r="J654" s="15">
        <v>420410.0</v>
      </c>
      <c r="K654" s="15">
        <v>553980.0</v>
      </c>
      <c r="L654" s="15">
        <v>472730.0</v>
      </c>
      <c r="M654" s="15">
        <v>-54600.0</v>
      </c>
      <c r="N654" s="15">
        <v>0.0</v>
      </c>
      <c r="O654" s="15">
        <v>37010.0</v>
      </c>
      <c r="P654" s="15">
        <v>36630.0</v>
      </c>
      <c r="Q654" s="15">
        <v>36450.0</v>
      </c>
      <c r="R654" s="15">
        <v>29520.0</v>
      </c>
      <c r="S654" s="15">
        <v>0.0</v>
      </c>
      <c r="T654" s="15">
        <v>0.0</v>
      </c>
      <c r="U654" s="15">
        <v>0.0</v>
      </c>
      <c r="V654" s="15">
        <v>0.0</v>
      </c>
      <c r="W654" s="15">
        <v>0.0</v>
      </c>
      <c r="X654" s="15">
        <v>0.0</v>
      </c>
      <c r="Y654" s="15">
        <v>396450.0</v>
      </c>
      <c r="Z654" s="15">
        <v>0.0</v>
      </c>
      <c r="AA654" s="15">
        <v>423400.0</v>
      </c>
      <c r="AB654" s="15">
        <v>-93180.0</v>
      </c>
      <c r="AC654" s="15">
        <v>0.0</v>
      </c>
      <c r="AD654" s="15">
        <v>367120.0</v>
      </c>
      <c r="AE654" s="15">
        <v>470970.0</v>
      </c>
      <c r="AF654" s="15">
        <v>416450.0</v>
      </c>
      <c r="AG654" s="15">
        <v>-111450.0</v>
      </c>
      <c r="AH654" s="15">
        <v>0.0</v>
      </c>
      <c r="AI654" s="15">
        <v>483890.0</v>
      </c>
      <c r="AJ654" s="15">
        <v>616520.0</v>
      </c>
      <c r="AK654" s="15">
        <v>513520.0</v>
      </c>
      <c r="AL654" s="15">
        <v>-3760.0</v>
      </c>
      <c r="AM654" s="15">
        <v>0.0</v>
      </c>
      <c r="AN654" s="15">
        <v>301700.0</v>
      </c>
      <c r="AO654" s="15">
        <v>696790.0</v>
      </c>
      <c r="AP654" s="15">
        <v>455050.0</v>
      </c>
      <c r="AQ654" s="15">
        <v>-111490.0</v>
      </c>
      <c r="AR654" s="15">
        <v>0.0</v>
      </c>
      <c r="AS654" s="15">
        <v>532810.0</v>
      </c>
      <c r="AT654" s="15">
        <v>559400.0</v>
      </c>
      <c r="AU654" s="15">
        <v>434510.0</v>
      </c>
      <c r="AV654" s="15">
        <v>-49890.0</v>
      </c>
      <c r="AW654" s="15">
        <v>0.0</v>
      </c>
      <c r="AX654" s="15">
        <v>-130670.0</v>
      </c>
      <c r="AY654" s="15">
        <v>-110560.0</v>
      </c>
      <c r="AZ654" s="15">
        <v>-92630.0</v>
      </c>
      <c r="BA654" s="15">
        <v>-16950.0</v>
      </c>
      <c r="BB654" s="15">
        <v>0.0</v>
      </c>
      <c r="BC654" s="15">
        <v>-240390.0</v>
      </c>
      <c r="BD654" s="15">
        <v>-360640.0</v>
      </c>
      <c r="BE654" s="15">
        <v>-796900.0</v>
      </c>
      <c r="BF654" s="16">
        <v>0.0</v>
      </c>
      <c r="BG654" s="16">
        <v>0.0</v>
      </c>
      <c r="BH654" s="15">
        <v>208060.0</v>
      </c>
      <c r="BI654" s="15">
        <v>223080.0</v>
      </c>
      <c r="BJ654" s="15">
        <v>54640.0</v>
      </c>
      <c r="BK654" s="15">
        <v>167550.0</v>
      </c>
      <c r="BL654" s="15">
        <v>0.0</v>
      </c>
      <c r="BM654" s="15">
        <v>114240.0</v>
      </c>
      <c r="BN654" s="15">
        <v>161440.0</v>
      </c>
      <c r="BO654" s="15">
        <v>132230.0</v>
      </c>
      <c r="BP654" s="15">
        <v>71800.0</v>
      </c>
      <c r="BQ654" s="15">
        <v>0.0</v>
      </c>
      <c r="BR654" s="15">
        <v>97900.0</v>
      </c>
      <c r="BS654" s="15">
        <v>56720.0</v>
      </c>
      <c r="BT654" s="15">
        <v>54290.0</v>
      </c>
      <c r="BU654" s="15">
        <v>39420.0</v>
      </c>
      <c r="BV654" s="15">
        <v>0.0</v>
      </c>
      <c r="BW654" s="15">
        <v>428430.0</v>
      </c>
      <c r="BX654" s="15">
        <v>449120.0</v>
      </c>
      <c r="BY654" s="15">
        <v>249270.0</v>
      </c>
      <c r="BZ654" s="15">
        <v>283630.0</v>
      </c>
      <c r="CA654" s="15">
        <v>0.0</v>
      </c>
      <c r="CB654" s="15">
        <v>716330.0</v>
      </c>
      <c r="CC654" s="15">
        <v>660740.0</v>
      </c>
      <c r="CD654" s="15">
        <v>666750.0</v>
      </c>
      <c r="CE654" s="15">
        <v>640190.0</v>
      </c>
      <c r="CF654" s="15">
        <v>0.0</v>
      </c>
      <c r="CG654" s="15">
        <v>0.0</v>
      </c>
      <c r="CH654" s="15">
        <v>0.0</v>
      </c>
      <c r="CI654" s="15">
        <v>0.0</v>
      </c>
      <c r="CJ654" s="15">
        <v>0.0</v>
      </c>
      <c r="CK654" s="15">
        <v>0.0</v>
      </c>
      <c r="CL654" s="15">
        <v>1440000.0</v>
      </c>
      <c r="CM654" s="15">
        <v>1500000.0</v>
      </c>
      <c r="CN654" s="15">
        <v>1110000.0</v>
      </c>
      <c r="CO654" s="15">
        <v>947630.0</v>
      </c>
      <c r="CP654" s="15">
        <v>0.0</v>
      </c>
      <c r="CQ654" s="15">
        <v>46440.0</v>
      </c>
      <c r="CR654" s="15">
        <v>33590.0</v>
      </c>
      <c r="CS654" s="15">
        <v>28080.0</v>
      </c>
      <c r="CT654" s="15">
        <v>6040.0</v>
      </c>
      <c r="CU654" s="15">
        <v>0.0</v>
      </c>
      <c r="CV654" s="15">
        <v>128950.0</v>
      </c>
      <c r="CW654" s="15">
        <v>0.0</v>
      </c>
      <c r="CX654" s="16">
        <v>0.0</v>
      </c>
      <c r="CY654" s="16">
        <v>0.0</v>
      </c>
      <c r="CZ654" s="16">
        <v>0.0</v>
      </c>
      <c r="DA654" s="15">
        <v>0.0</v>
      </c>
      <c r="DB654" s="15">
        <v>128950.0</v>
      </c>
      <c r="DC654" s="15">
        <v>124430.0</v>
      </c>
      <c r="DD654" s="15">
        <v>108220.0</v>
      </c>
      <c r="DE654" s="15">
        <v>64640.0</v>
      </c>
      <c r="DF654" s="15">
        <v>672180.0</v>
      </c>
      <c r="DG654" s="15">
        <v>786570.0</v>
      </c>
      <c r="DH654" s="15">
        <v>696920.0</v>
      </c>
      <c r="DI654" s="15">
        <v>194660.0</v>
      </c>
      <c r="DJ654" s="15">
        <v>0.0</v>
      </c>
      <c r="DK654" s="15">
        <v>0.0</v>
      </c>
      <c r="DL654" s="15">
        <v>0.0</v>
      </c>
      <c r="DM654" s="15">
        <v>0.0</v>
      </c>
      <c r="DN654" s="15">
        <v>2610.0</v>
      </c>
      <c r="DO654" s="15">
        <v>0.0</v>
      </c>
      <c r="DP654" s="15">
        <v>364720.0</v>
      </c>
      <c r="DQ654" s="15">
        <v>468230.0</v>
      </c>
      <c r="DR654" s="15">
        <v>342950.0</v>
      </c>
      <c r="DS654" s="15">
        <v>3730.0</v>
      </c>
      <c r="DT654" s="15">
        <v>0.0</v>
      </c>
      <c r="DU654" s="15">
        <v>0.0</v>
      </c>
      <c r="DV654" s="15">
        <v>0.0</v>
      </c>
      <c r="DW654" s="15">
        <v>0.0</v>
      </c>
      <c r="DX654" s="15">
        <v>0.0</v>
      </c>
      <c r="DY654" s="15">
        <v>0.0</v>
      </c>
      <c r="DZ654" s="15">
        <v>765580.0</v>
      </c>
      <c r="EA654" s="15">
        <v>712610.0</v>
      </c>
      <c r="EB654" s="15">
        <v>413020.0</v>
      </c>
      <c r="EC654" s="15">
        <v>752970.0</v>
      </c>
      <c r="ED654" s="15">
        <v>0.0</v>
      </c>
      <c r="EE654" s="17">
        <v>0.293</v>
      </c>
      <c r="EF654" s="17">
        <v>0.144</v>
      </c>
      <c r="EG654" s="17">
        <v>-0.093</v>
      </c>
      <c r="EH654" s="17">
        <v>0.212</v>
      </c>
    </row>
    <row r="655">
      <c r="A655" s="9">
        <f t="shared" si="2"/>
        <v>653</v>
      </c>
      <c r="B655" s="22" t="s">
        <v>790</v>
      </c>
      <c r="C655" s="11">
        <v>289640.0</v>
      </c>
      <c r="D655" s="11">
        <v>217310.0</v>
      </c>
      <c r="E655" s="11">
        <v>160600.0</v>
      </c>
      <c r="F655" s="11">
        <v>160570.0</v>
      </c>
      <c r="G655" s="11">
        <v>187300.0</v>
      </c>
      <c r="H655" s="11">
        <v>160140.0</v>
      </c>
      <c r="I655" s="11">
        <v>116640.0</v>
      </c>
      <c r="J655" s="11">
        <v>35070.0</v>
      </c>
      <c r="K655" s="11">
        <v>52620.0</v>
      </c>
      <c r="L655" s="11">
        <v>50770.0</v>
      </c>
      <c r="M655" s="11">
        <v>44280.0</v>
      </c>
      <c r="N655" s="11">
        <v>44130.0</v>
      </c>
      <c r="O655" s="11">
        <v>154620.0</v>
      </c>
      <c r="P655" s="11">
        <v>123160.0</v>
      </c>
      <c r="Q655" s="11">
        <v>92250.0</v>
      </c>
      <c r="R655" s="11">
        <v>78890.0</v>
      </c>
      <c r="S655" s="11">
        <v>50530.0</v>
      </c>
      <c r="T655" s="11">
        <v>113130.0</v>
      </c>
      <c r="U655" s="11">
        <v>86680.0</v>
      </c>
      <c r="V655" s="11">
        <v>58640.0</v>
      </c>
      <c r="W655" s="11">
        <v>49560.0</v>
      </c>
      <c r="X655" s="11">
        <v>31000.0</v>
      </c>
      <c r="Y655" s="12"/>
      <c r="Z655" s="12"/>
      <c r="AA655" s="12"/>
      <c r="AB655" s="12"/>
      <c r="AC655" s="12"/>
      <c r="AD655" s="11">
        <v>-110610.0</v>
      </c>
      <c r="AE655" s="11">
        <v>-64990.0</v>
      </c>
      <c r="AF655" s="11">
        <v>-41570.0</v>
      </c>
      <c r="AG655" s="11">
        <v>-35100.0</v>
      </c>
      <c r="AH655" s="11">
        <v>-6900.0</v>
      </c>
      <c r="AI655" s="11">
        <v>-115680.0</v>
      </c>
      <c r="AJ655" s="11">
        <v>-67850.0</v>
      </c>
      <c r="AK655" s="11">
        <v>-39480.0</v>
      </c>
      <c r="AL655" s="11">
        <v>-32900.0</v>
      </c>
      <c r="AM655" s="11">
        <v>-5100.0</v>
      </c>
      <c r="AN655" s="11">
        <v>-83110.0</v>
      </c>
      <c r="AO655" s="11">
        <v>-56100.0</v>
      </c>
      <c r="AP655" s="11">
        <v>-20760.0</v>
      </c>
      <c r="AQ655" s="11">
        <v>8670.0</v>
      </c>
      <c r="AR655" s="11">
        <v>-22910.0</v>
      </c>
      <c r="AS655" s="11">
        <v>-63290.0</v>
      </c>
      <c r="AT655" s="11">
        <v>-19690.0</v>
      </c>
      <c r="AU655" s="11">
        <v>-6940.0</v>
      </c>
      <c r="AV655" s="11">
        <v>-7090.0</v>
      </c>
      <c r="AW655" s="11">
        <v>-6140.0</v>
      </c>
      <c r="AX655" s="11">
        <v>-6710.0</v>
      </c>
      <c r="AY655" s="11">
        <v>-4770.0</v>
      </c>
      <c r="AZ655" s="11">
        <v>-3900.0</v>
      </c>
      <c r="BA655" s="11">
        <v>-3210.0</v>
      </c>
      <c r="BB655" s="11">
        <v>-2180.0</v>
      </c>
      <c r="BC655" s="12"/>
      <c r="BD655" s="12"/>
      <c r="BE655" s="12"/>
      <c r="BF655" s="12"/>
      <c r="BG655" s="12"/>
      <c r="BH655" s="11">
        <v>163930.0</v>
      </c>
      <c r="BI655" s="11">
        <v>236300.0</v>
      </c>
      <c r="BJ655" s="11">
        <v>264860.0</v>
      </c>
      <c r="BK655" s="11">
        <v>83920.0</v>
      </c>
      <c r="BL655" s="11">
        <v>21670.0</v>
      </c>
      <c r="BM655" s="11">
        <v>58260.0</v>
      </c>
      <c r="BN655" s="11">
        <v>34430.0</v>
      </c>
      <c r="BO655" s="11">
        <v>42530.0</v>
      </c>
      <c r="BP655" s="11">
        <v>39290.0</v>
      </c>
      <c r="BQ655" s="11">
        <v>31090.0</v>
      </c>
      <c r="BR655" s="11">
        <v>12230.0</v>
      </c>
      <c r="BS655" s="11">
        <v>9660.0</v>
      </c>
      <c r="BT655" s="11">
        <v>8710.0</v>
      </c>
      <c r="BU655" s="11">
        <v>10380.0</v>
      </c>
      <c r="BV655" s="11">
        <v>7530.0</v>
      </c>
      <c r="BW655" s="11">
        <v>239310.0</v>
      </c>
      <c r="BX655" s="11">
        <v>290940.0</v>
      </c>
      <c r="BY655" s="11">
        <v>319490.0</v>
      </c>
      <c r="BZ655" s="11">
        <v>135460.0</v>
      </c>
      <c r="CA655" s="11">
        <v>60840.0</v>
      </c>
      <c r="CB655" s="11">
        <v>19910.0</v>
      </c>
      <c r="CC655" s="11">
        <v>13050.0</v>
      </c>
      <c r="CD655" s="11">
        <v>10510.0</v>
      </c>
      <c r="CE655" s="11">
        <v>8060.0</v>
      </c>
      <c r="CF655" s="11">
        <v>5770.0</v>
      </c>
      <c r="CG655" s="11">
        <v>2350.0</v>
      </c>
      <c r="CH655" s="11">
        <v>2500.0</v>
      </c>
      <c r="CI655" s="11">
        <v>2450.0</v>
      </c>
      <c r="CJ655" s="11">
        <v>2540.0</v>
      </c>
      <c r="CK655" s="11">
        <v>2260.0</v>
      </c>
      <c r="CL655" s="11">
        <v>351100.0</v>
      </c>
      <c r="CM655" s="11">
        <v>417810.0</v>
      </c>
      <c r="CN655" s="11">
        <v>442010.0</v>
      </c>
      <c r="CO655" s="11">
        <v>277130.0</v>
      </c>
      <c r="CP655" s="11">
        <v>155880.0</v>
      </c>
      <c r="CQ655" s="11">
        <v>18090.0</v>
      </c>
      <c r="CR655" s="11">
        <v>20120.0</v>
      </c>
      <c r="CS655" s="11">
        <v>18010.0</v>
      </c>
      <c r="CT655" s="11">
        <v>24600.0</v>
      </c>
      <c r="CU655" s="11">
        <v>16340.0</v>
      </c>
      <c r="CV655" s="11">
        <v>85380.0</v>
      </c>
      <c r="CW655" s="11">
        <v>2700.0</v>
      </c>
      <c r="CX655" s="24">
        <v>339.0</v>
      </c>
      <c r="CY655" s="11">
        <v>28170.0</v>
      </c>
      <c r="CZ655" s="11">
        <v>17840.0</v>
      </c>
      <c r="DA655" s="11">
        <v>18590.0</v>
      </c>
      <c r="DB655" s="11">
        <v>85380.0</v>
      </c>
      <c r="DC655" s="11">
        <v>67120.0</v>
      </c>
      <c r="DD655" s="11">
        <v>77320.0</v>
      </c>
      <c r="DE655" s="11">
        <v>76980.0</v>
      </c>
      <c r="DF655" s="11">
        <v>114900.0</v>
      </c>
      <c r="DG655" s="11">
        <v>94110.0</v>
      </c>
      <c r="DH655" s="11">
        <v>83510.0</v>
      </c>
      <c r="DI655" s="11">
        <v>111990.0</v>
      </c>
      <c r="DJ655" s="11">
        <v>86490.0</v>
      </c>
      <c r="DK655" s="11">
        <v>74690.0</v>
      </c>
      <c r="DL655" s="11">
        <v>108600.0</v>
      </c>
      <c r="DM655" s="11">
        <v>106630.0</v>
      </c>
      <c r="DN655" s="11">
        <v>128280.0</v>
      </c>
      <c r="DO655" s="11">
        <v>81250.0</v>
      </c>
      <c r="DP655" s="11">
        <v>22550.0</v>
      </c>
      <c r="DQ655" s="11">
        <v>21450.0</v>
      </c>
      <c r="DR655" s="11">
        <v>428.0</v>
      </c>
      <c r="DS655" s="11">
        <v>28290.0</v>
      </c>
      <c r="DT655" s="11">
        <v>24370.0</v>
      </c>
      <c r="DU655" s="13"/>
      <c r="DV655" s="12"/>
      <c r="DW655" s="12"/>
      <c r="DX655" s="13"/>
      <c r="DY655" s="13"/>
      <c r="DZ655" s="11">
        <v>217410.0</v>
      </c>
      <c r="EA655" s="11">
        <v>305430.0</v>
      </c>
      <c r="EB655" s="11">
        <v>341330.0</v>
      </c>
      <c r="EC655" s="11">
        <v>149130.0</v>
      </c>
      <c r="ED655" s="11">
        <v>56550.0</v>
      </c>
      <c r="EE655" s="14">
        <v>0.197</v>
      </c>
      <c r="EF655" s="14">
        <v>0.409</v>
      </c>
      <c r="EG655" s="14">
        <v>-0.923</v>
      </c>
      <c r="EH655" s="23"/>
    </row>
    <row r="656">
      <c r="A656" s="9">
        <f t="shared" si="2"/>
        <v>654</v>
      </c>
      <c r="B656" s="32" t="s">
        <v>791</v>
      </c>
      <c r="C656" s="11">
        <v>1850000.0</v>
      </c>
      <c r="D656" s="11">
        <v>1790000.0</v>
      </c>
      <c r="E656" s="11">
        <v>1840000.0</v>
      </c>
      <c r="F656" s="11">
        <v>2000000.0</v>
      </c>
      <c r="G656" s="11">
        <v>1870000.0</v>
      </c>
      <c r="H656" s="11">
        <v>1560000.0</v>
      </c>
      <c r="I656" s="11">
        <v>1440000.0</v>
      </c>
      <c r="J656" s="11">
        <v>227900.0</v>
      </c>
      <c r="K656" s="11">
        <v>234440.0</v>
      </c>
      <c r="L656" s="11">
        <v>259870.0</v>
      </c>
      <c r="M656" s="11">
        <v>227800.0</v>
      </c>
      <c r="N656" s="11">
        <v>196410.0</v>
      </c>
      <c r="O656" s="11">
        <v>150020.0</v>
      </c>
      <c r="P656" s="11">
        <v>136600.0</v>
      </c>
      <c r="Q656" s="11">
        <v>132980.0</v>
      </c>
      <c r="R656" s="11">
        <v>110050.0</v>
      </c>
      <c r="S656" s="11">
        <v>107350.0</v>
      </c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1">
        <v>85100.0</v>
      </c>
      <c r="AE656" s="11">
        <v>99910.0</v>
      </c>
      <c r="AF656" s="11">
        <v>132970.0</v>
      </c>
      <c r="AG656" s="11">
        <v>120390.0</v>
      </c>
      <c r="AH656" s="11">
        <v>89760.0</v>
      </c>
      <c r="AI656" s="11">
        <v>91820.0</v>
      </c>
      <c r="AJ656" s="11">
        <v>107110.0</v>
      </c>
      <c r="AK656" s="11">
        <v>135780.0</v>
      </c>
      <c r="AL656" s="11">
        <v>125250.0</v>
      </c>
      <c r="AM656" s="11">
        <v>96710.0</v>
      </c>
      <c r="AN656" s="11">
        <v>64580.0</v>
      </c>
      <c r="AO656" s="11">
        <v>83520.0</v>
      </c>
      <c r="AP656" s="11">
        <v>88230.0</v>
      </c>
      <c r="AQ656" s="11">
        <v>77400.0</v>
      </c>
      <c r="AR656" s="11">
        <v>58020.0</v>
      </c>
      <c r="AS656" s="11">
        <v>93580.0</v>
      </c>
      <c r="AT656" s="11">
        <v>80030.0</v>
      </c>
      <c r="AU656" s="11">
        <v>7630.0</v>
      </c>
      <c r="AV656" s="11">
        <v>41400.0</v>
      </c>
      <c r="AW656" s="11">
        <v>63360.0</v>
      </c>
      <c r="AX656" s="11">
        <v>-4370.0</v>
      </c>
      <c r="AY656" s="11">
        <v>-4940.0</v>
      </c>
      <c r="AZ656" s="11">
        <v>-5400.0</v>
      </c>
      <c r="BA656" s="11">
        <v>-5440.0</v>
      </c>
      <c r="BB656" s="11">
        <v>-5000.0</v>
      </c>
      <c r="BC656" s="11">
        <v>-58950.0</v>
      </c>
      <c r="BD656" s="11">
        <v>-57200.0</v>
      </c>
      <c r="BE656" s="11">
        <v>-55240.0</v>
      </c>
      <c r="BF656" s="11">
        <v>-53340.0</v>
      </c>
      <c r="BG656" s="11">
        <v>-51380.0</v>
      </c>
      <c r="BH656" s="11">
        <v>118040.0</v>
      </c>
      <c r="BI656" s="11">
        <v>102390.0</v>
      </c>
      <c r="BJ656" s="11">
        <v>82780.0</v>
      </c>
      <c r="BK656" s="11">
        <v>91580.0</v>
      </c>
      <c r="BL656" s="11">
        <v>102690.0</v>
      </c>
      <c r="BM656" s="11">
        <v>340930.0</v>
      </c>
      <c r="BN656" s="11">
        <v>341840.0</v>
      </c>
      <c r="BO656" s="11">
        <v>378720.0</v>
      </c>
      <c r="BP656" s="11">
        <v>271280.0</v>
      </c>
      <c r="BQ656" s="11">
        <v>214850.0</v>
      </c>
      <c r="BR656" s="11">
        <v>36520.0</v>
      </c>
      <c r="BS656" s="11">
        <v>41440.0</v>
      </c>
      <c r="BT656" s="11">
        <v>42390.0</v>
      </c>
      <c r="BU656" s="11">
        <v>37800.0</v>
      </c>
      <c r="BV656" s="11">
        <v>36310.0</v>
      </c>
      <c r="BW656" s="11">
        <v>515730.0</v>
      </c>
      <c r="BX656" s="11">
        <v>508140.0</v>
      </c>
      <c r="BY656" s="11">
        <v>527410.0</v>
      </c>
      <c r="BZ656" s="11">
        <v>414620.0</v>
      </c>
      <c r="CA656" s="11">
        <v>365950.0</v>
      </c>
      <c r="CB656" s="11">
        <v>28820.0</v>
      </c>
      <c r="CC656" s="11">
        <v>12900.0</v>
      </c>
      <c r="CD656" s="11">
        <v>13510.0</v>
      </c>
      <c r="CE656" s="11">
        <v>13460.0</v>
      </c>
      <c r="CF656" s="11">
        <v>13090.0</v>
      </c>
      <c r="CG656" s="11">
        <v>51080.0</v>
      </c>
      <c r="CH656" s="11">
        <v>51080.0</v>
      </c>
      <c r="CI656" s="11">
        <v>51080.0</v>
      </c>
      <c r="CJ656" s="11">
        <v>44440.0</v>
      </c>
      <c r="CK656" s="11">
        <v>44440.0</v>
      </c>
      <c r="CL656" s="11">
        <v>730710.0</v>
      </c>
      <c r="CM656" s="11">
        <v>699810.0</v>
      </c>
      <c r="CN656" s="11">
        <v>683270.0</v>
      </c>
      <c r="CO656" s="11">
        <v>538430.0</v>
      </c>
      <c r="CP656" s="11">
        <v>480950.0</v>
      </c>
      <c r="CQ656" s="11">
        <v>54420.0</v>
      </c>
      <c r="CR656" s="11">
        <v>61470.0</v>
      </c>
      <c r="CS656" s="11">
        <v>74460.0</v>
      </c>
      <c r="CT656" s="11">
        <v>42910.0</v>
      </c>
      <c r="CU656" s="11">
        <v>41470.0</v>
      </c>
      <c r="CV656" s="11">
        <v>148650.0</v>
      </c>
      <c r="CW656" s="11">
        <v>15180.0</v>
      </c>
      <c r="CX656" s="11">
        <v>30000.0</v>
      </c>
      <c r="CY656" s="11">
        <v>35380.0</v>
      </c>
      <c r="CZ656" s="12"/>
      <c r="DA656" s="12"/>
      <c r="DB656" s="11">
        <v>148650.0</v>
      </c>
      <c r="DC656" s="11">
        <v>163390.0</v>
      </c>
      <c r="DD656" s="11">
        <v>184170.0</v>
      </c>
      <c r="DE656" s="11">
        <v>100870.0</v>
      </c>
      <c r="DF656" s="11">
        <v>270410.0</v>
      </c>
      <c r="DG656" s="11">
        <v>259030.0</v>
      </c>
      <c r="DH656" s="11">
        <v>283320.0</v>
      </c>
      <c r="DI656" s="11">
        <v>199590.0</v>
      </c>
      <c r="DJ656" s="11">
        <v>184490.0</v>
      </c>
      <c r="DK656" s="12"/>
      <c r="DL656" s="12"/>
      <c r="DM656" s="12"/>
      <c r="DN656" s="12"/>
      <c r="DO656" s="12"/>
      <c r="DP656" s="11">
        <v>11650.0</v>
      </c>
      <c r="DQ656" s="12"/>
      <c r="DR656" s="12"/>
      <c r="DS656" s="12"/>
      <c r="DT656" s="12"/>
      <c r="DU656" s="13"/>
      <c r="DV656" s="12"/>
      <c r="DW656" s="12"/>
      <c r="DX656" s="12"/>
      <c r="DY656" s="13"/>
      <c r="DZ656" s="11">
        <v>460310.0</v>
      </c>
      <c r="EA656" s="11">
        <v>440780.0</v>
      </c>
      <c r="EB656" s="11">
        <v>399950.0</v>
      </c>
      <c r="EC656" s="11">
        <v>338840.0</v>
      </c>
      <c r="ED656" s="11">
        <v>296460.0</v>
      </c>
      <c r="EE656" s="14">
        <v>0.039</v>
      </c>
      <c r="EF656" s="14">
        <v>0.114</v>
      </c>
      <c r="EG656" s="14">
        <v>0.192</v>
      </c>
      <c r="EH656" s="14">
        <v>0.031</v>
      </c>
    </row>
    <row r="657">
      <c r="A657" s="9">
        <f t="shared" si="2"/>
        <v>655</v>
      </c>
      <c r="B657" s="32" t="s">
        <v>792</v>
      </c>
      <c r="C657" s="11">
        <v>1.2099E8</v>
      </c>
      <c r="D657" s="11">
        <v>1.182E8</v>
      </c>
      <c r="E657" s="11">
        <v>1.1023E8</v>
      </c>
      <c r="F657" s="11">
        <v>1.082E8</v>
      </c>
      <c r="G657" s="11">
        <v>1.009E8</v>
      </c>
      <c r="H657" s="11">
        <v>9.46E7</v>
      </c>
      <c r="I657" s="11">
        <v>8.852E7</v>
      </c>
      <c r="J657" s="11">
        <v>3.558E7</v>
      </c>
      <c r="K657" s="11">
        <v>3.529E7</v>
      </c>
      <c r="L657" s="11">
        <v>3.255E7</v>
      </c>
      <c r="M657" s="11">
        <v>3.056E7</v>
      </c>
      <c r="N657" s="11">
        <v>2.858E7</v>
      </c>
      <c r="O657" s="11">
        <v>1.974E7</v>
      </c>
      <c r="P657" s="11">
        <v>1.951E7</v>
      </c>
      <c r="Q657" s="11">
        <v>1.769E7</v>
      </c>
      <c r="R657" s="11">
        <v>1.71E7</v>
      </c>
      <c r="S657" s="11">
        <v>1.667E7</v>
      </c>
      <c r="T657" s="12"/>
      <c r="U657" s="12"/>
      <c r="V657" s="12"/>
      <c r="W657" s="12"/>
      <c r="X657" s="12"/>
      <c r="Y657" s="11"/>
      <c r="Z657" s="11">
        <v>1.553E7</v>
      </c>
      <c r="AA657" s="11">
        <v>1.468E7</v>
      </c>
      <c r="AB657" s="11">
        <v>1.343E7</v>
      </c>
      <c r="AC657" s="11">
        <v>-128000.0</v>
      </c>
      <c r="AD657" s="11">
        <v>1.472E7</v>
      </c>
      <c r="AE657" s="11">
        <v>1.456E7</v>
      </c>
      <c r="AF657" s="11">
        <v>1.37E7</v>
      </c>
      <c r="AG657" s="11">
        <v>1.249E7</v>
      </c>
      <c r="AH657" s="11">
        <v>1.102E7</v>
      </c>
      <c r="AI657" s="11">
        <v>1.814E7</v>
      </c>
      <c r="AJ657" s="11">
        <v>1.793E7</v>
      </c>
      <c r="AK657" s="11">
        <v>1.691E7</v>
      </c>
      <c r="AL657" s="11">
        <v>1.544E7</v>
      </c>
      <c r="AM657" s="11">
        <v>1.377E7</v>
      </c>
      <c r="AN657" s="11">
        <v>1.124E7</v>
      </c>
      <c r="AO657" s="11">
        <v>1.112E7</v>
      </c>
      <c r="AP657" s="11">
        <v>8630000.0</v>
      </c>
      <c r="AQ657" s="11">
        <v>7960000.0</v>
      </c>
      <c r="AR657" s="11">
        <v>7010000.0</v>
      </c>
      <c r="AS657" s="11">
        <v>1.372E7</v>
      </c>
      <c r="AT657" s="11">
        <v>1.304E7</v>
      </c>
      <c r="AU657" s="11">
        <v>1.203E7</v>
      </c>
      <c r="AV657" s="11">
        <v>9780000.0</v>
      </c>
      <c r="AW657" s="11">
        <v>9370000.0</v>
      </c>
      <c r="AX657" s="11">
        <v>-2680000.0</v>
      </c>
      <c r="AY657" s="11">
        <v>-2440000.0</v>
      </c>
      <c r="AZ657" s="11">
        <v>-1900000.0</v>
      </c>
      <c r="BA657" s="11">
        <v>-1620000.0</v>
      </c>
      <c r="BB657" s="11">
        <v>-1500000.0</v>
      </c>
      <c r="BC657" s="11">
        <v>-5960000.0</v>
      </c>
      <c r="BD657" s="11">
        <v>-4700000.0</v>
      </c>
      <c r="BE657" s="11">
        <v>-4210000.0</v>
      </c>
      <c r="BF657" s="11">
        <v>-3400000.0</v>
      </c>
      <c r="BG657" s="11">
        <v>-3030000.0</v>
      </c>
      <c r="BH657" s="11">
        <v>2130000.0</v>
      </c>
      <c r="BI657" s="11">
        <v>1780000.0</v>
      </c>
      <c r="BJ657" s="11">
        <v>3600000.0</v>
      </c>
      <c r="BK657" s="11">
        <v>2540000.0</v>
      </c>
      <c r="BL657" s="11">
        <v>2220000.0</v>
      </c>
      <c r="BM657" s="11">
        <v>2110000.0</v>
      </c>
      <c r="BN657" s="11">
        <v>1940000.0</v>
      </c>
      <c r="BO657" s="11">
        <v>1950000.0</v>
      </c>
      <c r="BP657" s="11">
        <v>2030000.0</v>
      </c>
      <c r="BQ657" s="11">
        <v>1890000.0</v>
      </c>
      <c r="BR657" s="11">
        <v>1.453E7</v>
      </c>
      <c r="BS657" s="11">
        <v>1.393E7</v>
      </c>
      <c r="BT657" s="11">
        <v>1.275E7</v>
      </c>
      <c r="BU657" s="11">
        <v>1.255E7</v>
      </c>
      <c r="BV657" s="11">
        <v>1.181E7</v>
      </c>
      <c r="BW657" s="11">
        <v>1.981E7</v>
      </c>
      <c r="BX657" s="11">
        <v>1.853E7</v>
      </c>
      <c r="BY657" s="11">
        <v>1.893E7</v>
      </c>
      <c r="BZ657" s="11">
        <v>1.772E7</v>
      </c>
      <c r="CA657" s="11">
        <v>1.648E7</v>
      </c>
      <c r="CB657" s="11">
        <v>2.837E7</v>
      </c>
      <c r="CC657" s="11">
        <v>2.238E7</v>
      </c>
      <c r="CD657" s="11">
        <v>2.208E7</v>
      </c>
      <c r="CE657" s="11">
        <v>2.191E7</v>
      </c>
      <c r="CF657" s="11">
        <v>2.219E7</v>
      </c>
      <c r="CG657" s="11">
        <v>2250000.0</v>
      </c>
      <c r="CH657" s="11">
        <v>2250000.0</v>
      </c>
      <c r="CI657" s="11">
        <v>2280000.0</v>
      </c>
      <c r="CJ657" s="11">
        <v>2090000.0</v>
      </c>
      <c r="CK657" s="11">
        <v>2670000.0</v>
      </c>
      <c r="CL657" s="11">
        <v>5.124E7</v>
      </c>
      <c r="CM657" s="11">
        <v>4.4E7</v>
      </c>
      <c r="CN657" s="11">
        <v>4.453E7</v>
      </c>
      <c r="CO657" s="11">
        <v>4.297E7</v>
      </c>
      <c r="CP657" s="11">
        <v>4.197E7</v>
      </c>
      <c r="CQ657" s="11">
        <v>7790000.0</v>
      </c>
      <c r="CR657" s="11">
        <v>7760000.0</v>
      </c>
      <c r="CS657" s="11">
        <v>7240000.0</v>
      </c>
      <c r="CT657" s="11">
        <v>7000000.0</v>
      </c>
      <c r="CU657" s="11">
        <v>6570000.0</v>
      </c>
      <c r="CV657" s="11">
        <v>1.838E7</v>
      </c>
      <c r="CW657" s="11">
        <v>1800000.0</v>
      </c>
      <c r="CX657" s="11">
        <v>1340000.0</v>
      </c>
      <c r="CY657" s="11">
        <v>1560000.0</v>
      </c>
      <c r="CZ657" s="11">
        <v>710000.0</v>
      </c>
      <c r="DA657" s="11">
        <v>350000.0</v>
      </c>
      <c r="DB657" s="11">
        <v>1.838E7</v>
      </c>
      <c r="DC657" s="11">
        <v>1.672E7</v>
      </c>
      <c r="DD657" s="11">
        <v>1.619E7</v>
      </c>
      <c r="DE657" s="11">
        <v>1.413E7</v>
      </c>
      <c r="DF657" s="11">
        <v>5.435E7</v>
      </c>
      <c r="DG657" s="11">
        <v>4.588E7</v>
      </c>
      <c r="DH657" s="11">
        <v>4.308E7</v>
      </c>
      <c r="DI657" s="11">
        <v>3.863E7</v>
      </c>
      <c r="DJ657" s="11">
        <v>3.566E7</v>
      </c>
      <c r="DK657" s="11"/>
      <c r="DL657" s="11"/>
      <c r="DM657" s="11"/>
      <c r="DN657" s="11"/>
      <c r="DO657" s="11"/>
      <c r="DP657" s="11">
        <v>3.374E7</v>
      </c>
      <c r="DQ657" s="11">
        <v>2.681E7</v>
      </c>
      <c r="DR657" s="11">
        <v>2.427E7</v>
      </c>
      <c r="DS657" s="11">
        <v>2.235E7</v>
      </c>
      <c r="DT657" s="11">
        <v>2.079E7</v>
      </c>
      <c r="DU657" s="13"/>
      <c r="DV657" s="12"/>
      <c r="DW657" s="12"/>
      <c r="DX657" s="12"/>
      <c r="DY657" s="12"/>
      <c r="DZ657" s="11">
        <v>-3120000.0</v>
      </c>
      <c r="EA657" s="11">
        <v>-1880000.0</v>
      </c>
      <c r="EB657" s="11">
        <v>1450000.0</v>
      </c>
      <c r="EC657" s="11">
        <v>4330000.0</v>
      </c>
      <c r="ED657" s="11">
        <v>6320000.0</v>
      </c>
      <c r="EE657" s="14">
        <v>0.094</v>
      </c>
      <c r="EF657" s="14">
        <v>0.076</v>
      </c>
      <c r="EG657" s="14">
        <v>-0.084</v>
      </c>
      <c r="EH657" s="14">
        <v>0.009</v>
      </c>
    </row>
    <row r="658">
      <c r="A658" s="9">
        <f t="shared" si="2"/>
        <v>656</v>
      </c>
      <c r="B658" s="10" t="s">
        <v>793</v>
      </c>
      <c r="C658" s="11">
        <v>6170000.0</v>
      </c>
      <c r="D658" s="11">
        <v>5970000.0</v>
      </c>
      <c r="E658" s="11">
        <v>6150000.0</v>
      </c>
      <c r="F658" s="11">
        <v>6050000.0</v>
      </c>
      <c r="G658" s="11">
        <v>5120000.0</v>
      </c>
      <c r="H658" s="11">
        <v>4820000.0</v>
      </c>
      <c r="I658" s="11">
        <v>7120000.0</v>
      </c>
      <c r="J658" s="11">
        <v>2300000.0</v>
      </c>
      <c r="K658" s="11">
        <v>2280000.0</v>
      </c>
      <c r="L658" s="11">
        <v>1950000.0</v>
      </c>
      <c r="M658" s="11">
        <v>1840000.0</v>
      </c>
      <c r="N658" s="11">
        <v>2280000.0</v>
      </c>
      <c r="O658" s="11">
        <v>1560000.0</v>
      </c>
      <c r="P658" s="11">
        <v>1540000.0</v>
      </c>
      <c r="Q658" s="11">
        <v>1330000.0</v>
      </c>
      <c r="R658" s="11">
        <v>1270000.0</v>
      </c>
      <c r="S658" s="11">
        <v>1540000.0</v>
      </c>
      <c r="T658" s="11"/>
      <c r="U658" s="11"/>
      <c r="V658" s="11"/>
      <c r="W658" s="11"/>
      <c r="X658" s="11"/>
      <c r="Y658" s="11">
        <v>723000.0</v>
      </c>
      <c r="Z658" s="11">
        <v>655000.0</v>
      </c>
      <c r="AA658" s="11">
        <v>524000.0</v>
      </c>
      <c r="AB658" s="11">
        <v>-186000.0</v>
      </c>
      <c r="AC658" s="11">
        <v>-109000.0</v>
      </c>
      <c r="AD658" s="11">
        <v>613000.0</v>
      </c>
      <c r="AE658" s="11">
        <v>526000.0</v>
      </c>
      <c r="AF658" s="11">
        <v>360000.0</v>
      </c>
      <c r="AG658" s="11">
        <v>117000.0</v>
      </c>
      <c r="AH658" s="11">
        <v>242000.0</v>
      </c>
      <c r="AI658" s="11">
        <v>849000.0</v>
      </c>
      <c r="AJ658" s="11">
        <v>845000.0</v>
      </c>
      <c r="AK658" s="11">
        <v>702000.0</v>
      </c>
      <c r="AL658" s="11">
        <v>672000.0</v>
      </c>
      <c r="AM658" s="11">
        <v>859000.0</v>
      </c>
      <c r="AN658" s="11">
        <v>451000.0</v>
      </c>
      <c r="AO658" s="11">
        <v>391000.0</v>
      </c>
      <c r="AP658" s="11">
        <v>167000.0</v>
      </c>
      <c r="AQ658" s="11">
        <v>66000.0</v>
      </c>
      <c r="AR658" s="11">
        <v>1330000.0</v>
      </c>
      <c r="AS658" s="11">
        <v>677000.0</v>
      </c>
      <c r="AT658" s="11">
        <v>584000.0</v>
      </c>
      <c r="AU658" s="11">
        <v>502000.0</v>
      </c>
      <c r="AV658" s="11">
        <v>513000.0</v>
      </c>
      <c r="AW658" s="11">
        <v>422000.0</v>
      </c>
      <c r="AX658" s="11">
        <v>-106000.0</v>
      </c>
      <c r="AY658" s="11">
        <v>-115000.0</v>
      </c>
      <c r="AZ658" s="11">
        <v>-94000.0</v>
      </c>
      <c r="BA658" s="11">
        <v>-81000.0</v>
      </c>
      <c r="BB658" s="11">
        <v>-86000.0</v>
      </c>
      <c r="BC658" s="12"/>
      <c r="BD658" s="12"/>
      <c r="BE658" s="12"/>
      <c r="BF658" s="12"/>
      <c r="BG658" s="12"/>
      <c r="BH658" s="11">
        <v>34000.0</v>
      </c>
      <c r="BI658" s="11">
        <v>38000.0</v>
      </c>
      <c r="BJ658" s="11">
        <v>558000.0</v>
      </c>
      <c r="BK658" s="11">
        <v>75000.0</v>
      </c>
      <c r="BL658" s="11">
        <v>269000.0</v>
      </c>
      <c r="BM658" s="11">
        <v>754000.0</v>
      </c>
      <c r="BN658" s="11">
        <v>732000.0</v>
      </c>
      <c r="BO658" s="11">
        <v>612000.0</v>
      </c>
      <c r="BP658" s="11">
        <v>559000.0</v>
      </c>
      <c r="BQ658" s="11">
        <v>872000.0</v>
      </c>
      <c r="BR658" s="11">
        <v>771000.0</v>
      </c>
      <c r="BS658" s="11">
        <v>766000.0</v>
      </c>
      <c r="BT658" s="11">
        <v>674000.0</v>
      </c>
      <c r="BU658" s="11">
        <v>606000.0</v>
      </c>
      <c r="BV658" s="11">
        <v>770000.0</v>
      </c>
      <c r="BW658" s="11">
        <v>1660000.0</v>
      </c>
      <c r="BX658" s="11">
        <v>1590000.0</v>
      </c>
      <c r="BY658" s="11">
        <v>1880000.0</v>
      </c>
      <c r="BZ658" s="11">
        <v>1850000.0</v>
      </c>
      <c r="CA658" s="11">
        <v>1980000.0</v>
      </c>
      <c r="CB658" s="11">
        <v>871000.0</v>
      </c>
      <c r="CC658" s="11">
        <v>370000.0</v>
      </c>
      <c r="CD658" s="11">
        <v>325000.0</v>
      </c>
      <c r="CE658" s="11">
        <v>253000.0</v>
      </c>
      <c r="CF658" s="11">
        <v>310000.0</v>
      </c>
      <c r="CG658" s="11">
        <v>1990000.0</v>
      </c>
      <c r="CH658" s="11">
        <v>1990000.0</v>
      </c>
      <c r="CI658" s="11">
        <v>1810000.0</v>
      </c>
      <c r="CJ658" s="11">
        <v>1810000.0</v>
      </c>
      <c r="CK658" s="11">
        <v>2870000.0</v>
      </c>
      <c r="CL658" s="11">
        <v>4720000.0</v>
      </c>
      <c r="CM658" s="11">
        <v>4360000.0</v>
      </c>
      <c r="CN658" s="11">
        <v>4450000.0</v>
      </c>
      <c r="CO658" s="11">
        <v>5960000.0</v>
      </c>
      <c r="CP658" s="11">
        <v>6250000.0</v>
      </c>
      <c r="CQ658" s="11">
        <v>414000.0</v>
      </c>
      <c r="CR658" s="11">
        <v>367000.0</v>
      </c>
      <c r="CS658" s="11">
        <v>377000.0</v>
      </c>
      <c r="CT658" s="11">
        <v>320000.0</v>
      </c>
      <c r="CU658" s="11">
        <v>490000.0</v>
      </c>
      <c r="CV658" s="11">
        <v>814000.0</v>
      </c>
      <c r="CW658" s="11">
        <v>110000.0</v>
      </c>
      <c r="CX658" s="13"/>
      <c r="CY658" s="13"/>
      <c r="CZ658" s="13"/>
      <c r="DA658" s="12"/>
      <c r="DB658" s="11">
        <v>814000.0</v>
      </c>
      <c r="DC658" s="11">
        <v>746000.0</v>
      </c>
      <c r="DD658" s="11">
        <v>621000.0</v>
      </c>
      <c r="DE658" s="11">
        <v>843000.0</v>
      </c>
      <c r="DF658" s="11">
        <v>3360000.0</v>
      </c>
      <c r="DG658" s="11">
        <v>3080000.0</v>
      </c>
      <c r="DH658" s="11">
        <v>2990000.0</v>
      </c>
      <c r="DI658" s="11">
        <v>5000000.0</v>
      </c>
      <c r="DJ658" s="11">
        <v>5510000.0</v>
      </c>
      <c r="DK658" s="12"/>
      <c r="DL658" s="12"/>
      <c r="DM658" s="12"/>
      <c r="DN658" s="12"/>
      <c r="DO658" s="12"/>
      <c r="DP658" s="11">
        <v>2420000.0</v>
      </c>
      <c r="DQ658" s="11">
        <v>2130000.0</v>
      </c>
      <c r="DR658" s="11">
        <v>2090000.0</v>
      </c>
      <c r="DS658" s="11">
        <v>3800000.0</v>
      </c>
      <c r="DT658" s="11">
        <v>4300000.0</v>
      </c>
      <c r="DU658" s="13"/>
      <c r="DV658" s="12"/>
      <c r="DW658" s="12"/>
      <c r="DX658" s="12"/>
      <c r="DY658" s="13"/>
      <c r="DZ658" s="11">
        <v>1350000.0</v>
      </c>
      <c r="EA658" s="11">
        <v>1280000.0</v>
      </c>
      <c r="EB658" s="11">
        <v>1470000.0</v>
      </c>
      <c r="EC658" s="11">
        <v>960000.0</v>
      </c>
      <c r="ED658" s="11">
        <v>744000.0</v>
      </c>
      <c r="EE658" s="14">
        <v>0.044</v>
      </c>
      <c r="EF658" s="14">
        <v>0.126</v>
      </c>
      <c r="EG658" s="14">
        <v>-0.077</v>
      </c>
      <c r="EH658" s="14">
        <v>0.027</v>
      </c>
    </row>
    <row r="659">
      <c r="A659" s="9">
        <f t="shared" si="2"/>
        <v>657</v>
      </c>
      <c r="B659" s="32" t="s">
        <v>794</v>
      </c>
      <c r="C659" s="11">
        <v>1210000.0</v>
      </c>
      <c r="D659" s="11">
        <v>1170000.0</v>
      </c>
      <c r="E659" s="11">
        <v>1350000.0</v>
      </c>
      <c r="F659" s="11">
        <v>1240000.0</v>
      </c>
      <c r="G659" s="11">
        <v>1030000.0</v>
      </c>
      <c r="H659" s="11">
        <v>978140.0</v>
      </c>
      <c r="I659" s="11">
        <v>1040000.0</v>
      </c>
      <c r="J659" s="11">
        <v>454930.0</v>
      </c>
      <c r="K659" s="11">
        <v>410620.0</v>
      </c>
      <c r="L659" s="11">
        <v>336120.0</v>
      </c>
      <c r="M659" s="11">
        <v>308330.0</v>
      </c>
      <c r="N659" s="11">
        <v>321360.0</v>
      </c>
      <c r="O659" s="11">
        <v>266790.0</v>
      </c>
      <c r="P659" s="11">
        <v>250390.0</v>
      </c>
      <c r="Q659" s="11">
        <v>208990.0</v>
      </c>
      <c r="R659" s="11">
        <v>200850.0</v>
      </c>
      <c r="S659" s="11">
        <v>195860.0</v>
      </c>
      <c r="T659" s="12"/>
      <c r="U659" s="12"/>
      <c r="V659" s="12"/>
      <c r="W659" s="12"/>
      <c r="X659" s="12"/>
      <c r="Y659" s="11">
        <v>175540.0</v>
      </c>
      <c r="Z659" s="11">
        <v>159530.0</v>
      </c>
      <c r="AA659" s="11">
        <v>107540.0</v>
      </c>
      <c r="AB659" s="11"/>
      <c r="AC659" s="12"/>
      <c r="AD659" s="11">
        <v>115860.0</v>
      </c>
      <c r="AE659" s="11">
        <v>104660.0</v>
      </c>
      <c r="AF659" s="11">
        <v>59340.0</v>
      </c>
      <c r="AG659" s="11">
        <v>59030.0</v>
      </c>
      <c r="AH659" s="11">
        <v>75680.0</v>
      </c>
      <c r="AI659" s="11">
        <v>476160.0</v>
      </c>
      <c r="AJ659" s="11">
        <v>396600.0</v>
      </c>
      <c r="AK659" s="11">
        <v>320370.0</v>
      </c>
      <c r="AL659" s="11">
        <v>297180.0</v>
      </c>
      <c r="AM659" s="11">
        <v>311960.0</v>
      </c>
      <c r="AN659" s="11">
        <v>87210.0</v>
      </c>
      <c r="AO659" s="11">
        <v>76620.0</v>
      </c>
      <c r="AP659" s="11">
        <v>109660.0</v>
      </c>
      <c r="AQ659" s="11">
        <v>37170.0</v>
      </c>
      <c r="AR659" s="11">
        <v>44310.0</v>
      </c>
      <c r="AS659" s="11">
        <v>317680.0</v>
      </c>
      <c r="AT659" s="11">
        <v>247210.0</v>
      </c>
      <c r="AU659" s="11">
        <v>202860.0</v>
      </c>
      <c r="AV659" s="11">
        <v>176980.0</v>
      </c>
      <c r="AW659" s="11">
        <v>206620.0</v>
      </c>
      <c r="AX659" s="11">
        <v>-352770.0</v>
      </c>
      <c r="AY659" s="11">
        <v>-451560.0</v>
      </c>
      <c r="AZ659" s="11">
        <v>-256720.0</v>
      </c>
      <c r="BA659" s="11">
        <v>-202600.0</v>
      </c>
      <c r="BB659" s="11">
        <v>-205570.0</v>
      </c>
      <c r="BC659" s="11">
        <v>-39390.0</v>
      </c>
      <c r="BD659" s="11">
        <v>-39270.0</v>
      </c>
      <c r="BE659" s="11">
        <v>-39170.0</v>
      </c>
      <c r="BF659" s="11">
        <v>-39070.0</v>
      </c>
      <c r="BG659" s="11">
        <v>-37110.0</v>
      </c>
      <c r="BH659" s="11">
        <v>14250.0</v>
      </c>
      <c r="BI659" s="11">
        <v>16680.0</v>
      </c>
      <c r="BJ659" s="11">
        <v>165880.0</v>
      </c>
      <c r="BK659" s="11">
        <v>7680.0</v>
      </c>
      <c r="BL659" s="11">
        <v>7160.0</v>
      </c>
      <c r="BM659" s="11">
        <v>192200.0</v>
      </c>
      <c r="BN659" s="11">
        <v>201560.0</v>
      </c>
      <c r="BO659" s="11">
        <v>176080.0</v>
      </c>
      <c r="BP659" s="11">
        <v>140040.0</v>
      </c>
      <c r="BQ659" s="11">
        <v>147330.0</v>
      </c>
      <c r="BR659" s="11">
        <v>85480.0</v>
      </c>
      <c r="BS659" s="11">
        <v>104600.0</v>
      </c>
      <c r="BT659" s="11">
        <v>75000.0</v>
      </c>
      <c r="BU659" s="11">
        <v>53910.0</v>
      </c>
      <c r="BV659" s="11">
        <v>96820.0</v>
      </c>
      <c r="BW659" s="11">
        <v>302190.0</v>
      </c>
      <c r="BX659" s="11">
        <v>333340.0</v>
      </c>
      <c r="BY659" s="11">
        <v>426140.0</v>
      </c>
      <c r="BZ659" s="11">
        <v>209140.0</v>
      </c>
      <c r="CA659" s="11">
        <v>261360.0</v>
      </c>
      <c r="CB659" s="11">
        <v>1510000.0</v>
      </c>
      <c r="CC659" s="11">
        <v>1260000.0</v>
      </c>
      <c r="CD659" s="11">
        <v>1010000.0</v>
      </c>
      <c r="CE659" s="11">
        <v>999310.0</v>
      </c>
      <c r="CF659" s="11">
        <v>1000000.0</v>
      </c>
      <c r="CG659" s="11">
        <v>131440.0</v>
      </c>
      <c r="CH659" s="11"/>
      <c r="CI659" s="11">
        <v>31200.0</v>
      </c>
      <c r="CJ659" s="11">
        <v>31200.0</v>
      </c>
      <c r="CK659" s="11">
        <v>31200.0</v>
      </c>
      <c r="CL659" s="11">
        <v>1970000.0</v>
      </c>
      <c r="CM659" s="11">
        <v>1730000.0</v>
      </c>
      <c r="CN659" s="11">
        <v>1470000.0</v>
      </c>
      <c r="CO659" s="11">
        <v>1240000.0</v>
      </c>
      <c r="CP659" s="11">
        <v>1300000.0</v>
      </c>
      <c r="CQ659" s="11">
        <v>58850.0</v>
      </c>
      <c r="CR659" s="11">
        <v>101840.0</v>
      </c>
      <c r="CS659" s="11">
        <v>89780.0</v>
      </c>
      <c r="CT659" s="11">
        <v>39430.0</v>
      </c>
      <c r="CU659" s="11">
        <v>66780.0</v>
      </c>
      <c r="CV659" s="11">
        <v>184570.0</v>
      </c>
      <c r="CW659" s="11">
        <v>21700.0</v>
      </c>
      <c r="CX659" s="11"/>
      <c r="CY659" s="11"/>
      <c r="CZ659" s="11"/>
      <c r="DA659" s="12"/>
      <c r="DB659" s="11">
        <v>184570.0</v>
      </c>
      <c r="DC659" s="11">
        <v>188200.0</v>
      </c>
      <c r="DD659" s="11">
        <v>166370.0</v>
      </c>
      <c r="DE659" s="11">
        <v>116290.0</v>
      </c>
      <c r="DF659" s="11">
        <v>1670000.0</v>
      </c>
      <c r="DG659" s="11">
        <v>1470000.0</v>
      </c>
      <c r="DH659" s="11">
        <v>1250000.0</v>
      </c>
      <c r="DI659" s="11">
        <v>1100000.0</v>
      </c>
      <c r="DJ659" s="11">
        <v>1160000.0</v>
      </c>
      <c r="DK659" s="11"/>
      <c r="DL659" s="11"/>
      <c r="DM659" s="11"/>
      <c r="DN659" s="11"/>
      <c r="DO659" s="11"/>
      <c r="DP659" s="11">
        <v>1300000.0</v>
      </c>
      <c r="DQ659" s="11">
        <v>1130000.0</v>
      </c>
      <c r="DR659" s="11">
        <v>956230.0</v>
      </c>
      <c r="DS659" s="11">
        <v>802880.0</v>
      </c>
      <c r="DT659" s="11">
        <v>876500.0</v>
      </c>
      <c r="DU659" s="13"/>
      <c r="DV659" s="12"/>
      <c r="DW659" s="12"/>
      <c r="DX659" s="13"/>
      <c r="DY659" s="13"/>
      <c r="DZ659" s="11">
        <v>307520.0</v>
      </c>
      <c r="EA659" s="11">
        <v>256800.0</v>
      </c>
      <c r="EB659" s="11">
        <v>216790.0</v>
      </c>
      <c r="EC659" s="11">
        <v>142770.0</v>
      </c>
      <c r="ED659" s="11">
        <v>142590.0</v>
      </c>
      <c r="EE659" s="14">
        <v>0.034</v>
      </c>
      <c r="EF659" s="14">
        <v>0.066</v>
      </c>
      <c r="EG659" s="14">
        <v>-0.143</v>
      </c>
      <c r="EH659" s="14">
        <v>0.105</v>
      </c>
    </row>
    <row r="660">
      <c r="A660" s="9">
        <f t="shared" si="2"/>
        <v>658</v>
      </c>
      <c r="B660" s="10" t="s">
        <v>795</v>
      </c>
      <c r="C660" s="11">
        <v>1880000.0</v>
      </c>
      <c r="D660" s="11">
        <v>1770000.0</v>
      </c>
      <c r="E660" s="11">
        <v>2060000.0</v>
      </c>
      <c r="F660" s="11">
        <v>1780000.0</v>
      </c>
      <c r="G660" s="11">
        <v>1520000.0</v>
      </c>
      <c r="H660" s="11">
        <v>1380000.0</v>
      </c>
      <c r="I660" s="11">
        <v>1190000.0</v>
      </c>
      <c r="J660" s="11">
        <v>880470.0</v>
      </c>
      <c r="K660" s="11">
        <v>748170.0</v>
      </c>
      <c r="L660" s="11">
        <v>621200.0</v>
      </c>
      <c r="M660" s="11">
        <v>560220.0</v>
      </c>
      <c r="N660" s="11">
        <v>472930.0</v>
      </c>
      <c r="O660" s="11">
        <v>420640.0</v>
      </c>
      <c r="P660" s="11">
        <v>373190.0</v>
      </c>
      <c r="Q660" s="11">
        <v>313440.0</v>
      </c>
      <c r="R660" s="11">
        <v>291810.0</v>
      </c>
      <c r="S660" s="11">
        <v>242980.0</v>
      </c>
      <c r="T660" s="11">
        <v>66630.0</v>
      </c>
      <c r="U660" s="11">
        <v>57450.0</v>
      </c>
      <c r="V660" s="11">
        <v>46470.0</v>
      </c>
      <c r="W660" s="11">
        <v>44730.0</v>
      </c>
      <c r="X660" s="11">
        <v>38750.0</v>
      </c>
      <c r="Y660" s="11">
        <v>457210.0</v>
      </c>
      <c r="Z660" s="11">
        <v>376340.0</v>
      </c>
      <c r="AA660" s="11">
        <v>306660.0</v>
      </c>
      <c r="AB660" s="11">
        <v>-3060.0</v>
      </c>
      <c r="AC660" s="11">
        <v>229660.0</v>
      </c>
      <c r="AD660" s="11">
        <v>437840.0</v>
      </c>
      <c r="AE660" s="11">
        <v>356290.0</v>
      </c>
      <c r="AF660" s="11">
        <v>297960.0</v>
      </c>
      <c r="AG660" s="11">
        <v>257050.0</v>
      </c>
      <c r="AH660" s="11">
        <v>224960.0</v>
      </c>
      <c r="AI660" s="11">
        <v>542440.0</v>
      </c>
      <c r="AJ660" s="11">
        <v>451070.0</v>
      </c>
      <c r="AK660" s="11">
        <v>371860.0</v>
      </c>
      <c r="AL660" s="11">
        <v>328110.0</v>
      </c>
      <c r="AM660" s="11">
        <v>277150.0</v>
      </c>
      <c r="AN660" s="11">
        <v>327900.0</v>
      </c>
      <c r="AO660" s="11">
        <v>259230.0</v>
      </c>
      <c r="AP660" s="11">
        <v>185990.0</v>
      </c>
      <c r="AQ660" s="11">
        <v>156190.0</v>
      </c>
      <c r="AR660" s="11">
        <v>133360.0</v>
      </c>
      <c r="AS660" s="11">
        <v>437380.0</v>
      </c>
      <c r="AT660" s="11">
        <v>328490.0</v>
      </c>
      <c r="AU660" s="11">
        <v>274890.0</v>
      </c>
      <c r="AV660" s="11">
        <v>249180.0</v>
      </c>
      <c r="AW660" s="11">
        <v>172860.0</v>
      </c>
      <c r="AX660" s="11">
        <v>-28940.0</v>
      </c>
      <c r="AY660" s="11">
        <v>-41870.0</v>
      </c>
      <c r="AZ660" s="11">
        <v>-26000.0</v>
      </c>
      <c r="BA660" s="11">
        <v>-30860.0</v>
      </c>
      <c r="BB660" s="11">
        <v>-18250.0</v>
      </c>
      <c r="BC660" s="11">
        <v>-18690.0</v>
      </c>
      <c r="BD660" s="11">
        <v>-15360.0</v>
      </c>
      <c r="BE660" s="11">
        <v>-12810.0</v>
      </c>
      <c r="BF660" s="11">
        <v>-10720.0</v>
      </c>
      <c r="BG660" s="11">
        <v>-9340.0</v>
      </c>
      <c r="BH660" s="11">
        <v>57000.0</v>
      </c>
      <c r="BI660" s="11">
        <v>59600.0</v>
      </c>
      <c r="BJ660" s="11">
        <v>52070.0</v>
      </c>
      <c r="BK660" s="11">
        <v>42960.0</v>
      </c>
      <c r="BL660" s="11">
        <v>33600.0</v>
      </c>
      <c r="BM660" s="11">
        <v>317460.0</v>
      </c>
      <c r="BN660" s="11">
        <v>251470.0</v>
      </c>
      <c r="BO660" s="11">
        <v>222460.0</v>
      </c>
      <c r="BP660" s="11">
        <v>202230.0</v>
      </c>
      <c r="BQ660" s="11">
        <v>181590.0</v>
      </c>
      <c r="BR660" s="11">
        <v>420320.0</v>
      </c>
      <c r="BS660" s="11">
        <v>401550.0</v>
      </c>
      <c r="BT660" s="11">
        <v>343630.0</v>
      </c>
      <c r="BU660" s="11">
        <v>286300.0</v>
      </c>
      <c r="BV660" s="11">
        <v>243520.0</v>
      </c>
      <c r="BW660" s="11">
        <v>813730.0</v>
      </c>
      <c r="BX660" s="11">
        <v>733810.0</v>
      </c>
      <c r="BY660" s="11">
        <v>631890.0</v>
      </c>
      <c r="BZ660" s="11">
        <v>543160.0</v>
      </c>
      <c r="CA660" s="11">
        <v>503610.0</v>
      </c>
      <c r="CB660" s="11">
        <v>173350.0</v>
      </c>
      <c r="CC660" s="11">
        <v>154740.0</v>
      </c>
      <c r="CD660" s="11">
        <v>129880.0</v>
      </c>
      <c r="CE660" s="11">
        <v>121610.0</v>
      </c>
      <c r="CF660" s="11">
        <v>105670.0</v>
      </c>
      <c r="CG660" s="11">
        <v>1270000.0</v>
      </c>
      <c r="CH660" s="11">
        <v>1110000.0</v>
      </c>
      <c r="CI660" s="11">
        <v>1080000.0</v>
      </c>
      <c r="CJ660" s="11">
        <v>865720.0</v>
      </c>
      <c r="CK660" s="11">
        <v>766640.0</v>
      </c>
      <c r="CL660" s="11">
        <v>2970000.0</v>
      </c>
      <c r="CM660" s="11">
        <v>2650000.0</v>
      </c>
      <c r="CN660" s="11">
        <v>2510000.0</v>
      </c>
      <c r="CO660" s="11">
        <v>2000000.0</v>
      </c>
      <c r="CP660" s="11">
        <v>1740000.0</v>
      </c>
      <c r="CQ660" s="11">
        <v>106230.0</v>
      </c>
      <c r="CR660" s="11">
        <v>107220.0</v>
      </c>
      <c r="CS660" s="11">
        <v>89720.0</v>
      </c>
      <c r="CT660" s="11">
        <v>73340.0</v>
      </c>
      <c r="CU660" s="11">
        <v>64680.0</v>
      </c>
      <c r="CV660" s="11">
        <v>289140.0</v>
      </c>
      <c r="CW660" s="12"/>
      <c r="CX660" s="12"/>
      <c r="CY660" s="12"/>
      <c r="CZ660" s="12"/>
      <c r="DA660" s="12"/>
      <c r="DB660" s="11">
        <v>289140.0</v>
      </c>
      <c r="DC660" s="11">
        <v>282430.0</v>
      </c>
      <c r="DD660" s="11">
        <v>249440.0</v>
      </c>
      <c r="DE660" s="11">
        <v>214420.0</v>
      </c>
      <c r="DF660" s="11">
        <v>1090000.0</v>
      </c>
      <c r="DG660" s="11">
        <v>1020000.0</v>
      </c>
      <c r="DH660" s="11">
        <v>1130000.0</v>
      </c>
      <c r="DI660" s="11">
        <v>851200.0</v>
      </c>
      <c r="DJ660" s="11">
        <v>751830.0</v>
      </c>
      <c r="DK660" s="12"/>
      <c r="DL660" s="12"/>
      <c r="DM660" s="12"/>
      <c r="DN660" s="12"/>
      <c r="DO660" s="12"/>
      <c r="DP660" s="11">
        <v>561050.0</v>
      </c>
      <c r="DQ660" s="11">
        <v>531610.0</v>
      </c>
      <c r="DR660" s="11">
        <v>673530.0</v>
      </c>
      <c r="DS660" s="11">
        <v>457810.0</v>
      </c>
      <c r="DT660" s="11">
        <v>367240.0</v>
      </c>
      <c r="DU660" s="12"/>
      <c r="DV660" s="13"/>
      <c r="DW660" s="13"/>
      <c r="DX660" s="13"/>
      <c r="DY660" s="13"/>
      <c r="DZ660" s="11">
        <v>1670000.0</v>
      </c>
      <c r="EA660" s="11">
        <v>1400000.0</v>
      </c>
      <c r="EB660" s="11">
        <v>1160000.0</v>
      </c>
      <c r="EC660" s="11">
        <v>963380.0</v>
      </c>
      <c r="ED660" s="11">
        <v>809860.0</v>
      </c>
      <c r="EE660" s="14">
        <v>0.113</v>
      </c>
      <c r="EF660" s="14">
        <v>0.16</v>
      </c>
      <c r="EG660" s="14">
        <v>0.31</v>
      </c>
      <c r="EH660" s="14">
        <v>0.157</v>
      </c>
    </row>
    <row r="661">
      <c r="A661" s="9">
        <f t="shared" si="2"/>
        <v>659</v>
      </c>
      <c r="B661" s="25" t="s">
        <v>796</v>
      </c>
      <c r="C661" s="15">
        <v>1860000.0</v>
      </c>
      <c r="D661" s="15">
        <v>1810000.0</v>
      </c>
      <c r="E661" s="15">
        <v>1710000.0</v>
      </c>
      <c r="F661" s="15">
        <v>1560000.0</v>
      </c>
      <c r="G661" s="15">
        <v>1480000.0</v>
      </c>
      <c r="H661" s="15">
        <v>1410000.0</v>
      </c>
      <c r="I661" s="15">
        <v>1550000.0</v>
      </c>
      <c r="J661" s="15">
        <v>701400.0</v>
      </c>
      <c r="K661" s="15">
        <v>615280.0</v>
      </c>
      <c r="L661" s="15">
        <v>581170.0</v>
      </c>
      <c r="M661" s="15">
        <v>550980.0</v>
      </c>
      <c r="N661" s="15">
        <v>597560.0</v>
      </c>
      <c r="O661" s="15">
        <v>476130.0</v>
      </c>
      <c r="P661" s="15">
        <v>411130.0</v>
      </c>
      <c r="Q661" s="15">
        <v>402270.0</v>
      </c>
      <c r="R661" s="15">
        <v>380370.0</v>
      </c>
      <c r="S661" s="15">
        <v>444550.0</v>
      </c>
      <c r="T661" s="15">
        <v>17800.0</v>
      </c>
      <c r="U661" s="15">
        <v>13000.0</v>
      </c>
      <c r="V661" s="15">
        <v>13500.0</v>
      </c>
      <c r="W661" s="15">
        <v>11800.0</v>
      </c>
      <c r="X661" s="15">
        <v>10000.0</v>
      </c>
      <c r="Y661" s="15">
        <v>178910.0</v>
      </c>
      <c r="Z661" s="15">
        <v>201930.0</v>
      </c>
      <c r="AA661" s="15">
        <v>-18760.0</v>
      </c>
      <c r="AB661" s="15">
        <v>-2310.0</v>
      </c>
      <c r="AC661" s="15">
        <v>-23580.0</v>
      </c>
      <c r="AD661" s="15">
        <v>165940.0</v>
      </c>
      <c r="AE661" s="15">
        <v>188000.0</v>
      </c>
      <c r="AF661" s="15">
        <v>155440.0</v>
      </c>
      <c r="AG661" s="15">
        <v>155720.0</v>
      </c>
      <c r="AH661" s="15">
        <v>119820.0</v>
      </c>
      <c r="AI661" s="15">
        <v>264360.0</v>
      </c>
      <c r="AJ661" s="15">
        <v>234080.0</v>
      </c>
      <c r="AK661" s="15">
        <v>212630.0</v>
      </c>
      <c r="AL661" s="15">
        <v>206790.0</v>
      </c>
      <c r="AM661" s="15">
        <v>195760.0</v>
      </c>
      <c r="AN661" s="15">
        <v>152330.0</v>
      </c>
      <c r="AO661" s="15">
        <v>174220.0</v>
      </c>
      <c r="AP661" s="15">
        <v>128880.0</v>
      </c>
      <c r="AQ661" s="15">
        <v>144310.0</v>
      </c>
      <c r="AR661" s="15">
        <v>101230.0</v>
      </c>
      <c r="AS661" s="15">
        <v>271290.0</v>
      </c>
      <c r="AT661" s="15">
        <v>195300.0</v>
      </c>
      <c r="AU661" s="15">
        <v>224210.0</v>
      </c>
      <c r="AV661" s="15">
        <v>228500.0</v>
      </c>
      <c r="AW661" s="15">
        <v>186550.0</v>
      </c>
      <c r="AX661" s="15">
        <v>-17760.0</v>
      </c>
      <c r="AY661" s="15">
        <v>-26390.0</v>
      </c>
      <c r="AZ661" s="15">
        <v>-13610.0</v>
      </c>
      <c r="BA661" s="15">
        <v>-15510.0</v>
      </c>
      <c r="BB661" s="15">
        <v>-20600.0</v>
      </c>
      <c r="BC661" s="13"/>
      <c r="BD661" s="13"/>
      <c r="BE661" s="13"/>
      <c r="BF661" s="13"/>
      <c r="BG661" s="13"/>
      <c r="BH661" s="15">
        <v>24470.0</v>
      </c>
      <c r="BI661" s="15">
        <v>11870.0</v>
      </c>
      <c r="BJ661" s="15">
        <v>20740.0</v>
      </c>
      <c r="BK661" s="15">
        <v>23850.0</v>
      </c>
      <c r="BL661" s="15">
        <v>225800.0</v>
      </c>
      <c r="BM661" s="15">
        <v>348020.0</v>
      </c>
      <c r="BN661" s="15">
        <v>280280.0</v>
      </c>
      <c r="BO661" s="15">
        <v>275910.0</v>
      </c>
      <c r="BP661" s="15">
        <v>231660.0</v>
      </c>
      <c r="BQ661" s="15">
        <v>217900.0</v>
      </c>
      <c r="BR661" s="15">
        <v>256310.0</v>
      </c>
      <c r="BS661" s="15">
        <v>302340.0</v>
      </c>
      <c r="BT661" s="15">
        <v>251510.0</v>
      </c>
      <c r="BU661" s="15">
        <v>280880.0</v>
      </c>
      <c r="BV661" s="15">
        <v>301610.0</v>
      </c>
      <c r="BW661" s="15">
        <v>682840.0</v>
      </c>
      <c r="BX661" s="15">
        <v>604860.0</v>
      </c>
      <c r="BY661" s="15">
        <v>557710.0</v>
      </c>
      <c r="BZ661" s="15">
        <v>556080.0</v>
      </c>
      <c r="CA661" s="15">
        <v>755090.0</v>
      </c>
      <c r="CB661" s="15">
        <v>164750.0</v>
      </c>
      <c r="CC661" s="15">
        <v>130340.0</v>
      </c>
      <c r="CD661" s="15">
        <v>123500.0</v>
      </c>
      <c r="CE661" s="15">
        <v>126500.0</v>
      </c>
      <c r="CF661" s="15">
        <v>130470.0</v>
      </c>
      <c r="CG661" s="15">
        <v>739900.0</v>
      </c>
      <c r="CH661" s="15">
        <v>602320.0</v>
      </c>
      <c r="CI661" s="15">
        <v>602320.0</v>
      </c>
      <c r="CJ661" s="15">
        <v>602320.0</v>
      </c>
      <c r="CK661" s="15">
        <v>583010.0</v>
      </c>
      <c r="CL661" s="15">
        <v>1900000.0</v>
      </c>
      <c r="CM661" s="15">
        <v>1650000.0</v>
      </c>
      <c r="CN661" s="15">
        <v>1620000.0</v>
      </c>
      <c r="CO661" s="15">
        <v>1810000.0</v>
      </c>
      <c r="CP661" s="15">
        <v>1850000.0</v>
      </c>
      <c r="CQ661" s="15">
        <v>152670.0</v>
      </c>
      <c r="CR661" s="15">
        <v>143560.0</v>
      </c>
      <c r="CS661" s="15">
        <v>129340.0</v>
      </c>
      <c r="CT661" s="15">
        <v>105650.0</v>
      </c>
      <c r="CU661" s="15">
        <v>103710.0</v>
      </c>
      <c r="CV661" s="15">
        <v>338900.0</v>
      </c>
      <c r="CW661" s="15">
        <v>3640.0</v>
      </c>
      <c r="CX661" s="15"/>
      <c r="CY661" s="15"/>
      <c r="CZ661" s="15"/>
      <c r="DA661" s="15"/>
      <c r="DB661" s="15">
        <v>338900.0</v>
      </c>
      <c r="DC661" s="15">
        <v>312030.0</v>
      </c>
      <c r="DD661" s="15">
        <v>299490.0</v>
      </c>
      <c r="DE661" s="15">
        <v>289370.0</v>
      </c>
      <c r="DF661" s="15">
        <v>742160.0</v>
      </c>
      <c r="DG661" s="15">
        <v>652900.0</v>
      </c>
      <c r="DH661" s="15">
        <v>609260.0</v>
      </c>
      <c r="DI661" s="15">
        <v>792330.0</v>
      </c>
      <c r="DJ661" s="15">
        <v>918850.0</v>
      </c>
      <c r="DK661" s="15">
        <v>23.0</v>
      </c>
      <c r="DL661" s="15">
        <v>218.0</v>
      </c>
      <c r="DM661" s="15">
        <v>2200.0</v>
      </c>
      <c r="DN661" s="12"/>
      <c r="DO661" s="15"/>
      <c r="DP661" s="15">
        <v>378280.0</v>
      </c>
      <c r="DQ661" s="15">
        <v>318900.0</v>
      </c>
      <c r="DR661" s="15">
        <v>287990.0</v>
      </c>
      <c r="DS661" s="15">
        <v>461210.0</v>
      </c>
      <c r="DT661" s="15">
        <v>597270.0</v>
      </c>
      <c r="DU661" s="13"/>
      <c r="DV661" s="12"/>
      <c r="DW661" s="12"/>
      <c r="DX661" s="13"/>
      <c r="DY661" s="13"/>
      <c r="DZ661" s="15">
        <v>1160000.0</v>
      </c>
      <c r="EA661" s="15">
        <v>996640.0</v>
      </c>
      <c r="EB661" s="15">
        <v>1010000.0</v>
      </c>
      <c r="EC661" s="15">
        <v>1020000.0</v>
      </c>
      <c r="ED661" s="15">
        <v>930040.0</v>
      </c>
      <c r="EE661" s="17">
        <v>0.022</v>
      </c>
      <c r="EF661" s="17">
        <v>0.038</v>
      </c>
      <c r="EG661" s="17">
        <v>0.698</v>
      </c>
      <c r="EH661" s="17">
        <v>0.309</v>
      </c>
    </row>
    <row r="662">
      <c r="A662" s="9">
        <f t="shared" si="2"/>
        <v>660</v>
      </c>
      <c r="B662" s="10" t="s">
        <v>797</v>
      </c>
      <c r="C662" s="15">
        <v>1680000.0</v>
      </c>
      <c r="D662" s="15">
        <v>1170000.0</v>
      </c>
      <c r="E662" s="15">
        <v>1840000.0</v>
      </c>
      <c r="F662" s="15">
        <v>2000000.0</v>
      </c>
      <c r="G662" s="15">
        <v>1710000.0</v>
      </c>
      <c r="H662" s="15">
        <v>1580000.0</v>
      </c>
      <c r="I662" s="15">
        <v>1480000.0</v>
      </c>
      <c r="J662" s="15">
        <v>527000.0</v>
      </c>
      <c r="K662" s="15">
        <v>649000.0</v>
      </c>
      <c r="L662" s="15">
        <v>528000.0</v>
      </c>
      <c r="M662" s="15">
        <v>495000.0</v>
      </c>
      <c r="N662" s="15">
        <v>452000.0</v>
      </c>
      <c r="O662" s="15">
        <v>212000.0</v>
      </c>
      <c r="P662" s="15">
        <v>215000.0</v>
      </c>
      <c r="Q662" s="15">
        <v>191000.0</v>
      </c>
      <c r="R662" s="15">
        <v>92000.0</v>
      </c>
      <c r="S662" s="15">
        <v>57000.0</v>
      </c>
      <c r="T662" s="15">
        <v>0.0</v>
      </c>
      <c r="U662" s="15">
        <v>0.0</v>
      </c>
      <c r="V662" s="15">
        <v>0.0</v>
      </c>
      <c r="W662" s="15">
        <v>0.0</v>
      </c>
      <c r="X662" s="15">
        <v>0.0</v>
      </c>
      <c r="Y662" s="15">
        <v>0.0</v>
      </c>
      <c r="Z662" s="15">
        <v>0.0</v>
      </c>
      <c r="AA662" s="15">
        <v>0.0</v>
      </c>
      <c r="AB662" s="15">
        <v>323000.0</v>
      </c>
      <c r="AC662" s="15">
        <v>321000.0</v>
      </c>
      <c r="AD662" s="15">
        <v>273000.0</v>
      </c>
      <c r="AE662" s="15">
        <v>403000.0</v>
      </c>
      <c r="AF662" s="15">
        <v>311000.0</v>
      </c>
      <c r="AG662" s="15">
        <v>293000.0</v>
      </c>
      <c r="AH662" s="15">
        <v>292000.0</v>
      </c>
      <c r="AI662" s="15">
        <v>366000.0</v>
      </c>
      <c r="AJ662" s="15">
        <v>470000.0</v>
      </c>
      <c r="AK662" s="15">
        <v>366000.0</v>
      </c>
      <c r="AL662" s="15">
        <v>427000.0</v>
      </c>
      <c r="AM662" s="15">
        <v>417000.0</v>
      </c>
      <c r="AN662" s="15">
        <v>216000.0</v>
      </c>
      <c r="AO662" s="15">
        <v>298000.0</v>
      </c>
      <c r="AP662" s="15">
        <v>327000.0</v>
      </c>
      <c r="AQ662" s="15">
        <v>168000.0</v>
      </c>
      <c r="AR662" s="15">
        <v>174000.0</v>
      </c>
      <c r="AS662" s="15">
        <v>145000.0</v>
      </c>
      <c r="AT662" s="15">
        <v>-159000.0</v>
      </c>
      <c r="AU662" s="15">
        <v>356000.0</v>
      </c>
      <c r="AV662" s="15">
        <v>182000.0</v>
      </c>
      <c r="AW662" s="15">
        <v>152000.0</v>
      </c>
      <c r="AX662" s="15">
        <v>-63000.0</v>
      </c>
      <c r="AY662" s="15">
        <v>-63000.0</v>
      </c>
      <c r="AZ662" s="15">
        <v>-47000.0</v>
      </c>
      <c r="BA662" s="15">
        <v>-34000.0</v>
      </c>
      <c r="BB662" s="15">
        <v>-18000.0</v>
      </c>
      <c r="BC662" s="16">
        <v>0.0</v>
      </c>
      <c r="BD662" s="16">
        <v>0.0</v>
      </c>
      <c r="BE662" s="16">
        <v>0.0</v>
      </c>
      <c r="BF662" s="16">
        <v>0.0</v>
      </c>
      <c r="BG662" s="15">
        <v>-2000.0</v>
      </c>
      <c r="BH662" s="15">
        <v>152000.0</v>
      </c>
      <c r="BI662" s="15">
        <v>180000.0</v>
      </c>
      <c r="BJ662" s="15">
        <v>297000.0</v>
      </c>
      <c r="BK662" s="15">
        <v>151000.0</v>
      </c>
      <c r="BL662" s="15">
        <v>79000.0</v>
      </c>
      <c r="BM662" s="15">
        <v>1330000.0</v>
      </c>
      <c r="BN662" s="15">
        <v>1270000.0</v>
      </c>
      <c r="BO662" s="15">
        <v>1180000.0</v>
      </c>
      <c r="BP662" s="15">
        <v>1150000.0</v>
      </c>
      <c r="BQ662" s="15">
        <v>1070000.0</v>
      </c>
      <c r="BR662" s="15">
        <v>558000.0</v>
      </c>
      <c r="BS662" s="15">
        <v>527000.0</v>
      </c>
      <c r="BT662" s="15">
        <v>509000.0</v>
      </c>
      <c r="BU662" s="15">
        <v>513000.0</v>
      </c>
      <c r="BV662" s="15">
        <v>412000.0</v>
      </c>
      <c r="BW662" s="15">
        <v>2040000.0</v>
      </c>
      <c r="BX662" s="15">
        <v>1980000.0</v>
      </c>
      <c r="BY662" s="15">
        <v>1990000.0</v>
      </c>
      <c r="BZ662" s="15">
        <v>1810000.0</v>
      </c>
      <c r="CA662" s="15">
        <v>1560000.0</v>
      </c>
      <c r="CB662" s="15">
        <v>838000.0</v>
      </c>
      <c r="CC662" s="15">
        <v>559000.0</v>
      </c>
      <c r="CD662" s="15">
        <v>238000.0</v>
      </c>
      <c r="CE662" s="15">
        <v>256000.0</v>
      </c>
      <c r="CF662" s="15">
        <v>51000.0</v>
      </c>
      <c r="CG662" s="15">
        <v>0.0</v>
      </c>
      <c r="CH662" s="15">
        <v>0.0</v>
      </c>
      <c r="CI662" s="15">
        <v>0.0</v>
      </c>
      <c r="CJ662" s="15">
        <v>0.0</v>
      </c>
      <c r="CK662" s="15">
        <v>0.0</v>
      </c>
      <c r="CL662" s="15">
        <v>3080000.0</v>
      </c>
      <c r="CM662" s="15">
        <v>2750000.0</v>
      </c>
      <c r="CN662" s="15">
        <v>2380000.0</v>
      </c>
      <c r="CO662" s="15">
        <v>2180000.0</v>
      </c>
      <c r="CP662" s="15">
        <v>1720000.0</v>
      </c>
      <c r="CQ662" s="15">
        <v>24000.0</v>
      </c>
      <c r="CR662" s="15">
        <v>268000.0</v>
      </c>
      <c r="CS662" s="15">
        <v>339000.0</v>
      </c>
      <c r="CT662" s="15">
        <v>31000.0</v>
      </c>
      <c r="CU662" s="15">
        <v>13000.0</v>
      </c>
      <c r="CV662" s="15">
        <v>413000.0</v>
      </c>
      <c r="CW662" s="15">
        <v>0.0</v>
      </c>
      <c r="CX662" s="16">
        <v>0.0</v>
      </c>
      <c r="CY662" s="16">
        <v>0.0</v>
      </c>
      <c r="CZ662" s="16">
        <v>0.0</v>
      </c>
      <c r="DA662" s="15">
        <v>0.0</v>
      </c>
      <c r="DB662" s="15">
        <v>413000.0</v>
      </c>
      <c r="DC662" s="15">
        <v>425000.0</v>
      </c>
      <c r="DD662" s="15">
        <v>443000.0</v>
      </c>
      <c r="DE662" s="15">
        <v>334000.0</v>
      </c>
      <c r="DF662" s="15">
        <v>2510000.0</v>
      </c>
      <c r="DG662" s="15">
        <v>2140000.0</v>
      </c>
      <c r="DH662" s="15">
        <v>1870000.0</v>
      </c>
      <c r="DI662" s="15">
        <v>2010000.0</v>
      </c>
      <c r="DJ662" s="15">
        <v>1830000.0</v>
      </c>
      <c r="DK662" s="15">
        <v>44000.0</v>
      </c>
      <c r="DL662" s="15">
        <v>38000.0</v>
      </c>
      <c r="DM662" s="15">
        <v>41000.0</v>
      </c>
      <c r="DN662" s="15">
        <v>0.0</v>
      </c>
      <c r="DO662" s="15">
        <v>0.0</v>
      </c>
      <c r="DP662" s="15">
        <v>1650000.0</v>
      </c>
      <c r="DQ662" s="15">
        <v>1360000.0</v>
      </c>
      <c r="DR662" s="15">
        <v>1070000.0</v>
      </c>
      <c r="DS662" s="15">
        <v>1180000.0</v>
      </c>
      <c r="DT662" s="15">
        <v>1140000.0</v>
      </c>
      <c r="DU662" s="16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570000.0</v>
      </c>
      <c r="EA662" s="15">
        <v>616000.0</v>
      </c>
      <c r="EB662" s="15">
        <v>518000.0</v>
      </c>
      <c r="EC662" s="15">
        <v>167000.0</v>
      </c>
      <c r="ED662" s="15">
        <v>-106000.0</v>
      </c>
      <c r="EE662" s="17">
        <v>0.41</v>
      </c>
      <c r="EF662" s="17">
        <v>0.208</v>
      </c>
      <c r="EG662" s="17">
        <v>-0.813</v>
      </c>
      <c r="EH662" s="17">
        <v>-0.032</v>
      </c>
    </row>
    <row r="663">
      <c r="A663" s="9">
        <f t="shared" si="2"/>
        <v>661</v>
      </c>
      <c r="B663" s="32" t="s">
        <v>798</v>
      </c>
      <c r="C663" s="11">
        <v>1220000.0</v>
      </c>
      <c r="D663" s="11">
        <v>1220000.0</v>
      </c>
      <c r="E663" s="11">
        <v>1180000.0</v>
      </c>
      <c r="F663" s="11">
        <v>1010000.0</v>
      </c>
      <c r="G663" s="11">
        <v>968220.0</v>
      </c>
      <c r="H663" s="11">
        <v>972960.0</v>
      </c>
      <c r="I663" s="11">
        <v>943100.0</v>
      </c>
      <c r="J663" s="11">
        <v>354010.0</v>
      </c>
      <c r="K663" s="11">
        <v>301680.0</v>
      </c>
      <c r="L663" s="11">
        <v>288510.0</v>
      </c>
      <c r="M663" s="11">
        <v>319550.0</v>
      </c>
      <c r="N663" s="11">
        <v>315680.0</v>
      </c>
      <c r="O663" s="11">
        <v>298610.0</v>
      </c>
      <c r="P663" s="11">
        <v>264140.0</v>
      </c>
      <c r="Q663" s="11">
        <v>231830.0</v>
      </c>
      <c r="R663" s="11">
        <v>222790.0</v>
      </c>
      <c r="S663" s="11">
        <v>203670.0</v>
      </c>
      <c r="T663" s="12"/>
      <c r="U663" s="12"/>
      <c r="V663" s="12"/>
      <c r="W663" s="12"/>
      <c r="X663" s="12"/>
      <c r="Y663" s="11">
        <v>36120.0</v>
      </c>
      <c r="Z663" s="12"/>
      <c r="AA663" s="12"/>
      <c r="AB663" s="12"/>
      <c r="AC663" s="12"/>
      <c r="AD663" s="11">
        <v>36330.0</v>
      </c>
      <c r="AE663" s="11">
        <v>37560.0</v>
      </c>
      <c r="AF663" s="11">
        <v>56450.0</v>
      </c>
      <c r="AG663" s="11">
        <v>96500.0</v>
      </c>
      <c r="AH663" s="11">
        <v>111710.0</v>
      </c>
      <c r="AI663" s="11">
        <v>84720.0</v>
      </c>
      <c r="AJ663" s="11">
        <v>64590.0</v>
      </c>
      <c r="AK663" s="11">
        <v>80890.0</v>
      </c>
      <c r="AL663" s="11">
        <v>115810.0</v>
      </c>
      <c r="AM663" s="11">
        <v>129040.0</v>
      </c>
      <c r="AN663" s="11">
        <v>27340.0</v>
      </c>
      <c r="AO663" s="11">
        <v>28420.0</v>
      </c>
      <c r="AP663" s="11">
        <v>35030.0</v>
      </c>
      <c r="AQ663" s="11">
        <v>61080.0</v>
      </c>
      <c r="AR663" s="11">
        <v>70530.0</v>
      </c>
      <c r="AS663" s="11">
        <v>92290.0</v>
      </c>
      <c r="AT663" s="11">
        <v>73420.0</v>
      </c>
      <c r="AU663" s="11">
        <v>111930.0</v>
      </c>
      <c r="AV663" s="11">
        <v>78680.0</v>
      </c>
      <c r="AW663" s="11">
        <v>58480.0</v>
      </c>
      <c r="AX663" s="11">
        <v>-17330.0</v>
      </c>
      <c r="AY663" s="11">
        <v>-17700.0</v>
      </c>
      <c r="AZ663" s="11">
        <v>-23080.0</v>
      </c>
      <c r="BA663" s="11">
        <v>-29730.0</v>
      </c>
      <c r="BB663" s="11">
        <v>-25150.0</v>
      </c>
      <c r="BC663" s="12"/>
      <c r="BD663" s="12"/>
      <c r="BE663" s="12"/>
      <c r="BF663" s="12"/>
      <c r="BG663" s="12"/>
      <c r="BH663" s="11">
        <v>66630.0</v>
      </c>
      <c r="BI663" s="11">
        <v>61910.0</v>
      </c>
      <c r="BJ663" s="11">
        <v>74010.0</v>
      </c>
      <c r="BK663" s="11">
        <v>39040.0</v>
      </c>
      <c r="BL663" s="11">
        <v>32350.0</v>
      </c>
      <c r="BM663" s="11">
        <v>8480.0</v>
      </c>
      <c r="BN663" s="11">
        <v>9470.0</v>
      </c>
      <c r="BO663" s="11">
        <v>6600.0</v>
      </c>
      <c r="BP663" s="11">
        <v>8900.0</v>
      </c>
      <c r="BQ663" s="11">
        <v>7080.0</v>
      </c>
      <c r="BR663" s="11">
        <v>288010.0</v>
      </c>
      <c r="BS663" s="11">
        <v>280290.0</v>
      </c>
      <c r="BT663" s="11">
        <v>253200.0</v>
      </c>
      <c r="BU663" s="11">
        <v>280700.0</v>
      </c>
      <c r="BV663" s="11">
        <v>283100.0</v>
      </c>
      <c r="BW663" s="11">
        <v>372510.0</v>
      </c>
      <c r="BX663" s="11">
        <v>367860.0</v>
      </c>
      <c r="BY663" s="11">
        <v>346770.0</v>
      </c>
      <c r="BZ663" s="11">
        <v>338260.0</v>
      </c>
      <c r="CA663" s="11">
        <v>330370.0</v>
      </c>
      <c r="CB663" s="11">
        <v>332360.0</v>
      </c>
      <c r="CC663" s="11">
        <v>115390.0</v>
      </c>
      <c r="CD663" s="11">
        <v>109700.0</v>
      </c>
      <c r="CE663" s="11">
        <v>111630.0</v>
      </c>
      <c r="CF663" s="11">
        <v>101390.0</v>
      </c>
      <c r="CG663" s="11">
        <v>19660.0</v>
      </c>
      <c r="CH663" s="11">
        <v>23130.0</v>
      </c>
      <c r="CI663" s="12"/>
      <c r="CJ663" s="12"/>
      <c r="CK663" s="12"/>
      <c r="CL663" s="11">
        <v>841110.0</v>
      </c>
      <c r="CM663" s="11">
        <v>562650.0</v>
      </c>
      <c r="CN663" s="11">
        <v>477230.0</v>
      </c>
      <c r="CO663" s="11">
        <v>479650.0</v>
      </c>
      <c r="CP663" s="11">
        <v>459120.0</v>
      </c>
      <c r="CQ663" s="11">
        <v>131660.0</v>
      </c>
      <c r="CR663" s="11">
        <v>107320.0</v>
      </c>
      <c r="CS663" s="11">
        <v>93440.0</v>
      </c>
      <c r="CT663" s="11">
        <v>77050.0</v>
      </c>
      <c r="CU663" s="11">
        <v>88460.0</v>
      </c>
      <c r="CV663" s="11">
        <v>233660.0</v>
      </c>
      <c r="CW663" s="11">
        <v>60650.0</v>
      </c>
      <c r="CX663" s="11">
        <v>35000.0</v>
      </c>
      <c r="CY663" s="13"/>
      <c r="CZ663" s="13"/>
      <c r="DA663" s="12"/>
      <c r="DB663" s="11">
        <v>233660.0</v>
      </c>
      <c r="DC663" s="11">
        <v>173270.0</v>
      </c>
      <c r="DD663" s="11">
        <v>115570.0</v>
      </c>
      <c r="DE663" s="11">
        <v>96070.0</v>
      </c>
      <c r="DF663" s="11">
        <v>512130.0</v>
      </c>
      <c r="DG663" s="11">
        <v>226600.0</v>
      </c>
      <c r="DH663" s="11">
        <v>157630.0</v>
      </c>
      <c r="DI663" s="11">
        <v>145610.0</v>
      </c>
      <c r="DJ663" s="11">
        <v>148270.0</v>
      </c>
      <c r="DK663" s="11">
        <v>2210.0</v>
      </c>
      <c r="DL663" s="11">
        <v>2380.0</v>
      </c>
      <c r="DM663" s="11">
        <v>2420.0</v>
      </c>
      <c r="DN663" s="11">
        <v>2670.0</v>
      </c>
      <c r="DO663" s="11">
        <v>2560.0</v>
      </c>
      <c r="DP663" s="11">
        <v>192400.0</v>
      </c>
      <c r="DQ663" s="11">
        <v>1990.0</v>
      </c>
      <c r="DR663" s="11">
        <v>2520.0</v>
      </c>
      <c r="DS663" s="11">
        <v>2860.0</v>
      </c>
      <c r="DT663" s="11">
        <v>3150.0</v>
      </c>
      <c r="DU663" s="13"/>
      <c r="DV663" s="12"/>
      <c r="DW663" s="12"/>
      <c r="DX663" s="12"/>
      <c r="DY663" s="12"/>
      <c r="DZ663" s="11">
        <v>328980.0</v>
      </c>
      <c r="EA663" s="11">
        <v>336050.0</v>
      </c>
      <c r="EB663" s="11">
        <v>319600.0</v>
      </c>
      <c r="EC663" s="11">
        <v>334040.0</v>
      </c>
      <c r="ED663" s="11">
        <v>310850.0</v>
      </c>
      <c r="EE663" s="14">
        <v>0.172</v>
      </c>
      <c r="EF663" s="14">
        <v>0.139</v>
      </c>
      <c r="EG663" s="14">
        <v>0.632</v>
      </c>
      <c r="EH663" s="14">
        <v>0.411</v>
      </c>
    </row>
    <row r="664">
      <c r="A664" s="9">
        <f t="shared" si="2"/>
        <v>662</v>
      </c>
      <c r="B664" s="10" t="s">
        <v>799</v>
      </c>
      <c r="C664" s="15">
        <v>9250000.0</v>
      </c>
      <c r="D664" s="15">
        <v>8960000.0</v>
      </c>
      <c r="E664" s="15">
        <v>8900000.0</v>
      </c>
      <c r="F664" s="15">
        <v>8180000.0</v>
      </c>
      <c r="G664" s="15">
        <v>7440000.0</v>
      </c>
      <c r="H664" s="15">
        <v>7070000.0</v>
      </c>
      <c r="I664" s="15">
        <v>7020000.0</v>
      </c>
      <c r="J664" s="15">
        <v>1530000.0</v>
      </c>
      <c r="K664" s="15">
        <v>1790000.0</v>
      </c>
      <c r="L664" s="15">
        <v>1630000.0</v>
      </c>
      <c r="M664" s="15">
        <v>1460000.0</v>
      </c>
      <c r="N664" s="15">
        <v>1520000.0</v>
      </c>
      <c r="O664" s="15">
        <v>788000.0</v>
      </c>
      <c r="P664" s="15">
        <v>871000.0</v>
      </c>
      <c r="Q664" s="15">
        <v>759000.0</v>
      </c>
      <c r="R664" s="15">
        <v>623000.0</v>
      </c>
      <c r="S664" s="15">
        <v>614000.0</v>
      </c>
      <c r="T664" s="15">
        <v>23000.0</v>
      </c>
      <c r="U664" s="15">
        <v>25000.0</v>
      </c>
      <c r="V664" s="15">
        <v>17000.0</v>
      </c>
      <c r="W664" s="15">
        <v>19000.0</v>
      </c>
      <c r="X664" s="15">
        <v>19000.0</v>
      </c>
      <c r="Y664" s="15">
        <v>708000.0</v>
      </c>
      <c r="Z664" s="15">
        <v>0.0</v>
      </c>
      <c r="AA664" s="15">
        <v>-22000.0</v>
      </c>
      <c r="AB664" s="15">
        <v>0.0</v>
      </c>
      <c r="AC664" s="15">
        <v>706000.0</v>
      </c>
      <c r="AD664" s="15">
        <v>683000.0</v>
      </c>
      <c r="AE664" s="15">
        <v>971000.0</v>
      </c>
      <c r="AF664" s="15">
        <v>772000.0</v>
      </c>
      <c r="AG664" s="15">
        <v>784000.0</v>
      </c>
      <c r="AH664" s="15">
        <v>632000.0</v>
      </c>
      <c r="AI664" s="15">
        <v>970000.0</v>
      </c>
      <c r="AJ664" s="15">
        <v>1120000.0</v>
      </c>
      <c r="AK664" s="15">
        <v>1070000.0</v>
      </c>
      <c r="AL664" s="15">
        <v>1020000.0</v>
      </c>
      <c r="AM664" s="15">
        <v>1090000.0</v>
      </c>
      <c r="AN664" s="15">
        <v>549000.0</v>
      </c>
      <c r="AO664" s="15">
        <v>836000.0</v>
      </c>
      <c r="AP664" s="15">
        <v>479000.0</v>
      </c>
      <c r="AQ664" s="15">
        <v>573000.0</v>
      </c>
      <c r="AR664" s="15">
        <v>404000.0</v>
      </c>
      <c r="AS664" s="15">
        <v>896000.0</v>
      </c>
      <c r="AT664" s="15">
        <v>914000.0</v>
      </c>
      <c r="AU664" s="15">
        <v>814000.0</v>
      </c>
      <c r="AV664" s="15">
        <v>822000.0</v>
      </c>
      <c r="AW664" s="15">
        <v>828000.0</v>
      </c>
      <c r="AX664" s="15">
        <v>-436000.0</v>
      </c>
      <c r="AY664" s="15">
        <v>-402000.0</v>
      </c>
      <c r="AZ664" s="15">
        <v>-361000.0</v>
      </c>
      <c r="BA664" s="15">
        <v>-285000.0</v>
      </c>
      <c r="BB664" s="15">
        <v>-188000.0</v>
      </c>
      <c r="BC664" s="15">
        <v>-149000.0</v>
      </c>
      <c r="BD664" s="15">
        <v>-132000.0</v>
      </c>
      <c r="BE664" s="15">
        <v>-115000.0</v>
      </c>
      <c r="BF664" s="15">
        <v>-98000.0</v>
      </c>
      <c r="BG664" s="15">
        <v>-81000.0</v>
      </c>
      <c r="BH664" s="15">
        <v>75000.0</v>
      </c>
      <c r="BI664" s="15">
        <v>240000.0</v>
      </c>
      <c r="BJ664" s="15">
        <v>701000.0</v>
      </c>
      <c r="BK664" s="15">
        <v>720000.0</v>
      </c>
      <c r="BL664" s="15">
        <v>894000.0</v>
      </c>
      <c r="BM664" s="15">
        <v>1460000.0</v>
      </c>
      <c r="BN664" s="15">
        <v>1260000.0</v>
      </c>
      <c r="BO664" s="15">
        <v>1190000.0</v>
      </c>
      <c r="BP664" s="15">
        <v>1160000.0</v>
      </c>
      <c r="BQ664" s="15">
        <v>1070000.0</v>
      </c>
      <c r="BR664" s="15">
        <v>136000.0</v>
      </c>
      <c r="BS664" s="15">
        <v>128000.0</v>
      </c>
      <c r="BT664" s="15">
        <v>183000.0</v>
      </c>
      <c r="BU664" s="15">
        <v>210000.0</v>
      </c>
      <c r="BV664" s="15">
        <v>285000.0</v>
      </c>
      <c r="BW664" s="15">
        <v>1790000.0</v>
      </c>
      <c r="BX664" s="15">
        <v>1750000.0</v>
      </c>
      <c r="BY664" s="15">
        <v>2200000.0</v>
      </c>
      <c r="BZ664" s="15">
        <v>2140000.0</v>
      </c>
      <c r="CA664" s="15">
        <v>2280000.0</v>
      </c>
      <c r="CB664" s="15">
        <v>3030000.0</v>
      </c>
      <c r="CC664" s="15">
        <v>2520000.0</v>
      </c>
      <c r="CD664" s="15">
        <v>2220000.0</v>
      </c>
      <c r="CE664" s="15">
        <v>1990000.0</v>
      </c>
      <c r="CF664" s="15">
        <v>1830000.0</v>
      </c>
      <c r="CG664" s="15">
        <v>1370000.0</v>
      </c>
      <c r="CH664" s="15">
        <v>1260000.0</v>
      </c>
      <c r="CI664" s="15">
        <v>1220000.0</v>
      </c>
      <c r="CJ664" s="15">
        <v>1230000.0</v>
      </c>
      <c r="CK664" s="15">
        <v>956000.0</v>
      </c>
      <c r="CL664" s="15">
        <v>7550000.0</v>
      </c>
      <c r="CM664" s="15">
        <v>6780000.0</v>
      </c>
      <c r="CN664" s="15">
        <v>6750000.0</v>
      </c>
      <c r="CO664" s="15">
        <v>6950000.0</v>
      </c>
      <c r="CP664" s="15">
        <v>6580000.0</v>
      </c>
      <c r="CQ664" s="15">
        <v>497000.0</v>
      </c>
      <c r="CR664" s="15">
        <v>562000.0</v>
      </c>
      <c r="CS664" s="15">
        <v>375000.0</v>
      </c>
      <c r="CT664" s="15">
        <v>316000.0</v>
      </c>
      <c r="CU664" s="15">
        <v>317000.0</v>
      </c>
      <c r="CV664" s="15">
        <v>1890000.0</v>
      </c>
      <c r="CW664" s="15">
        <v>35000.0</v>
      </c>
      <c r="CX664" s="15">
        <v>0.0</v>
      </c>
      <c r="CY664" s="15">
        <v>0.0</v>
      </c>
      <c r="CZ664" s="15">
        <v>0.0</v>
      </c>
      <c r="DA664" s="15">
        <v>0.0</v>
      </c>
      <c r="DB664" s="15">
        <v>1890000.0</v>
      </c>
      <c r="DC664" s="15">
        <v>1830000.0</v>
      </c>
      <c r="DD664" s="15">
        <v>1390000.0</v>
      </c>
      <c r="DE664" s="15">
        <v>1340000.0</v>
      </c>
      <c r="DF664" s="15">
        <v>5870000.0</v>
      </c>
      <c r="DG664" s="15">
        <v>5200000.0</v>
      </c>
      <c r="DH664" s="15">
        <v>4980000.0</v>
      </c>
      <c r="DI664" s="15">
        <v>5280000.0</v>
      </c>
      <c r="DJ664" s="15">
        <v>5090000.0</v>
      </c>
      <c r="DK664" s="15">
        <v>147000.0</v>
      </c>
      <c r="DL664" s="15">
        <v>78000.0</v>
      </c>
      <c r="DM664" s="15">
        <v>61000.0</v>
      </c>
      <c r="DN664" s="15">
        <v>82000.0</v>
      </c>
      <c r="DO664" s="15">
        <v>74000.0</v>
      </c>
      <c r="DP664" s="15">
        <v>1450000.0</v>
      </c>
      <c r="DQ664" s="15">
        <v>1280000.0</v>
      </c>
      <c r="DR664" s="15">
        <v>1280000.0</v>
      </c>
      <c r="DS664" s="15">
        <v>1280000.0</v>
      </c>
      <c r="DT664" s="15">
        <v>1270000.0</v>
      </c>
      <c r="DU664" s="16">
        <v>0.0</v>
      </c>
      <c r="DV664" s="15">
        <v>0.0</v>
      </c>
      <c r="DW664" s="15">
        <v>0.0</v>
      </c>
      <c r="DX664" s="16">
        <v>0.0</v>
      </c>
      <c r="DY664" s="16">
        <v>0.0</v>
      </c>
      <c r="DZ664" s="15">
        <v>1590000.0</v>
      </c>
      <c r="EA664" s="15">
        <v>1520000.0</v>
      </c>
      <c r="EB664" s="15">
        <v>1760000.0</v>
      </c>
      <c r="EC664" s="15">
        <v>1650000.0</v>
      </c>
      <c r="ED664" s="15">
        <v>1490000.0</v>
      </c>
      <c r="EE664" s="17">
        <v>0.051</v>
      </c>
      <c r="EF664" s="17">
        <v>0.055</v>
      </c>
      <c r="EG664" s="17">
        <v>-0.064</v>
      </c>
      <c r="EH664" s="17">
        <v>-0.035</v>
      </c>
    </row>
    <row r="665">
      <c r="A665" s="9">
        <f t="shared" si="2"/>
        <v>663</v>
      </c>
      <c r="B665" s="10" t="s">
        <v>800</v>
      </c>
      <c r="C665" s="15">
        <v>830420.0</v>
      </c>
      <c r="D665" s="15">
        <v>756030.0</v>
      </c>
      <c r="E665" s="15">
        <v>673100.0</v>
      </c>
      <c r="F665" s="15">
        <v>723980.0</v>
      </c>
      <c r="G665" s="15">
        <v>687870.0</v>
      </c>
      <c r="H665" s="15">
        <v>804290.0</v>
      </c>
      <c r="I665" s="15">
        <v>691740.0</v>
      </c>
      <c r="J665" s="15">
        <v>121950.0</v>
      </c>
      <c r="K665" s="15">
        <v>157270.0</v>
      </c>
      <c r="L665" s="15">
        <v>156930.0</v>
      </c>
      <c r="M665" s="15">
        <v>194640.0</v>
      </c>
      <c r="N665" s="15">
        <v>163130.0</v>
      </c>
      <c r="O665" s="15">
        <v>140290.0</v>
      </c>
      <c r="P665" s="15">
        <v>153890.0</v>
      </c>
      <c r="Q665" s="15">
        <v>148540.0</v>
      </c>
      <c r="R665" s="15">
        <v>135310.0</v>
      </c>
      <c r="S665" s="15">
        <v>132460.0</v>
      </c>
      <c r="T665" s="15">
        <v>115080.0</v>
      </c>
      <c r="U665" s="15">
        <v>123100.0</v>
      </c>
      <c r="V665" s="15">
        <v>118130.0</v>
      </c>
      <c r="W665" s="15">
        <v>95980.0</v>
      </c>
      <c r="X665" s="15">
        <v>94420.0</v>
      </c>
      <c r="Y665" s="15">
        <v>-14590.0</v>
      </c>
      <c r="Z665" s="15">
        <v>5420.0</v>
      </c>
      <c r="AA665" s="15">
        <v>23320.0</v>
      </c>
      <c r="AB665" s="15">
        <v>0.0</v>
      </c>
      <c r="AC665" s="15">
        <v>0.0</v>
      </c>
      <c r="AD665" s="15">
        <v>-15320.0</v>
      </c>
      <c r="AE665" s="15">
        <v>8120.0</v>
      </c>
      <c r="AF665" s="15">
        <v>31420.0</v>
      </c>
      <c r="AG665" s="15">
        <v>60800.0</v>
      </c>
      <c r="AH665" s="15">
        <v>32940.0</v>
      </c>
      <c r="AI665" s="15">
        <v>6100.0</v>
      </c>
      <c r="AJ665" s="15">
        <v>23720.0</v>
      </c>
      <c r="AK665" s="15">
        <v>25140.0</v>
      </c>
      <c r="AL665" s="15">
        <v>73120.0</v>
      </c>
      <c r="AM665" s="15">
        <v>44830.0</v>
      </c>
      <c r="AN665" s="15">
        <v>-13640.0</v>
      </c>
      <c r="AO665" s="15">
        <v>8570.0</v>
      </c>
      <c r="AP665" s="15">
        <v>27790.0</v>
      </c>
      <c r="AQ665" s="15">
        <v>51000.0</v>
      </c>
      <c r="AR665" s="15">
        <v>25190.0</v>
      </c>
      <c r="AS665" s="15">
        <v>7670.0</v>
      </c>
      <c r="AT665" s="15">
        <v>4010.0</v>
      </c>
      <c r="AU665" s="15">
        <v>29510.0</v>
      </c>
      <c r="AV665" s="15">
        <v>84820.0</v>
      </c>
      <c r="AW665" s="15">
        <v>22530.0</v>
      </c>
      <c r="AX665" s="15">
        <v>-48990.0</v>
      </c>
      <c r="AY665" s="15">
        <v>-50620.0</v>
      </c>
      <c r="AZ665" s="15">
        <v>-40100.0</v>
      </c>
      <c r="BA665" s="15">
        <v>-7920.0</v>
      </c>
      <c r="BB665" s="15">
        <v>-9980.0</v>
      </c>
      <c r="BC665" s="15">
        <v>0.0</v>
      </c>
      <c r="BD665" s="15">
        <v>-17220.0</v>
      </c>
      <c r="BE665" s="15">
        <v>-41440.0</v>
      </c>
      <c r="BF665" s="15">
        <v>-22390.0</v>
      </c>
      <c r="BG665" s="15">
        <v>-51360.0</v>
      </c>
      <c r="BH665" s="15">
        <v>276110.0</v>
      </c>
      <c r="BI665" s="15">
        <v>281960.0</v>
      </c>
      <c r="BJ665" s="15">
        <v>295870.0</v>
      </c>
      <c r="BK665" s="15">
        <v>332830.0</v>
      </c>
      <c r="BL665" s="15">
        <v>328740.0</v>
      </c>
      <c r="BM665" s="15">
        <v>166240.0</v>
      </c>
      <c r="BN665" s="15">
        <v>192110.0</v>
      </c>
      <c r="BO665" s="15">
        <v>192060.0</v>
      </c>
      <c r="BP665" s="15">
        <v>198160.0</v>
      </c>
      <c r="BQ665" s="15">
        <v>177170.0</v>
      </c>
      <c r="BR665" s="15">
        <v>143780.0</v>
      </c>
      <c r="BS665" s="15">
        <v>162540.0</v>
      </c>
      <c r="BT665" s="15">
        <v>135180.0</v>
      </c>
      <c r="BU665" s="15">
        <v>149760.0</v>
      </c>
      <c r="BV665" s="15">
        <v>171350.0</v>
      </c>
      <c r="BW665" s="15">
        <v>604690.0</v>
      </c>
      <c r="BX665" s="15">
        <v>654330.0</v>
      </c>
      <c r="BY665" s="15">
        <v>662550.0</v>
      </c>
      <c r="BZ665" s="15">
        <v>703010.0</v>
      </c>
      <c r="CA665" s="15">
        <v>697740.0</v>
      </c>
      <c r="CB665" s="15">
        <v>138940.0</v>
      </c>
      <c r="CC665" s="15">
        <v>111050.0</v>
      </c>
      <c r="CD665" s="15">
        <v>84570.0</v>
      </c>
      <c r="CE665" s="15">
        <v>48180.0</v>
      </c>
      <c r="CF665" s="15">
        <v>54450.0</v>
      </c>
      <c r="CG665" s="15">
        <v>28140.0</v>
      </c>
      <c r="CH665" s="15">
        <v>28130.0</v>
      </c>
      <c r="CI665" s="15">
        <v>28130.0</v>
      </c>
      <c r="CJ665" s="15">
        <v>28140.0</v>
      </c>
      <c r="CK665" s="15">
        <v>28130.0</v>
      </c>
      <c r="CL665" s="15">
        <v>818510.0</v>
      </c>
      <c r="CM665" s="15">
        <v>836570.0</v>
      </c>
      <c r="CN665" s="15">
        <v>803100.0</v>
      </c>
      <c r="CO665" s="15">
        <v>799690.0</v>
      </c>
      <c r="CP665" s="15">
        <v>802230.0</v>
      </c>
      <c r="CQ665" s="15">
        <v>114320.0</v>
      </c>
      <c r="CR665" s="15">
        <v>150480.0</v>
      </c>
      <c r="CS665" s="15">
        <v>139920.0</v>
      </c>
      <c r="CT665" s="15">
        <v>142850.0</v>
      </c>
      <c r="CU665" s="15">
        <v>124410.0</v>
      </c>
      <c r="CV665" s="15">
        <v>380900.0</v>
      </c>
      <c r="CW665" s="15">
        <v>221350.0</v>
      </c>
      <c r="CX665" s="15">
        <v>183980.0</v>
      </c>
      <c r="CY665" s="15">
        <v>146980.0</v>
      </c>
      <c r="CZ665" s="15">
        <v>138010.0</v>
      </c>
      <c r="DA665" s="15">
        <v>179980.0</v>
      </c>
      <c r="DB665" s="15">
        <v>380900.0</v>
      </c>
      <c r="DC665" s="15">
        <v>391110.0</v>
      </c>
      <c r="DD665" s="15">
        <v>343690.0</v>
      </c>
      <c r="DE665" s="15">
        <v>324770.0</v>
      </c>
      <c r="DF665" s="15">
        <v>387250.0</v>
      </c>
      <c r="DG665" s="15">
        <v>394340.0</v>
      </c>
      <c r="DH665" s="15">
        <v>349570.0</v>
      </c>
      <c r="DI665" s="15">
        <v>327850.0</v>
      </c>
      <c r="DJ665" s="15">
        <v>357290.0</v>
      </c>
      <c r="DK665" s="15">
        <v>18090.0</v>
      </c>
      <c r="DL665" s="15">
        <v>14750.0</v>
      </c>
      <c r="DM665" s="15">
        <v>14330.0</v>
      </c>
      <c r="DN665" s="15">
        <v>14730.0</v>
      </c>
      <c r="DO665" s="15">
        <v>14980.0</v>
      </c>
      <c r="DP665" s="15">
        <v>2790.0</v>
      </c>
      <c r="DQ665" s="15">
        <v>0.0</v>
      </c>
      <c r="DR665" s="15">
        <v>0.0</v>
      </c>
      <c r="DS665" s="15">
        <v>0.0</v>
      </c>
      <c r="DT665" s="15">
        <v>0.0</v>
      </c>
      <c r="DU665" s="16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433000.0</v>
      </c>
      <c r="EA665" s="15">
        <v>446490.0</v>
      </c>
      <c r="EB665" s="15">
        <v>455270.0</v>
      </c>
      <c r="EC665" s="15">
        <v>467760.0</v>
      </c>
      <c r="ED665" s="15">
        <v>438640.0</v>
      </c>
      <c r="EE665" s="17">
        <v>0.206</v>
      </c>
      <c r="EF665" s="17">
        <v>0.104</v>
      </c>
      <c r="EG665" s="17">
        <v>1.0</v>
      </c>
      <c r="EH665" s="17">
        <v>0.625</v>
      </c>
    </row>
    <row r="666">
      <c r="A666" s="9">
        <f t="shared" si="2"/>
        <v>664</v>
      </c>
      <c r="B666" s="10" t="s">
        <v>801</v>
      </c>
      <c r="C666" s="15">
        <v>766960.0</v>
      </c>
      <c r="D666" s="15">
        <v>618500.0</v>
      </c>
      <c r="E666" s="15">
        <v>674570.0</v>
      </c>
      <c r="F666" s="15">
        <v>559040.0</v>
      </c>
      <c r="G666" s="15">
        <v>583780.0</v>
      </c>
      <c r="H666" s="15">
        <v>660160.0</v>
      </c>
      <c r="I666" s="15">
        <v>437370.0</v>
      </c>
      <c r="J666" s="15">
        <v>6930.0</v>
      </c>
      <c r="K666" s="15">
        <v>23960.0</v>
      </c>
      <c r="L666" s="15">
        <v>123620.0</v>
      </c>
      <c r="M666" s="15">
        <v>186560.0</v>
      </c>
      <c r="N666" s="15">
        <v>9260.0</v>
      </c>
      <c r="O666" s="15">
        <v>36370.0</v>
      </c>
      <c r="P666" s="15">
        <v>35120.0</v>
      </c>
      <c r="Q666" s="15">
        <v>33020.0</v>
      </c>
      <c r="R666" s="15">
        <v>44000.0</v>
      </c>
      <c r="S666" s="15">
        <v>33110.0</v>
      </c>
      <c r="T666" s="15">
        <v>0.0</v>
      </c>
      <c r="U666" s="15">
        <v>5440.0</v>
      </c>
      <c r="V666" s="15">
        <v>3280.0</v>
      </c>
      <c r="W666" s="15">
        <v>0.0</v>
      </c>
      <c r="X666" s="15">
        <v>0.0</v>
      </c>
      <c r="Y666" s="15">
        <v>-57530.0</v>
      </c>
      <c r="Z666" s="15">
        <v>-4080.0</v>
      </c>
      <c r="AA666" s="15">
        <v>-48820.0</v>
      </c>
      <c r="AB666" s="15">
        <v>-12650.0</v>
      </c>
      <c r="AC666" s="15">
        <v>-49090.0</v>
      </c>
      <c r="AD666" s="15">
        <v>-123660.0</v>
      </c>
      <c r="AE666" s="15">
        <v>-33260.0</v>
      </c>
      <c r="AF666" s="15">
        <v>-7560.0</v>
      </c>
      <c r="AG666" s="15">
        <v>96980.0</v>
      </c>
      <c r="AH666" s="15">
        <v>-30660.0</v>
      </c>
      <c r="AI666" s="15">
        <v>155250.0</v>
      </c>
      <c r="AJ666" s="15">
        <v>122020.0</v>
      </c>
      <c r="AK666" s="15">
        <v>207860.0</v>
      </c>
      <c r="AL666" s="15">
        <v>251110.0</v>
      </c>
      <c r="AM666" s="15">
        <v>73340.0</v>
      </c>
      <c r="AN666" s="15">
        <v>-99560.0</v>
      </c>
      <c r="AO666" s="15">
        <v>-26560.0</v>
      </c>
      <c r="AP666" s="15">
        <v>-28520.0</v>
      </c>
      <c r="AQ666" s="15">
        <v>69550.0</v>
      </c>
      <c r="AR666" s="15">
        <v>-86970.0</v>
      </c>
      <c r="AS666" s="15">
        <v>120870.0</v>
      </c>
      <c r="AT666" s="15">
        <v>94220.0</v>
      </c>
      <c r="AU666" s="15">
        <v>115880.0</v>
      </c>
      <c r="AV666" s="15">
        <v>225330.0</v>
      </c>
      <c r="AW666" s="15">
        <v>106450.0</v>
      </c>
      <c r="AX666" s="15">
        <v>-121420.0</v>
      </c>
      <c r="AY666" s="15">
        <v>-136930.0</v>
      </c>
      <c r="AZ666" s="15">
        <v>-98040.0</v>
      </c>
      <c r="BA666" s="15">
        <v>-164790.0</v>
      </c>
      <c r="BB666" s="15">
        <v>-137440.0</v>
      </c>
      <c r="BC666" s="15">
        <v>-5470.0</v>
      </c>
      <c r="BD666" s="15">
        <v>-4950.0</v>
      </c>
      <c r="BE666" s="15">
        <v>-4530.0</v>
      </c>
      <c r="BF666" s="15">
        <v>-4420.0</v>
      </c>
      <c r="BG666" s="15">
        <v>-4290.0</v>
      </c>
      <c r="BH666" s="15">
        <v>62450.0</v>
      </c>
      <c r="BI666" s="15">
        <v>27390.0</v>
      </c>
      <c r="BJ666" s="15">
        <v>219870.0</v>
      </c>
      <c r="BK666" s="15">
        <v>198890.0</v>
      </c>
      <c r="BL666" s="15">
        <v>155210.0</v>
      </c>
      <c r="BM666" s="15">
        <v>38420.0</v>
      </c>
      <c r="BN666" s="15">
        <v>25820.0</v>
      </c>
      <c r="BO666" s="15">
        <v>32190.0</v>
      </c>
      <c r="BP666" s="15">
        <v>30050.0</v>
      </c>
      <c r="BQ666" s="15">
        <v>41350.0</v>
      </c>
      <c r="BR666" s="15">
        <v>66210.0</v>
      </c>
      <c r="BS666" s="15">
        <v>87530.0</v>
      </c>
      <c r="BT666" s="15">
        <v>55470.0</v>
      </c>
      <c r="BU666" s="15">
        <v>50020.0</v>
      </c>
      <c r="BV666" s="15">
        <v>45540.0</v>
      </c>
      <c r="BW666" s="15">
        <v>179120.0</v>
      </c>
      <c r="BX666" s="15">
        <v>164150.0</v>
      </c>
      <c r="BY666" s="15">
        <v>321240.0</v>
      </c>
      <c r="BZ666" s="15">
        <v>291090.0</v>
      </c>
      <c r="CA666" s="15">
        <v>269530.0</v>
      </c>
      <c r="CB666" s="15">
        <v>2440000.0</v>
      </c>
      <c r="CC666" s="15">
        <v>2520000.0</v>
      </c>
      <c r="CD666" s="15">
        <v>2000000.0</v>
      </c>
      <c r="CE666" s="15">
        <v>2030000.0</v>
      </c>
      <c r="CF666" s="15">
        <v>1900000.0</v>
      </c>
      <c r="CG666" s="15">
        <v>0.0</v>
      </c>
      <c r="CH666" s="15">
        <v>0.0</v>
      </c>
      <c r="CI666" s="15">
        <v>0.0</v>
      </c>
      <c r="CJ666" s="15">
        <v>0.0</v>
      </c>
      <c r="CK666" s="15">
        <v>0.0</v>
      </c>
      <c r="CL666" s="15">
        <v>2640000.0</v>
      </c>
      <c r="CM666" s="15">
        <v>2700000.0</v>
      </c>
      <c r="CN666" s="15">
        <v>2350000.0</v>
      </c>
      <c r="CO666" s="15">
        <v>2370000.0</v>
      </c>
      <c r="CP666" s="15">
        <v>2220000.0</v>
      </c>
      <c r="CQ666" s="15">
        <v>57720.0</v>
      </c>
      <c r="CR666" s="15">
        <v>77860.0</v>
      </c>
      <c r="CS666" s="15">
        <v>46550.0</v>
      </c>
      <c r="CT666" s="15">
        <v>60060.0</v>
      </c>
      <c r="CU666" s="15">
        <v>51280.0</v>
      </c>
      <c r="CV666" s="15">
        <v>116970.0</v>
      </c>
      <c r="CW666" s="15">
        <v>5580.0</v>
      </c>
      <c r="CX666" s="16">
        <v>0.0</v>
      </c>
      <c r="CY666" s="16">
        <v>0.0</v>
      </c>
      <c r="CZ666" s="16">
        <v>0.0</v>
      </c>
      <c r="DA666" s="15">
        <v>0.0</v>
      </c>
      <c r="DB666" s="15">
        <v>116970.0</v>
      </c>
      <c r="DC666" s="15">
        <v>136190.0</v>
      </c>
      <c r="DD666" s="15">
        <v>112130.0</v>
      </c>
      <c r="DE666" s="15">
        <v>126230.0</v>
      </c>
      <c r="DF666" s="15">
        <v>944890.0</v>
      </c>
      <c r="DG666" s="15">
        <v>1010000.0</v>
      </c>
      <c r="DH666" s="15">
        <v>883880.0</v>
      </c>
      <c r="DI666" s="15">
        <v>891830.0</v>
      </c>
      <c r="DJ666" s="15">
        <v>883000.0</v>
      </c>
      <c r="DK666" s="15">
        <v>7830.0</v>
      </c>
      <c r="DL666" s="15">
        <v>7610.0</v>
      </c>
      <c r="DM666" s="15">
        <v>8590.0</v>
      </c>
      <c r="DN666" s="15">
        <v>7200.0</v>
      </c>
      <c r="DO666" s="15">
        <v>2510.0</v>
      </c>
      <c r="DP666" s="15">
        <v>522760.0</v>
      </c>
      <c r="DQ666" s="15">
        <v>540670.0</v>
      </c>
      <c r="DR666" s="15">
        <v>508420.0</v>
      </c>
      <c r="DS666" s="15">
        <v>506820.0</v>
      </c>
      <c r="DT666" s="15">
        <v>509040.0</v>
      </c>
      <c r="DU666" s="16">
        <v>0.0</v>
      </c>
      <c r="DV666" s="15">
        <v>0.0</v>
      </c>
      <c r="DW666" s="15">
        <v>0.0</v>
      </c>
      <c r="DX666" s="15">
        <v>0.0</v>
      </c>
      <c r="DY666" s="16">
        <v>0.0</v>
      </c>
      <c r="DZ666" s="15">
        <v>1690000.0</v>
      </c>
      <c r="EA666" s="15">
        <v>1690000.0</v>
      </c>
      <c r="EB666" s="15">
        <v>1460000.0</v>
      </c>
      <c r="EC666" s="15">
        <v>1480000.0</v>
      </c>
      <c r="ED666" s="15">
        <v>1340000.0</v>
      </c>
      <c r="EE666" s="17">
        <v>0.282</v>
      </c>
      <c r="EF666" s="17">
        <v>0.545</v>
      </c>
      <c r="EG666" s="17">
        <v>-0.5</v>
      </c>
      <c r="EH666" s="17">
        <v>-0.813</v>
      </c>
    </row>
    <row r="667">
      <c r="A667" s="9">
        <f t="shared" si="2"/>
        <v>665</v>
      </c>
      <c r="B667" s="25" t="s">
        <v>802</v>
      </c>
      <c r="C667" s="15">
        <v>5490000.0</v>
      </c>
      <c r="D667" s="15">
        <v>5210000.0</v>
      </c>
      <c r="E667" s="15">
        <v>4880000.0</v>
      </c>
      <c r="F667" s="15">
        <v>4890000.0</v>
      </c>
      <c r="G667" s="15">
        <v>4430000.0</v>
      </c>
      <c r="H667" s="15">
        <v>4490000.0</v>
      </c>
      <c r="I667" s="15">
        <v>4470000.0</v>
      </c>
      <c r="J667" s="15">
        <v>3840000.0</v>
      </c>
      <c r="K667" s="15">
        <v>3890000.0</v>
      </c>
      <c r="L667" s="15">
        <v>3500000.0</v>
      </c>
      <c r="M667" s="15">
        <v>3540000.0</v>
      </c>
      <c r="N667" s="15">
        <v>3510000.0</v>
      </c>
      <c r="O667" s="15">
        <v>3310000.0</v>
      </c>
      <c r="P667" s="15">
        <v>3230000.0</v>
      </c>
      <c r="Q667" s="15">
        <v>1670000.0</v>
      </c>
      <c r="R667" s="15">
        <v>1860000.0</v>
      </c>
      <c r="S667" s="15">
        <v>2910000.0</v>
      </c>
      <c r="T667" s="15"/>
      <c r="U667" s="15"/>
      <c r="V667" s="15"/>
      <c r="W667" s="15"/>
      <c r="X667" s="15"/>
      <c r="Y667" s="15">
        <v>551500.0</v>
      </c>
      <c r="Z667" s="15">
        <v>596200.0</v>
      </c>
      <c r="AA667" s="15">
        <v>569000.0</v>
      </c>
      <c r="AB667" s="15">
        <v>402600.0</v>
      </c>
      <c r="AC667" s="15">
        <v>590700.0</v>
      </c>
      <c r="AD667" s="15">
        <v>451400.0</v>
      </c>
      <c r="AE667" s="15">
        <v>464200.0</v>
      </c>
      <c r="AF667" s="15">
        <v>471200.0</v>
      </c>
      <c r="AG667" s="15">
        <v>364700.0</v>
      </c>
      <c r="AH667" s="15">
        <v>486400.0</v>
      </c>
      <c r="AI667" s="15">
        <v>629600.0</v>
      </c>
      <c r="AJ667" s="15">
        <v>760000.0</v>
      </c>
      <c r="AK667" s="15">
        <v>677500.0</v>
      </c>
      <c r="AL667" s="15">
        <v>505000.0</v>
      </c>
      <c r="AM667" s="15">
        <v>697800.0</v>
      </c>
      <c r="AN667" s="15">
        <v>311000.0</v>
      </c>
      <c r="AO667" s="15">
        <v>296600.0</v>
      </c>
      <c r="AP667" s="15">
        <v>213900.0</v>
      </c>
      <c r="AQ667" s="15">
        <v>260000.0</v>
      </c>
      <c r="AR667" s="15">
        <v>339100.0</v>
      </c>
      <c r="AS667" s="15">
        <v>457500.0</v>
      </c>
      <c r="AT667" s="15">
        <v>648400.0</v>
      </c>
      <c r="AU667" s="15">
        <v>590800.0</v>
      </c>
      <c r="AV667" s="15">
        <v>367300.0</v>
      </c>
      <c r="AW667" s="15">
        <v>628700.0</v>
      </c>
      <c r="AX667" s="15">
        <v>-106100.0</v>
      </c>
      <c r="AY667" s="15">
        <v>-84000.0</v>
      </c>
      <c r="AZ667" s="15">
        <v>-95500.0</v>
      </c>
      <c r="BA667" s="15">
        <v>-143400.0</v>
      </c>
      <c r="BB667" s="15">
        <v>-79000.0</v>
      </c>
      <c r="BC667" s="13"/>
      <c r="BD667" s="13"/>
      <c r="BE667" s="13"/>
      <c r="BF667" s="13"/>
      <c r="BG667" s="13"/>
      <c r="BH667" s="15">
        <v>841900.0</v>
      </c>
      <c r="BI667" s="15">
        <v>1200000.0</v>
      </c>
      <c r="BJ667" s="15">
        <v>1280000.0</v>
      </c>
      <c r="BK667" s="15">
        <v>844000.0</v>
      </c>
      <c r="BL667" s="15">
        <v>889800.0</v>
      </c>
      <c r="BM667" s="15">
        <v>91000.0</v>
      </c>
      <c r="BN667" s="15">
        <v>70500.0</v>
      </c>
      <c r="BO667" s="15">
        <v>93300.0</v>
      </c>
      <c r="BP667" s="15">
        <v>70300.0</v>
      </c>
      <c r="BQ667" s="15">
        <v>69900.0</v>
      </c>
      <c r="BR667" s="15">
        <v>436200.0</v>
      </c>
      <c r="BS667" s="15">
        <v>381800.0</v>
      </c>
      <c r="BT667" s="15">
        <v>341200.0</v>
      </c>
      <c r="BU667" s="15">
        <v>371300.0</v>
      </c>
      <c r="BV667" s="15">
        <v>332000.0</v>
      </c>
      <c r="BW667" s="15">
        <v>1490000.0</v>
      </c>
      <c r="BX667" s="15">
        <v>1810000.0</v>
      </c>
      <c r="BY667" s="15">
        <v>1860000.0</v>
      </c>
      <c r="BZ667" s="15">
        <v>1460000.0</v>
      </c>
      <c r="CA667" s="15">
        <v>1570000.0</v>
      </c>
      <c r="CB667" s="15">
        <v>561000.0</v>
      </c>
      <c r="CC667" s="15">
        <v>360000.0</v>
      </c>
      <c r="CD667" s="15">
        <v>377500.0</v>
      </c>
      <c r="CE667" s="15">
        <v>378000.0</v>
      </c>
      <c r="CF667" s="15">
        <v>339200.0</v>
      </c>
      <c r="CG667" s="15">
        <v>91500.0</v>
      </c>
      <c r="CH667" s="15">
        <v>92900.0</v>
      </c>
      <c r="CI667" s="15">
        <v>96900.0</v>
      </c>
      <c r="CJ667" s="15">
        <v>89900.0</v>
      </c>
      <c r="CK667" s="15">
        <v>91800.0</v>
      </c>
      <c r="CL667" s="15">
        <v>2680000.0</v>
      </c>
      <c r="CM667" s="15">
        <v>2790000.0</v>
      </c>
      <c r="CN667" s="15">
        <v>2900000.0</v>
      </c>
      <c r="CO667" s="15">
        <v>2570000.0</v>
      </c>
      <c r="CP667" s="15">
        <v>2480000.0</v>
      </c>
      <c r="CQ667" s="15">
        <v>81600.0</v>
      </c>
      <c r="CR667" s="15">
        <v>81100.0</v>
      </c>
      <c r="CS667" s="15">
        <v>67800.0</v>
      </c>
      <c r="CT667" s="15">
        <v>66000.0</v>
      </c>
      <c r="CU667" s="15">
        <v>71100.0</v>
      </c>
      <c r="CV667" s="15">
        <v>964400.0</v>
      </c>
      <c r="CW667" s="15">
        <v>37400.0</v>
      </c>
      <c r="CX667" s="15"/>
      <c r="CY667" s="15"/>
      <c r="CZ667" s="15"/>
      <c r="DA667" s="15"/>
      <c r="DB667" s="15">
        <v>964400.0</v>
      </c>
      <c r="DC667" s="15">
        <v>1590000.0</v>
      </c>
      <c r="DD667" s="15">
        <v>906800.0</v>
      </c>
      <c r="DE667" s="15">
        <v>791500.0</v>
      </c>
      <c r="DF667" s="15">
        <v>3070000.0</v>
      </c>
      <c r="DG667" s="15">
        <v>3510000.0</v>
      </c>
      <c r="DH667" s="15">
        <v>3230000.0</v>
      </c>
      <c r="DI667" s="15">
        <v>2370000.0</v>
      </c>
      <c r="DJ667" s="15">
        <v>2530000.0</v>
      </c>
      <c r="DK667" s="15">
        <v>5600.0</v>
      </c>
      <c r="DL667" s="15">
        <v>12800.0</v>
      </c>
      <c r="DM667" s="15"/>
      <c r="DN667" s="12"/>
      <c r="DO667" s="15"/>
      <c r="DP667" s="15">
        <v>1950000.0</v>
      </c>
      <c r="DQ667" s="15">
        <v>1770000.0</v>
      </c>
      <c r="DR667" s="15">
        <v>2170000.0</v>
      </c>
      <c r="DS667" s="15">
        <v>1440000.0</v>
      </c>
      <c r="DT667" s="15">
        <v>1390000.0</v>
      </c>
      <c r="DU667" s="13"/>
      <c r="DV667" s="12"/>
      <c r="DW667" s="12"/>
      <c r="DX667" s="13"/>
      <c r="DY667" s="13"/>
      <c r="DZ667" s="15">
        <v>-390000.0</v>
      </c>
      <c r="EA667" s="15">
        <v>-723400.0</v>
      </c>
      <c r="EB667" s="15">
        <v>-334700.0</v>
      </c>
      <c r="EC667" s="15">
        <v>196300.0</v>
      </c>
      <c r="ED667" s="15">
        <v>-53500.0</v>
      </c>
      <c r="EE667" s="17">
        <v>0.006</v>
      </c>
      <c r="EF667" s="17">
        <v>0.024</v>
      </c>
      <c r="EG667" s="17">
        <v>0.105</v>
      </c>
      <c r="EH667" s="17">
        <v>0.207</v>
      </c>
    </row>
    <row r="668">
      <c r="A668" s="9">
        <f t="shared" si="2"/>
        <v>666</v>
      </c>
      <c r="B668" s="10" t="s">
        <v>803</v>
      </c>
      <c r="C668" s="15">
        <v>8510000.0</v>
      </c>
      <c r="D668" s="15">
        <v>5870000.0</v>
      </c>
      <c r="E668" s="15">
        <v>9480000.0</v>
      </c>
      <c r="F668" s="15">
        <v>8910000.0</v>
      </c>
      <c r="G668" s="15">
        <v>8130000.0</v>
      </c>
      <c r="H668" s="15">
        <v>7380000.0</v>
      </c>
      <c r="I668" s="15">
        <v>1.127E7</v>
      </c>
      <c r="J668" s="15">
        <v>2090000.0</v>
      </c>
      <c r="K668" s="15">
        <v>1930000.0</v>
      </c>
      <c r="L668" s="15">
        <v>1630000.0</v>
      </c>
      <c r="M668" s="15">
        <v>1410000.0</v>
      </c>
      <c r="N668" s="15">
        <v>2390000.0</v>
      </c>
      <c r="O668" s="15">
        <v>441000.0</v>
      </c>
      <c r="P668" s="15">
        <v>443000.0</v>
      </c>
      <c r="Q668" s="15">
        <v>439000.0</v>
      </c>
      <c r="R668" s="15">
        <v>403000.0</v>
      </c>
      <c r="S668" s="15">
        <v>611000.0</v>
      </c>
      <c r="T668" s="15">
        <v>0.0</v>
      </c>
      <c r="U668" s="15">
        <v>0.0</v>
      </c>
      <c r="V668" s="15">
        <v>0.0</v>
      </c>
      <c r="W668" s="15">
        <v>0.0</v>
      </c>
      <c r="X668" s="15">
        <v>0.0</v>
      </c>
      <c r="Y668" s="15">
        <v>0.0</v>
      </c>
      <c r="Z668" s="15">
        <v>1420000.0</v>
      </c>
      <c r="AA668" s="15">
        <v>-48000.0</v>
      </c>
      <c r="AB668" s="15">
        <v>7000.0</v>
      </c>
      <c r="AC668" s="15">
        <v>0.0</v>
      </c>
      <c r="AD668" s="15">
        <v>1240000.0</v>
      </c>
      <c r="AE668" s="15">
        <v>1080000.0</v>
      </c>
      <c r="AF668" s="15">
        <v>753000.0</v>
      </c>
      <c r="AG668" s="15">
        <v>556000.0</v>
      </c>
      <c r="AH668" s="15">
        <v>1500000.0</v>
      </c>
      <c r="AI668" s="15">
        <v>1950000.0</v>
      </c>
      <c r="AJ668" s="15">
        <v>1760000.0</v>
      </c>
      <c r="AK668" s="15">
        <v>1470000.0</v>
      </c>
      <c r="AL668" s="15">
        <v>1310000.0</v>
      </c>
      <c r="AM668" s="15">
        <v>2470000.0</v>
      </c>
      <c r="AN668" s="15">
        <v>881000.0</v>
      </c>
      <c r="AO668" s="15">
        <v>764000.0</v>
      </c>
      <c r="AP668" s="15">
        <v>1080000.0</v>
      </c>
      <c r="AQ668" s="15">
        <v>-24000.0</v>
      </c>
      <c r="AR668" s="15">
        <v>1400000.0</v>
      </c>
      <c r="AS668" s="15">
        <v>1460000.0</v>
      </c>
      <c r="AT668" s="15">
        <v>1260000.0</v>
      </c>
      <c r="AU668" s="15">
        <v>849000.0</v>
      </c>
      <c r="AV668" s="15">
        <v>1370000.0</v>
      </c>
      <c r="AW668" s="15">
        <v>1410000.0</v>
      </c>
      <c r="AX668" s="15">
        <v>-205000.0</v>
      </c>
      <c r="AY668" s="15">
        <v>-159000.0</v>
      </c>
      <c r="AZ668" s="15">
        <v>-133000.0</v>
      </c>
      <c r="BA668" s="15">
        <v>-453000.0</v>
      </c>
      <c r="BB668" s="15">
        <v>-409000.0</v>
      </c>
      <c r="BC668" s="15">
        <v>-172000.0</v>
      </c>
      <c r="BD668" s="15">
        <v>-181000.0</v>
      </c>
      <c r="BE668" s="15">
        <v>-195000.0</v>
      </c>
      <c r="BF668" s="15">
        <v>-277000.0</v>
      </c>
      <c r="BG668" s="15">
        <v>-138000.0</v>
      </c>
      <c r="BH668" s="15">
        <v>630000.0</v>
      </c>
      <c r="BI668" s="15">
        <v>484000.0</v>
      </c>
      <c r="BJ668" s="15">
        <v>670000.0</v>
      </c>
      <c r="BK668" s="15">
        <v>1180000.0</v>
      </c>
      <c r="BL668" s="15">
        <v>856000.0</v>
      </c>
      <c r="BM668" s="15">
        <v>1260000.0</v>
      </c>
      <c r="BN668" s="15">
        <v>1170000.0</v>
      </c>
      <c r="BO668" s="15">
        <v>1040000.0</v>
      </c>
      <c r="BP668" s="15">
        <v>768000.0</v>
      </c>
      <c r="BQ668" s="15">
        <v>1100000.0</v>
      </c>
      <c r="BR668" s="15">
        <v>0.0</v>
      </c>
      <c r="BS668" s="15">
        <v>0.0</v>
      </c>
      <c r="BT668" s="15">
        <v>0.0</v>
      </c>
      <c r="BU668" s="15">
        <v>0.0</v>
      </c>
      <c r="BV668" s="15">
        <v>442000.0</v>
      </c>
      <c r="BW668" s="15">
        <v>2090000.0</v>
      </c>
      <c r="BX668" s="15">
        <v>1980000.0</v>
      </c>
      <c r="BY668" s="15">
        <v>2010000.0</v>
      </c>
      <c r="BZ668" s="15">
        <v>3560000.0</v>
      </c>
      <c r="CA668" s="15">
        <v>2590000.0</v>
      </c>
      <c r="CB668" s="15">
        <v>1250000.0</v>
      </c>
      <c r="CC668" s="15">
        <v>367000.0</v>
      </c>
      <c r="CD668" s="15">
        <v>353000.0</v>
      </c>
      <c r="CE668" s="15">
        <v>341000.0</v>
      </c>
      <c r="CF668" s="15">
        <v>9120000.0</v>
      </c>
      <c r="CG668" s="15">
        <v>5160000.0</v>
      </c>
      <c r="CH668" s="15">
        <v>5160000.0</v>
      </c>
      <c r="CI668" s="15">
        <v>5190000.0</v>
      </c>
      <c r="CJ668" s="15">
        <v>5220000.0</v>
      </c>
      <c r="CK668" s="15">
        <v>5890000.0</v>
      </c>
      <c r="CL668" s="15">
        <v>1.496E7</v>
      </c>
      <c r="CM668" s="15">
        <v>1.4E7</v>
      </c>
      <c r="CN668" s="15">
        <v>1.423E7</v>
      </c>
      <c r="CO668" s="15">
        <v>2.621E7</v>
      </c>
      <c r="CP668" s="15">
        <v>2.562E7</v>
      </c>
      <c r="CQ668" s="15">
        <v>303000.0</v>
      </c>
      <c r="CR668" s="15">
        <v>283000.0</v>
      </c>
      <c r="CS668" s="15">
        <v>282000.0</v>
      </c>
      <c r="CT668" s="15">
        <v>314000.0</v>
      </c>
      <c r="CU668" s="15">
        <v>331000.0</v>
      </c>
      <c r="CV668" s="15">
        <v>2870000.0</v>
      </c>
      <c r="CW668" s="15">
        <v>133000.0</v>
      </c>
      <c r="CX668" s="16">
        <v>0.0</v>
      </c>
      <c r="CY668" s="16">
        <v>0.0</v>
      </c>
      <c r="CZ668" s="16">
        <v>0.0</v>
      </c>
      <c r="DA668" s="15">
        <v>0.0</v>
      </c>
      <c r="DB668" s="15">
        <v>2870000.0</v>
      </c>
      <c r="DC668" s="15">
        <v>2620000.0</v>
      </c>
      <c r="DD668" s="15">
        <v>2460000.0</v>
      </c>
      <c r="DE668" s="15">
        <v>2680000.0</v>
      </c>
      <c r="DF668" s="15">
        <v>1.543E7</v>
      </c>
      <c r="DG668" s="15">
        <v>1.344E7</v>
      </c>
      <c r="DH668" s="15">
        <v>1.254E7</v>
      </c>
      <c r="DI668" s="15">
        <v>2.036E7</v>
      </c>
      <c r="DJ668" s="15">
        <v>1.967E7</v>
      </c>
      <c r="DK668" s="15">
        <v>0.0</v>
      </c>
      <c r="DL668" s="15">
        <v>0.0</v>
      </c>
      <c r="DM668" s="15">
        <v>0.0</v>
      </c>
      <c r="DN668" s="15">
        <v>0.0</v>
      </c>
      <c r="DO668" s="15">
        <v>138000.0</v>
      </c>
      <c r="DP668" s="15">
        <v>1.272E7</v>
      </c>
      <c r="DQ668" s="15">
        <v>1.242E7</v>
      </c>
      <c r="DR668" s="15">
        <v>1.153E7</v>
      </c>
      <c r="DS668" s="15">
        <v>1.172E7</v>
      </c>
      <c r="DT668" s="15">
        <v>1.237E7</v>
      </c>
      <c r="DU668" s="16">
        <v>0.0</v>
      </c>
      <c r="DV668" s="15">
        <v>0.0</v>
      </c>
      <c r="DW668" s="15">
        <v>0.0</v>
      </c>
      <c r="DX668" s="15">
        <v>0.0</v>
      </c>
      <c r="DY668" s="15">
        <v>0.0</v>
      </c>
      <c r="DZ668" s="15">
        <v>-482000.0</v>
      </c>
      <c r="EA668" s="15">
        <v>551000.0</v>
      </c>
      <c r="EB668" s="15">
        <v>1690000.0</v>
      </c>
      <c r="EC668" s="15">
        <v>5900000.0</v>
      </c>
      <c r="ED668" s="15">
        <v>5990000.0</v>
      </c>
      <c r="EE668" s="17">
        <v>0.53</v>
      </c>
      <c r="EF668" s="17">
        <v>0.344</v>
      </c>
      <c r="EG668" s="17">
        <v>0.345</v>
      </c>
      <c r="EH668" s="17">
        <v>0.117</v>
      </c>
    </row>
    <row r="669">
      <c r="A669" s="9">
        <f t="shared" si="2"/>
        <v>667</v>
      </c>
      <c r="B669" s="25" t="s">
        <v>804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>
        <v>6.6762E8</v>
      </c>
      <c r="U669" s="15">
        <v>6.5881E8</v>
      </c>
      <c r="V669" s="15">
        <v>5.9793E8</v>
      </c>
      <c r="W669" s="15">
        <v>5.3888E8</v>
      </c>
      <c r="X669" s="15">
        <v>5.2882E8</v>
      </c>
      <c r="Y669" s="15">
        <v>6.1437E8</v>
      </c>
      <c r="Z669" s="15">
        <v>6.7147E8</v>
      </c>
      <c r="AA669" s="15">
        <v>9.0069E8</v>
      </c>
      <c r="AB669" s="15">
        <v>7.893E8</v>
      </c>
      <c r="AC669" s="15">
        <v>5.3905E8</v>
      </c>
      <c r="AD669" s="15">
        <v>7.8992E8</v>
      </c>
      <c r="AE669" s="15">
        <v>9.7938E8</v>
      </c>
      <c r="AF669" s="12"/>
      <c r="AG669" s="15"/>
      <c r="AH669" s="15">
        <v>6.3545E8</v>
      </c>
      <c r="AI669" s="12"/>
      <c r="AJ669" s="12"/>
      <c r="AK669" s="12"/>
      <c r="AL669" s="15"/>
      <c r="AM669" s="15"/>
      <c r="AN669" s="15">
        <v>4.5575E8</v>
      </c>
      <c r="AO669" s="15">
        <v>6.1032E8</v>
      </c>
      <c r="AP669" s="12"/>
      <c r="AQ669" s="15">
        <v>6.1657E8</v>
      </c>
      <c r="AR669" s="15">
        <v>3.4453E8</v>
      </c>
      <c r="AS669" s="15">
        <v>9.7942E8</v>
      </c>
      <c r="AT669" s="15">
        <v>7.7599E8</v>
      </c>
      <c r="AU669" s="15">
        <v>9.8767E8</v>
      </c>
      <c r="AV669" s="15">
        <v>8.8507E8</v>
      </c>
      <c r="AW669" s="15"/>
      <c r="AX669" s="15">
        <v>-6.0126E8</v>
      </c>
      <c r="AY669" s="15">
        <v>-6.0781E8</v>
      </c>
      <c r="AZ669" s="15">
        <v>-5.7249E8</v>
      </c>
      <c r="BA669" s="15">
        <v>-6.3745E8</v>
      </c>
      <c r="BB669" s="15">
        <v>-8.7196E8</v>
      </c>
      <c r="BC669" s="15">
        <v>-1.968E8</v>
      </c>
      <c r="BD669" s="15">
        <v>-1.9427E8</v>
      </c>
      <c r="BE669" s="15">
        <v>-1.7422E8</v>
      </c>
      <c r="BF669" s="15">
        <v>-1.6221E8</v>
      </c>
      <c r="BG669" s="15">
        <v>-1.586E8</v>
      </c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>
        <v>8.4418E8</v>
      </c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>
        <v>5.9726E8</v>
      </c>
      <c r="DO669" s="15">
        <v>5.93E8</v>
      </c>
      <c r="DP669" s="15"/>
      <c r="DQ669" s="15"/>
      <c r="DR669" s="15"/>
      <c r="DS669" s="15"/>
      <c r="DT669" s="15"/>
      <c r="DU669" s="13"/>
      <c r="DV669" s="12"/>
      <c r="DW669" s="12"/>
      <c r="DX669" s="13"/>
      <c r="DY669" s="13"/>
      <c r="DZ669" s="12"/>
      <c r="EA669" s="15"/>
      <c r="EB669" s="15"/>
      <c r="EC669" s="15"/>
      <c r="ED669" s="15"/>
      <c r="EE669" s="17"/>
      <c r="EF669" s="17"/>
      <c r="EG669" s="23" t="s">
        <v>155</v>
      </c>
      <c r="EH669" s="17"/>
    </row>
    <row r="670">
      <c r="A670" s="9">
        <f t="shared" si="2"/>
        <v>668</v>
      </c>
      <c r="B670" s="10" t="s">
        <v>805</v>
      </c>
      <c r="C670" s="11">
        <v>151040.0</v>
      </c>
      <c r="D670" s="11">
        <v>142850.0</v>
      </c>
      <c r="E670" s="11">
        <v>145320.0</v>
      </c>
      <c r="F670" s="11">
        <v>144950.0</v>
      </c>
      <c r="G670" s="11">
        <v>143530.0</v>
      </c>
      <c r="H670" s="11">
        <v>91110.0</v>
      </c>
      <c r="I670" s="11">
        <v>57470.0</v>
      </c>
      <c r="J670" s="11">
        <v>92970.0</v>
      </c>
      <c r="K670" s="11">
        <v>99610.0</v>
      </c>
      <c r="L670" s="11">
        <v>98540.0</v>
      </c>
      <c r="M670" s="11">
        <v>64160.0</v>
      </c>
      <c r="N670" s="11">
        <v>45130.0</v>
      </c>
      <c r="O670" s="11">
        <v>9860.0</v>
      </c>
      <c r="P670" s="11">
        <v>8920.0</v>
      </c>
      <c r="Q670" s="11">
        <v>9910.0</v>
      </c>
      <c r="R670" s="11">
        <v>9720.0</v>
      </c>
      <c r="S670" s="11">
        <v>8730.0</v>
      </c>
      <c r="T670" s="12"/>
      <c r="U670" s="12"/>
      <c r="V670" s="12"/>
      <c r="W670" s="12"/>
      <c r="X670" s="12"/>
      <c r="Y670" s="11">
        <v>84140.0</v>
      </c>
      <c r="Z670" s="11">
        <v>95380.0</v>
      </c>
      <c r="AA670" s="11">
        <v>91090.0</v>
      </c>
      <c r="AB670" s="11">
        <v>56280.0</v>
      </c>
      <c r="AC670" s="11">
        <v>37350.0</v>
      </c>
      <c r="AD670" s="11">
        <v>60020.0</v>
      </c>
      <c r="AE670" s="11">
        <v>85930.0</v>
      </c>
      <c r="AF670" s="11">
        <v>63070.0</v>
      </c>
      <c r="AG670" s="11">
        <v>45250.0</v>
      </c>
      <c r="AH670" s="11">
        <v>41590.0</v>
      </c>
      <c r="AI670" s="11">
        <v>104590.0</v>
      </c>
      <c r="AJ670" s="11">
        <v>111840.0</v>
      </c>
      <c r="AK670" s="11">
        <v>109680.0</v>
      </c>
      <c r="AL670" s="11">
        <v>64990.0</v>
      </c>
      <c r="AM670" s="11">
        <v>39050.0</v>
      </c>
      <c r="AN670" s="11">
        <v>52740.0</v>
      </c>
      <c r="AO670" s="11">
        <v>77620.0</v>
      </c>
      <c r="AP670" s="11">
        <v>48780.0</v>
      </c>
      <c r="AQ670" s="11">
        <v>41380.0</v>
      </c>
      <c r="AR670" s="11">
        <v>41280.0</v>
      </c>
      <c r="AS670" s="11">
        <v>85250.0</v>
      </c>
      <c r="AT670" s="11">
        <v>91680.0</v>
      </c>
      <c r="AU670" s="11">
        <v>79950.0</v>
      </c>
      <c r="AV670" s="11">
        <v>36600.0</v>
      </c>
      <c r="AW670" s="11">
        <v>32780.0</v>
      </c>
      <c r="AX670" s="12">
        <v>-269.0</v>
      </c>
      <c r="AY670" s="12">
        <v>-747.0</v>
      </c>
      <c r="AZ670" s="12">
        <v>-21.0</v>
      </c>
      <c r="BA670" s="12">
        <v>-537.0</v>
      </c>
      <c r="BB670" s="12">
        <v>-955.0</v>
      </c>
      <c r="BC670" s="11">
        <v>-73800.0</v>
      </c>
      <c r="BD670" s="11">
        <v>-72500.0</v>
      </c>
      <c r="BE670" s="11">
        <v>-57040.0</v>
      </c>
      <c r="BF670" s="11">
        <v>-43880.0</v>
      </c>
      <c r="BG670" s="11">
        <v>-35520.0</v>
      </c>
      <c r="BH670" s="11">
        <v>47190.0</v>
      </c>
      <c r="BI670" s="11">
        <v>32330.0</v>
      </c>
      <c r="BJ670" s="11">
        <v>29640.0</v>
      </c>
      <c r="BK670" s="11">
        <v>26970.0</v>
      </c>
      <c r="BL670" s="11">
        <v>43500.0</v>
      </c>
      <c r="BM670" s="11">
        <v>9580.0</v>
      </c>
      <c r="BN670" s="11">
        <v>9720.0</v>
      </c>
      <c r="BO670" s="11">
        <v>15660.0</v>
      </c>
      <c r="BP670" s="11">
        <v>16090.0</v>
      </c>
      <c r="BQ670" s="11">
        <v>22760.0</v>
      </c>
      <c r="BR670" s="11">
        <v>463.0</v>
      </c>
      <c r="BS670" s="11">
        <v>646.0</v>
      </c>
      <c r="BT670" s="11">
        <v>668.0</v>
      </c>
      <c r="BU670" s="11">
        <v>697.0</v>
      </c>
      <c r="BV670" s="11">
        <v>767.0</v>
      </c>
      <c r="BW670" s="11">
        <v>59770.0</v>
      </c>
      <c r="BX670" s="11">
        <v>46870.0</v>
      </c>
      <c r="BY670" s="11">
        <v>46430.0</v>
      </c>
      <c r="BZ670" s="11">
        <v>44360.0</v>
      </c>
      <c r="CA670" s="11">
        <v>67940.0</v>
      </c>
      <c r="CB670" s="11">
        <v>640690.0</v>
      </c>
      <c r="CC670" s="11">
        <v>658760.0</v>
      </c>
      <c r="CD670" s="11">
        <v>679650.0</v>
      </c>
      <c r="CE670" s="11">
        <v>343180.0</v>
      </c>
      <c r="CF670" s="11">
        <v>353200.0</v>
      </c>
      <c r="CG670" s="12">
        <v>251.0</v>
      </c>
      <c r="CH670" s="12">
        <v>251.0</v>
      </c>
      <c r="CI670" s="12">
        <v>251.0</v>
      </c>
      <c r="CJ670" s="12">
        <v>251.0</v>
      </c>
      <c r="CK670" s="12">
        <v>251.0</v>
      </c>
      <c r="CL670" s="11">
        <v>1010000.0</v>
      </c>
      <c r="CM670" s="11">
        <v>1020000.0</v>
      </c>
      <c r="CN670" s="11">
        <v>1060000.0</v>
      </c>
      <c r="CO670" s="11">
        <v>810470.0</v>
      </c>
      <c r="CP670" s="11">
        <v>763740.0</v>
      </c>
      <c r="CQ670" s="12">
        <v>533.0</v>
      </c>
      <c r="CR670" s="12">
        <v>529.0</v>
      </c>
      <c r="CS670" s="12">
        <v>381.0</v>
      </c>
      <c r="CT670" s="12">
        <v>972.0</v>
      </c>
      <c r="CU670" s="11">
        <v>1350.0</v>
      </c>
      <c r="CV670" s="11">
        <v>63250.0</v>
      </c>
      <c r="CW670" s="11"/>
      <c r="CX670" s="12"/>
      <c r="CY670" s="12"/>
      <c r="CZ670" s="12"/>
      <c r="DA670" s="11">
        <v>287.0</v>
      </c>
      <c r="DB670" s="11">
        <v>63250.0</v>
      </c>
      <c r="DC670" s="11">
        <v>57180.0</v>
      </c>
      <c r="DD670" s="11">
        <v>63820.0</v>
      </c>
      <c r="DE670" s="11">
        <v>57820.0</v>
      </c>
      <c r="DF670" s="11">
        <v>511290.0</v>
      </c>
      <c r="DG670" s="11">
        <v>502600.0</v>
      </c>
      <c r="DH670" s="11">
        <v>584300.0</v>
      </c>
      <c r="DI670" s="11">
        <v>445680.0</v>
      </c>
      <c r="DJ670" s="11">
        <v>513950.0</v>
      </c>
      <c r="DK670" s="11">
        <v>16460.0</v>
      </c>
      <c r="DL670" s="11">
        <v>16660.0</v>
      </c>
      <c r="DM670" s="11">
        <v>17130.0</v>
      </c>
      <c r="DN670" s="11">
        <v>106870.0</v>
      </c>
      <c r="DO670" s="11">
        <v>22060.0</v>
      </c>
      <c r="DP670" s="11">
        <v>412300.0</v>
      </c>
      <c r="DQ670" s="11">
        <v>390090.0</v>
      </c>
      <c r="DR670" s="11">
        <v>486680.0</v>
      </c>
      <c r="DS670" s="11">
        <v>343450.0</v>
      </c>
      <c r="DT670" s="11">
        <v>330640.0</v>
      </c>
      <c r="DU670" s="11">
        <v>164480.0</v>
      </c>
      <c r="DV670" s="11">
        <v>151260.0</v>
      </c>
      <c r="DW670" s="12"/>
      <c r="DX670" s="12"/>
      <c r="DY670" s="12"/>
      <c r="DZ670" s="11">
        <v>501510.0</v>
      </c>
      <c r="EA670" s="11">
        <v>520440.0</v>
      </c>
      <c r="EB670" s="11">
        <v>474660.0</v>
      </c>
      <c r="EC670" s="11">
        <v>364790.0</v>
      </c>
      <c r="ED670" s="11">
        <v>249800.0</v>
      </c>
      <c r="EE670" s="14">
        <v>0.07</v>
      </c>
      <c r="EF670" s="14">
        <v>0.264</v>
      </c>
      <c r="EG670" s="14">
        <v>-0.811</v>
      </c>
      <c r="EH670" s="14">
        <v>-0.207</v>
      </c>
    </row>
    <row r="671">
      <c r="A671" s="9">
        <f t="shared" si="2"/>
        <v>669</v>
      </c>
      <c r="B671" s="32" t="s">
        <v>806</v>
      </c>
      <c r="C671" s="11">
        <v>743350.0</v>
      </c>
      <c r="D671" s="11">
        <v>694110.0</v>
      </c>
      <c r="E671" s="11">
        <v>626400.0</v>
      </c>
      <c r="F671" s="11">
        <v>598290.0</v>
      </c>
      <c r="G671" s="11">
        <v>521210.0</v>
      </c>
      <c r="H671" s="11">
        <v>489720.0</v>
      </c>
      <c r="I671" s="11">
        <v>474220.0</v>
      </c>
      <c r="J671" s="11">
        <v>191700.0</v>
      </c>
      <c r="K671" s="11">
        <v>196680.0</v>
      </c>
      <c r="L671" s="11">
        <v>156090.0</v>
      </c>
      <c r="M671" s="11">
        <v>147050.0</v>
      </c>
      <c r="N671" s="11">
        <v>130690.0</v>
      </c>
      <c r="O671" s="11">
        <v>86580.0</v>
      </c>
      <c r="P671" s="11">
        <v>113440.0</v>
      </c>
      <c r="Q671" s="11">
        <v>101120.0</v>
      </c>
      <c r="R671" s="11">
        <v>89380.0</v>
      </c>
      <c r="S671" s="11">
        <v>83120.0</v>
      </c>
      <c r="T671" s="12"/>
      <c r="U671" s="12"/>
      <c r="V671" s="12"/>
      <c r="W671" s="12"/>
      <c r="X671" s="12"/>
      <c r="Y671" s="11">
        <v>103520.0</v>
      </c>
      <c r="Z671" s="11">
        <v>63240.0</v>
      </c>
      <c r="AA671" s="11">
        <v>50430.0</v>
      </c>
      <c r="AB671" s="12"/>
      <c r="AC671" s="12"/>
      <c r="AD671" s="11">
        <v>104360.0</v>
      </c>
      <c r="AE671" s="11">
        <v>53020.0</v>
      </c>
      <c r="AF671" s="11">
        <v>39860.0</v>
      </c>
      <c r="AG671" s="11">
        <v>49470.0</v>
      </c>
      <c r="AH671" s="11">
        <v>39810.0</v>
      </c>
      <c r="AI671" s="11">
        <v>152230.0</v>
      </c>
      <c r="AJ671" s="11">
        <v>149470.0</v>
      </c>
      <c r="AK671" s="11">
        <v>112870.0</v>
      </c>
      <c r="AL671" s="11">
        <v>110580.0</v>
      </c>
      <c r="AM671" s="11">
        <v>106050.0</v>
      </c>
      <c r="AN671" s="11">
        <v>87220.0</v>
      </c>
      <c r="AO671" s="11">
        <v>54990.0</v>
      </c>
      <c r="AP671" s="11">
        <v>40050.0</v>
      </c>
      <c r="AQ671" s="11">
        <v>37640.0</v>
      </c>
      <c r="AR671" s="11">
        <v>24530.0</v>
      </c>
      <c r="AS671" s="11">
        <v>138550.0</v>
      </c>
      <c r="AT671" s="11">
        <v>96460.0</v>
      </c>
      <c r="AU671" s="11">
        <v>86460.0</v>
      </c>
      <c r="AV671" s="11">
        <v>88640.0</v>
      </c>
      <c r="AW671" s="11">
        <v>72290.0</v>
      </c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1">
        <v>139270.0</v>
      </c>
      <c r="BI671" s="11">
        <v>178950.0</v>
      </c>
      <c r="BJ671" s="11">
        <v>83310.0</v>
      </c>
      <c r="BK671" s="11">
        <v>176000.0</v>
      </c>
      <c r="BL671" s="11">
        <v>145610.0</v>
      </c>
      <c r="BM671" s="11">
        <v>226650.0</v>
      </c>
      <c r="BN671" s="11">
        <v>225590.0</v>
      </c>
      <c r="BO671" s="11">
        <v>191350.0</v>
      </c>
      <c r="BP671" s="11">
        <v>176940.0</v>
      </c>
      <c r="BQ671" s="11">
        <v>169150.0</v>
      </c>
      <c r="BR671" s="12"/>
      <c r="BS671" s="12"/>
      <c r="BT671" s="12"/>
      <c r="BU671" s="12"/>
      <c r="BV671" s="12"/>
      <c r="BW671" s="11">
        <v>396850.0</v>
      </c>
      <c r="BX671" s="11">
        <v>424750.0</v>
      </c>
      <c r="BY671" s="11">
        <v>292090.0</v>
      </c>
      <c r="BZ671" s="11">
        <v>367640.0</v>
      </c>
      <c r="CA671" s="11">
        <v>329070.0</v>
      </c>
      <c r="CB671" s="11">
        <v>105520.0</v>
      </c>
      <c r="CC671" s="11">
        <v>94440.0</v>
      </c>
      <c r="CD671" s="11">
        <v>98580.0</v>
      </c>
      <c r="CE671" s="11">
        <v>92170.0</v>
      </c>
      <c r="CF671" s="11">
        <v>96550.0</v>
      </c>
      <c r="CG671" s="11">
        <v>599350.0</v>
      </c>
      <c r="CH671" s="11">
        <v>487620.0</v>
      </c>
      <c r="CI671" s="11">
        <v>487620.0</v>
      </c>
      <c r="CJ671" s="11">
        <v>379720.0</v>
      </c>
      <c r="CK671" s="11">
        <v>361470.0</v>
      </c>
      <c r="CL671" s="11">
        <v>1280000.0</v>
      </c>
      <c r="CM671" s="11">
        <v>1120000.0</v>
      </c>
      <c r="CN671" s="11">
        <v>1020000.0</v>
      </c>
      <c r="CO671" s="11">
        <v>931920.0</v>
      </c>
      <c r="CP671" s="11">
        <v>880790.0</v>
      </c>
      <c r="CQ671" s="11">
        <v>12250.0</v>
      </c>
      <c r="CR671" s="11">
        <v>12390.0</v>
      </c>
      <c r="CS671" s="11">
        <v>19330.0</v>
      </c>
      <c r="CT671" s="11">
        <v>13850.0</v>
      </c>
      <c r="CU671" s="11">
        <v>7790.0</v>
      </c>
      <c r="CV671" s="11">
        <v>101320.0</v>
      </c>
      <c r="CW671" s="11">
        <v>6630.0</v>
      </c>
      <c r="CX671" s="13"/>
      <c r="CY671" s="13"/>
      <c r="CZ671" s="13"/>
      <c r="DA671" s="12"/>
      <c r="DB671" s="11">
        <v>101320.0</v>
      </c>
      <c r="DC671" s="11">
        <v>96630.0</v>
      </c>
      <c r="DD671" s="11">
        <v>92690.0</v>
      </c>
      <c r="DE671" s="11">
        <v>90160.0</v>
      </c>
      <c r="DF671" s="11">
        <v>423810.0</v>
      </c>
      <c r="DG671" s="11">
        <v>404470.0</v>
      </c>
      <c r="DH671" s="11">
        <v>409510.0</v>
      </c>
      <c r="DI671" s="11">
        <v>375310.0</v>
      </c>
      <c r="DJ671" s="11">
        <v>356090.0</v>
      </c>
      <c r="DK671" s="11">
        <v>7900.0</v>
      </c>
      <c r="DL671" s="12"/>
      <c r="DM671" s="12"/>
      <c r="DN671" s="12"/>
      <c r="DO671" s="12"/>
      <c r="DP671" s="11">
        <v>255560.0</v>
      </c>
      <c r="DQ671" s="11">
        <v>240000.0</v>
      </c>
      <c r="DR671" s="11">
        <v>240000.0</v>
      </c>
      <c r="DS671" s="11">
        <v>197800.0</v>
      </c>
      <c r="DT671" s="11">
        <v>197800.0</v>
      </c>
      <c r="DU671" s="13"/>
      <c r="DV671" s="12"/>
      <c r="DW671" s="12"/>
      <c r="DX671" s="13"/>
      <c r="DY671" s="13"/>
      <c r="DZ671" s="11">
        <v>854870.0</v>
      </c>
      <c r="EA671" s="11">
        <v>713400.0</v>
      </c>
      <c r="EB671" s="11">
        <v>606230.0</v>
      </c>
      <c r="EC671" s="11">
        <v>556610.0</v>
      </c>
      <c r="ED671" s="11">
        <v>524700.0</v>
      </c>
      <c r="EE671" s="14">
        <v>0.014</v>
      </c>
      <c r="EF671" s="14">
        <v>0.068</v>
      </c>
      <c r="EG671" s="14">
        <v>0.28</v>
      </c>
      <c r="EH671" s="14">
        <v>0.216</v>
      </c>
    </row>
    <row r="672">
      <c r="A672" s="9">
        <f t="shared" si="2"/>
        <v>670</v>
      </c>
      <c r="B672" s="10" t="s">
        <v>807</v>
      </c>
      <c r="C672" s="12"/>
      <c r="D672" s="12"/>
      <c r="E672" s="15">
        <v>2.646E7</v>
      </c>
      <c r="F672" s="15">
        <v>1.926E7</v>
      </c>
      <c r="G672" s="15">
        <v>1.926E7</v>
      </c>
      <c r="H672" s="15">
        <v>1.833E7</v>
      </c>
      <c r="I672" s="15">
        <v>1.544E7</v>
      </c>
      <c r="J672" s="15">
        <v>1580000.0</v>
      </c>
      <c r="K672" s="15">
        <v>1070000.0</v>
      </c>
      <c r="L672" s="15">
        <v>1180000.0</v>
      </c>
      <c r="M672" s="15">
        <v>2440000.0</v>
      </c>
      <c r="N672" s="15">
        <v>-53000.0</v>
      </c>
      <c r="O672" s="15">
        <v>925000.0</v>
      </c>
      <c r="P672" s="15">
        <v>834000.0</v>
      </c>
      <c r="Q672" s="15">
        <v>587000.0</v>
      </c>
      <c r="R672" s="15">
        <v>526000.0</v>
      </c>
      <c r="S672" s="15">
        <v>464000.0</v>
      </c>
      <c r="T672" s="15">
        <v>0.0</v>
      </c>
      <c r="U672" s="15">
        <v>0.0</v>
      </c>
      <c r="V672" s="15">
        <v>0.0</v>
      </c>
      <c r="W672" s="15">
        <v>0.0</v>
      </c>
      <c r="X672" s="15">
        <v>0.0</v>
      </c>
      <c r="Y672" s="15">
        <v>-3340000.0</v>
      </c>
      <c r="Z672" s="15">
        <v>-5560000.0</v>
      </c>
      <c r="AA672" s="15">
        <v>-2090000.0</v>
      </c>
      <c r="AB672" s="15">
        <v>2180000.0</v>
      </c>
      <c r="AC672" s="15">
        <v>-4340000.0</v>
      </c>
      <c r="AD672" s="15">
        <v>-2810000.0</v>
      </c>
      <c r="AE672" s="15">
        <v>-4750000.0</v>
      </c>
      <c r="AF672" s="15">
        <v>-126000.0</v>
      </c>
      <c r="AG672" s="15">
        <v>1570000.0</v>
      </c>
      <c r="AH672" s="15">
        <v>-5220000.0</v>
      </c>
      <c r="AI672" s="15">
        <v>4800000.0</v>
      </c>
      <c r="AJ672" s="15">
        <v>2860000.0</v>
      </c>
      <c r="AK672" s="15">
        <v>3140000.0</v>
      </c>
      <c r="AL672" s="15">
        <v>3980000.0</v>
      </c>
      <c r="AM672" s="15">
        <v>1960000.0</v>
      </c>
      <c r="AN672" s="15">
        <v>-2610000.0</v>
      </c>
      <c r="AO672" s="15">
        <v>-4470000.0</v>
      </c>
      <c r="AP672" s="15">
        <v>362000.0</v>
      </c>
      <c r="AQ672" s="15">
        <v>949000.0</v>
      </c>
      <c r="AR672" s="15">
        <v>-4540000.0</v>
      </c>
      <c r="AS672" s="15">
        <v>4710000.0</v>
      </c>
      <c r="AT672" s="15">
        <v>3880000.0</v>
      </c>
      <c r="AU672" s="15">
        <v>3800000.0</v>
      </c>
      <c r="AV672" s="15">
        <v>4510000.0</v>
      </c>
      <c r="AW672" s="15">
        <v>2010000.0</v>
      </c>
      <c r="AX672" s="15">
        <v>-5040000.0</v>
      </c>
      <c r="AY672" s="15">
        <v>-4570000.0</v>
      </c>
      <c r="AZ672" s="15">
        <v>-3890000.0</v>
      </c>
      <c r="BA672" s="15">
        <v>-2440000.0</v>
      </c>
      <c r="BB672" s="15">
        <v>-2840000.0</v>
      </c>
      <c r="BC672" s="16">
        <v>0.0</v>
      </c>
      <c r="BD672" s="15">
        <v>-154000.0</v>
      </c>
      <c r="BE672" s="15">
        <v>-439000.0</v>
      </c>
      <c r="BF672" s="16">
        <v>0.0</v>
      </c>
      <c r="BG672" s="16">
        <v>0.0</v>
      </c>
      <c r="BH672" s="15">
        <v>1040000.0</v>
      </c>
      <c r="BI672" s="15">
        <v>744000.0</v>
      </c>
      <c r="BJ672" s="15">
        <v>2810000.0</v>
      </c>
      <c r="BK672" s="15">
        <v>1640000.0</v>
      </c>
      <c r="BL672" s="15">
        <v>1080000.0</v>
      </c>
      <c r="BM672" s="15">
        <v>997000.0</v>
      </c>
      <c r="BN672" s="15">
        <v>1060000.0</v>
      </c>
      <c r="BO672" s="15">
        <v>930000.0</v>
      </c>
      <c r="BP672" s="15">
        <v>625000.0</v>
      </c>
      <c r="BQ672" s="15">
        <v>722000.0</v>
      </c>
      <c r="BR672" s="15">
        <v>1970000.0</v>
      </c>
      <c r="BS672" s="15">
        <v>1760000.0</v>
      </c>
      <c r="BT672" s="15">
        <v>1130000.0</v>
      </c>
      <c r="BU672" s="15">
        <v>1170000.0</v>
      </c>
      <c r="BV672" s="15">
        <v>1290000.0</v>
      </c>
      <c r="BW672" s="15">
        <v>4880000.0</v>
      </c>
      <c r="BX672" s="15">
        <v>4520000.0</v>
      </c>
      <c r="BY672" s="15">
        <v>5160000.0</v>
      </c>
      <c r="BZ672" s="15">
        <v>3560000.0</v>
      </c>
      <c r="CA672" s="15">
        <v>3150000.0</v>
      </c>
      <c r="CB672" s="15">
        <v>2.775E7</v>
      </c>
      <c r="CC672" s="15">
        <v>3.097E7</v>
      </c>
      <c r="CD672" s="15">
        <v>3.004E7</v>
      </c>
      <c r="CE672" s="15">
        <v>2.992E7</v>
      </c>
      <c r="CF672" s="15">
        <v>2.955E7</v>
      </c>
      <c r="CG672" s="15">
        <v>520000.0</v>
      </c>
      <c r="CH672" s="15">
        <v>526000.0</v>
      </c>
      <c r="CI672" s="15">
        <v>591000.0</v>
      </c>
      <c r="CJ672" s="15">
        <v>846000.0</v>
      </c>
      <c r="CK672" s="15">
        <v>846000.0</v>
      </c>
      <c r="CL672" s="15">
        <v>3.729E7</v>
      </c>
      <c r="CM672" s="15">
        <v>3.991E7</v>
      </c>
      <c r="CN672" s="15">
        <v>3.93E7</v>
      </c>
      <c r="CO672" s="15">
        <v>3.763E7</v>
      </c>
      <c r="CP672" s="15">
        <v>3.614E7</v>
      </c>
      <c r="CQ672" s="15">
        <v>763000.0</v>
      </c>
      <c r="CR672" s="15">
        <v>587000.0</v>
      </c>
      <c r="CS672" s="15">
        <v>521000.0</v>
      </c>
      <c r="CT672" s="15">
        <v>353000.0</v>
      </c>
      <c r="CU672" s="15">
        <v>525000.0</v>
      </c>
      <c r="CV672" s="15">
        <v>3350000.0</v>
      </c>
      <c r="CW672" s="15">
        <v>0.0</v>
      </c>
      <c r="CX672" s="16">
        <v>0.0</v>
      </c>
      <c r="CY672" s="16">
        <v>0.0</v>
      </c>
      <c r="CZ672" s="16">
        <v>0.0</v>
      </c>
      <c r="DA672" s="15">
        <v>0.0</v>
      </c>
      <c r="DB672" s="15">
        <v>3350000.0</v>
      </c>
      <c r="DC672" s="15">
        <v>3750000.0</v>
      </c>
      <c r="DD672" s="15">
        <v>4190000.0</v>
      </c>
      <c r="DE672" s="15">
        <v>2220000.0</v>
      </c>
      <c r="DF672" s="15">
        <v>1.467E7</v>
      </c>
      <c r="DG672" s="15">
        <v>1.453E7</v>
      </c>
      <c r="DH672" s="15">
        <v>1.029E7</v>
      </c>
      <c r="DI672" s="15">
        <v>9720000.0</v>
      </c>
      <c r="DJ672" s="15">
        <v>9660000.0</v>
      </c>
      <c r="DK672" s="15">
        <v>3760000.0</v>
      </c>
      <c r="DL672" s="15">
        <v>3520000.0</v>
      </c>
      <c r="DM672" s="15">
        <v>3080000.0</v>
      </c>
      <c r="DN672" s="15">
        <v>2560000.0</v>
      </c>
      <c r="DO672" s="15">
        <v>2440000.0</v>
      </c>
      <c r="DP672" s="15">
        <v>5830000.0</v>
      </c>
      <c r="DQ672" s="15">
        <v>4920000.0</v>
      </c>
      <c r="DR672" s="15">
        <v>576000.0</v>
      </c>
      <c r="DS672" s="15">
        <v>2320000.0</v>
      </c>
      <c r="DT672" s="15">
        <v>3680000.0</v>
      </c>
      <c r="DU672" s="16">
        <v>0.0</v>
      </c>
      <c r="DV672" s="15">
        <v>0.0</v>
      </c>
      <c r="DW672" s="15">
        <v>0.0</v>
      </c>
      <c r="DX672" s="16">
        <v>0.0</v>
      </c>
      <c r="DY672" s="16">
        <v>0.0</v>
      </c>
      <c r="DZ672" s="15">
        <v>2.261E7</v>
      </c>
      <c r="EA672" s="15">
        <v>2.538E7</v>
      </c>
      <c r="EB672" s="15">
        <v>2.901E7</v>
      </c>
      <c r="EC672" s="15">
        <v>2.79E7</v>
      </c>
      <c r="ED672" s="15">
        <v>2.648E7</v>
      </c>
      <c r="EE672" s="23"/>
      <c r="EF672" s="23"/>
      <c r="EG672" s="23" t="s">
        <v>155</v>
      </c>
      <c r="EH672" s="23"/>
    </row>
    <row r="673">
      <c r="A673" s="9">
        <f t="shared" si="2"/>
        <v>671</v>
      </c>
      <c r="B673" s="10" t="s">
        <v>808</v>
      </c>
      <c r="C673" s="12">
        <v>245800.0</v>
      </c>
      <c r="D673" s="12">
        <v>264300.0</v>
      </c>
      <c r="E673" s="12">
        <v>317440.0</v>
      </c>
      <c r="F673" s="12">
        <v>291780.0</v>
      </c>
      <c r="G673" s="12">
        <v>268200.0</v>
      </c>
      <c r="H673" s="12">
        <v>278920.0</v>
      </c>
      <c r="I673" s="12">
        <v>339490.0</v>
      </c>
      <c r="J673" s="12">
        <v>18500.0</v>
      </c>
      <c r="K673" s="12">
        <v>29900.0</v>
      </c>
      <c r="L673" s="12">
        <v>37840.0</v>
      </c>
      <c r="M673" s="12">
        <v>47880.0</v>
      </c>
      <c r="N673" s="12">
        <v>55610.0</v>
      </c>
      <c r="O673" s="12">
        <v>12850.0</v>
      </c>
      <c r="P673" s="12">
        <v>11840.0</v>
      </c>
      <c r="Q673" s="12">
        <v>14980.0</v>
      </c>
      <c r="R673" s="12">
        <v>10520.0</v>
      </c>
      <c r="S673" s="12">
        <v>12620.0</v>
      </c>
      <c r="T673" s="12">
        <v>0.0</v>
      </c>
      <c r="U673" s="12">
        <v>0.0</v>
      </c>
      <c r="V673" s="12">
        <v>0.0</v>
      </c>
      <c r="W673" s="12">
        <v>0.0</v>
      </c>
      <c r="X673" s="12">
        <v>0.0</v>
      </c>
      <c r="Y673" s="15">
        <v>-70040.0</v>
      </c>
      <c r="Z673" s="15">
        <v>20240.0</v>
      </c>
      <c r="AA673" s="15">
        <v>23590.0</v>
      </c>
      <c r="AB673" s="12">
        <v>-15920.0</v>
      </c>
      <c r="AC673" s="12">
        <v>0.0</v>
      </c>
      <c r="AD673" s="15">
        <v>-82200.0</v>
      </c>
      <c r="AE673" s="15">
        <v>3550.0</v>
      </c>
      <c r="AF673" s="15">
        <v>13880.0</v>
      </c>
      <c r="AG673" s="12">
        <v>8480.0</v>
      </c>
      <c r="AH673" s="12">
        <v>27570.0</v>
      </c>
      <c r="AI673" s="15">
        <v>55500.0</v>
      </c>
      <c r="AJ673" s="15">
        <v>63390.0</v>
      </c>
      <c r="AK673" s="15">
        <v>62220.0</v>
      </c>
      <c r="AL673" s="12">
        <v>73950.0</v>
      </c>
      <c r="AM673" s="12">
        <v>87440.0</v>
      </c>
      <c r="AN673" s="15">
        <v>-58950.0</v>
      </c>
      <c r="AO673" s="15">
        <v>7440.0</v>
      </c>
      <c r="AP673" s="15">
        <v>32050.0</v>
      </c>
      <c r="AQ673" s="12">
        <v>12210.0</v>
      </c>
      <c r="AR673" s="12">
        <v>19680.0</v>
      </c>
      <c r="AS673" s="15">
        <v>38240.0</v>
      </c>
      <c r="AT673" s="15">
        <v>51570.0</v>
      </c>
      <c r="AU673" s="15">
        <v>61570.0</v>
      </c>
      <c r="AV673" s="12">
        <v>60920.0</v>
      </c>
      <c r="AW673" s="12">
        <v>94660.0</v>
      </c>
      <c r="AX673" s="15">
        <v>-35530.0</v>
      </c>
      <c r="AY673" s="15">
        <v>-35090.0</v>
      </c>
      <c r="AZ673" s="15">
        <v>-28620.0</v>
      </c>
      <c r="BA673" s="12">
        <v>-42190.0</v>
      </c>
      <c r="BB673" s="12">
        <v>-31170.0</v>
      </c>
      <c r="BC673" s="12">
        <v>-4970.0</v>
      </c>
      <c r="BD673" s="12">
        <v>-4940.0</v>
      </c>
      <c r="BE673" s="12">
        <v>-4890.0</v>
      </c>
      <c r="BF673" s="12">
        <v>-4800.0</v>
      </c>
      <c r="BG673" s="12">
        <v>-4790.0</v>
      </c>
      <c r="BH673" s="12">
        <v>13560.0</v>
      </c>
      <c r="BI673" s="12">
        <v>22420.0</v>
      </c>
      <c r="BJ673" s="12">
        <v>19700.0</v>
      </c>
      <c r="BK673" s="12">
        <v>21680.0</v>
      </c>
      <c r="BL673" s="12">
        <v>17270.0</v>
      </c>
      <c r="BM673" s="12">
        <v>25580.0</v>
      </c>
      <c r="BN673" s="12">
        <v>18430.0</v>
      </c>
      <c r="BO673" s="12">
        <v>16760.0</v>
      </c>
      <c r="BP673" s="12">
        <v>22310.0</v>
      </c>
      <c r="BQ673" s="12">
        <v>16680.0</v>
      </c>
      <c r="BR673" s="12">
        <v>40070.0</v>
      </c>
      <c r="BS673" s="12">
        <v>30150.0</v>
      </c>
      <c r="BT673" s="12">
        <v>22850.0</v>
      </c>
      <c r="BU673" s="12">
        <v>20190.0</v>
      </c>
      <c r="BV673" s="12">
        <v>26170.0</v>
      </c>
      <c r="BW673" s="12">
        <v>82450.0</v>
      </c>
      <c r="BX673" s="12">
        <v>84980.0</v>
      </c>
      <c r="BY673" s="12">
        <v>71640.0</v>
      </c>
      <c r="BZ673" s="12">
        <v>73830.0</v>
      </c>
      <c r="CA673" s="12">
        <v>66620.0</v>
      </c>
      <c r="CB673" s="12">
        <v>329720.0</v>
      </c>
      <c r="CC673" s="12">
        <v>412640.0</v>
      </c>
      <c r="CD673" s="12">
        <v>420010.0</v>
      </c>
      <c r="CE673" s="12">
        <v>422760.0</v>
      </c>
      <c r="CF673" s="12">
        <v>445240.0</v>
      </c>
      <c r="CG673" s="12">
        <v>0.0</v>
      </c>
      <c r="CH673" s="12">
        <v>0.0</v>
      </c>
      <c r="CI673" s="12">
        <v>0.0</v>
      </c>
      <c r="CJ673" s="12">
        <v>0.0</v>
      </c>
      <c r="CK673" s="12">
        <v>0.0</v>
      </c>
      <c r="CL673" s="12">
        <v>425630.0</v>
      </c>
      <c r="CM673" s="12">
        <v>515500.0</v>
      </c>
      <c r="CN673" s="12">
        <v>518190.0</v>
      </c>
      <c r="CO673" s="12">
        <v>531320.0</v>
      </c>
      <c r="CP673" s="12">
        <v>540380.0</v>
      </c>
      <c r="CQ673" s="12">
        <v>16120.0</v>
      </c>
      <c r="CR673" s="12">
        <v>5840.0</v>
      </c>
      <c r="CS673" s="12">
        <v>4010.0</v>
      </c>
      <c r="CT673" s="12">
        <v>4830.0</v>
      </c>
      <c r="CU673" s="12">
        <v>26180.0</v>
      </c>
      <c r="CV673" s="12">
        <v>64840.0</v>
      </c>
      <c r="CW673" s="12">
        <v>0.0</v>
      </c>
      <c r="CX673" s="12">
        <v>0.0</v>
      </c>
      <c r="CY673" s="12">
        <v>0.0</v>
      </c>
      <c r="CZ673" s="12">
        <v>0.0</v>
      </c>
      <c r="DA673" s="12">
        <v>0.0</v>
      </c>
      <c r="DB673" s="12">
        <v>64840.0</v>
      </c>
      <c r="DC673" s="12">
        <v>51810.0</v>
      </c>
      <c r="DD673" s="12">
        <v>54290.0</v>
      </c>
      <c r="DE673" s="12">
        <v>48710.0</v>
      </c>
      <c r="DF673" s="12">
        <v>230100.0</v>
      </c>
      <c r="DG673" s="12">
        <v>256630.0</v>
      </c>
      <c r="DH673" s="12">
        <v>268870.0</v>
      </c>
      <c r="DI673" s="12">
        <v>314430.0</v>
      </c>
      <c r="DJ673" s="12">
        <v>333560.0</v>
      </c>
      <c r="DK673" s="12">
        <v>5440.0</v>
      </c>
      <c r="DL673" s="12">
        <v>5580.0</v>
      </c>
      <c r="DM673" s="12">
        <v>14040.0</v>
      </c>
      <c r="DN673" s="12">
        <v>13740.0</v>
      </c>
      <c r="DO673" s="12">
        <v>18880.0</v>
      </c>
      <c r="DP673" s="12">
        <v>141390.0</v>
      </c>
      <c r="DQ673" s="12">
        <v>155660.0</v>
      </c>
      <c r="DR673" s="12">
        <v>165770.0</v>
      </c>
      <c r="DS673" s="12">
        <v>204940.0</v>
      </c>
      <c r="DT673" s="12">
        <v>219500.0</v>
      </c>
      <c r="DU673" s="12">
        <v>0.0</v>
      </c>
      <c r="DV673" s="12">
        <v>0.0</v>
      </c>
      <c r="DW673" s="12">
        <v>0.0</v>
      </c>
      <c r="DX673" s="12">
        <v>0.0</v>
      </c>
      <c r="DY673" s="12">
        <v>0.0</v>
      </c>
      <c r="DZ673" s="15">
        <v>191530.0</v>
      </c>
      <c r="EA673" s="12">
        <v>254870.0</v>
      </c>
      <c r="EB673" s="12">
        <v>249320.0</v>
      </c>
      <c r="EC673" s="12">
        <v>216890.0</v>
      </c>
      <c r="ED673" s="12">
        <v>206820.0</v>
      </c>
      <c r="EE673" s="31">
        <v>0.0</v>
      </c>
      <c r="EF673" s="31">
        <v>0.0</v>
      </c>
      <c r="EG673" s="31">
        <v>-7.0</v>
      </c>
      <c r="EH673" s="31">
        <v>12.396</v>
      </c>
    </row>
    <row r="674">
      <c r="A674" s="9">
        <f t="shared" si="2"/>
        <v>672</v>
      </c>
      <c r="B674" s="25" t="s">
        <v>809</v>
      </c>
      <c r="C674" s="15">
        <v>618050.0</v>
      </c>
      <c r="D674" s="15">
        <v>584730.0</v>
      </c>
      <c r="E674" s="15">
        <v>610820.0</v>
      </c>
      <c r="F674" s="15">
        <v>683500.0</v>
      </c>
      <c r="G674" s="15">
        <v>620630.0</v>
      </c>
      <c r="H674" s="15">
        <v>577220.0</v>
      </c>
      <c r="I674" s="15">
        <v>247000.0</v>
      </c>
      <c r="J674" s="15">
        <v>111570.0</v>
      </c>
      <c r="K674" s="15">
        <v>145100.0</v>
      </c>
      <c r="L674" s="15">
        <v>132730.0</v>
      </c>
      <c r="M674" s="15">
        <v>122990.0</v>
      </c>
      <c r="N674" s="15">
        <v>68690.0</v>
      </c>
      <c r="O674" s="15">
        <v>88870.0</v>
      </c>
      <c r="P674" s="15">
        <v>91930.0</v>
      </c>
      <c r="Q674" s="15">
        <v>87280.0</v>
      </c>
      <c r="R674" s="15">
        <v>82570.0</v>
      </c>
      <c r="S674" s="15">
        <v>43230.0</v>
      </c>
      <c r="T674" s="15"/>
      <c r="U674" s="15"/>
      <c r="V674" s="15"/>
      <c r="W674" s="15"/>
      <c r="X674" s="15"/>
      <c r="Y674" s="15">
        <v>23230.0</v>
      </c>
      <c r="Z674" s="15">
        <v>52680.0</v>
      </c>
      <c r="AA674" s="12"/>
      <c r="AB674" s="15">
        <v>39220.0</v>
      </c>
      <c r="AC674" s="15">
        <v>24260.0</v>
      </c>
      <c r="AD674" s="15">
        <v>21930.0</v>
      </c>
      <c r="AE674" s="15">
        <v>51590.0</v>
      </c>
      <c r="AF674" s="15">
        <v>45770.0</v>
      </c>
      <c r="AG674" s="15">
        <v>39200.0</v>
      </c>
      <c r="AH674" s="15">
        <v>24460.0</v>
      </c>
      <c r="AI674" s="15">
        <v>29810.0</v>
      </c>
      <c r="AJ674" s="15">
        <v>60620.0</v>
      </c>
      <c r="AK674" s="15">
        <v>52100.0</v>
      </c>
      <c r="AL674" s="15">
        <v>48420.0</v>
      </c>
      <c r="AM674" s="15">
        <v>28410.0</v>
      </c>
      <c r="AN674" s="15">
        <v>17000.0</v>
      </c>
      <c r="AO674" s="15">
        <v>39790.0</v>
      </c>
      <c r="AP674" s="15">
        <v>28190.0</v>
      </c>
      <c r="AQ674" s="15">
        <v>25220.0</v>
      </c>
      <c r="AR674" s="15">
        <v>16130.0</v>
      </c>
      <c r="AS674" s="15">
        <v>41130.0</v>
      </c>
      <c r="AT674" s="15">
        <v>9660.0</v>
      </c>
      <c r="AU674" s="15">
        <v>27750.0</v>
      </c>
      <c r="AV674" s="15">
        <v>31240.0</v>
      </c>
      <c r="AW674" s="15">
        <v>23040.0</v>
      </c>
      <c r="AX674" s="15">
        <v>-5130.0</v>
      </c>
      <c r="AY674" s="15">
        <v>-5210.0</v>
      </c>
      <c r="AZ674" s="15">
        <v>-3170.0</v>
      </c>
      <c r="BA674" s="15">
        <v>-2450.0</v>
      </c>
      <c r="BB674" s="15">
        <v>-2850.0</v>
      </c>
      <c r="BC674" s="15">
        <v>-7210.0</v>
      </c>
      <c r="BD674" s="15">
        <v>-6710.0</v>
      </c>
      <c r="BE674" s="15">
        <v>-5820.0</v>
      </c>
      <c r="BF674" s="15">
        <v>-4850.0</v>
      </c>
      <c r="BG674" s="15">
        <v>-4320.0</v>
      </c>
      <c r="BH674" s="15">
        <v>36030.0</v>
      </c>
      <c r="BI674" s="15">
        <v>11440.0</v>
      </c>
      <c r="BJ674" s="15">
        <v>30920.0</v>
      </c>
      <c r="BK674" s="15">
        <v>39790.0</v>
      </c>
      <c r="BL674" s="15">
        <v>53920.0</v>
      </c>
      <c r="BM674" s="15">
        <v>88400.0</v>
      </c>
      <c r="BN674" s="15">
        <v>112560.0</v>
      </c>
      <c r="BO674" s="15">
        <v>92800.0</v>
      </c>
      <c r="BP674" s="15">
        <v>92580.0</v>
      </c>
      <c r="BQ674" s="15">
        <v>28180.0</v>
      </c>
      <c r="BR674" s="15">
        <v>92810.0</v>
      </c>
      <c r="BS674" s="15">
        <v>105200.0</v>
      </c>
      <c r="BT674" s="15">
        <v>84460.0</v>
      </c>
      <c r="BU674" s="15">
        <v>75300.0</v>
      </c>
      <c r="BV674" s="15">
        <v>43710.0</v>
      </c>
      <c r="BW674" s="15">
        <v>221970.0</v>
      </c>
      <c r="BX674" s="15">
        <v>234930.0</v>
      </c>
      <c r="BY674" s="15">
        <v>213490.0</v>
      </c>
      <c r="BZ674" s="15">
        <v>211920.0</v>
      </c>
      <c r="CA674" s="15">
        <v>128070.0</v>
      </c>
      <c r="CB674" s="15">
        <v>69420.0</v>
      </c>
      <c r="CC674" s="15">
        <v>29480.0</v>
      </c>
      <c r="CD674" s="15">
        <v>29250.0</v>
      </c>
      <c r="CE674" s="15">
        <v>25800.0</v>
      </c>
      <c r="CF674" s="15">
        <v>22770.0</v>
      </c>
      <c r="CG674" s="15">
        <v>40060.0</v>
      </c>
      <c r="CH674" s="15">
        <v>40060.0</v>
      </c>
      <c r="CI674" s="15">
        <v>40060.0</v>
      </c>
      <c r="CJ674" s="15">
        <v>23190.0</v>
      </c>
      <c r="CK674" s="15"/>
      <c r="CL674" s="15">
        <v>393710.0</v>
      </c>
      <c r="CM674" s="15">
        <v>369720.0</v>
      </c>
      <c r="CN674" s="15">
        <v>350060.0</v>
      </c>
      <c r="CO674" s="15">
        <v>318700.0</v>
      </c>
      <c r="CP674" s="15">
        <v>181650.0</v>
      </c>
      <c r="CQ674" s="15">
        <v>25490.0</v>
      </c>
      <c r="CR674" s="15">
        <v>40840.0</v>
      </c>
      <c r="CS674" s="15">
        <v>32690.0</v>
      </c>
      <c r="CT674" s="15">
        <v>36550.0</v>
      </c>
      <c r="CU674" s="15">
        <v>9110.0</v>
      </c>
      <c r="CV674" s="15">
        <v>50130.0</v>
      </c>
      <c r="CW674" s="15">
        <v>6310.0</v>
      </c>
      <c r="CX674" s="15"/>
      <c r="CY674" s="15"/>
      <c r="CZ674" s="15"/>
      <c r="DA674" s="15"/>
      <c r="DB674" s="15">
        <v>50130.0</v>
      </c>
      <c r="DC674" s="15">
        <v>64420.0</v>
      </c>
      <c r="DD674" s="15">
        <v>60330.0</v>
      </c>
      <c r="DE674" s="15">
        <v>64060.0</v>
      </c>
      <c r="DF674" s="15">
        <v>119590.0</v>
      </c>
      <c r="DG674" s="15">
        <v>106540.0</v>
      </c>
      <c r="DH674" s="15">
        <v>120600.0</v>
      </c>
      <c r="DI674" s="15">
        <v>120770.0</v>
      </c>
      <c r="DJ674" s="15">
        <v>25590.0</v>
      </c>
      <c r="DK674" s="15"/>
      <c r="DL674" s="15"/>
      <c r="DM674" s="15"/>
      <c r="DN674" s="15"/>
      <c r="DO674" s="15"/>
      <c r="DP674" s="15">
        <v>58080.0</v>
      </c>
      <c r="DQ674" s="15">
        <v>29630.0</v>
      </c>
      <c r="DR674" s="15">
        <v>45780.0</v>
      </c>
      <c r="DS674" s="15">
        <v>41770.0</v>
      </c>
      <c r="DT674" s="15"/>
      <c r="DU674" s="13"/>
      <c r="DV674" s="12"/>
      <c r="DW674" s="12"/>
      <c r="DX674" s="13"/>
      <c r="DY674" s="13"/>
      <c r="DZ674" s="15">
        <v>274120.0</v>
      </c>
      <c r="EA674" s="15">
        <v>263180.0</v>
      </c>
      <c r="EB674" s="15">
        <v>229460.0</v>
      </c>
      <c r="EC674" s="15">
        <v>197930.0</v>
      </c>
      <c r="ED674" s="15">
        <v>156060.0</v>
      </c>
      <c r="EE674" s="17">
        <v>0.0</v>
      </c>
      <c r="EF674" s="17">
        <v>0.0</v>
      </c>
      <c r="EG674" s="17">
        <v>39.5</v>
      </c>
      <c r="EH674" s="17">
        <v>9.769</v>
      </c>
    </row>
    <row r="675">
      <c r="A675" s="9">
        <f t="shared" si="2"/>
        <v>673</v>
      </c>
      <c r="B675" s="25" t="s">
        <v>810</v>
      </c>
      <c r="C675" s="15">
        <v>4190000.0</v>
      </c>
      <c r="D675" s="15">
        <v>3470000.0</v>
      </c>
      <c r="E675" s="15">
        <v>5360000.0</v>
      </c>
      <c r="F675" s="15">
        <v>5720000.0</v>
      </c>
      <c r="G675" s="15">
        <v>5650000.0</v>
      </c>
      <c r="H675" s="15">
        <v>6000000.0</v>
      </c>
      <c r="I675" s="15">
        <v>6000000.0</v>
      </c>
      <c r="J675" s="15">
        <v>1690000.0</v>
      </c>
      <c r="K675" s="15">
        <v>1970000.0</v>
      </c>
      <c r="L675" s="15">
        <v>2040000.0</v>
      </c>
      <c r="M675" s="15">
        <v>2210000.0</v>
      </c>
      <c r="N675" s="15">
        <v>2260000.0</v>
      </c>
      <c r="O675" s="15">
        <v>998720.0</v>
      </c>
      <c r="P675" s="15">
        <v>1070000.0</v>
      </c>
      <c r="Q675" s="15">
        <v>1010000.0</v>
      </c>
      <c r="R675" s="15">
        <v>1050000.0</v>
      </c>
      <c r="S675" s="15">
        <v>1030000.0</v>
      </c>
      <c r="T675" s="15">
        <v>216500.0</v>
      </c>
      <c r="U675" s="15">
        <v>191600.0</v>
      </c>
      <c r="V675" s="15">
        <v>175200.0</v>
      </c>
      <c r="W675" s="15">
        <v>172300.0</v>
      </c>
      <c r="X675" s="15">
        <v>161200.0</v>
      </c>
      <c r="Y675" s="15">
        <v>527510.0</v>
      </c>
      <c r="Z675" s="15">
        <v>702010.0</v>
      </c>
      <c r="AA675" s="15">
        <v>503.0</v>
      </c>
      <c r="AB675" s="15">
        <v>49.0</v>
      </c>
      <c r="AC675" s="15">
        <v>-35050.0</v>
      </c>
      <c r="AD675" s="15">
        <v>557420.0</v>
      </c>
      <c r="AE675" s="15">
        <v>686630.0</v>
      </c>
      <c r="AF675" s="15">
        <v>863840.0</v>
      </c>
      <c r="AG675" s="15">
        <v>1020000.0</v>
      </c>
      <c r="AH675" s="15">
        <v>1150000.0</v>
      </c>
      <c r="AI675" s="15">
        <v>792340.0</v>
      </c>
      <c r="AJ675" s="15">
        <v>1060000.0</v>
      </c>
      <c r="AK675" s="15">
        <v>1120000.0</v>
      </c>
      <c r="AL675" s="15">
        <v>1240000.0</v>
      </c>
      <c r="AM675" s="15">
        <v>1330000.0</v>
      </c>
      <c r="AN675" s="15">
        <v>423640.0</v>
      </c>
      <c r="AO675" s="15">
        <v>531450.0</v>
      </c>
      <c r="AP675" s="15">
        <v>521760.0</v>
      </c>
      <c r="AQ675" s="15">
        <v>692160.0</v>
      </c>
      <c r="AR675" s="15">
        <v>752210.0</v>
      </c>
      <c r="AS675" s="15">
        <v>868270.0</v>
      </c>
      <c r="AT675" s="15">
        <v>1210000.0</v>
      </c>
      <c r="AU675" s="15">
        <v>1010000.0</v>
      </c>
      <c r="AV675" s="15">
        <v>1170000.0</v>
      </c>
      <c r="AW675" s="15">
        <v>1100000.0</v>
      </c>
      <c r="AX675" s="15">
        <v>-181440.0</v>
      </c>
      <c r="AY675" s="15">
        <v>-213520.0</v>
      </c>
      <c r="AZ675" s="15">
        <v>-206290.0</v>
      </c>
      <c r="BA675" s="15">
        <v>-256260.0</v>
      </c>
      <c r="BB675" s="15">
        <v>-259970.0</v>
      </c>
      <c r="BC675" s="15">
        <v>-237220.0</v>
      </c>
      <c r="BD675" s="15">
        <v>-245810.0</v>
      </c>
      <c r="BE675" s="15">
        <v>-251860.0</v>
      </c>
      <c r="BF675" s="15">
        <v>-252320.0</v>
      </c>
      <c r="BG675" s="15">
        <v>-249260.0</v>
      </c>
      <c r="BH675" s="15">
        <v>898420.0</v>
      </c>
      <c r="BI675" s="15">
        <v>1260000.0</v>
      </c>
      <c r="BJ675" s="15">
        <v>735040.0</v>
      </c>
      <c r="BK675" s="15">
        <v>818080.0</v>
      </c>
      <c r="BL675" s="15">
        <v>855670.0</v>
      </c>
      <c r="BM675" s="15">
        <v>2530000.0</v>
      </c>
      <c r="BN675" s="15">
        <v>2520000.0</v>
      </c>
      <c r="BO675" s="15">
        <v>2440000.0</v>
      </c>
      <c r="BP675" s="15">
        <v>2360000.0</v>
      </c>
      <c r="BQ675" s="15">
        <v>2300000.0</v>
      </c>
      <c r="BR675" s="15">
        <v>603570.0</v>
      </c>
      <c r="BS675" s="15">
        <v>556130.0</v>
      </c>
      <c r="BT675" s="15">
        <v>538200.0</v>
      </c>
      <c r="BU675" s="15">
        <v>499920.0</v>
      </c>
      <c r="BV675" s="15">
        <v>585910.0</v>
      </c>
      <c r="BW675" s="15">
        <v>4200000.0</v>
      </c>
      <c r="BX675" s="15">
        <v>4480000.0</v>
      </c>
      <c r="BY675" s="15">
        <v>3880000.0</v>
      </c>
      <c r="BZ675" s="15">
        <v>3850000.0</v>
      </c>
      <c r="CA675" s="15">
        <v>3980000.0</v>
      </c>
      <c r="CB675" s="15">
        <v>909000.0</v>
      </c>
      <c r="CC675" s="15">
        <v>904130.0</v>
      </c>
      <c r="CD675" s="15">
        <v>967780.0</v>
      </c>
      <c r="CE675" s="15">
        <v>981590.0</v>
      </c>
      <c r="CF675" s="15">
        <v>942420.0</v>
      </c>
      <c r="CG675" s="15">
        <v>64160.0</v>
      </c>
      <c r="CH675" s="15">
        <v>55050.0</v>
      </c>
      <c r="CI675" s="15">
        <v>55950.0</v>
      </c>
      <c r="CJ675" s="15">
        <v>53390.0</v>
      </c>
      <c r="CK675" s="15">
        <v>54180.0</v>
      </c>
      <c r="CL675" s="15">
        <v>1.053E7</v>
      </c>
      <c r="CM675" s="15">
        <v>1.067E7</v>
      </c>
      <c r="CN675" s="15">
        <v>9970000.0</v>
      </c>
      <c r="CO675" s="15">
        <v>9890000.0</v>
      </c>
      <c r="CP675" s="15">
        <v>9970000.0</v>
      </c>
      <c r="CQ675" s="15">
        <v>294380.0</v>
      </c>
      <c r="CR675" s="15">
        <v>284860.0</v>
      </c>
      <c r="CS675" s="15">
        <v>227600.0</v>
      </c>
      <c r="CT675" s="15">
        <v>235320.0</v>
      </c>
      <c r="CU675" s="15">
        <v>235610.0</v>
      </c>
      <c r="CV675" s="15">
        <v>3200000.0</v>
      </c>
      <c r="CW675" s="15">
        <v>591010.0</v>
      </c>
      <c r="CX675" s="15">
        <v>1140000.0</v>
      </c>
      <c r="CY675" s="15">
        <v>1270000.0</v>
      </c>
      <c r="CZ675" s="15">
        <v>1060000.0</v>
      </c>
      <c r="DA675" s="15">
        <v>1200000.0</v>
      </c>
      <c r="DB675" s="15">
        <v>3200000.0</v>
      </c>
      <c r="DC675" s="15">
        <v>3600000.0</v>
      </c>
      <c r="DD675" s="15">
        <v>3160000.0</v>
      </c>
      <c r="DE675" s="15">
        <v>2860000.0</v>
      </c>
      <c r="DF675" s="15">
        <v>8720000.0</v>
      </c>
      <c r="DG675" s="15">
        <v>8890000.0</v>
      </c>
      <c r="DH675" s="15">
        <v>8130000.0</v>
      </c>
      <c r="DI675" s="15">
        <v>7970000.0</v>
      </c>
      <c r="DJ675" s="15">
        <v>8130000.0</v>
      </c>
      <c r="DK675" s="15">
        <v>52580.0</v>
      </c>
      <c r="DL675" s="15">
        <v>54250.0</v>
      </c>
      <c r="DM675" s="15">
        <v>48010.0</v>
      </c>
      <c r="DN675" s="15">
        <v>38120.0</v>
      </c>
      <c r="DO675" s="15">
        <v>36260.0</v>
      </c>
      <c r="DP675" s="15">
        <v>5170000.0</v>
      </c>
      <c r="DQ675" s="15">
        <v>4890000.0</v>
      </c>
      <c r="DR675" s="15">
        <v>4590000.0</v>
      </c>
      <c r="DS675" s="15">
        <v>4670000.0</v>
      </c>
      <c r="DT675" s="15">
        <v>4830000.0</v>
      </c>
      <c r="DU675" s="13"/>
      <c r="DV675" s="12"/>
      <c r="DW675" s="12"/>
      <c r="DX675" s="13"/>
      <c r="DY675" s="13"/>
      <c r="DZ675" s="15">
        <v>1800000.0</v>
      </c>
      <c r="EA675" s="15">
        <v>1770000.0</v>
      </c>
      <c r="EB675" s="15">
        <v>1840000.0</v>
      </c>
      <c r="EC675" s="15">
        <v>1920000.0</v>
      </c>
      <c r="ED675" s="15">
        <v>1840000.0</v>
      </c>
      <c r="EE675" s="17">
        <v>0.207</v>
      </c>
      <c r="EF675" s="17">
        <v>0.215</v>
      </c>
      <c r="EG675" s="17">
        <v>-21.0</v>
      </c>
      <c r="EH675" s="17">
        <v>-5.23</v>
      </c>
    </row>
    <row r="676">
      <c r="A676" s="9">
        <f t="shared" si="2"/>
        <v>674</v>
      </c>
      <c r="B676" s="32" t="s">
        <v>811</v>
      </c>
      <c r="C676" s="11">
        <v>1520000.0</v>
      </c>
      <c r="D676" s="11">
        <v>1520000.0</v>
      </c>
      <c r="E676" s="11">
        <v>1370000.0</v>
      </c>
      <c r="F676" s="11">
        <v>1170000.0</v>
      </c>
      <c r="G676" s="11">
        <v>950530.0</v>
      </c>
      <c r="H676" s="11">
        <v>765640.0</v>
      </c>
      <c r="I676" s="11">
        <v>622160.0</v>
      </c>
      <c r="J676" s="11">
        <v>380330.0</v>
      </c>
      <c r="K676" s="11">
        <v>379490.0</v>
      </c>
      <c r="L676" s="11">
        <v>300840.0</v>
      </c>
      <c r="M676" s="11">
        <v>243230.0</v>
      </c>
      <c r="N676" s="11">
        <v>197940.0</v>
      </c>
      <c r="O676" s="11">
        <v>273470.0</v>
      </c>
      <c r="P676" s="11">
        <v>281750.0</v>
      </c>
      <c r="Q676" s="11">
        <v>193160.0</v>
      </c>
      <c r="R676" s="11">
        <v>170260.0</v>
      </c>
      <c r="S676" s="11">
        <v>135720.0</v>
      </c>
      <c r="T676" s="11"/>
      <c r="U676" s="11"/>
      <c r="V676" s="11"/>
      <c r="W676" s="11"/>
      <c r="X676" s="11"/>
      <c r="Y676" s="11">
        <v>-150500.0</v>
      </c>
      <c r="Z676" s="11"/>
      <c r="AA676" s="11">
        <v>-2420.0</v>
      </c>
      <c r="AB676" s="11">
        <v>70260.0</v>
      </c>
      <c r="AC676" s="11">
        <v>26170.0</v>
      </c>
      <c r="AD676" s="11">
        <v>-191260.0</v>
      </c>
      <c r="AE676" s="11">
        <v>48980.0</v>
      </c>
      <c r="AF676" s="11">
        <v>65660.0</v>
      </c>
      <c r="AG676" s="11">
        <v>42790.0</v>
      </c>
      <c r="AH676" s="11">
        <v>-10590.0</v>
      </c>
      <c r="AI676" s="11">
        <v>244280.0</v>
      </c>
      <c r="AJ676" s="11">
        <v>154260.0</v>
      </c>
      <c r="AK676" s="11">
        <v>156460.0</v>
      </c>
      <c r="AL676" s="11">
        <v>109900.0</v>
      </c>
      <c r="AM676" s="11">
        <v>90910.0</v>
      </c>
      <c r="AN676" s="11">
        <v>-214440.0</v>
      </c>
      <c r="AO676" s="11">
        <v>49000.0</v>
      </c>
      <c r="AP676" s="11">
        <v>31810.0</v>
      </c>
      <c r="AQ676" s="11">
        <v>27070.0</v>
      </c>
      <c r="AR676" s="11">
        <v>3570.0</v>
      </c>
      <c r="AS676" s="11">
        <v>144850.0</v>
      </c>
      <c r="AT676" s="11">
        <v>86330.0</v>
      </c>
      <c r="AU676" s="11">
        <v>106020.0</v>
      </c>
      <c r="AV676" s="11">
        <v>43180.0</v>
      </c>
      <c r="AW676" s="11">
        <v>14910.0</v>
      </c>
      <c r="AX676" s="11">
        <v>-246760.0</v>
      </c>
      <c r="AY676" s="11">
        <v>-357520.0</v>
      </c>
      <c r="AZ676" s="11">
        <v>-232700.0</v>
      </c>
      <c r="BA676" s="11">
        <v>-124860.0</v>
      </c>
      <c r="BB676" s="11">
        <v>-102560.0</v>
      </c>
      <c r="BC676" s="12"/>
      <c r="BD676" s="12"/>
      <c r="BE676" s="12"/>
      <c r="BF676" s="12"/>
      <c r="BG676" s="12"/>
      <c r="BH676" s="11">
        <v>12080.0</v>
      </c>
      <c r="BI676" s="11">
        <v>10950.0</v>
      </c>
      <c r="BJ676" s="11">
        <v>8530.0</v>
      </c>
      <c r="BK676" s="11">
        <v>7090.0</v>
      </c>
      <c r="BL676" s="11">
        <v>5430.0</v>
      </c>
      <c r="BM676" s="11"/>
      <c r="BN676" s="11"/>
      <c r="BO676" s="11"/>
      <c r="BP676" s="11"/>
      <c r="BQ676" s="11"/>
      <c r="BR676" s="11">
        <v>417760.0</v>
      </c>
      <c r="BS676" s="11">
        <v>382020.0</v>
      </c>
      <c r="BT676" s="11">
        <v>269840.0</v>
      </c>
      <c r="BU676" s="11">
        <v>243800.0</v>
      </c>
      <c r="BV676" s="11">
        <v>176390.0</v>
      </c>
      <c r="BW676" s="11">
        <v>448170.0</v>
      </c>
      <c r="BX676" s="11">
        <v>414550.0</v>
      </c>
      <c r="BY676" s="11">
        <v>300930.0</v>
      </c>
      <c r="BZ676" s="11">
        <v>258880.0</v>
      </c>
      <c r="CA676" s="11">
        <v>191400.0</v>
      </c>
      <c r="CB676" s="11">
        <v>1890000.0</v>
      </c>
      <c r="CC676" s="11">
        <v>682660.0</v>
      </c>
      <c r="CD676" s="11">
        <v>466260.0</v>
      </c>
      <c r="CE676" s="11">
        <v>340360.0</v>
      </c>
      <c r="CF676" s="11">
        <v>272780.0</v>
      </c>
      <c r="CG676" s="11">
        <v>319730.0</v>
      </c>
      <c r="CH676" s="11">
        <v>569730.0</v>
      </c>
      <c r="CI676" s="11">
        <v>569730.0</v>
      </c>
      <c r="CJ676" s="11">
        <v>569730.0</v>
      </c>
      <c r="CK676" s="11">
        <v>569730.0</v>
      </c>
      <c r="CL676" s="11">
        <v>3000000.0</v>
      </c>
      <c r="CM676" s="11">
        <v>1760000.0</v>
      </c>
      <c r="CN676" s="11">
        <v>1400000.0</v>
      </c>
      <c r="CO676" s="11">
        <v>1250000.0</v>
      </c>
      <c r="CP676" s="11">
        <v>1080000.0</v>
      </c>
      <c r="CQ676" s="11">
        <v>119190.0</v>
      </c>
      <c r="CR676" s="11">
        <v>115820.0</v>
      </c>
      <c r="CS676" s="11">
        <v>79630.0</v>
      </c>
      <c r="CT676" s="11">
        <v>58430.0</v>
      </c>
      <c r="CU676" s="11">
        <v>31140.0</v>
      </c>
      <c r="CV676" s="11">
        <v>537720.0</v>
      </c>
      <c r="CW676" s="11">
        <v>300860.0</v>
      </c>
      <c r="CX676" s="11">
        <v>221010.0</v>
      </c>
      <c r="CY676" s="11">
        <v>162000.0</v>
      </c>
      <c r="CZ676" s="11">
        <v>101580.0</v>
      </c>
      <c r="DA676" s="11">
        <v>76600.0</v>
      </c>
      <c r="DB676" s="11">
        <v>537720.0</v>
      </c>
      <c r="DC676" s="11">
        <v>469750.0</v>
      </c>
      <c r="DD676" s="11">
        <v>343670.0</v>
      </c>
      <c r="DE676" s="11">
        <v>252480.0</v>
      </c>
      <c r="DF676" s="11">
        <v>2390000.0</v>
      </c>
      <c r="DG676" s="11">
        <v>1050000.0</v>
      </c>
      <c r="DH676" s="11">
        <v>804150.0</v>
      </c>
      <c r="DI676" s="11">
        <v>710370.0</v>
      </c>
      <c r="DJ676" s="11">
        <v>714650.0</v>
      </c>
      <c r="DK676" s="11">
        <v>3.0</v>
      </c>
      <c r="DL676" s="11">
        <v>2520.0</v>
      </c>
      <c r="DM676" s="12"/>
      <c r="DN676" s="11">
        <v>482.0</v>
      </c>
      <c r="DO676" s="11">
        <v>26.0</v>
      </c>
      <c r="DP676" s="11">
        <v>1530000.0</v>
      </c>
      <c r="DQ676" s="11">
        <v>371470.0</v>
      </c>
      <c r="DR676" s="11">
        <v>309590.0</v>
      </c>
      <c r="DS676" s="11">
        <v>319540.0</v>
      </c>
      <c r="DT676" s="11">
        <v>441630.0</v>
      </c>
      <c r="DU676" s="13"/>
      <c r="DV676" s="12"/>
      <c r="DW676" s="12"/>
      <c r="DX676" s="12"/>
      <c r="DY676" s="12"/>
      <c r="DZ676" s="11">
        <v>608610.0</v>
      </c>
      <c r="EA676" s="11">
        <v>711090.0</v>
      </c>
      <c r="EB676" s="11">
        <v>590880.0</v>
      </c>
      <c r="EC676" s="11">
        <v>534870.0</v>
      </c>
      <c r="ED676" s="11">
        <v>369150.0</v>
      </c>
      <c r="EE676" s="14">
        <v>0.059</v>
      </c>
      <c r="EF676" s="14">
        <v>0.171</v>
      </c>
      <c r="EG676" s="14">
        <v>-0.452</v>
      </c>
      <c r="EH676" s="14">
        <v>0.194</v>
      </c>
    </row>
    <row r="677">
      <c r="A677" s="9">
        <f t="shared" si="2"/>
        <v>675</v>
      </c>
      <c r="B677" s="10" t="s">
        <v>812</v>
      </c>
      <c r="C677" s="11">
        <v>3.371E7</v>
      </c>
      <c r="D677" s="11">
        <v>3.198E7</v>
      </c>
      <c r="E677" s="11">
        <v>3.671E7</v>
      </c>
      <c r="F677" s="11">
        <v>4.181E7</v>
      </c>
      <c r="G677" s="11">
        <v>4.052E7</v>
      </c>
      <c r="H677" s="11">
        <v>3.931E7</v>
      </c>
      <c r="I677" s="11">
        <v>3.856E7</v>
      </c>
      <c r="J677" s="11">
        <v>1.413E7</v>
      </c>
      <c r="K677" s="11">
        <v>1.541E7</v>
      </c>
      <c r="L677" s="11">
        <v>1.492E7</v>
      </c>
      <c r="M677" s="11">
        <v>1.484E7</v>
      </c>
      <c r="N677" s="11">
        <v>1.407E7</v>
      </c>
      <c r="O677" s="11">
        <v>6810000.0</v>
      </c>
      <c r="P677" s="11">
        <v>7620000.0</v>
      </c>
      <c r="Q677" s="11">
        <v>7760000.0</v>
      </c>
      <c r="R677" s="11">
        <v>7490000.0</v>
      </c>
      <c r="S677" s="11">
        <v>6800000.0</v>
      </c>
      <c r="T677" s="11">
        <v>1560000.0</v>
      </c>
      <c r="U677" s="11">
        <v>1810000.0</v>
      </c>
      <c r="V677" s="11">
        <v>1840000.0</v>
      </c>
      <c r="W677" s="11">
        <v>2140000.0</v>
      </c>
      <c r="X677" s="11">
        <v>1860000.0</v>
      </c>
      <c r="Y677" s="11">
        <v>7010000.0</v>
      </c>
      <c r="Z677" s="11">
        <v>6760000.0</v>
      </c>
      <c r="AA677" s="11">
        <v>-1230000.0</v>
      </c>
      <c r="AB677" s="11">
        <v>6810000.0</v>
      </c>
      <c r="AC677" s="11">
        <v>6640000.0</v>
      </c>
      <c r="AD677" s="11">
        <v>7560000.0</v>
      </c>
      <c r="AE677" s="11">
        <v>7490000.0</v>
      </c>
      <c r="AF677" s="11">
        <v>6950000.0</v>
      </c>
      <c r="AG677" s="11">
        <v>6450000.0</v>
      </c>
      <c r="AH677" s="11">
        <v>6590000.0</v>
      </c>
      <c r="AI677" s="11">
        <v>8420000.0</v>
      </c>
      <c r="AJ677" s="11">
        <v>8910000.0</v>
      </c>
      <c r="AK677" s="11">
        <v>8270000.0</v>
      </c>
      <c r="AL677" s="11">
        <v>8380000.0</v>
      </c>
      <c r="AM677" s="11">
        <v>8150000.0</v>
      </c>
      <c r="AN677" s="11">
        <v>6140000.0</v>
      </c>
      <c r="AO677" s="11">
        <v>6770000.0</v>
      </c>
      <c r="AP677" s="11">
        <v>1550000.0</v>
      </c>
      <c r="AQ677" s="11">
        <v>4810000.0</v>
      </c>
      <c r="AR677" s="11">
        <v>4770000.0</v>
      </c>
      <c r="AS677" s="11">
        <v>6900000.0</v>
      </c>
      <c r="AT677" s="11">
        <v>6430000.0</v>
      </c>
      <c r="AU677" s="11">
        <v>5970000.0</v>
      </c>
      <c r="AV677" s="11">
        <v>5500000.0</v>
      </c>
      <c r="AW677" s="11">
        <v>5450000.0</v>
      </c>
      <c r="AX677" s="11">
        <v>-839000.0</v>
      </c>
      <c r="AY677" s="11">
        <v>-828000.0</v>
      </c>
      <c r="AZ677" s="11">
        <v>-1030000.0</v>
      </c>
      <c r="BA677" s="11">
        <v>-1100000.0</v>
      </c>
      <c r="BB677" s="11">
        <v>-1070000.0</v>
      </c>
      <c r="BC677" s="11">
        <v>-2440000.0</v>
      </c>
      <c r="BD677" s="11">
        <v>-2270000.0</v>
      </c>
      <c r="BE677" s="11">
        <v>-2120000.0</v>
      </c>
      <c r="BF677" s="11">
        <v>-1920000.0</v>
      </c>
      <c r="BG677" s="11">
        <v>-1730000.0</v>
      </c>
      <c r="BH677" s="11">
        <v>1.042E7</v>
      </c>
      <c r="BI677" s="11">
        <v>1.091E7</v>
      </c>
      <c r="BJ677" s="11">
        <v>1.082E7</v>
      </c>
      <c r="BK677" s="11">
        <v>7840000.0</v>
      </c>
      <c r="BL677" s="11">
        <v>5460000.0</v>
      </c>
      <c r="BM677" s="11">
        <v>7790000.0</v>
      </c>
      <c r="BN677" s="11">
        <v>7510000.0</v>
      </c>
      <c r="BO677" s="11">
        <v>8870000.0</v>
      </c>
      <c r="BP677" s="11">
        <v>8820000.0</v>
      </c>
      <c r="BQ677" s="11">
        <v>8080000.0</v>
      </c>
      <c r="BR677" s="11">
        <v>4420000.0</v>
      </c>
      <c r="BS677" s="11">
        <v>4330000.0</v>
      </c>
      <c r="BT677" s="11">
        <v>4610000.0</v>
      </c>
      <c r="BU677" s="11">
        <v>4370000.0</v>
      </c>
      <c r="BV677" s="11">
        <v>4420000.0</v>
      </c>
      <c r="BW677" s="11">
        <v>2.43E7</v>
      </c>
      <c r="BX677" s="11">
        <v>2.436E7</v>
      </c>
      <c r="BY677" s="11">
        <v>2.6E7</v>
      </c>
      <c r="BZ677" s="11">
        <v>2.306E7</v>
      </c>
      <c r="CA677" s="11">
        <v>2.005E7</v>
      </c>
      <c r="CB677" s="11">
        <v>6000000.0</v>
      </c>
      <c r="CC677" s="11">
        <v>5300000.0</v>
      </c>
      <c r="CD677" s="11">
        <v>5930000.0</v>
      </c>
      <c r="CE677" s="11">
        <v>5790000.0</v>
      </c>
      <c r="CF677" s="11">
        <v>5790000.0</v>
      </c>
      <c r="CG677" s="11">
        <v>1.556E7</v>
      </c>
      <c r="CH677" s="11">
        <v>1.555E7</v>
      </c>
      <c r="CI677" s="11">
        <v>1.828E7</v>
      </c>
      <c r="CJ677" s="11">
        <v>1.771E7</v>
      </c>
      <c r="CK677" s="11">
        <v>1.59E7</v>
      </c>
      <c r="CL677" s="11">
        <v>5.868E7</v>
      </c>
      <c r="CM677" s="11">
        <v>5.777E7</v>
      </c>
      <c r="CN677" s="11">
        <v>5.947E7</v>
      </c>
      <c r="CO677" s="11">
        <v>5.415E7</v>
      </c>
      <c r="CP677" s="11">
        <v>4.932E7</v>
      </c>
      <c r="CQ677" s="11">
        <v>5730000.0</v>
      </c>
      <c r="CR677" s="11">
        <v>5610000.0</v>
      </c>
      <c r="CS677" s="11">
        <v>6580000.0</v>
      </c>
      <c r="CT677" s="11">
        <v>5690000.0</v>
      </c>
      <c r="CU677" s="11">
        <v>5580000.0</v>
      </c>
      <c r="CV677" s="11">
        <v>1.81E7</v>
      </c>
      <c r="CW677" s="11">
        <v>3690000.0</v>
      </c>
      <c r="CX677" s="11">
        <v>3590000.0</v>
      </c>
      <c r="CY677" s="11">
        <v>3960000.0</v>
      </c>
      <c r="CZ677" s="11">
        <v>3370000.0</v>
      </c>
      <c r="DA677" s="11">
        <v>5940000.0</v>
      </c>
      <c r="DB677" s="11">
        <v>1.81E7</v>
      </c>
      <c r="DC677" s="11">
        <v>1.892E7</v>
      </c>
      <c r="DD677" s="11">
        <v>1.886E7</v>
      </c>
      <c r="DE677" s="11">
        <v>1.633E7</v>
      </c>
      <c r="DF677" s="11">
        <v>3.997E7</v>
      </c>
      <c r="DG677" s="11">
        <v>3.941E7</v>
      </c>
      <c r="DH677" s="11">
        <v>4.28E7</v>
      </c>
      <c r="DI677" s="11">
        <v>3.46E7</v>
      </c>
      <c r="DJ677" s="11">
        <v>3.061E7</v>
      </c>
      <c r="DK677" s="11">
        <v>459000.0</v>
      </c>
      <c r="DL677" s="11">
        <v>409000.0</v>
      </c>
      <c r="DM677" s="11">
        <v>371000.0</v>
      </c>
      <c r="DN677" s="11">
        <v>307000.0</v>
      </c>
      <c r="DO677" s="11">
        <v>225000.0</v>
      </c>
      <c r="DP677" s="11">
        <v>1.164E7</v>
      </c>
      <c r="DQ677" s="11">
        <v>9760000.0</v>
      </c>
      <c r="DR677" s="11">
        <v>1.257E7</v>
      </c>
      <c r="DS677" s="11">
        <v>1.218E7</v>
      </c>
      <c r="DT677" s="11">
        <v>5550000.0</v>
      </c>
      <c r="DU677" s="13"/>
      <c r="DV677" s="13"/>
      <c r="DW677" s="12"/>
      <c r="DX677" s="12"/>
      <c r="DY677" s="12"/>
      <c r="DZ677" s="11">
        <v>1.849E7</v>
      </c>
      <c r="EA677" s="11">
        <v>1.818E7</v>
      </c>
      <c r="EB677" s="11">
        <v>1.65E7</v>
      </c>
      <c r="EC677" s="11">
        <v>1.937E7</v>
      </c>
      <c r="ED677" s="11">
        <v>1.828E7</v>
      </c>
      <c r="EE677" s="14">
        <v>0.037</v>
      </c>
      <c r="EF677" s="14">
        <v>0.089</v>
      </c>
      <c r="EG677" s="14">
        <v>0.041</v>
      </c>
      <c r="EH677" s="14">
        <v>0.055</v>
      </c>
    </row>
    <row r="678">
      <c r="A678" s="9">
        <f t="shared" si="2"/>
        <v>676</v>
      </c>
      <c r="B678" s="22" t="s">
        <v>813</v>
      </c>
      <c r="C678" s="11">
        <v>9650.0</v>
      </c>
      <c r="D678" s="11">
        <v>17500.0</v>
      </c>
      <c r="E678" s="11">
        <v>11940.0</v>
      </c>
      <c r="F678" s="11">
        <v>7630.0</v>
      </c>
      <c r="G678" s="12"/>
      <c r="H678" s="12"/>
      <c r="I678" s="12"/>
      <c r="J678" s="12"/>
      <c r="K678" s="12"/>
      <c r="L678" s="11">
        <v>-398.0</v>
      </c>
      <c r="M678" s="12"/>
      <c r="N678" s="12"/>
      <c r="O678" s="11">
        <v>59960.0</v>
      </c>
      <c r="P678" s="11">
        <v>28170.0</v>
      </c>
      <c r="Q678" s="11">
        <v>13760.0</v>
      </c>
      <c r="R678" s="12"/>
      <c r="S678" s="12"/>
      <c r="T678" s="11">
        <v>46310.0</v>
      </c>
      <c r="U678" s="11">
        <v>21970.0</v>
      </c>
      <c r="V678" s="11">
        <v>9770.0</v>
      </c>
      <c r="W678" s="12"/>
      <c r="X678" s="12"/>
      <c r="Y678" s="12"/>
      <c r="Z678" s="12"/>
      <c r="AA678" s="12"/>
      <c r="AB678" s="12"/>
      <c r="AC678" s="12"/>
      <c r="AD678" s="11">
        <v>-43040.0</v>
      </c>
      <c r="AE678" s="11">
        <v>-16210.0</v>
      </c>
      <c r="AF678" s="11">
        <v>-12720.0</v>
      </c>
      <c r="AG678" s="12"/>
      <c r="AH678" s="12"/>
      <c r="AI678" s="11">
        <v>-48020.0</v>
      </c>
      <c r="AJ678" s="11">
        <v>-20540.0</v>
      </c>
      <c r="AK678" s="11">
        <v>-13760.0</v>
      </c>
      <c r="AL678" s="12"/>
      <c r="AM678" s="12"/>
      <c r="AN678" s="11">
        <v>-43040.0</v>
      </c>
      <c r="AO678" s="11">
        <v>-16240.0</v>
      </c>
      <c r="AP678" s="11">
        <v>-12720.0</v>
      </c>
      <c r="AQ678" s="12"/>
      <c r="AR678" s="12"/>
      <c r="AS678" s="11">
        <v>-39340.0</v>
      </c>
      <c r="AT678" s="11">
        <v>-15000.0</v>
      </c>
      <c r="AU678" s="11">
        <v>-11910.0</v>
      </c>
      <c r="AV678" s="12"/>
      <c r="AW678" s="12"/>
      <c r="AX678" s="11">
        <v>-2000.0</v>
      </c>
      <c r="AY678" s="11">
        <v>-2150.0</v>
      </c>
      <c r="AZ678" s="11">
        <v>-1300.0</v>
      </c>
      <c r="BA678" s="12"/>
      <c r="BB678" s="12"/>
      <c r="BC678" s="12"/>
      <c r="BD678" s="12"/>
      <c r="BE678" s="12"/>
      <c r="BF678" s="12"/>
      <c r="BG678" s="12"/>
      <c r="BH678" s="11">
        <v>113150.0</v>
      </c>
      <c r="BI678" s="11">
        <v>48580.0</v>
      </c>
      <c r="BJ678" s="11">
        <v>61360.0</v>
      </c>
      <c r="BK678" s="12"/>
      <c r="BL678" s="12"/>
      <c r="BM678" s="11">
        <v>9730.0</v>
      </c>
      <c r="BN678" s="11">
        <v>4920.0</v>
      </c>
      <c r="BO678" s="11">
        <v>6520.0</v>
      </c>
      <c r="BP678" s="12"/>
      <c r="BQ678" s="12"/>
      <c r="BR678" s="12"/>
      <c r="BS678" s="12"/>
      <c r="BT678" s="12"/>
      <c r="BU678" s="12"/>
      <c r="BV678" s="12"/>
      <c r="BW678" s="11">
        <v>128020.0</v>
      </c>
      <c r="BX678" s="11">
        <v>62310.0</v>
      </c>
      <c r="BY678" s="11">
        <v>69960.0</v>
      </c>
      <c r="BZ678" s="12"/>
      <c r="CA678" s="12"/>
      <c r="CB678" s="11">
        <v>14600.0</v>
      </c>
      <c r="CC678" s="11">
        <v>4340.0</v>
      </c>
      <c r="CD678" s="11">
        <v>3580.0</v>
      </c>
      <c r="CE678" s="12"/>
      <c r="CF678" s="12"/>
      <c r="CG678" s="12"/>
      <c r="CH678" s="12"/>
      <c r="CI678" s="12"/>
      <c r="CJ678" s="12"/>
      <c r="CK678" s="12"/>
      <c r="CL678" s="11">
        <v>143750.0</v>
      </c>
      <c r="CM678" s="11">
        <v>68250.0</v>
      </c>
      <c r="CN678" s="11">
        <v>73730.0</v>
      </c>
      <c r="CO678" s="12"/>
      <c r="CP678" s="12"/>
      <c r="CQ678" s="11">
        <v>944.0</v>
      </c>
      <c r="CR678" s="11">
        <v>3660.0</v>
      </c>
      <c r="CS678" s="11">
        <v>1480.0</v>
      </c>
      <c r="CT678" s="12"/>
      <c r="CU678" s="12"/>
      <c r="CV678" s="11">
        <v>14760.0</v>
      </c>
      <c r="CW678" s="11">
        <v>1810.0</v>
      </c>
      <c r="CX678" s="12"/>
      <c r="CY678" s="12"/>
      <c r="CZ678" s="12"/>
      <c r="DA678" s="12"/>
      <c r="DB678" s="11">
        <v>14760.0</v>
      </c>
      <c r="DC678" s="11">
        <v>14700.0</v>
      </c>
      <c r="DD678" s="11">
        <v>4040.0</v>
      </c>
      <c r="DE678" s="12"/>
      <c r="DF678" s="11">
        <v>25850.0</v>
      </c>
      <c r="DG678" s="11">
        <v>23850.0</v>
      </c>
      <c r="DH678" s="11">
        <v>11610.0</v>
      </c>
      <c r="DI678" s="12"/>
      <c r="DJ678" s="12"/>
      <c r="DK678" s="12"/>
      <c r="DL678" s="12"/>
      <c r="DM678" s="12"/>
      <c r="DN678" s="12"/>
      <c r="DO678" s="12"/>
      <c r="DP678" s="11">
        <v>9150.0</v>
      </c>
      <c r="DQ678" s="11">
        <v>4390.0</v>
      </c>
      <c r="DR678" s="11">
        <v>3740.0</v>
      </c>
      <c r="DS678" s="12"/>
      <c r="DT678" s="12"/>
      <c r="DU678" s="13"/>
      <c r="DV678" s="11">
        <v>104770.0</v>
      </c>
      <c r="DW678" s="11">
        <v>104770.0</v>
      </c>
      <c r="DX678" s="13"/>
      <c r="DY678" s="13"/>
      <c r="DZ678" s="11">
        <v>117900.0</v>
      </c>
      <c r="EA678" s="11">
        <v>44400.0</v>
      </c>
      <c r="EB678" s="11">
        <v>62120.0</v>
      </c>
      <c r="EC678" s="12"/>
      <c r="ED678" s="12"/>
      <c r="EE678" s="14">
        <v>0.275</v>
      </c>
      <c r="EF678" s="14">
        <v>0.881</v>
      </c>
      <c r="EG678" s="14">
        <v>0.404</v>
      </c>
      <c r="EH678" s="14">
        <v>0.209</v>
      </c>
    </row>
    <row r="679">
      <c r="A679" s="9">
        <f t="shared" si="2"/>
        <v>677</v>
      </c>
      <c r="B679" s="32" t="s">
        <v>814</v>
      </c>
      <c r="C679" s="11"/>
      <c r="D679" s="11">
        <v>2270000.0</v>
      </c>
      <c r="E679" s="11">
        <v>2010000.0</v>
      </c>
      <c r="F679" s="11">
        <v>1990000.0</v>
      </c>
      <c r="G679" s="11">
        <v>2450000.0</v>
      </c>
      <c r="H679" s="11">
        <v>2750000.0</v>
      </c>
      <c r="I679" s="11">
        <v>2150000.0</v>
      </c>
      <c r="J679" s="11">
        <v>293750.0</v>
      </c>
      <c r="K679" s="11">
        <v>322260.0</v>
      </c>
      <c r="L679" s="11">
        <v>346910.0</v>
      </c>
      <c r="M679" s="11">
        <v>354690.0</v>
      </c>
      <c r="N679" s="11">
        <v>322290.0</v>
      </c>
      <c r="O679" s="11">
        <v>224740.0</v>
      </c>
      <c r="P679" s="11">
        <v>219810.0</v>
      </c>
      <c r="Q679" s="11">
        <v>244820.0</v>
      </c>
      <c r="R679" s="11">
        <v>235720.0</v>
      </c>
      <c r="S679" s="11">
        <v>250910.0</v>
      </c>
      <c r="T679" s="11"/>
      <c r="U679" s="11"/>
      <c r="V679" s="11"/>
      <c r="W679" s="11"/>
      <c r="X679" s="11"/>
      <c r="Y679" s="11">
        <v>21460.0</v>
      </c>
      <c r="Z679" s="11">
        <v>87410.0</v>
      </c>
      <c r="AA679" s="11">
        <v>-30600.0</v>
      </c>
      <c r="AB679" s="11">
        <v>1020.0</v>
      </c>
      <c r="AC679" s="11">
        <v>65900.0</v>
      </c>
      <c r="AD679" s="11">
        <v>-39670.0</v>
      </c>
      <c r="AE679" s="11">
        <v>8150.0</v>
      </c>
      <c r="AF679" s="11">
        <v>-45240.0</v>
      </c>
      <c r="AG679" s="11">
        <v>2440.0</v>
      </c>
      <c r="AH679" s="11">
        <v>-21770.0</v>
      </c>
      <c r="AI679" s="11">
        <v>63220.0</v>
      </c>
      <c r="AJ679" s="11">
        <v>95000.0</v>
      </c>
      <c r="AK679" s="11">
        <v>93950.0</v>
      </c>
      <c r="AL679" s="11">
        <v>100300.0</v>
      </c>
      <c r="AM679" s="11">
        <v>68770.0</v>
      </c>
      <c r="AN679" s="11">
        <v>-42120.0</v>
      </c>
      <c r="AO679" s="11">
        <v>4520.0</v>
      </c>
      <c r="AP679" s="11">
        <v>-332190.0</v>
      </c>
      <c r="AQ679" s="11">
        <v>-2820.0</v>
      </c>
      <c r="AR679" s="11">
        <v>-16100.0</v>
      </c>
      <c r="AS679" s="11">
        <v>-240200.0</v>
      </c>
      <c r="AT679" s="11">
        <v>-38160.0</v>
      </c>
      <c r="AU679" s="11">
        <v>314880.0</v>
      </c>
      <c r="AV679" s="11">
        <v>392930.0</v>
      </c>
      <c r="AW679" s="11">
        <v>-303420.0</v>
      </c>
      <c r="AX679" s="11">
        <v>-4010.0</v>
      </c>
      <c r="AY679" s="11">
        <v>-5190.0</v>
      </c>
      <c r="AZ679" s="11">
        <v>-6480.0</v>
      </c>
      <c r="BA679" s="11">
        <v>-8010.0</v>
      </c>
      <c r="BB679" s="11">
        <v>-2050.0</v>
      </c>
      <c r="BC679" s="13"/>
      <c r="BD679" s="13"/>
      <c r="BE679" s="13"/>
      <c r="BF679" s="13"/>
      <c r="BG679" s="13"/>
      <c r="BH679" s="11">
        <v>182270.0</v>
      </c>
      <c r="BI679" s="11">
        <v>232990.0</v>
      </c>
      <c r="BJ679" s="11">
        <v>493740.0</v>
      </c>
      <c r="BK679" s="11">
        <v>343690.0</v>
      </c>
      <c r="BL679" s="11">
        <v>280270.0</v>
      </c>
      <c r="BM679" s="11">
        <v>168890.0</v>
      </c>
      <c r="BN679" s="11">
        <v>132570.0</v>
      </c>
      <c r="BO679" s="11">
        <v>134150.0</v>
      </c>
      <c r="BP679" s="11">
        <v>333360.0</v>
      </c>
      <c r="BQ679" s="11">
        <v>360630.0</v>
      </c>
      <c r="BR679" s="11">
        <v>1290000.0</v>
      </c>
      <c r="BS679" s="11">
        <v>1080000.0</v>
      </c>
      <c r="BT679" s="11">
        <v>1010000.0</v>
      </c>
      <c r="BU679" s="11">
        <v>1280000.0</v>
      </c>
      <c r="BV679" s="11">
        <v>1640000.0</v>
      </c>
      <c r="BW679" s="11">
        <v>1640000.0</v>
      </c>
      <c r="BX679" s="11">
        <v>1440000.0</v>
      </c>
      <c r="BY679" s="11">
        <v>1640000.0</v>
      </c>
      <c r="BZ679" s="11">
        <v>1960000.0</v>
      </c>
      <c r="CA679" s="11">
        <v>2290000.0</v>
      </c>
      <c r="CB679" s="11">
        <v>20130.0</v>
      </c>
      <c r="CC679" s="11">
        <v>20290.0</v>
      </c>
      <c r="CD679" s="11">
        <v>52920.0</v>
      </c>
      <c r="CE679" s="11">
        <v>50330.0</v>
      </c>
      <c r="CF679" s="11">
        <v>45530.0</v>
      </c>
      <c r="CG679" s="11"/>
      <c r="CH679" s="11"/>
      <c r="CI679" s="11"/>
      <c r="CJ679" s="11"/>
      <c r="CK679" s="11"/>
      <c r="CL679" s="11">
        <v>1880000.0</v>
      </c>
      <c r="CM679" s="11">
        <v>1660000.0</v>
      </c>
      <c r="CN679" s="11">
        <v>1900000.0</v>
      </c>
      <c r="CO679" s="11">
        <v>2350000.0</v>
      </c>
      <c r="CP679" s="11">
        <v>2600000.0</v>
      </c>
      <c r="CQ679" s="11">
        <v>310810.0</v>
      </c>
      <c r="CR679" s="11">
        <v>127800.0</v>
      </c>
      <c r="CS679" s="11">
        <v>128840.0</v>
      </c>
      <c r="CT679" s="11">
        <v>160920.0</v>
      </c>
      <c r="CU679" s="11">
        <v>164620.0</v>
      </c>
      <c r="CV679" s="11">
        <v>525210.0</v>
      </c>
      <c r="CW679" s="11"/>
      <c r="CX679" s="13"/>
      <c r="CY679" s="13"/>
      <c r="CZ679" s="11">
        <v>52000.0</v>
      </c>
      <c r="DA679" s="11">
        <v>155880.0</v>
      </c>
      <c r="DB679" s="11">
        <v>525210.0</v>
      </c>
      <c r="DC679" s="11">
        <v>370590.0</v>
      </c>
      <c r="DD679" s="11">
        <v>410630.0</v>
      </c>
      <c r="DE679" s="11">
        <v>364170.0</v>
      </c>
      <c r="DF679" s="11">
        <v>2370000.0</v>
      </c>
      <c r="DG679" s="11">
        <v>2120000.0</v>
      </c>
      <c r="DH679" s="11">
        <v>1910000.0</v>
      </c>
      <c r="DI679" s="11">
        <v>2480000.0</v>
      </c>
      <c r="DJ679" s="11">
        <v>2730000.0</v>
      </c>
      <c r="DK679" s="11">
        <v>127040.0</v>
      </c>
      <c r="DL679" s="11">
        <v>123690.0</v>
      </c>
      <c r="DM679" s="11">
        <v>115090.0</v>
      </c>
      <c r="DN679" s="11">
        <v>100950.0</v>
      </c>
      <c r="DO679" s="11">
        <v>192450.0</v>
      </c>
      <c r="DP679" s="11">
        <v>1680000.0</v>
      </c>
      <c r="DQ679" s="11">
        <v>1530000.0</v>
      </c>
      <c r="DR679" s="11">
        <v>1260000.0</v>
      </c>
      <c r="DS679" s="11">
        <v>1670000.0</v>
      </c>
      <c r="DT679" s="11">
        <v>2010000.0</v>
      </c>
      <c r="DU679" s="11">
        <v>135300.0</v>
      </c>
      <c r="DV679" s="11">
        <v>135300.0</v>
      </c>
      <c r="DW679" s="11">
        <v>135300.0</v>
      </c>
      <c r="DX679" s="11">
        <v>135300.0</v>
      </c>
      <c r="DY679" s="11">
        <v>135300.0</v>
      </c>
      <c r="DZ679" s="11">
        <v>-490460.0</v>
      </c>
      <c r="EA679" s="11">
        <v>-453500.0</v>
      </c>
      <c r="EB679" s="11">
        <v>-460370.0</v>
      </c>
      <c r="EC679" s="11">
        <v>-128510.0</v>
      </c>
      <c r="ED679" s="11">
        <v>-128080.0</v>
      </c>
      <c r="EE679" s="14">
        <v>0.0</v>
      </c>
      <c r="EF679" s="14"/>
      <c r="EG679" s="14">
        <v>-1.073</v>
      </c>
      <c r="EH679" s="14">
        <v>-5.472</v>
      </c>
    </row>
    <row r="680">
      <c r="A680" s="9">
        <f t="shared" si="2"/>
        <v>678</v>
      </c>
      <c r="B680" s="32" t="s">
        <v>815</v>
      </c>
      <c r="C680" s="11">
        <v>795800.0</v>
      </c>
      <c r="D680" s="11">
        <v>738660.0</v>
      </c>
      <c r="E680" s="11">
        <v>531990.0</v>
      </c>
      <c r="F680" s="11">
        <v>287240.0</v>
      </c>
      <c r="G680" s="11">
        <v>229530.0</v>
      </c>
      <c r="H680" s="11">
        <v>178370.0</v>
      </c>
      <c r="I680" s="11">
        <v>126790.0</v>
      </c>
      <c r="J680" s="11">
        <v>291210.0</v>
      </c>
      <c r="K680" s="11">
        <v>175260.0</v>
      </c>
      <c r="L680" s="11">
        <v>130050.0</v>
      </c>
      <c r="M680" s="11">
        <v>102060.0</v>
      </c>
      <c r="N680" s="11">
        <v>70390.0</v>
      </c>
      <c r="O680" s="11">
        <v>182090.0</v>
      </c>
      <c r="P680" s="11">
        <v>97590.0</v>
      </c>
      <c r="Q680" s="11">
        <v>75640.0</v>
      </c>
      <c r="R680" s="11">
        <v>60850.0</v>
      </c>
      <c r="S680" s="11">
        <v>44250.0</v>
      </c>
      <c r="T680" s="11">
        <v>77580.0</v>
      </c>
      <c r="U680" s="11">
        <v>35060.0</v>
      </c>
      <c r="V680" s="11">
        <v>27390.0</v>
      </c>
      <c r="W680" s="11">
        <v>22380.0</v>
      </c>
      <c r="X680" s="11">
        <v>16830.0</v>
      </c>
      <c r="Y680" s="11">
        <v>36200.0</v>
      </c>
      <c r="Z680" s="11">
        <v>75570.0</v>
      </c>
      <c r="AA680" s="12"/>
      <c r="AB680" s="11">
        <v>40580.0</v>
      </c>
      <c r="AC680" s="11">
        <v>25670.0</v>
      </c>
      <c r="AD680" s="11">
        <v>43160.0</v>
      </c>
      <c r="AE680" s="11">
        <v>75820.0</v>
      </c>
      <c r="AF680" s="11">
        <v>52190.0</v>
      </c>
      <c r="AG680" s="11">
        <v>40120.0</v>
      </c>
      <c r="AH680" s="11">
        <v>25550.0</v>
      </c>
      <c r="AI680" s="11">
        <v>164470.0</v>
      </c>
      <c r="AJ680" s="11">
        <v>95860.0</v>
      </c>
      <c r="AK680" s="11">
        <v>70370.0</v>
      </c>
      <c r="AL680" s="11">
        <v>54400.0</v>
      </c>
      <c r="AM680" s="11">
        <v>34740.0</v>
      </c>
      <c r="AN680" s="11">
        <v>39660.0</v>
      </c>
      <c r="AO680" s="11">
        <v>73900.0</v>
      </c>
      <c r="AP680" s="11">
        <v>47360.0</v>
      </c>
      <c r="AQ680" s="11">
        <v>26380.0</v>
      </c>
      <c r="AR680" s="11">
        <v>16610.0</v>
      </c>
      <c r="AS680" s="11">
        <v>110390.0</v>
      </c>
      <c r="AT680" s="11">
        <v>113420.0</v>
      </c>
      <c r="AU680" s="11">
        <v>81700.0</v>
      </c>
      <c r="AV680" s="11">
        <v>45590.0</v>
      </c>
      <c r="AW680" s="11">
        <v>26540.0</v>
      </c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1">
        <v>191730.0</v>
      </c>
      <c r="BI680" s="11">
        <v>361480.0</v>
      </c>
      <c r="BJ680" s="11">
        <v>240270.0</v>
      </c>
      <c r="BK680" s="11">
        <v>180360.0</v>
      </c>
      <c r="BL680" s="11">
        <v>123780.0</v>
      </c>
      <c r="BM680" s="11">
        <v>70860.0</v>
      </c>
      <c r="BN680" s="11">
        <v>25670.0</v>
      </c>
      <c r="BO680" s="11">
        <v>21600.0</v>
      </c>
      <c r="BP680" s="11">
        <v>17000.0</v>
      </c>
      <c r="BQ680" s="11">
        <v>14310.0</v>
      </c>
      <c r="BR680" s="12"/>
      <c r="BS680" s="12"/>
      <c r="BT680" s="12"/>
      <c r="BU680" s="11">
        <v>592.0</v>
      </c>
      <c r="BV680" s="11">
        <v>620.0</v>
      </c>
      <c r="BW680" s="11">
        <v>297300.0</v>
      </c>
      <c r="BX680" s="11">
        <v>394680.0</v>
      </c>
      <c r="BY680" s="11">
        <v>265400.0</v>
      </c>
      <c r="BZ680" s="11">
        <v>200820.0</v>
      </c>
      <c r="CA680" s="11">
        <v>143050.0</v>
      </c>
      <c r="CB680" s="11">
        <v>116660.0</v>
      </c>
      <c r="CC680" s="11">
        <v>8220.0</v>
      </c>
      <c r="CD680" s="11">
        <v>7840.0</v>
      </c>
      <c r="CE680" s="11">
        <v>5170.0</v>
      </c>
      <c r="CF680" s="11">
        <v>3510.0</v>
      </c>
      <c r="CG680" s="11">
        <v>1330000.0</v>
      </c>
      <c r="CH680" s="11">
        <v>4650.0</v>
      </c>
      <c r="CI680" s="11">
        <v>4650.0</v>
      </c>
      <c r="CJ680" s="11">
        <v>4650.0</v>
      </c>
      <c r="CK680" s="11">
        <v>4650.0</v>
      </c>
      <c r="CL680" s="11">
        <v>2560000.0</v>
      </c>
      <c r="CM680" s="11">
        <v>510020.0</v>
      </c>
      <c r="CN680" s="11">
        <v>375290.0</v>
      </c>
      <c r="CO680" s="11">
        <v>279140.0</v>
      </c>
      <c r="CP680" s="11">
        <v>219800.0</v>
      </c>
      <c r="CQ680" s="11">
        <v>3980.0</v>
      </c>
      <c r="CR680" s="11">
        <v>3520.0</v>
      </c>
      <c r="CS680" s="11">
        <v>2420.0</v>
      </c>
      <c r="CT680" s="11">
        <v>3220.0</v>
      </c>
      <c r="CU680" s="11">
        <v>2430.0</v>
      </c>
      <c r="CV680" s="11">
        <v>151940.0</v>
      </c>
      <c r="CW680" s="11">
        <v>12400.0</v>
      </c>
      <c r="CX680" s="12"/>
      <c r="CY680" s="12"/>
      <c r="CZ680" s="12"/>
      <c r="DA680" s="12"/>
      <c r="DB680" s="11">
        <v>151940.0</v>
      </c>
      <c r="DC680" s="11">
        <v>29050.0</v>
      </c>
      <c r="DD680" s="11">
        <v>20490.0</v>
      </c>
      <c r="DE680" s="11">
        <v>15700.0</v>
      </c>
      <c r="DF680" s="11">
        <v>1530000.0</v>
      </c>
      <c r="DG680" s="11">
        <v>32940.0</v>
      </c>
      <c r="DH680" s="11">
        <v>29010.0</v>
      </c>
      <c r="DI680" s="11">
        <v>17200.0</v>
      </c>
      <c r="DJ680" s="11">
        <v>16340.0</v>
      </c>
      <c r="DK680" s="12"/>
      <c r="DL680" s="11">
        <v>700.0</v>
      </c>
      <c r="DM680" s="11">
        <v>706.0</v>
      </c>
      <c r="DN680" s="11">
        <v>760.0</v>
      </c>
      <c r="DO680" s="11">
        <v>781.0</v>
      </c>
      <c r="DP680" s="11">
        <v>1250000.0</v>
      </c>
      <c r="DQ680" s="12"/>
      <c r="DR680" s="12"/>
      <c r="DS680" s="12"/>
      <c r="DT680" s="12"/>
      <c r="DU680" s="13"/>
      <c r="DV680" s="12"/>
      <c r="DW680" s="12"/>
      <c r="DX680" s="12"/>
      <c r="DY680" s="12"/>
      <c r="DZ680" s="11">
        <v>1030000.0</v>
      </c>
      <c r="EA680" s="11">
        <v>477080.0</v>
      </c>
      <c r="EB680" s="11">
        <v>346270.0</v>
      </c>
      <c r="EC680" s="11">
        <v>261940.0</v>
      </c>
      <c r="ED680" s="11">
        <v>203460.0</v>
      </c>
      <c r="EE680" s="14">
        <v>0.096</v>
      </c>
      <c r="EF680" s="14">
        <v>0.136</v>
      </c>
      <c r="EG680" s="14">
        <v>-0.023</v>
      </c>
      <c r="EH680" s="14">
        <v>0.378</v>
      </c>
    </row>
    <row r="681">
      <c r="A681" s="9">
        <f t="shared" si="2"/>
        <v>679</v>
      </c>
      <c r="B681" s="32" t="s">
        <v>816</v>
      </c>
      <c r="C681" s="11">
        <v>522600.0</v>
      </c>
      <c r="D681" s="11">
        <v>500540.0</v>
      </c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3"/>
      <c r="BD681" s="13"/>
      <c r="BE681" s="13"/>
      <c r="BF681" s="13"/>
      <c r="BG681" s="13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3"/>
      <c r="CY681" s="13"/>
      <c r="CZ681" s="13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3"/>
      <c r="DP681" s="12"/>
      <c r="DQ681" s="12"/>
      <c r="DR681" s="12"/>
      <c r="DS681" s="12"/>
      <c r="DT681" s="12"/>
      <c r="DU681" s="13"/>
      <c r="DV681" s="12"/>
      <c r="DW681" s="12"/>
      <c r="DX681" s="12"/>
      <c r="DY681" s="13"/>
      <c r="DZ681" s="12"/>
      <c r="EA681" s="12"/>
      <c r="EB681" s="12"/>
      <c r="EC681" s="12"/>
      <c r="ED681" s="12"/>
      <c r="EE681" s="14">
        <v>0.057</v>
      </c>
      <c r="EF681" s="14">
        <v>0.099</v>
      </c>
      <c r="EG681" s="14">
        <v>-0.5</v>
      </c>
      <c r="EH681" s="14">
        <v>0.03</v>
      </c>
    </row>
    <row r="682">
      <c r="A682" s="9">
        <f t="shared" si="2"/>
        <v>680</v>
      </c>
      <c r="B682" s="10" t="s">
        <v>817</v>
      </c>
      <c r="C682" s="15">
        <v>1.012E7</v>
      </c>
      <c r="D682" s="15">
        <v>9770000.0</v>
      </c>
      <c r="E682" s="15">
        <v>9500000.0</v>
      </c>
      <c r="F682" s="15">
        <v>9550000.0</v>
      </c>
      <c r="G682" s="15">
        <v>9170000.0</v>
      </c>
      <c r="H682" s="15">
        <v>9520000.0</v>
      </c>
      <c r="I682" s="15">
        <v>9260000.0</v>
      </c>
      <c r="J682" s="15">
        <v>1880000.0</v>
      </c>
      <c r="K682" s="15">
        <v>1980000.0</v>
      </c>
      <c r="L682" s="15">
        <v>2000000.0</v>
      </c>
      <c r="M682" s="15">
        <v>2170000.0</v>
      </c>
      <c r="N682" s="15">
        <v>1840000.0</v>
      </c>
      <c r="O682" s="15">
        <v>711080.0</v>
      </c>
      <c r="P682" s="15">
        <v>841210.0</v>
      </c>
      <c r="Q682" s="15">
        <v>762100.0</v>
      </c>
      <c r="R682" s="15">
        <v>871970.0</v>
      </c>
      <c r="S682" s="15">
        <v>734610.0</v>
      </c>
      <c r="T682" s="15">
        <v>32500.0</v>
      </c>
      <c r="U682" s="15">
        <v>33800.0</v>
      </c>
      <c r="V682" s="15">
        <v>34200.0</v>
      </c>
      <c r="W682" s="15">
        <v>34700.0</v>
      </c>
      <c r="X682" s="15">
        <v>32000.0</v>
      </c>
      <c r="Y682" s="15">
        <v>1180000.0</v>
      </c>
      <c r="Z682" s="15">
        <v>-14060.0</v>
      </c>
      <c r="AA682" s="15">
        <v>1230000.0</v>
      </c>
      <c r="AB682" s="15">
        <v>1290000.0</v>
      </c>
      <c r="AC682" s="15">
        <v>1060000.0</v>
      </c>
      <c r="AD682" s="15">
        <v>1210000.0</v>
      </c>
      <c r="AE682" s="15">
        <v>1180000.0</v>
      </c>
      <c r="AF682" s="15">
        <v>1280000.0</v>
      </c>
      <c r="AG682" s="15">
        <v>1320000.0</v>
      </c>
      <c r="AH682" s="15">
        <v>1060000.0</v>
      </c>
      <c r="AI682" s="15">
        <v>1340000.0</v>
      </c>
      <c r="AJ682" s="15">
        <v>1300000.0</v>
      </c>
      <c r="AK682" s="15">
        <v>1370000.0</v>
      </c>
      <c r="AL682" s="15">
        <v>1430000.0</v>
      </c>
      <c r="AM682" s="15">
        <v>1240000.0</v>
      </c>
      <c r="AN682" s="15">
        <v>978810.0</v>
      </c>
      <c r="AO682" s="15">
        <v>1010000.0</v>
      </c>
      <c r="AP682" s="15">
        <v>846740.0</v>
      </c>
      <c r="AQ682" s="15">
        <v>890050.0</v>
      </c>
      <c r="AR682" s="15">
        <v>686090.0</v>
      </c>
      <c r="AS682" s="15">
        <v>923000.0</v>
      </c>
      <c r="AT682" s="15">
        <v>1240000.0</v>
      </c>
      <c r="AU682" s="15">
        <v>1010000.0</v>
      </c>
      <c r="AV682" s="15">
        <v>992850.0</v>
      </c>
      <c r="AW682" s="15">
        <v>991990.0</v>
      </c>
      <c r="AX682" s="15">
        <v>-293840.0</v>
      </c>
      <c r="AY682" s="15">
        <v>-389610.0</v>
      </c>
      <c r="AZ682" s="15">
        <v>-221290.0</v>
      </c>
      <c r="BA682" s="15">
        <v>-255520.0</v>
      </c>
      <c r="BB682" s="15">
        <v>-144060.0</v>
      </c>
      <c r="BC682" s="15">
        <v>-437050.0</v>
      </c>
      <c r="BD682" s="15">
        <v>-388110.0</v>
      </c>
      <c r="BE682" s="15">
        <v>-346010.0</v>
      </c>
      <c r="BF682" s="15">
        <v>-296490.0</v>
      </c>
      <c r="BG682" s="15">
        <v>-250830.0</v>
      </c>
      <c r="BH682" s="15">
        <v>687640.0</v>
      </c>
      <c r="BI682" s="15">
        <v>459140.0</v>
      </c>
      <c r="BJ682" s="15">
        <v>444120.0</v>
      </c>
      <c r="BK682" s="15">
        <v>415140.0</v>
      </c>
      <c r="BL682" s="15">
        <v>347240.0</v>
      </c>
      <c r="BM682" s="15">
        <v>594320.0</v>
      </c>
      <c r="BN682" s="15">
        <v>604430.0</v>
      </c>
      <c r="BO682" s="15">
        <v>640700.0</v>
      </c>
      <c r="BP682" s="15">
        <v>609590.0</v>
      </c>
      <c r="BQ682" s="15">
        <v>611820.0</v>
      </c>
      <c r="BR682" s="15">
        <v>1040000.0</v>
      </c>
      <c r="BS682" s="15">
        <v>963530.0</v>
      </c>
      <c r="BT682" s="15">
        <v>921020.0</v>
      </c>
      <c r="BU682" s="15">
        <v>985680.0</v>
      </c>
      <c r="BV682" s="15">
        <v>993270.0</v>
      </c>
      <c r="BW682" s="15">
        <v>2360000.0</v>
      </c>
      <c r="BX682" s="15">
        <v>2050000.0</v>
      </c>
      <c r="BY682" s="15">
        <v>2030000.0</v>
      </c>
      <c r="BZ682" s="15">
        <v>2030000.0</v>
      </c>
      <c r="CA682" s="15">
        <v>2060000.0</v>
      </c>
      <c r="CB682" s="15">
        <v>1630000.0</v>
      </c>
      <c r="CC682" s="15">
        <v>1510000.0</v>
      </c>
      <c r="CD682" s="15">
        <v>1200000.0</v>
      </c>
      <c r="CE682" s="15">
        <v>1110000.0</v>
      </c>
      <c r="CF682" s="15">
        <v>1010000.0</v>
      </c>
      <c r="CG682" s="15">
        <v>2480000.0</v>
      </c>
      <c r="CH682" s="15">
        <v>2710000.0</v>
      </c>
      <c r="CI682" s="15">
        <v>2120000.0</v>
      </c>
      <c r="CJ682" s="15">
        <v>1830000.0</v>
      </c>
      <c r="CK682" s="15">
        <v>1700000.0</v>
      </c>
      <c r="CL682" s="15">
        <v>8340000.0</v>
      </c>
      <c r="CM682" s="15">
        <v>8340000.0</v>
      </c>
      <c r="CN682" s="15">
        <v>7300000.0</v>
      </c>
      <c r="CO682" s="15">
        <v>6740000.0</v>
      </c>
      <c r="CP682" s="15">
        <v>6140000.0</v>
      </c>
      <c r="CQ682" s="15">
        <v>590030.0</v>
      </c>
      <c r="CR682" s="15">
        <v>618830.0</v>
      </c>
      <c r="CS682" s="15">
        <v>552710.0</v>
      </c>
      <c r="CT682" s="15">
        <v>481830.0</v>
      </c>
      <c r="CU682" s="15">
        <v>495320.0</v>
      </c>
      <c r="CV682" s="15">
        <v>1110000.0</v>
      </c>
      <c r="CW682" s="15"/>
      <c r="CX682" s="13"/>
      <c r="CY682" s="13"/>
      <c r="CZ682" s="13"/>
      <c r="DA682" s="15">
        <v>185000.0</v>
      </c>
      <c r="DB682" s="15">
        <v>1110000.0</v>
      </c>
      <c r="DC682" s="15">
        <v>1140000.0</v>
      </c>
      <c r="DD682" s="15">
        <v>1060000.0</v>
      </c>
      <c r="DE682" s="15">
        <v>1050000.0</v>
      </c>
      <c r="DF682" s="15">
        <v>2410000.0</v>
      </c>
      <c r="DG682" s="15">
        <v>2740000.0</v>
      </c>
      <c r="DH682" s="15">
        <v>2360000.0</v>
      </c>
      <c r="DI682" s="15">
        <v>2290000.0</v>
      </c>
      <c r="DJ682" s="15">
        <v>2140000.0</v>
      </c>
      <c r="DK682" s="15">
        <v>289160.0</v>
      </c>
      <c r="DL682" s="15">
        <v>273150.0</v>
      </c>
      <c r="DM682" s="15">
        <v>242370.0</v>
      </c>
      <c r="DN682" s="15">
        <v>239590.0</v>
      </c>
      <c r="DO682" s="15">
        <v>259000.0</v>
      </c>
      <c r="DP682" s="15">
        <v>250000.0</v>
      </c>
      <c r="DQ682" s="15">
        <v>624840.0</v>
      </c>
      <c r="DR682" s="15">
        <v>250000.0</v>
      </c>
      <c r="DS682" s="15">
        <v>250000.0</v>
      </c>
      <c r="DT682" s="15">
        <v>250000.0</v>
      </c>
      <c r="DU682" s="13"/>
      <c r="DV682" s="12"/>
      <c r="DW682" s="12"/>
      <c r="DX682" s="13"/>
      <c r="DY682" s="13"/>
      <c r="DZ682" s="15">
        <v>5920000.0</v>
      </c>
      <c r="EA682" s="15">
        <v>5600000.0</v>
      </c>
      <c r="EB682" s="15">
        <v>4940000.0</v>
      </c>
      <c r="EC682" s="15">
        <v>4450000.0</v>
      </c>
      <c r="ED682" s="15">
        <v>4000000.0</v>
      </c>
      <c r="EE682" s="17">
        <v>0.06</v>
      </c>
      <c r="EF682" s="17">
        <v>0.106</v>
      </c>
      <c r="EG682" s="17">
        <v>-0.023</v>
      </c>
      <c r="EH682" s="17">
        <v>0.001</v>
      </c>
    </row>
    <row r="683">
      <c r="A683" s="9">
        <f t="shared" si="2"/>
        <v>681</v>
      </c>
      <c r="B683" s="10" t="s">
        <v>818</v>
      </c>
      <c r="C683" s="12"/>
      <c r="D683" s="12"/>
      <c r="E683" s="11">
        <v>1.853E7</v>
      </c>
      <c r="F683" s="11">
        <v>6180000.0</v>
      </c>
      <c r="G683" s="11">
        <v>5900000.0</v>
      </c>
      <c r="H683" s="11">
        <v>5990000.0</v>
      </c>
      <c r="I683" s="11">
        <v>5080000.0</v>
      </c>
      <c r="J683" s="11">
        <v>5360000.0</v>
      </c>
      <c r="K683" s="11">
        <v>2150000.0</v>
      </c>
      <c r="L683" s="11">
        <v>2060000.0</v>
      </c>
      <c r="M683" s="11">
        <v>2000000.0</v>
      </c>
      <c r="N683" s="11">
        <v>1730000.0</v>
      </c>
      <c r="O683" s="11">
        <v>3100000.0</v>
      </c>
      <c r="P683" s="11">
        <v>978000.0</v>
      </c>
      <c r="Q683" s="11">
        <v>926000.0</v>
      </c>
      <c r="R683" s="11">
        <v>768000.0</v>
      </c>
      <c r="S683" s="11">
        <v>826000.0</v>
      </c>
      <c r="T683" s="11">
        <v>658000.0</v>
      </c>
      <c r="U683" s="11">
        <v>311000.0</v>
      </c>
      <c r="V683" s="11">
        <v>310000.0</v>
      </c>
      <c r="W683" s="11">
        <v>305000.0</v>
      </c>
      <c r="X683" s="11">
        <v>277000.0</v>
      </c>
      <c r="Y683" s="11">
        <v>1200000.0</v>
      </c>
      <c r="Z683" s="11">
        <v>1100000.0</v>
      </c>
      <c r="AA683" s="11">
        <v>-58000.0</v>
      </c>
      <c r="AB683" s="11">
        <v>-174000.0</v>
      </c>
      <c r="AC683" s="11">
        <v>595000.0</v>
      </c>
      <c r="AD683" s="11">
        <v>1820000.0</v>
      </c>
      <c r="AE683" s="11">
        <v>926000.0</v>
      </c>
      <c r="AF683" s="11">
        <v>905000.0</v>
      </c>
      <c r="AG683" s="11">
        <v>884000.0</v>
      </c>
      <c r="AH683" s="11">
        <v>477000.0</v>
      </c>
      <c r="AI683" s="11">
        <v>3150000.0</v>
      </c>
      <c r="AJ683" s="11">
        <v>1430000.0</v>
      </c>
      <c r="AK683" s="11">
        <v>1400000.0</v>
      </c>
      <c r="AL683" s="11">
        <v>1520000.0</v>
      </c>
      <c r="AM683" s="11">
        <v>1120000.0</v>
      </c>
      <c r="AN683" s="11">
        <v>1650000.0</v>
      </c>
      <c r="AO683" s="11">
        <v>719000.0</v>
      </c>
      <c r="AP683" s="11">
        <v>636000.0</v>
      </c>
      <c r="AQ683" s="11">
        <v>609000.0</v>
      </c>
      <c r="AR683" s="11">
        <v>333000.0</v>
      </c>
      <c r="AS683" s="11">
        <v>939000.0</v>
      </c>
      <c r="AT683" s="11">
        <v>751000.0</v>
      </c>
      <c r="AU683" s="11">
        <v>569000.0</v>
      </c>
      <c r="AV683" s="11">
        <v>924000.0</v>
      </c>
      <c r="AW683" s="11">
        <v>854000.0</v>
      </c>
      <c r="AX683" s="11">
        <v>-173000.0</v>
      </c>
      <c r="AY683" s="11">
        <v>-136000.0</v>
      </c>
      <c r="AZ683" s="11">
        <v>-119000.0</v>
      </c>
      <c r="BA683" s="11">
        <v>-152000.0</v>
      </c>
      <c r="BB683" s="11">
        <v>-148000.0</v>
      </c>
      <c r="BC683" s="11">
        <v>-337000.0</v>
      </c>
      <c r="BD683" s="11">
        <v>-272000.0</v>
      </c>
      <c r="BE683" s="11">
        <v>-262000.0</v>
      </c>
      <c r="BF683" s="11">
        <v>-252000.0</v>
      </c>
      <c r="BG683" s="11">
        <v>-198000.0</v>
      </c>
      <c r="BH683" s="11">
        <v>824000.0</v>
      </c>
      <c r="BI683" s="11">
        <v>288000.0</v>
      </c>
      <c r="BJ683" s="11">
        <v>484000.0</v>
      </c>
      <c r="BK683" s="11">
        <v>487000.0</v>
      </c>
      <c r="BL683" s="11">
        <v>481000.0</v>
      </c>
      <c r="BM683" s="11">
        <v>3880000.0</v>
      </c>
      <c r="BN683" s="11">
        <v>909000.0</v>
      </c>
      <c r="BO683" s="11">
        <v>647000.0</v>
      </c>
      <c r="BP683" s="11">
        <v>749000.0</v>
      </c>
      <c r="BQ683" s="11">
        <v>1260000.0</v>
      </c>
      <c r="BR683" s="11">
        <v>1220000.0</v>
      </c>
      <c r="BS683" s="11">
        <v>925000.0</v>
      </c>
      <c r="BT683" s="11">
        <v>841000.0</v>
      </c>
      <c r="BU683" s="11">
        <v>867000.0</v>
      </c>
      <c r="BV683" s="11">
        <v>1020000.0</v>
      </c>
      <c r="BW683" s="11">
        <v>6300000.0</v>
      </c>
      <c r="BX683" s="11">
        <v>2220000.0</v>
      </c>
      <c r="BY683" s="11">
        <v>2070000.0</v>
      </c>
      <c r="BZ683" s="11">
        <v>2620000.0</v>
      </c>
      <c r="CA683" s="11">
        <v>3520000.0</v>
      </c>
      <c r="CB683" s="11">
        <v>2950000.0</v>
      </c>
      <c r="CC683" s="11">
        <v>900000.0</v>
      </c>
      <c r="CD683" s="11">
        <v>904000.0</v>
      </c>
      <c r="CE683" s="11">
        <v>924000.0</v>
      </c>
      <c r="CF683" s="11">
        <v>1170000.0</v>
      </c>
      <c r="CG683" s="11">
        <v>2.0E7</v>
      </c>
      <c r="CH683" s="11">
        <v>5370000.0</v>
      </c>
      <c r="CI683" s="11">
        <v>5370000.0</v>
      </c>
      <c r="CJ683" s="11">
        <v>5350000.0</v>
      </c>
      <c r="CK683" s="11">
        <v>6350000.0</v>
      </c>
      <c r="CL683" s="11">
        <v>3.834E7</v>
      </c>
      <c r="CM683" s="11">
        <v>9840000.0</v>
      </c>
      <c r="CN683" s="11">
        <v>1.009E7</v>
      </c>
      <c r="CO683" s="11">
        <v>1.201E7</v>
      </c>
      <c r="CP683" s="11">
        <v>1.313E7</v>
      </c>
      <c r="CQ683" s="11">
        <v>1260000.0</v>
      </c>
      <c r="CR683" s="11">
        <v>622000.0</v>
      </c>
      <c r="CS683" s="11">
        <v>540000.0</v>
      </c>
      <c r="CT683" s="11">
        <v>494000.0</v>
      </c>
      <c r="CU683" s="11">
        <v>581000.0</v>
      </c>
      <c r="CV683" s="11">
        <v>4010000.0</v>
      </c>
      <c r="CW683" s="11">
        <v>132000.0</v>
      </c>
      <c r="CX683" s="11">
        <v>78000.0</v>
      </c>
      <c r="CY683" s="11">
        <v>80000.0</v>
      </c>
      <c r="CZ683" s="11">
        <v>15000.0</v>
      </c>
      <c r="DA683" s="11">
        <v>33000.0</v>
      </c>
      <c r="DB683" s="11">
        <v>4010000.0</v>
      </c>
      <c r="DC683" s="11">
        <v>1790000.0</v>
      </c>
      <c r="DD683" s="11">
        <v>1930000.0</v>
      </c>
      <c r="DE683" s="11">
        <v>1980000.0</v>
      </c>
      <c r="DF683" s="11">
        <v>1.559E7</v>
      </c>
      <c r="DG683" s="11">
        <v>6520000.0</v>
      </c>
      <c r="DH683" s="11">
        <v>7160000.0</v>
      </c>
      <c r="DI683" s="11">
        <v>8950000.0</v>
      </c>
      <c r="DJ683" s="11">
        <v>9730000.0</v>
      </c>
      <c r="DK683" s="11">
        <v>2000.0</v>
      </c>
      <c r="DL683" s="12"/>
      <c r="DM683" s="12"/>
      <c r="DN683" s="12"/>
      <c r="DO683" s="12"/>
      <c r="DP683" s="11">
        <v>7480000.0</v>
      </c>
      <c r="DQ683" s="11">
        <v>3410000.0</v>
      </c>
      <c r="DR683" s="11">
        <v>3400000.0</v>
      </c>
      <c r="DS683" s="11">
        <v>4120000.0</v>
      </c>
      <c r="DT683" s="11">
        <v>5050000.0</v>
      </c>
      <c r="DU683" s="12"/>
      <c r="DV683" s="13"/>
      <c r="DW683" s="13"/>
      <c r="DX683" s="12"/>
      <c r="DY683" s="13"/>
      <c r="DZ683" s="11">
        <v>2.259E7</v>
      </c>
      <c r="EA683" s="11">
        <v>3320000.0</v>
      </c>
      <c r="EB683" s="11">
        <v>2930000.0</v>
      </c>
      <c r="EC683" s="11">
        <v>3060000.0</v>
      </c>
      <c r="ED683" s="11">
        <v>3400000.0</v>
      </c>
      <c r="EE683" s="23"/>
      <c r="EF683" s="23"/>
      <c r="EG683" s="23"/>
      <c r="EH683" s="23"/>
    </row>
    <row r="684">
      <c r="A684" s="9">
        <f t="shared" si="2"/>
        <v>682</v>
      </c>
      <c r="B684" s="22" t="s">
        <v>819</v>
      </c>
      <c r="C684" s="11">
        <v>174190.0</v>
      </c>
      <c r="D684" s="11">
        <v>82040.0</v>
      </c>
      <c r="E684" s="11">
        <v>145970.0</v>
      </c>
      <c r="F684" s="11">
        <v>77470.0</v>
      </c>
      <c r="G684" s="11">
        <v>30770.0</v>
      </c>
      <c r="H684" s="11">
        <v>1280.0</v>
      </c>
      <c r="I684" s="12"/>
      <c r="J684" s="11">
        <v>84350.0</v>
      </c>
      <c r="K684" s="11">
        <v>49960.0</v>
      </c>
      <c r="L684" s="11">
        <v>26180.0</v>
      </c>
      <c r="M684" s="11">
        <v>145.0</v>
      </c>
      <c r="N684" s="11">
        <v>-734.0</v>
      </c>
      <c r="O684" s="11">
        <v>295040.0</v>
      </c>
      <c r="P684" s="11">
        <v>233900.0</v>
      </c>
      <c r="Q684" s="11">
        <v>218940.0</v>
      </c>
      <c r="R684" s="11">
        <v>163260.0</v>
      </c>
      <c r="S684" s="11">
        <v>96190.0</v>
      </c>
      <c r="T684" s="11">
        <v>167380.0</v>
      </c>
      <c r="U684" s="11">
        <v>140030.0</v>
      </c>
      <c r="V684" s="11">
        <v>137080.0</v>
      </c>
      <c r="W684" s="11">
        <v>96430.0</v>
      </c>
      <c r="X684" s="11">
        <v>61180.0</v>
      </c>
      <c r="Y684" s="12"/>
      <c r="Z684" s="12"/>
      <c r="AA684" s="11">
        <v>-194560.0</v>
      </c>
      <c r="AB684" s="11">
        <v>-170920.0</v>
      </c>
      <c r="AC684" s="12"/>
      <c r="AD684" s="11">
        <v>-204750.0</v>
      </c>
      <c r="AE684" s="11">
        <v>-178840.0</v>
      </c>
      <c r="AF684" s="11">
        <v>-197480.0</v>
      </c>
      <c r="AG684" s="11">
        <v>-173140.0</v>
      </c>
      <c r="AH684" s="11">
        <v>-97590.0</v>
      </c>
      <c r="AI684" s="11">
        <v>-208650.0</v>
      </c>
      <c r="AJ684" s="11">
        <v>-182420.0</v>
      </c>
      <c r="AK684" s="11">
        <v>-191230.0</v>
      </c>
      <c r="AL684" s="11">
        <v>-162020.0</v>
      </c>
      <c r="AM684" s="11">
        <v>-96190.0</v>
      </c>
      <c r="AN684" s="11">
        <v>-204750.0</v>
      </c>
      <c r="AO684" s="11">
        <v>-178840.0</v>
      </c>
      <c r="AP684" s="11">
        <v>-197480.0</v>
      </c>
      <c r="AQ684" s="11">
        <v>-173140.0</v>
      </c>
      <c r="AR684" s="11">
        <v>-97590.0</v>
      </c>
      <c r="AS684" s="11">
        <v>-124580.0</v>
      </c>
      <c r="AT684" s="11">
        <v>-191810.0</v>
      </c>
      <c r="AU684" s="11">
        <v>-170300.0</v>
      </c>
      <c r="AV684" s="11">
        <v>-134100.0</v>
      </c>
      <c r="AW684" s="11">
        <v>-78530.0</v>
      </c>
      <c r="AX684" s="11">
        <v>-7150.0</v>
      </c>
      <c r="AY684" s="11">
        <v>-9170.0</v>
      </c>
      <c r="AZ684" s="11">
        <v>-2550.0</v>
      </c>
      <c r="BA684" s="11">
        <v>-3140.0</v>
      </c>
      <c r="BB684" s="11">
        <v>-1090.0</v>
      </c>
      <c r="BC684" s="12"/>
      <c r="BD684" s="12"/>
      <c r="BE684" s="12"/>
      <c r="BF684" s="12"/>
      <c r="BG684" s="12"/>
      <c r="BH684" s="11">
        <v>390970.0</v>
      </c>
      <c r="BI684" s="11">
        <v>332370.0</v>
      </c>
      <c r="BJ684" s="11">
        <v>172380.0</v>
      </c>
      <c r="BK684" s="11">
        <v>51140.0</v>
      </c>
      <c r="BL684" s="11">
        <v>131170.0</v>
      </c>
      <c r="BM684" s="11">
        <v>39880.0</v>
      </c>
      <c r="BN684" s="11">
        <v>64650.0</v>
      </c>
      <c r="BO684" s="11">
        <v>41870.0</v>
      </c>
      <c r="BP684" s="11">
        <v>1960.0</v>
      </c>
      <c r="BQ684" s="12"/>
      <c r="BR684" s="11">
        <v>24970.0</v>
      </c>
      <c r="BS684" s="11">
        <v>39030.0</v>
      </c>
      <c r="BT684" s="11">
        <v>10110.0</v>
      </c>
      <c r="BU684" s="11">
        <v>5340.0</v>
      </c>
      <c r="BV684" s="12"/>
      <c r="BW684" s="11">
        <v>479060.0</v>
      </c>
      <c r="BX684" s="11">
        <v>447250.0</v>
      </c>
      <c r="BY684" s="11">
        <v>228060.0</v>
      </c>
      <c r="BZ684" s="11">
        <v>62140.0</v>
      </c>
      <c r="CA684" s="11">
        <v>134750.0</v>
      </c>
      <c r="CB684" s="11">
        <v>33370.0</v>
      </c>
      <c r="CC684" s="11">
        <v>14680.0</v>
      </c>
      <c r="CD684" s="11">
        <v>5980.0</v>
      </c>
      <c r="CE684" s="11">
        <v>5080.0</v>
      </c>
      <c r="CF684" s="11">
        <v>3050.0</v>
      </c>
      <c r="CG684" s="12"/>
      <c r="CH684" s="12"/>
      <c r="CI684" s="12"/>
      <c r="CJ684" s="12"/>
      <c r="CK684" s="12"/>
      <c r="CL684" s="11">
        <v>512780.0</v>
      </c>
      <c r="CM684" s="11">
        <v>462180.0</v>
      </c>
      <c r="CN684" s="11">
        <v>234310.0</v>
      </c>
      <c r="CO684" s="11">
        <v>67480.0</v>
      </c>
      <c r="CP684" s="11">
        <v>137850.0</v>
      </c>
      <c r="CQ684" s="11">
        <v>2760.0</v>
      </c>
      <c r="CR684" s="11">
        <v>16860.0</v>
      </c>
      <c r="CS684" s="11">
        <v>18770.0</v>
      </c>
      <c r="CT684" s="11">
        <v>6810.0</v>
      </c>
      <c r="CU684" s="12"/>
      <c r="CV684" s="11">
        <v>96710.0</v>
      </c>
      <c r="CW684" s="11">
        <v>7550.0</v>
      </c>
      <c r="CX684" s="11">
        <v>4570.0</v>
      </c>
      <c r="CY684" s="11">
        <v>3680.0</v>
      </c>
      <c r="CZ684" s="11">
        <v>2910.0</v>
      </c>
      <c r="DA684" s="11">
        <v>2220.0</v>
      </c>
      <c r="DB684" s="11">
        <v>96710.0</v>
      </c>
      <c r="DC684" s="11">
        <v>92020.0</v>
      </c>
      <c r="DD684" s="11">
        <v>103170.0</v>
      </c>
      <c r="DE684" s="11">
        <v>38730.0</v>
      </c>
      <c r="DF684" s="11">
        <v>108950.0</v>
      </c>
      <c r="DG684" s="11">
        <v>92020.0</v>
      </c>
      <c r="DH684" s="11">
        <v>103170.0</v>
      </c>
      <c r="DI684" s="11">
        <v>88730.0</v>
      </c>
      <c r="DJ684" s="11">
        <v>19740.0</v>
      </c>
      <c r="DK684" s="12"/>
      <c r="DL684" s="12"/>
      <c r="DM684" s="12"/>
      <c r="DN684" s="12"/>
      <c r="DO684" s="12"/>
      <c r="DP684" s="11">
        <v>12240.0</v>
      </c>
      <c r="DQ684" s="12"/>
      <c r="DR684" s="12"/>
      <c r="DS684" s="11">
        <v>50000.0</v>
      </c>
      <c r="DT684" s="12"/>
      <c r="DU684" s="13"/>
      <c r="DV684" s="12"/>
      <c r="DW684" s="12"/>
      <c r="DX684" s="13"/>
      <c r="DY684" s="13"/>
      <c r="DZ684" s="11">
        <v>403840.0</v>
      </c>
      <c r="EA684" s="11">
        <v>370160.0</v>
      </c>
      <c r="EB684" s="11">
        <v>131140.0</v>
      </c>
      <c r="EC684" s="11">
        <v>-21250.0</v>
      </c>
      <c r="ED684" s="11">
        <v>118110.0</v>
      </c>
      <c r="EE684" s="14">
        <v>0.123</v>
      </c>
      <c r="EF684" s="14">
        <v>0.935</v>
      </c>
      <c r="EG684" s="14">
        <v>0.047</v>
      </c>
      <c r="EH684" s="14">
        <v>0.068</v>
      </c>
    </row>
    <row r="685">
      <c r="A685" s="9">
        <f t="shared" si="2"/>
        <v>683</v>
      </c>
      <c r="B685" s="32" t="s">
        <v>820</v>
      </c>
      <c r="C685" s="11">
        <v>9900000.0</v>
      </c>
      <c r="D685" s="11">
        <v>8570000.0</v>
      </c>
      <c r="E685" s="11">
        <v>9990000.0</v>
      </c>
      <c r="F685" s="11">
        <v>9420000.0</v>
      </c>
      <c r="G685" s="11">
        <v>1.246E7</v>
      </c>
      <c r="H685" s="11">
        <v>1.157E7</v>
      </c>
      <c r="I685" s="11">
        <v>1.063E7</v>
      </c>
      <c r="J685" s="11">
        <v>3090000.0</v>
      </c>
      <c r="K685" s="11">
        <v>2910000.0</v>
      </c>
      <c r="L685" s="11">
        <v>3400000.0</v>
      </c>
      <c r="M685" s="11">
        <v>3230000.0</v>
      </c>
      <c r="N685" s="11">
        <v>3010000.0</v>
      </c>
      <c r="O685" s="11">
        <v>2360000.0</v>
      </c>
      <c r="P685" s="11">
        <v>2220000.0</v>
      </c>
      <c r="Q685" s="11">
        <v>2530000.0</v>
      </c>
      <c r="R685" s="11">
        <v>2410000.0</v>
      </c>
      <c r="S685" s="11">
        <v>2240000.0</v>
      </c>
      <c r="T685" s="12"/>
      <c r="U685" s="12"/>
      <c r="V685" s="12"/>
      <c r="W685" s="12"/>
      <c r="X685" s="12"/>
      <c r="Y685" s="11">
        <v>718260.0</v>
      </c>
      <c r="Z685" s="12"/>
      <c r="AA685" s="12"/>
      <c r="AB685" s="12"/>
      <c r="AC685" s="11">
        <v>733970.0</v>
      </c>
      <c r="AD685" s="11">
        <v>680310.0</v>
      </c>
      <c r="AE685" s="11">
        <v>536840.0</v>
      </c>
      <c r="AF685" s="11">
        <v>822850.0</v>
      </c>
      <c r="AG685" s="11">
        <v>755840.0</v>
      </c>
      <c r="AH685" s="11">
        <v>720760.0</v>
      </c>
      <c r="AI685" s="11">
        <v>917910.0</v>
      </c>
      <c r="AJ685" s="11">
        <v>837100.0</v>
      </c>
      <c r="AK685" s="11">
        <v>1060000.0</v>
      </c>
      <c r="AL685" s="11">
        <v>987250.0</v>
      </c>
      <c r="AM685" s="11">
        <v>928030.0</v>
      </c>
      <c r="AN685" s="11">
        <v>513920.0</v>
      </c>
      <c r="AO685" s="11">
        <v>430720.0</v>
      </c>
      <c r="AP685" s="11">
        <v>406300.0</v>
      </c>
      <c r="AQ685" s="11">
        <v>506780.0</v>
      </c>
      <c r="AR685" s="11">
        <v>479060.0</v>
      </c>
      <c r="AS685" s="11">
        <v>654090.0</v>
      </c>
      <c r="AT685" s="11">
        <v>684710.0</v>
      </c>
      <c r="AU685" s="11">
        <v>545520.0</v>
      </c>
      <c r="AV685" s="11">
        <v>642580.0</v>
      </c>
      <c r="AW685" s="11">
        <v>586840.0</v>
      </c>
      <c r="AX685" s="12"/>
      <c r="AY685" s="12"/>
      <c r="AZ685" s="12"/>
      <c r="BA685" s="12"/>
      <c r="BB685" s="12"/>
      <c r="BC685" s="13"/>
      <c r="BD685" s="13"/>
      <c r="BE685" s="13"/>
      <c r="BF685" s="13"/>
      <c r="BG685" s="13"/>
      <c r="BH685" s="11">
        <v>106100.0</v>
      </c>
      <c r="BI685" s="11">
        <v>56890.0</v>
      </c>
      <c r="BJ685" s="11">
        <v>174660.0</v>
      </c>
      <c r="BK685" s="11">
        <v>62380.0</v>
      </c>
      <c r="BL685" s="11">
        <v>72090.0</v>
      </c>
      <c r="BM685" s="11">
        <v>1250000.0</v>
      </c>
      <c r="BN685" s="11">
        <v>1170000.0</v>
      </c>
      <c r="BO685" s="11">
        <v>1520000.0</v>
      </c>
      <c r="BP685" s="11">
        <v>1250000.0</v>
      </c>
      <c r="BQ685" s="11">
        <v>1230000.0</v>
      </c>
      <c r="BR685" s="11">
        <v>1430000.0</v>
      </c>
      <c r="BS685" s="11">
        <v>1420000.0</v>
      </c>
      <c r="BT685" s="11">
        <v>1930000.0</v>
      </c>
      <c r="BU685" s="11">
        <v>1670000.0</v>
      </c>
      <c r="BV685" s="11">
        <v>1510000.0</v>
      </c>
      <c r="BW685" s="11">
        <v>3230000.0</v>
      </c>
      <c r="BX685" s="11">
        <v>4180000.0</v>
      </c>
      <c r="BY685" s="11">
        <v>4090000.0</v>
      </c>
      <c r="BZ685" s="11">
        <v>3340000.0</v>
      </c>
      <c r="CA685" s="11">
        <v>3230000.0</v>
      </c>
      <c r="CB685" s="11">
        <v>561310.0</v>
      </c>
      <c r="CC685" s="11">
        <v>314220.0</v>
      </c>
      <c r="CD685" s="11">
        <v>375000.0</v>
      </c>
      <c r="CE685" s="11">
        <v>333910.0</v>
      </c>
      <c r="CF685" s="11">
        <v>318480.0</v>
      </c>
      <c r="CG685" s="11">
        <v>2460000.0</v>
      </c>
      <c r="CH685" s="11">
        <v>2080000.0</v>
      </c>
      <c r="CI685" s="11">
        <v>2300000.0</v>
      </c>
      <c r="CJ685" s="11">
        <v>2020000.0</v>
      </c>
      <c r="CK685" s="11">
        <v>1910000.0</v>
      </c>
      <c r="CL685" s="11">
        <v>7150000.0</v>
      </c>
      <c r="CM685" s="11">
        <v>8500000.0</v>
      </c>
      <c r="CN685" s="11">
        <v>7860000.0</v>
      </c>
      <c r="CO685" s="11">
        <v>6760000.0</v>
      </c>
      <c r="CP685" s="11">
        <v>6500000.0</v>
      </c>
      <c r="CQ685" s="11">
        <v>880270.0</v>
      </c>
      <c r="CR685" s="11">
        <v>785760.0</v>
      </c>
      <c r="CS685" s="11">
        <v>1150000.0</v>
      </c>
      <c r="CT685" s="11">
        <v>1010000.0</v>
      </c>
      <c r="CU685" s="11">
        <v>1010000.0</v>
      </c>
      <c r="CV685" s="11">
        <v>2040000.0</v>
      </c>
      <c r="CW685" s="11">
        <v>89320.0</v>
      </c>
      <c r="CX685" s="11">
        <v>951460.0</v>
      </c>
      <c r="CY685" s="11">
        <v>741650.0</v>
      </c>
      <c r="CZ685" s="11">
        <v>437480.0</v>
      </c>
      <c r="DA685" s="11">
        <v>328630.0</v>
      </c>
      <c r="DB685" s="11">
        <v>2040000.0</v>
      </c>
      <c r="DC685" s="11">
        <v>3220000.0</v>
      </c>
      <c r="DD685" s="11">
        <v>2830000.0</v>
      </c>
      <c r="DE685" s="11">
        <v>2320000.0</v>
      </c>
      <c r="DF685" s="11">
        <v>3230000.0</v>
      </c>
      <c r="DG685" s="11">
        <v>4650000.0</v>
      </c>
      <c r="DH685" s="11">
        <v>4210000.0</v>
      </c>
      <c r="DI685" s="11">
        <v>3350000.0</v>
      </c>
      <c r="DJ685" s="11">
        <v>3080000.0</v>
      </c>
      <c r="DK685" s="11">
        <v>164660.0</v>
      </c>
      <c r="DL685" s="11">
        <v>260950.0</v>
      </c>
      <c r="DM685" s="11">
        <v>268360.0</v>
      </c>
      <c r="DN685" s="11">
        <v>299250.0</v>
      </c>
      <c r="DO685" s="11">
        <v>293270.0</v>
      </c>
      <c r="DP685" s="11">
        <v>799180.0</v>
      </c>
      <c r="DQ685" s="11">
        <v>980340.0</v>
      </c>
      <c r="DR685" s="11">
        <v>907760.0</v>
      </c>
      <c r="DS685" s="11">
        <v>715460.0</v>
      </c>
      <c r="DT685" s="11">
        <v>463750.0</v>
      </c>
      <c r="DU685" s="13"/>
      <c r="DV685" s="12"/>
      <c r="DW685" s="12"/>
      <c r="DX685" s="12"/>
      <c r="DY685" s="13"/>
      <c r="DZ685" s="11">
        <v>3000000.0</v>
      </c>
      <c r="EA685" s="11">
        <v>2960000.0</v>
      </c>
      <c r="EB685" s="11">
        <v>2810000.0</v>
      </c>
      <c r="EC685" s="11">
        <v>2790000.0</v>
      </c>
      <c r="ED685" s="11">
        <v>2880000.0</v>
      </c>
      <c r="EE685" s="14">
        <v>0.334</v>
      </c>
      <c r="EF685" s="14">
        <v>0.286</v>
      </c>
      <c r="EG685" s="14">
        <v>0.288</v>
      </c>
      <c r="EH685" s="14">
        <v>0.103</v>
      </c>
    </row>
    <row r="686">
      <c r="A686" s="9">
        <f t="shared" si="2"/>
        <v>684</v>
      </c>
      <c r="B686" s="22" t="s">
        <v>821</v>
      </c>
      <c r="C686" s="11">
        <v>210350.0</v>
      </c>
      <c r="D686" s="11">
        <v>177810.0</v>
      </c>
      <c r="E686" s="11">
        <v>122660.0</v>
      </c>
      <c r="F686" s="11">
        <v>127450.0</v>
      </c>
      <c r="G686" s="11">
        <v>129340.0</v>
      </c>
      <c r="H686" s="11">
        <v>130080.0</v>
      </c>
      <c r="I686" s="11">
        <v>104600.0</v>
      </c>
      <c r="J686" s="11">
        <v>54450.0</v>
      </c>
      <c r="K686" s="11">
        <v>56640.0</v>
      </c>
      <c r="L686" s="11">
        <v>58260.0</v>
      </c>
      <c r="M686" s="11">
        <v>53890.0</v>
      </c>
      <c r="N686" s="11">
        <v>44210.0</v>
      </c>
      <c r="O686" s="11">
        <v>54020.0</v>
      </c>
      <c r="P686" s="11">
        <v>45840.0</v>
      </c>
      <c r="Q686" s="11">
        <v>40040.0</v>
      </c>
      <c r="R686" s="11">
        <v>37360.0</v>
      </c>
      <c r="S686" s="11">
        <v>35660.0</v>
      </c>
      <c r="T686" s="11">
        <v>8240.0</v>
      </c>
      <c r="U686" s="11">
        <v>3330.0</v>
      </c>
      <c r="V686" s="11">
        <v>2000.0</v>
      </c>
      <c r="W686" s="11">
        <v>2150.0</v>
      </c>
      <c r="X686" s="11">
        <v>1660.0</v>
      </c>
      <c r="Y686" s="11">
        <v>327.0</v>
      </c>
      <c r="Z686" s="11">
        <v>3790.0</v>
      </c>
      <c r="AA686" s="12"/>
      <c r="AB686" s="12"/>
      <c r="AC686" s="12"/>
      <c r="AD686" s="11">
        <v>-2580.0</v>
      </c>
      <c r="AE686" s="11">
        <v>3810.0</v>
      </c>
      <c r="AF686" s="11">
        <v>18370.0</v>
      </c>
      <c r="AG686" s="11">
        <v>16500.0</v>
      </c>
      <c r="AH686" s="11">
        <v>8430.0</v>
      </c>
      <c r="AI686" s="11">
        <v>6910.0</v>
      </c>
      <c r="AJ686" s="11">
        <v>15390.0</v>
      </c>
      <c r="AK686" s="11">
        <v>22970.0</v>
      </c>
      <c r="AL686" s="11">
        <v>21180.0</v>
      </c>
      <c r="AM686" s="11">
        <v>12740.0</v>
      </c>
      <c r="AN686" s="11">
        <v>-1470.0</v>
      </c>
      <c r="AO686" s="11">
        <v>5850.0</v>
      </c>
      <c r="AP686" s="11">
        <v>9950.0</v>
      </c>
      <c r="AQ686" s="11">
        <v>10510.0</v>
      </c>
      <c r="AR686" s="11">
        <v>5240.0</v>
      </c>
      <c r="AS686" s="11">
        <v>3300.0</v>
      </c>
      <c r="AT686" s="11">
        <v>13290.0</v>
      </c>
      <c r="AU686" s="11">
        <v>10410.0</v>
      </c>
      <c r="AV686" s="11">
        <v>5860.0</v>
      </c>
      <c r="AW686" s="11">
        <v>2130.0</v>
      </c>
      <c r="AX686" s="11">
        <v>-1040.0</v>
      </c>
      <c r="AY686" s="11">
        <v>-4110.0</v>
      </c>
      <c r="AZ686" s="11">
        <v>-3470.0</v>
      </c>
      <c r="BA686" s="11">
        <v>-3420.0</v>
      </c>
      <c r="BB686" s="11">
        <v>-3770.0</v>
      </c>
      <c r="BC686" s="12"/>
      <c r="BD686" s="12"/>
      <c r="BE686" s="12"/>
      <c r="BF686" s="12"/>
      <c r="BG686" s="12"/>
      <c r="BH686" s="11">
        <v>89030.0</v>
      </c>
      <c r="BI686" s="11">
        <v>13390.0</v>
      </c>
      <c r="BJ686" s="11">
        <v>9660.0</v>
      </c>
      <c r="BK686" s="11">
        <v>10790.0</v>
      </c>
      <c r="BL686" s="11">
        <v>6890.0</v>
      </c>
      <c r="BM686" s="11">
        <v>20120.0</v>
      </c>
      <c r="BN686" s="11">
        <v>20340.0</v>
      </c>
      <c r="BO686" s="11">
        <v>17440.0</v>
      </c>
      <c r="BP686" s="11">
        <v>20960.0</v>
      </c>
      <c r="BQ686" s="11">
        <v>16440.0</v>
      </c>
      <c r="BR686" s="11">
        <v>26600.0</v>
      </c>
      <c r="BS686" s="11">
        <v>25100.0</v>
      </c>
      <c r="BT686" s="11">
        <v>32600.0</v>
      </c>
      <c r="BU686" s="11">
        <v>20400.0</v>
      </c>
      <c r="BV686" s="11">
        <v>16100.0</v>
      </c>
      <c r="BW686" s="11">
        <v>139870.0</v>
      </c>
      <c r="BX686" s="11">
        <v>62410.0</v>
      </c>
      <c r="BY686" s="11">
        <v>62790.0</v>
      </c>
      <c r="BZ686" s="11">
        <v>55270.0</v>
      </c>
      <c r="CA686" s="11">
        <v>41260.0</v>
      </c>
      <c r="CB686" s="11">
        <v>21200.0</v>
      </c>
      <c r="CC686" s="11">
        <v>15980.0</v>
      </c>
      <c r="CD686" s="11">
        <v>17330.0</v>
      </c>
      <c r="CE686" s="11">
        <v>16580.0</v>
      </c>
      <c r="CF686" s="11">
        <v>17020.0</v>
      </c>
      <c r="CG686" s="11">
        <v>36200.0</v>
      </c>
      <c r="CH686" s="11">
        <v>26680.0</v>
      </c>
      <c r="CI686" s="11">
        <v>26690.0</v>
      </c>
      <c r="CJ686" s="11">
        <v>26650.0</v>
      </c>
      <c r="CK686" s="11">
        <v>20910.0</v>
      </c>
      <c r="CL686" s="11">
        <v>244420.0</v>
      </c>
      <c r="CM686" s="11">
        <v>156450.0</v>
      </c>
      <c r="CN686" s="11">
        <v>135440.0</v>
      </c>
      <c r="CO686" s="11">
        <v>130840.0</v>
      </c>
      <c r="CP686" s="11">
        <v>109720.0</v>
      </c>
      <c r="CQ686" s="11">
        <v>6600.0</v>
      </c>
      <c r="CR686" s="11">
        <v>7470.0</v>
      </c>
      <c r="CS686" s="11">
        <v>9490.0</v>
      </c>
      <c r="CT686" s="11">
        <v>7150.0</v>
      </c>
      <c r="CU686" s="11">
        <v>7620.0</v>
      </c>
      <c r="CV686" s="11">
        <v>32200.0</v>
      </c>
      <c r="CW686" s="11">
        <v>1750.0</v>
      </c>
      <c r="CX686" s="12"/>
      <c r="CY686" s="12"/>
      <c r="CZ686" s="24">
        <v>672.0</v>
      </c>
      <c r="DA686" s="11">
        <v>143.0</v>
      </c>
      <c r="DB686" s="11">
        <v>32200.0</v>
      </c>
      <c r="DC686" s="11">
        <v>20360.0</v>
      </c>
      <c r="DD686" s="11">
        <v>19380.0</v>
      </c>
      <c r="DE686" s="11">
        <v>32410.0</v>
      </c>
      <c r="DF686" s="11">
        <v>89890.0</v>
      </c>
      <c r="DG686" s="11">
        <v>34040.0</v>
      </c>
      <c r="DH686" s="11">
        <v>35000.0</v>
      </c>
      <c r="DI686" s="11">
        <v>43870.0</v>
      </c>
      <c r="DJ686" s="11">
        <v>30440.0</v>
      </c>
      <c r="DK686" s="11">
        <v>7420.0</v>
      </c>
      <c r="DL686" s="11">
        <v>8020.0</v>
      </c>
      <c r="DM686" s="12"/>
      <c r="DN686" s="12"/>
      <c r="DO686" s="12"/>
      <c r="DP686" s="11">
        <v>50920.0</v>
      </c>
      <c r="DQ686" s="11">
        <v>6030.0</v>
      </c>
      <c r="DR686" s="11">
        <v>6000.0</v>
      </c>
      <c r="DS686" s="12"/>
      <c r="DT686" s="11">
        <v>69.0</v>
      </c>
      <c r="DU686" s="13"/>
      <c r="DV686" s="12"/>
      <c r="DW686" s="12"/>
      <c r="DX686" s="13"/>
      <c r="DY686" s="13"/>
      <c r="DZ686" s="11">
        <v>154360.0</v>
      </c>
      <c r="EA686" s="11">
        <v>122410.0</v>
      </c>
      <c r="EB686" s="11">
        <v>100440.0</v>
      </c>
      <c r="EC686" s="11">
        <v>86980.0</v>
      </c>
      <c r="ED686" s="11">
        <v>63530.0</v>
      </c>
      <c r="EE686" s="14">
        <v>0.048</v>
      </c>
      <c r="EF686" s="14">
        <v>0.066</v>
      </c>
      <c r="EG686" s="14">
        <v>-1.118</v>
      </c>
      <c r="EH686" s="14">
        <v>-3.533</v>
      </c>
    </row>
    <row r="687">
      <c r="A687" s="9">
        <f t="shared" si="2"/>
        <v>685</v>
      </c>
      <c r="B687" s="32" t="s">
        <v>822</v>
      </c>
      <c r="C687" s="11">
        <v>772890.0</v>
      </c>
      <c r="D687" s="11">
        <v>742830.0</v>
      </c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3"/>
      <c r="DP687" s="12"/>
      <c r="DQ687" s="12"/>
      <c r="DR687" s="12"/>
      <c r="DS687" s="12"/>
      <c r="DT687" s="12"/>
      <c r="DU687" s="13"/>
      <c r="DV687" s="12"/>
      <c r="DW687" s="12"/>
      <c r="DX687" s="12"/>
      <c r="DY687" s="13"/>
      <c r="DZ687" s="12"/>
      <c r="EA687" s="12"/>
      <c r="EB687" s="12"/>
      <c r="EC687" s="12"/>
      <c r="ED687" s="12"/>
      <c r="EE687" s="14">
        <v>0.095</v>
      </c>
      <c r="EF687" s="14">
        <v>0.144</v>
      </c>
      <c r="EG687" s="14">
        <v>0.333</v>
      </c>
      <c r="EH687" s="14">
        <v>-0.417</v>
      </c>
    </row>
    <row r="688">
      <c r="A688" s="9">
        <f t="shared" si="2"/>
        <v>686</v>
      </c>
      <c r="B688" s="22" t="s">
        <v>823</v>
      </c>
      <c r="C688" s="11">
        <v>2360.0</v>
      </c>
      <c r="D688" s="11">
        <v>1750.0</v>
      </c>
      <c r="E688" s="11">
        <v>3050.0</v>
      </c>
      <c r="F688" s="11">
        <v>5790.0</v>
      </c>
      <c r="G688" s="11">
        <v>1520.0</v>
      </c>
      <c r="H688" s="11">
        <v>342.0</v>
      </c>
      <c r="I688" s="12"/>
      <c r="J688" s="12"/>
      <c r="K688" s="12"/>
      <c r="L688" s="12"/>
      <c r="M688" s="12"/>
      <c r="N688" s="11">
        <v>-116.0</v>
      </c>
      <c r="O688" s="11">
        <v>22170.0</v>
      </c>
      <c r="P688" s="11">
        <v>23020.0</v>
      </c>
      <c r="Q688" s="11">
        <v>14500.0</v>
      </c>
      <c r="R688" s="11">
        <v>13340.0</v>
      </c>
      <c r="S688" s="11">
        <v>20910.0</v>
      </c>
      <c r="T688" s="11">
        <v>13010.0</v>
      </c>
      <c r="U688" s="11">
        <v>16230.0</v>
      </c>
      <c r="V688" s="11">
        <v>8270.0</v>
      </c>
      <c r="W688" s="11">
        <v>9330.0</v>
      </c>
      <c r="X688" s="11">
        <v>16670.0</v>
      </c>
      <c r="Y688" s="11">
        <v>-20750.0</v>
      </c>
      <c r="Z688" s="11">
        <v>-17960.0</v>
      </c>
      <c r="AA688" s="11">
        <v>-13340.0</v>
      </c>
      <c r="AB688" s="12"/>
      <c r="AC688" s="12"/>
      <c r="AD688" s="11">
        <v>-20340.0</v>
      </c>
      <c r="AE688" s="11">
        <v>-17580.0</v>
      </c>
      <c r="AF688" s="11">
        <v>-13220.0</v>
      </c>
      <c r="AG688" s="11">
        <v>-12970.0</v>
      </c>
      <c r="AH688" s="11">
        <v>-21120.0</v>
      </c>
      <c r="AI688" s="11">
        <v>-19120.0</v>
      </c>
      <c r="AJ688" s="11">
        <v>-17230.0</v>
      </c>
      <c r="AK688" s="11">
        <v>-12980.0</v>
      </c>
      <c r="AL688" s="11">
        <v>-13000.0</v>
      </c>
      <c r="AM688" s="11">
        <v>-20910.0</v>
      </c>
      <c r="AN688" s="11">
        <v>-20020.0</v>
      </c>
      <c r="AO688" s="11">
        <v>-15730.0</v>
      </c>
      <c r="AP688" s="11">
        <v>-11840.0</v>
      </c>
      <c r="AQ688" s="11">
        <v>-12570.0</v>
      </c>
      <c r="AR688" s="11">
        <v>-20300.0</v>
      </c>
      <c r="AS688" s="11">
        <v>-12790.0</v>
      </c>
      <c r="AT688" s="11">
        <v>-21430.0</v>
      </c>
      <c r="AU688" s="11">
        <v>-6300.0</v>
      </c>
      <c r="AV688" s="11">
        <v>-13520.0</v>
      </c>
      <c r="AW688" s="11">
        <v>-17450.0</v>
      </c>
      <c r="AX688" s="11">
        <v>-265.0</v>
      </c>
      <c r="AY688" s="11">
        <v>-594.0</v>
      </c>
      <c r="AZ688" s="11">
        <v>-61.0</v>
      </c>
      <c r="BA688" s="11">
        <v>-46.0</v>
      </c>
      <c r="BB688" s="11">
        <v>-116.0</v>
      </c>
      <c r="BC688" s="12"/>
      <c r="BD688" s="12"/>
      <c r="BE688" s="12"/>
      <c r="BF688" s="12"/>
      <c r="BG688" s="12"/>
      <c r="BH688" s="11">
        <v>14750.0</v>
      </c>
      <c r="BI688" s="11">
        <v>27720.0</v>
      </c>
      <c r="BJ688" s="11">
        <v>9760.0</v>
      </c>
      <c r="BK688" s="11">
        <v>7840.0</v>
      </c>
      <c r="BL688" s="11">
        <v>11630.0</v>
      </c>
      <c r="BM688" s="11">
        <v>35.0</v>
      </c>
      <c r="BN688" s="11">
        <v>29.0</v>
      </c>
      <c r="BO688" s="11">
        <v>15.0</v>
      </c>
      <c r="BP688" s="11">
        <v>82.0</v>
      </c>
      <c r="BQ688" s="12"/>
      <c r="BR688" s="12"/>
      <c r="BS688" s="12"/>
      <c r="BT688" s="12"/>
      <c r="BU688" s="12"/>
      <c r="BV688" s="12"/>
      <c r="BW688" s="11">
        <v>15210.0</v>
      </c>
      <c r="BX688" s="11">
        <v>28710.0</v>
      </c>
      <c r="BY688" s="11">
        <v>11750.0</v>
      </c>
      <c r="BZ688" s="11">
        <v>8260.0</v>
      </c>
      <c r="CA688" s="11">
        <v>12500.0</v>
      </c>
      <c r="CB688" s="11">
        <v>3030.0</v>
      </c>
      <c r="CC688" s="11">
        <v>643.0</v>
      </c>
      <c r="CD688" s="11">
        <v>287.0</v>
      </c>
      <c r="CE688" s="11">
        <v>360.0</v>
      </c>
      <c r="CF688" s="11">
        <v>446.0</v>
      </c>
      <c r="CG688" s="11">
        <v>1450.0</v>
      </c>
      <c r="CH688" s="11">
        <v>2190.0</v>
      </c>
      <c r="CI688" s="11">
        <v>2190.0</v>
      </c>
      <c r="CJ688" s="12"/>
      <c r="CK688" s="12"/>
      <c r="CL688" s="11">
        <v>53830.0</v>
      </c>
      <c r="CM688" s="11">
        <v>60680.0</v>
      </c>
      <c r="CN688" s="11">
        <v>20190.0</v>
      </c>
      <c r="CO688" s="11">
        <v>8900.0</v>
      </c>
      <c r="CP688" s="11">
        <v>13220.0</v>
      </c>
      <c r="CQ688" s="11">
        <v>1500.0</v>
      </c>
      <c r="CR688" s="11">
        <v>975.0</v>
      </c>
      <c r="CS688" s="11">
        <v>1030.0</v>
      </c>
      <c r="CT688" s="12"/>
      <c r="CU688" s="12"/>
      <c r="CV688" s="11">
        <v>8440.0</v>
      </c>
      <c r="CW688" s="11">
        <v>217.0</v>
      </c>
      <c r="CX688" s="12"/>
      <c r="CY688" s="12"/>
      <c r="CZ688" s="12"/>
      <c r="DA688" s="12"/>
      <c r="DB688" s="11">
        <v>8440.0</v>
      </c>
      <c r="DC688" s="11">
        <v>4870.0</v>
      </c>
      <c r="DD688" s="11">
        <v>10340.0</v>
      </c>
      <c r="DE688" s="11">
        <v>1600.0</v>
      </c>
      <c r="DF688" s="11">
        <v>40670.0</v>
      </c>
      <c r="DG688" s="11">
        <v>30440.0</v>
      </c>
      <c r="DH688" s="11">
        <v>14410.0</v>
      </c>
      <c r="DI688" s="11">
        <v>2060.0</v>
      </c>
      <c r="DJ688" s="11">
        <v>10720.0</v>
      </c>
      <c r="DK688" s="12"/>
      <c r="DL688" s="12"/>
      <c r="DM688" s="11">
        <v>2.0</v>
      </c>
      <c r="DN688" s="11">
        <v>101.0</v>
      </c>
      <c r="DO688" s="24">
        <v>101.0</v>
      </c>
      <c r="DP688" s="11">
        <v>1660.0</v>
      </c>
      <c r="DQ688" s="12"/>
      <c r="DR688" s="12"/>
      <c r="DS688" s="12"/>
      <c r="DT688" s="11">
        <v>3610.0</v>
      </c>
      <c r="DU688" s="13"/>
      <c r="DV688" s="12"/>
      <c r="DW688" s="12"/>
      <c r="DX688" s="13"/>
      <c r="DY688" s="13"/>
      <c r="DZ688" s="11">
        <v>13570.0</v>
      </c>
      <c r="EA688" s="11">
        <v>30290.0</v>
      </c>
      <c r="EB688" s="11">
        <v>7370.0</v>
      </c>
      <c r="EC688" s="11">
        <v>8800.0</v>
      </c>
      <c r="ED688" s="11">
        <v>4050.0</v>
      </c>
      <c r="EE688" s="14">
        <v>0.291</v>
      </c>
      <c r="EF688" s="23"/>
      <c r="EG688" s="14">
        <v>0.444</v>
      </c>
      <c r="EH688" s="14">
        <v>0.086</v>
      </c>
    </row>
    <row r="689">
      <c r="A689" s="9">
        <f t="shared" si="2"/>
        <v>687</v>
      </c>
      <c r="B689" s="10" t="s">
        <v>824</v>
      </c>
      <c r="C689" s="15">
        <v>2430000.0</v>
      </c>
      <c r="D689" s="15">
        <v>1650000.0</v>
      </c>
      <c r="E689" s="15">
        <v>1620000.0</v>
      </c>
      <c r="F689" s="15">
        <v>1520000.0</v>
      </c>
      <c r="G689" s="15">
        <v>1220000.0</v>
      </c>
      <c r="H689" s="15">
        <v>984210.0</v>
      </c>
      <c r="I689" s="15">
        <v>918780.0</v>
      </c>
      <c r="J689" s="15">
        <v>578740.0</v>
      </c>
      <c r="K689" s="15">
        <v>539520.0</v>
      </c>
      <c r="L689" s="15">
        <v>376280.0</v>
      </c>
      <c r="M689" s="15">
        <v>239110.0</v>
      </c>
      <c r="N689" s="15">
        <v>198270.0</v>
      </c>
      <c r="O689" s="15">
        <v>211870.0</v>
      </c>
      <c r="P689" s="15">
        <v>178630.0</v>
      </c>
      <c r="Q689" s="15">
        <v>142790.0</v>
      </c>
      <c r="R689" s="15">
        <v>104250.0</v>
      </c>
      <c r="S689" s="15">
        <v>105360.0</v>
      </c>
      <c r="T689" s="15">
        <v>0.0</v>
      </c>
      <c r="U689" s="15">
        <v>0.0</v>
      </c>
      <c r="V689" s="15">
        <v>0.0</v>
      </c>
      <c r="W689" s="15">
        <v>0.0</v>
      </c>
      <c r="X689" s="15">
        <v>0.0</v>
      </c>
      <c r="Y689" s="15">
        <v>412600.0</v>
      </c>
      <c r="Z689" s="15">
        <v>236660.0</v>
      </c>
      <c r="AA689" s="15">
        <v>5180.0</v>
      </c>
      <c r="AB689" s="15">
        <v>0.0</v>
      </c>
      <c r="AC689" s="15">
        <v>0.0</v>
      </c>
      <c r="AD689" s="15">
        <v>371210.0</v>
      </c>
      <c r="AE689" s="15">
        <v>210520.0</v>
      </c>
      <c r="AF689" s="15">
        <v>236300.0</v>
      </c>
      <c r="AG689" s="15">
        <v>162180.0</v>
      </c>
      <c r="AH689" s="15">
        <v>101180.0</v>
      </c>
      <c r="AI689" s="15">
        <v>509130.0</v>
      </c>
      <c r="AJ689" s="15">
        <v>494790.0</v>
      </c>
      <c r="AK689" s="15">
        <v>349500.0</v>
      </c>
      <c r="AL689" s="15">
        <v>250880.0</v>
      </c>
      <c r="AM689" s="15">
        <v>195910.0</v>
      </c>
      <c r="AN689" s="15">
        <v>256010.0</v>
      </c>
      <c r="AO689" s="15">
        <v>108210.0</v>
      </c>
      <c r="AP689" s="15">
        <v>181700.0</v>
      </c>
      <c r="AQ689" s="15">
        <v>121110.0</v>
      </c>
      <c r="AR689" s="15">
        <v>69470.0</v>
      </c>
      <c r="AS689" s="15">
        <v>771220.0</v>
      </c>
      <c r="AT689" s="15">
        <v>460780.0</v>
      </c>
      <c r="AU689" s="15">
        <v>362970.0</v>
      </c>
      <c r="AV689" s="15">
        <v>308220.0</v>
      </c>
      <c r="AW689" s="15">
        <v>278380.0</v>
      </c>
      <c r="AX689" s="15">
        <v>-222150.0</v>
      </c>
      <c r="AY689" s="15">
        <v>-180600.0</v>
      </c>
      <c r="AZ689" s="15">
        <v>-122370.0</v>
      </c>
      <c r="BA689" s="15">
        <v>-77770.0</v>
      </c>
      <c r="BB689" s="15">
        <v>-103270.0</v>
      </c>
      <c r="BC689" s="15">
        <v>-95230.0</v>
      </c>
      <c r="BD689" s="16">
        <v>0.0</v>
      </c>
      <c r="BE689" s="15">
        <v>-45280.0</v>
      </c>
      <c r="BF689" s="15">
        <v>-41580.0</v>
      </c>
      <c r="BG689" s="16">
        <v>0.0</v>
      </c>
      <c r="BH689" s="15">
        <v>2430000.0</v>
      </c>
      <c r="BI689" s="15">
        <v>724330.0</v>
      </c>
      <c r="BJ689" s="15">
        <v>627460.0</v>
      </c>
      <c r="BK689" s="15">
        <v>465570.0</v>
      </c>
      <c r="BL689" s="15">
        <v>328250.0</v>
      </c>
      <c r="BM689" s="15">
        <v>85130.0</v>
      </c>
      <c r="BN689" s="15">
        <v>67730.0</v>
      </c>
      <c r="BO689" s="15">
        <v>101660.0</v>
      </c>
      <c r="BP689" s="15">
        <v>37770.0</v>
      </c>
      <c r="BQ689" s="15">
        <v>16960.0</v>
      </c>
      <c r="BR689" s="15">
        <v>8180.0</v>
      </c>
      <c r="BS689" s="15">
        <v>5970.0</v>
      </c>
      <c r="BT689" s="15">
        <v>3690.0</v>
      </c>
      <c r="BU689" s="15">
        <v>3110.0</v>
      </c>
      <c r="BV689" s="15">
        <v>3780.0</v>
      </c>
      <c r="BW689" s="15">
        <v>2620000.0</v>
      </c>
      <c r="BX689" s="15">
        <v>1020000.0</v>
      </c>
      <c r="BY689" s="15">
        <v>884670.0</v>
      </c>
      <c r="BZ689" s="15">
        <v>600720.0</v>
      </c>
      <c r="CA689" s="15">
        <v>456140.0</v>
      </c>
      <c r="CB689" s="15">
        <v>3840000.0</v>
      </c>
      <c r="CC689" s="15">
        <v>730880.0</v>
      </c>
      <c r="CD689" s="15">
        <v>694560.0</v>
      </c>
      <c r="CE689" s="15">
        <v>533920.0</v>
      </c>
      <c r="CF689" s="15">
        <v>586100.0</v>
      </c>
      <c r="CG689" s="15">
        <v>381440.0</v>
      </c>
      <c r="CH689" s="15">
        <v>383060.0</v>
      </c>
      <c r="CI689" s="15">
        <v>347820.0</v>
      </c>
      <c r="CJ689" s="15">
        <v>24680.0</v>
      </c>
      <c r="CK689" s="15">
        <v>16680.0</v>
      </c>
      <c r="CL689" s="15">
        <v>7610000.0</v>
      </c>
      <c r="CM689" s="15">
        <v>3490000.0</v>
      </c>
      <c r="CN689" s="15">
        <v>2690000.0</v>
      </c>
      <c r="CO689" s="15">
        <v>1440000.0</v>
      </c>
      <c r="CP689" s="15">
        <v>1180000.0</v>
      </c>
      <c r="CQ689" s="15">
        <v>168830.0</v>
      </c>
      <c r="CR689" s="15">
        <v>129630.0</v>
      </c>
      <c r="CS689" s="15">
        <v>117630.0</v>
      </c>
      <c r="CT689" s="15">
        <v>84140.0</v>
      </c>
      <c r="CU689" s="15">
        <v>90140.0</v>
      </c>
      <c r="CV689" s="15">
        <v>2480000.0</v>
      </c>
      <c r="CW689" s="15">
        <v>622770.0</v>
      </c>
      <c r="CX689" s="15">
        <v>138080.0</v>
      </c>
      <c r="CY689" s="15">
        <v>20120.0</v>
      </c>
      <c r="CZ689" s="15">
        <v>42920.0</v>
      </c>
      <c r="DA689" s="15">
        <v>50000.0</v>
      </c>
      <c r="DB689" s="15">
        <v>2480000.0</v>
      </c>
      <c r="DC689" s="15">
        <v>869390.0</v>
      </c>
      <c r="DD689" s="15">
        <v>579080.0</v>
      </c>
      <c r="DE689" s="15">
        <v>426800.0</v>
      </c>
      <c r="DF689" s="15">
        <v>6530000.0</v>
      </c>
      <c r="DG689" s="15">
        <v>2570000.0</v>
      </c>
      <c r="DH689" s="15">
        <v>1730000.0</v>
      </c>
      <c r="DI689" s="15">
        <v>658640.0</v>
      </c>
      <c r="DJ689" s="15">
        <v>654920.0</v>
      </c>
      <c r="DK689" s="15">
        <v>276930.0</v>
      </c>
      <c r="DL689" s="15">
        <v>896050.0</v>
      </c>
      <c r="DM689" s="15">
        <v>362710.0</v>
      </c>
      <c r="DN689" s="15">
        <v>153150.0</v>
      </c>
      <c r="DO689" s="15">
        <v>54910.0</v>
      </c>
      <c r="DP689" s="15">
        <v>3820000.0</v>
      </c>
      <c r="DQ689" s="15">
        <v>1280000.0</v>
      </c>
      <c r="DR689" s="15">
        <v>755840.0</v>
      </c>
      <c r="DS689" s="15">
        <v>0.0</v>
      </c>
      <c r="DT689" s="15">
        <v>0.0</v>
      </c>
      <c r="DU689" s="16">
        <v>0.0</v>
      </c>
      <c r="DV689" s="15">
        <v>0.0</v>
      </c>
      <c r="DW689" s="15">
        <v>0.0</v>
      </c>
      <c r="DX689" s="16">
        <v>0.0</v>
      </c>
      <c r="DY689" s="16">
        <v>0.0</v>
      </c>
      <c r="DZ689" s="15">
        <v>1060000.0</v>
      </c>
      <c r="EA689" s="15">
        <v>899250.0</v>
      </c>
      <c r="EB689" s="15">
        <v>951780.0</v>
      </c>
      <c r="EC689" s="15">
        <v>776980.0</v>
      </c>
      <c r="ED689" s="15">
        <v>528230.0</v>
      </c>
      <c r="EE689" s="17">
        <v>0.303</v>
      </c>
      <c r="EF689" s="17">
        <v>0.317</v>
      </c>
      <c r="EG689" s="17">
        <v>-0.05</v>
      </c>
      <c r="EH689" s="17">
        <v>-0.182</v>
      </c>
    </row>
    <row r="690">
      <c r="A690" s="9">
        <f t="shared" si="2"/>
        <v>688</v>
      </c>
      <c r="B690" s="10" t="s">
        <v>825</v>
      </c>
      <c r="C690" s="11">
        <v>691130.0</v>
      </c>
      <c r="D690" s="11">
        <v>663670.0</v>
      </c>
      <c r="E690" s="11">
        <v>596820.0</v>
      </c>
      <c r="F690" s="11">
        <v>610800.0</v>
      </c>
      <c r="G690" s="11">
        <v>607340.0</v>
      </c>
      <c r="H690" s="11">
        <v>612940.0</v>
      </c>
      <c r="I690" s="11">
        <v>736350.0</v>
      </c>
      <c r="J690" s="11">
        <v>93470.0</v>
      </c>
      <c r="K690" s="11">
        <v>92420.0</v>
      </c>
      <c r="L690" s="11">
        <v>67320.0</v>
      </c>
      <c r="M690" s="11">
        <v>94230.0</v>
      </c>
      <c r="N690" s="11">
        <v>115240.0</v>
      </c>
      <c r="O690" s="11">
        <v>9850.0</v>
      </c>
      <c r="P690" s="11">
        <v>6090.0</v>
      </c>
      <c r="Q690" s="11">
        <v>4880.0</v>
      </c>
      <c r="R690" s="11">
        <v>4490.0</v>
      </c>
      <c r="S690" s="11">
        <v>6320.0</v>
      </c>
      <c r="T690" s="12"/>
      <c r="U690" s="12"/>
      <c r="V690" s="12"/>
      <c r="W690" s="12"/>
      <c r="X690" s="12"/>
      <c r="Y690" s="12"/>
      <c r="Z690" s="12"/>
      <c r="AA690" s="11">
        <v>36870.0</v>
      </c>
      <c r="AB690" s="12"/>
      <c r="AC690" s="12"/>
      <c r="AD690" s="11">
        <v>97180.0</v>
      </c>
      <c r="AE690" s="11">
        <v>91920.0</v>
      </c>
      <c r="AF690" s="11">
        <v>64500.0</v>
      </c>
      <c r="AG690" s="11">
        <v>86050.0</v>
      </c>
      <c r="AH690" s="11">
        <v>116770.0</v>
      </c>
      <c r="AI690" s="11">
        <v>163150.0</v>
      </c>
      <c r="AJ690" s="11">
        <v>165340.0</v>
      </c>
      <c r="AK690" s="11">
        <v>141460.0</v>
      </c>
      <c r="AL690" s="11">
        <v>181940.0</v>
      </c>
      <c r="AM690" s="11">
        <v>192200.0</v>
      </c>
      <c r="AN690" s="11">
        <v>72970.0</v>
      </c>
      <c r="AO690" s="11">
        <v>72680.0</v>
      </c>
      <c r="AP690" s="11">
        <v>75170.0</v>
      </c>
      <c r="AQ690" s="11">
        <v>56390.0</v>
      </c>
      <c r="AR690" s="11">
        <v>73060.0</v>
      </c>
      <c r="AS690" s="11">
        <v>146370.0</v>
      </c>
      <c r="AT690" s="11">
        <v>146540.0</v>
      </c>
      <c r="AU690" s="11">
        <v>109540.0</v>
      </c>
      <c r="AV690" s="11">
        <v>155780.0</v>
      </c>
      <c r="AW690" s="11">
        <v>190470.0</v>
      </c>
      <c r="AX690" s="11">
        <v>-163810.0</v>
      </c>
      <c r="AY690" s="11">
        <v>-169280.0</v>
      </c>
      <c r="AZ690" s="11">
        <v>-184290.0</v>
      </c>
      <c r="BA690" s="11">
        <v>-96440.0</v>
      </c>
      <c r="BB690" s="11">
        <v>-217250.0</v>
      </c>
      <c r="BC690" s="11">
        <v>-6560.0</v>
      </c>
      <c r="BD690" s="11">
        <v>-6590.0</v>
      </c>
      <c r="BE690" s="11">
        <v>-6670.0</v>
      </c>
      <c r="BF690" s="11">
        <v>-6670.0</v>
      </c>
      <c r="BG690" s="11">
        <v>-6940.0</v>
      </c>
      <c r="BH690" s="11">
        <v>78280.0</v>
      </c>
      <c r="BI690" s="11">
        <v>164550.0</v>
      </c>
      <c r="BJ690" s="11">
        <v>83280.0</v>
      </c>
      <c r="BK690" s="11">
        <v>137810.0</v>
      </c>
      <c r="BL690" s="11">
        <v>33230.0</v>
      </c>
      <c r="BM690" s="11">
        <v>57080.0</v>
      </c>
      <c r="BN690" s="11">
        <v>49130.0</v>
      </c>
      <c r="BO690" s="11">
        <v>70690.0</v>
      </c>
      <c r="BP690" s="11">
        <v>51580.0</v>
      </c>
      <c r="BQ690" s="11">
        <v>68650.0</v>
      </c>
      <c r="BR690" s="12"/>
      <c r="BS690" s="12"/>
      <c r="BT690" s="12"/>
      <c r="BU690" s="12"/>
      <c r="BV690" s="12"/>
      <c r="BW690" s="11">
        <v>151810.0</v>
      </c>
      <c r="BX690" s="11">
        <v>232500.0</v>
      </c>
      <c r="BY690" s="11">
        <v>170840.0</v>
      </c>
      <c r="BZ690" s="11">
        <v>202110.0</v>
      </c>
      <c r="CA690" s="11">
        <v>136440.0</v>
      </c>
      <c r="CB690" s="11">
        <v>526290.0</v>
      </c>
      <c r="CC690" s="11">
        <v>403120.0</v>
      </c>
      <c r="CD690" s="11">
        <v>442860.0</v>
      </c>
      <c r="CE690" s="11">
        <v>407650.0</v>
      </c>
      <c r="CF690" s="11">
        <v>474000.0</v>
      </c>
      <c r="CG690" s="11">
        <v>168300.0</v>
      </c>
      <c r="CH690" s="11">
        <v>132410.0</v>
      </c>
      <c r="CI690" s="11">
        <v>132410.0</v>
      </c>
      <c r="CJ690" s="11">
        <v>100210.0</v>
      </c>
      <c r="CK690" s="11">
        <v>100210.0</v>
      </c>
      <c r="CL690" s="11">
        <v>898930.0</v>
      </c>
      <c r="CM690" s="11">
        <v>806210.0</v>
      </c>
      <c r="CN690" s="11">
        <v>789130.0</v>
      </c>
      <c r="CO690" s="11">
        <v>738230.0</v>
      </c>
      <c r="CP690" s="11">
        <v>736030.0</v>
      </c>
      <c r="CQ690" s="11">
        <v>11060.0</v>
      </c>
      <c r="CR690" s="11">
        <v>10550.0</v>
      </c>
      <c r="CS690" s="11">
        <v>14370.0</v>
      </c>
      <c r="CT690" s="11">
        <v>12360.0</v>
      </c>
      <c r="CU690" s="11">
        <v>7520.0</v>
      </c>
      <c r="CV690" s="11">
        <v>63410.0</v>
      </c>
      <c r="CW690" s="11"/>
      <c r="CX690" s="12"/>
      <c r="CY690" s="12"/>
      <c r="CZ690" s="12"/>
      <c r="DA690" s="12"/>
      <c r="DB690" s="11">
        <v>63410.0</v>
      </c>
      <c r="DC690" s="11">
        <v>64690.0</v>
      </c>
      <c r="DD690" s="11">
        <v>75320.0</v>
      </c>
      <c r="DE690" s="11">
        <v>65530.0</v>
      </c>
      <c r="DF690" s="11">
        <v>214270.0</v>
      </c>
      <c r="DG690" s="11">
        <v>190240.0</v>
      </c>
      <c r="DH690" s="11">
        <v>214480.0</v>
      </c>
      <c r="DI690" s="11">
        <v>232400.0</v>
      </c>
      <c r="DJ690" s="11">
        <v>266100.0</v>
      </c>
      <c r="DK690" s="11">
        <v>17800.0</v>
      </c>
      <c r="DL690" s="11">
        <v>18390.0</v>
      </c>
      <c r="DM690" s="11">
        <v>22800.0</v>
      </c>
      <c r="DN690" s="11">
        <v>12400.0</v>
      </c>
      <c r="DO690" s="11">
        <v>10660.0</v>
      </c>
      <c r="DP690" s="11"/>
      <c r="DQ690" s="12"/>
      <c r="DR690" s="12"/>
      <c r="DS690" s="12"/>
      <c r="DT690" s="12"/>
      <c r="DU690" s="13"/>
      <c r="DV690" s="12"/>
      <c r="DW690" s="12"/>
      <c r="DX690" s="12"/>
      <c r="DY690" s="12"/>
      <c r="DZ690" s="11">
        <v>684660.0</v>
      </c>
      <c r="EA690" s="11">
        <v>615970.0</v>
      </c>
      <c r="EB690" s="11">
        <v>574650.0</v>
      </c>
      <c r="EC690" s="11">
        <v>505830.0</v>
      </c>
      <c r="ED690" s="11">
        <v>469930.0</v>
      </c>
      <c r="EE690" s="14">
        <v>0.065</v>
      </c>
      <c r="EF690" s="14">
        <v>0.1</v>
      </c>
      <c r="EG690" s="14">
        <v>0.714</v>
      </c>
      <c r="EH690" s="14">
        <v>0.16</v>
      </c>
    </row>
    <row r="691">
      <c r="A691" s="9">
        <f t="shared" si="2"/>
        <v>689</v>
      </c>
      <c r="B691" s="10" t="s">
        <v>826</v>
      </c>
      <c r="C691" s="11">
        <v>7480000.0</v>
      </c>
      <c r="D691" s="11">
        <v>6210000.0</v>
      </c>
      <c r="E691" s="11">
        <v>9780000.0</v>
      </c>
      <c r="F691" s="11">
        <v>9500000.0</v>
      </c>
      <c r="G691" s="11">
        <v>8800000.0</v>
      </c>
      <c r="H691" s="11">
        <v>8800000.0</v>
      </c>
      <c r="I691" s="11">
        <v>9020000.0</v>
      </c>
      <c r="J691" s="11">
        <v>1730000.0</v>
      </c>
      <c r="K691" s="11">
        <v>1730000.0</v>
      </c>
      <c r="L691" s="11">
        <v>1390000.0</v>
      </c>
      <c r="M691" s="11">
        <v>1600000.0</v>
      </c>
      <c r="N691" s="11">
        <v>1750000.0</v>
      </c>
      <c r="O691" s="11">
        <v>969000.0</v>
      </c>
      <c r="P691" s="11">
        <v>1140000.0</v>
      </c>
      <c r="Q691" s="11">
        <v>982000.0</v>
      </c>
      <c r="R691" s="11">
        <v>989000.0</v>
      </c>
      <c r="S691" s="11">
        <v>950000.0</v>
      </c>
      <c r="T691" s="12"/>
      <c r="U691" s="12"/>
      <c r="V691" s="12"/>
      <c r="W691" s="12"/>
      <c r="X691" s="12"/>
      <c r="Y691" s="11">
        <v>716000.0</v>
      </c>
      <c r="Z691" s="11">
        <v>568000.0</v>
      </c>
      <c r="AA691" s="11">
        <v>274000.0</v>
      </c>
      <c r="AB691" s="11">
        <v>187000.0</v>
      </c>
      <c r="AC691" s="11">
        <v>-136000.0</v>
      </c>
      <c r="AD691" s="11">
        <v>13000.0</v>
      </c>
      <c r="AE691" s="11">
        <v>-257000.0</v>
      </c>
      <c r="AF691" s="11">
        <v>-575000.0</v>
      </c>
      <c r="AG691" s="11">
        <v>-470000.0</v>
      </c>
      <c r="AH691" s="11">
        <v>132000.0</v>
      </c>
      <c r="AI691" s="11">
        <v>3750000.0</v>
      </c>
      <c r="AJ691" s="11">
        <v>3350000.0</v>
      </c>
      <c r="AK691" s="11">
        <v>3140000.0</v>
      </c>
      <c r="AL691" s="11">
        <v>3230000.0</v>
      </c>
      <c r="AM691" s="11">
        <v>3350000.0</v>
      </c>
      <c r="AN691" s="11">
        <v>-58000.0</v>
      </c>
      <c r="AO691" s="11">
        <v>-225000.0</v>
      </c>
      <c r="AP691" s="11">
        <v>327000.0</v>
      </c>
      <c r="AQ691" s="11">
        <v>-474000.0</v>
      </c>
      <c r="AR691" s="11">
        <v>115000.0</v>
      </c>
      <c r="AS691" s="11">
        <v>3330000.0</v>
      </c>
      <c r="AT691" s="11">
        <v>2560000.0</v>
      </c>
      <c r="AU691" s="11">
        <v>2390000.0</v>
      </c>
      <c r="AV691" s="11">
        <v>2530000.0</v>
      </c>
      <c r="AW691" s="11">
        <v>2780000.0</v>
      </c>
      <c r="AX691" s="11">
        <v>-1.394E7</v>
      </c>
      <c r="AY691" s="11">
        <v>-1.267E7</v>
      </c>
      <c r="AZ691" s="11">
        <v>-1.077E7</v>
      </c>
      <c r="BA691" s="11">
        <v>-1.109E7</v>
      </c>
      <c r="BB691" s="11">
        <v>-1.164E7</v>
      </c>
      <c r="BC691" s="12"/>
      <c r="BD691" s="12"/>
      <c r="BE691" s="12"/>
      <c r="BF691" s="12"/>
      <c r="BG691" s="12"/>
      <c r="BH691" s="11">
        <v>1360000.0</v>
      </c>
      <c r="BI691" s="11">
        <v>1410000.0</v>
      </c>
      <c r="BJ691" s="11">
        <v>1500000.0</v>
      </c>
      <c r="BK691" s="11">
        <v>1090000.0</v>
      </c>
      <c r="BL691" s="11">
        <v>807000.0</v>
      </c>
      <c r="BM691" s="11">
        <v>1840000.0</v>
      </c>
      <c r="BN691" s="11">
        <v>1590000.0</v>
      </c>
      <c r="BO691" s="11">
        <v>1370000.0</v>
      </c>
      <c r="BP691" s="11">
        <v>1280000.0</v>
      </c>
      <c r="BQ691" s="11">
        <v>1790000.0</v>
      </c>
      <c r="BR691" s="12"/>
      <c r="BS691" s="12"/>
      <c r="BT691" s="12"/>
      <c r="BU691" s="12"/>
      <c r="BV691" s="12"/>
      <c r="BW691" s="11">
        <v>3890000.0</v>
      </c>
      <c r="BX691" s="11">
        <v>3900000.0</v>
      </c>
      <c r="BY691" s="11">
        <v>3560000.0</v>
      </c>
      <c r="BZ691" s="11">
        <v>2960000.0</v>
      </c>
      <c r="CA691" s="11">
        <v>3590000.0</v>
      </c>
      <c r="CB691" s="11">
        <v>1.642E7</v>
      </c>
      <c r="CC691" s="11">
        <v>1.32E7</v>
      </c>
      <c r="CD691" s="11">
        <v>1.218E7</v>
      </c>
      <c r="CE691" s="11">
        <v>1.168E7</v>
      </c>
      <c r="CF691" s="11">
        <v>1.172E7</v>
      </c>
      <c r="CG691" s="11">
        <v>1080000.0</v>
      </c>
      <c r="CH691" s="11">
        <v>1080000.0</v>
      </c>
      <c r="CI691" s="11">
        <v>1080000.0</v>
      </c>
      <c r="CJ691" s="11">
        <v>1080000.0</v>
      </c>
      <c r="CK691" s="11">
        <v>1260000.0</v>
      </c>
      <c r="CL691" s="11">
        <v>2.463E7</v>
      </c>
      <c r="CM691" s="11">
        <v>2.138E7</v>
      </c>
      <c r="CN691" s="11">
        <v>2.006E7</v>
      </c>
      <c r="CO691" s="11">
        <v>1.916E7</v>
      </c>
      <c r="CP691" s="11">
        <v>2.351E7</v>
      </c>
      <c r="CQ691" s="11">
        <v>943000.0</v>
      </c>
      <c r="CR691" s="11">
        <v>988000.0</v>
      </c>
      <c r="CS691" s="11">
        <v>946000.0</v>
      </c>
      <c r="CT691" s="11">
        <v>821000.0</v>
      </c>
      <c r="CU691" s="11">
        <v>766000.0</v>
      </c>
      <c r="CV691" s="11">
        <v>5210000.0</v>
      </c>
      <c r="CW691" s="11">
        <v>494000.0</v>
      </c>
      <c r="CX691" s="12"/>
      <c r="CY691" s="12"/>
      <c r="CZ691" s="12"/>
      <c r="DA691" s="12"/>
      <c r="DB691" s="11">
        <v>5210000.0</v>
      </c>
      <c r="DC691" s="11">
        <v>4040000.0</v>
      </c>
      <c r="DD691" s="11">
        <v>3750000.0</v>
      </c>
      <c r="DE691" s="11">
        <v>4940000.0</v>
      </c>
      <c r="DF691" s="11">
        <v>2.274E7</v>
      </c>
      <c r="DG691" s="11">
        <v>2.026E7</v>
      </c>
      <c r="DH691" s="11">
        <v>1.854E7</v>
      </c>
      <c r="DI691" s="11">
        <v>1.808E7</v>
      </c>
      <c r="DJ691" s="11">
        <v>2.15E7</v>
      </c>
      <c r="DK691" s="12"/>
      <c r="DL691" s="11"/>
      <c r="DM691" s="11"/>
      <c r="DN691" s="11"/>
      <c r="DO691" s="12"/>
      <c r="DP691" s="11">
        <v>1.601E7</v>
      </c>
      <c r="DQ691" s="11">
        <v>1.471E7</v>
      </c>
      <c r="DR691" s="11">
        <v>1.314E7</v>
      </c>
      <c r="DS691" s="11">
        <v>1.057E7</v>
      </c>
      <c r="DT691" s="11">
        <v>1.241E7</v>
      </c>
      <c r="DU691" s="13"/>
      <c r="DV691" s="12"/>
      <c r="DW691" s="12"/>
      <c r="DX691" s="12"/>
      <c r="DY691" s="12"/>
      <c r="DZ691" s="11">
        <v>1770000.0</v>
      </c>
      <c r="EA691" s="11">
        <v>1060000.0</v>
      </c>
      <c r="EB691" s="11">
        <v>1520000.0</v>
      </c>
      <c r="EC691" s="11">
        <v>1080000.0</v>
      </c>
      <c r="ED691" s="11">
        <v>2020000.0</v>
      </c>
      <c r="EE691" s="14">
        <v>0.203</v>
      </c>
      <c r="EF691" s="14">
        <v>0.289</v>
      </c>
      <c r="EG691" s="14">
        <v>-0.194</v>
      </c>
      <c r="EH691" s="14">
        <v>-0.125</v>
      </c>
    </row>
    <row r="692">
      <c r="A692" s="9">
        <f t="shared" si="2"/>
        <v>690</v>
      </c>
      <c r="B692" s="10" t="s">
        <v>827</v>
      </c>
      <c r="C692" s="11">
        <v>3650000.0</v>
      </c>
      <c r="D692" s="11">
        <v>3410000.0</v>
      </c>
      <c r="E692" s="11">
        <v>3670000.0</v>
      </c>
      <c r="F692" s="11">
        <v>3680000.0</v>
      </c>
      <c r="G692" s="11">
        <v>3120000.0</v>
      </c>
      <c r="H692" s="11">
        <v>3570000.0</v>
      </c>
      <c r="I692" s="11">
        <v>3530000.0</v>
      </c>
      <c r="J692" s="11">
        <v>256630.0</v>
      </c>
      <c r="K692" s="11">
        <v>206190.0</v>
      </c>
      <c r="L692" s="11">
        <v>149910.0</v>
      </c>
      <c r="M692" s="11">
        <v>265360.0</v>
      </c>
      <c r="N692" s="11">
        <v>245770.0</v>
      </c>
      <c r="O692" s="11">
        <v>104210.0</v>
      </c>
      <c r="P692" s="11">
        <v>84580.0</v>
      </c>
      <c r="Q692" s="11">
        <v>75640.0</v>
      </c>
      <c r="R692" s="11">
        <v>142100.0</v>
      </c>
      <c r="S692" s="11">
        <v>128740.0</v>
      </c>
      <c r="T692" s="12"/>
      <c r="U692" s="12"/>
      <c r="V692" s="12"/>
      <c r="W692" s="12"/>
      <c r="X692" s="12"/>
      <c r="Y692" s="12"/>
      <c r="Z692" s="11">
        <v>124920.0</v>
      </c>
      <c r="AA692" s="11">
        <v>-1600.0</v>
      </c>
      <c r="AB692" s="12"/>
      <c r="AC692" s="12"/>
      <c r="AD692" s="11">
        <v>143870.0</v>
      </c>
      <c r="AE692" s="11">
        <v>116730.0</v>
      </c>
      <c r="AF692" s="11">
        <v>66930.0</v>
      </c>
      <c r="AG692" s="11">
        <v>121420.0</v>
      </c>
      <c r="AH692" s="11">
        <v>111580.0</v>
      </c>
      <c r="AI692" s="11">
        <v>269310.0</v>
      </c>
      <c r="AJ692" s="11">
        <v>205530.0</v>
      </c>
      <c r="AK692" s="11">
        <v>136440.0</v>
      </c>
      <c r="AL692" s="11">
        <v>167970.0</v>
      </c>
      <c r="AM692" s="11">
        <v>154070.0</v>
      </c>
      <c r="AN692" s="11">
        <v>107170.0</v>
      </c>
      <c r="AO692" s="11">
        <v>87660.0</v>
      </c>
      <c r="AP692" s="11">
        <v>120010.0</v>
      </c>
      <c r="AQ692" s="11">
        <v>74810.0</v>
      </c>
      <c r="AR692" s="11">
        <v>70950.0</v>
      </c>
      <c r="AS692" s="11">
        <v>254510.0</v>
      </c>
      <c r="AT692" s="11">
        <v>210840.0</v>
      </c>
      <c r="AU692" s="11">
        <v>125220.0</v>
      </c>
      <c r="AV692" s="11">
        <v>102470.0</v>
      </c>
      <c r="AW692" s="11">
        <v>170860.0</v>
      </c>
      <c r="AX692" s="11">
        <v>-94850.0</v>
      </c>
      <c r="AY692" s="11">
        <v>-199790.0</v>
      </c>
      <c r="AZ692" s="11">
        <v>-74540.0</v>
      </c>
      <c r="BA692" s="11">
        <v>-107410.0</v>
      </c>
      <c r="BB692" s="11">
        <v>-83040.0</v>
      </c>
      <c r="BC692" s="12"/>
      <c r="BD692" s="12"/>
      <c r="BE692" s="12"/>
      <c r="BF692" s="12"/>
      <c r="BG692" s="12"/>
      <c r="BH692" s="11">
        <v>168730.0</v>
      </c>
      <c r="BI692" s="11">
        <v>61440.0</v>
      </c>
      <c r="BJ692" s="11">
        <v>28560.0</v>
      </c>
      <c r="BK692" s="11">
        <v>127400.0</v>
      </c>
      <c r="BL692" s="11">
        <v>207750.0</v>
      </c>
      <c r="BM692" s="11">
        <v>446780.0</v>
      </c>
      <c r="BN692" s="11">
        <v>499110.0</v>
      </c>
      <c r="BO692" s="11">
        <v>430380.0</v>
      </c>
      <c r="BP692" s="11">
        <v>477940.0</v>
      </c>
      <c r="BQ692" s="11">
        <v>390330.0</v>
      </c>
      <c r="BR692" s="12"/>
      <c r="BS692" s="12"/>
      <c r="BT692" s="12"/>
      <c r="BU692" s="12"/>
      <c r="BV692" s="12"/>
      <c r="BW692" s="11">
        <v>640220.0</v>
      </c>
      <c r="BX692" s="11">
        <v>588690.0</v>
      </c>
      <c r="BY692" s="11">
        <v>656060.0</v>
      </c>
      <c r="BZ692" s="11">
        <v>622290.0</v>
      </c>
      <c r="CA692" s="11">
        <v>624610.0</v>
      </c>
      <c r="CB692" s="11">
        <v>704580.0</v>
      </c>
      <c r="CC692" s="11">
        <v>681860.0</v>
      </c>
      <c r="CD692" s="11">
        <v>561210.0</v>
      </c>
      <c r="CE692" s="11">
        <v>438590.0</v>
      </c>
      <c r="CF692" s="11">
        <v>374850.0</v>
      </c>
      <c r="CG692" s="11">
        <v>484460.0</v>
      </c>
      <c r="CH692" s="11">
        <v>483580.0</v>
      </c>
      <c r="CI692" s="11">
        <v>319270.0</v>
      </c>
      <c r="CJ692" s="11">
        <v>262380.0</v>
      </c>
      <c r="CK692" s="11">
        <v>262590.0</v>
      </c>
      <c r="CL692" s="11">
        <v>1990000.0</v>
      </c>
      <c r="CM692" s="11">
        <v>1920000.0</v>
      </c>
      <c r="CN692" s="11">
        <v>1670000.0</v>
      </c>
      <c r="CO692" s="11">
        <v>1360000.0</v>
      </c>
      <c r="CP692" s="11">
        <v>1300000.0</v>
      </c>
      <c r="CQ692" s="11">
        <v>257250.0</v>
      </c>
      <c r="CR692" s="11">
        <v>272860.0</v>
      </c>
      <c r="CS692" s="11">
        <v>238230.0</v>
      </c>
      <c r="CT692" s="11">
        <v>266560.0</v>
      </c>
      <c r="CU692" s="11">
        <v>230430.0</v>
      </c>
      <c r="CV692" s="11">
        <v>507360.0</v>
      </c>
      <c r="CW692" s="11">
        <v>8570.0</v>
      </c>
      <c r="CX692" s="12"/>
      <c r="CY692" s="12"/>
      <c r="CZ692" s="12"/>
      <c r="DA692" s="12"/>
      <c r="DB692" s="11">
        <v>507360.0</v>
      </c>
      <c r="DC692" s="11">
        <v>526760.0</v>
      </c>
      <c r="DD692" s="11">
        <v>519540.0</v>
      </c>
      <c r="DE692" s="11">
        <v>417720.0</v>
      </c>
      <c r="DF692" s="11">
        <v>916300.0</v>
      </c>
      <c r="DG692" s="11">
        <v>944060.0</v>
      </c>
      <c r="DH692" s="11">
        <v>901070.0</v>
      </c>
      <c r="DI692" s="11">
        <v>732080.0</v>
      </c>
      <c r="DJ692" s="11">
        <v>653310.0</v>
      </c>
      <c r="DK692" s="11">
        <v>22600.0</v>
      </c>
      <c r="DL692" s="11">
        <v>19240.0</v>
      </c>
      <c r="DM692" s="11">
        <v>20140.0</v>
      </c>
      <c r="DN692" s="11">
        <v>20880.0</v>
      </c>
      <c r="DO692" s="11">
        <v>21110.0</v>
      </c>
      <c r="DP692" s="11">
        <v>217270.0</v>
      </c>
      <c r="DQ692" s="11">
        <v>233810.0</v>
      </c>
      <c r="DR692" s="11">
        <v>222500.0</v>
      </c>
      <c r="DS692" s="11">
        <v>126110.0</v>
      </c>
      <c r="DT692" s="11">
        <v>114190.0</v>
      </c>
      <c r="DU692" s="13"/>
      <c r="DV692" s="12"/>
      <c r="DW692" s="12"/>
      <c r="DX692" s="12"/>
      <c r="DY692" s="12"/>
      <c r="DZ692" s="11">
        <v>1080000.0</v>
      </c>
      <c r="EA692" s="11">
        <v>980830.0</v>
      </c>
      <c r="EB692" s="11">
        <v>769870.0</v>
      </c>
      <c r="EC692" s="11">
        <v>628180.0</v>
      </c>
      <c r="ED692" s="11">
        <v>647840.0</v>
      </c>
      <c r="EE692" s="14">
        <v>0.047</v>
      </c>
      <c r="EF692" s="14">
        <v>0.107</v>
      </c>
      <c r="EG692" s="14">
        <v>0.696</v>
      </c>
      <c r="EH692" s="14">
        <v>0.147</v>
      </c>
    </row>
    <row r="693">
      <c r="A693" s="9">
        <f t="shared" si="2"/>
        <v>691</v>
      </c>
      <c r="B693" s="25" t="s">
        <v>828</v>
      </c>
      <c r="C693" s="15">
        <v>6470000.0</v>
      </c>
      <c r="D693" s="15">
        <v>5680000.0</v>
      </c>
      <c r="E693" s="15">
        <v>6800000.0</v>
      </c>
      <c r="F693" s="15">
        <v>7600000.0</v>
      </c>
      <c r="G693" s="15">
        <v>8360000.0</v>
      </c>
      <c r="H693" s="15">
        <v>7520000.0</v>
      </c>
      <c r="I693" s="15">
        <v>1.03E7</v>
      </c>
      <c r="J693" s="15">
        <v>1380000.0</v>
      </c>
      <c r="K693" s="15">
        <v>1760000.0</v>
      </c>
      <c r="L693" s="15">
        <v>1810000.0</v>
      </c>
      <c r="M693" s="15">
        <v>1530000.0</v>
      </c>
      <c r="N693" s="15">
        <v>1850000.0</v>
      </c>
      <c r="O693" s="15">
        <v>923000.0</v>
      </c>
      <c r="P693" s="15">
        <v>934000.0</v>
      </c>
      <c r="Q693" s="15">
        <v>936000.0</v>
      </c>
      <c r="R693" s="15">
        <v>905000.0</v>
      </c>
      <c r="S693" s="15">
        <v>1140000.0</v>
      </c>
      <c r="T693" s="15">
        <v>137000.0</v>
      </c>
      <c r="U693" s="15">
        <v>145000.0</v>
      </c>
      <c r="V693" s="15">
        <v>138000.0</v>
      </c>
      <c r="W693" s="15">
        <v>137000.0</v>
      </c>
      <c r="X693" s="15">
        <v>160000.0</v>
      </c>
      <c r="Y693" s="12"/>
      <c r="Z693" s="15">
        <v>-60000.0</v>
      </c>
      <c r="AA693" s="15">
        <v>-102000.0</v>
      </c>
      <c r="AB693" s="15">
        <v>-50000.0</v>
      </c>
      <c r="AC693" s="15">
        <v>374000.0</v>
      </c>
      <c r="AD693" s="15">
        <v>391000.0</v>
      </c>
      <c r="AE693" s="15">
        <v>734000.0</v>
      </c>
      <c r="AF693" s="15">
        <v>647000.0</v>
      </c>
      <c r="AG693" s="15">
        <v>474000.0</v>
      </c>
      <c r="AH693" s="15">
        <v>176000.0</v>
      </c>
      <c r="AI693" s="15">
        <v>784000.0</v>
      </c>
      <c r="AJ693" s="15">
        <v>1090000.0</v>
      </c>
      <c r="AK693" s="15">
        <v>1190000.0</v>
      </c>
      <c r="AL693" s="15">
        <v>939000.0</v>
      </c>
      <c r="AM693" s="15">
        <v>1110000.0</v>
      </c>
      <c r="AN693" s="15">
        <v>393000.0</v>
      </c>
      <c r="AO693" s="15">
        <v>376000.0</v>
      </c>
      <c r="AP693" s="15">
        <v>478000.0</v>
      </c>
      <c r="AQ693" s="15">
        <v>334000.0</v>
      </c>
      <c r="AR693" s="15">
        <v>97000.0</v>
      </c>
      <c r="AS693" s="15">
        <v>897000.0</v>
      </c>
      <c r="AT693" s="15">
        <v>1210000.0</v>
      </c>
      <c r="AU693" s="15">
        <v>1220000.0</v>
      </c>
      <c r="AV693" s="15">
        <v>1090000.0</v>
      </c>
      <c r="AW693" s="15">
        <v>575000.0</v>
      </c>
      <c r="AX693" s="15">
        <v>-274000.0</v>
      </c>
      <c r="AY693" s="15">
        <v>-251000.0</v>
      </c>
      <c r="AZ693" s="15">
        <v>-282000.0</v>
      </c>
      <c r="BA693" s="15">
        <v>-318000.0</v>
      </c>
      <c r="BB693" s="15">
        <v>-663000.0</v>
      </c>
      <c r="BC693" s="15">
        <v>-150000.0</v>
      </c>
      <c r="BD693" s="15">
        <v>-156000.0</v>
      </c>
      <c r="BE693" s="15">
        <v>-120000.0</v>
      </c>
      <c r="BF693" s="15">
        <v>-120000.0</v>
      </c>
      <c r="BG693" s="15">
        <v>-121000.0</v>
      </c>
      <c r="BH693" s="15">
        <v>525000.0</v>
      </c>
      <c r="BI693" s="15">
        <v>340000.0</v>
      </c>
      <c r="BJ693" s="15">
        <v>481000.0</v>
      </c>
      <c r="BK693" s="15">
        <v>396000.0</v>
      </c>
      <c r="BL693" s="15">
        <v>269000.0</v>
      </c>
      <c r="BM693" s="15">
        <v>953000.0</v>
      </c>
      <c r="BN693" s="15">
        <v>1180000.0</v>
      </c>
      <c r="BO693" s="15">
        <v>1280000.0</v>
      </c>
      <c r="BP693" s="15">
        <v>1180000.0</v>
      </c>
      <c r="BQ693" s="15">
        <v>1450000.0</v>
      </c>
      <c r="BR693" s="15">
        <v>914000.0</v>
      </c>
      <c r="BS693" s="15">
        <v>1000000.0</v>
      </c>
      <c r="BT693" s="15">
        <v>1070000.0</v>
      </c>
      <c r="BU693" s="15">
        <v>918000.0</v>
      </c>
      <c r="BV693" s="15">
        <v>1690000.0</v>
      </c>
      <c r="BW693" s="15">
        <v>3760000.0</v>
      </c>
      <c r="BX693" s="15">
        <v>2960000.0</v>
      </c>
      <c r="BY693" s="15">
        <v>5980000.0</v>
      </c>
      <c r="BZ693" s="15">
        <v>3560000.0</v>
      </c>
      <c r="CA693" s="15">
        <v>3830000.0</v>
      </c>
      <c r="CB693" s="15">
        <v>2780000.0</v>
      </c>
      <c r="CC693" s="15">
        <v>2350000.0</v>
      </c>
      <c r="CD693" s="15">
        <v>3100000.0</v>
      </c>
      <c r="CE693" s="15">
        <v>3030000.0</v>
      </c>
      <c r="CF693" s="15">
        <v>4450000.0</v>
      </c>
      <c r="CG693" s="15">
        <v>276000.0</v>
      </c>
      <c r="CH693" s="15">
        <v>275000.0</v>
      </c>
      <c r="CI693" s="15">
        <v>140000.0</v>
      </c>
      <c r="CJ693" s="15">
        <v>121000.0</v>
      </c>
      <c r="CK693" s="15">
        <v>116000.0</v>
      </c>
      <c r="CL693" s="15">
        <v>8320000.0</v>
      </c>
      <c r="CM693" s="15">
        <v>7950000.0</v>
      </c>
      <c r="CN693" s="15">
        <v>1.024E7</v>
      </c>
      <c r="CO693" s="15">
        <v>9190000.0</v>
      </c>
      <c r="CP693" s="15">
        <v>9820000.0</v>
      </c>
      <c r="CQ693" s="15">
        <v>822000.0</v>
      </c>
      <c r="CR693" s="15">
        <v>793000.0</v>
      </c>
      <c r="CS693" s="15">
        <v>964000.0</v>
      </c>
      <c r="CT693" s="15">
        <v>790000.0</v>
      </c>
      <c r="CU693" s="15">
        <v>1060000.0</v>
      </c>
      <c r="CV693" s="15">
        <v>2010000.0</v>
      </c>
      <c r="CW693" s="15">
        <v>42000.0</v>
      </c>
      <c r="CX693" s="13"/>
      <c r="CY693" s="13"/>
      <c r="CZ693" s="13"/>
      <c r="DA693" s="12"/>
      <c r="DB693" s="15">
        <v>2010000.0</v>
      </c>
      <c r="DC693" s="15">
        <v>1610000.0</v>
      </c>
      <c r="DD693" s="15">
        <v>3270000.0</v>
      </c>
      <c r="DE693" s="15">
        <v>1780000.0</v>
      </c>
      <c r="DF693" s="15">
        <v>5500000.0</v>
      </c>
      <c r="DG693" s="15">
        <v>5200000.0</v>
      </c>
      <c r="DH693" s="15">
        <v>6870000.0</v>
      </c>
      <c r="DI693" s="15">
        <v>7720000.0</v>
      </c>
      <c r="DJ693" s="15">
        <v>8190000.0</v>
      </c>
      <c r="DK693" s="15">
        <v>535000.0</v>
      </c>
      <c r="DL693" s="15">
        <v>526000.0</v>
      </c>
      <c r="DM693" s="15">
        <v>266000.0</v>
      </c>
      <c r="DN693" s="15">
        <v>266000.0</v>
      </c>
      <c r="DO693" s="15">
        <v>365000.0</v>
      </c>
      <c r="DP693" s="15">
        <v>2560000.0</v>
      </c>
      <c r="DQ693" s="15">
        <v>2220000.0</v>
      </c>
      <c r="DR693" s="15">
        <v>2260000.0</v>
      </c>
      <c r="DS693" s="15">
        <v>4120000.0</v>
      </c>
      <c r="DT693" s="15">
        <v>4630000.0</v>
      </c>
      <c r="DU693" s="13"/>
      <c r="DV693" s="12"/>
      <c r="DW693" s="12"/>
      <c r="DX693" s="13"/>
      <c r="DY693" s="13"/>
      <c r="DZ693" s="15">
        <v>2690000.0</v>
      </c>
      <c r="EA693" s="15">
        <v>2520000.0</v>
      </c>
      <c r="EB693" s="15">
        <v>2620000.0</v>
      </c>
      <c r="EC693" s="15">
        <v>1290000.0</v>
      </c>
      <c r="ED693" s="15">
        <v>1440000.0</v>
      </c>
      <c r="EE693" s="23"/>
      <c r="EF693" s="23"/>
      <c r="EG693" s="17">
        <v>0.526</v>
      </c>
      <c r="EH693" s="17">
        <v>0.111</v>
      </c>
    </row>
    <row r="694">
      <c r="A694" s="9">
        <f t="shared" si="2"/>
        <v>692</v>
      </c>
      <c r="B694" s="10" t="s">
        <v>829</v>
      </c>
      <c r="C694" s="11">
        <v>777230.0</v>
      </c>
      <c r="D694" s="11">
        <v>739000.0</v>
      </c>
      <c r="E694" s="11">
        <v>802290.0</v>
      </c>
      <c r="F694" s="11">
        <v>817730.0</v>
      </c>
      <c r="G694" s="11">
        <v>820030.0</v>
      </c>
      <c r="H694" s="11">
        <v>821800.0</v>
      </c>
      <c r="I694" s="11">
        <v>805160.0</v>
      </c>
      <c r="J694" s="11">
        <v>413890.0</v>
      </c>
      <c r="K694" s="11">
        <v>446540.0</v>
      </c>
      <c r="L694" s="11">
        <v>445080.0</v>
      </c>
      <c r="M694" s="11">
        <v>443570.0</v>
      </c>
      <c r="N694" s="11">
        <v>431060.0</v>
      </c>
      <c r="O694" s="11">
        <v>384540.0</v>
      </c>
      <c r="P694" s="11">
        <v>404920.0</v>
      </c>
      <c r="Q694" s="11">
        <v>403110.0</v>
      </c>
      <c r="R694" s="11">
        <v>399620.0</v>
      </c>
      <c r="S694" s="11">
        <v>385120.0</v>
      </c>
      <c r="T694" s="12"/>
      <c r="U694" s="12"/>
      <c r="V694" s="12"/>
      <c r="W694" s="12"/>
      <c r="X694" s="12"/>
      <c r="Y694" s="11">
        <v>27020.0</v>
      </c>
      <c r="Z694" s="12"/>
      <c r="AA694" s="12"/>
      <c r="AB694" s="12"/>
      <c r="AC694" s="11">
        <v>46750.0</v>
      </c>
      <c r="AD694" s="11">
        <v>28720.0</v>
      </c>
      <c r="AE694" s="11">
        <v>40410.0</v>
      </c>
      <c r="AF694" s="11">
        <v>43220.0</v>
      </c>
      <c r="AG694" s="11">
        <v>45820.0</v>
      </c>
      <c r="AH694" s="11">
        <v>45280.0</v>
      </c>
      <c r="AI694" s="11">
        <v>50030.0</v>
      </c>
      <c r="AJ694" s="11">
        <v>71420.0</v>
      </c>
      <c r="AK694" s="11">
        <v>72490.0</v>
      </c>
      <c r="AL694" s="11">
        <v>72990.0</v>
      </c>
      <c r="AM694" s="11">
        <v>71700.0</v>
      </c>
      <c r="AN694" s="11">
        <v>21870.0</v>
      </c>
      <c r="AO694" s="11">
        <v>30310.0</v>
      </c>
      <c r="AP694" s="11">
        <v>21080.0</v>
      </c>
      <c r="AQ694" s="11">
        <v>28360.0</v>
      </c>
      <c r="AR694" s="11">
        <v>27790.0</v>
      </c>
      <c r="AS694" s="11">
        <v>63420.0</v>
      </c>
      <c r="AT694" s="11">
        <v>70390.0</v>
      </c>
      <c r="AU694" s="11">
        <v>52460.0</v>
      </c>
      <c r="AV694" s="11">
        <v>60050.0</v>
      </c>
      <c r="AW694" s="11">
        <v>52230.0</v>
      </c>
      <c r="AX694" s="11">
        <v>-16840.0</v>
      </c>
      <c r="AY694" s="11">
        <v>-21470.0</v>
      </c>
      <c r="AZ694" s="11">
        <v>-24470.0</v>
      </c>
      <c r="BA694" s="11">
        <v>-29840.0</v>
      </c>
      <c r="BB694" s="11">
        <v>-27140.0</v>
      </c>
      <c r="BC694" s="11">
        <v>-15060.0</v>
      </c>
      <c r="BD694" s="11">
        <v>-35460.0</v>
      </c>
      <c r="BE694" s="11">
        <v>-11390.0</v>
      </c>
      <c r="BF694" s="11">
        <v>-30410.0</v>
      </c>
      <c r="BG694" s="11">
        <v>-8060.0</v>
      </c>
      <c r="BH694" s="11">
        <v>82400.0</v>
      </c>
      <c r="BI694" s="11">
        <v>79810.0</v>
      </c>
      <c r="BJ694" s="11">
        <v>87610.0</v>
      </c>
      <c r="BK694" s="11">
        <v>71520.0</v>
      </c>
      <c r="BL694" s="11">
        <v>91390.0</v>
      </c>
      <c r="BM694" s="11">
        <v>1530.0</v>
      </c>
      <c r="BN694" s="11">
        <v>1830.0</v>
      </c>
      <c r="BO694" s="11">
        <v>2410.0</v>
      </c>
      <c r="BP694" s="11">
        <v>4240.0</v>
      </c>
      <c r="BQ694" s="11">
        <v>5950.0</v>
      </c>
      <c r="BR694" s="11">
        <v>104820.0</v>
      </c>
      <c r="BS694" s="11">
        <v>105840.0</v>
      </c>
      <c r="BT694" s="11">
        <v>103440.0</v>
      </c>
      <c r="BU694" s="11">
        <v>102020.0</v>
      </c>
      <c r="BV694" s="11">
        <v>108900.0</v>
      </c>
      <c r="BW694" s="11">
        <v>204340.0</v>
      </c>
      <c r="BX694" s="11">
        <v>201850.0</v>
      </c>
      <c r="BY694" s="11">
        <v>210690.0</v>
      </c>
      <c r="BZ694" s="11">
        <v>194120.0</v>
      </c>
      <c r="CA694" s="11">
        <v>218710.0</v>
      </c>
      <c r="CB694" s="11">
        <v>332010.0</v>
      </c>
      <c r="CC694" s="11">
        <v>216850.0</v>
      </c>
      <c r="CD694" s="11">
        <v>229220.0</v>
      </c>
      <c r="CE694" s="11">
        <v>233670.0</v>
      </c>
      <c r="CF694" s="11">
        <v>229280.0</v>
      </c>
      <c r="CG694" s="12"/>
      <c r="CH694" s="12"/>
      <c r="CI694" s="12"/>
      <c r="CJ694" s="12"/>
      <c r="CK694" s="12"/>
      <c r="CL694" s="11">
        <v>612630.0</v>
      </c>
      <c r="CM694" s="11">
        <v>448380.0</v>
      </c>
      <c r="CN694" s="11">
        <v>468900.0</v>
      </c>
      <c r="CO694" s="11">
        <v>465930.0</v>
      </c>
      <c r="CP694" s="11">
        <v>481430.0</v>
      </c>
      <c r="CQ694" s="11">
        <v>27830.0</v>
      </c>
      <c r="CR694" s="11">
        <v>19840.0</v>
      </c>
      <c r="CS694" s="11">
        <v>20500.0</v>
      </c>
      <c r="CT694" s="11">
        <v>25660.0</v>
      </c>
      <c r="CU694" s="11">
        <v>27820.0</v>
      </c>
      <c r="CV694" s="11">
        <v>127020.0</v>
      </c>
      <c r="CW694" s="11">
        <v>29410.0</v>
      </c>
      <c r="CX694" s="12"/>
      <c r="CY694" s="12"/>
      <c r="CZ694" s="12"/>
      <c r="DA694" s="12"/>
      <c r="DB694" s="11">
        <v>127020.0</v>
      </c>
      <c r="DC694" s="11">
        <v>88230.0</v>
      </c>
      <c r="DD694" s="11">
        <v>89680.0</v>
      </c>
      <c r="DE694" s="11">
        <v>95950.0</v>
      </c>
      <c r="DF694" s="11">
        <v>352120.0</v>
      </c>
      <c r="DG694" s="11">
        <v>173750.0</v>
      </c>
      <c r="DH694" s="11">
        <v>174760.0</v>
      </c>
      <c r="DI694" s="11">
        <v>184050.0</v>
      </c>
      <c r="DJ694" s="11">
        <v>179700.0</v>
      </c>
      <c r="DK694" s="12"/>
      <c r="DL694" s="12"/>
      <c r="DM694" s="12"/>
      <c r="DN694" s="12"/>
      <c r="DO694" s="12"/>
      <c r="DP694" s="11">
        <v>149590.0</v>
      </c>
      <c r="DQ694" s="11">
        <v>46790.0</v>
      </c>
      <c r="DR694" s="11">
        <v>50800.0</v>
      </c>
      <c r="DS694" s="11">
        <v>52010.0</v>
      </c>
      <c r="DT694" s="11">
        <v>50070.0</v>
      </c>
      <c r="DU694" s="13"/>
      <c r="DV694" s="12"/>
      <c r="DW694" s="12"/>
      <c r="DX694" s="12"/>
      <c r="DY694" s="12"/>
      <c r="DZ694" s="11">
        <v>260500.0</v>
      </c>
      <c r="EA694" s="11">
        <v>274630.0</v>
      </c>
      <c r="EB694" s="11">
        <v>294140.0</v>
      </c>
      <c r="EC694" s="11">
        <v>281870.0</v>
      </c>
      <c r="ED694" s="11">
        <v>301740.0</v>
      </c>
      <c r="EE694" s="14">
        <v>0.026</v>
      </c>
      <c r="EF694" s="14">
        <v>0.061</v>
      </c>
      <c r="EG694" s="14">
        <v>-0.061</v>
      </c>
      <c r="EH694" s="14">
        <v>0.29</v>
      </c>
    </row>
    <row r="695">
      <c r="A695" s="9">
        <f t="shared" si="2"/>
        <v>693</v>
      </c>
      <c r="B695" s="25" t="s">
        <v>830</v>
      </c>
      <c r="C695" s="15"/>
      <c r="D695" s="15">
        <v>575720.0</v>
      </c>
      <c r="E695" s="15">
        <v>540200.0</v>
      </c>
      <c r="F695" s="15">
        <v>556330.0</v>
      </c>
      <c r="G695" s="15">
        <v>504170.0</v>
      </c>
      <c r="H695" s="15">
        <v>483590.0</v>
      </c>
      <c r="I695" s="15">
        <v>413980.0</v>
      </c>
      <c r="J695" s="15">
        <v>101520.0</v>
      </c>
      <c r="K695" s="15">
        <v>95940.0</v>
      </c>
      <c r="L695" s="15">
        <v>86760.0</v>
      </c>
      <c r="M695" s="15">
        <v>93270.0</v>
      </c>
      <c r="N695" s="15">
        <v>80260.0</v>
      </c>
      <c r="O695" s="15">
        <v>59250.0</v>
      </c>
      <c r="P695" s="15">
        <v>59120.0</v>
      </c>
      <c r="Q695" s="15">
        <v>59400.0</v>
      </c>
      <c r="R695" s="15">
        <v>54580.0</v>
      </c>
      <c r="S695" s="15">
        <v>45790.0</v>
      </c>
      <c r="T695" s="15"/>
      <c r="U695" s="15"/>
      <c r="V695" s="15"/>
      <c r="W695" s="15"/>
      <c r="X695" s="15"/>
      <c r="Y695" s="15">
        <v>41670.0</v>
      </c>
      <c r="Z695" s="12"/>
      <c r="AA695" s="15">
        <v>-11760.0</v>
      </c>
      <c r="AB695" s="15"/>
      <c r="AC695" s="15">
        <v>31170.0</v>
      </c>
      <c r="AD695" s="15">
        <v>38960.0</v>
      </c>
      <c r="AE695" s="15">
        <v>33530.0</v>
      </c>
      <c r="AF695" s="15">
        <v>-15080.0</v>
      </c>
      <c r="AG695" s="15">
        <v>36050.0</v>
      </c>
      <c r="AH695" s="15">
        <v>30370.0</v>
      </c>
      <c r="AI695" s="15">
        <v>63860.0</v>
      </c>
      <c r="AJ695" s="15">
        <v>58570.0</v>
      </c>
      <c r="AK695" s="15">
        <v>49750.0</v>
      </c>
      <c r="AL695" s="15">
        <v>59570.0</v>
      </c>
      <c r="AM695" s="15">
        <v>49980.0</v>
      </c>
      <c r="AN695" s="15">
        <v>28370.0</v>
      </c>
      <c r="AO695" s="15">
        <v>24430.0</v>
      </c>
      <c r="AP695" s="15">
        <v>-9180.0</v>
      </c>
      <c r="AQ695" s="15">
        <v>22560.0</v>
      </c>
      <c r="AR695" s="15">
        <v>18140.0</v>
      </c>
      <c r="AS695" s="15">
        <v>60930.0</v>
      </c>
      <c r="AT695" s="15">
        <v>47990.0</v>
      </c>
      <c r="AU695" s="15">
        <v>27350.0</v>
      </c>
      <c r="AV695" s="15">
        <v>44860.0</v>
      </c>
      <c r="AW695" s="15">
        <v>36330.0</v>
      </c>
      <c r="AX695" s="15">
        <v>-24550.0</v>
      </c>
      <c r="AY695" s="15">
        <v>-12620.0</v>
      </c>
      <c r="AZ695" s="15">
        <v>-19700.0</v>
      </c>
      <c r="BA695" s="15">
        <v>-21620.0</v>
      </c>
      <c r="BB695" s="15">
        <v>-24180.0</v>
      </c>
      <c r="BC695" s="15">
        <v>-9830.0</v>
      </c>
      <c r="BD695" s="15">
        <v>-11980.0</v>
      </c>
      <c r="BE695" s="15">
        <v>-9160.0</v>
      </c>
      <c r="BF695" s="15">
        <v>-8680.0</v>
      </c>
      <c r="BG695" s="15">
        <v>-8260.0</v>
      </c>
      <c r="BH695" s="15">
        <v>4280.0</v>
      </c>
      <c r="BI695" s="15">
        <v>9200.0</v>
      </c>
      <c r="BJ695" s="15">
        <v>4990.0</v>
      </c>
      <c r="BK695" s="15">
        <v>6860.0</v>
      </c>
      <c r="BL695" s="15">
        <v>20010.0</v>
      </c>
      <c r="BM695" s="15">
        <v>67390.0</v>
      </c>
      <c r="BN695" s="15">
        <v>64490.0</v>
      </c>
      <c r="BO695" s="15">
        <v>66150.0</v>
      </c>
      <c r="BP695" s="15">
        <v>58570.0</v>
      </c>
      <c r="BQ695" s="15">
        <v>65330.0</v>
      </c>
      <c r="BR695" s="15">
        <v>54440.0</v>
      </c>
      <c r="BS695" s="15">
        <v>60480.0</v>
      </c>
      <c r="BT695" s="15">
        <v>59740.0</v>
      </c>
      <c r="BU695" s="15">
        <v>51250.0</v>
      </c>
      <c r="BV695" s="15">
        <v>47720.0</v>
      </c>
      <c r="BW695" s="15">
        <v>131030.0</v>
      </c>
      <c r="BX695" s="15">
        <v>139410.0</v>
      </c>
      <c r="BY695" s="15">
        <v>134980.0</v>
      </c>
      <c r="BZ695" s="15">
        <v>120920.0</v>
      </c>
      <c r="CA695" s="15">
        <v>137290.0</v>
      </c>
      <c r="CB695" s="15">
        <v>135430.0</v>
      </c>
      <c r="CC695" s="15">
        <v>118630.0</v>
      </c>
      <c r="CD695" s="15">
        <v>123830.0</v>
      </c>
      <c r="CE695" s="15">
        <v>121540.0</v>
      </c>
      <c r="CF695" s="15">
        <v>116320.0</v>
      </c>
      <c r="CG695" s="15">
        <v>58440.0</v>
      </c>
      <c r="CH695" s="15">
        <v>58440.0</v>
      </c>
      <c r="CI695" s="15">
        <v>58440.0</v>
      </c>
      <c r="CJ695" s="15">
        <v>97560.0</v>
      </c>
      <c r="CK695" s="15">
        <v>97720.0</v>
      </c>
      <c r="CL695" s="15">
        <v>396190.0</v>
      </c>
      <c r="CM695" s="15">
        <v>389800.0</v>
      </c>
      <c r="CN695" s="15">
        <v>395070.0</v>
      </c>
      <c r="CO695" s="15">
        <v>423540.0</v>
      </c>
      <c r="CP695" s="15">
        <v>441410.0</v>
      </c>
      <c r="CQ695" s="15">
        <v>34130.0</v>
      </c>
      <c r="CR695" s="15">
        <v>29310.0</v>
      </c>
      <c r="CS695" s="15">
        <v>33420.0</v>
      </c>
      <c r="CT695" s="15">
        <v>29760.0</v>
      </c>
      <c r="CU695" s="15">
        <v>30120.0</v>
      </c>
      <c r="CV695" s="15">
        <v>62220.0</v>
      </c>
      <c r="CW695" s="15">
        <v>1520.0</v>
      </c>
      <c r="CX695" s="15"/>
      <c r="CY695" s="15"/>
      <c r="CZ695" s="15"/>
      <c r="DA695" s="15"/>
      <c r="DB695" s="15">
        <v>62220.0</v>
      </c>
      <c r="DC695" s="15">
        <v>55400.0</v>
      </c>
      <c r="DD695" s="15">
        <v>60570.0</v>
      </c>
      <c r="DE695" s="15">
        <v>55670.0</v>
      </c>
      <c r="DF695" s="15">
        <v>162710.0</v>
      </c>
      <c r="DG695" s="15">
        <v>171940.0</v>
      </c>
      <c r="DH695" s="15">
        <v>192820.0</v>
      </c>
      <c r="DI695" s="15">
        <v>205710.0</v>
      </c>
      <c r="DJ695" s="15">
        <v>240430.0</v>
      </c>
      <c r="DK695" s="15"/>
      <c r="DL695" s="15">
        <v>400.0</v>
      </c>
      <c r="DM695" s="15"/>
      <c r="DN695" s="15"/>
      <c r="DO695" s="15"/>
      <c r="DP695" s="15">
        <v>1.272E7</v>
      </c>
      <c r="DQ695" s="15">
        <v>1.242E7</v>
      </c>
      <c r="DR695" s="15">
        <v>1.153E7</v>
      </c>
      <c r="DS695" s="15">
        <v>1.172E7</v>
      </c>
      <c r="DT695" s="15">
        <v>1.237E7</v>
      </c>
      <c r="DU695" s="13"/>
      <c r="DV695" s="15"/>
      <c r="DW695" s="15"/>
      <c r="DX695" s="13"/>
      <c r="DY695" s="13"/>
      <c r="DZ695" s="15">
        <v>233480.0</v>
      </c>
      <c r="EA695" s="15">
        <v>217860.0</v>
      </c>
      <c r="EB695" s="15">
        <v>202250.0</v>
      </c>
      <c r="EC695" s="15">
        <v>217830.0</v>
      </c>
      <c r="ED695" s="15">
        <v>200980.0</v>
      </c>
      <c r="EE695" s="23">
        <v>0.0</v>
      </c>
      <c r="EF695" s="23"/>
      <c r="EG695" s="23">
        <v>0.023</v>
      </c>
      <c r="EH695" s="23"/>
    </row>
    <row r="696">
      <c r="A696" s="9">
        <f t="shared" si="2"/>
        <v>694</v>
      </c>
      <c r="B696" s="10" t="s">
        <v>831</v>
      </c>
      <c r="C696" s="11">
        <v>1810000.0</v>
      </c>
      <c r="D696" s="11">
        <v>1710000.0</v>
      </c>
      <c r="E696" s="11">
        <v>2370000.0</v>
      </c>
      <c r="F696" s="11">
        <v>2190000.0</v>
      </c>
      <c r="G696" s="11">
        <v>1990000.0</v>
      </c>
      <c r="H696" s="11">
        <v>2040000.0</v>
      </c>
      <c r="I696" s="11">
        <v>1910000.0</v>
      </c>
      <c r="J696" s="11">
        <v>650500.0</v>
      </c>
      <c r="K696" s="11">
        <v>581700.0</v>
      </c>
      <c r="L696" s="11">
        <v>572000.0</v>
      </c>
      <c r="M696" s="11">
        <v>598400.0</v>
      </c>
      <c r="N696" s="11">
        <v>581400.0</v>
      </c>
      <c r="O696" s="11">
        <v>215200.0</v>
      </c>
      <c r="P696" s="11">
        <v>201900.0</v>
      </c>
      <c r="Q696" s="11">
        <v>218300.0</v>
      </c>
      <c r="R696" s="11">
        <v>204500.0</v>
      </c>
      <c r="S696" s="11">
        <v>200400.0</v>
      </c>
      <c r="T696" s="11">
        <v>56500.0</v>
      </c>
      <c r="U696" s="11">
        <v>55900.0</v>
      </c>
      <c r="V696" s="11">
        <v>49400.0</v>
      </c>
      <c r="W696" s="11">
        <v>46900.0</v>
      </c>
      <c r="X696" s="11">
        <v>44300.0</v>
      </c>
      <c r="Y696" s="12"/>
      <c r="Z696" s="11">
        <v>372100.0</v>
      </c>
      <c r="AA696" s="11">
        <v>359500.0</v>
      </c>
      <c r="AB696" s="11">
        <v>374100.0</v>
      </c>
      <c r="AC696" s="11">
        <v>362600.0</v>
      </c>
      <c r="AD696" s="11">
        <v>379700.0</v>
      </c>
      <c r="AE696" s="11">
        <v>333500.0</v>
      </c>
      <c r="AF696" s="11">
        <v>323200.0</v>
      </c>
      <c r="AG696" s="11">
        <v>337600.0</v>
      </c>
      <c r="AH696" s="11">
        <v>318200.0</v>
      </c>
      <c r="AI696" s="11">
        <v>576900.0</v>
      </c>
      <c r="AJ696" s="11">
        <v>502800.0</v>
      </c>
      <c r="AK696" s="11">
        <v>458200.0</v>
      </c>
      <c r="AL696" s="11">
        <v>487500.0</v>
      </c>
      <c r="AM696" s="11">
        <v>457700.0</v>
      </c>
      <c r="AN696" s="11">
        <v>306600.0</v>
      </c>
      <c r="AO696" s="11">
        <v>276600.0</v>
      </c>
      <c r="AP696" s="11">
        <v>284000.0</v>
      </c>
      <c r="AQ696" s="11">
        <v>249800.0</v>
      </c>
      <c r="AR696" s="11">
        <v>237200.0</v>
      </c>
      <c r="AS696" s="11">
        <v>491100.0</v>
      </c>
      <c r="AT696" s="11">
        <v>421400.0</v>
      </c>
      <c r="AU696" s="11">
        <v>428700.0</v>
      </c>
      <c r="AV696" s="11">
        <v>401400.0</v>
      </c>
      <c r="AW696" s="11">
        <v>301000.0</v>
      </c>
      <c r="AX696" s="11">
        <v>-204100.0</v>
      </c>
      <c r="AY696" s="11">
        <v>-184100.0</v>
      </c>
      <c r="AZ696" s="11">
        <v>-278100.0</v>
      </c>
      <c r="BA696" s="11">
        <v>-327900.0</v>
      </c>
      <c r="BB696" s="11">
        <v>-305300.0</v>
      </c>
      <c r="BC696" s="11">
        <v>-54200.0</v>
      </c>
      <c r="BD696" s="11">
        <v>-48400.0</v>
      </c>
      <c r="BE696" s="11">
        <v>-42600.0</v>
      </c>
      <c r="BF696" s="11">
        <v>-39800.0</v>
      </c>
      <c r="BG696" s="11">
        <v>-38300.0</v>
      </c>
      <c r="BH696" s="11">
        <v>64400.0</v>
      </c>
      <c r="BI696" s="11">
        <v>32700.0</v>
      </c>
      <c r="BJ696" s="11">
        <v>60100.0</v>
      </c>
      <c r="BK696" s="11">
        <v>35200.0</v>
      </c>
      <c r="BL696" s="11">
        <v>51800.0</v>
      </c>
      <c r="BM696" s="11">
        <v>280300.0</v>
      </c>
      <c r="BN696" s="11">
        <v>311400.0</v>
      </c>
      <c r="BO696" s="11">
        <v>248700.0</v>
      </c>
      <c r="BP696" s="11">
        <v>245600.0</v>
      </c>
      <c r="BQ696" s="11">
        <v>234000.0</v>
      </c>
      <c r="BR696" s="11">
        <v>333100.0</v>
      </c>
      <c r="BS696" s="11">
        <v>297800.0</v>
      </c>
      <c r="BT696" s="11">
        <v>314000.0</v>
      </c>
      <c r="BU696" s="11">
        <v>291000.0</v>
      </c>
      <c r="BV696" s="11">
        <v>307200.0</v>
      </c>
      <c r="BW696" s="11">
        <v>704900.0</v>
      </c>
      <c r="BX696" s="11">
        <v>675800.0</v>
      </c>
      <c r="BY696" s="11">
        <v>656700.0</v>
      </c>
      <c r="BZ696" s="11">
        <v>607000.0</v>
      </c>
      <c r="CA696" s="11">
        <v>633800.0</v>
      </c>
      <c r="CB696" s="11">
        <v>2010000.0</v>
      </c>
      <c r="CC696" s="11">
        <v>1880000.0</v>
      </c>
      <c r="CD696" s="11">
        <v>1870000.0</v>
      </c>
      <c r="CE696" s="11">
        <v>1630000.0</v>
      </c>
      <c r="CF696" s="11">
        <v>1430000.0</v>
      </c>
      <c r="CG696" s="11">
        <v>189800.0</v>
      </c>
      <c r="CH696" s="11">
        <v>107700.0</v>
      </c>
      <c r="CI696" s="11">
        <v>110100.0</v>
      </c>
      <c r="CJ696" s="11">
        <v>66600.0</v>
      </c>
      <c r="CK696" s="11">
        <v>53000.0</v>
      </c>
      <c r="CL696" s="11">
        <v>3130000.0</v>
      </c>
      <c r="CM696" s="11">
        <v>2820000.0</v>
      </c>
      <c r="CN696" s="11">
        <v>2780000.0</v>
      </c>
      <c r="CO696" s="11">
        <v>2400000.0</v>
      </c>
      <c r="CP696" s="11">
        <v>2190000.0</v>
      </c>
      <c r="CQ696" s="11">
        <v>157600.0</v>
      </c>
      <c r="CR696" s="11">
        <v>161900.0</v>
      </c>
      <c r="CS696" s="11">
        <v>144100.0</v>
      </c>
      <c r="CT696" s="11">
        <v>137300.0</v>
      </c>
      <c r="CU696" s="11">
        <v>148900.0</v>
      </c>
      <c r="CV696" s="11">
        <v>322600.0</v>
      </c>
      <c r="CW696" s="11">
        <v>12900.0</v>
      </c>
      <c r="CX696" s="11">
        <v>9200.0</v>
      </c>
      <c r="CY696" s="12"/>
      <c r="CZ696" s="12"/>
      <c r="DA696" s="12"/>
      <c r="DB696" s="11">
        <v>322600.0</v>
      </c>
      <c r="DC696" s="11">
        <v>326700.0</v>
      </c>
      <c r="DD696" s="11">
        <v>262100.0</v>
      </c>
      <c r="DE696" s="11">
        <v>271900.0</v>
      </c>
      <c r="DF696" s="11">
        <v>1680000.0</v>
      </c>
      <c r="DG696" s="11">
        <v>1500000.0</v>
      </c>
      <c r="DH696" s="11">
        <v>1290000.0</v>
      </c>
      <c r="DI696" s="11">
        <v>1160000.0</v>
      </c>
      <c r="DJ696" s="11">
        <v>1010000.0</v>
      </c>
      <c r="DK696" s="11">
        <v>50200.0</v>
      </c>
      <c r="DL696" s="11">
        <v>48700.0</v>
      </c>
      <c r="DM696" s="11">
        <v>47700.0</v>
      </c>
      <c r="DN696" s="11">
        <v>53100.0</v>
      </c>
      <c r="DO696" s="11">
        <v>30400.0</v>
      </c>
      <c r="DP696" s="11">
        <v>1100000.0</v>
      </c>
      <c r="DQ696" s="11">
        <v>978400.0</v>
      </c>
      <c r="DR696" s="11">
        <v>805600.0</v>
      </c>
      <c r="DS696" s="11">
        <v>684400.0</v>
      </c>
      <c r="DT696" s="11">
        <v>576500.0</v>
      </c>
      <c r="DU696" s="13"/>
      <c r="DV696" s="13"/>
      <c r="DW696" s="13"/>
      <c r="DX696" s="13"/>
      <c r="DY696" s="13"/>
      <c r="DZ696" s="11">
        <v>1450000.0</v>
      </c>
      <c r="EA696" s="11">
        <v>1320000.0</v>
      </c>
      <c r="EB696" s="11">
        <v>1500000.0</v>
      </c>
      <c r="EC696" s="11">
        <v>1240000.0</v>
      </c>
      <c r="ED696" s="11">
        <v>1180000.0</v>
      </c>
      <c r="EE696" s="14">
        <v>0.281</v>
      </c>
      <c r="EF696" s="14">
        <v>0.298</v>
      </c>
      <c r="EG696" s="14">
        <v>-0.086</v>
      </c>
      <c r="EH696" s="14">
        <v>0.004</v>
      </c>
    </row>
    <row r="697">
      <c r="A697" s="9">
        <f t="shared" si="2"/>
        <v>695</v>
      </c>
      <c r="B697" s="32" t="s">
        <v>832</v>
      </c>
      <c r="C697" s="11">
        <v>3270000.0</v>
      </c>
      <c r="D697" s="11">
        <v>2970000.0</v>
      </c>
      <c r="E697" s="11">
        <v>3290000.0</v>
      </c>
      <c r="F697" s="11">
        <v>3180000.0</v>
      </c>
      <c r="G697" s="11">
        <v>2890000.0</v>
      </c>
      <c r="H697" s="11">
        <v>2570000.0</v>
      </c>
      <c r="I697" s="11">
        <v>2580000.0</v>
      </c>
      <c r="J697" s="11">
        <v>565400.0</v>
      </c>
      <c r="K697" s="11">
        <v>496700.0</v>
      </c>
      <c r="L697" s="11">
        <v>506400.0</v>
      </c>
      <c r="M697" s="11">
        <v>433500.0</v>
      </c>
      <c r="N697" s="11">
        <v>439100.0</v>
      </c>
      <c r="O697" s="11">
        <v>487500.0</v>
      </c>
      <c r="P697" s="11">
        <v>458200.0</v>
      </c>
      <c r="Q697" s="11">
        <v>426000.0</v>
      </c>
      <c r="R697" s="11">
        <v>388000.0</v>
      </c>
      <c r="S697" s="11">
        <v>328200.0</v>
      </c>
      <c r="T697" s="11">
        <v>115300.0</v>
      </c>
      <c r="U697" s="11">
        <v>110900.0</v>
      </c>
      <c r="V697" s="11">
        <v>104500.0</v>
      </c>
      <c r="W697" s="11">
        <v>107000.0</v>
      </c>
      <c r="X697" s="11">
        <v>88300.0</v>
      </c>
      <c r="Y697" s="11">
        <v>70100.0</v>
      </c>
      <c r="Z697" s="11">
        <v>-2000.0</v>
      </c>
      <c r="AA697" s="11">
        <v>-400.0</v>
      </c>
      <c r="AB697" s="11">
        <v>-10200.0</v>
      </c>
      <c r="AC697" s="11">
        <v>111700.0</v>
      </c>
      <c r="AD697" s="11">
        <v>47900.0</v>
      </c>
      <c r="AE697" s="11">
        <v>36600.0</v>
      </c>
      <c r="AF697" s="11">
        <v>93800.0</v>
      </c>
      <c r="AG697" s="11">
        <v>38300.0</v>
      </c>
      <c r="AH697" s="11">
        <v>104500.0</v>
      </c>
      <c r="AI697" s="11">
        <v>121200.0</v>
      </c>
      <c r="AJ697" s="11">
        <v>82500.0</v>
      </c>
      <c r="AK697" s="11">
        <v>123200.0</v>
      </c>
      <c r="AL697" s="11">
        <v>84600.0</v>
      </c>
      <c r="AM697" s="11">
        <v>139800.0</v>
      </c>
      <c r="AN697" s="11">
        <v>35800.0</v>
      </c>
      <c r="AO697" s="11">
        <v>34700.0</v>
      </c>
      <c r="AP697" s="11">
        <v>48600.0</v>
      </c>
      <c r="AQ697" s="11">
        <v>42800.0</v>
      </c>
      <c r="AR697" s="11">
        <v>74700.0</v>
      </c>
      <c r="AS697" s="11">
        <v>76700.0</v>
      </c>
      <c r="AT697" s="11">
        <v>67600.0</v>
      </c>
      <c r="AU697" s="11">
        <v>164700.0</v>
      </c>
      <c r="AV697" s="11">
        <v>-48900.0</v>
      </c>
      <c r="AW697" s="11">
        <v>89400.0</v>
      </c>
      <c r="AX697" s="11">
        <v>-49700.0</v>
      </c>
      <c r="AY697" s="11">
        <v>-38800.0</v>
      </c>
      <c r="AZ697" s="11">
        <v>-41000.0</v>
      </c>
      <c r="BA697" s="11">
        <v>-42700.0</v>
      </c>
      <c r="BB697" s="11">
        <v>-46600.0</v>
      </c>
      <c r="BC697" s="11">
        <v>-21000.0</v>
      </c>
      <c r="BD697" s="11">
        <v>-20400.0</v>
      </c>
      <c r="BE697" s="11">
        <v>-19800.0</v>
      </c>
      <c r="BF697" s="11">
        <v>-19200.0</v>
      </c>
      <c r="BG697" s="11">
        <v>-18400.0</v>
      </c>
      <c r="BH697" s="11">
        <v>64600.0</v>
      </c>
      <c r="BI697" s="11">
        <v>83700.0</v>
      </c>
      <c r="BJ697" s="11">
        <v>220100.0</v>
      </c>
      <c r="BK697" s="11">
        <v>43200.0</v>
      </c>
      <c r="BL697" s="11">
        <v>155100.0</v>
      </c>
      <c r="BM697" s="11">
        <v>468300.0</v>
      </c>
      <c r="BN697" s="11">
        <v>465500.0</v>
      </c>
      <c r="BO697" s="11">
        <v>453000.0</v>
      </c>
      <c r="BP697" s="11">
        <v>375300.0</v>
      </c>
      <c r="BQ697" s="11">
        <v>324100.0</v>
      </c>
      <c r="BR697" s="11">
        <v>559900.0</v>
      </c>
      <c r="BS697" s="11">
        <v>533600.0</v>
      </c>
      <c r="BT697" s="11">
        <v>411900.0</v>
      </c>
      <c r="BU697" s="11">
        <v>352200.0</v>
      </c>
      <c r="BV697" s="11">
        <v>304600.0</v>
      </c>
      <c r="BW697" s="11">
        <v>1160000.0</v>
      </c>
      <c r="BX697" s="11">
        <v>1130000.0</v>
      </c>
      <c r="BY697" s="11">
        <v>1130000.0</v>
      </c>
      <c r="BZ697" s="11">
        <v>810000.0</v>
      </c>
      <c r="CA697" s="11">
        <v>818900.0</v>
      </c>
      <c r="CB697" s="11">
        <v>384800.0</v>
      </c>
      <c r="CC697" s="11">
        <v>296200.0</v>
      </c>
      <c r="CD697" s="11">
        <v>265400.0</v>
      </c>
      <c r="CE697" s="11">
        <v>255100.0</v>
      </c>
      <c r="CF697" s="11">
        <v>184500.0</v>
      </c>
      <c r="CG697" s="11">
        <v>106700.0</v>
      </c>
      <c r="CH697" s="11">
        <v>108300.0</v>
      </c>
      <c r="CI697" s="11">
        <v>59100.0</v>
      </c>
      <c r="CJ697" s="11">
        <v>50700.0</v>
      </c>
      <c r="CK697" s="11"/>
      <c r="CL697" s="11">
        <v>1850000.0</v>
      </c>
      <c r="CM697" s="11">
        <v>1740000.0</v>
      </c>
      <c r="CN697" s="11">
        <v>1650000.0</v>
      </c>
      <c r="CO697" s="11">
        <v>1290000.0</v>
      </c>
      <c r="CP697" s="11">
        <v>1100000.0</v>
      </c>
      <c r="CQ697" s="11">
        <v>417100.0</v>
      </c>
      <c r="CR697" s="11">
        <v>436800.0</v>
      </c>
      <c r="CS697" s="11">
        <v>403900.0</v>
      </c>
      <c r="CT697" s="11">
        <v>258900.0</v>
      </c>
      <c r="CU697" s="11">
        <v>295400.0</v>
      </c>
      <c r="CV697" s="11">
        <v>817000.0</v>
      </c>
      <c r="CW697" s="11">
        <v>25700.0</v>
      </c>
      <c r="CX697" s="11">
        <v>35500.0</v>
      </c>
      <c r="CY697" s="11">
        <v>6100.0</v>
      </c>
      <c r="CZ697" s="11">
        <v>79000.0</v>
      </c>
      <c r="DA697" s="11"/>
      <c r="DB697" s="11">
        <v>817000.0</v>
      </c>
      <c r="DC697" s="11">
        <v>776200.0</v>
      </c>
      <c r="DD697" s="11">
        <v>692400.0</v>
      </c>
      <c r="DE697" s="11">
        <v>576500.0</v>
      </c>
      <c r="DF697" s="11">
        <v>1270000.0</v>
      </c>
      <c r="DG697" s="11">
        <v>1180000.0</v>
      </c>
      <c r="DH697" s="11">
        <v>1080000.0</v>
      </c>
      <c r="DI697" s="11">
        <v>816700.0</v>
      </c>
      <c r="DJ697" s="11">
        <v>633200.0</v>
      </c>
      <c r="DK697" s="11">
        <v>80000.0</v>
      </c>
      <c r="DL697" s="11">
        <v>78200.0</v>
      </c>
      <c r="DM697" s="11">
        <v>87800.0</v>
      </c>
      <c r="DN697" s="11">
        <v>45900.0</v>
      </c>
      <c r="DO697" s="11">
        <v>42900.0</v>
      </c>
      <c r="DP697" s="11">
        <v>267000.0</v>
      </c>
      <c r="DQ697" s="11">
        <v>291800.0</v>
      </c>
      <c r="DR697" s="11">
        <v>216200.0</v>
      </c>
      <c r="DS697" s="11">
        <v>82200.0</v>
      </c>
      <c r="DT697" s="11">
        <v>19600.0</v>
      </c>
      <c r="DU697" s="13"/>
      <c r="DV697" s="12"/>
      <c r="DW697" s="12"/>
      <c r="DX697" s="13"/>
      <c r="DY697" s="13"/>
      <c r="DZ697" s="11">
        <v>544300.0</v>
      </c>
      <c r="EA697" s="11">
        <v>527400.0</v>
      </c>
      <c r="EB697" s="11">
        <v>565500.0</v>
      </c>
      <c r="EC697" s="11">
        <v>463800.0</v>
      </c>
      <c r="ED697" s="11">
        <v>460800.0</v>
      </c>
      <c r="EE697" s="14">
        <v>0.0</v>
      </c>
      <c r="EF697" s="14">
        <v>0.0</v>
      </c>
      <c r="EG697" s="14">
        <v>9.111</v>
      </c>
      <c r="EH697" s="14">
        <v>2.598</v>
      </c>
    </row>
    <row r="698">
      <c r="A698" s="9">
        <f t="shared" si="2"/>
        <v>696</v>
      </c>
      <c r="B698" s="22" t="s">
        <v>833</v>
      </c>
      <c r="C698" s="11">
        <v>2620000.0</v>
      </c>
      <c r="D698" s="11">
        <v>1910000.0</v>
      </c>
      <c r="E698" s="11">
        <v>1300000.0</v>
      </c>
      <c r="F698" s="11">
        <v>1210000.0</v>
      </c>
      <c r="G698" s="11">
        <v>1060000.0</v>
      </c>
      <c r="H698" s="11">
        <v>1050000.0</v>
      </c>
      <c r="I698" s="11">
        <v>757040.0</v>
      </c>
      <c r="J698" s="11">
        <v>937850.0</v>
      </c>
      <c r="K698" s="11">
        <v>816270.0</v>
      </c>
      <c r="L698" s="11">
        <v>518900.0</v>
      </c>
      <c r="M698" s="11">
        <v>650370.0</v>
      </c>
      <c r="N698" s="11">
        <v>537540.0</v>
      </c>
      <c r="O698" s="11">
        <v>798010.0</v>
      </c>
      <c r="P698" s="11">
        <v>750160.0</v>
      </c>
      <c r="Q698" s="11">
        <v>698140.0</v>
      </c>
      <c r="R698" s="11">
        <v>651460.0</v>
      </c>
      <c r="S698" s="11">
        <v>482170.0</v>
      </c>
      <c r="T698" s="11">
        <v>103170.0</v>
      </c>
      <c r="U698" s="11">
        <v>82760.0</v>
      </c>
      <c r="V698" s="11">
        <v>224960.0</v>
      </c>
      <c r="W698" s="11">
        <v>60210.0</v>
      </c>
      <c r="X698" s="11">
        <v>41870.0</v>
      </c>
      <c r="Y698" s="11">
        <v>78740.0</v>
      </c>
      <c r="Z698" s="11">
        <v>-71190.0</v>
      </c>
      <c r="AA698" s="11">
        <v>-205170.0</v>
      </c>
      <c r="AB698" s="11">
        <v>-147170.0</v>
      </c>
      <c r="AC698" s="11">
        <v>-77620.0</v>
      </c>
      <c r="AD698" s="11">
        <v>-20220.0</v>
      </c>
      <c r="AE698" s="11">
        <v>-83130.0</v>
      </c>
      <c r="AF698" s="11">
        <v>-504330.0</v>
      </c>
      <c r="AG698" s="11">
        <v>-228090.0</v>
      </c>
      <c r="AH698" s="11">
        <v>-132710.0</v>
      </c>
      <c r="AI698" s="11">
        <v>377000.0</v>
      </c>
      <c r="AJ698" s="11">
        <v>315870.0</v>
      </c>
      <c r="AK698" s="11">
        <v>104000.0</v>
      </c>
      <c r="AL698" s="11">
        <v>220750.0</v>
      </c>
      <c r="AM698" s="11">
        <v>193720.0</v>
      </c>
      <c r="AN698" s="11">
        <v>573020.0</v>
      </c>
      <c r="AO698" s="11">
        <v>-38380.0</v>
      </c>
      <c r="AP698" s="11">
        <v>-401590.0</v>
      </c>
      <c r="AQ698" s="11">
        <v>-166830.0</v>
      </c>
      <c r="AR698" s="11">
        <v>39530.0</v>
      </c>
      <c r="AS698" s="11">
        <v>426330.0</v>
      </c>
      <c r="AT698" s="11">
        <v>194540.0</v>
      </c>
      <c r="AU698" s="11">
        <v>284340.0</v>
      </c>
      <c r="AV698" s="11">
        <v>369460.0</v>
      </c>
      <c r="AW698" s="11">
        <v>197170.0</v>
      </c>
      <c r="AX698" s="11">
        <v>-17860.0</v>
      </c>
      <c r="AY698" s="11">
        <v>-4770.0</v>
      </c>
      <c r="AZ698" s="11">
        <v>-4340.0</v>
      </c>
      <c r="BA698" s="11">
        <v>-15730.0</v>
      </c>
      <c r="BB698" s="11">
        <v>-7160.0</v>
      </c>
      <c r="BC698" s="12"/>
      <c r="BD698" s="12"/>
      <c r="BE698" s="12"/>
      <c r="BF698" s="12"/>
      <c r="BG698" s="12"/>
      <c r="BH698" s="11">
        <v>1080000.0</v>
      </c>
      <c r="BI698" s="11">
        <v>962120.0</v>
      </c>
      <c r="BJ698" s="11">
        <v>757900.0</v>
      </c>
      <c r="BK698" s="11">
        <v>516150.0</v>
      </c>
      <c r="BL698" s="11">
        <v>861480.0</v>
      </c>
      <c r="BM698" s="11">
        <v>408690.0</v>
      </c>
      <c r="BN698" s="11">
        <v>464730.0</v>
      </c>
      <c r="BO698" s="11">
        <v>405210.0</v>
      </c>
      <c r="BP698" s="11">
        <v>305730.0</v>
      </c>
      <c r="BQ698" s="11">
        <v>210440.0</v>
      </c>
      <c r="BR698" s="11">
        <v>53800.0</v>
      </c>
      <c r="BS698" s="11">
        <v>50750.0</v>
      </c>
      <c r="BT698" s="11">
        <v>73070.0</v>
      </c>
      <c r="BU698" s="11">
        <v>174790.0</v>
      </c>
      <c r="BV698" s="11">
        <v>18380.0</v>
      </c>
      <c r="BW698" s="11">
        <v>1640000.0</v>
      </c>
      <c r="BX698" s="11">
        <v>1520000.0</v>
      </c>
      <c r="BY698" s="11">
        <v>1270000.0</v>
      </c>
      <c r="BZ698" s="11">
        <v>1040000.0</v>
      </c>
      <c r="CA698" s="11">
        <v>1110000.0</v>
      </c>
      <c r="CB698" s="11">
        <v>30160.0</v>
      </c>
      <c r="CC698" s="11">
        <v>20100.0</v>
      </c>
      <c r="CD698" s="11">
        <v>20410.0</v>
      </c>
      <c r="CE698" s="11">
        <v>23480.0</v>
      </c>
      <c r="CF698" s="11">
        <v>14020.0</v>
      </c>
      <c r="CG698" s="11">
        <v>413670.0</v>
      </c>
      <c r="CH698" s="11">
        <v>413670.0</v>
      </c>
      <c r="CI698" s="11">
        <v>426440.0</v>
      </c>
      <c r="CJ698" s="11">
        <v>445580.0</v>
      </c>
      <c r="CK698" s="11">
        <v>253810.0</v>
      </c>
      <c r="CL698" s="11">
        <v>4440000.0</v>
      </c>
      <c r="CM698" s="11">
        <v>3940000.0</v>
      </c>
      <c r="CN698" s="11">
        <v>4200000.0</v>
      </c>
      <c r="CO698" s="11">
        <v>4290000.0</v>
      </c>
      <c r="CP698" s="11">
        <v>3060000.0</v>
      </c>
      <c r="CQ698" s="11">
        <v>21510.0</v>
      </c>
      <c r="CR698" s="11">
        <v>30280.0</v>
      </c>
      <c r="CS698" s="11">
        <v>34680.0</v>
      </c>
      <c r="CT698" s="11">
        <v>52480.0</v>
      </c>
      <c r="CU698" s="11">
        <v>16590.0</v>
      </c>
      <c r="CV698" s="11">
        <v>723170.0</v>
      </c>
      <c r="CW698" s="11">
        <v>4400.0</v>
      </c>
      <c r="CX698" s="12"/>
      <c r="CY698" s="12"/>
      <c r="CZ698" s="12"/>
      <c r="DA698" s="12"/>
      <c r="DB698" s="11">
        <v>723170.0</v>
      </c>
      <c r="DC698" s="11">
        <v>708690.0</v>
      </c>
      <c r="DD698" s="11">
        <v>794970.0</v>
      </c>
      <c r="DE698" s="11">
        <v>605850.0</v>
      </c>
      <c r="DF698" s="11">
        <v>2250000.0</v>
      </c>
      <c r="DG698" s="11">
        <v>2750000.0</v>
      </c>
      <c r="DH698" s="11">
        <v>3200000.0</v>
      </c>
      <c r="DI698" s="11">
        <v>3030000.0</v>
      </c>
      <c r="DJ698" s="11">
        <v>1750000.0</v>
      </c>
      <c r="DK698" s="12"/>
      <c r="DL698" s="12"/>
      <c r="DM698" s="12"/>
      <c r="DN698" s="12"/>
      <c r="DO698" s="12"/>
      <c r="DP698" s="11">
        <v>1400000.0</v>
      </c>
      <c r="DQ698" s="11">
        <v>1900000.0</v>
      </c>
      <c r="DR698" s="11">
        <v>1890000.0</v>
      </c>
      <c r="DS698" s="11">
        <v>1800000.0</v>
      </c>
      <c r="DT698" s="11">
        <v>1130000.0</v>
      </c>
      <c r="DU698" s="13"/>
      <c r="DV698" s="12"/>
      <c r="DW698" s="12"/>
      <c r="DX698" s="13"/>
      <c r="DY698" s="13"/>
      <c r="DZ698" s="11">
        <v>2190000.0</v>
      </c>
      <c r="EA698" s="11">
        <v>1190000.0</v>
      </c>
      <c r="EB698" s="11">
        <v>1000000.0</v>
      </c>
      <c r="EC698" s="11">
        <v>1260000.0</v>
      </c>
      <c r="ED698" s="11">
        <v>1310000.0</v>
      </c>
      <c r="EE698" s="14">
        <v>0.047</v>
      </c>
      <c r="EF698" s="14">
        <v>0.34</v>
      </c>
      <c r="EG698" s="14">
        <v>0.111</v>
      </c>
      <c r="EH698" s="14">
        <v>0.414</v>
      </c>
    </row>
    <row r="699">
      <c r="A699" s="9">
        <f t="shared" si="2"/>
        <v>697</v>
      </c>
      <c r="B699" s="10" t="s">
        <v>834</v>
      </c>
      <c r="C699" s="11">
        <v>1430000.0</v>
      </c>
      <c r="D699" s="11">
        <v>1440000.0</v>
      </c>
      <c r="E699" s="11">
        <v>1240000.0</v>
      </c>
      <c r="F699" s="11">
        <v>1180000.0</v>
      </c>
      <c r="G699" s="11">
        <v>1050000.0</v>
      </c>
      <c r="H699" s="11">
        <v>942050.0</v>
      </c>
      <c r="I699" s="11">
        <v>751370.0</v>
      </c>
      <c r="J699" s="11">
        <v>322830.0</v>
      </c>
      <c r="K699" s="11">
        <v>298230.0</v>
      </c>
      <c r="L699" s="11">
        <v>265320.0</v>
      </c>
      <c r="M699" s="11">
        <v>226030.0</v>
      </c>
      <c r="N699" s="11">
        <v>184770.0</v>
      </c>
      <c r="O699" s="11">
        <v>259200.0</v>
      </c>
      <c r="P699" s="11">
        <v>236490.0</v>
      </c>
      <c r="Q699" s="11">
        <v>217040.0</v>
      </c>
      <c r="R699" s="11">
        <v>185780.0</v>
      </c>
      <c r="S699" s="11">
        <v>159440.0</v>
      </c>
      <c r="T699" s="11"/>
      <c r="U699" s="11"/>
      <c r="V699" s="11"/>
      <c r="W699" s="11"/>
      <c r="X699" s="11"/>
      <c r="Y699" s="11">
        <v>60530.0</v>
      </c>
      <c r="Z699" s="11">
        <v>63180.0</v>
      </c>
      <c r="AA699" s="11">
        <v>45290.0</v>
      </c>
      <c r="AB699" s="12"/>
      <c r="AC699" s="12"/>
      <c r="AD699" s="11">
        <v>48950.0</v>
      </c>
      <c r="AE699" s="11">
        <v>53280.0</v>
      </c>
      <c r="AF699" s="11">
        <v>37810.0</v>
      </c>
      <c r="AG699" s="11">
        <v>34790.0</v>
      </c>
      <c r="AH699" s="11">
        <v>20880.0</v>
      </c>
      <c r="AI699" s="11">
        <v>75230.0</v>
      </c>
      <c r="AJ699" s="11">
        <v>72420.0</v>
      </c>
      <c r="AK699" s="11">
        <v>57640.0</v>
      </c>
      <c r="AL699" s="11">
        <v>48220.0</v>
      </c>
      <c r="AM699" s="11">
        <v>33190.0</v>
      </c>
      <c r="AN699" s="11">
        <v>35990.0</v>
      </c>
      <c r="AO699" s="11">
        <v>39310.0</v>
      </c>
      <c r="AP699" s="11">
        <v>23550.0</v>
      </c>
      <c r="AQ699" s="11">
        <v>22580.0</v>
      </c>
      <c r="AR699" s="11">
        <v>48290.0</v>
      </c>
      <c r="AS699" s="11">
        <v>-12430.0</v>
      </c>
      <c r="AT699" s="11">
        <v>70410.0</v>
      </c>
      <c r="AU699" s="11">
        <v>4750.0</v>
      </c>
      <c r="AV699" s="11">
        <v>22860.0</v>
      </c>
      <c r="AW699" s="11">
        <v>2530.0</v>
      </c>
      <c r="AX699" s="11">
        <v>-17060.0</v>
      </c>
      <c r="AY699" s="11">
        <v>-13800.0</v>
      </c>
      <c r="AZ699" s="11">
        <v>-14370.0</v>
      </c>
      <c r="BA699" s="11">
        <v>-12910.0</v>
      </c>
      <c r="BB699" s="11">
        <v>-9750.0</v>
      </c>
      <c r="BC699" s="12"/>
      <c r="BD699" s="12"/>
      <c r="BE699" s="12"/>
      <c r="BF699" s="12"/>
      <c r="BG699" s="12"/>
      <c r="BH699" s="11">
        <v>38510.0</v>
      </c>
      <c r="BI699" s="11">
        <v>48820.0</v>
      </c>
      <c r="BJ699" s="11">
        <v>41950.0</v>
      </c>
      <c r="BK699" s="11">
        <v>38590.0</v>
      </c>
      <c r="BL699" s="11">
        <v>32610.0</v>
      </c>
      <c r="BM699" s="11">
        <v>45100.0</v>
      </c>
      <c r="BN699" s="11">
        <v>34000.0</v>
      </c>
      <c r="BO699" s="11">
        <v>24660.0</v>
      </c>
      <c r="BP699" s="11">
        <v>24580.0</v>
      </c>
      <c r="BQ699" s="11">
        <v>18470.0</v>
      </c>
      <c r="BR699" s="11">
        <v>477470.0</v>
      </c>
      <c r="BS699" s="11">
        <v>377070.0</v>
      </c>
      <c r="BT699" s="11">
        <v>401300.0</v>
      </c>
      <c r="BU699" s="11">
        <v>321980.0</v>
      </c>
      <c r="BV699" s="11">
        <v>273880.0</v>
      </c>
      <c r="BW699" s="11">
        <v>568580.0</v>
      </c>
      <c r="BX699" s="11">
        <v>465290.0</v>
      </c>
      <c r="BY699" s="11">
        <v>473760.0</v>
      </c>
      <c r="BZ699" s="11">
        <v>391110.0</v>
      </c>
      <c r="CA699" s="11">
        <v>345060.0</v>
      </c>
      <c r="CB699" s="11">
        <v>144300.0</v>
      </c>
      <c r="CC699" s="11">
        <v>138720.0</v>
      </c>
      <c r="CD699" s="11">
        <v>127160.0</v>
      </c>
      <c r="CE699" s="11">
        <v>121350.0</v>
      </c>
      <c r="CF699" s="11">
        <v>98990.0</v>
      </c>
      <c r="CG699" s="12"/>
      <c r="CH699" s="11">
        <v>27400.0</v>
      </c>
      <c r="CI699" s="12"/>
      <c r="CJ699" s="12"/>
      <c r="CK699" s="12"/>
      <c r="CL699" s="11">
        <v>790450.0</v>
      </c>
      <c r="CM699" s="11">
        <v>644990.0</v>
      </c>
      <c r="CN699" s="11">
        <v>639990.0</v>
      </c>
      <c r="CO699" s="11">
        <v>546690.0</v>
      </c>
      <c r="CP699" s="11">
        <v>467620.0</v>
      </c>
      <c r="CQ699" s="11">
        <v>33670.0</v>
      </c>
      <c r="CR699" s="11">
        <v>23130.0</v>
      </c>
      <c r="CS699" s="11">
        <v>26430.0</v>
      </c>
      <c r="CT699" s="11">
        <v>9600.0</v>
      </c>
      <c r="CU699" s="11">
        <v>13510.0</v>
      </c>
      <c r="CV699" s="11">
        <v>412890.0</v>
      </c>
      <c r="CW699" s="11">
        <v>312070.0</v>
      </c>
      <c r="CX699" s="11">
        <v>212950.0</v>
      </c>
      <c r="CY699" s="11">
        <v>254180.0</v>
      </c>
      <c r="CZ699" s="11">
        <v>166550.0</v>
      </c>
      <c r="DA699" s="11">
        <v>137190.0</v>
      </c>
      <c r="DB699" s="11">
        <v>412890.0</v>
      </c>
      <c r="DC699" s="11">
        <v>286020.0</v>
      </c>
      <c r="DD699" s="11">
        <v>334690.0</v>
      </c>
      <c r="DE699" s="11">
        <v>231880.0</v>
      </c>
      <c r="DF699" s="11">
        <v>421630.0</v>
      </c>
      <c r="DG699" s="11">
        <v>291900.0</v>
      </c>
      <c r="DH699" s="11">
        <v>337790.0</v>
      </c>
      <c r="DI699" s="11">
        <v>234220.0</v>
      </c>
      <c r="DJ699" s="11">
        <v>183980.0</v>
      </c>
      <c r="DK699" s="11"/>
      <c r="DL699" s="11"/>
      <c r="DM699" s="11"/>
      <c r="DN699" s="12"/>
      <c r="DO699" s="12"/>
      <c r="DP699" s="11"/>
      <c r="DQ699" s="11"/>
      <c r="DR699" s="11"/>
      <c r="DS699" s="11"/>
      <c r="DT699" s="12"/>
      <c r="DU699" s="13"/>
      <c r="DV699" s="12"/>
      <c r="DW699" s="12"/>
      <c r="DX699" s="12"/>
      <c r="DY699" s="11"/>
      <c r="DZ699" s="11">
        <v>368820.0</v>
      </c>
      <c r="EA699" s="11">
        <v>353090.0</v>
      </c>
      <c r="EB699" s="11">
        <v>302200.0</v>
      </c>
      <c r="EC699" s="11">
        <v>312470.0</v>
      </c>
      <c r="ED699" s="11">
        <v>283650.0</v>
      </c>
      <c r="EE699" s="14">
        <v>0.021</v>
      </c>
      <c r="EF699" s="14">
        <v>0.126</v>
      </c>
      <c r="EG699" s="14">
        <v>1.194</v>
      </c>
      <c r="EH699" s="14">
        <v>1.572</v>
      </c>
    </row>
    <row r="700">
      <c r="A700" s="9">
        <f t="shared" si="2"/>
        <v>698</v>
      </c>
      <c r="B700" s="10" t="s">
        <v>835</v>
      </c>
      <c r="C700" s="15">
        <v>1260000.0</v>
      </c>
      <c r="D700" s="15">
        <v>1160000.0</v>
      </c>
      <c r="E700" s="15">
        <v>1410000.0</v>
      </c>
      <c r="F700" s="15">
        <v>1440000.0</v>
      </c>
      <c r="G700" s="15">
        <v>1420000.0</v>
      </c>
      <c r="H700" s="15">
        <v>1310000.0</v>
      </c>
      <c r="I700" s="15">
        <v>1170000.0</v>
      </c>
      <c r="J700" s="15">
        <v>42060.0</v>
      </c>
      <c r="K700" s="15">
        <v>110430.0</v>
      </c>
      <c r="L700" s="15">
        <v>142390.0</v>
      </c>
      <c r="M700" s="15">
        <v>95000.0</v>
      </c>
      <c r="N700" s="15">
        <v>-93520.0</v>
      </c>
      <c r="O700" s="15">
        <v>62500.0</v>
      </c>
      <c r="P700" s="15">
        <v>57290.0</v>
      </c>
      <c r="Q700" s="15">
        <v>52180.0</v>
      </c>
      <c r="R700" s="15">
        <v>45710.0</v>
      </c>
      <c r="S700" s="15">
        <v>41320.0</v>
      </c>
      <c r="T700" s="15">
        <v>0.0</v>
      </c>
      <c r="U700" s="15">
        <v>0.0</v>
      </c>
      <c r="V700" s="15">
        <v>0.0</v>
      </c>
      <c r="W700" s="15">
        <v>0.0</v>
      </c>
      <c r="X700" s="15">
        <v>0.0</v>
      </c>
      <c r="Y700" s="15">
        <v>-392630.0</v>
      </c>
      <c r="Z700" s="15">
        <v>-23720.0</v>
      </c>
      <c r="AA700" s="15">
        <v>745060.0</v>
      </c>
      <c r="AB700" s="15">
        <v>57370.0</v>
      </c>
      <c r="AC700" s="15">
        <v>-1000000.0</v>
      </c>
      <c r="AD700" s="15">
        <v>-433760.0</v>
      </c>
      <c r="AE700" s="15">
        <v>21520.0</v>
      </c>
      <c r="AF700" s="15">
        <v>769850.0</v>
      </c>
      <c r="AG700" s="15">
        <v>118050.0</v>
      </c>
      <c r="AH700" s="15">
        <v>-1020000.0</v>
      </c>
      <c r="AI700" s="15">
        <v>347510.0</v>
      </c>
      <c r="AJ700" s="15">
        <v>399730.0</v>
      </c>
      <c r="AK700" s="15">
        <v>436650.0</v>
      </c>
      <c r="AL700" s="15">
        <v>399200.0</v>
      </c>
      <c r="AM700" s="15">
        <v>193310.0</v>
      </c>
      <c r="AN700" s="15">
        <v>-495330.0</v>
      </c>
      <c r="AO700" s="15">
        <v>-40700.0</v>
      </c>
      <c r="AP700" s="15">
        <v>651080.0</v>
      </c>
      <c r="AQ700" s="15">
        <v>69690.0</v>
      </c>
      <c r="AR700" s="15">
        <v>-1020000.0</v>
      </c>
      <c r="AS700" s="15">
        <v>457780.0</v>
      </c>
      <c r="AT700" s="15">
        <v>226700.0</v>
      </c>
      <c r="AU700" s="15">
        <v>382130.0</v>
      </c>
      <c r="AV700" s="15">
        <v>383960.0</v>
      </c>
      <c r="AW700" s="15">
        <v>6650.0</v>
      </c>
      <c r="AX700" s="15">
        <v>-333580.0</v>
      </c>
      <c r="AY700" s="15">
        <v>-399080.0</v>
      </c>
      <c r="AZ700" s="15">
        <v>-310870.0</v>
      </c>
      <c r="BA700" s="15">
        <v>-398670.0</v>
      </c>
      <c r="BB700" s="15">
        <v>-272510.0</v>
      </c>
      <c r="BC700" s="16">
        <v>0.0</v>
      </c>
      <c r="BD700" s="16">
        <v>0.0</v>
      </c>
      <c r="BE700" s="16">
        <v>0.0</v>
      </c>
      <c r="BF700" s="16">
        <v>0.0</v>
      </c>
      <c r="BG700" s="16">
        <v>0.0</v>
      </c>
      <c r="BH700" s="15">
        <v>1090000.0</v>
      </c>
      <c r="BI700" s="15">
        <v>1000000.0</v>
      </c>
      <c r="BJ700" s="15">
        <v>1010000.0</v>
      </c>
      <c r="BK700" s="15">
        <v>1000000.0</v>
      </c>
      <c r="BL700" s="15">
        <v>897640.0</v>
      </c>
      <c r="BM700" s="15">
        <v>66650.0</v>
      </c>
      <c r="BN700" s="15">
        <v>86320.0</v>
      </c>
      <c r="BO700" s="15">
        <v>182930.0</v>
      </c>
      <c r="BP700" s="15">
        <v>65980.0</v>
      </c>
      <c r="BQ700" s="15">
        <v>98770.0</v>
      </c>
      <c r="BR700" s="15">
        <v>400050.0</v>
      </c>
      <c r="BS700" s="15">
        <v>375190.0</v>
      </c>
      <c r="BT700" s="15">
        <v>250590.0</v>
      </c>
      <c r="BU700" s="15">
        <v>278800.0</v>
      </c>
      <c r="BV700" s="15">
        <v>311020.0</v>
      </c>
      <c r="BW700" s="15">
        <v>1640000.0</v>
      </c>
      <c r="BX700" s="15">
        <v>1480000.0</v>
      </c>
      <c r="BY700" s="15">
        <v>1450000.0</v>
      </c>
      <c r="BZ700" s="15">
        <v>1360000.0</v>
      </c>
      <c r="CA700" s="15">
        <v>1320000.0</v>
      </c>
      <c r="CB700" s="15">
        <v>2920000.0</v>
      </c>
      <c r="CC700" s="15">
        <v>3370000.0</v>
      </c>
      <c r="CD700" s="15">
        <v>2430000.0</v>
      </c>
      <c r="CE700" s="15">
        <v>2510000.0</v>
      </c>
      <c r="CF700" s="15">
        <v>2580000.0</v>
      </c>
      <c r="CG700" s="15">
        <v>0.0</v>
      </c>
      <c r="CH700" s="15">
        <v>0.0</v>
      </c>
      <c r="CI700" s="15">
        <v>0.0</v>
      </c>
      <c r="CJ700" s="15">
        <v>0.0</v>
      </c>
      <c r="CK700" s="15">
        <v>0.0</v>
      </c>
      <c r="CL700" s="15">
        <v>5070000.0</v>
      </c>
      <c r="CM700" s="15">
        <v>5600000.0</v>
      </c>
      <c r="CN700" s="15">
        <v>5100000.0</v>
      </c>
      <c r="CO700" s="15">
        <v>4730000.0</v>
      </c>
      <c r="CP700" s="15">
        <v>4660000.0</v>
      </c>
      <c r="CQ700" s="15">
        <v>274780.0</v>
      </c>
      <c r="CR700" s="15">
        <v>267700.0</v>
      </c>
      <c r="CS700" s="15">
        <v>245830.0</v>
      </c>
      <c r="CT700" s="15">
        <v>218460.0</v>
      </c>
      <c r="CU700" s="15">
        <v>198920.0</v>
      </c>
      <c r="CV700" s="15">
        <v>344940.0</v>
      </c>
      <c r="CW700" s="15">
        <v>0.0</v>
      </c>
      <c r="CX700" s="16">
        <v>0.0</v>
      </c>
      <c r="CY700" s="16">
        <v>0.0</v>
      </c>
      <c r="CZ700" s="16">
        <v>0.0</v>
      </c>
      <c r="DA700" s="15">
        <v>97240.0</v>
      </c>
      <c r="DB700" s="15">
        <v>344940.0</v>
      </c>
      <c r="DC700" s="15">
        <v>310310.0</v>
      </c>
      <c r="DD700" s="15">
        <v>289560.0</v>
      </c>
      <c r="DE700" s="15">
        <v>262180.0</v>
      </c>
      <c r="DF700" s="15">
        <v>1940000.0</v>
      </c>
      <c r="DG700" s="15">
        <v>1790000.0</v>
      </c>
      <c r="DH700" s="15">
        <v>1530000.0</v>
      </c>
      <c r="DI700" s="15">
        <v>1680000.0</v>
      </c>
      <c r="DJ700" s="15">
        <v>1970000.0</v>
      </c>
      <c r="DK700" s="15">
        <v>66780.0</v>
      </c>
      <c r="DL700" s="15">
        <v>159120.0</v>
      </c>
      <c r="DM700" s="15">
        <v>155370.0</v>
      </c>
      <c r="DN700" s="15">
        <v>138130.0</v>
      </c>
      <c r="DO700" s="15">
        <v>123770.0</v>
      </c>
      <c r="DP700" s="15">
        <v>582630.0</v>
      </c>
      <c r="DQ700" s="15">
        <v>553970.0</v>
      </c>
      <c r="DR700" s="15">
        <v>490660.0</v>
      </c>
      <c r="DS700" s="15">
        <v>650540.0</v>
      </c>
      <c r="DT700" s="15">
        <v>872490.0</v>
      </c>
      <c r="DU700" s="16">
        <v>0.0</v>
      </c>
      <c r="DV700" s="15">
        <v>0.0</v>
      </c>
      <c r="DW700" s="15">
        <v>0.0</v>
      </c>
      <c r="DX700" s="15">
        <v>0.0</v>
      </c>
      <c r="DY700" s="16">
        <v>0.0</v>
      </c>
      <c r="DZ700" s="15">
        <v>3040000.0</v>
      </c>
      <c r="EA700" s="15">
        <v>3730000.0</v>
      </c>
      <c r="EB700" s="15">
        <v>3500000.0</v>
      </c>
      <c r="EC700" s="15">
        <v>2980000.0</v>
      </c>
      <c r="ED700" s="15">
        <v>2630000.0</v>
      </c>
      <c r="EE700" s="17">
        <v>0.112</v>
      </c>
      <c r="EF700" s="17">
        <v>0.183</v>
      </c>
      <c r="EG700" s="17">
        <v>-2.5</v>
      </c>
      <c r="EH700" s="17">
        <v>1.25</v>
      </c>
    </row>
    <row r="701">
      <c r="A701" s="9">
        <f t="shared" si="2"/>
        <v>699</v>
      </c>
      <c r="B701" s="10" t="s">
        <v>836</v>
      </c>
      <c r="C701" s="15">
        <v>2950000.0</v>
      </c>
      <c r="D701" s="15">
        <v>2970000.0</v>
      </c>
      <c r="E701" s="15">
        <v>6.166E7</v>
      </c>
      <c r="F701" s="15">
        <v>6.105E7</v>
      </c>
      <c r="G701" s="15">
        <v>5.805E7</v>
      </c>
      <c r="H701" s="15">
        <v>5.202E7</v>
      </c>
      <c r="I701" s="15">
        <v>4.623E7</v>
      </c>
      <c r="J701" s="15">
        <v>1.01E7</v>
      </c>
      <c r="K701" s="15">
        <v>9630000.0</v>
      </c>
      <c r="L701" s="15">
        <v>1.055E7</v>
      </c>
      <c r="M701" s="15">
        <v>9380000.0</v>
      </c>
      <c r="N701" s="15">
        <v>9380000.0</v>
      </c>
      <c r="O701" s="15">
        <v>6120000.0</v>
      </c>
      <c r="P701" s="15">
        <v>6020000.0</v>
      </c>
      <c r="Q701" s="15">
        <v>5420000.0</v>
      </c>
      <c r="R701" s="15">
        <v>4850000.0</v>
      </c>
      <c r="S701" s="15">
        <v>4320000.0</v>
      </c>
      <c r="T701" s="15"/>
      <c r="U701" s="15"/>
      <c r="V701" s="15"/>
      <c r="W701" s="15"/>
      <c r="X701" s="15"/>
      <c r="Y701" s="15">
        <v>4160000.0</v>
      </c>
      <c r="Z701" s="15">
        <v>3940000.0</v>
      </c>
      <c r="AA701" s="15">
        <v>5040000.0</v>
      </c>
      <c r="AB701" s="15">
        <v>4560000.0</v>
      </c>
      <c r="AC701" s="15">
        <v>4930000.0</v>
      </c>
      <c r="AD701" s="15">
        <v>4360000.0</v>
      </c>
      <c r="AE701" s="15">
        <v>4520000.0</v>
      </c>
      <c r="AF701" s="15">
        <v>6040000.0</v>
      </c>
      <c r="AG701" s="15">
        <v>5590000.0</v>
      </c>
      <c r="AH701" s="15">
        <v>5500000.0</v>
      </c>
      <c r="AI701" s="15">
        <v>5810000.0</v>
      </c>
      <c r="AJ701" s="15">
        <v>5140000.0</v>
      </c>
      <c r="AK701" s="15">
        <v>6200000.0</v>
      </c>
      <c r="AL701" s="15">
        <v>5460000.0</v>
      </c>
      <c r="AM701" s="15">
        <v>5690000.0</v>
      </c>
      <c r="AN701" s="15">
        <v>3220000.0</v>
      </c>
      <c r="AO701" s="15">
        <v>3350000.0</v>
      </c>
      <c r="AP701" s="15">
        <v>4950000.0</v>
      </c>
      <c r="AQ701" s="15">
        <v>3950000.0</v>
      </c>
      <c r="AR701" s="15">
        <v>3810000.0</v>
      </c>
      <c r="AS701" s="15">
        <v>3990000.0</v>
      </c>
      <c r="AT701" s="15">
        <v>4250000.0</v>
      </c>
      <c r="AU701" s="15">
        <v>6080000.0</v>
      </c>
      <c r="AV701" s="15">
        <v>3480000.0</v>
      </c>
      <c r="AW701" s="15">
        <v>4470000.0</v>
      </c>
      <c r="AX701" s="15">
        <v>-2200000.0</v>
      </c>
      <c r="AY701" s="15">
        <v>-2010000.0</v>
      </c>
      <c r="AZ701" s="15">
        <v>-2130000.0</v>
      </c>
      <c r="BA701" s="15">
        <v>-2790000.0</v>
      </c>
      <c r="BB701" s="15">
        <v>-1910000.0</v>
      </c>
      <c r="BC701" s="15">
        <v>-840000.0</v>
      </c>
      <c r="BD701" s="15">
        <v>-852000.0</v>
      </c>
      <c r="BE701" s="15">
        <v>-780000.0</v>
      </c>
      <c r="BF701" s="15">
        <v>-779960.0</v>
      </c>
      <c r="BG701" s="15">
        <v>-899160.0</v>
      </c>
      <c r="BH701" s="15">
        <v>1.916E7</v>
      </c>
      <c r="BI701" s="15">
        <v>1.845E7</v>
      </c>
      <c r="BJ701" s="15">
        <v>1.724E7</v>
      </c>
      <c r="BK701" s="15">
        <v>1.566E7</v>
      </c>
      <c r="BL701" s="15">
        <v>1.529E7</v>
      </c>
      <c r="BM701" s="15">
        <v>3880000.0</v>
      </c>
      <c r="BN701" s="15">
        <v>3490000.0</v>
      </c>
      <c r="BO701" s="15">
        <v>3630000.0</v>
      </c>
      <c r="BP701" s="15">
        <v>3780000.0</v>
      </c>
      <c r="BQ701" s="15">
        <v>2730000.0</v>
      </c>
      <c r="BR701" s="15">
        <v>7380000.0</v>
      </c>
      <c r="BS701" s="15">
        <v>7350000.0</v>
      </c>
      <c r="BT701" s="15">
        <v>6900000.0</v>
      </c>
      <c r="BU701" s="15">
        <v>6860000.0</v>
      </c>
      <c r="BV701" s="15">
        <v>6280000.0</v>
      </c>
      <c r="BW701" s="15">
        <v>3.11E7</v>
      </c>
      <c r="BX701" s="15">
        <v>2.977E7</v>
      </c>
      <c r="BY701" s="15">
        <v>2.823E7</v>
      </c>
      <c r="BZ701" s="15">
        <v>2.693E7</v>
      </c>
      <c r="CA701" s="15">
        <v>2.472E7</v>
      </c>
      <c r="CB701" s="15">
        <v>2.169E7</v>
      </c>
      <c r="CC701" s="15">
        <v>2.007E7</v>
      </c>
      <c r="CD701" s="15">
        <v>1.927E7</v>
      </c>
      <c r="CE701" s="15">
        <v>1.73E7</v>
      </c>
      <c r="CF701" s="15">
        <v>1.49E7</v>
      </c>
      <c r="CG701" s="15">
        <v>1580000.0</v>
      </c>
      <c r="CH701" s="15">
        <v>1630000.0</v>
      </c>
      <c r="CI701" s="15">
        <v>1630000.0</v>
      </c>
      <c r="CJ701" s="15">
        <v>484880.0</v>
      </c>
      <c r="CK701" s="15">
        <v>454300.0</v>
      </c>
      <c r="CL701" s="15">
        <v>5.571E7</v>
      </c>
      <c r="CM701" s="15">
        <v>5.287E7</v>
      </c>
      <c r="CN701" s="15">
        <v>5.056E7</v>
      </c>
      <c r="CO701" s="15">
        <v>4.509E7</v>
      </c>
      <c r="CP701" s="15">
        <v>4.045E7</v>
      </c>
      <c r="CQ701" s="15">
        <v>4040000.0</v>
      </c>
      <c r="CR701" s="15">
        <v>4130000.0</v>
      </c>
      <c r="CS701" s="15">
        <v>3730000.0</v>
      </c>
      <c r="CT701" s="15">
        <v>3820000.0</v>
      </c>
      <c r="CU701" s="15">
        <v>3950000.0</v>
      </c>
      <c r="CV701" s="15">
        <v>8910000.0</v>
      </c>
      <c r="CW701" s="15">
        <v>3440000.0</v>
      </c>
      <c r="CX701" s="15">
        <v>3430000.0</v>
      </c>
      <c r="CY701" s="15">
        <v>2850000.0</v>
      </c>
      <c r="CZ701" s="15">
        <v>1440000.0</v>
      </c>
      <c r="DA701" s="15">
        <v>1620000.0</v>
      </c>
      <c r="DB701" s="15">
        <v>8910000.0</v>
      </c>
      <c r="DC701" s="15">
        <v>9080000.0</v>
      </c>
      <c r="DD701" s="15">
        <v>9230000.0</v>
      </c>
      <c r="DE701" s="15">
        <v>8320000.0</v>
      </c>
      <c r="DF701" s="15">
        <v>1.545E7</v>
      </c>
      <c r="DG701" s="15">
        <v>1.47E7</v>
      </c>
      <c r="DH701" s="15">
        <v>1.488E7</v>
      </c>
      <c r="DI701" s="15">
        <v>1.337E7</v>
      </c>
      <c r="DJ701" s="15">
        <v>1.267E7</v>
      </c>
      <c r="DK701" s="15"/>
      <c r="DL701" s="12"/>
      <c r="DM701" s="15">
        <v>64630.0</v>
      </c>
      <c r="DN701" s="15">
        <v>65510.0</v>
      </c>
      <c r="DO701" s="15">
        <v>66150.0</v>
      </c>
      <c r="DP701" s="15">
        <v>2140000.0</v>
      </c>
      <c r="DQ701" s="15">
        <v>1540000.0</v>
      </c>
      <c r="DR701" s="15">
        <v>1550000.0</v>
      </c>
      <c r="DS701" s="15">
        <v>950410.0</v>
      </c>
      <c r="DT701" s="15">
        <v>2500000.0</v>
      </c>
      <c r="DU701" s="13"/>
      <c r="DV701" s="12"/>
      <c r="DW701" s="12"/>
      <c r="DX701" s="13"/>
      <c r="DY701" s="13"/>
      <c r="DZ701" s="15">
        <v>4.018E7</v>
      </c>
      <c r="EA701" s="15">
        <v>3.81E7</v>
      </c>
      <c r="EB701" s="15">
        <v>3.562E7</v>
      </c>
      <c r="EC701" s="15">
        <v>3.166E7</v>
      </c>
      <c r="ED701" s="15">
        <v>2.773E7</v>
      </c>
      <c r="EE701" s="17">
        <v>0.0</v>
      </c>
      <c r="EF701" s="17">
        <v>0.0</v>
      </c>
      <c r="EG701" s="17">
        <v>-1.042</v>
      </c>
      <c r="EH701" s="17">
        <v>0.475</v>
      </c>
    </row>
    <row r="702">
      <c r="A702" s="9">
        <f t="shared" si="2"/>
        <v>700</v>
      </c>
      <c r="B702" s="32" t="s">
        <v>837</v>
      </c>
      <c r="C702" s="11">
        <v>1620000.0</v>
      </c>
      <c r="D702" s="11">
        <v>1530000.0</v>
      </c>
      <c r="E702" s="11">
        <v>1510000.0</v>
      </c>
      <c r="F702" s="11">
        <v>1340000.0</v>
      </c>
      <c r="G702" s="11">
        <v>1130000.0</v>
      </c>
      <c r="H702" s="11">
        <v>862980.0</v>
      </c>
      <c r="I702" s="11">
        <v>662720.0</v>
      </c>
      <c r="J702" s="11">
        <v>408370.0</v>
      </c>
      <c r="K702" s="11">
        <v>344390.0</v>
      </c>
      <c r="L702" s="11">
        <v>295620.0</v>
      </c>
      <c r="M702" s="11">
        <v>241190.0</v>
      </c>
      <c r="N702" s="11">
        <v>182030.0</v>
      </c>
      <c r="O702" s="11">
        <v>284550.0</v>
      </c>
      <c r="P702" s="11">
        <v>248480.0</v>
      </c>
      <c r="Q702" s="11">
        <v>217450.0</v>
      </c>
      <c r="R702" s="11">
        <v>172840.0</v>
      </c>
      <c r="S702" s="11">
        <v>135980.0</v>
      </c>
      <c r="T702" s="12"/>
      <c r="U702" s="12"/>
      <c r="V702" s="12"/>
      <c r="W702" s="12"/>
      <c r="X702" s="12"/>
      <c r="Y702" s="11">
        <v>121160.0</v>
      </c>
      <c r="Z702" s="11">
        <v>93220.0</v>
      </c>
      <c r="AA702" s="11">
        <v>74270.0</v>
      </c>
      <c r="AB702" s="11">
        <v>66050.0</v>
      </c>
      <c r="AC702" s="11">
        <v>-1100.0</v>
      </c>
      <c r="AD702" s="11">
        <v>92610.0</v>
      </c>
      <c r="AE702" s="11">
        <v>72190.0</v>
      </c>
      <c r="AF702" s="11">
        <v>55820.0</v>
      </c>
      <c r="AG702" s="11">
        <v>59610.0</v>
      </c>
      <c r="AH702" s="11">
        <v>41930.0</v>
      </c>
      <c r="AI702" s="11">
        <v>202890.0</v>
      </c>
      <c r="AJ702" s="11">
        <v>154640.0</v>
      </c>
      <c r="AK702" s="11">
        <v>133310.0</v>
      </c>
      <c r="AL702" s="11">
        <v>103180.0</v>
      </c>
      <c r="AM702" s="11">
        <v>69290.0</v>
      </c>
      <c r="AN702" s="11">
        <v>68160.0</v>
      </c>
      <c r="AO702" s="11">
        <v>54750.0</v>
      </c>
      <c r="AP702" s="11">
        <v>41140.0</v>
      </c>
      <c r="AQ702" s="11">
        <v>38440.0</v>
      </c>
      <c r="AR702" s="11">
        <v>26520.0</v>
      </c>
      <c r="AS702" s="11">
        <v>123070.0</v>
      </c>
      <c r="AT702" s="11">
        <v>96630.0</v>
      </c>
      <c r="AU702" s="11">
        <v>68770.0</v>
      </c>
      <c r="AV702" s="11">
        <v>73270.0</v>
      </c>
      <c r="AW702" s="11">
        <v>34550.0</v>
      </c>
      <c r="AX702" s="11">
        <v>-50170.0</v>
      </c>
      <c r="AY702" s="11">
        <v>-35230.0</v>
      </c>
      <c r="AZ702" s="11">
        <v>-31670.0</v>
      </c>
      <c r="BA702" s="11">
        <v>-27010.0</v>
      </c>
      <c r="BB702" s="11">
        <v>-27310.0</v>
      </c>
      <c r="BC702" s="12"/>
      <c r="BD702" s="12"/>
      <c r="BE702" s="12"/>
      <c r="BF702" s="12"/>
      <c r="BG702" s="12"/>
      <c r="BH702" s="11">
        <v>215850.0</v>
      </c>
      <c r="BI702" s="11">
        <v>100500.0</v>
      </c>
      <c r="BJ702" s="11">
        <v>92560.0</v>
      </c>
      <c r="BK702" s="11">
        <v>14480.0</v>
      </c>
      <c r="BL702" s="11">
        <v>6820.0</v>
      </c>
      <c r="BM702" s="11">
        <v>266660.0</v>
      </c>
      <c r="BN702" s="11">
        <v>229210.0</v>
      </c>
      <c r="BO702" s="11">
        <v>186910.0</v>
      </c>
      <c r="BP702" s="11">
        <v>128470.0</v>
      </c>
      <c r="BQ702" s="11">
        <v>103200.0</v>
      </c>
      <c r="BR702" s="11">
        <v>74610.0</v>
      </c>
      <c r="BS702" s="11">
        <v>61160.0</v>
      </c>
      <c r="BT702" s="11">
        <v>48350.0</v>
      </c>
      <c r="BU702" s="11">
        <v>40230.0</v>
      </c>
      <c r="BV702" s="11">
        <v>29340.0</v>
      </c>
      <c r="BW702" s="11">
        <v>581950.0</v>
      </c>
      <c r="BX702" s="11">
        <v>411550.0</v>
      </c>
      <c r="BY702" s="11">
        <v>354940.0</v>
      </c>
      <c r="BZ702" s="11">
        <v>192390.0</v>
      </c>
      <c r="CA702" s="11">
        <v>150230.0</v>
      </c>
      <c r="CB702" s="11">
        <v>152100.0</v>
      </c>
      <c r="CC702" s="11">
        <v>90120.0</v>
      </c>
      <c r="CD702" s="11">
        <v>81080.0</v>
      </c>
      <c r="CE702" s="11">
        <v>67790.0</v>
      </c>
      <c r="CF702" s="11">
        <v>57590.0</v>
      </c>
      <c r="CG702" s="11">
        <v>195650.0</v>
      </c>
      <c r="CH702" s="11">
        <v>173050.0</v>
      </c>
      <c r="CI702" s="11">
        <v>155470.0</v>
      </c>
      <c r="CJ702" s="11">
        <v>107090.0</v>
      </c>
      <c r="CK702" s="11">
        <v>90510.0</v>
      </c>
      <c r="CL702" s="11">
        <v>1100000.0</v>
      </c>
      <c r="CM702" s="11">
        <v>834660.0</v>
      </c>
      <c r="CN702" s="11">
        <v>738750.0</v>
      </c>
      <c r="CO702" s="11">
        <v>462100.0</v>
      </c>
      <c r="CP702" s="11">
        <v>373570.0</v>
      </c>
      <c r="CQ702" s="11">
        <v>98870.0</v>
      </c>
      <c r="CR702" s="11">
        <v>96950.0</v>
      </c>
      <c r="CS702" s="11">
        <v>87430.0</v>
      </c>
      <c r="CT702" s="11">
        <v>67920.0</v>
      </c>
      <c r="CU702" s="11">
        <v>50870.0</v>
      </c>
      <c r="CV702" s="11">
        <v>214150.0</v>
      </c>
      <c r="CW702" s="11">
        <v>15460.0</v>
      </c>
      <c r="CX702" s="13"/>
      <c r="CY702" s="13"/>
      <c r="CZ702" s="13"/>
      <c r="DA702" s="12"/>
      <c r="DB702" s="11">
        <v>214150.0</v>
      </c>
      <c r="DC702" s="11">
        <v>181690.0</v>
      </c>
      <c r="DD702" s="11">
        <v>159810.0</v>
      </c>
      <c r="DE702" s="11">
        <v>130110.0</v>
      </c>
      <c r="DF702" s="11">
        <v>849450.0</v>
      </c>
      <c r="DG702" s="11">
        <v>652160.0</v>
      </c>
      <c r="DH702" s="11">
        <v>528220.0</v>
      </c>
      <c r="DI702" s="11">
        <v>308120.0</v>
      </c>
      <c r="DJ702" s="11">
        <v>259090.0</v>
      </c>
      <c r="DK702" s="12"/>
      <c r="DL702" s="11"/>
      <c r="DM702" s="11"/>
      <c r="DN702" s="11"/>
      <c r="DO702" s="11"/>
      <c r="DP702" s="11">
        <v>578410.0</v>
      </c>
      <c r="DQ702" s="11">
        <v>436010.0</v>
      </c>
      <c r="DR702" s="11">
        <v>337410.0</v>
      </c>
      <c r="DS702" s="11">
        <v>142600.0</v>
      </c>
      <c r="DT702" s="11">
        <v>125250.0</v>
      </c>
      <c r="DU702" s="13"/>
      <c r="DV702" s="12"/>
      <c r="DW702" s="12"/>
      <c r="DX702" s="13"/>
      <c r="DY702" s="13"/>
      <c r="DZ702" s="11">
        <v>250030.0</v>
      </c>
      <c r="EA702" s="11">
        <v>182500.0</v>
      </c>
      <c r="EB702" s="11">
        <v>210530.0</v>
      </c>
      <c r="EC702" s="11">
        <v>153980.0</v>
      </c>
      <c r="ED702" s="11">
        <v>114480.0</v>
      </c>
      <c r="EE702" s="14">
        <v>0.137</v>
      </c>
      <c r="EF702" s="14">
        <v>0.13</v>
      </c>
      <c r="EG702" s="14">
        <v>0.258</v>
      </c>
      <c r="EH702" s="14">
        <v>0.119</v>
      </c>
    </row>
    <row r="703">
      <c r="A703" s="9">
        <f t="shared" si="2"/>
        <v>701</v>
      </c>
      <c r="B703" s="10" t="s">
        <v>838</v>
      </c>
      <c r="C703" s="15">
        <v>872090.0</v>
      </c>
      <c r="D703" s="15">
        <v>817470.0</v>
      </c>
      <c r="E703" s="15">
        <v>620840.0</v>
      </c>
      <c r="F703" s="15">
        <v>823610.0</v>
      </c>
      <c r="G703" s="15">
        <v>655890.0</v>
      </c>
      <c r="H703" s="15">
        <v>405750.0</v>
      </c>
      <c r="I703" s="15">
        <v>290640.0</v>
      </c>
      <c r="J703" s="15">
        <v>73350.0</v>
      </c>
      <c r="K703" s="15">
        <v>120770.0</v>
      </c>
      <c r="L703" s="15">
        <v>91880.0</v>
      </c>
      <c r="M703" s="15">
        <v>58380.0</v>
      </c>
      <c r="N703" s="15">
        <v>42140.0</v>
      </c>
      <c r="O703" s="15">
        <v>58370.0</v>
      </c>
      <c r="P703" s="15">
        <v>58100.0</v>
      </c>
      <c r="Q703" s="15">
        <v>42300.0</v>
      </c>
      <c r="R703" s="15">
        <v>33000.0</v>
      </c>
      <c r="S703" s="15">
        <v>29540.0</v>
      </c>
      <c r="T703" s="15">
        <v>11100.0</v>
      </c>
      <c r="U703" s="15">
        <v>9360.0</v>
      </c>
      <c r="V703" s="15">
        <v>7900.0</v>
      </c>
      <c r="W703" s="15">
        <v>6380.0</v>
      </c>
      <c r="X703" s="15">
        <v>4810.0</v>
      </c>
      <c r="Y703" s="15">
        <v>0.0</v>
      </c>
      <c r="Z703" s="15">
        <v>63970.0</v>
      </c>
      <c r="AA703" s="15">
        <v>46180.0</v>
      </c>
      <c r="AB703" s="15">
        <v>23870.0</v>
      </c>
      <c r="AC703" s="15">
        <v>12130.0</v>
      </c>
      <c r="AD703" s="15">
        <v>4280.0</v>
      </c>
      <c r="AE703" s="15">
        <v>54220.0</v>
      </c>
      <c r="AF703" s="15">
        <v>43030.0</v>
      </c>
      <c r="AG703" s="15">
        <v>20130.0</v>
      </c>
      <c r="AH703" s="15">
        <v>8820.0</v>
      </c>
      <c r="AI703" s="15">
        <v>36890.0</v>
      </c>
      <c r="AJ703" s="15">
        <v>85730.0</v>
      </c>
      <c r="AK703" s="15">
        <v>62060.0</v>
      </c>
      <c r="AL703" s="15">
        <v>34880.0</v>
      </c>
      <c r="AM703" s="15">
        <v>22060.0</v>
      </c>
      <c r="AN703" s="15">
        <v>10730.0</v>
      </c>
      <c r="AO703" s="15">
        <v>57880.0</v>
      </c>
      <c r="AP703" s="15">
        <v>56920.0</v>
      </c>
      <c r="AQ703" s="15">
        <v>20780.0</v>
      </c>
      <c r="AR703" s="15">
        <v>12810.0</v>
      </c>
      <c r="AS703" s="15">
        <v>57150.0</v>
      </c>
      <c r="AT703" s="15">
        <v>60480.0</v>
      </c>
      <c r="AU703" s="15">
        <v>38800.0</v>
      </c>
      <c r="AV703" s="15">
        <v>27730.0</v>
      </c>
      <c r="AW703" s="15">
        <v>26690.0</v>
      </c>
      <c r="AX703" s="15">
        <v>-20490.0</v>
      </c>
      <c r="AY703" s="15">
        <v>-13920.0</v>
      </c>
      <c r="AZ703" s="15">
        <v>-8230.0</v>
      </c>
      <c r="BA703" s="15">
        <v>-4270.0</v>
      </c>
      <c r="BB703" s="15">
        <v>-1370.0</v>
      </c>
      <c r="BC703" s="15">
        <v>0.0</v>
      </c>
      <c r="BD703" s="15">
        <v>0.0</v>
      </c>
      <c r="BE703" s="15">
        <v>0.0</v>
      </c>
      <c r="BF703" s="15">
        <v>0.0</v>
      </c>
      <c r="BG703" s="15">
        <v>-22130.0</v>
      </c>
      <c r="BH703" s="15">
        <v>60610.0</v>
      </c>
      <c r="BI703" s="15">
        <v>43830.0</v>
      </c>
      <c r="BJ703" s="15">
        <v>69300.0</v>
      </c>
      <c r="BK703" s="15">
        <v>52650.0</v>
      </c>
      <c r="BL703" s="15">
        <v>24190.0</v>
      </c>
      <c r="BM703" s="15">
        <v>84850.0</v>
      </c>
      <c r="BN703" s="15">
        <v>40290.0</v>
      </c>
      <c r="BO703" s="15">
        <v>49250.0</v>
      </c>
      <c r="BP703" s="15">
        <v>26400.0</v>
      </c>
      <c r="BQ703" s="15">
        <v>12390.0</v>
      </c>
      <c r="BR703" s="15">
        <v>127040.0</v>
      </c>
      <c r="BS703" s="15">
        <v>121110.0</v>
      </c>
      <c r="BT703" s="15">
        <v>154540.0</v>
      </c>
      <c r="BU703" s="15">
        <v>70880.0</v>
      </c>
      <c r="BV703" s="15">
        <v>31290.0</v>
      </c>
      <c r="BW703" s="15">
        <v>276950.0</v>
      </c>
      <c r="BX703" s="15">
        <v>211580.0</v>
      </c>
      <c r="BY703" s="15">
        <v>278450.0</v>
      </c>
      <c r="BZ703" s="15">
        <v>157090.0</v>
      </c>
      <c r="CA703" s="15">
        <v>88330.0</v>
      </c>
      <c r="CB703" s="15">
        <v>58740.0</v>
      </c>
      <c r="CC703" s="15">
        <v>41740.0</v>
      </c>
      <c r="CD703" s="15">
        <v>34380.0</v>
      </c>
      <c r="CE703" s="15">
        <v>12020.0</v>
      </c>
      <c r="CF703" s="15">
        <v>7480.0</v>
      </c>
      <c r="CG703" s="15">
        <v>173010.0</v>
      </c>
      <c r="CH703" s="15">
        <v>173010.0</v>
      </c>
      <c r="CI703" s="15">
        <v>169400.0</v>
      </c>
      <c r="CJ703" s="15">
        <v>77090.0</v>
      </c>
      <c r="CK703" s="15">
        <v>70020.0</v>
      </c>
      <c r="CL703" s="15">
        <v>566560.0</v>
      </c>
      <c r="CM703" s="15">
        <v>485490.0</v>
      </c>
      <c r="CN703" s="15">
        <v>557680.0</v>
      </c>
      <c r="CO703" s="15">
        <v>282490.0</v>
      </c>
      <c r="CP703" s="15">
        <v>198020.0</v>
      </c>
      <c r="CQ703" s="15">
        <v>131580.0</v>
      </c>
      <c r="CR703" s="15">
        <v>64300.0</v>
      </c>
      <c r="CS703" s="15">
        <v>121410.0</v>
      </c>
      <c r="CT703" s="15">
        <v>88530.0</v>
      </c>
      <c r="CU703" s="15">
        <v>42030.0</v>
      </c>
      <c r="CV703" s="15">
        <v>163870.0</v>
      </c>
      <c r="CW703" s="15">
        <v>5490.0</v>
      </c>
      <c r="CX703" s="15">
        <v>0.0</v>
      </c>
      <c r="CY703" s="16">
        <v>0.0</v>
      </c>
      <c r="CZ703" s="16">
        <v>0.0</v>
      </c>
      <c r="DA703" s="15">
        <v>0.0</v>
      </c>
      <c r="DB703" s="15">
        <v>163870.0</v>
      </c>
      <c r="DC703" s="15">
        <v>87750.0</v>
      </c>
      <c r="DD703" s="15">
        <v>147220.0</v>
      </c>
      <c r="DE703" s="15">
        <v>101070.0</v>
      </c>
      <c r="DF703" s="15">
        <v>345140.0</v>
      </c>
      <c r="DG703" s="15">
        <v>287160.0</v>
      </c>
      <c r="DH703" s="15">
        <v>340920.0</v>
      </c>
      <c r="DI703" s="15">
        <v>140830.0</v>
      </c>
      <c r="DJ703" s="15">
        <v>123350.0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178390.0</v>
      </c>
      <c r="DQ703" s="15">
        <v>192120.0</v>
      </c>
      <c r="DR703" s="15">
        <v>180250.0</v>
      </c>
      <c r="DS703" s="15">
        <v>37940.0</v>
      </c>
      <c r="DT703" s="15">
        <v>58040.0</v>
      </c>
      <c r="DU703" s="16">
        <v>0.0</v>
      </c>
      <c r="DV703" s="15">
        <v>0.0</v>
      </c>
      <c r="DW703" s="15">
        <v>0.0</v>
      </c>
      <c r="DX703" s="15">
        <v>0.0</v>
      </c>
      <c r="DY703" s="15">
        <v>142730.0</v>
      </c>
      <c r="DZ703" s="15">
        <v>221420.0</v>
      </c>
      <c r="EA703" s="15">
        <v>198330.0</v>
      </c>
      <c r="EB703" s="15">
        <v>216760.0</v>
      </c>
      <c r="EC703" s="15">
        <v>141660.0</v>
      </c>
      <c r="ED703" s="15">
        <v>74680.0</v>
      </c>
      <c r="EE703" s="17">
        <v>0.098</v>
      </c>
      <c r="EF703" s="17">
        <v>0.125</v>
      </c>
      <c r="EG703" s="17">
        <v>-0.133</v>
      </c>
      <c r="EH703" s="17">
        <v>-0.036</v>
      </c>
    </row>
    <row r="704">
      <c r="A704" s="9">
        <f t="shared" si="2"/>
        <v>702</v>
      </c>
      <c r="B704" s="25" t="s">
        <v>839</v>
      </c>
      <c r="C704" s="15">
        <v>5380000.0</v>
      </c>
      <c r="D704" s="15">
        <v>5000000.0</v>
      </c>
      <c r="E704" s="15">
        <v>1.878E7</v>
      </c>
      <c r="F704" s="15">
        <v>1.998E7</v>
      </c>
      <c r="G704" s="15">
        <v>1.949E7</v>
      </c>
      <c r="H704" s="15">
        <v>2.059E7</v>
      </c>
      <c r="I704" s="15">
        <v>2.1E7</v>
      </c>
      <c r="J704" s="15">
        <v>6240000.0</v>
      </c>
      <c r="K704" s="15">
        <v>6600000.0</v>
      </c>
      <c r="L704" s="15">
        <v>6010000.0</v>
      </c>
      <c r="M704" s="15">
        <v>6370000.0</v>
      </c>
      <c r="N704" s="15">
        <v>6870000.0</v>
      </c>
      <c r="O704" s="15">
        <v>3610000.0</v>
      </c>
      <c r="P704" s="15">
        <v>3920000.0</v>
      </c>
      <c r="Q704" s="15">
        <v>3820000.0</v>
      </c>
      <c r="R704" s="15">
        <v>4280000.0</v>
      </c>
      <c r="S704" s="15">
        <v>4010000.0</v>
      </c>
      <c r="T704" s="15">
        <v>178150.0</v>
      </c>
      <c r="U704" s="15">
        <v>197740.0</v>
      </c>
      <c r="V704" s="15">
        <v>197830.0</v>
      </c>
      <c r="W704" s="15">
        <v>280230.0</v>
      </c>
      <c r="X704" s="15">
        <v>287510.0</v>
      </c>
      <c r="Y704" s="15">
        <v>2920000.0</v>
      </c>
      <c r="Z704" s="15">
        <v>2040000.0</v>
      </c>
      <c r="AA704" s="15">
        <v>2350000.0</v>
      </c>
      <c r="AB704" s="15">
        <v>84450.0</v>
      </c>
      <c r="AC704" s="15">
        <v>1910000.0</v>
      </c>
      <c r="AD704" s="15">
        <v>2230000.0</v>
      </c>
      <c r="AE704" s="15">
        <v>4890000.0</v>
      </c>
      <c r="AF704" s="15">
        <v>1820000.0</v>
      </c>
      <c r="AG704" s="15">
        <v>-518230.0</v>
      </c>
      <c r="AH704" s="15">
        <v>2550000.0</v>
      </c>
      <c r="AI704" s="15">
        <v>4240000.0</v>
      </c>
      <c r="AJ704" s="15">
        <v>4060000.0</v>
      </c>
      <c r="AK704" s="15">
        <v>3530000.0</v>
      </c>
      <c r="AL704" s="15">
        <v>3360000.0</v>
      </c>
      <c r="AM704" s="15">
        <v>3850000.0</v>
      </c>
      <c r="AN704" s="15">
        <v>1690000.0</v>
      </c>
      <c r="AO704" s="15">
        <v>4460000.0</v>
      </c>
      <c r="AP704" s="15">
        <v>1310000.0</v>
      </c>
      <c r="AQ704" s="15">
        <v>-468330.0</v>
      </c>
      <c r="AR704" s="15">
        <v>1980000.0</v>
      </c>
      <c r="AS704" s="15">
        <v>3550000.0</v>
      </c>
      <c r="AT704" s="15">
        <v>2240000.0</v>
      </c>
      <c r="AU704" s="15">
        <v>3060000.0</v>
      </c>
      <c r="AV704" s="15">
        <v>3710000.0</v>
      </c>
      <c r="AW704" s="15">
        <v>2300000.0</v>
      </c>
      <c r="AX704" s="15">
        <v>-2050000.0</v>
      </c>
      <c r="AY704" s="15">
        <v>-2060000.0</v>
      </c>
      <c r="AZ704" s="15">
        <v>-1640000.0</v>
      </c>
      <c r="BA704" s="15">
        <v>-2430000.0</v>
      </c>
      <c r="BB704" s="15">
        <v>-2400000.0</v>
      </c>
      <c r="BC704" s="15">
        <v>-972700.0</v>
      </c>
      <c r="BD704" s="15">
        <v>-866460.0</v>
      </c>
      <c r="BE704" s="15">
        <v>-852480.0</v>
      </c>
      <c r="BF704" s="15">
        <v>-621880.0</v>
      </c>
      <c r="BG704" s="15">
        <v>-1350000.0</v>
      </c>
      <c r="BH704" s="15">
        <v>659710.0</v>
      </c>
      <c r="BI704" s="15">
        <v>795930.0</v>
      </c>
      <c r="BJ704" s="15">
        <v>600600.0</v>
      </c>
      <c r="BK704" s="15">
        <v>377170.0</v>
      </c>
      <c r="BL704" s="15">
        <v>731520.0</v>
      </c>
      <c r="BM704" s="15">
        <v>3900000.0</v>
      </c>
      <c r="BN704" s="15">
        <v>4610000.0</v>
      </c>
      <c r="BO704" s="15">
        <v>3870000.0</v>
      </c>
      <c r="BP704" s="15">
        <v>4420000.0</v>
      </c>
      <c r="BQ704" s="15">
        <v>5000000.0</v>
      </c>
      <c r="BR704" s="15">
        <v>4530000.0</v>
      </c>
      <c r="BS704" s="15">
        <v>4820000.0</v>
      </c>
      <c r="BT704" s="15">
        <v>4290000.0</v>
      </c>
      <c r="BU704" s="15">
        <v>4930000.0</v>
      </c>
      <c r="BV704" s="15">
        <v>5370000.0</v>
      </c>
      <c r="BW704" s="15">
        <v>9270000.0</v>
      </c>
      <c r="BX704" s="15">
        <v>1.042E7</v>
      </c>
      <c r="BY704" s="15">
        <v>9460000.0</v>
      </c>
      <c r="BZ704" s="15">
        <v>9890000.0</v>
      </c>
      <c r="CA704" s="15">
        <v>1.161E7</v>
      </c>
      <c r="CB704" s="15">
        <v>1.841E7</v>
      </c>
      <c r="CC704" s="15">
        <v>1.742E7</v>
      </c>
      <c r="CD704" s="15">
        <v>1.57E7</v>
      </c>
      <c r="CE704" s="15">
        <v>1.658E7</v>
      </c>
      <c r="CF704" s="15">
        <v>1.639E7</v>
      </c>
      <c r="CG704" s="15">
        <v>1040000.0</v>
      </c>
      <c r="CH704" s="15">
        <v>1150000.0</v>
      </c>
      <c r="CI704" s="15">
        <v>1130000.0</v>
      </c>
      <c r="CJ704" s="15">
        <v>1450000.0</v>
      </c>
      <c r="CK704" s="15">
        <v>1360000.0</v>
      </c>
      <c r="CL704" s="15">
        <v>3.168E7</v>
      </c>
      <c r="CM704" s="15">
        <v>3.279E7</v>
      </c>
      <c r="CN704" s="15">
        <v>3.025E7</v>
      </c>
      <c r="CO704" s="15">
        <v>3.291E7</v>
      </c>
      <c r="CP704" s="15">
        <v>3.532E7</v>
      </c>
      <c r="CQ704" s="15">
        <v>2460000.0</v>
      </c>
      <c r="CR704" s="15">
        <v>2670000.0</v>
      </c>
      <c r="CS704" s="15">
        <v>2740000.0</v>
      </c>
      <c r="CT704" s="15">
        <v>2480000.0</v>
      </c>
      <c r="CU704" s="15">
        <v>2790000.0</v>
      </c>
      <c r="CV704" s="15">
        <v>6080000.0</v>
      </c>
      <c r="CW704" s="15">
        <v>1240000.0</v>
      </c>
      <c r="CX704" s="15">
        <v>2030000.0</v>
      </c>
      <c r="CY704" s="15">
        <v>2810000.0</v>
      </c>
      <c r="CZ704" s="15">
        <v>2200000.0</v>
      </c>
      <c r="DA704" s="15">
        <v>2570000.0</v>
      </c>
      <c r="DB704" s="15">
        <v>6080000.0</v>
      </c>
      <c r="DC704" s="15">
        <v>7510000.0</v>
      </c>
      <c r="DD704" s="15">
        <v>8080000.0</v>
      </c>
      <c r="DE704" s="15">
        <v>7790000.0</v>
      </c>
      <c r="DF704" s="15">
        <v>1.766E7</v>
      </c>
      <c r="DG704" s="15">
        <v>1.816E7</v>
      </c>
      <c r="DH704" s="15">
        <v>2.008E7</v>
      </c>
      <c r="DI704" s="15">
        <v>2.268E7</v>
      </c>
      <c r="DJ704" s="15">
        <v>2.291E7</v>
      </c>
      <c r="DK704" s="15">
        <v>680440.0</v>
      </c>
      <c r="DL704" s="15">
        <v>709980.0</v>
      </c>
      <c r="DM704" s="15">
        <v>1060000.0</v>
      </c>
      <c r="DN704" s="15">
        <v>1570000.0</v>
      </c>
      <c r="DO704" s="15">
        <v>626460.0</v>
      </c>
      <c r="DP704" s="15">
        <v>7530000.0</v>
      </c>
      <c r="DQ704" s="15">
        <v>6780000.0</v>
      </c>
      <c r="DR704" s="15">
        <v>8290000.0</v>
      </c>
      <c r="DS704" s="15">
        <v>1.076E7</v>
      </c>
      <c r="DT704" s="15">
        <v>1.091E7</v>
      </c>
      <c r="DU704" s="13"/>
      <c r="DV704" s="12"/>
      <c r="DW704" s="12"/>
      <c r="DX704" s="12"/>
      <c r="DY704" s="13"/>
      <c r="DZ704" s="15">
        <v>1.356E7</v>
      </c>
      <c r="EA704" s="15">
        <v>1.413E7</v>
      </c>
      <c r="EB704" s="15">
        <v>9930000.0</v>
      </c>
      <c r="EC704" s="15">
        <v>9910000.0</v>
      </c>
      <c r="ED704" s="15">
        <v>1.178E7</v>
      </c>
      <c r="EE704" s="23"/>
      <c r="EF704" s="23"/>
      <c r="EG704" s="17">
        <v>0.0</v>
      </c>
      <c r="EH704" s="17">
        <v>0.051</v>
      </c>
    </row>
    <row r="705">
      <c r="A705" s="9">
        <f t="shared" si="2"/>
        <v>703</v>
      </c>
      <c r="B705" s="22" t="s">
        <v>840</v>
      </c>
      <c r="C705" s="11">
        <v>3050000.0</v>
      </c>
      <c r="D705" s="11">
        <v>2720000.0</v>
      </c>
      <c r="E705" s="11">
        <v>2810000.0</v>
      </c>
      <c r="F705" s="11">
        <v>2600000.0</v>
      </c>
      <c r="G705" s="11">
        <v>1760000.0</v>
      </c>
      <c r="H705" s="11">
        <v>1670000.0</v>
      </c>
      <c r="I705" s="11">
        <v>1570000.0</v>
      </c>
      <c r="J705" s="11">
        <v>770150.0</v>
      </c>
      <c r="K705" s="11">
        <v>711640.0</v>
      </c>
      <c r="L705" s="11">
        <v>669830.0</v>
      </c>
      <c r="M705" s="11">
        <v>645580.0</v>
      </c>
      <c r="N705" s="11">
        <v>608320.0</v>
      </c>
      <c r="O705" s="11">
        <v>336160.0</v>
      </c>
      <c r="P705" s="11">
        <v>329670.0</v>
      </c>
      <c r="Q705" s="11">
        <v>321980.0</v>
      </c>
      <c r="R705" s="11">
        <v>323630.0</v>
      </c>
      <c r="S705" s="11">
        <v>330390.0</v>
      </c>
      <c r="T705" s="12"/>
      <c r="U705" s="12"/>
      <c r="V705" s="12"/>
      <c r="W705" s="12"/>
      <c r="X705" s="12"/>
      <c r="Y705" s="12"/>
      <c r="Z705" s="11">
        <v>369480.0</v>
      </c>
      <c r="AA705" s="11">
        <v>346100.0</v>
      </c>
      <c r="AB705" s="11">
        <v>313790.0</v>
      </c>
      <c r="AC705" s="12"/>
      <c r="AD705" s="11">
        <v>426990.0</v>
      </c>
      <c r="AE705" s="11">
        <v>364610.0</v>
      </c>
      <c r="AF705" s="11">
        <v>328060.0</v>
      </c>
      <c r="AG705" s="11">
        <v>300170.0</v>
      </c>
      <c r="AH705" s="11">
        <v>278850.0</v>
      </c>
      <c r="AI705" s="11">
        <v>525920.0</v>
      </c>
      <c r="AJ705" s="11">
        <v>447890.0</v>
      </c>
      <c r="AK705" s="11">
        <v>409100.0</v>
      </c>
      <c r="AL705" s="11">
        <v>381520.0</v>
      </c>
      <c r="AM705" s="11">
        <v>335610.0</v>
      </c>
      <c r="AN705" s="11">
        <v>373990.0</v>
      </c>
      <c r="AO705" s="11">
        <v>322660.0</v>
      </c>
      <c r="AP705" s="11">
        <v>281490.0</v>
      </c>
      <c r="AQ705" s="11">
        <v>262180.0</v>
      </c>
      <c r="AR705" s="11">
        <v>239540.0</v>
      </c>
      <c r="AS705" s="11">
        <v>412540.0</v>
      </c>
      <c r="AT705" s="11">
        <v>267820.0</v>
      </c>
      <c r="AU705" s="11">
        <v>383080.0</v>
      </c>
      <c r="AV705" s="11">
        <v>259200.0</v>
      </c>
      <c r="AW705" s="11">
        <v>279070.0</v>
      </c>
      <c r="AX705" s="11">
        <v>-50650.0</v>
      </c>
      <c r="AY705" s="11">
        <v>-48400.0</v>
      </c>
      <c r="AZ705" s="11">
        <v>-44720.0</v>
      </c>
      <c r="BA705" s="11">
        <v>-42600.0</v>
      </c>
      <c r="BB705" s="11">
        <v>-49730.0</v>
      </c>
      <c r="BC705" s="12"/>
      <c r="BD705" s="12"/>
      <c r="BE705" s="12"/>
      <c r="BF705" s="12"/>
      <c r="BG705" s="12"/>
      <c r="BH705" s="11">
        <v>569940.0</v>
      </c>
      <c r="BI705" s="11">
        <v>455760.0</v>
      </c>
      <c r="BJ705" s="11">
        <v>360450.0</v>
      </c>
      <c r="BK705" s="11">
        <v>260590.0</v>
      </c>
      <c r="BL705" s="11">
        <v>189900.0</v>
      </c>
      <c r="BM705" s="11">
        <v>1010000.0</v>
      </c>
      <c r="BN705" s="11">
        <v>837620.0</v>
      </c>
      <c r="BO705" s="11">
        <v>706190.0</v>
      </c>
      <c r="BP705" s="11">
        <v>662200.0</v>
      </c>
      <c r="BQ705" s="11">
        <v>636710.0</v>
      </c>
      <c r="BR705" s="12"/>
      <c r="BS705" s="12"/>
      <c r="BT705" s="12"/>
      <c r="BU705" s="12"/>
      <c r="BV705" s="12"/>
      <c r="BW705" s="11">
        <v>1620000.0</v>
      </c>
      <c r="BX705" s="11">
        <v>1330000.0</v>
      </c>
      <c r="BY705" s="11">
        <v>1100000.0</v>
      </c>
      <c r="BZ705" s="11">
        <v>957960.0</v>
      </c>
      <c r="CA705" s="11">
        <v>862740.0</v>
      </c>
      <c r="CB705" s="11">
        <v>270060.0</v>
      </c>
      <c r="CC705" s="11">
        <v>158670.0</v>
      </c>
      <c r="CD705" s="11">
        <v>163050.0</v>
      </c>
      <c r="CE705" s="11">
        <v>148970.0</v>
      </c>
      <c r="CF705" s="11">
        <v>150220.0</v>
      </c>
      <c r="CG705" s="11">
        <v>883170.0</v>
      </c>
      <c r="CH705" s="11">
        <v>756260.0</v>
      </c>
      <c r="CI705" s="11">
        <v>769060.0</v>
      </c>
      <c r="CJ705" s="11">
        <v>616090.0</v>
      </c>
      <c r="CK705" s="11">
        <v>588430.0</v>
      </c>
      <c r="CL705" s="11">
        <v>2910000.0</v>
      </c>
      <c r="CM705" s="11">
        <v>2350000.0</v>
      </c>
      <c r="CN705" s="11">
        <v>2150000.0</v>
      </c>
      <c r="CO705" s="11">
        <v>1830000.0</v>
      </c>
      <c r="CP705" s="11">
        <v>1720000.0</v>
      </c>
      <c r="CQ705" s="11">
        <v>24050.0</v>
      </c>
      <c r="CR705" s="11">
        <v>13290.0</v>
      </c>
      <c r="CS705" s="11">
        <v>18590.0</v>
      </c>
      <c r="CT705" s="11">
        <v>8700.0</v>
      </c>
      <c r="CU705" s="11">
        <v>7020.0</v>
      </c>
      <c r="CV705" s="11">
        <v>1130000.0</v>
      </c>
      <c r="CW705" s="11">
        <v>28320.0</v>
      </c>
      <c r="CX705" s="12"/>
      <c r="CY705" s="12"/>
      <c r="CZ705" s="12"/>
      <c r="DA705" s="12"/>
      <c r="DB705" s="11">
        <v>1130000.0</v>
      </c>
      <c r="DC705" s="11">
        <v>610620.0</v>
      </c>
      <c r="DD705" s="11">
        <v>566060.0</v>
      </c>
      <c r="DE705" s="11">
        <v>494410.0</v>
      </c>
      <c r="DF705" s="11">
        <v>1250000.0</v>
      </c>
      <c r="DG705" s="11">
        <v>999100.0</v>
      </c>
      <c r="DH705" s="11">
        <v>954650.0</v>
      </c>
      <c r="DI705" s="11">
        <v>879780.0</v>
      </c>
      <c r="DJ705" s="11">
        <v>953150.0</v>
      </c>
      <c r="DK705" s="11">
        <v>10050.0</v>
      </c>
      <c r="DL705" s="11">
        <v>6960.0</v>
      </c>
      <c r="DM705" s="12"/>
      <c r="DN705" s="12"/>
      <c r="DO705" s="12"/>
      <c r="DP705" s="11">
        <v>76590.0</v>
      </c>
      <c r="DQ705" s="11">
        <v>349260.0</v>
      </c>
      <c r="DR705" s="11">
        <v>348890.0</v>
      </c>
      <c r="DS705" s="11">
        <v>348510.0</v>
      </c>
      <c r="DT705" s="11">
        <v>348310.0</v>
      </c>
      <c r="DU705" s="13"/>
      <c r="DV705" s="12"/>
      <c r="DW705" s="12"/>
      <c r="DX705" s="13"/>
      <c r="DY705" s="13"/>
      <c r="DZ705" s="11">
        <v>1620000.0</v>
      </c>
      <c r="EA705" s="11">
        <v>1350000.0</v>
      </c>
      <c r="EB705" s="11">
        <v>1190000.0</v>
      </c>
      <c r="EC705" s="11">
        <v>945170.0</v>
      </c>
      <c r="ED705" s="11">
        <v>763100.0</v>
      </c>
      <c r="EE705" s="14">
        <v>0.018</v>
      </c>
      <c r="EF705" s="14">
        <v>0.092</v>
      </c>
      <c r="EG705" s="14">
        <v>0.091</v>
      </c>
      <c r="EH705" s="14">
        <v>0.026</v>
      </c>
    </row>
    <row r="706">
      <c r="A706" s="9">
        <f t="shared" si="2"/>
        <v>704</v>
      </c>
      <c r="B706" s="22" t="s">
        <v>841</v>
      </c>
      <c r="C706" s="11">
        <v>368970.0</v>
      </c>
      <c r="D706" s="11">
        <v>312980.0</v>
      </c>
      <c r="E706" s="11">
        <v>252000.0</v>
      </c>
      <c r="F706" s="11">
        <v>179800.0</v>
      </c>
      <c r="G706" s="11">
        <v>130960.0</v>
      </c>
      <c r="H706" s="11">
        <v>24950.0</v>
      </c>
      <c r="I706" s="11">
        <v>2780.0</v>
      </c>
      <c r="J706" s="11">
        <v>238740.0</v>
      </c>
      <c r="K706" s="11">
        <v>172700.0</v>
      </c>
      <c r="L706" s="11">
        <v>124980.0</v>
      </c>
      <c r="M706" s="12"/>
      <c r="N706" s="12"/>
      <c r="O706" s="11">
        <v>551170.0</v>
      </c>
      <c r="P706" s="11">
        <v>458190.0</v>
      </c>
      <c r="Q706" s="11">
        <v>455400.0</v>
      </c>
      <c r="R706" s="11">
        <v>378660.0</v>
      </c>
      <c r="S706" s="11">
        <v>230250.0</v>
      </c>
      <c r="T706" s="11">
        <v>242800.0</v>
      </c>
      <c r="U706" s="11">
        <v>207300.0</v>
      </c>
      <c r="V706" s="11">
        <v>190200.0</v>
      </c>
      <c r="W706" s="11">
        <v>153890.0</v>
      </c>
      <c r="X706" s="11">
        <v>128190.0</v>
      </c>
      <c r="Y706" s="12"/>
      <c r="Z706" s="12"/>
      <c r="AA706" s="11">
        <v>-335610.0</v>
      </c>
      <c r="AB706" s="11">
        <v>-402540.0</v>
      </c>
      <c r="AC706" s="12"/>
      <c r="AD706" s="11">
        <v>-344680.0</v>
      </c>
      <c r="AE706" s="11">
        <v>-309240.0</v>
      </c>
      <c r="AF706" s="11">
        <v>-360370.0</v>
      </c>
      <c r="AG706" s="11">
        <v>-412830.0</v>
      </c>
      <c r="AH706" s="11">
        <v>-226430.0</v>
      </c>
      <c r="AI706" s="11">
        <v>-303380.0</v>
      </c>
      <c r="AJ706" s="11">
        <v>-280910.0</v>
      </c>
      <c r="AK706" s="11">
        <v>-325810.0</v>
      </c>
      <c r="AL706" s="11">
        <v>-353710.0</v>
      </c>
      <c r="AM706" s="11">
        <v>-227470.0</v>
      </c>
      <c r="AN706" s="11">
        <v>-344680.0</v>
      </c>
      <c r="AO706" s="11">
        <v>-309240.0</v>
      </c>
      <c r="AP706" s="11">
        <v>-360370.0</v>
      </c>
      <c r="AQ706" s="11">
        <v>-412830.0</v>
      </c>
      <c r="AR706" s="11">
        <v>-226430.0</v>
      </c>
      <c r="AS706" s="11">
        <v>-229850.0</v>
      </c>
      <c r="AT706" s="11">
        <v>-240710.0</v>
      </c>
      <c r="AU706" s="11">
        <v>-265400.0</v>
      </c>
      <c r="AV706" s="11">
        <v>-342440.0</v>
      </c>
      <c r="AW706" s="11">
        <v>-162900.0</v>
      </c>
      <c r="AX706" s="11">
        <v>-1140.0</v>
      </c>
      <c r="AY706" s="11">
        <v>-167.0</v>
      </c>
      <c r="AZ706" s="11">
        <v>-10390.0</v>
      </c>
      <c r="BA706" s="11">
        <v>-5080.0</v>
      </c>
      <c r="BB706" s="11">
        <v>-5940.0</v>
      </c>
      <c r="BC706" s="12"/>
      <c r="BD706" s="12"/>
      <c r="BE706" s="12"/>
      <c r="BF706" s="12"/>
      <c r="BG706" s="12"/>
      <c r="BH706" s="11">
        <v>657350.0</v>
      </c>
      <c r="BI706" s="11">
        <v>436160.0</v>
      </c>
      <c r="BJ706" s="11">
        <v>414920.0</v>
      </c>
      <c r="BK706" s="11">
        <v>689390.0</v>
      </c>
      <c r="BL706" s="11">
        <v>628060.0</v>
      </c>
      <c r="BM706" s="11">
        <v>38040.0</v>
      </c>
      <c r="BN706" s="11">
        <v>25690.0</v>
      </c>
      <c r="BO706" s="11">
        <v>18570.0</v>
      </c>
      <c r="BP706" s="11">
        <v>12340.0</v>
      </c>
      <c r="BQ706" s="11">
        <v>3690.0</v>
      </c>
      <c r="BR706" s="12"/>
      <c r="BS706" s="12"/>
      <c r="BT706" s="12"/>
      <c r="BU706" s="12"/>
      <c r="BV706" s="12"/>
      <c r="BW706" s="11">
        <v>721320.0</v>
      </c>
      <c r="BX706" s="11">
        <v>482430.0</v>
      </c>
      <c r="BY706" s="11">
        <v>448310.0</v>
      </c>
      <c r="BZ706" s="11">
        <v>707870.0</v>
      </c>
      <c r="CA706" s="11">
        <v>641690.0</v>
      </c>
      <c r="CB706" s="11">
        <v>18450.0</v>
      </c>
      <c r="CC706" s="11">
        <v>10410.0</v>
      </c>
      <c r="CD706" s="11">
        <v>16180.0</v>
      </c>
      <c r="CE706" s="11">
        <v>11300.0</v>
      </c>
      <c r="CF706" s="11">
        <v>10050.0</v>
      </c>
      <c r="CG706" s="12"/>
      <c r="CH706" s="12"/>
      <c r="CI706" s="12"/>
      <c r="CJ706" s="12"/>
      <c r="CK706" s="12"/>
      <c r="CL706" s="11">
        <v>754890.0</v>
      </c>
      <c r="CM706" s="11">
        <v>509170.0</v>
      </c>
      <c r="CN706" s="11">
        <v>484350.0</v>
      </c>
      <c r="CO706" s="11">
        <v>739250.0</v>
      </c>
      <c r="CP706" s="11">
        <v>655760.0</v>
      </c>
      <c r="CQ706" s="11">
        <v>18980.0</v>
      </c>
      <c r="CR706" s="11">
        <v>11770.0</v>
      </c>
      <c r="CS706" s="11">
        <v>6970.0</v>
      </c>
      <c r="CT706" s="11">
        <v>6720.0</v>
      </c>
      <c r="CU706" s="11">
        <v>4170.0</v>
      </c>
      <c r="CV706" s="11">
        <v>162010.0</v>
      </c>
      <c r="CW706" s="11">
        <v>6460.0</v>
      </c>
      <c r="CX706" s="12"/>
      <c r="CY706" s="12"/>
      <c r="CZ706" s="12"/>
      <c r="DA706" s="12"/>
      <c r="DB706" s="11">
        <v>162010.0</v>
      </c>
      <c r="DC706" s="11">
        <v>114210.0</v>
      </c>
      <c r="DD706" s="11">
        <v>104030.0</v>
      </c>
      <c r="DE706" s="11">
        <v>78510.0</v>
      </c>
      <c r="DF706" s="11">
        <v>703330.0</v>
      </c>
      <c r="DG706" s="11">
        <v>490040.0</v>
      </c>
      <c r="DH706" s="11">
        <v>467960.0</v>
      </c>
      <c r="DI706" s="11">
        <v>424320.0</v>
      </c>
      <c r="DJ706" s="11">
        <v>53610.0</v>
      </c>
      <c r="DK706" s="12"/>
      <c r="DL706" s="12"/>
      <c r="DM706" s="12"/>
      <c r="DN706" s="12"/>
      <c r="DO706" s="11">
        <v>4020.0</v>
      </c>
      <c r="DP706" s="11">
        <v>541300.0</v>
      </c>
      <c r="DQ706" s="11">
        <v>371250.0</v>
      </c>
      <c r="DR706" s="11">
        <v>355680.0</v>
      </c>
      <c r="DS706" s="11">
        <v>341360.0</v>
      </c>
      <c r="DT706" s="12"/>
      <c r="DU706" s="13"/>
      <c r="DV706" s="12"/>
      <c r="DW706" s="12"/>
      <c r="DX706" s="13"/>
      <c r="DY706" s="13"/>
      <c r="DZ706" s="11">
        <v>51560.0</v>
      </c>
      <c r="EA706" s="11">
        <v>19130.0</v>
      </c>
      <c r="EB706" s="11">
        <v>16390.0</v>
      </c>
      <c r="EC706" s="11">
        <v>314930.0</v>
      </c>
      <c r="ED706" s="11">
        <v>602150.0</v>
      </c>
      <c r="EE706" s="14">
        <v>0.058</v>
      </c>
      <c r="EF706" s="14">
        <v>0.453</v>
      </c>
      <c r="EG706" s="14">
        <v>0.342</v>
      </c>
      <c r="EH706" s="14">
        <v>0.043</v>
      </c>
    </row>
    <row r="707">
      <c r="A707" s="9">
        <f t="shared" si="2"/>
        <v>705</v>
      </c>
      <c r="B707" s="22" t="s">
        <v>842</v>
      </c>
      <c r="C707" s="11">
        <v>2880000.0</v>
      </c>
      <c r="D707" s="11">
        <v>2600000.0</v>
      </c>
      <c r="E707" s="11">
        <v>2410000.0</v>
      </c>
      <c r="F707" s="11">
        <v>2210000.0</v>
      </c>
      <c r="G707" s="11">
        <v>1970000.0</v>
      </c>
      <c r="H707" s="11">
        <v>1780000.0</v>
      </c>
      <c r="I707" s="11">
        <v>1600000.0</v>
      </c>
      <c r="J707" s="11">
        <v>1350000.0</v>
      </c>
      <c r="K707" s="11">
        <v>1240000.0</v>
      </c>
      <c r="L707" s="11">
        <v>1100000.0</v>
      </c>
      <c r="M707" s="11">
        <v>971820.0</v>
      </c>
      <c r="N707" s="11">
        <v>869390.0</v>
      </c>
      <c r="O707" s="11">
        <v>811740.0</v>
      </c>
      <c r="P707" s="11">
        <v>747580.0</v>
      </c>
      <c r="Q707" s="11">
        <v>684350.0</v>
      </c>
      <c r="R707" s="11">
        <v>625200.0</v>
      </c>
      <c r="S707" s="11">
        <v>581950.0</v>
      </c>
      <c r="T707" s="11">
        <v>133190.0</v>
      </c>
      <c r="U707" s="11">
        <v>117860.0</v>
      </c>
      <c r="V707" s="11">
        <v>109180.0</v>
      </c>
      <c r="W707" s="11">
        <v>101120.0</v>
      </c>
      <c r="X707" s="11">
        <v>99680.0</v>
      </c>
      <c r="Y707" s="11">
        <v>544620.0</v>
      </c>
      <c r="Z707" s="11">
        <v>492310.0</v>
      </c>
      <c r="AA707" s="12"/>
      <c r="AB707" s="12"/>
      <c r="AC707" s="11">
        <v>279230.0</v>
      </c>
      <c r="AD707" s="11">
        <v>522220.0</v>
      </c>
      <c r="AE707" s="11">
        <v>457740.0</v>
      </c>
      <c r="AF707" s="11">
        <v>381060.0</v>
      </c>
      <c r="AG707" s="11">
        <v>321850.0</v>
      </c>
      <c r="AH707" s="11">
        <v>273140.0</v>
      </c>
      <c r="AI707" s="11">
        <v>631200.0</v>
      </c>
      <c r="AJ707" s="11">
        <v>578120.0</v>
      </c>
      <c r="AK707" s="11">
        <v>496140.0</v>
      </c>
      <c r="AL707" s="11">
        <v>424840.0</v>
      </c>
      <c r="AM707" s="11">
        <v>356400.0</v>
      </c>
      <c r="AN707" s="11">
        <v>427720.0</v>
      </c>
      <c r="AO707" s="11">
        <v>377030.0</v>
      </c>
      <c r="AP707" s="11">
        <v>263140.0</v>
      </c>
      <c r="AQ707" s="11">
        <v>222050.0</v>
      </c>
      <c r="AR707" s="11">
        <v>192080.0</v>
      </c>
      <c r="AS707" s="11">
        <v>459160.0</v>
      </c>
      <c r="AT707" s="11">
        <v>400080.0</v>
      </c>
      <c r="AU707" s="11">
        <v>373280.0</v>
      </c>
      <c r="AV707" s="11">
        <v>334520.0</v>
      </c>
      <c r="AW707" s="11">
        <v>216360.0</v>
      </c>
      <c r="AX707" s="11">
        <v>-155220.0</v>
      </c>
      <c r="AY707" s="11">
        <v>-122940.0</v>
      </c>
      <c r="AZ707" s="11">
        <v>-76700.0</v>
      </c>
      <c r="BA707" s="11">
        <v>-64790.0</v>
      </c>
      <c r="BB707" s="11">
        <v>-82920.0</v>
      </c>
      <c r="BC707" s="12"/>
      <c r="BD707" s="12"/>
      <c r="BE707" s="12"/>
      <c r="BF707" s="12"/>
      <c r="BG707" s="12"/>
      <c r="BH707" s="11">
        <v>90330.0</v>
      </c>
      <c r="BI707" s="11">
        <v>123790.0</v>
      </c>
      <c r="BJ707" s="11">
        <v>472410.0</v>
      </c>
      <c r="BK707" s="11">
        <v>400780.0</v>
      </c>
      <c r="BL707" s="11">
        <v>347460.0</v>
      </c>
      <c r="BM707" s="11">
        <v>307490.0</v>
      </c>
      <c r="BN707" s="11">
        <v>272620.0</v>
      </c>
      <c r="BO707" s="11">
        <v>270070.0</v>
      </c>
      <c r="BP707" s="11">
        <v>232170.0</v>
      </c>
      <c r="BQ707" s="11">
        <v>200110.0</v>
      </c>
      <c r="BR707" s="11">
        <v>195020.0</v>
      </c>
      <c r="BS707" s="11">
        <v>173300.0</v>
      </c>
      <c r="BT707" s="11">
        <v>164320.0</v>
      </c>
      <c r="BU707" s="11">
        <v>158030.0</v>
      </c>
      <c r="BV707" s="11">
        <v>188830.0</v>
      </c>
      <c r="BW707" s="11">
        <v>635110.0</v>
      </c>
      <c r="BX707" s="11">
        <v>615190.0</v>
      </c>
      <c r="BY707" s="11">
        <v>948470.0</v>
      </c>
      <c r="BZ707" s="11">
        <v>827500.0</v>
      </c>
      <c r="CA707" s="11">
        <v>805220.0</v>
      </c>
      <c r="CB707" s="11">
        <v>614450.0</v>
      </c>
      <c r="CC707" s="11">
        <v>437270.0</v>
      </c>
      <c r="CD707" s="11">
        <v>379100.0</v>
      </c>
      <c r="CE707" s="11">
        <v>357420.0</v>
      </c>
      <c r="CF707" s="11">
        <v>333030.0</v>
      </c>
      <c r="CG707" s="11">
        <v>239720.0</v>
      </c>
      <c r="CH707" s="11">
        <v>214490.0</v>
      </c>
      <c r="CI707" s="11">
        <v>199870.0</v>
      </c>
      <c r="CJ707" s="11">
        <v>178230.0</v>
      </c>
      <c r="CK707" s="11">
        <v>178930.0</v>
      </c>
      <c r="CL707" s="11">
        <v>1830000.0</v>
      </c>
      <c r="CM707" s="11">
        <v>1540000.0</v>
      </c>
      <c r="CN707" s="11">
        <v>1710000.0</v>
      </c>
      <c r="CO707" s="11">
        <v>1530000.0</v>
      </c>
      <c r="CP707" s="11">
        <v>1470000.0</v>
      </c>
      <c r="CQ707" s="11">
        <v>72170.0</v>
      </c>
      <c r="CR707" s="11">
        <v>69530.0</v>
      </c>
      <c r="CS707" s="11">
        <v>66970.0</v>
      </c>
      <c r="CT707" s="11">
        <v>60060.0</v>
      </c>
      <c r="CU707" s="11">
        <v>52650.0</v>
      </c>
      <c r="CV707" s="11">
        <v>725340.0</v>
      </c>
      <c r="CW707" s="11">
        <v>304050.0</v>
      </c>
      <c r="CX707" s="11">
        <v>398940.0</v>
      </c>
      <c r="CY707" s="11">
        <v>655000.0</v>
      </c>
      <c r="CZ707" s="11">
        <v>611000.0</v>
      </c>
      <c r="DA707" s="11">
        <v>573000.0</v>
      </c>
      <c r="DB707" s="11">
        <v>725340.0</v>
      </c>
      <c r="DC707" s="11">
        <v>770440.0</v>
      </c>
      <c r="DD707" s="11">
        <v>1000000.0</v>
      </c>
      <c r="DE707" s="11">
        <v>934570.0</v>
      </c>
      <c r="DF707" s="11">
        <v>1650000.0</v>
      </c>
      <c r="DG707" s="11">
        <v>1550000.0</v>
      </c>
      <c r="DH707" s="11">
        <v>1770000.0</v>
      </c>
      <c r="DI707" s="11">
        <v>1640000.0</v>
      </c>
      <c r="DJ707" s="11">
        <v>1560000.0</v>
      </c>
      <c r="DK707" s="11">
        <v>18220.0</v>
      </c>
      <c r="DL707" s="11">
        <v>12680.0</v>
      </c>
      <c r="DM707" s="11">
        <v>9950.0</v>
      </c>
      <c r="DN707" s="11">
        <v>10980.0</v>
      </c>
      <c r="DO707" s="12"/>
      <c r="DP707" s="11">
        <v>766380.0</v>
      </c>
      <c r="DQ707" s="11">
        <v>601350.0</v>
      </c>
      <c r="DR707" s="11">
        <v>606080.0</v>
      </c>
      <c r="DS707" s="11">
        <v>593110.0</v>
      </c>
      <c r="DT707" s="11">
        <v>597090.0</v>
      </c>
      <c r="DU707" s="13"/>
      <c r="DV707" s="12"/>
      <c r="DW707" s="12"/>
      <c r="DX707" s="13"/>
      <c r="DY707" s="13"/>
      <c r="DZ707" s="11">
        <v>177470.0</v>
      </c>
      <c r="EA707" s="11">
        <v>-9510.0</v>
      </c>
      <c r="EB707" s="11">
        <v>-54110.0</v>
      </c>
      <c r="EC707" s="11">
        <v>-108350.0</v>
      </c>
      <c r="ED707" s="11">
        <v>-84130.0</v>
      </c>
      <c r="EE707" s="14">
        <v>0.019</v>
      </c>
      <c r="EF707" s="14">
        <v>0.038</v>
      </c>
      <c r="EG707" s="14">
        <v>0.47</v>
      </c>
      <c r="EH707" s="14">
        <v>0.197</v>
      </c>
    </row>
    <row r="708">
      <c r="A708" s="9">
        <f t="shared" si="2"/>
        <v>706</v>
      </c>
      <c r="B708" s="22" t="s">
        <v>843</v>
      </c>
      <c r="C708" s="11">
        <v>21430.0</v>
      </c>
      <c r="D708" s="11">
        <v>61250.0</v>
      </c>
      <c r="E708" s="12"/>
      <c r="F708" s="12"/>
      <c r="G708" s="12"/>
      <c r="H708" s="12"/>
      <c r="I708" s="12"/>
      <c r="J708" s="11">
        <v>-1250.0</v>
      </c>
      <c r="K708" s="11">
        <v>-886.0</v>
      </c>
      <c r="L708" s="11">
        <v>-391.0</v>
      </c>
      <c r="M708" s="12"/>
      <c r="N708" s="12"/>
      <c r="O708" s="11">
        <v>43030.0</v>
      </c>
      <c r="P708" s="11">
        <v>35530.0</v>
      </c>
      <c r="Q708" s="11">
        <v>14050.0</v>
      </c>
      <c r="R708" s="12"/>
      <c r="S708" s="12"/>
      <c r="T708" s="11">
        <v>34320.0</v>
      </c>
      <c r="U708" s="11">
        <v>31750.0</v>
      </c>
      <c r="V708" s="11">
        <v>12380.0</v>
      </c>
      <c r="W708" s="12"/>
      <c r="X708" s="12"/>
      <c r="Y708" s="12"/>
      <c r="Z708" s="12"/>
      <c r="AA708" s="12"/>
      <c r="AB708" s="12"/>
      <c r="AC708" s="12"/>
      <c r="AD708" s="11">
        <v>-41980.0</v>
      </c>
      <c r="AE708" s="11">
        <v>-34350.0</v>
      </c>
      <c r="AF708" s="11">
        <v>-11860.0</v>
      </c>
      <c r="AG708" s="12"/>
      <c r="AH708" s="12"/>
      <c r="AI708" s="11">
        <v>-43030.0</v>
      </c>
      <c r="AJ708" s="11">
        <v>-35530.0</v>
      </c>
      <c r="AK708" s="11">
        <v>-14050.0</v>
      </c>
      <c r="AL708" s="12"/>
      <c r="AM708" s="12"/>
      <c r="AN708" s="11">
        <v>-41980.0</v>
      </c>
      <c r="AO708" s="11">
        <v>-34350.0</v>
      </c>
      <c r="AP708" s="11">
        <v>-11860.0</v>
      </c>
      <c r="AQ708" s="12"/>
      <c r="AR708" s="12"/>
      <c r="AS708" s="11">
        <v>-38060.0</v>
      </c>
      <c r="AT708" s="11">
        <v>-27620.0</v>
      </c>
      <c r="AU708" s="11">
        <v>-12220.0</v>
      </c>
      <c r="AV708" s="12"/>
      <c r="AW708" s="12"/>
      <c r="AX708" s="11">
        <v>-1350.0</v>
      </c>
      <c r="AY708" s="11">
        <v>-1710.0</v>
      </c>
      <c r="AZ708" s="11">
        <v>-1760.0</v>
      </c>
      <c r="BA708" s="12"/>
      <c r="BB708" s="12"/>
      <c r="BC708" s="12"/>
      <c r="BD708" s="12"/>
      <c r="BE708" s="12"/>
      <c r="BF708" s="12"/>
      <c r="BG708" s="12"/>
      <c r="BH708" s="11">
        <v>98960.0</v>
      </c>
      <c r="BI708" s="11">
        <v>89960.0</v>
      </c>
      <c r="BJ708" s="11">
        <v>13160.0</v>
      </c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1">
        <v>101650.0</v>
      </c>
      <c r="BX708" s="11">
        <v>90670.0</v>
      </c>
      <c r="BY708" s="11">
        <v>13580.0</v>
      </c>
      <c r="BZ708" s="12"/>
      <c r="CA708" s="12"/>
      <c r="CB708" s="11">
        <v>9700.0</v>
      </c>
      <c r="CC708" s="11">
        <v>5150.0</v>
      </c>
      <c r="CD708" s="11">
        <v>3740.0</v>
      </c>
      <c r="CE708" s="12"/>
      <c r="CF708" s="12"/>
      <c r="CG708" s="12"/>
      <c r="CH708" s="12"/>
      <c r="CI708" s="12"/>
      <c r="CJ708" s="12"/>
      <c r="CK708" s="12"/>
      <c r="CL708" s="11">
        <v>113000.0</v>
      </c>
      <c r="CM708" s="11">
        <v>96540.0</v>
      </c>
      <c r="CN708" s="11">
        <v>17480.0</v>
      </c>
      <c r="CO708" s="12"/>
      <c r="CP708" s="12"/>
      <c r="CQ708" s="11">
        <v>709.0</v>
      </c>
      <c r="CR708" s="11">
        <v>1420.0</v>
      </c>
      <c r="CS708" s="11">
        <v>662.0</v>
      </c>
      <c r="CT708" s="12"/>
      <c r="CU708" s="12"/>
      <c r="CV708" s="11">
        <v>6940.0</v>
      </c>
      <c r="CW708" s="11">
        <v>1150.0</v>
      </c>
      <c r="CX708" s="12"/>
      <c r="CY708" s="12"/>
      <c r="CZ708" s="12"/>
      <c r="DA708" s="12"/>
      <c r="DB708" s="11">
        <v>6940.0</v>
      </c>
      <c r="DC708" s="11">
        <v>5410.0</v>
      </c>
      <c r="DD708" s="11">
        <v>2430.0</v>
      </c>
      <c r="DE708" s="12"/>
      <c r="DF708" s="11">
        <v>12600.0</v>
      </c>
      <c r="DG708" s="11">
        <v>7100.0</v>
      </c>
      <c r="DH708" s="11">
        <v>7130.0</v>
      </c>
      <c r="DI708" s="12"/>
      <c r="DJ708" s="12"/>
      <c r="DK708" s="11">
        <v>1630.0</v>
      </c>
      <c r="DL708" s="11">
        <v>106.0</v>
      </c>
      <c r="DM708" s="11">
        <v>71.0</v>
      </c>
      <c r="DN708" s="12"/>
      <c r="DO708" s="12"/>
      <c r="DP708" s="11">
        <v>5630.0</v>
      </c>
      <c r="DQ708" s="12"/>
      <c r="DR708" s="11">
        <v>3210.0</v>
      </c>
      <c r="DS708" s="12"/>
      <c r="DT708" s="12"/>
      <c r="DU708" s="13"/>
      <c r="DV708" s="11">
        <v>138390.0</v>
      </c>
      <c r="DW708" s="11">
        <v>26080.0</v>
      </c>
      <c r="DX708" s="13"/>
      <c r="DY708" s="13"/>
      <c r="DZ708" s="11">
        <v>100400.0</v>
      </c>
      <c r="EA708" s="11">
        <v>89440.0</v>
      </c>
      <c r="EB708" s="11">
        <v>10350.0</v>
      </c>
      <c r="EC708" s="12"/>
      <c r="ED708" s="12"/>
      <c r="EE708" s="23"/>
      <c r="EF708" s="23"/>
      <c r="EG708" s="14">
        <v>-1.322</v>
      </c>
      <c r="EH708" s="14">
        <v>-0.276</v>
      </c>
    </row>
    <row r="709">
      <c r="A709" s="9">
        <f t="shared" si="2"/>
        <v>707</v>
      </c>
      <c r="B709" s="32" t="s">
        <v>844</v>
      </c>
      <c r="C709" s="11">
        <v>511210.0</v>
      </c>
      <c r="D709" s="11"/>
      <c r="E709" s="11">
        <v>1080000.0</v>
      </c>
      <c r="F709" s="11">
        <v>876830.0</v>
      </c>
      <c r="G709" s="11">
        <v>810740.0</v>
      </c>
      <c r="H709" s="11">
        <v>695990.0</v>
      </c>
      <c r="I709" s="11">
        <v>573860.0</v>
      </c>
      <c r="J709" s="11">
        <v>182100.0</v>
      </c>
      <c r="K709" s="11">
        <v>149960.0</v>
      </c>
      <c r="L709" s="11">
        <v>140500.0</v>
      </c>
      <c r="M709" s="11">
        <v>126980.0</v>
      </c>
      <c r="N709" s="11">
        <v>99890.0</v>
      </c>
      <c r="O709" s="11">
        <v>140580.0</v>
      </c>
      <c r="P709" s="11">
        <v>123920.0</v>
      </c>
      <c r="Q709" s="11">
        <v>120370.0</v>
      </c>
      <c r="R709" s="11">
        <v>100560.0</v>
      </c>
      <c r="S709" s="11">
        <v>81420.0</v>
      </c>
      <c r="T709" s="11"/>
      <c r="U709" s="11"/>
      <c r="V709" s="11"/>
      <c r="W709" s="11"/>
      <c r="X709" s="11"/>
      <c r="Y709" s="11">
        <v>41900.0</v>
      </c>
      <c r="Z709" s="11">
        <v>26160.0</v>
      </c>
      <c r="AA709" s="11">
        <v>20270.0</v>
      </c>
      <c r="AB709" s="11">
        <v>25770.0</v>
      </c>
      <c r="AC709" s="11"/>
      <c r="AD709" s="11">
        <v>40140.0</v>
      </c>
      <c r="AE709" s="11">
        <v>24350.0</v>
      </c>
      <c r="AF709" s="11">
        <v>18810.0</v>
      </c>
      <c r="AG709" s="11">
        <v>23760.0</v>
      </c>
      <c r="AH709" s="11">
        <v>17540.0</v>
      </c>
      <c r="AI709" s="11">
        <v>51090.0</v>
      </c>
      <c r="AJ709" s="11">
        <v>34900.0</v>
      </c>
      <c r="AK709" s="11">
        <v>29730.0</v>
      </c>
      <c r="AL709" s="11">
        <v>32090.0</v>
      </c>
      <c r="AM709" s="11">
        <v>20980.0</v>
      </c>
      <c r="AN709" s="11">
        <v>33210.0</v>
      </c>
      <c r="AO709" s="11">
        <v>-14160.0</v>
      </c>
      <c r="AP709" s="11">
        <v>13420.0</v>
      </c>
      <c r="AQ709" s="11">
        <v>120780.0</v>
      </c>
      <c r="AR709" s="11">
        <v>16880.0</v>
      </c>
      <c r="AS709" s="11">
        <v>38720.0</v>
      </c>
      <c r="AT709" s="11">
        <v>12220.0</v>
      </c>
      <c r="AU709" s="11">
        <v>22350.0</v>
      </c>
      <c r="AV709" s="11">
        <v>24970.0</v>
      </c>
      <c r="AW709" s="11">
        <v>11510.0</v>
      </c>
      <c r="AX709" s="11">
        <v>-6300.0</v>
      </c>
      <c r="AY709" s="11">
        <v>-4560.0</v>
      </c>
      <c r="AZ709" s="11">
        <v>-4590.0</v>
      </c>
      <c r="BA709" s="11">
        <v>-3420.0</v>
      </c>
      <c r="BB709" s="11">
        <v>-2780.0</v>
      </c>
      <c r="BC709" s="13"/>
      <c r="BD709" s="13"/>
      <c r="BE709" s="13"/>
      <c r="BF709" s="13"/>
      <c r="BG709" s="13"/>
      <c r="BH709" s="11">
        <v>18930.0</v>
      </c>
      <c r="BI709" s="11">
        <v>26250.0</v>
      </c>
      <c r="BJ709" s="11">
        <v>28290.0</v>
      </c>
      <c r="BK709" s="11">
        <v>33220.0</v>
      </c>
      <c r="BL709" s="11">
        <v>49360.0</v>
      </c>
      <c r="BM709" s="11">
        <v>245350.0</v>
      </c>
      <c r="BN709" s="11">
        <v>207340.0</v>
      </c>
      <c r="BO709" s="11">
        <v>177740.0</v>
      </c>
      <c r="BP709" s="11">
        <v>160060.0</v>
      </c>
      <c r="BQ709" s="11">
        <v>122750.0</v>
      </c>
      <c r="BR709" s="11">
        <v>21540.0</v>
      </c>
      <c r="BS709" s="11">
        <v>20970.0</v>
      </c>
      <c r="BT709" s="11">
        <v>16920.0</v>
      </c>
      <c r="BU709" s="11">
        <v>13240.0</v>
      </c>
      <c r="BV709" s="11">
        <v>13980.0</v>
      </c>
      <c r="BW709" s="11">
        <v>296460.0</v>
      </c>
      <c r="BX709" s="11">
        <v>262690.0</v>
      </c>
      <c r="BY709" s="11">
        <v>231750.0</v>
      </c>
      <c r="BZ709" s="11">
        <v>209730.0</v>
      </c>
      <c r="CA709" s="11">
        <v>189040.0</v>
      </c>
      <c r="CB709" s="11">
        <v>25750.0</v>
      </c>
      <c r="CC709" s="11">
        <v>25360.0</v>
      </c>
      <c r="CD709" s="11">
        <v>24640.0</v>
      </c>
      <c r="CE709" s="11">
        <v>15690.0</v>
      </c>
      <c r="CF709" s="11">
        <v>11680.0</v>
      </c>
      <c r="CG709" s="11">
        <v>50620.0</v>
      </c>
      <c r="CH709" s="11">
        <v>50700.0</v>
      </c>
      <c r="CI709" s="11">
        <v>46690.0</v>
      </c>
      <c r="CJ709" s="11">
        <v>39940.0</v>
      </c>
      <c r="CK709" s="11">
        <v>17250.0</v>
      </c>
      <c r="CL709" s="11">
        <v>452810.0</v>
      </c>
      <c r="CM709" s="11">
        <v>429190.0</v>
      </c>
      <c r="CN709" s="11">
        <v>424490.0</v>
      </c>
      <c r="CO709" s="11">
        <v>394340.0</v>
      </c>
      <c r="CP709" s="11">
        <v>226710.0</v>
      </c>
      <c r="CQ709" s="11">
        <v>85280.0</v>
      </c>
      <c r="CR709" s="11">
        <v>75290.0</v>
      </c>
      <c r="CS709" s="11">
        <v>63250.0</v>
      </c>
      <c r="CT709" s="11">
        <v>64960.0</v>
      </c>
      <c r="CU709" s="11">
        <v>47030.0</v>
      </c>
      <c r="CV709" s="11">
        <v>193470.0</v>
      </c>
      <c r="CW709" s="11"/>
      <c r="CX709" s="13"/>
      <c r="CY709" s="12"/>
      <c r="CZ709" s="13"/>
      <c r="DA709" s="12"/>
      <c r="DB709" s="11">
        <v>193470.0</v>
      </c>
      <c r="DC709" s="11">
        <v>164420.0</v>
      </c>
      <c r="DD709" s="11">
        <v>150630.0</v>
      </c>
      <c r="DE709" s="11">
        <v>133050.0</v>
      </c>
      <c r="DF709" s="11">
        <v>203270.0</v>
      </c>
      <c r="DG709" s="11">
        <v>205550.0</v>
      </c>
      <c r="DH709" s="11">
        <v>184520.0</v>
      </c>
      <c r="DI709" s="11">
        <v>169140.0</v>
      </c>
      <c r="DJ709" s="11">
        <v>125300.0</v>
      </c>
      <c r="DK709" s="11">
        <v>408.0</v>
      </c>
      <c r="DL709" s="11">
        <v>558.0</v>
      </c>
      <c r="DM709" s="11">
        <v>558.0</v>
      </c>
      <c r="DN709" s="11">
        <v>919.0</v>
      </c>
      <c r="DO709" s="11">
        <v>919.0</v>
      </c>
      <c r="DP709" s="11">
        <v>299.0</v>
      </c>
      <c r="DQ709" s="11">
        <v>29560.0</v>
      </c>
      <c r="DR709" s="11">
        <v>29430.0</v>
      </c>
      <c r="DS709" s="11">
        <v>29260.0</v>
      </c>
      <c r="DT709" s="11">
        <v>10230.0</v>
      </c>
      <c r="DU709" s="13"/>
      <c r="DV709" s="12"/>
      <c r="DW709" s="12"/>
      <c r="DX709" s="12"/>
      <c r="DY709" s="13"/>
      <c r="DZ709" s="11">
        <v>246250.0</v>
      </c>
      <c r="EA709" s="11">
        <v>220410.0</v>
      </c>
      <c r="EB709" s="11">
        <v>236700.0</v>
      </c>
      <c r="EC709" s="11">
        <v>223410.0</v>
      </c>
      <c r="ED709" s="11">
        <v>101410.0</v>
      </c>
      <c r="EE709" s="14"/>
      <c r="EF709" s="14">
        <v>0.0</v>
      </c>
      <c r="EG709" s="14">
        <v>-16.0</v>
      </c>
      <c r="EH709" s="14">
        <v>-19.283</v>
      </c>
    </row>
    <row r="710">
      <c r="A710" s="9">
        <f t="shared" si="2"/>
        <v>708</v>
      </c>
      <c r="B710" s="25" t="s">
        <v>845</v>
      </c>
      <c r="C710" s="15">
        <v>5290000.0</v>
      </c>
      <c r="D710" s="15">
        <v>5070000.0</v>
      </c>
      <c r="E710" s="15">
        <v>5140000.0</v>
      </c>
      <c r="F710" s="15">
        <v>3980000.0</v>
      </c>
      <c r="G710" s="15">
        <v>3400000.0</v>
      </c>
      <c r="H710" s="15">
        <v>3120000.0</v>
      </c>
      <c r="I710" s="15">
        <v>3020000.0</v>
      </c>
      <c r="J710" s="15">
        <v>1920000.0</v>
      </c>
      <c r="K710" s="15">
        <v>1650000.0</v>
      </c>
      <c r="L710" s="15">
        <v>1450000.0</v>
      </c>
      <c r="M710" s="15">
        <v>1380000.0</v>
      </c>
      <c r="N710" s="15">
        <v>1310000.0</v>
      </c>
      <c r="O710" s="15">
        <v>1140000.0</v>
      </c>
      <c r="P710" s="15">
        <v>945540.0</v>
      </c>
      <c r="Q710" s="15">
        <v>851480.0</v>
      </c>
      <c r="R710" s="15">
        <v>769720.0</v>
      </c>
      <c r="S710" s="15">
        <v>732440.0</v>
      </c>
      <c r="T710" s="15">
        <v>346130.0</v>
      </c>
      <c r="U710" s="15">
        <v>311580.0</v>
      </c>
      <c r="V710" s="15">
        <v>295470.0</v>
      </c>
      <c r="W710" s="15">
        <v>254260.0</v>
      </c>
      <c r="X710" s="15">
        <v>246100.0</v>
      </c>
      <c r="Y710" s="15">
        <v>658480.0</v>
      </c>
      <c r="Z710" s="15">
        <v>571690.0</v>
      </c>
      <c r="AA710" s="15">
        <v>-56770.0</v>
      </c>
      <c r="AB710" s="15">
        <v>-32940.0</v>
      </c>
      <c r="AC710" s="15">
        <v>-15070.0</v>
      </c>
      <c r="AD710" s="15">
        <v>557450.0</v>
      </c>
      <c r="AE710" s="15">
        <v>447760.0</v>
      </c>
      <c r="AF710" s="15">
        <v>537050.0</v>
      </c>
      <c r="AG710" s="15">
        <v>523720.0</v>
      </c>
      <c r="AH710" s="15">
        <v>539100.0</v>
      </c>
      <c r="AI710" s="15">
        <v>1110000.0</v>
      </c>
      <c r="AJ710" s="15">
        <v>873770.0</v>
      </c>
      <c r="AK710" s="15">
        <v>708680.0</v>
      </c>
      <c r="AL710" s="15">
        <v>708620.0</v>
      </c>
      <c r="AM710" s="15">
        <v>667080.0</v>
      </c>
      <c r="AN710" s="15">
        <v>452780.0</v>
      </c>
      <c r="AO710" s="15">
        <v>333450.0</v>
      </c>
      <c r="AP710" s="15">
        <v>294670.0</v>
      </c>
      <c r="AQ710" s="15">
        <v>404030.0</v>
      </c>
      <c r="AR710" s="15">
        <v>417250.0</v>
      </c>
      <c r="AS710" s="15">
        <v>698970.0</v>
      </c>
      <c r="AT710" s="15">
        <v>437580.0</v>
      </c>
      <c r="AU710" s="15">
        <v>390760.0</v>
      </c>
      <c r="AV710" s="15">
        <v>550140.0</v>
      </c>
      <c r="AW710" s="15">
        <v>433580.0</v>
      </c>
      <c r="AX710" s="15">
        <v>-242050.0</v>
      </c>
      <c r="AY710" s="15">
        <v>-173420.0</v>
      </c>
      <c r="AZ710" s="15">
        <v>-128970.0</v>
      </c>
      <c r="BA710" s="15">
        <v>-126410.0</v>
      </c>
      <c r="BB710" s="15">
        <v>-101030.0</v>
      </c>
      <c r="BC710" s="15">
        <v>-313510.0</v>
      </c>
      <c r="BD710" s="15">
        <v>-230220.0</v>
      </c>
      <c r="BE710" s="15">
        <v>-206120.0</v>
      </c>
      <c r="BF710" s="15">
        <v>-184900.0</v>
      </c>
      <c r="BG710" s="15">
        <v>-158870.0</v>
      </c>
      <c r="BH710" s="15">
        <v>623950.0</v>
      </c>
      <c r="BI710" s="15">
        <v>648520.0</v>
      </c>
      <c r="BJ710" s="15">
        <v>368050.0</v>
      </c>
      <c r="BK710" s="15">
        <v>323990.0</v>
      </c>
      <c r="BL710" s="15">
        <v>181990.0</v>
      </c>
      <c r="BM710" s="15">
        <v>1020000.0</v>
      </c>
      <c r="BN710" s="15">
        <v>937770.0</v>
      </c>
      <c r="BO710" s="15">
        <v>663660.0</v>
      </c>
      <c r="BP710" s="15">
        <v>550660.0</v>
      </c>
      <c r="BQ710" s="15">
        <v>537900.0</v>
      </c>
      <c r="BR710" s="15">
        <v>1120000.0</v>
      </c>
      <c r="BS710" s="15">
        <v>1080000.0</v>
      </c>
      <c r="BT710" s="15">
        <v>649450.0</v>
      </c>
      <c r="BU710" s="15">
        <v>592020.0</v>
      </c>
      <c r="BV710" s="15">
        <v>572050.0</v>
      </c>
      <c r="BW710" s="15">
        <v>2940000.0</v>
      </c>
      <c r="BX710" s="15">
        <v>2940000.0</v>
      </c>
      <c r="BY710" s="15">
        <v>1900000.0</v>
      </c>
      <c r="BZ710" s="15">
        <v>1610000.0</v>
      </c>
      <c r="CA710" s="15">
        <v>1440000.0</v>
      </c>
      <c r="CB710" s="15">
        <v>1680000.0</v>
      </c>
      <c r="CC710" s="15">
        <v>1240000.0</v>
      </c>
      <c r="CD710" s="15">
        <v>880580.0</v>
      </c>
      <c r="CE710" s="15">
        <v>775720.0</v>
      </c>
      <c r="CF710" s="15">
        <v>732790.0</v>
      </c>
      <c r="CG710" s="15">
        <v>5500000.0</v>
      </c>
      <c r="CH710" s="15">
        <v>5380000.0</v>
      </c>
      <c r="CI710" s="15">
        <v>1160000.0</v>
      </c>
      <c r="CJ710" s="15">
        <v>1000000.0</v>
      </c>
      <c r="CK710" s="15">
        <v>941390.0</v>
      </c>
      <c r="CL710" s="15">
        <v>1.329E7</v>
      </c>
      <c r="CM710" s="15">
        <v>1.289E7</v>
      </c>
      <c r="CN710" s="15">
        <v>4600000.0</v>
      </c>
      <c r="CO710" s="15">
        <v>4020000.0</v>
      </c>
      <c r="CP710" s="15">
        <v>3700000.0</v>
      </c>
      <c r="CQ710" s="15">
        <v>510370.0</v>
      </c>
      <c r="CR710" s="15">
        <v>471380.0</v>
      </c>
      <c r="CS710" s="15">
        <v>338190.0</v>
      </c>
      <c r="CT710" s="15">
        <v>274820.0</v>
      </c>
      <c r="CU710" s="15">
        <v>285500.0</v>
      </c>
      <c r="CV710" s="15">
        <v>1550000.0</v>
      </c>
      <c r="CW710" s="15">
        <v>37740.0</v>
      </c>
      <c r="CX710" s="15"/>
      <c r="CY710" s="15"/>
      <c r="CZ710" s="15"/>
      <c r="DA710" s="15"/>
      <c r="DB710" s="15">
        <v>1550000.0</v>
      </c>
      <c r="DC710" s="15">
        <v>1130000.0</v>
      </c>
      <c r="DD710" s="15">
        <v>768770.0</v>
      </c>
      <c r="DE710" s="15">
        <v>898300.0</v>
      </c>
      <c r="DF710" s="15">
        <v>6960000.0</v>
      </c>
      <c r="DG710" s="15">
        <v>6760000.0</v>
      </c>
      <c r="DH710" s="15">
        <v>2910000.0</v>
      </c>
      <c r="DI710" s="15">
        <v>2390000.0</v>
      </c>
      <c r="DJ710" s="15">
        <v>2110000.0</v>
      </c>
      <c r="DK710" s="15"/>
      <c r="DL710" s="15">
        <v>31470.0</v>
      </c>
      <c r="DM710" s="15"/>
      <c r="DN710" s="15"/>
      <c r="DO710" s="15"/>
      <c r="DP710" s="15">
        <v>4250000.0</v>
      </c>
      <c r="DQ710" s="15">
        <v>4500000.0</v>
      </c>
      <c r="DR710" s="15">
        <v>1630000.0</v>
      </c>
      <c r="DS710" s="15">
        <v>1070000.0</v>
      </c>
      <c r="DT710" s="15">
        <v>935370.0</v>
      </c>
      <c r="DU710" s="13"/>
      <c r="DV710" s="12"/>
      <c r="DW710" s="15"/>
      <c r="DX710" s="15"/>
      <c r="DY710" s="13"/>
      <c r="DZ710" s="15">
        <v>6220000.0</v>
      </c>
      <c r="EA710" s="15">
        <v>6030000.0</v>
      </c>
      <c r="EB710" s="15">
        <v>1680000.0</v>
      </c>
      <c r="EC710" s="15">
        <v>1630000.0</v>
      </c>
      <c r="ED710" s="15">
        <v>1590000.0</v>
      </c>
      <c r="EE710" s="23"/>
      <c r="EF710" s="23"/>
      <c r="EG710" s="23">
        <v>0.019</v>
      </c>
      <c r="EH710" s="23">
        <v>0.005</v>
      </c>
    </row>
    <row r="711">
      <c r="A711" s="9">
        <f t="shared" si="2"/>
        <v>709</v>
      </c>
      <c r="B711" s="22" t="s">
        <v>846</v>
      </c>
      <c r="C711" s="11">
        <v>1700.0</v>
      </c>
      <c r="D711" s="11">
        <v>1770.0</v>
      </c>
      <c r="E711" s="12"/>
      <c r="F711" s="12"/>
      <c r="G711" s="12"/>
      <c r="H711" s="12"/>
      <c r="I711" s="12"/>
      <c r="J711" s="11">
        <v>-742.0</v>
      </c>
      <c r="K711" s="11">
        <v>-205.0</v>
      </c>
      <c r="L711" s="11">
        <v>-80.0</v>
      </c>
      <c r="M711" s="11">
        <v>-38.0</v>
      </c>
      <c r="N711" s="11">
        <v>-44.0</v>
      </c>
      <c r="O711" s="11">
        <v>63150.0</v>
      </c>
      <c r="P711" s="11">
        <v>44410.0</v>
      </c>
      <c r="Q711" s="11">
        <v>21970.0</v>
      </c>
      <c r="R711" s="11">
        <v>7840.0</v>
      </c>
      <c r="S711" s="11">
        <v>4300.0</v>
      </c>
      <c r="T711" s="11">
        <v>49720.0</v>
      </c>
      <c r="U711" s="11">
        <v>29320.0</v>
      </c>
      <c r="V711" s="11">
        <v>16180.0</v>
      </c>
      <c r="W711" s="11">
        <v>5800.0</v>
      </c>
      <c r="X711" s="11">
        <v>3810.0</v>
      </c>
      <c r="Y711" s="12"/>
      <c r="Z711" s="12"/>
      <c r="AA711" s="12"/>
      <c r="AB711" s="12"/>
      <c r="AC711" s="12"/>
      <c r="AD711" s="11">
        <v>-59610.0</v>
      </c>
      <c r="AE711" s="11">
        <v>-35170.0</v>
      </c>
      <c r="AF711" s="11">
        <v>-27340.0</v>
      </c>
      <c r="AG711" s="11">
        <v>-9890.0</v>
      </c>
      <c r="AH711" s="11">
        <v>-5450.0</v>
      </c>
      <c r="AI711" s="11">
        <v>-63150.0</v>
      </c>
      <c r="AJ711" s="11">
        <v>-44410.0</v>
      </c>
      <c r="AK711" s="11">
        <v>-21970.0</v>
      </c>
      <c r="AL711" s="11">
        <v>-7600.0</v>
      </c>
      <c r="AM711" s="11">
        <v>-4170.0</v>
      </c>
      <c r="AN711" s="11">
        <v>-59610.0</v>
      </c>
      <c r="AO711" s="11">
        <v>-35170.0</v>
      </c>
      <c r="AP711" s="11">
        <v>-27340.0</v>
      </c>
      <c r="AQ711" s="11">
        <v>-9890.0</v>
      </c>
      <c r="AR711" s="11">
        <v>-5450.0</v>
      </c>
      <c r="AS711" s="11">
        <v>-48360.0</v>
      </c>
      <c r="AT711" s="11">
        <v>-27970.0</v>
      </c>
      <c r="AU711" s="11">
        <v>-13710.0</v>
      </c>
      <c r="AV711" s="11">
        <v>-5520.0</v>
      </c>
      <c r="AW711" s="11">
        <v>-3670.0</v>
      </c>
      <c r="AX711" s="11">
        <v>-666.0</v>
      </c>
      <c r="AY711" s="11">
        <v>-951.0</v>
      </c>
      <c r="AZ711" s="11">
        <v>-168.0</v>
      </c>
      <c r="BA711" s="11">
        <v>-59.0</v>
      </c>
      <c r="BB711" s="11">
        <v>-14.0</v>
      </c>
      <c r="BC711" s="12"/>
      <c r="BD711" s="12"/>
      <c r="BE711" s="12"/>
      <c r="BF711" s="12"/>
      <c r="BG711" s="12"/>
      <c r="BH711" s="11">
        <v>129630.0</v>
      </c>
      <c r="BI711" s="11">
        <v>178980.0</v>
      </c>
      <c r="BJ711" s="11">
        <v>148040.0</v>
      </c>
      <c r="BK711" s="11">
        <v>30710.0</v>
      </c>
      <c r="BL711" s="11">
        <v>3590.0</v>
      </c>
      <c r="BM711" s="12"/>
      <c r="BN711" s="12"/>
      <c r="BO711" s="11">
        <v>144.0</v>
      </c>
      <c r="BP711" s="11">
        <v>232.0</v>
      </c>
      <c r="BQ711" s="11">
        <v>139.0</v>
      </c>
      <c r="BR711" s="12"/>
      <c r="BS711" s="12"/>
      <c r="BT711" s="12"/>
      <c r="BU711" s="12"/>
      <c r="BV711" s="12"/>
      <c r="BW711" s="11">
        <v>133560.0</v>
      </c>
      <c r="BX711" s="11">
        <v>180800.0</v>
      </c>
      <c r="BY711" s="11">
        <v>148870.0</v>
      </c>
      <c r="BZ711" s="11">
        <v>30990.0</v>
      </c>
      <c r="CA711" s="11">
        <v>3770.0</v>
      </c>
      <c r="CB711" s="11">
        <v>1590.0</v>
      </c>
      <c r="CC711" s="11">
        <v>714.0</v>
      </c>
      <c r="CD711" s="11">
        <v>208.0</v>
      </c>
      <c r="CE711" s="11">
        <v>138.0</v>
      </c>
      <c r="CF711" s="11">
        <v>118.0</v>
      </c>
      <c r="CG711" s="12"/>
      <c r="CH711" s="12"/>
      <c r="CI711" s="12"/>
      <c r="CJ711" s="12"/>
      <c r="CK711" s="12"/>
      <c r="CL711" s="11">
        <v>136470.0</v>
      </c>
      <c r="CM711" s="11">
        <v>182010.0</v>
      </c>
      <c r="CN711" s="11">
        <v>149150.0</v>
      </c>
      <c r="CO711" s="11">
        <v>31130.0</v>
      </c>
      <c r="CP711" s="11">
        <v>3900.0</v>
      </c>
      <c r="CQ711" s="12"/>
      <c r="CR711" s="11">
        <v>7610.0</v>
      </c>
      <c r="CS711" s="12"/>
      <c r="CT711" s="11">
        <v>1620.0</v>
      </c>
      <c r="CU711" s="11">
        <v>402.0</v>
      </c>
      <c r="CV711" s="11">
        <v>15780.0</v>
      </c>
      <c r="CW711" s="12"/>
      <c r="CX711" s="12"/>
      <c r="CY711" s="12"/>
      <c r="CZ711" s="12"/>
      <c r="DA711" s="12"/>
      <c r="DB711" s="11">
        <v>15780.0</v>
      </c>
      <c r="DC711" s="11">
        <v>8870.0</v>
      </c>
      <c r="DD711" s="11">
        <v>5720.0</v>
      </c>
      <c r="DE711" s="11">
        <v>1840.0</v>
      </c>
      <c r="DF711" s="11">
        <v>16200.0</v>
      </c>
      <c r="DG711" s="11">
        <v>8930.0</v>
      </c>
      <c r="DH711" s="11">
        <v>5740.0</v>
      </c>
      <c r="DI711" s="11">
        <v>58230.0</v>
      </c>
      <c r="DJ711" s="11">
        <v>23030.0</v>
      </c>
      <c r="DK711" s="11">
        <v>306.0</v>
      </c>
      <c r="DL711" s="11">
        <v>237.0</v>
      </c>
      <c r="DM711" s="11">
        <v>24.0</v>
      </c>
      <c r="DN711" s="11">
        <v>1.0</v>
      </c>
      <c r="DO711" s="24">
        <v>1.0</v>
      </c>
      <c r="DP711" s="11">
        <v>371.0</v>
      </c>
      <c r="DQ711" s="12"/>
      <c r="DR711" s="12"/>
      <c r="DS711" s="11">
        <v>56370.0</v>
      </c>
      <c r="DT711" s="11">
        <v>22530.0</v>
      </c>
      <c r="DU711" s="13"/>
      <c r="DV711" s="12"/>
      <c r="DW711" s="12"/>
      <c r="DX711" s="13"/>
      <c r="DY711" s="13"/>
      <c r="DZ711" s="11">
        <v>120270.0</v>
      </c>
      <c r="EA711" s="11">
        <v>173060.0</v>
      </c>
      <c r="EB711" s="11">
        <v>143410.0</v>
      </c>
      <c r="EC711" s="11">
        <v>-27100.0</v>
      </c>
      <c r="ED711" s="11">
        <v>-19140.0</v>
      </c>
      <c r="EE711" s="23"/>
      <c r="EF711" s="23"/>
      <c r="EG711" s="14">
        <v>0.0</v>
      </c>
      <c r="EH711" s="14">
        <v>0.103</v>
      </c>
    </row>
    <row r="712">
      <c r="A712" s="9">
        <f t="shared" si="2"/>
        <v>710</v>
      </c>
      <c r="B712" s="22" t="s">
        <v>847</v>
      </c>
      <c r="C712" s="12"/>
      <c r="D712" s="12"/>
      <c r="E712" s="12"/>
      <c r="F712" s="12"/>
      <c r="G712" s="12"/>
      <c r="H712" s="12"/>
      <c r="I712" s="12"/>
      <c r="J712" s="11">
        <v>-2330.0</v>
      </c>
      <c r="K712" s="11">
        <v>-278.0</v>
      </c>
      <c r="L712" s="11">
        <v>-161.0</v>
      </c>
      <c r="M712" s="12"/>
      <c r="N712" s="12"/>
      <c r="O712" s="11">
        <v>42170.0</v>
      </c>
      <c r="P712" s="11">
        <v>22510.0</v>
      </c>
      <c r="Q712" s="11">
        <v>10990.0</v>
      </c>
      <c r="R712" s="12"/>
      <c r="S712" s="12"/>
      <c r="T712" s="11">
        <v>35260.0</v>
      </c>
      <c r="U712" s="11">
        <v>18960.0</v>
      </c>
      <c r="V712" s="11">
        <v>8640.0</v>
      </c>
      <c r="W712" s="12"/>
      <c r="X712" s="12"/>
      <c r="Y712" s="12"/>
      <c r="Z712" s="12"/>
      <c r="AA712" s="12"/>
      <c r="AB712" s="12"/>
      <c r="AC712" s="12"/>
      <c r="AD712" s="11">
        <v>-43130.0</v>
      </c>
      <c r="AE712" s="11">
        <v>-22710.0</v>
      </c>
      <c r="AF712" s="11">
        <v>-11050.0</v>
      </c>
      <c r="AG712" s="12"/>
      <c r="AH712" s="12"/>
      <c r="AI712" s="11">
        <v>-42170.0</v>
      </c>
      <c r="AJ712" s="11">
        <v>-22510.0</v>
      </c>
      <c r="AK712" s="11">
        <v>-10990.0</v>
      </c>
      <c r="AL712" s="12"/>
      <c r="AM712" s="12"/>
      <c r="AN712" s="11">
        <v>-43130.0</v>
      </c>
      <c r="AO712" s="11">
        <v>-22710.0</v>
      </c>
      <c r="AP712" s="11">
        <v>-11050.0</v>
      </c>
      <c r="AQ712" s="12"/>
      <c r="AR712" s="12"/>
      <c r="AS712" s="11">
        <v>-43860.0</v>
      </c>
      <c r="AT712" s="11">
        <v>-20040.0</v>
      </c>
      <c r="AU712" s="11">
        <v>-10360.0</v>
      </c>
      <c r="AV712" s="12"/>
      <c r="AW712" s="12"/>
      <c r="AX712" s="11">
        <v>-2340.0</v>
      </c>
      <c r="AY712" s="11">
        <v>-788.0</v>
      </c>
      <c r="AZ712" s="11">
        <v>-385.0</v>
      </c>
      <c r="BA712" s="12"/>
      <c r="BB712" s="12"/>
      <c r="BC712" s="12"/>
      <c r="BD712" s="12"/>
      <c r="BE712" s="12"/>
      <c r="BF712" s="12"/>
      <c r="BG712" s="12"/>
      <c r="BH712" s="11">
        <v>224630.0</v>
      </c>
      <c r="BI712" s="11">
        <v>1890.0</v>
      </c>
      <c r="BJ712" s="11">
        <v>432.0</v>
      </c>
      <c r="BK712" s="12"/>
      <c r="BL712" s="12"/>
      <c r="BM712" s="11">
        <v>35.0</v>
      </c>
      <c r="BN712" s="11">
        <v>35.0</v>
      </c>
      <c r="BO712" s="12"/>
      <c r="BP712" s="12"/>
      <c r="BQ712" s="12"/>
      <c r="BR712" s="12"/>
      <c r="BS712" s="12"/>
      <c r="BT712" s="12"/>
      <c r="BU712" s="12"/>
      <c r="BV712" s="12"/>
      <c r="BW712" s="11">
        <v>231100.0</v>
      </c>
      <c r="BX712" s="11">
        <v>2410.0</v>
      </c>
      <c r="BY712" s="11">
        <v>655.0</v>
      </c>
      <c r="BZ712" s="12"/>
      <c r="CA712" s="12"/>
      <c r="CB712" s="11">
        <v>18020.0</v>
      </c>
      <c r="CC712" s="11">
        <v>1470.0</v>
      </c>
      <c r="CD712" s="11">
        <v>677.0</v>
      </c>
      <c r="CE712" s="12"/>
      <c r="CF712" s="12"/>
      <c r="CG712" s="12"/>
      <c r="CH712" s="12"/>
      <c r="CI712" s="12"/>
      <c r="CJ712" s="12"/>
      <c r="CK712" s="12"/>
      <c r="CL712" s="11">
        <v>261350.0</v>
      </c>
      <c r="CM712" s="11">
        <v>3980.0</v>
      </c>
      <c r="CN712" s="11">
        <v>1390.0</v>
      </c>
      <c r="CO712" s="12"/>
      <c r="CP712" s="12"/>
      <c r="CQ712" s="11">
        <v>3090.0</v>
      </c>
      <c r="CR712" s="11">
        <v>164.0</v>
      </c>
      <c r="CS712" s="11">
        <v>225.0</v>
      </c>
      <c r="CT712" s="12"/>
      <c r="CU712" s="12"/>
      <c r="CV712" s="11">
        <v>8880.0</v>
      </c>
      <c r="CW712" s="11">
        <v>2480.0</v>
      </c>
      <c r="CX712" s="11">
        <v>5030.0</v>
      </c>
      <c r="CY712" s="12"/>
      <c r="CZ712" s="12"/>
      <c r="DA712" s="12"/>
      <c r="DB712" s="11">
        <v>8880.0</v>
      </c>
      <c r="DC712" s="11">
        <v>8890.0</v>
      </c>
      <c r="DD712" s="11">
        <v>976.0</v>
      </c>
      <c r="DE712" s="12"/>
      <c r="DF712" s="11">
        <v>21120.0</v>
      </c>
      <c r="DG712" s="11">
        <v>8890.0</v>
      </c>
      <c r="DH712" s="11">
        <v>1110.0</v>
      </c>
      <c r="DI712" s="12"/>
      <c r="DJ712" s="12"/>
      <c r="DK712" s="11">
        <v>11970.0</v>
      </c>
      <c r="DL712" s="11">
        <v>100.0</v>
      </c>
      <c r="DM712" s="11">
        <v>50.0</v>
      </c>
      <c r="DN712" s="12"/>
      <c r="DO712" s="12"/>
      <c r="DP712" s="11">
        <v>12240.0</v>
      </c>
      <c r="DQ712" s="12"/>
      <c r="DR712" s="12"/>
      <c r="DS712" s="12"/>
      <c r="DT712" s="12"/>
      <c r="DU712" s="13"/>
      <c r="DV712" s="11">
        <v>60920.0</v>
      </c>
      <c r="DW712" s="11">
        <v>40780.0</v>
      </c>
      <c r="DX712" s="13"/>
      <c r="DY712" s="13"/>
      <c r="DZ712" s="11">
        <v>240230.0</v>
      </c>
      <c r="EA712" s="11">
        <v>-4910.0</v>
      </c>
      <c r="EB712" s="11">
        <v>280.0</v>
      </c>
      <c r="EC712" s="12"/>
      <c r="ED712" s="12"/>
      <c r="EE712" s="23"/>
      <c r="EF712" s="23"/>
      <c r="EG712" s="14">
        <v>0.031</v>
      </c>
      <c r="EH712" s="14">
        <v>-0.526</v>
      </c>
    </row>
    <row r="713">
      <c r="A713" s="9">
        <f t="shared" si="2"/>
        <v>711</v>
      </c>
      <c r="B713" s="10" t="s">
        <v>848</v>
      </c>
      <c r="C713" s="12"/>
      <c r="D713" s="12"/>
      <c r="E713" s="15">
        <v>3630000.0</v>
      </c>
      <c r="F713" s="15">
        <v>3250000.0</v>
      </c>
      <c r="G713" s="15">
        <v>3160000.0</v>
      </c>
      <c r="H713" s="15">
        <v>1270000.0</v>
      </c>
      <c r="I713" s="15">
        <v>1180000.0</v>
      </c>
      <c r="J713" s="15">
        <v>884190.0</v>
      </c>
      <c r="K713" s="15">
        <v>737960.0</v>
      </c>
      <c r="L713" s="15">
        <v>813000.0</v>
      </c>
      <c r="M713" s="15">
        <v>762620.0</v>
      </c>
      <c r="N713" s="15">
        <v>685950.0</v>
      </c>
      <c r="O713" s="15">
        <v>258670.0</v>
      </c>
      <c r="P713" s="15">
        <v>233240.0</v>
      </c>
      <c r="Q713" s="15">
        <v>261680.0</v>
      </c>
      <c r="R713" s="15">
        <v>243830.0</v>
      </c>
      <c r="S713" s="15">
        <v>246100.0</v>
      </c>
      <c r="T713" s="15">
        <v>0.0</v>
      </c>
      <c r="U713" s="15">
        <v>0.0</v>
      </c>
      <c r="V713" s="15">
        <v>0.0</v>
      </c>
      <c r="W713" s="15">
        <v>0.0</v>
      </c>
      <c r="X713" s="15">
        <v>0.0</v>
      </c>
      <c r="Y713" s="15">
        <v>507940.0</v>
      </c>
      <c r="Z713" s="15">
        <v>-81750.0</v>
      </c>
      <c r="AA713" s="15">
        <v>-53580.0</v>
      </c>
      <c r="AB713" s="15">
        <v>497290.0</v>
      </c>
      <c r="AC713" s="15">
        <v>399920.0</v>
      </c>
      <c r="AD713" s="15">
        <v>427200.0</v>
      </c>
      <c r="AE713" s="15">
        <v>362230.0</v>
      </c>
      <c r="AF713" s="15">
        <v>507060.0</v>
      </c>
      <c r="AG713" s="15">
        <v>439490.0</v>
      </c>
      <c r="AH713" s="15">
        <v>926170.0</v>
      </c>
      <c r="AI713" s="15">
        <v>716450.0</v>
      </c>
      <c r="AJ713" s="15">
        <v>590970.0</v>
      </c>
      <c r="AK713" s="15">
        <v>611890.0</v>
      </c>
      <c r="AL713" s="15">
        <v>589940.0</v>
      </c>
      <c r="AM713" s="15">
        <v>502680.0</v>
      </c>
      <c r="AN713" s="15">
        <v>301790.0</v>
      </c>
      <c r="AO713" s="15">
        <v>261740.0</v>
      </c>
      <c r="AP713" s="15">
        <v>419310.0</v>
      </c>
      <c r="AQ713" s="15">
        <v>306830.0</v>
      </c>
      <c r="AR713" s="15">
        <v>799840.0</v>
      </c>
      <c r="AS713" s="15">
        <v>507940.0</v>
      </c>
      <c r="AT713" s="15">
        <v>551970.0</v>
      </c>
      <c r="AU713" s="15">
        <v>443380.0</v>
      </c>
      <c r="AV713" s="15">
        <v>553620.0</v>
      </c>
      <c r="AW713" s="15">
        <v>408430.0</v>
      </c>
      <c r="AX713" s="15">
        <v>-140310.0</v>
      </c>
      <c r="AY713" s="15">
        <v>-118490.0</v>
      </c>
      <c r="AZ713" s="15">
        <v>-167730.0</v>
      </c>
      <c r="BA713" s="15">
        <v>-153410.0</v>
      </c>
      <c r="BB713" s="15">
        <v>-130250.0</v>
      </c>
      <c r="BC713" s="15">
        <v>-565160.0</v>
      </c>
      <c r="BD713" s="15">
        <v>-149240.0</v>
      </c>
      <c r="BE713" s="15">
        <v>-460470.0</v>
      </c>
      <c r="BF713" s="15">
        <v>-1250000.0</v>
      </c>
      <c r="BG713" s="15">
        <v>-123050.0</v>
      </c>
      <c r="BH713" s="15">
        <v>150220.0</v>
      </c>
      <c r="BI713" s="15">
        <v>553550.0</v>
      </c>
      <c r="BJ713" s="15">
        <v>136020.0</v>
      </c>
      <c r="BK713" s="15">
        <v>166710.0</v>
      </c>
      <c r="BL713" s="15">
        <v>771420.0</v>
      </c>
      <c r="BM713" s="15">
        <v>446120.0</v>
      </c>
      <c r="BN713" s="15">
        <v>431060.0</v>
      </c>
      <c r="BO713" s="15">
        <v>439840.0</v>
      </c>
      <c r="BP713" s="15">
        <v>381990.0</v>
      </c>
      <c r="BQ713" s="15">
        <v>265960.0</v>
      </c>
      <c r="BR713" s="15">
        <v>4530.0</v>
      </c>
      <c r="BS713" s="15">
        <v>3930.0</v>
      </c>
      <c r="BT713" s="15">
        <v>2220.0</v>
      </c>
      <c r="BU713" s="15">
        <v>2430.0</v>
      </c>
      <c r="BV713" s="15">
        <v>2040.0</v>
      </c>
      <c r="BW713" s="15">
        <v>687680.0</v>
      </c>
      <c r="BX713" s="15">
        <v>1070000.0</v>
      </c>
      <c r="BY713" s="15">
        <v>632790.0</v>
      </c>
      <c r="BZ713" s="15">
        <v>629630.0</v>
      </c>
      <c r="CA713" s="15">
        <v>1090000.0</v>
      </c>
      <c r="CB713" s="15">
        <v>603130.0</v>
      </c>
      <c r="CC713" s="15">
        <v>617150.0</v>
      </c>
      <c r="CD713" s="15">
        <v>314170.0</v>
      </c>
      <c r="CE713" s="15">
        <v>339090.0</v>
      </c>
      <c r="CF713" s="15">
        <v>290390.0</v>
      </c>
      <c r="CG713" s="15">
        <v>255900.0</v>
      </c>
      <c r="CH713" s="15">
        <v>245760.0</v>
      </c>
      <c r="CI713" s="15">
        <v>175200.0</v>
      </c>
      <c r="CJ713" s="15">
        <v>187760.0</v>
      </c>
      <c r="CK713" s="15">
        <v>158080.0</v>
      </c>
      <c r="CL713" s="15">
        <v>3000000.0</v>
      </c>
      <c r="CM713" s="15">
        <v>3210000.0</v>
      </c>
      <c r="CN713" s="15">
        <v>2230000.0</v>
      </c>
      <c r="CO713" s="15">
        <v>2370000.0</v>
      </c>
      <c r="CP713" s="15">
        <v>2560000.0</v>
      </c>
      <c r="CQ713" s="15">
        <v>67940.0</v>
      </c>
      <c r="CR713" s="15">
        <v>103640.0</v>
      </c>
      <c r="CS713" s="15">
        <v>59880.0</v>
      </c>
      <c r="CT713" s="15">
        <v>76070.0</v>
      </c>
      <c r="CU713" s="15">
        <v>59030.0</v>
      </c>
      <c r="CV713" s="15">
        <v>1030000.0</v>
      </c>
      <c r="CW713" s="15">
        <v>65670.0</v>
      </c>
      <c r="CX713" s="15">
        <v>81660.0</v>
      </c>
      <c r="CY713" s="15">
        <v>81320.0</v>
      </c>
      <c r="CZ713" s="15">
        <v>72030.0</v>
      </c>
      <c r="DA713" s="15">
        <v>26460.0</v>
      </c>
      <c r="DB713" s="15">
        <v>1030000.0</v>
      </c>
      <c r="DC713" s="15">
        <v>1100000.0</v>
      </c>
      <c r="DD713" s="15">
        <v>946220.0</v>
      </c>
      <c r="DE713" s="15">
        <v>917740.0</v>
      </c>
      <c r="DF713" s="15">
        <v>4110000.0</v>
      </c>
      <c r="DG713" s="15">
        <v>4100000.0</v>
      </c>
      <c r="DH713" s="15">
        <v>3190000.0</v>
      </c>
      <c r="DI713" s="15">
        <v>2980000.0</v>
      </c>
      <c r="DJ713" s="15">
        <v>2340000.0</v>
      </c>
      <c r="DK713" s="15">
        <v>297410.0</v>
      </c>
      <c r="DL713" s="15">
        <v>291300.0</v>
      </c>
      <c r="DM713" s="15">
        <v>272780.0</v>
      </c>
      <c r="DN713" s="15">
        <v>297010.0</v>
      </c>
      <c r="DO713" s="15">
        <v>250360.0</v>
      </c>
      <c r="DP713" s="15">
        <v>2020000.0</v>
      </c>
      <c r="DQ713" s="15">
        <v>1980000.0</v>
      </c>
      <c r="DR713" s="15">
        <v>1400000.0</v>
      </c>
      <c r="DS713" s="15">
        <v>1300000.0</v>
      </c>
      <c r="DT713" s="15">
        <v>840630.0</v>
      </c>
      <c r="DU713" s="16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-1110000.0</v>
      </c>
      <c r="EA713" s="15">
        <v>-894320.0</v>
      </c>
      <c r="EB713" s="15">
        <v>-966920.0</v>
      </c>
      <c r="EC713" s="15">
        <v>-620730.0</v>
      </c>
      <c r="ED713" s="15">
        <v>209650.0</v>
      </c>
      <c r="EE713" s="23"/>
      <c r="EF713" s="23"/>
      <c r="EG713" s="23" t="s">
        <v>155</v>
      </c>
      <c r="EH713" s="23"/>
    </row>
    <row r="714">
      <c r="A714" s="9">
        <f t="shared" si="2"/>
        <v>712</v>
      </c>
      <c r="B714" s="32" t="s">
        <v>849</v>
      </c>
      <c r="C714" s="11">
        <v>437660.0</v>
      </c>
      <c r="D714" s="11">
        <v>448710.0</v>
      </c>
      <c r="E714" s="11">
        <v>455710.0</v>
      </c>
      <c r="F714" s="11">
        <v>453220.0</v>
      </c>
      <c r="G714" s="11">
        <v>388870.0</v>
      </c>
      <c r="H714" s="11">
        <v>418550.0</v>
      </c>
      <c r="I714" s="11">
        <v>447500.0</v>
      </c>
      <c r="J714" s="11">
        <v>29420.0</v>
      </c>
      <c r="K714" s="11">
        <v>69720.0</v>
      </c>
      <c r="L714" s="11">
        <v>59780.0</v>
      </c>
      <c r="M714" s="11">
        <v>85190.0</v>
      </c>
      <c r="N714" s="11">
        <v>58090.0</v>
      </c>
      <c r="O714" s="11">
        <v>24550.0</v>
      </c>
      <c r="P714" s="11">
        <v>28330.0</v>
      </c>
      <c r="Q714" s="11">
        <v>25510.0</v>
      </c>
      <c r="R714" s="11">
        <v>26070.0</v>
      </c>
      <c r="S714" s="11">
        <v>25890.0</v>
      </c>
      <c r="T714" s="11"/>
      <c r="U714" s="11"/>
      <c r="V714" s="11"/>
      <c r="W714" s="11"/>
      <c r="X714" s="11"/>
      <c r="Y714" s="11">
        <v>6760.0</v>
      </c>
      <c r="Z714" s="11">
        <v>42530.0</v>
      </c>
      <c r="AA714" s="11">
        <v>34110.0</v>
      </c>
      <c r="AB714" s="11">
        <v>56470.0</v>
      </c>
      <c r="AC714" s="11">
        <v>33850.0</v>
      </c>
      <c r="AD714" s="11">
        <v>7460.0</v>
      </c>
      <c r="AE714" s="11">
        <v>42630.0</v>
      </c>
      <c r="AF714" s="11">
        <v>34170.0</v>
      </c>
      <c r="AG714" s="11">
        <v>56290.0</v>
      </c>
      <c r="AH714" s="11">
        <v>32960.0</v>
      </c>
      <c r="AI714" s="11">
        <v>18420.0</v>
      </c>
      <c r="AJ714" s="11">
        <v>54210.0</v>
      </c>
      <c r="AK714" s="11">
        <v>45920.0</v>
      </c>
      <c r="AL714" s="11">
        <v>70660.0</v>
      </c>
      <c r="AM714" s="11">
        <v>44130.0</v>
      </c>
      <c r="AN714" s="11">
        <v>5600.0</v>
      </c>
      <c r="AO714" s="11">
        <v>36270.0</v>
      </c>
      <c r="AP714" s="11">
        <v>22550.0</v>
      </c>
      <c r="AQ714" s="11">
        <v>37250.0</v>
      </c>
      <c r="AR714" s="11">
        <v>21710.0</v>
      </c>
      <c r="AS714" s="11">
        <v>6350.0</v>
      </c>
      <c r="AT714" s="11">
        <v>53970.0</v>
      </c>
      <c r="AU714" s="11">
        <v>20300.0</v>
      </c>
      <c r="AV714" s="11">
        <v>54540.0</v>
      </c>
      <c r="AW714" s="11">
        <v>35770.0</v>
      </c>
      <c r="AX714" s="11">
        <v>-10510.0</v>
      </c>
      <c r="AY714" s="11">
        <v>-18450.0</v>
      </c>
      <c r="AZ714" s="11">
        <v>-20580.0</v>
      </c>
      <c r="BA714" s="11">
        <v>-12980.0</v>
      </c>
      <c r="BB714" s="11">
        <v>-8610.0</v>
      </c>
      <c r="BC714" s="11">
        <v>-2310.0</v>
      </c>
      <c r="BD714" s="11">
        <v>-21330.0</v>
      </c>
      <c r="BE714" s="11">
        <v>-26010.0</v>
      </c>
      <c r="BF714" s="11">
        <v>-20860.0</v>
      </c>
      <c r="BG714" s="11">
        <v>-2210.0</v>
      </c>
      <c r="BH714" s="11">
        <v>38180.0</v>
      </c>
      <c r="BI714" s="11">
        <v>43940.0</v>
      </c>
      <c r="BJ714" s="11">
        <v>32110.0</v>
      </c>
      <c r="BK714" s="11">
        <v>58870.0</v>
      </c>
      <c r="BL714" s="11">
        <v>33260.0</v>
      </c>
      <c r="BM714" s="11">
        <v>45400.0</v>
      </c>
      <c r="BN714" s="11">
        <v>51480.0</v>
      </c>
      <c r="BO714" s="11">
        <v>41210.0</v>
      </c>
      <c r="BP714" s="11">
        <v>47390.0</v>
      </c>
      <c r="BQ714" s="11">
        <v>46780.0</v>
      </c>
      <c r="BR714" s="11">
        <v>70850.0</v>
      </c>
      <c r="BS714" s="11">
        <v>94160.0</v>
      </c>
      <c r="BT714" s="11">
        <v>81850.0</v>
      </c>
      <c r="BU714" s="11">
        <v>71190.0</v>
      </c>
      <c r="BV714" s="11">
        <v>66010.0</v>
      </c>
      <c r="BW714" s="11">
        <v>160580.0</v>
      </c>
      <c r="BX714" s="11">
        <v>195480.0</v>
      </c>
      <c r="BY714" s="11">
        <v>160190.0</v>
      </c>
      <c r="BZ714" s="11">
        <v>180490.0</v>
      </c>
      <c r="CA714" s="11">
        <v>151360.0</v>
      </c>
      <c r="CB714" s="11">
        <v>104960.0</v>
      </c>
      <c r="CC714" s="11">
        <v>106150.0</v>
      </c>
      <c r="CD714" s="11">
        <v>98670.0</v>
      </c>
      <c r="CE714" s="11">
        <v>88190.0</v>
      </c>
      <c r="CF714" s="11">
        <v>84180.0</v>
      </c>
      <c r="CG714" s="11">
        <v>8290.0</v>
      </c>
      <c r="CH714" s="11">
        <v>8290.0</v>
      </c>
      <c r="CI714" s="11">
        <v>6970.0</v>
      </c>
      <c r="CJ714" s="11">
        <v>6970.0</v>
      </c>
      <c r="CK714" s="11">
        <v>6970.0</v>
      </c>
      <c r="CL714" s="11">
        <v>293010.0</v>
      </c>
      <c r="CM714" s="11">
        <v>329530.0</v>
      </c>
      <c r="CN714" s="11">
        <v>283070.0</v>
      </c>
      <c r="CO714" s="11">
        <v>292890.0</v>
      </c>
      <c r="CP714" s="11">
        <v>260240.0</v>
      </c>
      <c r="CQ714" s="11">
        <v>21600.0</v>
      </c>
      <c r="CR714" s="11">
        <v>60060.0</v>
      </c>
      <c r="CS714" s="11">
        <v>33650.0</v>
      </c>
      <c r="CT714" s="11">
        <v>42760.0</v>
      </c>
      <c r="CU714" s="11">
        <v>32180.0</v>
      </c>
      <c r="CV714" s="11">
        <v>28410.0</v>
      </c>
      <c r="CW714" s="11"/>
      <c r="CX714" s="13"/>
      <c r="CY714" s="13"/>
      <c r="CZ714" s="13"/>
      <c r="DA714" s="12"/>
      <c r="DB714" s="11">
        <v>28410.0</v>
      </c>
      <c r="DC714" s="11">
        <v>71990.0</v>
      </c>
      <c r="DD714" s="11">
        <v>42320.0</v>
      </c>
      <c r="DE714" s="11">
        <v>53780.0</v>
      </c>
      <c r="DF714" s="11">
        <v>46990.0</v>
      </c>
      <c r="DG714" s="11">
        <v>87870.0</v>
      </c>
      <c r="DH714" s="11">
        <v>59700.0</v>
      </c>
      <c r="DI714" s="11">
        <v>68330.0</v>
      </c>
      <c r="DJ714" s="11">
        <v>60020.0</v>
      </c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3"/>
      <c r="DV714" s="12"/>
      <c r="DW714" s="12"/>
      <c r="DX714" s="12"/>
      <c r="DY714" s="12"/>
      <c r="DZ714" s="11">
        <v>246020.0</v>
      </c>
      <c r="EA714" s="11">
        <v>241670.0</v>
      </c>
      <c r="EB714" s="11">
        <v>223380.0</v>
      </c>
      <c r="EC714" s="11">
        <v>224570.0</v>
      </c>
      <c r="ED714" s="11">
        <v>200220.0</v>
      </c>
      <c r="EE714" s="14">
        <v>0.027</v>
      </c>
      <c r="EF714" s="14">
        <v>0.027</v>
      </c>
      <c r="EG714" s="14">
        <v>1.235</v>
      </c>
      <c r="EH714" s="14">
        <v>0.683</v>
      </c>
    </row>
    <row r="715">
      <c r="A715" s="9">
        <f t="shared" si="2"/>
        <v>713</v>
      </c>
      <c r="B715" s="10" t="s">
        <v>850</v>
      </c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3"/>
      <c r="DY715" s="13"/>
      <c r="DZ715" s="12"/>
      <c r="EA715" s="12"/>
      <c r="EB715" s="12"/>
      <c r="EC715" s="12"/>
      <c r="ED715" s="12"/>
      <c r="EE715" s="23"/>
      <c r="EF715" s="23"/>
      <c r="EG715" s="23"/>
      <c r="EH715" s="23"/>
    </row>
    <row r="716">
      <c r="A716" s="9">
        <f t="shared" si="2"/>
        <v>714</v>
      </c>
      <c r="B716" s="22" t="s">
        <v>851</v>
      </c>
      <c r="C716" s="11">
        <v>3930000.0</v>
      </c>
      <c r="D716" s="11">
        <v>3080000.0</v>
      </c>
      <c r="E716" s="11">
        <v>3540000.0</v>
      </c>
      <c r="F716" s="11">
        <v>3330000.0</v>
      </c>
      <c r="G716" s="11">
        <v>2750000.0</v>
      </c>
      <c r="H716" s="11">
        <v>2400000.0</v>
      </c>
      <c r="I716" s="11">
        <v>2220000.0</v>
      </c>
      <c r="J716" s="11">
        <v>2470000.0</v>
      </c>
      <c r="K716" s="11">
        <v>2330000.0</v>
      </c>
      <c r="L716" s="11">
        <v>1870000.0</v>
      </c>
      <c r="M716" s="11">
        <v>1690000.0</v>
      </c>
      <c r="N716" s="11">
        <v>1580000.0</v>
      </c>
      <c r="O716" s="11">
        <v>1470000.0</v>
      </c>
      <c r="P716" s="11">
        <v>1420000.0</v>
      </c>
      <c r="Q716" s="11">
        <v>1220000.0</v>
      </c>
      <c r="R716" s="11">
        <v>1080000.0</v>
      </c>
      <c r="S716" s="11">
        <v>926180.0</v>
      </c>
      <c r="T716" s="11">
        <v>647000.0</v>
      </c>
      <c r="U716" s="11">
        <v>623000.0</v>
      </c>
      <c r="V716" s="11">
        <v>541000.0</v>
      </c>
      <c r="W716" s="11">
        <v>504420.0</v>
      </c>
      <c r="X716" s="11">
        <v>401530.0</v>
      </c>
      <c r="Y716" s="11">
        <v>1090000.0</v>
      </c>
      <c r="Z716" s="11">
        <v>904000.0</v>
      </c>
      <c r="AA716" s="11">
        <v>606000.0</v>
      </c>
      <c r="AB716" s="11">
        <v>587030.0</v>
      </c>
      <c r="AC716" s="11">
        <v>608780.0</v>
      </c>
      <c r="AD716" s="11">
        <v>1120000.0</v>
      </c>
      <c r="AE716" s="11">
        <v>894000.0</v>
      </c>
      <c r="AF716" s="11">
        <v>1040000.0</v>
      </c>
      <c r="AG716" s="11">
        <v>561180.0</v>
      </c>
      <c r="AH716" s="11">
        <v>583140.0</v>
      </c>
      <c r="AI716" s="11">
        <v>1180000.0</v>
      </c>
      <c r="AJ716" s="11">
        <v>1060000.0</v>
      </c>
      <c r="AK716" s="11">
        <v>784000.0</v>
      </c>
      <c r="AL716" s="11">
        <v>724080.0</v>
      </c>
      <c r="AM716" s="11">
        <v>749530.0</v>
      </c>
      <c r="AN716" s="11">
        <v>1000000.0</v>
      </c>
      <c r="AO716" s="11">
        <v>826000.0</v>
      </c>
      <c r="AP716" s="11">
        <v>725000.0</v>
      </c>
      <c r="AQ716" s="11">
        <v>454110.0</v>
      </c>
      <c r="AR716" s="11">
        <v>461560.0</v>
      </c>
      <c r="AS716" s="11">
        <v>1050000.0</v>
      </c>
      <c r="AT716" s="11">
        <v>1140000.0</v>
      </c>
      <c r="AU716" s="11">
        <v>875000.0</v>
      </c>
      <c r="AV716" s="11">
        <v>687240.0</v>
      </c>
      <c r="AW716" s="11">
        <v>659600.0</v>
      </c>
      <c r="AX716" s="11">
        <v>-209000.0</v>
      </c>
      <c r="AY716" s="11">
        <v>-296000.0</v>
      </c>
      <c r="AZ716" s="11">
        <v>-312000.0</v>
      </c>
      <c r="BA716" s="11">
        <v>-271380.0</v>
      </c>
      <c r="BB716" s="11">
        <v>-143250.0</v>
      </c>
      <c r="BC716" s="12"/>
      <c r="BD716" s="12"/>
      <c r="BE716" s="12"/>
      <c r="BF716" s="12"/>
      <c r="BG716" s="12"/>
      <c r="BH716" s="11">
        <v>3410000.0</v>
      </c>
      <c r="BI716" s="11">
        <v>3510000.0</v>
      </c>
      <c r="BJ716" s="11">
        <v>2150000.0</v>
      </c>
      <c r="BK716" s="11">
        <v>1560000.0</v>
      </c>
      <c r="BL716" s="11">
        <v>1390000.0</v>
      </c>
      <c r="BM716" s="11">
        <v>573000.0</v>
      </c>
      <c r="BN716" s="11">
        <v>514000.0</v>
      </c>
      <c r="BO716" s="11">
        <v>411000.0</v>
      </c>
      <c r="BP716" s="11">
        <v>381320.0</v>
      </c>
      <c r="BQ716" s="11">
        <v>385530.0</v>
      </c>
      <c r="BR716" s="11">
        <v>359000.0</v>
      </c>
      <c r="BS716" s="11">
        <v>386000.0</v>
      </c>
      <c r="BT716" s="11">
        <v>333000.0</v>
      </c>
      <c r="BU716" s="11">
        <v>300170.0</v>
      </c>
      <c r="BV716" s="11">
        <v>270780.0</v>
      </c>
      <c r="BW716" s="11">
        <v>4450000.0</v>
      </c>
      <c r="BX716" s="11">
        <v>4490000.0</v>
      </c>
      <c r="BY716" s="11">
        <v>2980000.0</v>
      </c>
      <c r="BZ716" s="11">
        <v>2320000.0</v>
      </c>
      <c r="CA716" s="11">
        <v>2100000.0</v>
      </c>
      <c r="CB716" s="11">
        <v>1440000.0</v>
      </c>
      <c r="CC716" s="11">
        <v>1080000.0</v>
      </c>
      <c r="CD716" s="11">
        <v>931000.0</v>
      </c>
      <c r="CE716" s="11">
        <v>713330.0</v>
      </c>
      <c r="CF716" s="11">
        <v>342690.0</v>
      </c>
      <c r="CG716" s="11">
        <v>824000.0</v>
      </c>
      <c r="CH716" s="11">
        <v>831000.0</v>
      </c>
      <c r="CI716" s="11">
        <v>771000.0</v>
      </c>
      <c r="CJ716" s="11">
        <v>776000.0</v>
      </c>
      <c r="CK716" s="11">
        <v>752630.0</v>
      </c>
      <c r="CL716" s="11">
        <v>7320000.0</v>
      </c>
      <c r="CM716" s="11">
        <v>6960000.0</v>
      </c>
      <c r="CN716" s="11">
        <v>5260000.0</v>
      </c>
      <c r="CO716" s="11">
        <v>4280000.0</v>
      </c>
      <c r="CP716" s="11">
        <v>3690000.0</v>
      </c>
      <c r="CQ716" s="11">
        <v>149000.0</v>
      </c>
      <c r="CR716" s="11">
        <v>184000.0</v>
      </c>
      <c r="CS716" s="11">
        <v>160000.0</v>
      </c>
      <c r="CT716" s="11">
        <v>137930.0</v>
      </c>
      <c r="CU716" s="11">
        <v>139230.0</v>
      </c>
      <c r="CV716" s="11">
        <v>665000.0</v>
      </c>
      <c r="CW716" s="11">
        <v>45000.0</v>
      </c>
      <c r="CX716" s="12"/>
      <c r="CY716" s="12"/>
      <c r="CZ716" s="12"/>
      <c r="DA716" s="12"/>
      <c r="DB716" s="11">
        <v>665000.0</v>
      </c>
      <c r="DC716" s="11">
        <v>1800000.0</v>
      </c>
      <c r="DD716" s="11">
        <v>746000.0</v>
      </c>
      <c r="DE716" s="11">
        <v>704670.0</v>
      </c>
      <c r="DF716" s="11">
        <v>2700000.0</v>
      </c>
      <c r="DG716" s="11">
        <v>3050000.0</v>
      </c>
      <c r="DH716" s="11">
        <v>2290000.0</v>
      </c>
      <c r="DI716" s="11">
        <v>1970000.0</v>
      </c>
      <c r="DJ716" s="11">
        <v>1810000.0</v>
      </c>
      <c r="DK716" s="11">
        <v>283000.0</v>
      </c>
      <c r="DL716" s="11">
        <v>260000.0</v>
      </c>
      <c r="DM716" s="11">
        <v>266000.0</v>
      </c>
      <c r="DN716" s="11">
        <v>57400.0</v>
      </c>
      <c r="DO716" s="11">
        <v>56600.0</v>
      </c>
      <c r="DP716" s="11">
        <v>1840000.0</v>
      </c>
      <c r="DQ716" s="11">
        <v>890000.0</v>
      </c>
      <c r="DR716" s="11">
        <v>1180000.0</v>
      </c>
      <c r="DS716" s="11">
        <v>1050000.0</v>
      </c>
      <c r="DT716" s="11">
        <v>1020000.0</v>
      </c>
      <c r="DU716" s="13"/>
      <c r="DV716" s="12"/>
      <c r="DW716" s="12"/>
      <c r="DX716" s="13"/>
      <c r="DY716" s="13"/>
      <c r="DZ716" s="11">
        <v>4610000.0</v>
      </c>
      <c r="EA716" s="11">
        <v>3760000.0</v>
      </c>
      <c r="EB716" s="11">
        <v>2750000.0</v>
      </c>
      <c r="EC716" s="11">
        <v>2200000.0</v>
      </c>
      <c r="ED716" s="11">
        <v>1850000.0</v>
      </c>
      <c r="EE716" s="14">
        <v>0.114</v>
      </c>
      <c r="EF716" s="14">
        <v>0.214</v>
      </c>
      <c r="EG716" s="14">
        <v>-0.075</v>
      </c>
      <c r="EH716" s="14">
        <v>0.173</v>
      </c>
    </row>
    <row r="717">
      <c r="A717" s="9">
        <f t="shared" si="2"/>
        <v>715</v>
      </c>
      <c r="B717" s="22" t="s">
        <v>852</v>
      </c>
      <c r="C717" s="11">
        <v>51600.0</v>
      </c>
      <c r="D717" s="11">
        <v>22590.0</v>
      </c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3"/>
      <c r="DV717" s="12"/>
      <c r="DW717" s="12"/>
      <c r="DX717" s="13"/>
      <c r="DY717" s="13"/>
      <c r="DZ717" s="12"/>
      <c r="EA717" s="12"/>
      <c r="EB717" s="12"/>
      <c r="EC717" s="12"/>
      <c r="ED717" s="12"/>
      <c r="EE717" s="23"/>
      <c r="EF717" s="14">
        <v>1.692</v>
      </c>
      <c r="EG717" s="23" t="s">
        <v>155</v>
      </c>
      <c r="EH717" s="23"/>
    </row>
    <row r="718">
      <c r="A718" s="9">
        <f t="shared" si="2"/>
        <v>716</v>
      </c>
      <c r="B718" s="10" t="s">
        <v>853</v>
      </c>
      <c r="C718" s="15">
        <v>359560.0</v>
      </c>
      <c r="D718" s="15">
        <v>183960.0</v>
      </c>
      <c r="E718" s="15">
        <v>395660.0</v>
      </c>
      <c r="F718" s="15">
        <v>374400.0</v>
      </c>
      <c r="G718" s="15">
        <v>380770.0</v>
      </c>
      <c r="H718" s="15">
        <v>377330.0</v>
      </c>
      <c r="I718" s="15">
        <v>373810.0</v>
      </c>
      <c r="J718" s="15">
        <v>211420.0</v>
      </c>
      <c r="K718" s="15">
        <v>203780.0</v>
      </c>
      <c r="L718" s="15">
        <v>182230.0</v>
      </c>
      <c r="M718" s="15">
        <v>200600.0</v>
      </c>
      <c r="N718" s="15">
        <v>217430.0</v>
      </c>
      <c r="O718" s="15">
        <v>129030.0</v>
      </c>
      <c r="P718" s="15">
        <v>133040.0</v>
      </c>
      <c r="Q718" s="15">
        <v>135660.0</v>
      </c>
      <c r="R718" s="15">
        <v>134340.0</v>
      </c>
      <c r="S718" s="15">
        <v>121560.0</v>
      </c>
      <c r="T718" s="15">
        <v>5200.0</v>
      </c>
      <c r="U718" s="15">
        <v>13730.0</v>
      </c>
      <c r="V718" s="15">
        <v>20860.0</v>
      </c>
      <c r="W718" s="15">
        <v>16320.0</v>
      </c>
      <c r="X718" s="15">
        <v>12730.0</v>
      </c>
      <c r="Y718" s="15">
        <v>78820.0</v>
      </c>
      <c r="Z718" s="15">
        <v>46470.0</v>
      </c>
      <c r="AA718" s="15">
        <v>-17400.0</v>
      </c>
      <c r="AB718" s="15">
        <v>62150.0</v>
      </c>
      <c r="AC718" s="15">
        <v>93390.0</v>
      </c>
      <c r="AD718" s="15">
        <v>75340.0</v>
      </c>
      <c r="AE718" s="15">
        <v>43610.0</v>
      </c>
      <c r="AF718" s="15">
        <v>30010.0</v>
      </c>
      <c r="AG718" s="15">
        <v>57850.0</v>
      </c>
      <c r="AH718" s="15">
        <v>87080.0</v>
      </c>
      <c r="AI718" s="15">
        <v>145360.0</v>
      </c>
      <c r="AJ718" s="15">
        <v>127080.0</v>
      </c>
      <c r="AK718" s="15">
        <v>112820.0</v>
      </c>
      <c r="AL718" s="15">
        <v>112210.0</v>
      </c>
      <c r="AM718" s="15">
        <v>137650.0</v>
      </c>
      <c r="AN718" s="15">
        <v>46870.0</v>
      </c>
      <c r="AO718" s="15">
        <v>22840.0</v>
      </c>
      <c r="AP718" s="15">
        <v>2340.0</v>
      </c>
      <c r="AQ718" s="15">
        <v>28790.0</v>
      </c>
      <c r="AR718" s="15">
        <v>55080.0</v>
      </c>
      <c r="AS718" s="15">
        <v>90380.0</v>
      </c>
      <c r="AT718" s="15">
        <v>109970.0</v>
      </c>
      <c r="AU718" s="15">
        <v>85370.0</v>
      </c>
      <c r="AV718" s="15">
        <v>77870.0</v>
      </c>
      <c r="AW718" s="15">
        <v>83690.0</v>
      </c>
      <c r="AX718" s="15">
        <v>-10350.0</v>
      </c>
      <c r="AY718" s="15">
        <v>-22060.0</v>
      </c>
      <c r="AZ718" s="15">
        <v>-29360.0</v>
      </c>
      <c r="BA718" s="15">
        <v>-20070.0</v>
      </c>
      <c r="BB718" s="15">
        <v>-48320.0</v>
      </c>
      <c r="BC718" s="16">
        <v>0.0</v>
      </c>
      <c r="BD718" s="16">
        <v>0.0</v>
      </c>
      <c r="BE718" s="15">
        <v>0.0</v>
      </c>
      <c r="BF718" s="16">
        <v>0.0</v>
      </c>
      <c r="BG718" s="16">
        <v>0.0</v>
      </c>
      <c r="BH718" s="15">
        <v>109480.0</v>
      </c>
      <c r="BI718" s="15">
        <v>141590.0</v>
      </c>
      <c r="BJ718" s="15">
        <v>158730.0</v>
      </c>
      <c r="BK718" s="15">
        <v>204760.0</v>
      </c>
      <c r="BL718" s="15">
        <v>317450.0</v>
      </c>
      <c r="BM718" s="15">
        <v>127110.0</v>
      </c>
      <c r="BN718" s="15">
        <v>120220.0</v>
      </c>
      <c r="BO718" s="15">
        <v>156000.0</v>
      </c>
      <c r="BP718" s="15">
        <v>118330.0</v>
      </c>
      <c r="BQ718" s="15">
        <v>117050.0</v>
      </c>
      <c r="BR718" s="15">
        <v>42990.0</v>
      </c>
      <c r="BS718" s="15">
        <v>44560.0</v>
      </c>
      <c r="BT718" s="15">
        <v>30790.0</v>
      </c>
      <c r="BU718" s="15">
        <v>42120.0</v>
      </c>
      <c r="BV718" s="15">
        <v>38750.0</v>
      </c>
      <c r="BW718" s="15">
        <v>289820.0</v>
      </c>
      <c r="BX718" s="15">
        <v>316660.0</v>
      </c>
      <c r="BY718" s="15">
        <v>353060.0</v>
      </c>
      <c r="BZ718" s="15">
        <v>371840.0</v>
      </c>
      <c r="CA718" s="15">
        <v>479750.0</v>
      </c>
      <c r="CB718" s="15">
        <v>306850.0</v>
      </c>
      <c r="CC718" s="15">
        <v>280660.0</v>
      </c>
      <c r="CD718" s="15">
        <v>276780.0</v>
      </c>
      <c r="CE718" s="15">
        <v>245420.0</v>
      </c>
      <c r="CF718" s="15">
        <v>218270.0</v>
      </c>
      <c r="CG718" s="15">
        <v>39030.0</v>
      </c>
      <c r="CH718" s="15">
        <v>39030.0</v>
      </c>
      <c r="CI718" s="15">
        <v>39030.0</v>
      </c>
      <c r="CJ718" s="15">
        <v>39030.0</v>
      </c>
      <c r="CK718" s="15">
        <v>39030.0</v>
      </c>
      <c r="CL718" s="15">
        <v>889070.0</v>
      </c>
      <c r="CM718" s="15">
        <v>873600.0</v>
      </c>
      <c r="CN718" s="15">
        <v>866610.0</v>
      </c>
      <c r="CO718" s="15">
        <v>857330.0</v>
      </c>
      <c r="CP718" s="15">
        <v>931020.0</v>
      </c>
      <c r="CQ718" s="15">
        <v>20410.0</v>
      </c>
      <c r="CR718" s="15">
        <v>32060.0</v>
      </c>
      <c r="CS718" s="15">
        <v>24240.0</v>
      </c>
      <c r="CT718" s="15">
        <v>19990.0</v>
      </c>
      <c r="CU718" s="15">
        <v>23460.0</v>
      </c>
      <c r="CV718" s="15">
        <v>227750.0</v>
      </c>
      <c r="CW718" s="15">
        <v>18680.0</v>
      </c>
      <c r="CX718" s="16">
        <v>0.0</v>
      </c>
      <c r="CY718" s="16">
        <v>0.0</v>
      </c>
      <c r="CZ718" s="15">
        <v>0.0</v>
      </c>
      <c r="DA718" s="15">
        <v>0.0</v>
      </c>
      <c r="DB718" s="15">
        <v>227750.0</v>
      </c>
      <c r="DC718" s="15">
        <v>236490.0</v>
      </c>
      <c r="DD718" s="15">
        <v>239650.0</v>
      </c>
      <c r="DE718" s="15">
        <v>203460.0</v>
      </c>
      <c r="DF718" s="15">
        <v>245970.0</v>
      </c>
      <c r="DG718" s="15">
        <v>274240.0</v>
      </c>
      <c r="DH718" s="15">
        <v>263000.0</v>
      </c>
      <c r="DI718" s="15">
        <v>230780.0</v>
      </c>
      <c r="DJ718" s="15">
        <v>253860.0</v>
      </c>
      <c r="DK718" s="15">
        <v>19740.0</v>
      </c>
      <c r="DL718" s="15">
        <v>5240.0</v>
      </c>
      <c r="DM718" s="15">
        <v>11360.0</v>
      </c>
      <c r="DN718" s="15">
        <v>3870.0</v>
      </c>
      <c r="DO718" s="15">
        <v>2200.0</v>
      </c>
      <c r="DP718" s="15">
        <v>18230.0</v>
      </c>
      <c r="DQ718" s="15">
        <v>37750.0</v>
      </c>
      <c r="DR718" s="15">
        <v>23360.0</v>
      </c>
      <c r="DS718" s="15">
        <v>27320.0</v>
      </c>
      <c r="DT718" s="15">
        <v>27670.0</v>
      </c>
      <c r="DU718" s="16">
        <v>0.0</v>
      </c>
      <c r="DV718" s="15">
        <v>0.0</v>
      </c>
      <c r="DW718" s="15">
        <v>0.0</v>
      </c>
      <c r="DX718" s="16">
        <v>0.0</v>
      </c>
      <c r="DY718" s="16">
        <v>0.0</v>
      </c>
      <c r="DZ718" s="15">
        <v>547690.0</v>
      </c>
      <c r="EA718" s="15">
        <v>512160.0</v>
      </c>
      <c r="EB718" s="15">
        <v>527750.0</v>
      </c>
      <c r="EC718" s="15">
        <v>562010.0</v>
      </c>
      <c r="ED718" s="15">
        <v>623890.0</v>
      </c>
      <c r="EE718" s="17">
        <v>0.718</v>
      </c>
      <c r="EF718" s="17">
        <v>0.342</v>
      </c>
      <c r="EG718" s="17">
        <v>-2.429</v>
      </c>
      <c r="EH718" s="17">
        <v>-0.527</v>
      </c>
    </row>
    <row r="719">
      <c r="A719" s="9">
        <f t="shared" si="2"/>
        <v>717</v>
      </c>
      <c r="B719" s="22" t="s">
        <v>854</v>
      </c>
      <c r="C719" s="11">
        <v>52240.0</v>
      </c>
      <c r="D719" s="11">
        <v>62850.0</v>
      </c>
      <c r="E719" s="11">
        <v>82270.0</v>
      </c>
      <c r="F719" s="11">
        <v>53450.0</v>
      </c>
      <c r="G719" s="11">
        <v>115450.0</v>
      </c>
      <c r="H719" s="11">
        <v>43010.0</v>
      </c>
      <c r="I719" s="11">
        <v>85540.0</v>
      </c>
      <c r="J719" s="12"/>
      <c r="K719" s="12"/>
      <c r="L719" s="12"/>
      <c r="M719" s="11">
        <v>36860.0</v>
      </c>
      <c r="N719" s="12"/>
      <c r="O719" s="11">
        <v>148980.0</v>
      </c>
      <c r="P719" s="11">
        <v>203790.0</v>
      </c>
      <c r="Q719" s="11">
        <v>167690.0</v>
      </c>
      <c r="R719" s="11">
        <v>162970.0</v>
      </c>
      <c r="S719" s="11">
        <v>134480.0</v>
      </c>
      <c r="T719" s="11">
        <v>114520.0</v>
      </c>
      <c r="U719" s="11">
        <v>174460.0</v>
      </c>
      <c r="V719" s="11">
        <v>139740.0</v>
      </c>
      <c r="W719" s="11">
        <v>133130.0</v>
      </c>
      <c r="X719" s="11">
        <v>111770.0</v>
      </c>
      <c r="Y719" s="11">
        <v>-91340.0</v>
      </c>
      <c r="Z719" s="11">
        <v>-161450.0</v>
      </c>
      <c r="AA719" s="11">
        <v>-81900.0</v>
      </c>
      <c r="AB719" s="11">
        <v>-130540.0</v>
      </c>
      <c r="AC719" s="12"/>
      <c r="AD719" s="11">
        <v>-104130.0</v>
      </c>
      <c r="AE719" s="11">
        <v>-168840.0</v>
      </c>
      <c r="AF719" s="11">
        <v>-96010.0</v>
      </c>
      <c r="AG719" s="11">
        <v>-157770.0</v>
      </c>
      <c r="AH719" s="11">
        <v>-60740.0</v>
      </c>
      <c r="AI719" s="11">
        <v>-66710.0</v>
      </c>
      <c r="AJ719" s="11">
        <v>-150350.0</v>
      </c>
      <c r="AK719" s="11">
        <v>-52240.0</v>
      </c>
      <c r="AL719" s="11">
        <v>-119960.0</v>
      </c>
      <c r="AM719" s="11">
        <v>-48940.0</v>
      </c>
      <c r="AN719" s="11">
        <v>-104130.0</v>
      </c>
      <c r="AO719" s="11">
        <v>-168840.0</v>
      </c>
      <c r="AP719" s="11">
        <v>-96010.0</v>
      </c>
      <c r="AQ719" s="11">
        <v>-157770.0</v>
      </c>
      <c r="AR719" s="11">
        <v>-60740.0</v>
      </c>
      <c r="AS719" s="11">
        <v>-85860.0</v>
      </c>
      <c r="AT719" s="11">
        <v>-166420.0</v>
      </c>
      <c r="AU719" s="11">
        <v>7650.0</v>
      </c>
      <c r="AV719" s="11">
        <v>-83660.0</v>
      </c>
      <c r="AW719" s="11">
        <v>-55290.0</v>
      </c>
      <c r="AX719" s="11">
        <v>-2850.0</v>
      </c>
      <c r="AY719" s="11">
        <v>-5250.0</v>
      </c>
      <c r="AZ719" s="11">
        <v>-1120.0</v>
      </c>
      <c r="BA719" s="11">
        <v>-1410.0</v>
      </c>
      <c r="BB719" s="11">
        <v>-7430.0</v>
      </c>
      <c r="BC719" s="12"/>
      <c r="BD719" s="12"/>
      <c r="BE719" s="12"/>
      <c r="BF719" s="12"/>
      <c r="BG719" s="12"/>
      <c r="BH719" s="11">
        <v>176230.0</v>
      </c>
      <c r="BI719" s="11">
        <v>262250.0</v>
      </c>
      <c r="BJ719" s="11">
        <v>267110.0</v>
      </c>
      <c r="BK719" s="11">
        <v>159960.0</v>
      </c>
      <c r="BL719" s="11">
        <v>278110.0</v>
      </c>
      <c r="BM719" s="11">
        <v>27250.0</v>
      </c>
      <c r="BN719" s="11">
        <v>12070.0</v>
      </c>
      <c r="BO719" s="11">
        <v>5230.0</v>
      </c>
      <c r="BP719" s="11">
        <v>8800.0</v>
      </c>
      <c r="BQ719" s="11">
        <v>5800.0</v>
      </c>
      <c r="BR719" s="12"/>
      <c r="BS719" s="12"/>
      <c r="BT719" s="11">
        <v>1040.0</v>
      </c>
      <c r="BU719" s="11">
        <v>2190.0</v>
      </c>
      <c r="BV719" s="11">
        <v>2940.0</v>
      </c>
      <c r="BW719" s="11">
        <v>208900.0</v>
      </c>
      <c r="BX719" s="11">
        <v>278780.0</v>
      </c>
      <c r="BY719" s="11">
        <v>276340.0</v>
      </c>
      <c r="BZ719" s="11">
        <v>176350.0</v>
      </c>
      <c r="CA719" s="11">
        <v>291020.0</v>
      </c>
      <c r="CB719" s="11">
        <v>22580.0</v>
      </c>
      <c r="CC719" s="11">
        <v>12890.0</v>
      </c>
      <c r="CD719" s="11">
        <v>14540.0</v>
      </c>
      <c r="CE719" s="11">
        <v>19500.0</v>
      </c>
      <c r="CF719" s="11">
        <v>16250.0</v>
      </c>
      <c r="CG719" s="12"/>
      <c r="CH719" s="12"/>
      <c r="CI719" s="12"/>
      <c r="CJ719" s="12"/>
      <c r="CK719" s="12"/>
      <c r="CL719" s="11">
        <v>235260.0</v>
      </c>
      <c r="CM719" s="11">
        <v>295380.0</v>
      </c>
      <c r="CN719" s="11">
        <v>294680.0</v>
      </c>
      <c r="CO719" s="11">
        <v>198860.0</v>
      </c>
      <c r="CP719" s="11">
        <v>313820.0</v>
      </c>
      <c r="CQ719" s="11">
        <v>9930.0</v>
      </c>
      <c r="CR719" s="11">
        <v>11370.0</v>
      </c>
      <c r="CS719" s="11">
        <v>8560.0</v>
      </c>
      <c r="CT719" s="11">
        <v>7900.0</v>
      </c>
      <c r="CU719" s="11">
        <v>8140.0</v>
      </c>
      <c r="CV719" s="11">
        <v>77410.0</v>
      </c>
      <c r="CW719" s="11">
        <v>2970.0</v>
      </c>
      <c r="CX719" s="12"/>
      <c r="CY719" s="12"/>
      <c r="CZ719" s="12"/>
      <c r="DA719" s="12"/>
      <c r="DB719" s="11">
        <v>77410.0</v>
      </c>
      <c r="DC719" s="11">
        <v>70660.0</v>
      </c>
      <c r="DD719" s="11">
        <v>55770.0</v>
      </c>
      <c r="DE719" s="11">
        <v>55780.0</v>
      </c>
      <c r="DF719" s="11">
        <v>311380.0</v>
      </c>
      <c r="DG719" s="11">
        <v>284410.0</v>
      </c>
      <c r="DH719" s="11">
        <v>312570.0</v>
      </c>
      <c r="DI719" s="11">
        <v>351710.0</v>
      </c>
      <c r="DJ719" s="11">
        <v>278720.0</v>
      </c>
      <c r="DK719" s="12"/>
      <c r="DL719" s="12"/>
      <c r="DM719" s="12"/>
      <c r="DN719" s="12"/>
      <c r="DO719" s="12"/>
      <c r="DP719" s="11">
        <v>106140.0</v>
      </c>
      <c r="DQ719" s="11">
        <v>124410.0</v>
      </c>
      <c r="DR719" s="11">
        <v>153680.0</v>
      </c>
      <c r="DS719" s="11">
        <v>266820.0</v>
      </c>
      <c r="DT719" s="11">
        <v>191760.0</v>
      </c>
      <c r="DU719" s="13"/>
      <c r="DV719" s="12"/>
      <c r="DW719" s="12"/>
      <c r="DX719" s="13"/>
      <c r="DY719" s="13"/>
      <c r="DZ719" s="11">
        <v>-76120.0</v>
      </c>
      <c r="EA719" s="11">
        <v>10970.0</v>
      </c>
      <c r="EB719" s="11">
        <v>-17900.0</v>
      </c>
      <c r="EC719" s="11">
        <v>-152850.0</v>
      </c>
      <c r="ED719" s="11">
        <v>35100.0</v>
      </c>
      <c r="EE719" s="14">
        <v>0.063</v>
      </c>
      <c r="EF719" s="14">
        <v>1.287</v>
      </c>
      <c r="EG719" s="14">
        <v>0.176</v>
      </c>
      <c r="EH719" s="14">
        <v>0.453</v>
      </c>
    </row>
    <row r="720">
      <c r="A720" s="9">
        <f t="shared" si="2"/>
        <v>718</v>
      </c>
      <c r="B720" s="22" t="s">
        <v>855</v>
      </c>
      <c r="C720" s="11">
        <v>311720.0</v>
      </c>
      <c r="D720" s="11">
        <v>124680.0</v>
      </c>
      <c r="E720" s="11">
        <v>295.0</v>
      </c>
      <c r="F720" s="12"/>
      <c r="G720" s="11">
        <v>3090.0</v>
      </c>
      <c r="H720" s="11">
        <v>3230.0</v>
      </c>
      <c r="I720" s="11">
        <v>5650.0</v>
      </c>
      <c r="J720" s="12"/>
      <c r="K720" s="11">
        <v>-2100.0</v>
      </c>
      <c r="L720" s="11">
        <v>1710.0</v>
      </c>
      <c r="M720" s="11">
        <v>2070.0</v>
      </c>
      <c r="N720" s="11">
        <v>4810.0</v>
      </c>
      <c r="O720" s="11">
        <v>321050.0</v>
      </c>
      <c r="P720" s="11">
        <v>142440.0</v>
      </c>
      <c r="Q720" s="11">
        <v>80860.0</v>
      </c>
      <c r="R720" s="11">
        <v>61080.0</v>
      </c>
      <c r="S720" s="11">
        <v>51030.0</v>
      </c>
      <c r="T720" s="11">
        <v>250790.0</v>
      </c>
      <c r="U720" s="11">
        <v>93890.0</v>
      </c>
      <c r="V720" s="11">
        <v>51780.0</v>
      </c>
      <c r="W720" s="11">
        <v>53490.0</v>
      </c>
      <c r="X720" s="11">
        <v>41160.0</v>
      </c>
      <c r="Y720" s="12"/>
      <c r="Z720" s="11">
        <v>-143840.0</v>
      </c>
      <c r="AA720" s="11">
        <v>-147870.0</v>
      </c>
      <c r="AB720" s="12"/>
      <c r="AC720" s="12"/>
      <c r="AD720" s="11">
        <v>-357320.0</v>
      </c>
      <c r="AE720" s="11">
        <v>-157750.0</v>
      </c>
      <c r="AF720" s="11">
        <v>-153250.0</v>
      </c>
      <c r="AG720" s="11">
        <v>-64190.0</v>
      </c>
      <c r="AH720" s="11">
        <v>-48070.0</v>
      </c>
      <c r="AI720" s="11">
        <v>-320750.0</v>
      </c>
      <c r="AJ720" s="11">
        <v>-142440.0</v>
      </c>
      <c r="AK720" s="11">
        <v>-78250.0</v>
      </c>
      <c r="AL720" s="11">
        <v>-58270.0</v>
      </c>
      <c r="AM720" s="11">
        <v>-45640.0</v>
      </c>
      <c r="AN720" s="11">
        <v>-357190.0</v>
      </c>
      <c r="AO720" s="11">
        <v>-157670.0</v>
      </c>
      <c r="AP720" s="11">
        <v>-153210.0</v>
      </c>
      <c r="AQ720" s="11">
        <v>-59040.0</v>
      </c>
      <c r="AR720" s="11">
        <v>-48000.0</v>
      </c>
      <c r="AS720" s="11">
        <v>-222440.0</v>
      </c>
      <c r="AT720" s="11">
        <v>-130660.0</v>
      </c>
      <c r="AU720" s="11">
        <v>-62250.0</v>
      </c>
      <c r="AV720" s="11">
        <v>-48460.0</v>
      </c>
      <c r="AW720" s="11">
        <v>-39000.0</v>
      </c>
      <c r="AX720" s="11">
        <v>-6850.0</v>
      </c>
      <c r="AY720" s="11">
        <v>-11210.0</v>
      </c>
      <c r="AZ720" s="11">
        <v>-1840.0</v>
      </c>
      <c r="BA720" s="11">
        <v>-2230.0</v>
      </c>
      <c r="BB720" s="11">
        <v>-924.0</v>
      </c>
      <c r="BC720" s="12"/>
      <c r="BD720" s="12"/>
      <c r="BE720" s="12"/>
      <c r="BF720" s="12"/>
      <c r="BG720" s="12"/>
      <c r="BH720" s="11">
        <v>616590.0</v>
      </c>
      <c r="BI720" s="11">
        <v>497800.0</v>
      </c>
      <c r="BJ720" s="11">
        <v>154900.0</v>
      </c>
      <c r="BK720" s="11">
        <v>50630.0</v>
      </c>
      <c r="BL720" s="11">
        <v>99620.0</v>
      </c>
      <c r="BM720" s="11">
        <v>295.0</v>
      </c>
      <c r="BN720" s="12"/>
      <c r="BO720" s="11">
        <v>502.0</v>
      </c>
      <c r="BP720" s="11">
        <v>751.0</v>
      </c>
      <c r="BQ720" s="11">
        <v>1200.0</v>
      </c>
      <c r="BR720" s="12"/>
      <c r="BS720" s="12"/>
      <c r="BT720" s="11">
        <v>580.0</v>
      </c>
      <c r="BU720" s="11">
        <v>351.0</v>
      </c>
      <c r="BV720" s="11">
        <v>584.0</v>
      </c>
      <c r="BW720" s="11">
        <v>638700.0</v>
      </c>
      <c r="BX720" s="11">
        <v>504500.0</v>
      </c>
      <c r="BY720" s="11">
        <v>157300.0</v>
      </c>
      <c r="BZ720" s="11">
        <v>52950.0</v>
      </c>
      <c r="CA720" s="11">
        <v>103490.0</v>
      </c>
      <c r="CB720" s="11">
        <v>32760.0</v>
      </c>
      <c r="CC720" s="11">
        <v>23470.0</v>
      </c>
      <c r="CD720" s="11">
        <v>5250.0</v>
      </c>
      <c r="CE720" s="11">
        <v>3970.0</v>
      </c>
      <c r="CF720" s="11">
        <v>2240.0</v>
      </c>
      <c r="CG720" s="12"/>
      <c r="CH720" s="12"/>
      <c r="CI720" s="12"/>
      <c r="CJ720" s="12"/>
      <c r="CK720" s="12"/>
      <c r="CL720" s="11">
        <v>671720.0</v>
      </c>
      <c r="CM720" s="11">
        <v>528040.0</v>
      </c>
      <c r="CN720" s="11">
        <v>162570.0</v>
      </c>
      <c r="CO720" s="11">
        <v>56950.0</v>
      </c>
      <c r="CP720" s="11">
        <v>105780.0</v>
      </c>
      <c r="CQ720" s="11">
        <v>37760.0</v>
      </c>
      <c r="CR720" s="11">
        <v>31720.0</v>
      </c>
      <c r="CS720" s="11">
        <v>5220.0</v>
      </c>
      <c r="CT720" s="11">
        <v>5350.0</v>
      </c>
      <c r="CU720" s="11">
        <v>3280.0</v>
      </c>
      <c r="CV720" s="11">
        <v>71760.0</v>
      </c>
      <c r="CW720" s="11">
        <v>337.0</v>
      </c>
      <c r="CX720" s="12"/>
      <c r="CY720" s="12"/>
      <c r="CZ720" s="12"/>
      <c r="DA720" s="12"/>
      <c r="DB720" s="11">
        <v>71760.0</v>
      </c>
      <c r="DC720" s="11">
        <v>31720.0</v>
      </c>
      <c r="DD720" s="11">
        <v>122240.0</v>
      </c>
      <c r="DE720" s="11">
        <v>15420.0</v>
      </c>
      <c r="DF720" s="11">
        <v>404490.0</v>
      </c>
      <c r="DG720" s="11">
        <v>262190.0</v>
      </c>
      <c r="DH720" s="11">
        <v>222040.0</v>
      </c>
      <c r="DI720" s="11">
        <v>114480.0</v>
      </c>
      <c r="DJ720" s="11">
        <v>110300.0</v>
      </c>
      <c r="DK720" s="12"/>
      <c r="DL720" s="12"/>
      <c r="DM720" s="12"/>
      <c r="DN720" s="12"/>
      <c r="DO720" s="12"/>
      <c r="DP720" s="11">
        <v>267730.0</v>
      </c>
      <c r="DQ720" s="11">
        <v>7060.0</v>
      </c>
      <c r="DR720" s="11">
        <v>98080.0</v>
      </c>
      <c r="DS720" s="11">
        <v>97350.0</v>
      </c>
      <c r="DT720" s="11">
        <v>96620.0</v>
      </c>
      <c r="DU720" s="13"/>
      <c r="DV720" s="12"/>
      <c r="DW720" s="11">
        <v>10.0</v>
      </c>
      <c r="DX720" s="13"/>
      <c r="DY720" s="13"/>
      <c r="DZ720" s="11">
        <v>268260.0</v>
      </c>
      <c r="EA720" s="11">
        <v>266750.0</v>
      </c>
      <c r="EB720" s="11">
        <v>-58690.0</v>
      </c>
      <c r="EC720" s="11">
        <v>-56820.0</v>
      </c>
      <c r="ED720" s="11">
        <v>-3910.0</v>
      </c>
      <c r="EE720" s="14">
        <v>0.632</v>
      </c>
      <c r="EF720" s="14">
        <v>0.743</v>
      </c>
      <c r="EG720" s="14">
        <v>0.118</v>
      </c>
      <c r="EH720" s="14">
        <v>-0.038</v>
      </c>
    </row>
    <row r="721">
      <c r="A721" s="9">
        <f t="shared" si="2"/>
        <v>719</v>
      </c>
      <c r="B721" s="22" t="s">
        <v>856</v>
      </c>
      <c r="C721" s="11">
        <v>2850000.0</v>
      </c>
      <c r="D721" s="11">
        <v>2530000.0</v>
      </c>
      <c r="E721" s="11">
        <v>2160000.0</v>
      </c>
      <c r="F721" s="11">
        <v>1880000.0</v>
      </c>
      <c r="G721" s="11">
        <v>1540000.0</v>
      </c>
      <c r="H721" s="11">
        <v>1110000.0</v>
      </c>
      <c r="I721" s="11">
        <v>753750.0</v>
      </c>
      <c r="J721" s="11">
        <v>2010000.0</v>
      </c>
      <c r="K721" s="11">
        <v>1750000.0</v>
      </c>
      <c r="L721" s="11">
        <v>1430000.0</v>
      </c>
      <c r="M721" s="11">
        <v>1000000.0</v>
      </c>
      <c r="N721" s="11">
        <v>704340.0</v>
      </c>
      <c r="O721" s="11">
        <v>1590000.0</v>
      </c>
      <c r="P721" s="11">
        <v>1600000.0</v>
      </c>
      <c r="Q721" s="11">
        <v>1660000.0</v>
      </c>
      <c r="R721" s="11">
        <v>837690.0</v>
      </c>
      <c r="S721" s="11">
        <v>653690.0</v>
      </c>
      <c r="T721" s="11">
        <v>1150000.0</v>
      </c>
      <c r="U721" s="11">
        <v>1200000.0</v>
      </c>
      <c r="V721" s="11">
        <v>1330000.0</v>
      </c>
      <c r="W721" s="11">
        <v>581860.0</v>
      </c>
      <c r="X721" s="11">
        <v>479510.0</v>
      </c>
      <c r="Y721" s="11">
        <v>436460.0</v>
      </c>
      <c r="Z721" s="11">
        <v>85130.0</v>
      </c>
      <c r="AA721" s="11">
        <v>-86860.0</v>
      </c>
      <c r="AB721" s="11">
        <v>141740.0</v>
      </c>
      <c r="AC721" s="11">
        <v>46070.0</v>
      </c>
      <c r="AD721" s="11">
        <v>486790.0</v>
      </c>
      <c r="AE721" s="11">
        <v>115350.0</v>
      </c>
      <c r="AF721" s="11">
        <v>-312290.0</v>
      </c>
      <c r="AG721" s="11">
        <v>107400.0</v>
      </c>
      <c r="AH721" s="11">
        <v>7560.0</v>
      </c>
      <c r="AI721" s="11">
        <v>476220.0</v>
      </c>
      <c r="AJ721" s="11">
        <v>210370.0</v>
      </c>
      <c r="AK721" s="11">
        <v>-183510.0</v>
      </c>
      <c r="AL721" s="11">
        <v>222450.0</v>
      </c>
      <c r="AM721" s="11">
        <v>95530.0</v>
      </c>
      <c r="AN721" s="11">
        <v>446910.0</v>
      </c>
      <c r="AO721" s="11">
        <v>109490.0</v>
      </c>
      <c r="AP721" s="11">
        <v>-313140.0</v>
      </c>
      <c r="AQ721" s="11">
        <v>104220.0</v>
      </c>
      <c r="AR721" s="11">
        <v>6530.0</v>
      </c>
      <c r="AS721" s="11">
        <v>710660.0</v>
      </c>
      <c r="AT721" s="11">
        <v>336230.0</v>
      </c>
      <c r="AU721" s="11">
        <v>-92990.0</v>
      </c>
      <c r="AV721" s="11">
        <v>304760.0</v>
      </c>
      <c r="AW721" s="11">
        <v>86540.0</v>
      </c>
      <c r="AX721" s="11">
        <v>-78060.0</v>
      </c>
      <c r="AY721" s="11">
        <v>-73480.0</v>
      </c>
      <c r="AZ721" s="11">
        <v>-111020.0</v>
      </c>
      <c r="BA721" s="11">
        <v>-120280.0</v>
      </c>
      <c r="BB721" s="11">
        <v>-26000.0</v>
      </c>
      <c r="BC721" s="12"/>
      <c r="BD721" s="12"/>
      <c r="BE721" s="12"/>
      <c r="BF721" s="12"/>
      <c r="BG721" s="12"/>
      <c r="BH721" s="11">
        <v>2120000.0</v>
      </c>
      <c r="BI721" s="11">
        <v>1440000.0</v>
      </c>
      <c r="BJ721" s="11">
        <v>1170000.0</v>
      </c>
      <c r="BK721" s="11">
        <v>808560.0</v>
      </c>
      <c r="BL721" s="11">
        <v>708300.0</v>
      </c>
      <c r="BM721" s="11">
        <v>308810.0</v>
      </c>
      <c r="BN721" s="11">
        <v>307600.0</v>
      </c>
      <c r="BO721" s="11">
        <v>266300.0</v>
      </c>
      <c r="BP721" s="11">
        <v>148760.0</v>
      </c>
      <c r="BQ721" s="11">
        <v>114450.0</v>
      </c>
      <c r="BR721" s="11">
        <v>11400.0</v>
      </c>
      <c r="BS721" s="11">
        <v>6970.0</v>
      </c>
      <c r="BT721" s="11">
        <v>6480.0</v>
      </c>
      <c r="BU721" s="11">
        <v>4110.0</v>
      </c>
      <c r="BV721" s="11">
        <v>1780.0</v>
      </c>
      <c r="BW721" s="11">
        <v>2480000.0</v>
      </c>
      <c r="BX721" s="11">
        <v>1830000.0</v>
      </c>
      <c r="BY721" s="11">
        <v>1500000.0</v>
      </c>
      <c r="BZ721" s="11">
        <v>994180.0</v>
      </c>
      <c r="CA721" s="11">
        <v>842380.0</v>
      </c>
      <c r="CB721" s="11">
        <v>406630.0</v>
      </c>
      <c r="CC721" s="11">
        <v>319750.0</v>
      </c>
      <c r="CD721" s="11">
        <v>259760.0</v>
      </c>
      <c r="CE721" s="11">
        <v>167680.0</v>
      </c>
      <c r="CF721" s="11">
        <v>86010.0</v>
      </c>
      <c r="CG721" s="11">
        <v>155590.0</v>
      </c>
      <c r="CH721" s="11">
        <v>155590.0</v>
      </c>
      <c r="CI721" s="11">
        <v>155590.0</v>
      </c>
      <c r="CJ721" s="11">
        <v>155590.0</v>
      </c>
      <c r="CK721" s="12"/>
      <c r="CL721" s="11">
        <v>3430000.0</v>
      </c>
      <c r="CM721" s="11">
        <v>2650000.0</v>
      </c>
      <c r="CN721" s="11">
        <v>2300000.0</v>
      </c>
      <c r="CO721" s="11">
        <v>1640000.0</v>
      </c>
      <c r="CP721" s="11">
        <v>1010000.0</v>
      </c>
      <c r="CQ721" s="11">
        <v>83650.0</v>
      </c>
      <c r="CR721" s="11">
        <v>103830.0</v>
      </c>
      <c r="CS721" s="11">
        <v>67670.0</v>
      </c>
      <c r="CT721" s="11">
        <v>75600.0</v>
      </c>
      <c r="CU721" s="11">
        <v>30090.0</v>
      </c>
      <c r="CV721" s="11">
        <v>513340.0</v>
      </c>
      <c r="CW721" s="11">
        <v>9340.0</v>
      </c>
      <c r="CX721" s="12"/>
      <c r="CY721" s="11">
        <v>7390.0</v>
      </c>
      <c r="CZ721" s="12"/>
      <c r="DA721" s="12"/>
      <c r="DB721" s="11">
        <v>513340.0</v>
      </c>
      <c r="DC721" s="11">
        <v>425280.0</v>
      </c>
      <c r="DD721" s="11">
        <v>375400.0</v>
      </c>
      <c r="DE721" s="11">
        <v>273500.0</v>
      </c>
      <c r="DF721" s="11">
        <v>828340.0</v>
      </c>
      <c r="DG721" s="11">
        <v>719800.0</v>
      </c>
      <c r="DH721" s="11">
        <v>671950.0</v>
      </c>
      <c r="DI721" s="11">
        <v>1220000.0</v>
      </c>
      <c r="DJ721" s="11">
        <v>836290.0</v>
      </c>
      <c r="DK721" s="11">
        <v>134680.0</v>
      </c>
      <c r="DL721" s="11">
        <v>100210.0</v>
      </c>
      <c r="DM721" s="11">
        <v>135280.0</v>
      </c>
      <c r="DN721" s="11">
        <v>32870.0</v>
      </c>
      <c r="DO721" s="11">
        <v>49230.0</v>
      </c>
      <c r="DP721" s="11">
        <v>43770.0</v>
      </c>
      <c r="DQ721" s="11">
        <v>17430.0</v>
      </c>
      <c r="DR721" s="11">
        <v>16610.0</v>
      </c>
      <c r="DS721" s="11">
        <v>651480.0</v>
      </c>
      <c r="DT721" s="11">
        <v>619890.0</v>
      </c>
      <c r="DU721" s="13"/>
      <c r="DV721" s="12"/>
      <c r="DW721" s="12"/>
      <c r="DX721" s="13"/>
      <c r="DY721" s="13"/>
      <c r="DZ721" s="11">
        <v>2600000.0</v>
      </c>
      <c r="EA721" s="11">
        <v>1930000.0</v>
      </c>
      <c r="EB721" s="11">
        <v>1630000.0</v>
      </c>
      <c r="EC721" s="11">
        <v>419470.0</v>
      </c>
      <c r="ED721" s="11">
        <v>171160.0</v>
      </c>
      <c r="EE721" s="14">
        <v>0.103</v>
      </c>
      <c r="EF721" s="14">
        <v>0.158</v>
      </c>
      <c r="EG721" s="14">
        <v>0.425</v>
      </c>
      <c r="EH721" s="14">
        <v>-1.216</v>
      </c>
    </row>
    <row r="722">
      <c r="A722" s="9">
        <f t="shared" si="2"/>
        <v>720</v>
      </c>
      <c r="B722" s="10" t="s">
        <v>857</v>
      </c>
      <c r="C722" s="15">
        <v>6120000.0</v>
      </c>
      <c r="D722" s="15">
        <v>5920000.0</v>
      </c>
      <c r="E722" s="15">
        <v>6210000.0</v>
      </c>
      <c r="F722" s="15">
        <v>6290000.0</v>
      </c>
      <c r="G722" s="15">
        <v>5830000.0</v>
      </c>
      <c r="H722" s="15">
        <v>5700000.0</v>
      </c>
      <c r="I722" s="15">
        <v>5620000.0</v>
      </c>
      <c r="J722" s="15">
        <v>1320000.0</v>
      </c>
      <c r="K722" s="15">
        <v>1370000.0</v>
      </c>
      <c r="L722" s="15">
        <v>1480000.0</v>
      </c>
      <c r="M722" s="15">
        <v>1450000.0</v>
      </c>
      <c r="N722" s="15">
        <v>1290000.0</v>
      </c>
      <c r="O722" s="15">
        <v>607000.0</v>
      </c>
      <c r="P722" s="15">
        <v>611000.0</v>
      </c>
      <c r="Q722" s="15">
        <v>612000.0</v>
      </c>
      <c r="R722" s="15">
        <v>576000.0</v>
      </c>
      <c r="S722" s="15">
        <v>545000.0</v>
      </c>
      <c r="T722" s="15">
        <v>44000.0</v>
      </c>
      <c r="U722" s="15">
        <v>46000.0</v>
      </c>
      <c r="V722" s="15">
        <v>43000.0</v>
      </c>
      <c r="W722" s="15">
        <v>41000.0</v>
      </c>
      <c r="X722" s="15">
        <v>43000.0</v>
      </c>
      <c r="Y722" s="15">
        <v>679000.0</v>
      </c>
      <c r="Z722" s="15">
        <v>-64000.0</v>
      </c>
      <c r="AA722" s="15">
        <v>-33000.0</v>
      </c>
      <c r="AB722" s="15">
        <v>851000.0</v>
      </c>
      <c r="AC722" s="15">
        <v>695000.0</v>
      </c>
      <c r="AD722" s="15">
        <v>582000.0</v>
      </c>
      <c r="AE722" s="15">
        <v>621000.0</v>
      </c>
      <c r="AF722" s="15">
        <v>769000.0</v>
      </c>
      <c r="AG722" s="15">
        <v>742000.0</v>
      </c>
      <c r="AH722" s="15">
        <v>599000.0</v>
      </c>
      <c r="AI722" s="15">
        <v>959000.0</v>
      </c>
      <c r="AJ722" s="15">
        <v>1010000.0</v>
      </c>
      <c r="AK722" s="15">
        <v>1080000.0</v>
      </c>
      <c r="AL722" s="15">
        <v>1070000.0</v>
      </c>
      <c r="AM722" s="15">
        <v>934000.0</v>
      </c>
      <c r="AN722" s="15">
        <v>413000.0</v>
      </c>
      <c r="AO722" s="15">
        <v>443000.0</v>
      </c>
      <c r="AP722" s="15">
        <v>519000.0</v>
      </c>
      <c r="AQ722" s="15">
        <v>484900.0</v>
      </c>
      <c r="AR722" s="15">
        <v>402000.0</v>
      </c>
      <c r="AS722" s="15">
        <v>680000.0</v>
      </c>
      <c r="AT722" s="15">
        <v>703000.0</v>
      </c>
      <c r="AU722" s="15">
        <v>769000.0</v>
      </c>
      <c r="AV722" s="15">
        <v>771000.0</v>
      </c>
      <c r="AW722" s="15">
        <v>686000.0</v>
      </c>
      <c r="AX722" s="15">
        <v>-328000.0</v>
      </c>
      <c r="AY722" s="15">
        <v>-350000.0</v>
      </c>
      <c r="AZ722" s="15">
        <v>-314000.0</v>
      </c>
      <c r="BA722" s="15">
        <v>-284000.0</v>
      </c>
      <c r="BB722" s="15">
        <v>-280000.0</v>
      </c>
      <c r="BC722" s="15">
        <v>-174000.0</v>
      </c>
      <c r="BD722" s="15">
        <v>-182000.0</v>
      </c>
      <c r="BE722" s="15">
        <v>-165000.0</v>
      </c>
      <c r="BF722" s="15">
        <v>-141000.0</v>
      </c>
      <c r="BG722" s="15">
        <v>-126000.0</v>
      </c>
      <c r="BH722" s="15">
        <v>268000.0</v>
      </c>
      <c r="BI722" s="15">
        <v>334000.0</v>
      </c>
      <c r="BJ722" s="15">
        <v>604000.0</v>
      </c>
      <c r="BK722" s="15">
        <v>516000.0</v>
      </c>
      <c r="BL722" s="15">
        <v>440000.0</v>
      </c>
      <c r="BM722" s="15">
        <v>977000.0</v>
      </c>
      <c r="BN722" s="15">
        <v>951000.0</v>
      </c>
      <c r="BO722" s="15">
        <v>961000.0</v>
      </c>
      <c r="BP722" s="15">
        <v>923000.0</v>
      </c>
      <c r="BQ722" s="15">
        <v>775000.0</v>
      </c>
      <c r="BR722" s="15">
        <v>861000.0</v>
      </c>
      <c r="BS722" s="15">
        <v>824000.0</v>
      </c>
      <c r="BT722" s="15">
        <v>823000.0</v>
      </c>
      <c r="BU722" s="15">
        <v>789000.0</v>
      </c>
      <c r="BV722" s="15">
        <v>715000.0</v>
      </c>
      <c r="BW722" s="15">
        <v>2160000.0</v>
      </c>
      <c r="BX722" s="15">
        <v>2140000.0</v>
      </c>
      <c r="BY722" s="15">
        <v>2420000.0</v>
      </c>
      <c r="BZ722" s="15">
        <v>2250000.0</v>
      </c>
      <c r="CA722" s="15">
        <v>1950000.0</v>
      </c>
      <c r="CB722" s="15">
        <v>2460000.0</v>
      </c>
      <c r="CC722" s="15">
        <v>2200000.0</v>
      </c>
      <c r="CD722" s="15">
        <v>2220000.0</v>
      </c>
      <c r="CE722" s="15">
        <v>2120000.0</v>
      </c>
      <c r="CF722" s="15">
        <v>1990000.0</v>
      </c>
      <c r="CG722" s="15">
        <v>801000.0</v>
      </c>
      <c r="CH722" s="15">
        <v>791000.0</v>
      </c>
      <c r="CI722" s="15">
        <v>803000.0</v>
      </c>
      <c r="CJ722" s="15">
        <v>784000.0</v>
      </c>
      <c r="CK722" s="15">
        <v>601000.0</v>
      </c>
      <c r="CL722" s="15">
        <v>6040000.0</v>
      </c>
      <c r="CM722" s="15">
        <v>5730000.0</v>
      </c>
      <c r="CN722" s="15">
        <v>6080000.0</v>
      </c>
      <c r="CO722" s="15">
        <v>5780000.0</v>
      </c>
      <c r="CP722" s="15">
        <v>5070000.0</v>
      </c>
      <c r="CQ722" s="15">
        <v>504000.0</v>
      </c>
      <c r="CR722" s="15">
        <v>452000.0</v>
      </c>
      <c r="CS722" s="15">
        <v>493000.0</v>
      </c>
      <c r="CT722" s="15">
        <v>440000.0</v>
      </c>
      <c r="CU722" s="15">
        <v>423000.0</v>
      </c>
      <c r="CV722" s="15">
        <v>967000.0</v>
      </c>
      <c r="CW722" s="15">
        <v>123000.0</v>
      </c>
      <c r="CX722" s="15">
        <v>169000.0</v>
      </c>
      <c r="CY722" s="15">
        <v>120000.0</v>
      </c>
      <c r="CZ722" s="15">
        <v>106000.0</v>
      </c>
      <c r="DA722" s="15">
        <v>19000.0</v>
      </c>
      <c r="DB722" s="15">
        <v>967000.0</v>
      </c>
      <c r="DC722" s="15">
        <v>946000.0</v>
      </c>
      <c r="DD722" s="15">
        <v>957000.0</v>
      </c>
      <c r="DE722" s="15">
        <v>978000.0</v>
      </c>
      <c r="DF722" s="15">
        <v>3300000.0</v>
      </c>
      <c r="DG722" s="15">
        <v>3320000.0</v>
      </c>
      <c r="DH722" s="15">
        <v>3160000.0</v>
      </c>
      <c r="DI722" s="15">
        <v>3190000.0</v>
      </c>
      <c r="DJ722" s="15">
        <v>2890000.0</v>
      </c>
      <c r="DK722" s="15">
        <v>1000.0</v>
      </c>
      <c r="DL722" s="15">
        <v>1000.0</v>
      </c>
      <c r="DM722" s="15">
        <v>5000.0</v>
      </c>
      <c r="DN722" s="15">
        <v>2000.0</v>
      </c>
      <c r="DO722" s="15"/>
      <c r="DP722" s="15">
        <v>1890000.0</v>
      </c>
      <c r="DQ722" s="15">
        <v>1930000.0</v>
      </c>
      <c r="DR722" s="15">
        <v>1740000.0</v>
      </c>
      <c r="DS722" s="15">
        <v>1850000.0</v>
      </c>
      <c r="DT722" s="15">
        <v>1820000.0</v>
      </c>
      <c r="DU722" s="13"/>
      <c r="DV722" s="12"/>
      <c r="DW722" s="15"/>
      <c r="DX722" s="15"/>
      <c r="DY722" s="13"/>
      <c r="DZ722" s="15">
        <v>2720000.0</v>
      </c>
      <c r="EA722" s="15">
        <v>2390000.0</v>
      </c>
      <c r="EB722" s="15">
        <v>2890000.0</v>
      </c>
      <c r="EC722" s="15">
        <v>2570000.0</v>
      </c>
      <c r="ED722" s="15">
        <v>2140000.0</v>
      </c>
      <c r="EE722" s="17">
        <v>0.068</v>
      </c>
      <c r="EF722" s="17">
        <v>0.08</v>
      </c>
      <c r="EG722" s="17">
        <v>0.046</v>
      </c>
      <c r="EH722" s="17">
        <v>0.057</v>
      </c>
    </row>
    <row r="723">
      <c r="A723" s="9">
        <f t="shared" si="2"/>
        <v>721</v>
      </c>
      <c r="B723" s="13" t="s">
        <v>858</v>
      </c>
      <c r="C723" s="36">
        <v>231890.0</v>
      </c>
      <c r="D723" s="36">
        <v>153350.0</v>
      </c>
      <c r="E723" s="36">
        <v>153400.0</v>
      </c>
      <c r="F723" s="36">
        <v>141380.0</v>
      </c>
      <c r="G723" s="36">
        <v>122540.0</v>
      </c>
      <c r="H723" s="36">
        <v>0.0</v>
      </c>
      <c r="I723" s="36">
        <v>0.0</v>
      </c>
      <c r="J723" s="36">
        <v>75300.0</v>
      </c>
      <c r="K723" s="36">
        <v>68770.0</v>
      </c>
      <c r="L723" s="36">
        <v>62050.0</v>
      </c>
      <c r="M723" s="36">
        <v>0.0</v>
      </c>
      <c r="N723" s="36">
        <v>0.0</v>
      </c>
      <c r="O723" s="36">
        <v>81600.0</v>
      </c>
      <c r="P723" s="36">
        <v>67540.0</v>
      </c>
      <c r="Q723" s="36">
        <v>62540.0</v>
      </c>
      <c r="R723" s="36">
        <v>3530.0</v>
      </c>
      <c r="S723" s="36">
        <v>0.0</v>
      </c>
      <c r="T723" s="36">
        <v>3800.0</v>
      </c>
      <c r="U723" s="36">
        <v>4820.0</v>
      </c>
      <c r="V723" s="36">
        <v>5240.0</v>
      </c>
      <c r="W723" s="36">
        <v>0.0</v>
      </c>
      <c r="X723" s="36">
        <v>0.0</v>
      </c>
      <c r="Y723" s="36">
        <v>-9100.0</v>
      </c>
      <c r="Z723" s="36">
        <v>-4110.0</v>
      </c>
      <c r="AA723" s="36">
        <v>-19410.0</v>
      </c>
      <c r="AB723" s="36">
        <v>-3540.0</v>
      </c>
      <c r="AC723" s="36">
        <v>0.0</v>
      </c>
      <c r="AD723" s="36">
        <v>-36900.0</v>
      </c>
      <c r="AE723" s="36">
        <v>-20410.0</v>
      </c>
      <c r="AF723" s="36">
        <v>-48930.0</v>
      </c>
      <c r="AG723" s="36">
        <v>-3530.0</v>
      </c>
      <c r="AH723" s="36">
        <v>0.0</v>
      </c>
      <c r="AI723" s="36">
        <v>36700.0</v>
      </c>
      <c r="AJ723" s="36">
        <v>43060.0</v>
      </c>
      <c r="AK723" s="36">
        <v>33320.0</v>
      </c>
      <c r="AL723" s="36">
        <v>-3530.0</v>
      </c>
      <c r="AM723" s="36">
        <v>0.0</v>
      </c>
      <c r="AN723" s="36">
        <v>-37000.0</v>
      </c>
      <c r="AO723" s="36">
        <v>-20600.0</v>
      </c>
      <c r="AP723" s="36">
        <v>-49110.0</v>
      </c>
      <c r="AQ723" s="36">
        <v>-3530.0</v>
      </c>
      <c r="AR723" s="36">
        <v>0.0</v>
      </c>
      <c r="AS723" s="36">
        <v>32000.0</v>
      </c>
      <c r="AT723" s="36">
        <v>34220.0</v>
      </c>
      <c r="AU723" s="36">
        <v>18250.0</v>
      </c>
      <c r="AV723" s="36">
        <v>0.0</v>
      </c>
      <c r="AW723" s="36">
        <v>0.0</v>
      </c>
      <c r="AX723" s="36">
        <v>-27500.0</v>
      </c>
      <c r="AY723" s="36">
        <v>-42930.0</v>
      </c>
      <c r="AZ723" s="36">
        <v>-35390.0</v>
      </c>
      <c r="BA723" s="36">
        <v>0.0</v>
      </c>
      <c r="BB723" s="36">
        <v>0.0</v>
      </c>
      <c r="BC723" s="36">
        <v>0.0</v>
      </c>
      <c r="BD723" s="36">
        <v>0.0</v>
      </c>
      <c r="BE723" s="36">
        <v>0.0</v>
      </c>
      <c r="BF723" s="36">
        <v>0.0</v>
      </c>
      <c r="BG723" s="36">
        <v>0.0</v>
      </c>
      <c r="BH723" s="36">
        <v>29100.0</v>
      </c>
      <c r="BI723" s="36">
        <v>22450.0</v>
      </c>
      <c r="BJ723" s="36">
        <v>20030.0</v>
      </c>
      <c r="BK723" s="36">
        <v>0.0</v>
      </c>
      <c r="BL723" s="36">
        <v>1120.0</v>
      </c>
      <c r="BM723" s="36">
        <v>39500.0</v>
      </c>
      <c r="BN723" s="36">
        <v>25070.0</v>
      </c>
      <c r="BO723" s="36">
        <v>30010.0</v>
      </c>
      <c r="BP723" s="36">
        <v>0.0</v>
      </c>
      <c r="BQ723" s="36">
        <v>0.0</v>
      </c>
      <c r="BR723" s="36">
        <v>18800.0</v>
      </c>
      <c r="BS723" s="36">
        <v>5210.0</v>
      </c>
      <c r="BT723" s="36">
        <v>5010.0</v>
      </c>
      <c r="BU723" s="36">
        <v>0.0</v>
      </c>
      <c r="BV723" s="36">
        <v>0.0</v>
      </c>
      <c r="BW723" s="36">
        <v>95300.0</v>
      </c>
      <c r="BX723" s="36">
        <v>58550.0</v>
      </c>
      <c r="BY723" s="36">
        <v>63200.0</v>
      </c>
      <c r="BZ723" s="36">
        <v>0.0</v>
      </c>
      <c r="CA723" s="36">
        <v>1140.0</v>
      </c>
      <c r="CB723" s="36">
        <v>88700.0</v>
      </c>
      <c r="CC723" s="36">
        <v>45710.0</v>
      </c>
      <c r="CD723" s="36">
        <v>43490.0</v>
      </c>
      <c r="CE723" s="36">
        <v>0.0</v>
      </c>
      <c r="CF723" s="36">
        <v>0.0</v>
      </c>
      <c r="CG723" s="36">
        <v>80900.0</v>
      </c>
      <c r="CH723" s="36">
        <v>45820.0</v>
      </c>
      <c r="CI723" s="36">
        <v>0.0</v>
      </c>
      <c r="CJ723" s="36">
        <v>0.0</v>
      </c>
      <c r="CK723" s="36">
        <v>0.0</v>
      </c>
      <c r="CL723" s="36">
        <v>327400.0</v>
      </c>
      <c r="CM723" s="36">
        <v>207910.0</v>
      </c>
      <c r="CN723" s="36">
        <v>219020.0</v>
      </c>
      <c r="CO723" s="36">
        <v>80330.0</v>
      </c>
      <c r="CP723" s="36">
        <v>81300.0</v>
      </c>
      <c r="CQ723" s="36">
        <v>22200.0</v>
      </c>
      <c r="CR723" s="36">
        <v>14400.0</v>
      </c>
      <c r="CS723" s="36">
        <v>20410.0</v>
      </c>
      <c r="CT723" s="36">
        <v>0.0</v>
      </c>
      <c r="CU723" s="36">
        <v>0.0</v>
      </c>
      <c r="CV723" s="36">
        <v>78300.0</v>
      </c>
      <c r="CW723" s="36">
        <v>3600.0</v>
      </c>
      <c r="CX723" s="36">
        <v>0.0</v>
      </c>
      <c r="CY723" s="36">
        <v>0.0</v>
      </c>
      <c r="CZ723" s="36">
        <v>0.0</v>
      </c>
      <c r="DA723" s="36">
        <v>0.0</v>
      </c>
      <c r="DB723" s="36">
        <v>78300.0</v>
      </c>
      <c r="DC723" s="36">
        <v>52340.0</v>
      </c>
      <c r="DD723" s="36">
        <v>61220.0</v>
      </c>
      <c r="DE723" s="36">
        <v>2650.0</v>
      </c>
      <c r="DF723" s="36">
        <v>376900.0</v>
      </c>
      <c r="DG723" s="36">
        <v>220380.0</v>
      </c>
      <c r="DH723" s="36">
        <v>221350.0</v>
      </c>
      <c r="DI723" s="36">
        <v>5450.0</v>
      </c>
      <c r="DJ723" s="36">
        <v>2890.0</v>
      </c>
      <c r="DK723" s="36">
        <v>0.0</v>
      </c>
      <c r="DL723" s="36">
        <v>0.0</v>
      </c>
      <c r="DM723" s="36">
        <v>0.0</v>
      </c>
      <c r="DN723" s="36">
        <v>80010.0</v>
      </c>
      <c r="DO723" s="36">
        <v>80010.0</v>
      </c>
      <c r="DP723" s="36">
        <v>275700.0</v>
      </c>
      <c r="DQ723" s="36">
        <v>131290.0</v>
      </c>
      <c r="DR723" s="36">
        <v>115930.0</v>
      </c>
      <c r="DS723" s="36">
        <v>0.0</v>
      </c>
      <c r="DT723" s="36">
        <v>0.0</v>
      </c>
      <c r="DU723" s="37">
        <v>0.0</v>
      </c>
      <c r="DV723" s="36">
        <v>0.0</v>
      </c>
      <c r="DW723" s="36">
        <v>0.0</v>
      </c>
      <c r="DX723" s="37">
        <v>0.0</v>
      </c>
      <c r="DY723" s="36">
        <v>0.0</v>
      </c>
      <c r="DZ723" s="36">
        <v>-49500.0</v>
      </c>
      <c r="EA723" s="36">
        <v>-12470.0</v>
      </c>
      <c r="EB723" s="36">
        <v>-2330.0</v>
      </c>
      <c r="EC723" s="36">
        <v>5000.0</v>
      </c>
      <c r="ED723" s="36">
        <v>5000.0</v>
      </c>
      <c r="EE723" s="38">
        <v>0.12</v>
      </c>
      <c r="EF723" s="38">
        <v>0.208</v>
      </c>
      <c r="EG723" s="38">
        <v>-0.182</v>
      </c>
      <c r="EH723" s="38">
        <v>-0.504</v>
      </c>
    </row>
    <row r="724">
      <c r="A724" s="9">
        <f t="shared" si="2"/>
        <v>722</v>
      </c>
      <c r="B724" s="22" t="s">
        <v>859</v>
      </c>
      <c r="C724" s="11">
        <v>289730.0</v>
      </c>
      <c r="D724" s="11">
        <v>173510.0</v>
      </c>
      <c r="E724" s="11">
        <v>136470.0</v>
      </c>
      <c r="F724" s="11">
        <v>9840.0</v>
      </c>
      <c r="G724" s="12"/>
      <c r="H724" s="12"/>
      <c r="I724" s="12"/>
      <c r="J724" s="11">
        <v>107260.0</v>
      </c>
      <c r="K724" s="11">
        <v>2590.0</v>
      </c>
      <c r="L724" s="11">
        <v>-2900.0</v>
      </c>
      <c r="M724" s="11">
        <v>-2440.0</v>
      </c>
      <c r="N724" s="11">
        <v>-1980.0</v>
      </c>
      <c r="O724" s="11">
        <v>342510.0</v>
      </c>
      <c r="P724" s="11">
        <v>309920.0</v>
      </c>
      <c r="Q724" s="11">
        <v>186020.0</v>
      </c>
      <c r="R724" s="11">
        <v>170960.0</v>
      </c>
      <c r="S724" s="11">
        <v>115510.0</v>
      </c>
      <c r="T724" s="11">
        <v>131710.0</v>
      </c>
      <c r="U724" s="11">
        <v>145280.0</v>
      </c>
      <c r="V724" s="11">
        <v>109750.0</v>
      </c>
      <c r="W724" s="11">
        <v>122720.0</v>
      </c>
      <c r="X724" s="11">
        <v>74280.0</v>
      </c>
      <c r="Y724" s="12"/>
      <c r="Z724" s="11">
        <v>-309550.0</v>
      </c>
      <c r="AA724" s="12"/>
      <c r="AB724" s="12"/>
      <c r="AC724" s="12"/>
      <c r="AD724" s="11">
        <v>-253560.0</v>
      </c>
      <c r="AE724" s="11">
        <v>-324080.0</v>
      </c>
      <c r="AF724" s="11">
        <v>-192920.0</v>
      </c>
      <c r="AG724" s="11">
        <v>-176180.0</v>
      </c>
      <c r="AH724" s="11">
        <v>-120150.0</v>
      </c>
      <c r="AI724" s="11">
        <v>-225060.0</v>
      </c>
      <c r="AJ724" s="11">
        <v>-302510.0</v>
      </c>
      <c r="AK724" s="11">
        <v>-186020.0</v>
      </c>
      <c r="AL724" s="11">
        <v>-170960.0</v>
      </c>
      <c r="AM724" s="11">
        <v>-115510.0</v>
      </c>
      <c r="AN724" s="11">
        <v>-254340.0</v>
      </c>
      <c r="AO724" s="11">
        <v>-324280.0</v>
      </c>
      <c r="AP724" s="11">
        <v>-192650.0</v>
      </c>
      <c r="AQ724" s="11">
        <v>-176270.0</v>
      </c>
      <c r="AR724" s="11">
        <v>-118180.0</v>
      </c>
      <c r="AS724" s="11">
        <v>-250650.0</v>
      </c>
      <c r="AT724" s="11">
        <v>-257980.0</v>
      </c>
      <c r="AU724" s="11">
        <v>-159620.0</v>
      </c>
      <c r="AV724" s="11">
        <v>-146710.0</v>
      </c>
      <c r="AW724" s="11">
        <v>-100700.0</v>
      </c>
      <c r="AX724" s="11">
        <v>-42270.0</v>
      </c>
      <c r="AY724" s="11">
        <v>-14810.0</v>
      </c>
      <c r="AZ724" s="11">
        <v>-3000.0</v>
      </c>
      <c r="BA724" s="11">
        <v>-4200.0</v>
      </c>
      <c r="BB724" s="11">
        <v>-3450.0</v>
      </c>
      <c r="BC724" s="12"/>
      <c r="BD724" s="12"/>
      <c r="BE724" s="12"/>
      <c r="BF724" s="12"/>
      <c r="BG724" s="12"/>
      <c r="BH724" s="11">
        <v>487430.0</v>
      </c>
      <c r="BI724" s="11">
        <v>495070.0</v>
      </c>
      <c r="BJ724" s="11">
        <v>381170.0</v>
      </c>
      <c r="BK724" s="11">
        <v>162590.0</v>
      </c>
      <c r="BL724" s="11">
        <v>282880.0</v>
      </c>
      <c r="BM724" s="11">
        <v>19230.0</v>
      </c>
      <c r="BN724" s="11">
        <v>5520.0</v>
      </c>
      <c r="BO724" s="12"/>
      <c r="BP724" s="12"/>
      <c r="BQ724" s="12"/>
      <c r="BR724" s="11">
        <v>28310.0</v>
      </c>
      <c r="BS724" s="11">
        <v>7030.0</v>
      </c>
      <c r="BT724" s="12"/>
      <c r="BU724" s="12"/>
      <c r="BV724" s="12"/>
      <c r="BW724" s="11">
        <v>555190.0</v>
      </c>
      <c r="BX724" s="11">
        <v>518950.0</v>
      </c>
      <c r="BY724" s="11">
        <v>389440.0</v>
      </c>
      <c r="BZ724" s="11">
        <v>168410.0</v>
      </c>
      <c r="CA724" s="11">
        <v>288120.0</v>
      </c>
      <c r="CB724" s="11">
        <v>113110.0</v>
      </c>
      <c r="CC724" s="11">
        <v>22640.0</v>
      </c>
      <c r="CD724" s="11">
        <v>12430.0</v>
      </c>
      <c r="CE724" s="11">
        <v>10020.0</v>
      </c>
      <c r="CF724" s="11">
        <v>8090.0</v>
      </c>
      <c r="CG724" s="12"/>
      <c r="CH724" s="12"/>
      <c r="CI724" s="12"/>
      <c r="CJ724" s="12"/>
      <c r="CK724" s="12"/>
      <c r="CL724" s="11">
        <v>742300.0</v>
      </c>
      <c r="CM724" s="11">
        <v>604560.0</v>
      </c>
      <c r="CN724" s="11">
        <v>462050.0</v>
      </c>
      <c r="CO724" s="11">
        <v>237960.0</v>
      </c>
      <c r="CP724" s="11">
        <v>356560.0</v>
      </c>
      <c r="CQ724" s="11">
        <v>13180.0</v>
      </c>
      <c r="CR724" s="11">
        <v>17740.0</v>
      </c>
      <c r="CS724" s="12"/>
      <c r="CT724" s="12"/>
      <c r="CU724" s="12"/>
      <c r="CV724" s="11">
        <v>85240.0</v>
      </c>
      <c r="CW724" s="11">
        <v>11040.0</v>
      </c>
      <c r="CX724" s="12"/>
      <c r="CY724" s="12"/>
      <c r="CZ724" s="12"/>
      <c r="DA724" s="12"/>
      <c r="DB724" s="11">
        <v>85240.0</v>
      </c>
      <c r="DC724" s="11">
        <v>79730.0</v>
      </c>
      <c r="DD724" s="11">
        <v>44660.0</v>
      </c>
      <c r="DE724" s="11">
        <v>27990.0</v>
      </c>
      <c r="DF724" s="11">
        <v>480630.0</v>
      </c>
      <c r="DG724" s="11">
        <v>396290.0</v>
      </c>
      <c r="DH724" s="11">
        <v>100990.0</v>
      </c>
      <c r="DI724" s="11">
        <v>83470.0</v>
      </c>
      <c r="DJ724" s="11">
        <v>44860.0</v>
      </c>
      <c r="DK724" s="12"/>
      <c r="DL724" s="12"/>
      <c r="DM724" s="12"/>
      <c r="DN724" s="12"/>
      <c r="DO724" s="12"/>
      <c r="DP724" s="11">
        <v>384780.0</v>
      </c>
      <c r="DQ724" s="11">
        <v>316560.0</v>
      </c>
      <c r="DR724" s="11">
        <v>55570.0</v>
      </c>
      <c r="DS724" s="11">
        <v>54790.0</v>
      </c>
      <c r="DT724" s="11">
        <v>22030.0</v>
      </c>
      <c r="DU724" s="13"/>
      <c r="DV724" s="12"/>
      <c r="DW724" s="12"/>
      <c r="DX724" s="13"/>
      <c r="DY724" s="13"/>
      <c r="DZ724" s="11">
        <v>261670.0</v>
      </c>
      <c r="EA724" s="11">
        <v>208270.0</v>
      </c>
      <c r="EB724" s="11">
        <v>361060.0</v>
      </c>
      <c r="EC724" s="11">
        <v>154480.0</v>
      </c>
      <c r="ED724" s="11">
        <v>311700.0</v>
      </c>
      <c r="EE724" s="14">
        <v>0.068</v>
      </c>
      <c r="EF724" s="14">
        <v>0.833</v>
      </c>
      <c r="EG724" s="14">
        <v>-0.016</v>
      </c>
      <c r="EH724" s="14">
        <v>-0.023</v>
      </c>
    </row>
    <row r="725">
      <c r="A725" s="9">
        <f t="shared" si="2"/>
        <v>723</v>
      </c>
      <c r="B725" s="10" t="s">
        <v>860</v>
      </c>
      <c r="C725" s="11">
        <v>382470.0</v>
      </c>
      <c r="D725" s="11">
        <v>438440.0</v>
      </c>
      <c r="E725" s="11">
        <v>366180.0</v>
      </c>
      <c r="F725" s="11">
        <v>270360.0</v>
      </c>
      <c r="G725" s="11">
        <v>290100.0</v>
      </c>
      <c r="H725" s="11">
        <v>398320.0</v>
      </c>
      <c r="I725" s="11">
        <v>497630.0</v>
      </c>
      <c r="J725" s="11">
        <v>83550.0</v>
      </c>
      <c r="K725" s="11">
        <v>-9240.0</v>
      </c>
      <c r="L725" s="11">
        <v>13210.0</v>
      </c>
      <c r="M725" s="11">
        <v>125810.0</v>
      </c>
      <c r="N725" s="11">
        <v>213410.0</v>
      </c>
      <c r="O725" s="11">
        <v>28040.0</v>
      </c>
      <c r="P725" s="11">
        <v>24300.0</v>
      </c>
      <c r="Q725" s="11">
        <v>24450.0</v>
      </c>
      <c r="R725" s="11">
        <v>31620.0</v>
      </c>
      <c r="S725" s="11">
        <v>41520.0</v>
      </c>
      <c r="T725" s="12"/>
      <c r="U725" s="12"/>
      <c r="V725" s="12"/>
      <c r="W725" s="12"/>
      <c r="X725" s="12"/>
      <c r="Y725" s="11">
        <v>56580.0</v>
      </c>
      <c r="Z725" s="11">
        <v>-38550.0</v>
      </c>
      <c r="AA725" s="11">
        <v>-16860.0</v>
      </c>
      <c r="AB725" s="11">
        <v>-9170.0</v>
      </c>
      <c r="AC725" s="11">
        <v>166200.0</v>
      </c>
      <c r="AD725" s="12">
        <v>-829.0</v>
      </c>
      <c r="AE725" s="11">
        <v>-89050.0</v>
      </c>
      <c r="AF725" s="11">
        <v>-106040.0</v>
      </c>
      <c r="AG725" s="11">
        <v>-17780.0</v>
      </c>
      <c r="AH725" s="11">
        <v>173310.0</v>
      </c>
      <c r="AI725" s="11">
        <v>131160.0</v>
      </c>
      <c r="AJ725" s="11">
        <v>38880.0</v>
      </c>
      <c r="AK725" s="11">
        <v>67610.0</v>
      </c>
      <c r="AL725" s="11">
        <v>174070.0</v>
      </c>
      <c r="AM725" s="11">
        <v>253550.0</v>
      </c>
      <c r="AN725" s="12">
        <v>-830.0</v>
      </c>
      <c r="AO725" s="11">
        <v>-88940.0</v>
      </c>
      <c r="AP725" s="11">
        <v>-106090.0</v>
      </c>
      <c r="AQ725" s="11">
        <v>-18220.0</v>
      </c>
      <c r="AR725" s="11">
        <v>173170.0</v>
      </c>
      <c r="AS725" s="11">
        <v>87490.0</v>
      </c>
      <c r="AT725" s="11">
        <v>-12480.0</v>
      </c>
      <c r="AU725" s="11">
        <v>17400.0</v>
      </c>
      <c r="AV725" s="11">
        <v>116790.0</v>
      </c>
      <c r="AW725" s="11">
        <v>222740.0</v>
      </c>
      <c r="AX725" s="11">
        <v>-37180.0</v>
      </c>
      <c r="AY725" s="11">
        <v>-150040.0</v>
      </c>
      <c r="AZ725" s="11">
        <v>-173940.0</v>
      </c>
      <c r="BA725" s="11">
        <v>-2900.0</v>
      </c>
      <c r="BB725" s="12">
        <v>-964.0</v>
      </c>
      <c r="BC725" s="12"/>
      <c r="BD725" s="12"/>
      <c r="BE725" s="12"/>
      <c r="BF725" s="11">
        <v>-202000.0</v>
      </c>
      <c r="BG725" s="11">
        <v>-200000.0</v>
      </c>
      <c r="BH725" s="11">
        <v>89670.0</v>
      </c>
      <c r="BI725" s="11">
        <v>58310.0</v>
      </c>
      <c r="BJ725" s="11">
        <v>60030.0</v>
      </c>
      <c r="BK725" s="11">
        <v>92000.0</v>
      </c>
      <c r="BL725" s="11">
        <v>308860.0</v>
      </c>
      <c r="BM725" s="11">
        <v>87780.0</v>
      </c>
      <c r="BN725" s="11">
        <v>99870.0</v>
      </c>
      <c r="BO725" s="11">
        <v>62600.0</v>
      </c>
      <c r="BP725" s="11">
        <v>72220.0</v>
      </c>
      <c r="BQ725" s="11">
        <v>79420.0</v>
      </c>
      <c r="BR725" s="11">
        <v>3900.0</v>
      </c>
      <c r="BS725" s="11">
        <v>3070.0</v>
      </c>
      <c r="BT725" s="11">
        <v>3270.0</v>
      </c>
      <c r="BU725" s="11">
        <v>1340.0</v>
      </c>
      <c r="BV725" s="11">
        <v>3400.0</v>
      </c>
      <c r="BW725" s="11">
        <v>187340.0</v>
      </c>
      <c r="BX725" s="11">
        <v>167620.0</v>
      </c>
      <c r="BY725" s="11">
        <v>131790.0</v>
      </c>
      <c r="BZ725" s="11">
        <v>170910.0</v>
      </c>
      <c r="CA725" s="11">
        <v>396740.0</v>
      </c>
      <c r="CB725" s="11">
        <v>1330000.0</v>
      </c>
      <c r="CC725" s="11">
        <v>1330000.0</v>
      </c>
      <c r="CD725" s="11">
        <v>1100000.0</v>
      </c>
      <c r="CE725" s="11">
        <v>1100000.0</v>
      </c>
      <c r="CF725" s="11">
        <v>1240000.0</v>
      </c>
      <c r="CG725" s="11"/>
      <c r="CH725" s="11"/>
      <c r="CI725" s="11"/>
      <c r="CJ725" s="11"/>
      <c r="CK725" s="11"/>
      <c r="CL725" s="11">
        <v>1750000.0</v>
      </c>
      <c r="CM725" s="11">
        <v>1850000.0</v>
      </c>
      <c r="CN725" s="11">
        <v>1660000.0</v>
      </c>
      <c r="CO725" s="11">
        <v>1660000.0</v>
      </c>
      <c r="CP725" s="11">
        <v>2030000.0</v>
      </c>
      <c r="CQ725" s="11">
        <v>4990.0</v>
      </c>
      <c r="CR725" s="11">
        <v>1160.0</v>
      </c>
      <c r="CS725" s="12">
        <v>330.0</v>
      </c>
      <c r="CT725" s="11">
        <v>2870.0</v>
      </c>
      <c r="CU725" s="11">
        <v>3370.0</v>
      </c>
      <c r="CV725" s="11">
        <v>114480.0</v>
      </c>
      <c r="CW725" s="11">
        <v>12960.0</v>
      </c>
      <c r="CX725" s="12"/>
      <c r="CY725" s="12"/>
      <c r="CZ725" s="12"/>
      <c r="DA725" s="12"/>
      <c r="DB725" s="11">
        <v>114480.0</v>
      </c>
      <c r="DC725" s="11">
        <v>75270.0</v>
      </c>
      <c r="DD725" s="11">
        <v>47240.0</v>
      </c>
      <c r="DE725" s="11">
        <v>45100.0</v>
      </c>
      <c r="DF725" s="11">
        <v>731210.0</v>
      </c>
      <c r="DG725" s="11">
        <v>838750.0</v>
      </c>
      <c r="DH725" s="11">
        <v>578830.0</v>
      </c>
      <c r="DI725" s="11">
        <v>483010.0</v>
      </c>
      <c r="DJ725" s="11">
        <v>646160.0</v>
      </c>
      <c r="DK725" s="11">
        <v>213860.0</v>
      </c>
      <c r="DL725" s="11">
        <v>328360.0</v>
      </c>
      <c r="DM725" s="11">
        <v>390360.0</v>
      </c>
      <c r="DN725" s="11">
        <v>358680.0</v>
      </c>
      <c r="DO725" s="11">
        <v>353880.0</v>
      </c>
      <c r="DP725" s="11">
        <v>608700.0</v>
      </c>
      <c r="DQ725" s="11">
        <v>759110.0</v>
      </c>
      <c r="DR725" s="11">
        <v>528870.0</v>
      </c>
      <c r="DS725" s="11">
        <v>433470.0</v>
      </c>
      <c r="DT725" s="11">
        <v>588940.0</v>
      </c>
      <c r="DU725" s="13"/>
      <c r="DV725" s="12"/>
      <c r="DW725" s="12"/>
      <c r="DX725" s="12"/>
      <c r="DY725" s="12"/>
      <c r="DZ725" s="11">
        <v>1020000.0</v>
      </c>
      <c r="EA725" s="11">
        <v>1010000.0</v>
      </c>
      <c r="EB725" s="11">
        <v>1090000.0</v>
      </c>
      <c r="EC725" s="11">
        <v>1180000.0</v>
      </c>
      <c r="ED725" s="11">
        <v>1380000.0</v>
      </c>
      <c r="EE725" s="14">
        <v>0.177</v>
      </c>
      <c r="EF725" s="14">
        <v>0.388</v>
      </c>
      <c r="EG725" s="14">
        <v>-0.016</v>
      </c>
      <c r="EH725" s="14">
        <v>-0.076</v>
      </c>
    </row>
    <row r="726">
      <c r="A726" s="9">
        <f t="shared" si="2"/>
        <v>724</v>
      </c>
      <c r="B726" s="10" t="s">
        <v>861</v>
      </c>
      <c r="C726" s="15">
        <v>7.437E7</v>
      </c>
      <c r="D726" s="15">
        <v>7.381E7</v>
      </c>
      <c r="E726" s="15">
        <v>7.197E7</v>
      </c>
      <c r="F726" s="15">
        <v>7.085E7</v>
      </c>
      <c r="G726" s="15">
        <v>6.276E7</v>
      </c>
      <c r="H726" s="15">
        <v>5.939E7</v>
      </c>
      <c r="I726" s="15">
        <v>5.536E7</v>
      </c>
      <c r="J726" s="15">
        <v>4.194E7</v>
      </c>
      <c r="K726" s="15">
        <v>4.355E7</v>
      </c>
      <c r="L726" s="15">
        <v>3.899E7</v>
      </c>
      <c r="M726" s="15">
        <v>3.596E7</v>
      </c>
      <c r="N726" s="15">
        <v>3.47E7</v>
      </c>
      <c r="O726" s="15">
        <v>1.951E7</v>
      </c>
      <c r="P726" s="15">
        <v>2.036E7</v>
      </c>
      <c r="Q726" s="15">
        <v>2.054E7</v>
      </c>
      <c r="R726" s="15">
        <v>2.115E7</v>
      </c>
      <c r="S726" s="15">
        <v>1.984E7</v>
      </c>
      <c r="T726" s="15">
        <v>1.336E7</v>
      </c>
      <c r="U726" s="15">
        <v>1.358E7</v>
      </c>
      <c r="V726" s="15">
        <v>1.308E7</v>
      </c>
      <c r="W726" s="15">
        <v>1.275E7</v>
      </c>
      <c r="X726" s="15">
        <v>1.195E7</v>
      </c>
      <c r="Y726" s="15">
        <v>2.266E7</v>
      </c>
      <c r="Z726" s="15">
        <v>2.304E7</v>
      </c>
      <c r="AA726" s="15">
        <v>-1760000.0</v>
      </c>
      <c r="AB726" s="15">
        <v>1.314E7</v>
      </c>
      <c r="AC726" s="15">
        <v>-251000.0</v>
      </c>
      <c r="AD726" s="15">
        <v>2.406E7</v>
      </c>
      <c r="AE726" s="15">
        <v>2.332E7</v>
      </c>
      <c r="AF726" s="15">
        <v>2.035E7</v>
      </c>
      <c r="AG726" s="15">
        <v>1.294E7</v>
      </c>
      <c r="AH726" s="15">
        <v>1.421E7</v>
      </c>
      <c r="AI726" s="15">
        <v>3.325E7</v>
      </c>
      <c r="AJ726" s="15">
        <v>3.228E7</v>
      </c>
      <c r="AK726" s="15">
        <v>2.658E7</v>
      </c>
      <c r="AL726" s="15">
        <v>2.26E7</v>
      </c>
      <c r="AM726" s="15">
        <v>2.358E7</v>
      </c>
      <c r="AN726" s="15">
        <v>2.105E7</v>
      </c>
      <c r="AO726" s="15">
        <v>2.105E7</v>
      </c>
      <c r="AP726" s="15">
        <v>9600000.0</v>
      </c>
      <c r="AQ726" s="15">
        <v>1.032E7</v>
      </c>
      <c r="AR726" s="15">
        <v>1.142E7</v>
      </c>
      <c r="AS726" s="15">
        <v>3.315E7</v>
      </c>
      <c r="AT726" s="15">
        <v>2.943E7</v>
      </c>
      <c r="AU726" s="15">
        <v>2.211E7</v>
      </c>
      <c r="AV726" s="15">
        <v>2.181E7</v>
      </c>
      <c r="AW726" s="15">
        <v>1.902E7</v>
      </c>
      <c r="AX726" s="15">
        <v>-1.621E7</v>
      </c>
      <c r="AY726" s="15">
        <v>-1.518E7</v>
      </c>
      <c r="AZ726" s="15">
        <v>-1.178E7</v>
      </c>
      <c r="BA726" s="15">
        <v>-9630000.0</v>
      </c>
      <c r="BB726" s="15">
        <v>-7330000.0</v>
      </c>
      <c r="BC726" s="15">
        <v>-5580000.0</v>
      </c>
      <c r="BD726" s="15">
        <v>-5540000.0</v>
      </c>
      <c r="BE726" s="15">
        <v>-5070000.0</v>
      </c>
      <c r="BF726" s="15">
        <v>-4930000.0</v>
      </c>
      <c r="BG726" s="15">
        <v>-4560000.0</v>
      </c>
      <c r="BH726" s="15">
        <v>1.312E7</v>
      </c>
      <c r="BI726" s="15">
        <v>1.165E7</v>
      </c>
      <c r="BJ726" s="15">
        <v>1.4E7</v>
      </c>
      <c r="BK726" s="15">
        <v>1.71E7</v>
      </c>
      <c r="BL726" s="15">
        <v>2.531E7</v>
      </c>
      <c r="BM726" s="15">
        <v>7740000.0</v>
      </c>
      <c r="BN726" s="15">
        <v>6880000.0</v>
      </c>
      <c r="BO726" s="15">
        <v>5680000.0</v>
      </c>
      <c r="BP726" s="15">
        <v>5070000.0</v>
      </c>
      <c r="BQ726" s="15">
        <v>5530000.0</v>
      </c>
      <c r="BR726" s="15">
        <v>8740000.0</v>
      </c>
      <c r="BS726" s="15">
        <v>7250000.0</v>
      </c>
      <c r="BT726" s="15">
        <v>6980000.0</v>
      </c>
      <c r="BU726" s="15">
        <v>5550000.0</v>
      </c>
      <c r="BV726" s="15">
        <v>5170000.0</v>
      </c>
      <c r="BW726" s="15">
        <v>3.124E7</v>
      </c>
      <c r="BX726" s="15">
        <v>2.879E7</v>
      </c>
      <c r="BY726" s="15">
        <v>2.95E7</v>
      </c>
      <c r="BZ726" s="15">
        <v>3.551E7</v>
      </c>
      <c r="CA726" s="15">
        <v>3.832E7</v>
      </c>
      <c r="CB726" s="15">
        <v>5.766E7</v>
      </c>
      <c r="CC726" s="15">
        <v>5.048E7</v>
      </c>
      <c r="CD726" s="15">
        <v>4.182E7</v>
      </c>
      <c r="CE726" s="15">
        <v>3.652E7</v>
      </c>
      <c r="CF726" s="15">
        <v>3.248E7</v>
      </c>
      <c r="CG726" s="15">
        <v>2.628E7</v>
      </c>
      <c r="CH726" s="15">
        <v>2.451E7</v>
      </c>
      <c r="CI726" s="15">
        <v>2.439E7</v>
      </c>
      <c r="CJ726" s="15">
        <v>1.41E7</v>
      </c>
      <c r="CK726" s="15">
        <v>1.133E7</v>
      </c>
      <c r="CL726" s="15">
        <v>1.3652E8</v>
      </c>
      <c r="CM726" s="15">
        <v>1.2796E8</v>
      </c>
      <c r="CN726" s="15">
        <v>1.2325E8</v>
      </c>
      <c r="CO726" s="15">
        <v>1.1333E8</v>
      </c>
      <c r="CP726" s="15">
        <v>1.0146E8</v>
      </c>
      <c r="CQ726" s="15">
        <v>4130000.0</v>
      </c>
      <c r="CR726" s="15">
        <v>3820000.0</v>
      </c>
      <c r="CS726" s="15">
        <v>2930000.0</v>
      </c>
      <c r="CT726" s="15">
        <v>2480000.0</v>
      </c>
      <c r="CU726" s="15">
        <v>2060000.0</v>
      </c>
      <c r="CV726" s="15">
        <v>2.231E7</v>
      </c>
      <c r="CW726" s="15">
        <v>175000.0</v>
      </c>
      <c r="CX726" s="15">
        <v>500000.0</v>
      </c>
      <c r="CY726" s="15">
        <v>37000.0</v>
      </c>
      <c r="CZ726" s="15">
        <v>25000.0</v>
      </c>
      <c r="DA726" s="15">
        <v>41000.0</v>
      </c>
      <c r="DB726" s="15">
        <v>2.231E7</v>
      </c>
      <c r="DC726" s="15">
        <v>1.663E7</v>
      </c>
      <c r="DD726" s="15">
        <v>1.742E7</v>
      </c>
      <c r="DE726" s="15">
        <v>2.03E7</v>
      </c>
      <c r="DF726" s="15">
        <v>5.902E7</v>
      </c>
      <c r="DG726" s="15">
        <v>5.34E7</v>
      </c>
      <c r="DH726" s="15">
        <v>5.423E7</v>
      </c>
      <c r="DI726" s="15">
        <v>4.71E7</v>
      </c>
      <c r="DJ726" s="15">
        <v>4.037E7</v>
      </c>
      <c r="DK726" s="15">
        <v>7240000.0</v>
      </c>
      <c r="DL726" s="15">
        <v>9430000.0</v>
      </c>
      <c r="DM726" s="15">
        <v>1.229E7</v>
      </c>
      <c r="DN726" s="15">
        <v>1.532E7</v>
      </c>
      <c r="DO726" s="15">
        <v>1.237E7</v>
      </c>
      <c r="DP726" s="15">
        <v>2.584E7</v>
      </c>
      <c r="DQ726" s="15">
        <v>2.552E7</v>
      </c>
      <c r="DR726" s="15">
        <v>2.59E7</v>
      </c>
      <c r="DS726" s="15">
        <v>2.153E7</v>
      </c>
      <c r="DT726" s="15">
        <v>2.093E7</v>
      </c>
      <c r="DU726" s="16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7.75E7</v>
      </c>
      <c r="EA726" s="15">
        <v>7.456E7</v>
      </c>
      <c r="EB726" s="15">
        <v>6.902E7</v>
      </c>
      <c r="EC726" s="15">
        <v>6.623E7</v>
      </c>
      <c r="ED726" s="15">
        <v>6.109E7</v>
      </c>
      <c r="EE726" s="17">
        <v>0.082</v>
      </c>
      <c r="EF726" s="17">
        <v>0.177</v>
      </c>
      <c r="EG726" s="17">
        <v>0.133</v>
      </c>
      <c r="EH726" s="17">
        <v>0.171</v>
      </c>
    </row>
    <row r="727">
      <c r="A727" s="9">
        <f t="shared" si="2"/>
        <v>725</v>
      </c>
      <c r="B727" s="10" t="s">
        <v>862</v>
      </c>
      <c r="C727" s="15">
        <v>61030.0</v>
      </c>
      <c r="D727" s="15">
        <v>51160.0</v>
      </c>
      <c r="E727" s="15">
        <v>60660.0</v>
      </c>
      <c r="F727" s="15">
        <v>78560.0</v>
      </c>
      <c r="G727" s="15">
        <v>66800.0</v>
      </c>
      <c r="H727" s="15">
        <v>40230.0</v>
      </c>
      <c r="I727" s="15">
        <v>38890.0</v>
      </c>
      <c r="J727" s="15">
        <v>29230.0</v>
      </c>
      <c r="K727" s="15">
        <v>39400.0</v>
      </c>
      <c r="L727" s="15">
        <v>34690.0</v>
      </c>
      <c r="M727" s="15">
        <v>20380.0</v>
      </c>
      <c r="N727" s="15">
        <v>18700.0</v>
      </c>
      <c r="O727" s="15">
        <v>25510.0</v>
      </c>
      <c r="P727" s="15">
        <v>26870.0</v>
      </c>
      <c r="Q727" s="15">
        <v>24000.0</v>
      </c>
      <c r="R727" s="15">
        <v>16010.0</v>
      </c>
      <c r="S727" s="15">
        <v>16140.0</v>
      </c>
      <c r="T727" s="15">
        <v>4960.0</v>
      </c>
      <c r="U727" s="15">
        <v>4910.0</v>
      </c>
      <c r="V727" s="15">
        <v>4300.0</v>
      </c>
      <c r="W727" s="15">
        <v>3660.0</v>
      </c>
      <c r="X727" s="15">
        <v>3940.0</v>
      </c>
      <c r="Y727" s="15">
        <v>2550.0</v>
      </c>
      <c r="Z727" s="15">
        <v>5180.0</v>
      </c>
      <c r="AA727" s="15">
        <v>3610.0</v>
      </c>
      <c r="AB727" s="15">
        <v>4150.0</v>
      </c>
      <c r="AC727" s="15">
        <v>0.0</v>
      </c>
      <c r="AD727" s="15">
        <v>2600.0</v>
      </c>
      <c r="AE727" s="15">
        <v>5040.0</v>
      </c>
      <c r="AF727" s="15">
        <v>3840.0</v>
      </c>
      <c r="AG727" s="15">
        <v>4210.0</v>
      </c>
      <c r="AH727" s="15">
        <v>2580.0</v>
      </c>
      <c r="AI727" s="15">
        <v>6670.0</v>
      </c>
      <c r="AJ727" s="15">
        <v>13950.0</v>
      </c>
      <c r="AK727" s="15">
        <v>12370.0</v>
      </c>
      <c r="AL727" s="15">
        <v>4840.0</v>
      </c>
      <c r="AM727" s="15">
        <v>3320.0</v>
      </c>
      <c r="AN727" s="15">
        <v>2320.0</v>
      </c>
      <c r="AO727" s="15">
        <v>3040.0</v>
      </c>
      <c r="AP727" s="15">
        <v>0.0</v>
      </c>
      <c r="AQ727" s="15">
        <v>2660.0</v>
      </c>
      <c r="AR727" s="15">
        <v>1860.0</v>
      </c>
      <c r="AS727" s="15">
        <v>-7030.0</v>
      </c>
      <c r="AT727" s="15">
        <v>10960.0</v>
      </c>
      <c r="AU727" s="15">
        <v>7240.0</v>
      </c>
      <c r="AV727" s="15">
        <v>4110.0</v>
      </c>
      <c r="AW727" s="15">
        <v>3500.0</v>
      </c>
      <c r="AX727" s="15">
        <v>0.0</v>
      </c>
      <c r="AY727" s="15">
        <v>-2210.0</v>
      </c>
      <c r="AZ727" s="15">
        <v>0.0</v>
      </c>
      <c r="BA727" s="15">
        <v>0.0</v>
      </c>
      <c r="BB727" s="15">
        <v>0.0</v>
      </c>
      <c r="BC727" s="15">
        <v>0.0</v>
      </c>
      <c r="BD727" s="15">
        <v>0.0</v>
      </c>
      <c r="BE727" s="15">
        <v>0.0</v>
      </c>
      <c r="BF727" s="15">
        <v>0.0</v>
      </c>
      <c r="BG727" s="15">
        <v>0.0</v>
      </c>
      <c r="BH727" s="15">
        <v>7610.0</v>
      </c>
      <c r="BI727" s="15">
        <v>17860.0</v>
      </c>
      <c r="BJ727" s="15">
        <v>13290.0</v>
      </c>
      <c r="BK727" s="15">
        <v>28610.0</v>
      </c>
      <c r="BL727" s="15">
        <v>25710.0</v>
      </c>
      <c r="BM727" s="15">
        <v>9300.0</v>
      </c>
      <c r="BN727" s="15">
        <v>10560.0</v>
      </c>
      <c r="BO727" s="15">
        <v>12170.0</v>
      </c>
      <c r="BP727" s="15">
        <v>5380.0</v>
      </c>
      <c r="BQ727" s="15">
        <v>4400.0</v>
      </c>
      <c r="BR727" s="15">
        <v>7180.0</v>
      </c>
      <c r="BS727" s="15">
        <v>6520.0</v>
      </c>
      <c r="BT727" s="15">
        <v>4970.0</v>
      </c>
      <c r="BU727" s="15">
        <v>3680.0</v>
      </c>
      <c r="BV727" s="15">
        <v>3520.0</v>
      </c>
      <c r="BW727" s="15">
        <v>24900.0</v>
      </c>
      <c r="BX727" s="15">
        <v>35620.0</v>
      </c>
      <c r="BY727" s="15">
        <v>31000.0</v>
      </c>
      <c r="BZ727" s="15">
        <v>38010.0</v>
      </c>
      <c r="CA727" s="15">
        <v>34820.0</v>
      </c>
      <c r="CB727" s="15">
        <v>7260.0</v>
      </c>
      <c r="CC727" s="15">
        <v>2720.0</v>
      </c>
      <c r="CD727" s="15">
        <v>1540.0</v>
      </c>
      <c r="CE727" s="15">
        <v>0.0</v>
      </c>
      <c r="CF727" s="15">
        <v>1110.0</v>
      </c>
      <c r="CG727" s="15">
        <v>13740.0</v>
      </c>
      <c r="CH727" s="15">
        <v>13740.0</v>
      </c>
      <c r="CI727" s="15">
        <v>13740.0</v>
      </c>
      <c r="CJ727" s="15">
        <v>1710.0</v>
      </c>
      <c r="CK727" s="15">
        <v>1710.0</v>
      </c>
      <c r="CL727" s="15">
        <v>61610.0</v>
      </c>
      <c r="CM727" s="15">
        <v>67820.0</v>
      </c>
      <c r="CN727" s="15">
        <v>63310.0</v>
      </c>
      <c r="CO727" s="15">
        <v>42840.0</v>
      </c>
      <c r="CP727" s="15">
        <v>39980.0</v>
      </c>
      <c r="CQ727" s="15">
        <v>1980.0</v>
      </c>
      <c r="CR727" s="15">
        <v>1790.0</v>
      </c>
      <c r="CS727" s="15">
        <v>2030.0</v>
      </c>
      <c r="CT727" s="15">
        <v>1370.0</v>
      </c>
      <c r="CU727" s="15">
        <v>0.0</v>
      </c>
      <c r="CV727" s="15">
        <v>8360.0</v>
      </c>
      <c r="CW727" s="15">
        <v>1300.0</v>
      </c>
      <c r="CX727" s="15">
        <v>0.0</v>
      </c>
      <c r="CY727" s="15">
        <v>0.0</v>
      </c>
      <c r="CZ727" s="15">
        <v>0.0</v>
      </c>
      <c r="DA727" s="15">
        <v>0.0</v>
      </c>
      <c r="DB727" s="15">
        <v>8360.0</v>
      </c>
      <c r="DC727" s="15">
        <v>21420.0</v>
      </c>
      <c r="DD727" s="15">
        <v>14420.0</v>
      </c>
      <c r="DE727" s="15">
        <v>5060.0</v>
      </c>
      <c r="DF727" s="15">
        <v>16780.0</v>
      </c>
      <c r="DG727" s="15">
        <v>24940.0</v>
      </c>
      <c r="DH727" s="15">
        <v>24020.0</v>
      </c>
      <c r="DI727" s="15">
        <v>5060.0</v>
      </c>
      <c r="DJ727" s="15">
        <v>4060.0</v>
      </c>
      <c r="DK727" s="15">
        <v>0.0</v>
      </c>
      <c r="DL727" s="15">
        <v>0.0</v>
      </c>
      <c r="DM727" s="15">
        <v>0.0</v>
      </c>
      <c r="DN727" s="15">
        <v>0.0</v>
      </c>
      <c r="DO727" s="15">
        <v>0.0</v>
      </c>
      <c r="DP727" s="15">
        <v>3790.0</v>
      </c>
      <c r="DQ727" s="15">
        <v>0.0</v>
      </c>
      <c r="DR727" s="15">
        <v>0.0</v>
      </c>
      <c r="DS727" s="15">
        <v>0.0</v>
      </c>
      <c r="DT727" s="15">
        <v>0.0</v>
      </c>
      <c r="DU727" s="15">
        <v>0.0</v>
      </c>
      <c r="DV727" s="15">
        <v>0.0</v>
      </c>
      <c r="DW727" s="15">
        <v>0.0</v>
      </c>
      <c r="DX727" s="15">
        <v>0.0</v>
      </c>
      <c r="DY727" s="15">
        <v>0.0</v>
      </c>
      <c r="DZ727" s="15">
        <v>44830.0</v>
      </c>
      <c r="EA727" s="15">
        <v>42880.0</v>
      </c>
      <c r="EB727" s="15">
        <v>39290.0</v>
      </c>
      <c r="EC727" s="15">
        <v>37790.0</v>
      </c>
      <c r="ED727" s="15">
        <v>35930.0</v>
      </c>
      <c r="EE727" s="31">
        <v>0.072</v>
      </c>
      <c r="EF727" s="31">
        <v>0.077</v>
      </c>
      <c r="EG727" s="31">
        <v>0.111</v>
      </c>
      <c r="EH727" s="31">
        <v>0.468</v>
      </c>
    </row>
    <row r="728">
      <c r="A728" s="9">
        <f t="shared" si="2"/>
        <v>726</v>
      </c>
      <c r="B728" s="22" t="s">
        <v>863</v>
      </c>
      <c r="C728" s="11">
        <v>169760.0</v>
      </c>
      <c r="D728" s="11">
        <v>235070.0</v>
      </c>
      <c r="E728" s="11">
        <v>274840.0</v>
      </c>
      <c r="F728" s="11">
        <v>274830.0</v>
      </c>
      <c r="G728" s="11">
        <v>231040.0</v>
      </c>
      <c r="H728" s="11">
        <v>147390.0</v>
      </c>
      <c r="I728" s="11">
        <v>67770.0</v>
      </c>
      <c r="J728" s="12"/>
      <c r="K728" s="12"/>
      <c r="L728" s="12"/>
      <c r="M728" s="12"/>
      <c r="N728" s="12"/>
      <c r="O728" s="11">
        <v>11510.0</v>
      </c>
      <c r="P728" s="11">
        <v>17000.0</v>
      </c>
      <c r="Q728" s="11">
        <v>25350.0</v>
      </c>
      <c r="R728" s="11">
        <v>24450.0</v>
      </c>
      <c r="S728" s="11">
        <v>22260.0</v>
      </c>
      <c r="T728" s="12"/>
      <c r="U728" s="12"/>
      <c r="V728" s="11">
        <v>1360.0</v>
      </c>
      <c r="W728" s="11">
        <v>1390.0</v>
      </c>
      <c r="X728" s="11">
        <v>2620.0</v>
      </c>
      <c r="Y728" s="11">
        <v>246140.0</v>
      </c>
      <c r="Z728" s="11">
        <v>232510.0</v>
      </c>
      <c r="AA728" s="11">
        <v>-15360.0</v>
      </c>
      <c r="AB728" s="11">
        <v>111330.0</v>
      </c>
      <c r="AC728" s="12"/>
      <c r="AD728" s="11">
        <v>232900.0</v>
      </c>
      <c r="AE728" s="11">
        <v>210260.0</v>
      </c>
      <c r="AF728" s="11">
        <v>134280.0</v>
      </c>
      <c r="AG728" s="11">
        <v>59540.0</v>
      </c>
      <c r="AH728" s="11">
        <v>-18760.0</v>
      </c>
      <c r="AI728" s="11">
        <v>263330.0</v>
      </c>
      <c r="AJ728" s="11">
        <v>257820.0</v>
      </c>
      <c r="AK728" s="11">
        <v>205690.0</v>
      </c>
      <c r="AL728" s="11">
        <v>122940.0</v>
      </c>
      <c r="AM728" s="11">
        <v>45510.0</v>
      </c>
      <c r="AN728" s="11">
        <v>157290.0</v>
      </c>
      <c r="AO728" s="11">
        <v>395060.0</v>
      </c>
      <c r="AP728" s="11">
        <v>134140.0</v>
      </c>
      <c r="AQ728" s="11">
        <v>59540.0</v>
      </c>
      <c r="AR728" s="11">
        <v>-18760.0</v>
      </c>
      <c r="AS728" s="11">
        <v>257460.0</v>
      </c>
      <c r="AT728" s="11">
        <v>223530.0</v>
      </c>
      <c r="AU728" s="11">
        <v>141750.0</v>
      </c>
      <c r="AV728" s="11">
        <v>60980.0</v>
      </c>
      <c r="AW728" s="11">
        <v>10130.0</v>
      </c>
      <c r="AX728" s="11">
        <v>-12.0</v>
      </c>
      <c r="AY728" s="12"/>
      <c r="AZ728" s="12"/>
      <c r="BA728" s="11">
        <v>-278.0</v>
      </c>
      <c r="BB728" s="11">
        <v>-7.0</v>
      </c>
      <c r="BC728" s="24">
        <v>-11.0</v>
      </c>
      <c r="BD728" s="24">
        <v>-80.0</v>
      </c>
      <c r="BE728" s="24">
        <v>-281.0</v>
      </c>
      <c r="BF728" s="24">
        <v>-960.0</v>
      </c>
      <c r="BG728" s="11">
        <v>-87330.0</v>
      </c>
      <c r="BH728" s="11">
        <v>350850.0</v>
      </c>
      <c r="BI728" s="11">
        <v>114910.0</v>
      </c>
      <c r="BJ728" s="11">
        <v>129080.0</v>
      </c>
      <c r="BK728" s="11">
        <v>150430.0</v>
      </c>
      <c r="BL728" s="11">
        <v>187280.0</v>
      </c>
      <c r="BM728" s="11">
        <v>79430.0</v>
      </c>
      <c r="BN728" s="11">
        <v>83290.0</v>
      </c>
      <c r="BO728" s="11">
        <v>70540.0</v>
      </c>
      <c r="BP728" s="11">
        <v>46850.0</v>
      </c>
      <c r="BQ728" s="11">
        <v>26230.0</v>
      </c>
      <c r="BR728" s="12"/>
      <c r="BS728" s="12"/>
      <c r="BT728" s="12"/>
      <c r="BU728" s="12"/>
      <c r="BV728" s="12"/>
      <c r="BW728" s="11">
        <v>431230.0</v>
      </c>
      <c r="BX728" s="11">
        <v>199040.0</v>
      </c>
      <c r="BY728" s="11">
        <v>200370.0</v>
      </c>
      <c r="BZ728" s="11">
        <v>198050.0</v>
      </c>
      <c r="CA728" s="11">
        <v>214330.0</v>
      </c>
      <c r="CB728" s="11">
        <v>33.0</v>
      </c>
      <c r="CC728" s="11">
        <v>160.0</v>
      </c>
      <c r="CD728" s="11">
        <v>209.0</v>
      </c>
      <c r="CE728" s="11">
        <v>368.0</v>
      </c>
      <c r="CF728" s="11">
        <v>221.0</v>
      </c>
      <c r="CG728" s="12"/>
      <c r="CH728" s="12"/>
      <c r="CI728" s="12"/>
      <c r="CJ728" s="12"/>
      <c r="CK728" s="12"/>
      <c r="CL728" s="11">
        <v>724830.0</v>
      </c>
      <c r="CM728" s="11">
        <v>548190.0</v>
      </c>
      <c r="CN728" s="11">
        <v>367340.0</v>
      </c>
      <c r="CO728" s="11">
        <v>379000.0</v>
      </c>
      <c r="CP728" s="11">
        <v>408930.0</v>
      </c>
      <c r="CQ728" s="11">
        <v>10.0</v>
      </c>
      <c r="CR728" s="11">
        <v>11.0</v>
      </c>
      <c r="CS728" s="11">
        <v>601.0</v>
      </c>
      <c r="CT728" s="11">
        <v>128.0</v>
      </c>
      <c r="CU728" s="11">
        <v>818.0</v>
      </c>
      <c r="CV728" s="11">
        <v>5370.0</v>
      </c>
      <c r="CW728" s="12"/>
      <c r="CX728" s="12"/>
      <c r="CY728" s="12"/>
      <c r="CZ728" s="12"/>
      <c r="DA728" s="12"/>
      <c r="DB728" s="11">
        <v>5370.0</v>
      </c>
      <c r="DC728" s="11">
        <v>5700.0</v>
      </c>
      <c r="DD728" s="11">
        <v>34740.0</v>
      </c>
      <c r="DE728" s="11">
        <v>20050.0</v>
      </c>
      <c r="DF728" s="11">
        <v>382710.0</v>
      </c>
      <c r="DG728" s="11">
        <v>389140.0</v>
      </c>
      <c r="DH728" s="11">
        <v>610040.0</v>
      </c>
      <c r="DI728" s="11">
        <v>731990.0</v>
      </c>
      <c r="DJ728" s="11">
        <v>751580.0</v>
      </c>
      <c r="DK728" s="12"/>
      <c r="DL728" s="12"/>
      <c r="DM728" s="12"/>
      <c r="DN728" s="12"/>
      <c r="DO728" s="12"/>
      <c r="DP728" s="11">
        <v>377220.0</v>
      </c>
      <c r="DQ728" s="11">
        <v>383360.0</v>
      </c>
      <c r="DR728" s="11">
        <v>574360.0</v>
      </c>
      <c r="DS728" s="11">
        <v>708340.0</v>
      </c>
      <c r="DT728" s="11">
        <v>733130.0</v>
      </c>
      <c r="DU728" s="13"/>
      <c r="DV728" s="12"/>
      <c r="DW728" s="12"/>
      <c r="DX728" s="13"/>
      <c r="DY728" s="13"/>
      <c r="DZ728" s="11">
        <v>313500.0</v>
      </c>
      <c r="EA728" s="11">
        <v>153580.0</v>
      </c>
      <c r="EB728" s="11">
        <v>-242860.0</v>
      </c>
      <c r="EC728" s="11">
        <v>-352990.0</v>
      </c>
      <c r="ED728" s="11">
        <v>-342650.0</v>
      </c>
      <c r="EE728" s="14">
        <v>0.0</v>
      </c>
      <c r="EF728" s="14">
        <v>0.0</v>
      </c>
      <c r="EG728" s="14">
        <v>1.156</v>
      </c>
      <c r="EH728" s="14">
        <v>0.413</v>
      </c>
    </row>
    <row r="729">
      <c r="A729" s="9">
        <f t="shared" si="2"/>
        <v>727</v>
      </c>
      <c r="B729" s="22" t="s">
        <v>864</v>
      </c>
      <c r="C729" s="12"/>
      <c r="D729" s="12"/>
      <c r="E729" s="12"/>
      <c r="F729" s="12"/>
      <c r="G729" s="12"/>
      <c r="H729" s="12"/>
      <c r="I729" s="12"/>
      <c r="J729" s="11">
        <v>-83.0</v>
      </c>
      <c r="K729" s="11">
        <v>-26.0</v>
      </c>
      <c r="L729" s="12"/>
      <c r="M729" s="12"/>
      <c r="N729" s="12"/>
      <c r="O729" s="11">
        <v>20720.0</v>
      </c>
      <c r="P729" s="11">
        <v>11570.0</v>
      </c>
      <c r="Q729" s="12"/>
      <c r="R729" s="12"/>
      <c r="S729" s="12"/>
      <c r="T729" s="11">
        <v>16140.0</v>
      </c>
      <c r="U729" s="11">
        <v>8070.0</v>
      </c>
      <c r="V729" s="12"/>
      <c r="W729" s="12"/>
      <c r="X729" s="12"/>
      <c r="Y729" s="12"/>
      <c r="Z729" s="11">
        <v>-7220.0</v>
      </c>
      <c r="AA729" s="12"/>
      <c r="AB729" s="12"/>
      <c r="AC729" s="12"/>
      <c r="AD729" s="11">
        <v>-19720.0</v>
      </c>
      <c r="AE729" s="11">
        <v>-6960.0</v>
      </c>
      <c r="AF729" s="12"/>
      <c r="AG729" s="12"/>
      <c r="AH729" s="12"/>
      <c r="AI729" s="11">
        <v>-20720.0</v>
      </c>
      <c r="AJ729" s="11">
        <v>-11570.0</v>
      </c>
      <c r="AK729" s="12"/>
      <c r="AL729" s="12"/>
      <c r="AM729" s="12"/>
      <c r="AN729" s="11">
        <v>-19720.0</v>
      </c>
      <c r="AO729" s="11">
        <v>-6960.0</v>
      </c>
      <c r="AP729" s="12"/>
      <c r="AQ729" s="12"/>
      <c r="AR729" s="12"/>
      <c r="AS729" s="11">
        <v>-18810.0</v>
      </c>
      <c r="AT729" s="11">
        <v>-9440.0</v>
      </c>
      <c r="AU729" s="12"/>
      <c r="AV729" s="12"/>
      <c r="AW729" s="12"/>
      <c r="AX729" s="11">
        <v>-139.0</v>
      </c>
      <c r="AY729" s="11">
        <v>-259.0</v>
      </c>
      <c r="AZ729" s="12"/>
      <c r="BA729" s="12"/>
      <c r="BB729" s="12"/>
      <c r="BC729" s="12"/>
      <c r="BD729" s="12"/>
      <c r="BE729" s="12"/>
      <c r="BF729" s="12"/>
      <c r="BG729" s="12"/>
      <c r="BH729" s="11">
        <v>47130.0</v>
      </c>
      <c r="BI729" s="11">
        <v>43160.0</v>
      </c>
      <c r="BJ729" s="12"/>
      <c r="BK729" s="12"/>
      <c r="BL729" s="12"/>
      <c r="BM729" s="11">
        <v>104.0</v>
      </c>
      <c r="BN729" s="11">
        <v>31.0</v>
      </c>
      <c r="BO729" s="12"/>
      <c r="BP729" s="12"/>
      <c r="BQ729" s="12"/>
      <c r="BR729" s="12"/>
      <c r="BS729" s="12"/>
      <c r="BT729" s="12"/>
      <c r="BU729" s="12"/>
      <c r="BV729" s="12"/>
      <c r="BW729" s="11">
        <v>47460.0</v>
      </c>
      <c r="BX729" s="11">
        <v>43270.0</v>
      </c>
      <c r="BY729" s="12"/>
      <c r="BZ729" s="12"/>
      <c r="CA729" s="12"/>
      <c r="CB729" s="11">
        <v>298.0</v>
      </c>
      <c r="CC729" s="11">
        <v>242.0</v>
      </c>
      <c r="CD729" s="12"/>
      <c r="CE729" s="12"/>
      <c r="CF729" s="12"/>
      <c r="CG729" s="12"/>
      <c r="CH729" s="12"/>
      <c r="CI729" s="12"/>
      <c r="CJ729" s="12"/>
      <c r="CK729" s="12"/>
      <c r="CL729" s="11">
        <v>47940.0</v>
      </c>
      <c r="CM729" s="11">
        <v>43540.0</v>
      </c>
      <c r="CN729" s="12"/>
      <c r="CO729" s="12"/>
      <c r="CP729" s="12"/>
      <c r="CQ729" s="11">
        <v>901.0</v>
      </c>
      <c r="CR729" s="11">
        <v>984.0</v>
      </c>
      <c r="CS729" s="12"/>
      <c r="CT729" s="12"/>
      <c r="CU729" s="12"/>
      <c r="CV729" s="11">
        <v>3240.0</v>
      </c>
      <c r="CW729" s="12"/>
      <c r="CX729" s="12"/>
      <c r="CY729" s="12"/>
      <c r="CZ729" s="12"/>
      <c r="DA729" s="12"/>
      <c r="DB729" s="11">
        <v>3240.0</v>
      </c>
      <c r="DC729" s="11">
        <v>2390.0</v>
      </c>
      <c r="DD729" s="12"/>
      <c r="DE729" s="12"/>
      <c r="DF729" s="11">
        <v>81160.0</v>
      </c>
      <c r="DG729" s="11">
        <v>57420.0</v>
      </c>
      <c r="DH729" s="12"/>
      <c r="DI729" s="12"/>
      <c r="DJ729" s="12"/>
      <c r="DK729" s="11">
        <v>130.0</v>
      </c>
      <c r="DL729" s="12"/>
      <c r="DM729" s="12"/>
      <c r="DN729" s="12"/>
      <c r="DO729" s="12"/>
      <c r="DP729" s="11">
        <v>77930.0</v>
      </c>
      <c r="DQ729" s="11">
        <v>55030.0</v>
      </c>
      <c r="DR729" s="12"/>
      <c r="DS729" s="12"/>
      <c r="DT729" s="12"/>
      <c r="DU729" s="13"/>
      <c r="DV729" s="12"/>
      <c r="DW729" s="12"/>
      <c r="DX729" s="13"/>
      <c r="DY729" s="13"/>
      <c r="DZ729" s="11">
        <v>-33220.0</v>
      </c>
      <c r="EA729" s="11">
        <v>-13880.0</v>
      </c>
      <c r="EB729" s="12"/>
      <c r="EC729" s="12"/>
      <c r="ED729" s="12"/>
      <c r="EE729" s="23"/>
      <c r="EF729" s="23"/>
      <c r="EG729" s="23" t="s">
        <v>155</v>
      </c>
      <c r="EH729" s="23"/>
    </row>
    <row r="730">
      <c r="A730" s="9">
        <f t="shared" si="2"/>
        <v>728</v>
      </c>
      <c r="B730" s="22" t="s">
        <v>865</v>
      </c>
      <c r="C730" s="11">
        <v>822370.0</v>
      </c>
      <c r="D730" s="11">
        <v>713050.0</v>
      </c>
      <c r="E730" s="11">
        <v>1120000.0</v>
      </c>
      <c r="F730" s="11">
        <v>599670.0</v>
      </c>
      <c r="G730" s="11">
        <v>514180.0</v>
      </c>
      <c r="H730" s="11">
        <v>346620.0</v>
      </c>
      <c r="I730" s="11">
        <v>283700.0</v>
      </c>
      <c r="J730" s="11">
        <v>1100000.0</v>
      </c>
      <c r="K730" s="11">
        <v>585330.0</v>
      </c>
      <c r="L730" s="11">
        <v>505830.0</v>
      </c>
      <c r="M730" s="12"/>
      <c r="N730" s="12"/>
      <c r="O730" s="11">
        <v>736340.0</v>
      </c>
      <c r="P730" s="11">
        <v>645900.0</v>
      </c>
      <c r="Q730" s="11">
        <v>474380.0</v>
      </c>
      <c r="R730" s="11">
        <v>381610.0</v>
      </c>
      <c r="S730" s="11">
        <v>347350.0</v>
      </c>
      <c r="T730" s="11">
        <v>465170.0</v>
      </c>
      <c r="U730" s="11">
        <v>413370.0</v>
      </c>
      <c r="V730" s="11">
        <v>374000.0</v>
      </c>
      <c r="W730" s="11">
        <v>341780.0</v>
      </c>
      <c r="X730" s="11">
        <v>317500.0</v>
      </c>
      <c r="Y730" s="11">
        <v>344020.0</v>
      </c>
      <c r="Z730" s="11">
        <v>-61370.0</v>
      </c>
      <c r="AA730" s="11">
        <v>-8090.0</v>
      </c>
      <c r="AB730" s="11">
        <v>-50300.0</v>
      </c>
      <c r="AC730" s="11">
        <v>-1880.0</v>
      </c>
      <c r="AD730" s="11">
        <v>346770.0</v>
      </c>
      <c r="AE730" s="11">
        <v>-76160.0</v>
      </c>
      <c r="AF730" s="11">
        <v>-16760.0</v>
      </c>
      <c r="AG730" s="11">
        <v>-83620.0</v>
      </c>
      <c r="AH730" s="11">
        <v>-87910.0</v>
      </c>
      <c r="AI730" s="11">
        <v>381880.0</v>
      </c>
      <c r="AJ730" s="11">
        <v>-48040.0</v>
      </c>
      <c r="AK730" s="11">
        <v>39800.0</v>
      </c>
      <c r="AL730" s="11">
        <v>-34990.0</v>
      </c>
      <c r="AM730" s="11">
        <v>-63640.0</v>
      </c>
      <c r="AN730" s="11">
        <v>296560.0</v>
      </c>
      <c r="AO730" s="11">
        <v>276870.0</v>
      </c>
      <c r="AP730" s="11">
        <v>18790.0</v>
      </c>
      <c r="AQ730" s="11">
        <v>-86560.0</v>
      </c>
      <c r="AR730" s="11">
        <v>-88280.0</v>
      </c>
      <c r="AS730" s="11">
        <v>345720.0</v>
      </c>
      <c r="AT730" s="11">
        <v>602890.0</v>
      </c>
      <c r="AU730" s="11">
        <v>174150.0</v>
      </c>
      <c r="AV730" s="11">
        <v>-112110.0</v>
      </c>
      <c r="AW730" s="11">
        <v>21130.0</v>
      </c>
      <c r="AX730" s="11">
        <v>-36280.0</v>
      </c>
      <c r="AY730" s="11">
        <v>-17650.0</v>
      </c>
      <c r="AZ730" s="11">
        <v>-37860.0</v>
      </c>
      <c r="BA730" s="11">
        <v>-11530.0</v>
      </c>
      <c r="BB730" s="11">
        <v>-11750.0</v>
      </c>
      <c r="BC730" s="12"/>
      <c r="BD730" s="12"/>
      <c r="BE730" s="12"/>
      <c r="BF730" s="12"/>
      <c r="BG730" s="12"/>
      <c r="BH730" s="11">
        <v>2510000.0</v>
      </c>
      <c r="BI730" s="11">
        <v>2090000.0</v>
      </c>
      <c r="BJ730" s="11">
        <v>1020000.0</v>
      </c>
      <c r="BK730" s="11">
        <v>667640.0</v>
      </c>
      <c r="BL730" s="11">
        <v>803980.0</v>
      </c>
      <c r="BM730" s="11">
        <v>63030.0</v>
      </c>
      <c r="BN730" s="11">
        <v>12760.0</v>
      </c>
      <c r="BO730" s="11">
        <v>62960.0</v>
      </c>
      <c r="BP730" s="11">
        <v>108040.0</v>
      </c>
      <c r="BQ730" s="11">
        <v>11360.0</v>
      </c>
      <c r="BR730" s="11">
        <v>18180.0</v>
      </c>
      <c r="BS730" s="11">
        <v>8580.0</v>
      </c>
      <c r="BT730" s="11">
        <v>9980.0</v>
      </c>
      <c r="BU730" s="11">
        <v>7490.0</v>
      </c>
      <c r="BV730" s="11">
        <v>6900.0</v>
      </c>
      <c r="BW730" s="11">
        <v>2720000.0</v>
      </c>
      <c r="BX730" s="11">
        <v>2210000.0</v>
      </c>
      <c r="BY730" s="11">
        <v>1170000.0</v>
      </c>
      <c r="BZ730" s="11">
        <v>797930.0</v>
      </c>
      <c r="CA730" s="11">
        <v>837000.0</v>
      </c>
      <c r="CB730" s="11">
        <v>166250.0</v>
      </c>
      <c r="CC730" s="11">
        <v>132160.0</v>
      </c>
      <c r="CD730" s="11">
        <v>121910.0</v>
      </c>
      <c r="CE730" s="11">
        <v>92850.0</v>
      </c>
      <c r="CF730" s="11">
        <v>90230.0</v>
      </c>
      <c r="CG730" s="12"/>
      <c r="CH730" s="12"/>
      <c r="CI730" s="12"/>
      <c r="CJ730" s="12"/>
      <c r="CK730" s="12"/>
      <c r="CL730" s="11">
        <v>3230000.0</v>
      </c>
      <c r="CM730" s="11">
        <v>2670000.0</v>
      </c>
      <c r="CN730" s="11">
        <v>1320000.0</v>
      </c>
      <c r="CO730" s="11">
        <v>912470.0</v>
      </c>
      <c r="CP730" s="11">
        <v>947900.0</v>
      </c>
      <c r="CQ730" s="11">
        <v>16070.0</v>
      </c>
      <c r="CR730" s="11">
        <v>28660.0</v>
      </c>
      <c r="CS730" s="11">
        <v>24890.0</v>
      </c>
      <c r="CT730" s="11">
        <v>21120.0</v>
      </c>
      <c r="CU730" s="11">
        <v>28360.0</v>
      </c>
      <c r="CV730" s="11">
        <v>273010.0</v>
      </c>
      <c r="CW730" s="11">
        <v>2000.0</v>
      </c>
      <c r="CX730" s="12"/>
      <c r="CY730" s="12"/>
      <c r="CZ730" s="12"/>
      <c r="DA730" s="12"/>
      <c r="DB730" s="11">
        <v>273010.0</v>
      </c>
      <c r="DC730" s="11">
        <v>280290.0</v>
      </c>
      <c r="DD730" s="11">
        <v>243610.0</v>
      </c>
      <c r="DE730" s="11">
        <v>133780.0</v>
      </c>
      <c r="DF730" s="11">
        <v>1550000.0</v>
      </c>
      <c r="DG730" s="11">
        <v>1480000.0</v>
      </c>
      <c r="DH730" s="11">
        <v>957490.0</v>
      </c>
      <c r="DI730" s="11">
        <v>812900.0</v>
      </c>
      <c r="DJ730" s="11">
        <v>747110.0</v>
      </c>
      <c r="DK730" s="11">
        <v>10000.0</v>
      </c>
      <c r="DL730" s="12"/>
      <c r="DM730" s="12"/>
      <c r="DN730" s="12"/>
      <c r="DO730" s="12"/>
      <c r="DP730" s="11">
        <v>785500.0</v>
      </c>
      <c r="DQ730" s="11">
        <v>632970.0</v>
      </c>
      <c r="DR730" s="11">
        <v>605860.0</v>
      </c>
      <c r="DS730" s="11">
        <v>587920.0</v>
      </c>
      <c r="DT730" s="11">
        <v>463930.0</v>
      </c>
      <c r="DU730" s="13"/>
      <c r="DV730" s="12"/>
      <c r="DW730" s="12"/>
      <c r="DX730" s="13"/>
      <c r="DY730" s="13"/>
      <c r="DZ730" s="11">
        <v>1470000.0</v>
      </c>
      <c r="EA730" s="11">
        <v>1050000.0</v>
      </c>
      <c r="EB730" s="11">
        <v>281010.0</v>
      </c>
      <c r="EC730" s="11">
        <v>99570.0</v>
      </c>
      <c r="ED730" s="11">
        <v>200790.0</v>
      </c>
      <c r="EE730" s="14">
        <v>0.07</v>
      </c>
      <c r="EF730" s="14">
        <v>0.298</v>
      </c>
      <c r="EG730" s="14">
        <v>0.148</v>
      </c>
      <c r="EH730" s="14">
        <v>0.042</v>
      </c>
    </row>
    <row r="731">
      <c r="A731" s="9">
        <f t="shared" si="2"/>
        <v>729</v>
      </c>
      <c r="B731" s="25" t="s">
        <v>866</v>
      </c>
      <c r="C731" s="15">
        <v>1440000.0</v>
      </c>
      <c r="D731" s="15">
        <v>1320000.0</v>
      </c>
      <c r="E731" s="15">
        <v>1510000.0</v>
      </c>
      <c r="F731" s="15">
        <v>1480000.0</v>
      </c>
      <c r="G731" s="15">
        <v>1310000.0</v>
      </c>
      <c r="H731" s="15">
        <v>883400.0</v>
      </c>
      <c r="I731" s="15">
        <v>1010000.0</v>
      </c>
      <c r="J731" s="15">
        <v>446600.0</v>
      </c>
      <c r="K731" s="15">
        <v>412100.0</v>
      </c>
      <c r="L731" s="15">
        <v>378400.0</v>
      </c>
      <c r="M731" s="15">
        <v>317100.0</v>
      </c>
      <c r="N731" s="15">
        <v>336200.0</v>
      </c>
      <c r="O731" s="15">
        <v>296700.0</v>
      </c>
      <c r="P731" s="15">
        <v>271500.0</v>
      </c>
      <c r="Q731" s="15">
        <v>250700.0</v>
      </c>
      <c r="R731" s="15">
        <v>215000.0</v>
      </c>
      <c r="S731" s="15">
        <v>215400.0</v>
      </c>
      <c r="T731" s="15">
        <v>35400.0</v>
      </c>
      <c r="U731" s="15">
        <v>33400.0</v>
      </c>
      <c r="V731" s="15">
        <v>31400.0</v>
      </c>
      <c r="W731" s="15">
        <v>25400.0</v>
      </c>
      <c r="X731" s="15">
        <v>25300.0</v>
      </c>
      <c r="Y731" s="15">
        <v>149300.0</v>
      </c>
      <c r="Z731" s="15">
        <v>138700.0</v>
      </c>
      <c r="AA731" s="15">
        <v>-900.0</v>
      </c>
      <c r="AB731" s="15">
        <v>111200.0</v>
      </c>
      <c r="AC731" s="15">
        <v>33900.0</v>
      </c>
      <c r="AD731" s="15">
        <v>150400.0</v>
      </c>
      <c r="AE731" s="15">
        <v>131600.0</v>
      </c>
      <c r="AF731" s="15">
        <v>128100.0</v>
      </c>
      <c r="AG731" s="15">
        <v>103100.0</v>
      </c>
      <c r="AH731" s="15">
        <v>152300.0</v>
      </c>
      <c r="AI731" s="15">
        <v>200900.0</v>
      </c>
      <c r="AJ731" s="15">
        <v>196300.0</v>
      </c>
      <c r="AK731" s="15">
        <v>183300.0</v>
      </c>
      <c r="AL731" s="15">
        <v>139800.0</v>
      </c>
      <c r="AM731" s="15">
        <v>154800.0</v>
      </c>
      <c r="AN731" s="15">
        <v>112200.0</v>
      </c>
      <c r="AO731" s="15">
        <v>85000.0</v>
      </c>
      <c r="AP731" s="15">
        <v>61800.0</v>
      </c>
      <c r="AQ731" s="15">
        <v>81300.0</v>
      </c>
      <c r="AR731" s="15">
        <v>119500.0</v>
      </c>
      <c r="AS731" s="15">
        <v>160100.0</v>
      </c>
      <c r="AT731" s="15">
        <v>104900.0</v>
      </c>
      <c r="AU731" s="15">
        <v>82700.0</v>
      </c>
      <c r="AV731" s="15">
        <v>104500.0</v>
      </c>
      <c r="AW731" s="15">
        <v>117700.0</v>
      </c>
      <c r="AX731" s="15">
        <v>-31000.0</v>
      </c>
      <c r="AY731" s="15">
        <v>-30100.0</v>
      </c>
      <c r="AZ731" s="15">
        <v>-32200.0</v>
      </c>
      <c r="BA731" s="15">
        <v>-16500.0</v>
      </c>
      <c r="BB731" s="15">
        <v>-26200.0</v>
      </c>
      <c r="BC731" s="15">
        <v>-25000.0</v>
      </c>
      <c r="BD731" s="15">
        <v>-21700.0</v>
      </c>
      <c r="BE731" s="15">
        <v>-18600.0</v>
      </c>
      <c r="BF731" s="15">
        <v>-15900.0</v>
      </c>
      <c r="BG731" s="15">
        <v>-14900.0</v>
      </c>
      <c r="BH731" s="15">
        <v>75700.0</v>
      </c>
      <c r="BI731" s="15">
        <v>123100.0</v>
      </c>
      <c r="BJ731" s="15">
        <v>90200.0</v>
      </c>
      <c r="BK731" s="15">
        <v>101900.0</v>
      </c>
      <c r="BL731" s="15">
        <v>141700.0</v>
      </c>
      <c r="BM731" s="15">
        <v>292000.0</v>
      </c>
      <c r="BN731" s="15">
        <v>279700.0</v>
      </c>
      <c r="BO731" s="15">
        <v>244500.0</v>
      </c>
      <c r="BP731" s="15">
        <v>154400.0</v>
      </c>
      <c r="BQ731" s="15">
        <v>137400.0</v>
      </c>
      <c r="BR731" s="15">
        <v>244600.0</v>
      </c>
      <c r="BS731" s="15">
        <v>248000.0</v>
      </c>
      <c r="BT731" s="15">
        <v>209800.0</v>
      </c>
      <c r="BU731" s="15">
        <v>173800.0</v>
      </c>
      <c r="BV731" s="15">
        <v>159900.0</v>
      </c>
      <c r="BW731" s="15">
        <v>630300.0</v>
      </c>
      <c r="BX731" s="15">
        <v>663900.0</v>
      </c>
      <c r="BY731" s="15">
        <v>561500.0</v>
      </c>
      <c r="BZ731" s="15">
        <v>441100.0</v>
      </c>
      <c r="CA731" s="15">
        <v>458700.0</v>
      </c>
      <c r="CB731" s="15">
        <v>231100.0</v>
      </c>
      <c r="CC731" s="15">
        <v>196400.0</v>
      </c>
      <c r="CD731" s="15">
        <v>196000.0</v>
      </c>
      <c r="CE731" s="15">
        <v>157400.0</v>
      </c>
      <c r="CF731" s="15">
        <v>76000.0</v>
      </c>
      <c r="CG731" s="15">
        <v>363000.0</v>
      </c>
      <c r="CH731" s="15">
        <v>364900.0</v>
      </c>
      <c r="CI731" s="15">
        <v>361800.0</v>
      </c>
      <c r="CJ731" s="15">
        <v>374800.0</v>
      </c>
      <c r="CK731" s="15">
        <v>267400.0</v>
      </c>
      <c r="CL731" s="15">
        <v>1470000.0</v>
      </c>
      <c r="CM731" s="15">
        <v>1470000.0</v>
      </c>
      <c r="CN731" s="15">
        <v>1410000.0</v>
      </c>
      <c r="CO731" s="15">
        <v>1180000.0</v>
      </c>
      <c r="CP731" s="15">
        <v>1030000.0</v>
      </c>
      <c r="CQ731" s="15">
        <v>122000.0</v>
      </c>
      <c r="CR731" s="15">
        <v>126800.0</v>
      </c>
      <c r="CS731" s="15">
        <v>117900.0</v>
      </c>
      <c r="CT731" s="15">
        <v>59600.0</v>
      </c>
      <c r="CU731" s="15">
        <v>52200.0</v>
      </c>
      <c r="CV731" s="15">
        <v>303500.0</v>
      </c>
      <c r="CW731" s="15">
        <v>10600.0</v>
      </c>
      <c r="CX731" s="15"/>
      <c r="CY731" s="15"/>
      <c r="CZ731" s="15"/>
      <c r="DA731" s="15"/>
      <c r="DB731" s="15">
        <v>303500.0</v>
      </c>
      <c r="DC731" s="15">
        <v>296600.0</v>
      </c>
      <c r="DD731" s="15">
        <v>261500.0</v>
      </c>
      <c r="DE731" s="15">
        <v>183100.0</v>
      </c>
      <c r="DF731" s="15">
        <v>549900.0</v>
      </c>
      <c r="DG731" s="15">
        <v>647900.0</v>
      </c>
      <c r="DH731" s="15">
        <v>615900.0</v>
      </c>
      <c r="DI731" s="15">
        <v>527600.0</v>
      </c>
      <c r="DJ731" s="15">
        <v>423300.0</v>
      </c>
      <c r="DK731" s="15"/>
      <c r="DL731" s="15"/>
      <c r="DM731" s="15"/>
      <c r="DN731" s="15"/>
      <c r="DO731" s="15"/>
      <c r="DP731" s="15">
        <v>81000.0</v>
      </c>
      <c r="DQ731" s="15">
        <v>187700.0</v>
      </c>
      <c r="DR731" s="15">
        <v>205800.0</v>
      </c>
      <c r="DS731" s="15">
        <v>261400.0</v>
      </c>
      <c r="DT731" s="15">
        <v>134000.0</v>
      </c>
      <c r="DU731" s="13"/>
      <c r="DV731" s="15"/>
      <c r="DW731" s="15"/>
      <c r="DX731" s="15"/>
      <c r="DY731" s="13"/>
      <c r="DZ731" s="15">
        <v>918500.0</v>
      </c>
      <c r="EA731" s="15">
        <v>825000.0</v>
      </c>
      <c r="EB731" s="15">
        <v>793900.0</v>
      </c>
      <c r="EC731" s="15">
        <v>653500.0</v>
      </c>
      <c r="ED731" s="15">
        <v>605000.0</v>
      </c>
      <c r="EE731" s="23"/>
      <c r="EF731" s="23"/>
      <c r="EG731" s="23">
        <v>0.154</v>
      </c>
      <c r="EH731" s="23">
        <v>0.091</v>
      </c>
    </row>
    <row r="732">
      <c r="A732" s="9">
        <f t="shared" si="2"/>
        <v>730</v>
      </c>
      <c r="B732" s="25" t="s">
        <v>867</v>
      </c>
      <c r="C732" s="15">
        <v>172610.0</v>
      </c>
      <c r="D732" s="15">
        <v>143550.0</v>
      </c>
      <c r="E732" s="15">
        <v>118170.0</v>
      </c>
      <c r="F732" s="15">
        <v>83490.0</v>
      </c>
      <c r="G732" s="15">
        <v>56110.0</v>
      </c>
      <c r="H732" s="15">
        <v>43970.0</v>
      </c>
      <c r="I732" s="15">
        <v>43260.0</v>
      </c>
      <c r="J732" s="15">
        <v>49550.0</v>
      </c>
      <c r="K732" s="15">
        <v>32190.0</v>
      </c>
      <c r="L732" s="15">
        <v>26250.0</v>
      </c>
      <c r="M732" s="15">
        <v>20120.0</v>
      </c>
      <c r="N732" s="15">
        <v>17250.0</v>
      </c>
      <c r="O732" s="15">
        <v>63250.0</v>
      </c>
      <c r="P732" s="15">
        <v>42870.0</v>
      </c>
      <c r="Q732" s="15">
        <v>31080.0</v>
      </c>
      <c r="R732" s="15">
        <v>32380.0</v>
      </c>
      <c r="S732" s="15">
        <v>23880.0</v>
      </c>
      <c r="T732" s="15">
        <v>30940.0</v>
      </c>
      <c r="U732" s="15">
        <v>20270.0</v>
      </c>
      <c r="V732" s="15">
        <v>13620.0</v>
      </c>
      <c r="W732" s="15">
        <v>15410.0</v>
      </c>
      <c r="X732" s="15">
        <v>12370.0</v>
      </c>
      <c r="Y732" s="15">
        <v>-15300.0</v>
      </c>
      <c r="Z732" s="15">
        <v>-17820.0</v>
      </c>
      <c r="AA732" s="15">
        <v>0.0</v>
      </c>
      <c r="AB732" s="15">
        <v>1960.0</v>
      </c>
      <c r="AC732" s="15">
        <v>-7540.0</v>
      </c>
      <c r="AD732" s="15">
        <v>-26670.0</v>
      </c>
      <c r="AE732" s="15">
        <v>-21520.0</v>
      </c>
      <c r="AF732" s="15">
        <v>-5590.0</v>
      </c>
      <c r="AG732" s="15">
        <v>-11630.0</v>
      </c>
      <c r="AH732" s="15">
        <v>-8440.0</v>
      </c>
      <c r="AI732" s="15">
        <v>-3320.0</v>
      </c>
      <c r="AJ732" s="15">
        <v>-5410.0</v>
      </c>
      <c r="AK732" s="15">
        <v>-2230.0</v>
      </c>
      <c r="AL732" s="15">
        <v>-10040.0</v>
      </c>
      <c r="AM732" s="15">
        <v>-3950.0</v>
      </c>
      <c r="AN732" s="15">
        <v>-26860.0</v>
      </c>
      <c r="AO732" s="15">
        <v>-21440.0</v>
      </c>
      <c r="AP732" s="15">
        <v>-5690.0</v>
      </c>
      <c r="AQ732" s="15">
        <v>-11610.0</v>
      </c>
      <c r="AR732" s="15">
        <v>-8380.0</v>
      </c>
      <c r="AS732" s="15">
        <v>-11850.0</v>
      </c>
      <c r="AT732" s="15">
        <v>-17680.0</v>
      </c>
      <c r="AU732" s="15">
        <v>0.0</v>
      </c>
      <c r="AV732" s="15">
        <v>-5040.0</v>
      </c>
      <c r="AW732" s="15">
        <v>-7130.0</v>
      </c>
      <c r="AX732" s="15">
        <v>-4520.0</v>
      </c>
      <c r="AY732" s="15">
        <v>-3210.0</v>
      </c>
      <c r="AZ732" s="15">
        <v>-2870.0</v>
      </c>
      <c r="BA732" s="15">
        <v>-2480.0</v>
      </c>
      <c r="BB732" s="15">
        <v>0.0</v>
      </c>
      <c r="BC732" s="15">
        <v>0.0</v>
      </c>
      <c r="BD732" s="15">
        <v>0.0</v>
      </c>
      <c r="BE732" s="15">
        <v>0.0</v>
      </c>
      <c r="BF732" s="15">
        <v>0.0</v>
      </c>
      <c r="BG732" s="15">
        <v>0.0</v>
      </c>
      <c r="BH732" s="15">
        <v>21720.0</v>
      </c>
      <c r="BI732" s="15">
        <v>9090.0</v>
      </c>
      <c r="BJ732" s="15">
        <v>30080.0</v>
      </c>
      <c r="BK732" s="15">
        <v>19720.0</v>
      </c>
      <c r="BL732" s="15">
        <v>23090.0</v>
      </c>
      <c r="BM732" s="15">
        <v>40490.0</v>
      </c>
      <c r="BN732" s="15">
        <v>23210.0</v>
      </c>
      <c r="BO732" s="15">
        <v>8670.0</v>
      </c>
      <c r="BP732" s="15">
        <v>6110.0</v>
      </c>
      <c r="BQ732" s="15">
        <v>7600.0</v>
      </c>
      <c r="BR732" s="15">
        <v>20020.0</v>
      </c>
      <c r="BS732" s="15">
        <v>18640.0</v>
      </c>
      <c r="BT732" s="15">
        <v>5810.0</v>
      </c>
      <c r="BU732" s="15">
        <v>5180.0</v>
      </c>
      <c r="BV732" s="15">
        <v>7370.0</v>
      </c>
      <c r="BW732" s="15">
        <v>84540.0</v>
      </c>
      <c r="BX732" s="15">
        <v>53470.0</v>
      </c>
      <c r="BY732" s="15">
        <v>45610.0</v>
      </c>
      <c r="BZ732" s="15">
        <v>31580.0</v>
      </c>
      <c r="CA732" s="15">
        <v>39330.0</v>
      </c>
      <c r="CB732" s="15">
        <v>12410.0</v>
      </c>
      <c r="CC732" s="15">
        <v>7090.0</v>
      </c>
      <c r="CD732" s="15">
        <v>7180.0</v>
      </c>
      <c r="CE732" s="15">
        <v>5960.0</v>
      </c>
      <c r="CF732" s="15">
        <v>0.0</v>
      </c>
      <c r="CG732" s="15">
        <v>38640.0</v>
      </c>
      <c r="CH732" s="15">
        <v>38640.0</v>
      </c>
      <c r="CI732" s="15">
        <v>0.0</v>
      </c>
      <c r="CJ732" s="15">
        <v>0.0</v>
      </c>
      <c r="CK732" s="15">
        <v>0.0</v>
      </c>
      <c r="CL732" s="15">
        <v>167200.0</v>
      </c>
      <c r="CM732" s="15">
        <v>140740.0</v>
      </c>
      <c r="CN732" s="15">
        <v>60810.0</v>
      </c>
      <c r="CO732" s="15">
        <v>46780.0</v>
      </c>
      <c r="CP732" s="15">
        <v>49940.0</v>
      </c>
      <c r="CQ732" s="15">
        <v>22840.0</v>
      </c>
      <c r="CR732" s="15">
        <v>16150.0</v>
      </c>
      <c r="CS732" s="15">
        <v>7080.0</v>
      </c>
      <c r="CT732" s="15">
        <v>5170.0</v>
      </c>
      <c r="CU732" s="15">
        <v>9680.0</v>
      </c>
      <c r="CV732" s="15">
        <v>45270.0</v>
      </c>
      <c r="CW732" s="15">
        <v>1230.0</v>
      </c>
      <c r="CX732" s="15">
        <v>0.0</v>
      </c>
      <c r="CY732" s="15">
        <v>0.0</v>
      </c>
      <c r="CZ732" s="15">
        <v>0.0</v>
      </c>
      <c r="DA732" s="15">
        <v>0.0</v>
      </c>
      <c r="DB732" s="15">
        <v>45270.0</v>
      </c>
      <c r="DC732" s="15">
        <v>40770.0</v>
      </c>
      <c r="DD732" s="15">
        <v>14470.0</v>
      </c>
      <c r="DE732" s="15">
        <v>15410.0</v>
      </c>
      <c r="DF732" s="15">
        <v>108430.0</v>
      </c>
      <c r="DG732" s="15">
        <v>77990.0</v>
      </c>
      <c r="DH732" s="15">
        <v>27860.0</v>
      </c>
      <c r="DI732" s="15">
        <v>30410.0</v>
      </c>
      <c r="DJ732" s="15">
        <v>25460.0</v>
      </c>
      <c r="DK732" s="15">
        <v>1600.0</v>
      </c>
      <c r="DL732" s="15">
        <v>1100.0</v>
      </c>
      <c r="DM732" s="15">
        <v>0.0</v>
      </c>
      <c r="DN732" s="15">
        <v>0.0</v>
      </c>
      <c r="DO732" s="15">
        <v>0.0</v>
      </c>
      <c r="DP732" s="15">
        <v>61320.0</v>
      </c>
      <c r="DQ732" s="15">
        <v>29420.0</v>
      </c>
      <c r="DR732" s="15">
        <v>10910.0</v>
      </c>
      <c r="DS732" s="15">
        <v>11580.0</v>
      </c>
      <c r="DT732" s="15">
        <v>7810.0</v>
      </c>
      <c r="DU732" s="16">
        <v>0.0</v>
      </c>
      <c r="DV732" s="15">
        <v>0.0</v>
      </c>
      <c r="DW732" s="15">
        <v>0.0</v>
      </c>
      <c r="DX732" s="15">
        <v>0.0</v>
      </c>
      <c r="DY732" s="15">
        <v>0.0</v>
      </c>
      <c r="DZ732" s="15">
        <v>58780.0</v>
      </c>
      <c r="EA732" s="15">
        <v>62740.0</v>
      </c>
      <c r="EB732" s="15">
        <v>32950.0</v>
      </c>
      <c r="EC732" s="15">
        <v>16370.0</v>
      </c>
      <c r="ED732" s="15">
        <v>24480.0</v>
      </c>
      <c r="EE732" s="17">
        <v>0.12</v>
      </c>
      <c r="EF732" s="17">
        <v>0.089</v>
      </c>
      <c r="EG732" s="17">
        <v>-13.0</v>
      </c>
      <c r="EH732" s="17">
        <v>-2.616</v>
      </c>
    </row>
    <row r="733">
      <c r="A733" s="9">
        <f t="shared" si="2"/>
        <v>731</v>
      </c>
      <c r="B733" s="22" t="s">
        <v>868</v>
      </c>
      <c r="C733" s="11">
        <v>41100.0</v>
      </c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3"/>
      <c r="DV733" s="12"/>
      <c r="DW733" s="12"/>
      <c r="DX733" s="13"/>
      <c r="DY733" s="13"/>
      <c r="DZ733" s="12"/>
      <c r="EA733" s="12"/>
      <c r="EB733" s="12"/>
      <c r="EC733" s="12"/>
      <c r="ED733" s="12"/>
      <c r="EE733" s="23"/>
      <c r="EF733" s="23"/>
      <c r="EG733" s="14">
        <v>0.113</v>
      </c>
      <c r="EH733" s="14">
        <v>-0.053</v>
      </c>
    </row>
    <row r="734">
      <c r="A734" s="9">
        <f t="shared" si="2"/>
        <v>732</v>
      </c>
      <c r="B734" s="25" t="s">
        <v>869</v>
      </c>
      <c r="C734" s="15">
        <v>632650.0</v>
      </c>
      <c r="D734" s="15">
        <v>439370.0</v>
      </c>
      <c r="E734" s="15">
        <v>713510.0</v>
      </c>
      <c r="F734" s="15">
        <v>675570.0</v>
      </c>
      <c r="G734" s="15">
        <v>591250.0</v>
      </c>
      <c r="H734" s="15">
        <v>521070.0</v>
      </c>
      <c r="I734" s="15">
        <v>468540.0</v>
      </c>
      <c r="J734" s="15">
        <v>445940.0</v>
      </c>
      <c r="K734" s="15">
        <v>427560.0</v>
      </c>
      <c r="L734" s="15">
        <v>377130.0</v>
      </c>
      <c r="M734" s="15">
        <v>326820.0</v>
      </c>
      <c r="N734" s="15">
        <v>289470.0</v>
      </c>
      <c r="O734" s="15">
        <v>341210.0</v>
      </c>
      <c r="P734" s="15">
        <v>332830.0</v>
      </c>
      <c r="Q734" s="15">
        <v>296380.0</v>
      </c>
      <c r="R734" s="15">
        <v>259140.0</v>
      </c>
      <c r="S734" s="15">
        <v>222870.0</v>
      </c>
      <c r="T734" s="15"/>
      <c r="U734" s="15"/>
      <c r="V734" s="15"/>
      <c r="W734" s="15"/>
      <c r="X734" s="15"/>
      <c r="Y734" s="15">
        <v>104930.0</v>
      </c>
      <c r="Z734" s="15">
        <v>300.0</v>
      </c>
      <c r="AA734" s="15">
        <v>79120.0</v>
      </c>
      <c r="AB734" s="15">
        <v>62130.0</v>
      </c>
      <c r="AC734" s="15">
        <v>60200.0</v>
      </c>
      <c r="AD734" s="15">
        <v>105150.0</v>
      </c>
      <c r="AE734" s="15">
        <v>95860.0</v>
      </c>
      <c r="AF734" s="15">
        <v>78070.0</v>
      </c>
      <c r="AG734" s="15">
        <v>67070.0</v>
      </c>
      <c r="AH734" s="15">
        <v>60500.0</v>
      </c>
      <c r="AI734" s="15">
        <v>113460.0</v>
      </c>
      <c r="AJ734" s="15">
        <v>105760.0</v>
      </c>
      <c r="AK734" s="15">
        <v>90540.0</v>
      </c>
      <c r="AL734" s="15">
        <v>77370.0</v>
      </c>
      <c r="AM734" s="15">
        <v>75680.0</v>
      </c>
      <c r="AN734" s="15">
        <v>60250.0</v>
      </c>
      <c r="AO734" s="15">
        <v>53790.0</v>
      </c>
      <c r="AP734" s="15">
        <v>41590.0</v>
      </c>
      <c r="AQ734" s="15">
        <v>33330.0</v>
      </c>
      <c r="AR734" s="15">
        <v>30440.0</v>
      </c>
      <c r="AS734" s="15">
        <v>76450.0</v>
      </c>
      <c r="AT734" s="15">
        <v>63040.0</v>
      </c>
      <c r="AU734" s="15">
        <v>35890.0</v>
      </c>
      <c r="AV734" s="15">
        <v>54560.0</v>
      </c>
      <c r="AW734" s="15">
        <v>50080.0</v>
      </c>
      <c r="AX734" s="15">
        <v>-11490.0</v>
      </c>
      <c r="AY734" s="15">
        <v>-12470.0</v>
      </c>
      <c r="AZ734" s="15">
        <v>-4070.0</v>
      </c>
      <c r="BA734" s="15">
        <v>-5740.0</v>
      </c>
      <c r="BB734" s="15">
        <v>-123950.0</v>
      </c>
      <c r="BC734" s="15">
        <v>-34580.0</v>
      </c>
      <c r="BD734" s="15">
        <v>-26290.0</v>
      </c>
      <c r="BE734" s="15">
        <v>-21190.0</v>
      </c>
      <c r="BF734" s="15">
        <v>-18020.0</v>
      </c>
      <c r="BG734" s="15">
        <v>-15810.0</v>
      </c>
      <c r="BH734" s="15">
        <v>253130.0</v>
      </c>
      <c r="BI734" s="15">
        <v>261010.0</v>
      </c>
      <c r="BJ734" s="15">
        <v>278240.0</v>
      </c>
      <c r="BK734" s="15">
        <v>256030.0</v>
      </c>
      <c r="BL734" s="15">
        <v>259810.0</v>
      </c>
      <c r="BM734" s="15">
        <v>135230.0</v>
      </c>
      <c r="BN734" s="15">
        <v>136240.0</v>
      </c>
      <c r="BO734" s="15">
        <v>126620.0</v>
      </c>
      <c r="BP734" s="15">
        <v>112880.0</v>
      </c>
      <c r="BQ734" s="15">
        <v>97600.0</v>
      </c>
      <c r="BR734" s="15">
        <v>167810.0</v>
      </c>
      <c r="BS734" s="15">
        <v>161780.0</v>
      </c>
      <c r="BT734" s="15">
        <v>137060.0</v>
      </c>
      <c r="BU734" s="15">
        <v>96980.0</v>
      </c>
      <c r="BV734" s="15">
        <v>98350.0</v>
      </c>
      <c r="BW734" s="15">
        <v>573300.0</v>
      </c>
      <c r="BX734" s="15">
        <v>571600.0</v>
      </c>
      <c r="BY734" s="15">
        <v>549280.0</v>
      </c>
      <c r="BZ734" s="15">
        <v>480220.0</v>
      </c>
      <c r="CA734" s="15">
        <v>468760.0</v>
      </c>
      <c r="CB734" s="15">
        <v>39470.0</v>
      </c>
      <c r="CC734" s="15">
        <v>9840.0</v>
      </c>
      <c r="CD734" s="15">
        <v>10330.0</v>
      </c>
      <c r="CE734" s="15">
        <v>10080.0</v>
      </c>
      <c r="CF734" s="15">
        <v>9330.0</v>
      </c>
      <c r="CG734" s="15"/>
      <c r="CH734" s="15"/>
      <c r="CI734" s="15"/>
      <c r="CJ734" s="15"/>
      <c r="CK734" s="15"/>
      <c r="CL734" s="15">
        <v>828830.0</v>
      </c>
      <c r="CM734" s="15">
        <v>797830.0</v>
      </c>
      <c r="CN734" s="15">
        <v>777770.0</v>
      </c>
      <c r="CO734" s="15">
        <v>682410.0</v>
      </c>
      <c r="CP734" s="15">
        <v>687660.0</v>
      </c>
      <c r="CQ734" s="15">
        <v>54100.0</v>
      </c>
      <c r="CR734" s="15">
        <v>58330.0</v>
      </c>
      <c r="CS734" s="15">
        <v>52610.0</v>
      </c>
      <c r="CT734" s="15">
        <v>49510.0</v>
      </c>
      <c r="CU734" s="15">
        <v>50640.0</v>
      </c>
      <c r="CV734" s="15">
        <v>184470.0</v>
      </c>
      <c r="CW734" s="15">
        <v>5360.0</v>
      </c>
      <c r="CX734" s="15"/>
      <c r="CY734" s="15"/>
      <c r="CZ734" s="15"/>
      <c r="DA734" s="15"/>
      <c r="DB734" s="15">
        <v>184470.0</v>
      </c>
      <c r="DC734" s="15">
        <v>189180.0</v>
      </c>
      <c r="DD734" s="15">
        <v>167110.0</v>
      </c>
      <c r="DE734" s="15">
        <v>142240.0</v>
      </c>
      <c r="DF734" s="15">
        <v>219830.0</v>
      </c>
      <c r="DG734" s="15">
        <v>212080.0</v>
      </c>
      <c r="DH734" s="15">
        <v>207140.0</v>
      </c>
      <c r="DI734" s="15">
        <v>198750.0</v>
      </c>
      <c r="DJ734" s="15">
        <v>211270.0</v>
      </c>
      <c r="DK734" s="15"/>
      <c r="DL734" s="15"/>
      <c r="DM734" s="15"/>
      <c r="DN734" s="15"/>
      <c r="DO734" s="15"/>
      <c r="DP734" s="15">
        <v>35370.0</v>
      </c>
      <c r="DQ734" s="15">
        <v>22910.0</v>
      </c>
      <c r="DR734" s="15">
        <v>36210.0</v>
      </c>
      <c r="DS734" s="15">
        <v>53060.0</v>
      </c>
      <c r="DT734" s="15">
        <v>76440.0</v>
      </c>
      <c r="DU734" s="13"/>
      <c r="DV734" s="12"/>
      <c r="DW734" s="12"/>
      <c r="DX734" s="13"/>
      <c r="DY734" s="13"/>
      <c r="DZ734" s="15">
        <v>468000.0</v>
      </c>
      <c r="EA734" s="15">
        <v>447610.0</v>
      </c>
      <c r="EB734" s="15">
        <v>433300.0</v>
      </c>
      <c r="EC734" s="15">
        <v>370390.0</v>
      </c>
      <c r="ED734" s="15">
        <v>365590.0</v>
      </c>
      <c r="EE734" s="17">
        <v>0.36</v>
      </c>
      <c r="EF734" s="17">
        <v>0.099</v>
      </c>
      <c r="EG734" s="17">
        <v>0.231</v>
      </c>
      <c r="EH734" s="17">
        <v>0.009</v>
      </c>
    </row>
    <row r="735">
      <c r="A735" s="9">
        <f t="shared" si="2"/>
        <v>733</v>
      </c>
      <c r="B735" s="22" t="s">
        <v>870</v>
      </c>
      <c r="C735" s="11">
        <v>152950.0</v>
      </c>
      <c r="D735" s="11">
        <v>100710.0</v>
      </c>
      <c r="E735" s="11">
        <v>68970.0</v>
      </c>
      <c r="F735" s="11">
        <v>79890.0</v>
      </c>
      <c r="G735" s="11">
        <v>32630.0</v>
      </c>
      <c r="H735" s="11">
        <v>56160.0</v>
      </c>
      <c r="I735" s="11">
        <v>17910.0</v>
      </c>
      <c r="J735" s="12"/>
      <c r="K735" s="12"/>
      <c r="L735" s="12"/>
      <c r="M735" s="12"/>
      <c r="N735" s="12"/>
      <c r="O735" s="11">
        <v>88220.0</v>
      </c>
      <c r="P735" s="11">
        <v>80830.0</v>
      </c>
      <c r="Q735" s="11">
        <v>79620.0</v>
      </c>
      <c r="R735" s="11">
        <v>54890.0</v>
      </c>
      <c r="S735" s="11">
        <v>44410.0</v>
      </c>
      <c r="T735" s="11">
        <v>63430.0</v>
      </c>
      <c r="U735" s="11">
        <v>63440.0</v>
      </c>
      <c r="V735" s="11">
        <v>62930.0</v>
      </c>
      <c r="W735" s="11">
        <v>45560.0</v>
      </c>
      <c r="X735" s="11">
        <v>27380.0</v>
      </c>
      <c r="Y735" s="11">
        <v>-39930.0</v>
      </c>
      <c r="Z735" s="11">
        <v>-13390.0</v>
      </c>
      <c r="AA735" s="11">
        <v>-54620.0</v>
      </c>
      <c r="AB735" s="11">
        <v>-81.0</v>
      </c>
      <c r="AC735" s="11">
        <v>-19140.0</v>
      </c>
      <c r="AD735" s="11">
        <v>-37600.0</v>
      </c>
      <c r="AE735" s="11">
        <v>-11340.0</v>
      </c>
      <c r="AF735" s="11">
        <v>-59420.0</v>
      </c>
      <c r="AG735" s="11">
        <v>3860.0</v>
      </c>
      <c r="AH735" s="11">
        <v>-13750.0</v>
      </c>
      <c r="AI735" s="11">
        <v>-19250.0</v>
      </c>
      <c r="AJ735" s="11">
        <v>-936.0</v>
      </c>
      <c r="AK735" s="11">
        <v>-46990.0</v>
      </c>
      <c r="AL735" s="11">
        <v>1750.0</v>
      </c>
      <c r="AM735" s="11">
        <v>-15160.0</v>
      </c>
      <c r="AN735" s="11">
        <v>-20760.0</v>
      </c>
      <c r="AO735" s="11">
        <v>3050.0</v>
      </c>
      <c r="AP735" s="11">
        <v>-48390.0</v>
      </c>
      <c r="AQ735" s="11">
        <v>12640.0</v>
      </c>
      <c r="AR735" s="11">
        <v>-6710.0</v>
      </c>
      <c r="AS735" s="11">
        <v>36010.0</v>
      </c>
      <c r="AT735" s="11">
        <v>-31190.0</v>
      </c>
      <c r="AU735" s="11">
        <v>-46730.0</v>
      </c>
      <c r="AV735" s="11">
        <v>-36980.0</v>
      </c>
      <c r="AW735" s="11">
        <v>207770.0</v>
      </c>
      <c r="AX735" s="11">
        <v>-65410.0</v>
      </c>
      <c r="AY735" s="11">
        <v>-1430.0</v>
      </c>
      <c r="AZ735" s="11">
        <v>-6030.0</v>
      </c>
      <c r="BA735" s="11">
        <v>-9390.0</v>
      </c>
      <c r="BB735" s="11">
        <v>-7400.0</v>
      </c>
      <c r="BC735" s="12"/>
      <c r="BD735" s="12"/>
      <c r="BE735" s="12"/>
      <c r="BF735" s="12"/>
      <c r="BG735" s="12"/>
      <c r="BH735" s="11">
        <v>218870.0</v>
      </c>
      <c r="BI735" s="11">
        <v>167530.0</v>
      </c>
      <c r="BJ735" s="11">
        <v>116110.0</v>
      </c>
      <c r="BK735" s="11">
        <v>197690.0</v>
      </c>
      <c r="BL735" s="11">
        <v>235910.0</v>
      </c>
      <c r="BM735" s="11">
        <v>13140.0</v>
      </c>
      <c r="BN735" s="11">
        <v>59340.0</v>
      </c>
      <c r="BO735" s="11">
        <v>15080.0</v>
      </c>
      <c r="BP735" s="11">
        <v>25550.0</v>
      </c>
      <c r="BQ735" s="11">
        <v>9950.0</v>
      </c>
      <c r="BR735" s="12"/>
      <c r="BS735" s="12"/>
      <c r="BT735" s="12"/>
      <c r="BU735" s="11">
        <v>513.0</v>
      </c>
      <c r="BV735" s="11">
        <v>278.0</v>
      </c>
      <c r="BW735" s="11">
        <v>237610.0</v>
      </c>
      <c r="BX735" s="11">
        <v>319640.0</v>
      </c>
      <c r="BY735" s="11">
        <v>137520.0</v>
      </c>
      <c r="BZ735" s="11">
        <v>230080.0</v>
      </c>
      <c r="CA735" s="11">
        <v>252130.0</v>
      </c>
      <c r="CB735" s="11">
        <v>11670.0</v>
      </c>
      <c r="CC735" s="11">
        <v>10220.0</v>
      </c>
      <c r="CD735" s="11">
        <v>10730.0</v>
      </c>
      <c r="CE735" s="11">
        <v>9090.0</v>
      </c>
      <c r="CF735" s="11">
        <v>6300.0</v>
      </c>
      <c r="CG735" s="12"/>
      <c r="CH735" s="12"/>
      <c r="CI735" s="12"/>
      <c r="CJ735" s="12"/>
      <c r="CK735" s="12"/>
      <c r="CL735" s="11">
        <v>401360.0</v>
      </c>
      <c r="CM735" s="11">
        <v>451220.0</v>
      </c>
      <c r="CN735" s="11">
        <v>255020.0</v>
      </c>
      <c r="CO735" s="11">
        <v>281580.0</v>
      </c>
      <c r="CP735" s="11">
        <v>305960.0</v>
      </c>
      <c r="CQ735" s="11">
        <v>27940.0</v>
      </c>
      <c r="CR735" s="11">
        <v>41680.0</v>
      </c>
      <c r="CS735" s="11">
        <v>19970.0</v>
      </c>
      <c r="CT735" s="11">
        <v>15600.0</v>
      </c>
      <c r="CU735" s="11">
        <v>15110.0</v>
      </c>
      <c r="CV735" s="11">
        <v>121820.0</v>
      </c>
      <c r="CW735" s="11">
        <v>1490.0</v>
      </c>
      <c r="CX735" s="24">
        <v>94.0</v>
      </c>
      <c r="CY735" s="24">
        <v>54.0</v>
      </c>
      <c r="CZ735" s="12"/>
      <c r="DA735" s="11">
        <v>150.0</v>
      </c>
      <c r="DB735" s="11">
        <v>121820.0</v>
      </c>
      <c r="DC735" s="11">
        <v>196740.0</v>
      </c>
      <c r="DD735" s="11">
        <v>73910.0</v>
      </c>
      <c r="DE735" s="11">
        <v>76440.0</v>
      </c>
      <c r="DF735" s="11">
        <v>183950.0</v>
      </c>
      <c r="DG735" s="11">
        <v>283980.0</v>
      </c>
      <c r="DH735" s="11">
        <v>169070.0</v>
      </c>
      <c r="DI735" s="11">
        <v>195410.0</v>
      </c>
      <c r="DJ735" s="11">
        <v>233890.0</v>
      </c>
      <c r="DK735" s="11">
        <v>37010.0</v>
      </c>
      <c r="DL735" s="11">
        <v>33140.0</v>
      </c>
      <c r="DM735" s="11">
        <v>58420.0</v>
      </c>
      <c r="DN735" s="11">
        <v>31440.0</v>
      </c>
      <c r="DO735" s="11">
        <v>37790.0</v>
      </c>
      <c r="DP735" s="11">
        <v>16590.0</v>
      </c>
      <c r="DQ735" s="11">
        <v>3180.0</v>
      </c>
      <c r="DR735" s="11">
        <v>3770.0</v>
      </c>
      <c r="DS735" s="11">
        <v>3010.0</v>
      </c>
      <c r="DT735" s="11">
        <v>3130.0</v>
      </c>
      <c r="DU735" s="13"/>
      <c r="DV735" s="12"/>
      <c r="DW735" s="12"/>
      <c r="DX735" s="13"/>
      <c r="DY735" s="13"/>
      <c r="DZ735" s="11">
        <v>217420.0</v>
      </c>
      <c r="EA735" s="11">
        <v>167240.0</v>
      </c>
      <c r="EB735" s="11">
        <v>85960.0</v>
      </c>
      <c r="EC735" s="11">
        <v>86170.0</v>
      </c>
      <c r="ED735" s="11">
        <v>72070.0</v>
      </c>
      <c r="EE735" s="14">
        <v>0.211</v>
      </c>
      <c r="EF735" s="14">
        <v>0.806</v>
      </c>
      <c r="EG735" s="23" t="s">
        <v>155</v>
      </c>
      <c r="EH735" s="23"/>
    </row>
    <row r="736">
      <c r="A736" s="9">
        <f t="shared" si="2"/>
        <v>734</v>
      </c>
      <c r="B736" s="10" t="s">
        <v>871</v>
      </c>
      <c r="C736" s="15">
        <v>713840.0</v>
      </c>
      <c r="D736" s="15">
        <v>608290.0</v>
      </c>
      <c r="E736" s="15">
        <v>365640.0</v>
      </c>
      <c r="F736" s="15">
        <v>294490.0</v>
      </c>
      <c r="G736" s="15">
        <v>348200.0</v>
      </c>
      <c r="H736" s="15">
        <v>266280.0</v>
      </c>
      <c r="I736" s="15">
        <v>192710.0</v>
      </c>
      <c r="J736" s="15">
        <v>180240.0</v>
      </c>
      <c r="K736" s="15">
        <v>135500.0</v>
      </c>
      <c r="L736" s="15">
        <v>177960.0</v>
      </c>
      <c r="M736" s="15">
        <v>178750.0</v>
      </c>
      <c r="N736" s="15">
        <v>118780.0</v>
      </c>
      <c r="O736" s="15">
        <v>229690.0</v>
      </c>
      <c r="P736" s="15">
        <v>207530.0</v>
      </c>
      <c r="Q736" s="15">
        <v>201140.0</v>
      </c>
      <c r="R736" s="15">
        <v>153800.0</v>
      </c>
      <c r="S736" s="15">
        <v>126070.0</v>
      </c>
      <c r="T736" s="15">
        <v>161570.0</v>
      </c>
      <c r="U736" s="15">
        <v>148610.0</v>
      </c>
      <c r="V736" s="15">
        <v>145350.0</v>
      </c>
      <c r="W736" s="15">
        <v>107680.0</v>
      </c>
      <c r="X736" s="15">
        <v>86020.0</v>
      </c>
      <c r="Y736" s="15">
        <v>-47520.0</v>
      </c>
      <c r="Z736" s="15">
        <v>-71100.0</v>
      </c>
      <c r="AA736" s="15">
        <v>-70200.0</v>
      </c>
      <c r="AB736" s="15">
        <v>0.0</v>
      </c>
      <c r="AC736" s="15">
        <v>-1750.0</v>
      </c>
      <c r="AD736" s="15">
        <v>-72520.0</v>
      </c>
      <c r="AE736" s="15">
        <v>-103960.0</v>
      </c>
      <c r="AF736" s="15">
        <v>-96080.0</v>
      </c>
      <c r="AG736" s="15">
        <v>11460.0</v>
      </c>
      <c r="AH736" s="15">
        <v>-10100.0</v>
      </c>
      <c r="AI736" s="15">
        <v>42520.0</v>
      </c>
      <c r="AJ736" s="15">
        <v>10680.0</v>
      </c>
      <c r="AK736" s="15">
        <v>54670.0</v>
      </c>
      <c r="AL736" s="15">
        <v>56160.0</v>
      </c>
      <c r="AM736" s="15">
        <v>19590.0</v>
      </c>
      <c r="AN736" s="15">
        <v>-72910.0</v>
      </c>
      <c r="AO736" s="15">
        <v>-95750.0</v>
      </c>
      <c r="AP736" s="15">
        <v>-74900.0</v>
      </c>
      <c r="AQ736" s="15">
        <v>26510.0</v>
      </c>
      <c r="AR736" s="15">
        <v>-15960.0</v>
      </c>
      <c r="AS736" s="15">
        <v>96940.0</v>
      </c>
      <c r="AT736" s="15">
        <v>78160.0</v>
      </c>
      <c r="AU736" s="15">
        <v>77310.0</v>
      </c>
      <c r="AV736" s="15">
        <v>63070.0</v>
      </c>
      <c r="AW736" s="15">
        <v>72540.0</v>
      </c>
      <c r="AX736" s="15">
        <v>-30660.0</v>
      </c>
      <c r="AY736" s="15">
        <v>-53150.0</v>
      </c>
      <c r="AZ736" s="15">
        <v>-37440.0</v>
      </c>
      <c r="BA736" s="15">
        <v>-22350.0</v>
      </c>
      <c r="BB736" s="15">
        <v>-16560.0</v>
      </c>
      <c r="BC736" s="15">
        <v>0.0</v>
      </c>
      <c r="BD736" s="15">
        <v>0.0</v>
      </c>
      <c r="BE736" s="15">
        <v>0.0</v>
      </c>
      <c r="BF736" s="15">
        <v>0.0</v>
      </c>
      <c r="BG736" s="15">
        <v>0.0</v>
      </c>
      <c r="BH736" s="15">
        <v>422850.0</v>
      </c>
      <c r="BI736" s="15">
        <v>407360.0</v>
      </c>
      <c r="BJ736" s="15">
        <v>405190.0</v>
      </c>
      <c r="BK736" s="15">
        <v>394340.0</v>
      </c>
      <c r="BL736" s="15">
        <v>326660.0</v>
      </c>
      <c r="BM736" s="15">
        <v>60300.0</v>
      </c>
      <c r="BN736" s="15">
        <v>61270.0</v>
      </c>
      <c r="BO736" s="15">
        <v>67990.0</v>
      </c>
      <c r="BP736" s="15">
        <v>50000.0</v>
      </c>
      <c r="BQ736" s="15">
        <v>30420.0</v>
      </c>
      <c r="BR736" s="15">
        <v>55010.0</v>
      </c>
      <c r="BS736" s="15">
        <v>33050.0</v>
      </c>
      <c r="BT736" s="15">
        <v>31720.0</v>
      </c>
      <c r="BU736" s="15">
        <v>32040.0</v>
      </c>
      <c r="BV736" s="15">
        <v>12630.0</v>
      </c>
      <c r="BW736" s="15">
        <v>555630.0</v>
      </c>
      <c r="BX736" s="15">
        <v>511280.0</v>
      </c>
      <c r="BY736" s="15">
        <v>517110.0</v>
      </c>
      <c r="BZ736" s="15">
        <v>499520.0</v>
      </c>
      <c r="CA736" s="15">
        <v>378880.0</v>
      </c>
      <c r="CB736" s="15">
        <v>113140.0</v>
      </c>
      <c r="CC736" s="15">
        <v>70740.0</v>
      </c>
      <c r="CD736" s="15">
        <v>60340.0</v>
      </c>
      <c r="CE736" s="15">
        <v>44470.0</v>
      </c>
      <c r="CF736" s="15">
        <v>33620.0</v>
      </c>
      <c r="CG736" s="15">
        <v>104500.0</v>
      </c>
      <c r="CH736" s="15">
        <v>104500.0</v>
      </c>
      <c r="CI736" s="15">
        <v>104500.0</v>
      </c>
      <c r="CJ736" s="15">
        <v>105080.0</v>
      </c>
      <c r="CK736" s="15">
        <v>8440.0</v>
      </c>
      <c r="CL736" s="15">
        <v>976010.0</v>
      </c>
      <c r="CM736" s="15">
        <v>889870.0</v>
      </c>
      <c r="CN736" s="15">
        <v>917510.0</v>
      </c>
      <c r="CO736" s="15">
        <v>990600.0</v>
      </c>
      <c r="CP736" s="15">
        <v>505050.0</v>
      </c>
      <c r="CQ736" s="15">
        <v>18770.0</v>
      </c>
      <c r="CR736" s="15">
        <v>15890.0</v>
      </c>
      <c r="CS736" s="15">
        <v>14720.0</v>
      </c>
      <c r="CT736" s="15">
        <v>14040.0</v>
      </c>
      <c r="CU736" s="15">
        <v>5850.0</v>
      </c>
      <c r="CV736" s="15">
        <v>291780.0</v>
      </c>
      <c r="CW736" s="15">
        <v>2550.0</v>
      </c>
      <c r="CX736" s="15">
        <v>0.0</v>
      </c>
      <c r="CY736" s="16">
        <v>0.0</v>
      </c>
      <c r="CZ736" s="16">
        <v>0.0</v>
      </c>
      <c r="DA736" s="15">
        <v>0.0</v>
      </c>
      <c r="DB736" s="15">
        <v>291780.0</v>
      </c>
      <c r="DC736" s="15">
        <v>64440.0</v>
      </c>
      <c r="DD736" s="15">
        <v>60050.0</v>
      </c>
      <c r="DE736" s="15">
        <v>66270.0</v>
      </c>
      <c r="DF736" s="15">
        <v>629410.0</v>
      </c>
      <c r="DG736" s="15">
        <v>523180.0</v>
      </c>
      <c r="DH736" s="15">
        <v>506110.0</v>
      </c>
      <c r="DI736" s="15">
        <v>528070.0</v>
      </c>
      <c r="DJ736" s="15">
        <v>214380.0</v>
      </c>
      <c r="DK736" s="15">
        <v>27120.0</v>
      </c>
      <c r="DL736" s="15">
        <v>18250.0</v>
      </c>
      <c r="DM736" s="15">
        <v>10000.0</v>
      </c>
      <c r="DN736" s="15">
        <v>10000.0</v>
      </c>
      <c r="DO736" s="15">
        <v>9620.0</v>
      </c>
      <c r="DP736" s="15">
        <v>299790.0</v>
      </c>
      <c r="DQ736" s="15">
        <v>447830.0</v>
      </c>
      <c r="DR736" s="15">
        <v>422290.0</v>
      </c>
      <c r="DS736" s="15">
        <v>398490.0</v>
      </c>
      <c r="DT736" s="15">
        <v>171700.0</v>
      </c>
      <c r="DU736" s="16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346600.0</v>
      </c>
      <c r="EA736" s="15">
        <v>366690.0</v>
      </c>
      <c r="EB736" s="15">
        <v>411400.0</v>
      </c>
      <c r="EC736" s="15">
        <v>462520.0</v>
      </c>
      <c r="ED736" s="15">
        <v>290670.0</v>
      </c>
      <c r="EE736" s="17">
        <v>0.05</v>
      </c>
      <c r="EF736" s="17">
        <v>0.174</v>
      </c>
      <c r="EG736" s="17">
        <v>0.107</v>
      </c>
      <c r="EH736" s="17">
        <v>0.107</v>
      </c>
    </row>
    <row r="737">
      <c r="A737" s="9">
        <f t="shared" si="2"/>
        <v>735</v>
      </c>
      <c r="B737" s="25" t="s">
        <v>872</v>
      </c>
      <c r="C737" s="15">
        <v>200860.0</v>
      </c>
      <c r="D737" s="15">
        <v>198830.0</v>
      </c>
      <c r="E737" s="15">
        <v>220080.0</v>
      </c>
      <c r="F737" s="15">
        <v>208270.0</v>
      </c>
      <c r="G737" s="15">
        <v>177920.0</v>
      </c>
      <c r="H737" s="15">
        <v>210950.0</v>
      </c>
      <c r="I737" s="15">
        <v>287180.0</v>
      </c>
      <c r="J737" s="15">
        <v>41690.0</v>
      </c>
      <c r="K737" s="15">
        <v>36600.0</v>
      </c>
      <c r="L737" s="15">
        <v>10330.0</v>
      </c>
      <c r="M737" s="15">
        <v>-31020.0</v>
      </c>
      <c r="N737" s="15">
        <v>-17170.0</v>
      </c>
      <c r="O737" s="15">
        <v>24110.0</v>
      </c>
      <c r="P737" s="15">
        <v>20970.0</v>
      </c>
      <c r="Q737" s="15">
        <v>20600.0</v>
      </c>
      <c r="R737" s="15">
        <v>22640.0</v>
      </c>
      <c r="S737" s="15">
        <v>27490.0</v>
      </c>
      <c r="T737" s="15"/>
      <c r="U737" s="15"/>
      <c r="V737" s="15"/>
      <c r="W737" s="15"/>
      <c r="X737" s="15"/>
      <c r="Y737" s="12"/>
      <c r="Z737" s="12"/>
      <c r="AA737" s="15">
        <v>-266.0</v>
      </c>
      <c r="AB737" s="15">
        <v>-58250.0</v>
      </c>
      <c r="AC737" s="15">
        <v>-326300.0</v>
      </c>
      <c r="AD737" s="15">
        <v>13680.0</v>
      </c>
      <c r="AE737" s="15">
        <v>11890.0</v>
      </c>
      <c r="AF737" s="15">
        <v>-25350.0</v>
      </c>
      <c r="AG737" s="15">
        <v>-68000.0</v>
      </c>
      <c r="AH737" s="15">
        <v>-374800.0</v>
      </c>
      <c r="AI737" s="15">
        <v>53710.0</v>
      </c>
      <c r="AJ737" s="15">
        <v>49520.0</v>
      </c>
      <c r="AK737" s="15">
        <v>24500.0</v>
      </c>
      <c r="AL737" s="15">
        <v>-10970.0</v>
      </c>
      <c r="AM737" s="15">
        <v>43020.0</v>
      </c>
      <c r="AN737" s="15">
        <v>13630.0</v>
      </c>
      <c r="AO737" s="15">
        <v>11780.0</v>
      </c>
      <c r="AP737" s="15">
        <v>-22570.0</v>
      </c>
      <c r="AQ737" s="15">
        <v>-66630.0</v>
      </c>
      <c r="AR737" s="15">
        <v>-524780.0</v>
      </c>
      <c r="AS737" s="15">
        <v>50970.0</v>
      </c>
      <c r="AT737" s="15">
        <v>64030.0</v>
      </c>
      <c r="AU737" s="15">
        <v>16560.0</v>
      </c>
      <c r="AV737" s="15">
        <v>-18270.0</v>
      </c>
      <c r="AW737" s="15">
        <v>22690.0</v>
      </c>
      <c r="AX737" s="15">
        <v>-80710.0</v>
      </c>
      <c r="AY737" s="15">
        <v>-16890.0</v>
      </c>
      <c r="AZ737" s="15">
        <v>-13510.0</v>
      </c>
      <c r="BA737" s="15">
        <v>-17890.0</v>
      </c>
      <c r="BB737" s="15">
        <v>-46020.0</v>
      </c>
      <c r="BC737" s="15"/>
      <c r="BD737" s="15"/>
      <c r="BE737" s="15"/>
      <c r="BF737" s="15"/>
      <c r="BG737" s="15"/>
      <c r="BH737" s="15">
        <v>20750.0</v>
      </c>
      <c r="BI737" s="15">
        <v>33220.0</v>
      </c>
      <c r="BJ737" s="15">
        <v>1070.0</v>
      </c>
      <c r="BK737" s="15">
        <v>4460.0</v>
      </c>
      <c r="BL737" s="15">
        <v>59830.0</v>
      </c>
      <c r="BM737" s="15">
        <v>25000.0</v>
      </c>
      <c r="BN737" s="15">
        <v>25760.0</v>
      </c>
      <c r="BO737" s="15">
        <v>21200.0</v>
      </c>
      <c r="BP737" s="15">
        <v>20030.0</v>
      </c>
      <c r="BQ737" s="15">
        <v>24940.0</v>
      </c>
      <c r="BR737" s="15">
        <v>94220.0</v>
      </c>
      <c r="BS737" s="15">
        <v>82050.0</v>
      </c>
      <c r="BT737" s="15">
        <v>83130.0</v>
      </c>
      <c r="BU737" s="15">
        <v>94360.0</v>
      </c>
      <c r="BV737" s="15">
        <v>106530.0</v>
      </c>
      <c r="BW737" s="15">
        <v>145340.0</v>
      </c>
      <c r="BX737" s="15">
        <v>145360.0</v>
      </c>
      <c r="BY737" s="15">
        <v>111480.0</v>
      </c>
      <c r="BZ737" s="15">
        <v>123740.0</v>
      </c>
      <c r="CA737" s="15">
        <v>195720.0</v>
      </c>
      <c r="CB737" s="15">
        <v>378510.0</v>
      </c>
      <c r="CC737" s="15">
        <v>346210.0</v>
      </c>
      <c r="CD737" s="15">
        <v>364540.0</v>
      </c>
      <c r="CE737" s="15">
        <v>388490.0</v>
      </c>
      <c r="CF737" s="15">
        <v>419480.0</v>
      </c>
      <c r="CG737" s="15"/>
      <c r="CH737" s="15"/>
      <c r="CI737" s="15"/>
      <c r="CJ737" s="15"/>
      <c r="CK737" s="15"/>
      <c r="CL737" s="15">
        <v>578440.0</v>
      </c>
      <c r="CM737" s="15">
        <v>525230.0</v>
      </c>
      <c r="CN737" s="15">
        <v>510590.0</v>
      </c>
      <c r="CO737" s="15">
        <v>540900.0</v>
      </c>
      <c r="CP737" s="15">
        <v>639970.0</v>
      </c>
      <c r="CQ737" s="15">
        <v>9990.0</v>
      </c>
      <c r="CR737" s="15">
        <v>9140.0</v>
      </c>
      <c r="CS737" s="15">
        <v>11130.0</v>
      </c>
      <c r="CT737" s="15">
        <v>10240.0</v>
      </c>
      <c r="CU737" s="15">
        <v>15750.0</v>
      </c>
      <c r="CV737" s="15">
        <v>87450.0</v>
      </c>
      <c r="CW737" s="15">
        <v>22000.0</v>
      </c>
      <c r="CX737" s="15"/>
      <c r="CY737" s="15">
        <v>3900.0</v>
      </c>
      <c r="CZ737" s="15"/>
      <c r="DA737" s="15"/>
      <c r="DB737" s="15">
        <v>87450.0</v>
      </c>
      <c r="DC737" s="15">
        <v>34780.0</v>
      </c>
      <c r="DD737" s="15">
        <v>37490.0</v>
      </c>
      <c r="DE737" s="15">
        <v>24120.0</v>
      </c>
      <c r="DF737" s="15">
        <v>143780.0</v>
      </c>
      <c r="DG737" s="15">
        <v>107970.0</v>
      </c>
      <c r="DH737" s="15">
        <v>108500.0</v>
      </c>
      <c r="DI737" s="15">
        <v>177530.0</v>
      </c>
      <c r="DJ737" s="15">
        <v>213440.0</v>
      </c>
      <c r="DK737" s="15">
        <v>486.0</v>
      </c>
      <c r="DL737" s="15">
        <v>482.0</v>
      </c>
      <c r="DM737" s="15">
        <v>481.0</v>
      </c>
      <c r="DN737" s="15">
        <v>3500.0</v>
      </c>
      <c r="DO737" s="15">
        <v>4300.0</v>
      </c>
      <c r="DP737" s="15">
        <v>33780.0</v>
      </c>
      <c r="DQ737" s="15">
        <v>49640.0</v>
      </c>
      <c r="DR737" s="15">
        <v>49440.0</v>
      </c>
      <c r="DS737" s="15">
        <v>133430.0</v>
      </c>
      <c r="DT737" s="15">
        <v>149490.0</v>
      </c>
      <c r="DU737" s="13"/>
      <c r="DV737" s="12"/>
      <c r="DW737" s="12"/>
      <c r="DX737" s="13"/>
      <c r="DY737" s="13"/>
      <c r="DZ737" s="15">
        <v>434660.0</v>
      </c>
      <c r="EA737" s="15">
        <v>417260.0</v>
      </c>
      <c r="EB737" s="15">
        <v>402090.0</v>
      </c>
      <c r="EC737" s="15">
        <v>363370.0</v>
      </c>
      <c r="ED737" s="15">
        <v>426530.0</v>
      </c>
      <c r="EE737" s="23">
        <v>0.389</v>
      </c>
      <c r="EF737" s="23">
        <v>0.457</v>
      </c>
      <c r="EG737" s="23">
        <v>-2.0</v>
      </c>
      <c r="EH737" s="23">
        <v>-0.75</v>
      </c>
    </row>
    <row r="738">
      <c r="A738" s="9">
        <f t="shared" si="2"/>
        <v>736</v>
      </c>
      <c r="B738" s="25" t="s">
        <v>873</v>
      </c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3"/>
      <c r="BD738" s="13"/>
      <c r="BE738" s="13"/>
      <c r="BF738" s="13"/>
      <c r="BG738" s="13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3"/>
      <c r="CY738" s="13"/>
      <c r="CZ738" s="13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3"/>
      <c r="DV738" s="12"/>
      <c r="DW738" s="12"/>
      <c r="DX738" s="13"/>
      <c r="DY738" s="13"/>
      <c r="DZ738" s="12"/>
      <c r="EA738" s="12"/>
      <c r="EB738" s="12"/>
      <c r="EC738" s="12"/>
      <c r="ED738" s="12"/>
      <c r="EE738" s="17"/>
      <c r="EF738" s="17"/>
      <c r="EG738" s="17"/>
      <c r="EH738" s="17"/>
    </row>
    <row r="739">
      <c r="A739" s="9">
        <f t="shared" si="2"/>
        <v>737</v>
      </c>
      <c r="B739" s="32" t="s">
        <v>874</v>
      </c>
      <c r="C739" s="11">
        <v>1.22E7</v>
      </c>
      <c r="D739" s="11">
        <v>1.101E7</v>
      </c>
      <c r="E739" s="11">
        <v>1.109E7</v>
      </c>
      <c r="F739" s="11">
        <v>1.041E7</v>
      </c>
      <c r="G739" s="11">
        <v>9710000.0</v>
      </c>
      <c r="H739" s="11">
        <v>6900000.0</v>
      </c>
      <c r="I739" s="11">
        <v>5740000.0</v>
      </c>
      <c r="J739" s="11">
        <v>2590000.0</v>
      </c>
      <c r="K739" s="11">
        <v>2530000.0</v>
      </c>
      <c r="L739" s="11">
        <v>2400000.0</v>
      </c>
      <c r="M739" s="11">
        <v>1860000.0</v>
      </c>
      <c r="N739" s="11">
        <v>1610000.0</v>
      </c>
      <c r="O739" s="11">
        <v>1730000.0</v>
      </c>
      <c r="P739" s="11">
        <v>1720000.0</v>
      </c>
      <c r="Q739" s="11">
        <v>1620000.0</v>
      </c>
      <c r="R739" s="11">
        <v>1010000.0</v>
      </c>
      <c r="S739" s="11">
        <v>920990.0</v>
      </c>
      <c r="T739" s="12"/>
      <c r="U739" s="12"/>
      <c r="V739" s="12"/>
      <c r="W739" s="12"/>
      <c r="X739" s="11">
        <v>3340.0</v>
      </c>
      <c r="Y739" s="11">
        <v>762000.0</v>
      </c>
      <c r="Z739" s="11">
        <v>715000.0</v>
      </c>
      <c r="AA739" s="12"/>
      <c r="AB739" s="11">
        <v>631000.0</v>
      </c>
      <c r="AC739" s="11">
        <v>638850.0</v>
      </c>
      <c r="AD739" s="11">
        <v>352000.0</v>
      </c>
      <c r="AE739" s="11">
        <v>328000.0</v>
      </c>
      <c r="AF739" s="11">
        <v>294000.0</v>
      </c>
      <c r="AG739" s="11">
        <v>479000.0</v>
      </c>
      <c r="AH739" s="11">
        <v>539000.0</v>
      </c>
      <c r="AI739" s="11">
        <v>2060000.0</v>
      </c>
      <c r="AJ739" s="11">
        <v>1950000.0</v>
      </c>
      <c r="AK739" s="11">
        <v>1790000.0</v>
      </c>
      <c r="AL739" s="11">
        <v>1140000.0</v>
      </c>
      <c r="AM739" s="11">
        <v>813530.0</v>
      </c>
      <c r="AN739" s="11">
        <v>191000.0</v>
      </c>
      <c r="AO739" s="11">
        <v>259000.0</v>
      </c>
      <c r="AP739" s="11">
        <v>1280000.0</v>
      </c>
      <c r="AQ739" s="11">
        <v>115000.0</v>
      </c>
      <c r="AR739" s="11">
        <v>387210.0</v>
      </c>
      <c r="AS739" s="11">
        <v>1420000.0</v>
      </c>
      <c r="AT739" s="11">
        <v>1250000.0</v>
      </c>
      <c r="AU739" s="11">
        <v>970000.0</v>
      </c>
      <c r="AV739" s="11">
        <v>860000.0</v>
      </c>
      <c r="AW739" s="11">
        <v>475690.0</v>
      </c>
      <c r="AX739" s="12"/>
      <c r="AY739" s="12"/>
      <c r="AZ739" s="12"/>
      <c r="BA739" s="12"/>
      <c r="BB739" s="12"/>
      <c r="BC739" s="13"/>
      <c r="BD739" s="13"/>
      <c r="BE739" s="13"/>
      <c r="BF739" s="13"/>
      <c r="BG739" s="13"/>
      <c r="BH739" s="11">
        <v>899000.0</v>
      </c>
      <c r="BI739" s="11">
        <v>938000.0</v>
      </c>
      <c r="BJ739" s="11">
        <v>1010000.0</v>
      </c>
      <c r="BK739" s="11">
        <v>1240000.0</v>
      </c>
      <c r="BL739" s="11">
        <v>979630.0</v>
      </c>
      <c r="BM739" s="11">
        <v>2640000.0</v>
      </c>
      <c r="BN739" s="11">
        <v>2460000.0</v>
      </c>
      <c r="BO739" s="11">
        <v>2140000.0</v>
      </c>
      <c r="BP739" s="11">
        <v>1740000.0</v>
      </c>
      <c r="BQ739" s="11">
        <v>1200000.0</v>
      </c>
      <c r="BR739" s="12"/>
      <c r="BS739" s="12"/>
      <c r="BT739" s="12"/>
      <c r="BU739" s="12"/>
      <c r="BV739" s="12"/>
      <c r="BW739" s="11">
        <v>4130000.0</v>
      </c>
      <c r="BX739" s="11">
        <v>3870000.0</v>
      </c>
      <c r="BY739" s="11">
        <v>3550000.0</v>
      </c>
      <c r="BZ739" s="11">
        <v>3340000.0</v>
      </c>
      <c r="CA739" s="11">
        <v>2410000.0</v>
      </c>
      <c r="CB739" s="11">
        <v>954000.0</v>
      </c>
      <c r="CC739" s="11">
        <v>434000.0</v>
      </c>
      <c r="CD739" s="11">
        <v>440000.0</v>
      </c>
      <c r="CE739" s="11">
        <v>406000.0</v>
      </c>
      <c r="CF739" s="11">
        <v>188390.0</v>
      </c>
      <c r="CG739" s="11">
        <v>1.216E7</v>
      </c>
      <c r="CH739" s="11">
        <v>1.18E7</v>
      </c>
      <c r="CI739" s="11">
        <v>1.185E7</v>
      </c>
      <c r="CJ739" s="11">
        <v>1.073E7</v>
      </c>
      <c r="CK739" s="11">
        <v>719740.0</v>
      </c>
      <c r="CL739" s="11">
        <v>2.325E7</v>
      </c>
      <c r="CM739" s="11">
        <v>2.255E7</v>
      </c>
      <c r="CN739" s="11">
        <v>2.286E7</v>
      </c>
      <c r="CO739" s="11">
        <v>2.121E7</v>
      </c>
      <c r="CP739" s="11">
        <v>3930000.0</v>
      </c>
      <c r="CQ739" s="11">
        <v>575000.0</v>
      </c>
      <c r="CR739" s="11">
        <v>437000.0</v>
      </c>
      <c r="CS739" s="11">
        <v>322000.0</v>
      </c>
      <c r="CT739" s="11">
        <v>250000.0</v>
      </c>
      <c r="CU739" s="11">
        <v>145480.0</v>
      </c>
      <c r="CV739" s="11">
        <v>3950000.0</v>
      </c>
      <c r="CW739" s="11">
        <v>153000.0</v>
      </c>
      <c r="CX739" s="13"/>
      <c r="CY739" s="13"/>
      <c r="CZ739" s="13"/>
      <c r="DA739" s="12"/>
      <c r="DB739" s="11">
        <v>3950000.0</v>
      </c>
      <c r="DC739" s="11">
        <v>3530000.0</v>
      </c>
      <c r="DD739" s="11">
        <v>3160000.0</v>
      </c>
      <c r="DE739" s="11">
        <v>2710000.0</v>
      </c>
      <c r="DF739" s="11">
        <v>1.699E7</v>
      </c>
      <c r="DG739" s="11">
        <v>1.56E7</v>
      </c>
      <c r="DH739" s="11">
        <v>1.461E7</v>
      </c>
      <c r="DI739" s="11">
        <v>1.235E7</v>
      </c>
      <c r="DJ739" s="11">
        <v>4260000.0</v>
      </c>
      <c r="DK739" s="11">
        <v>152000.0</v>
      </c>
      <c r="DL739" s="11">
        <v>146000.0</v>
      </c>
      <c r="DM739" s="11">
        <v>79000.0</v>
      </c>
      <c r="DN739" s="11">
        <v>83000.0</v>
      </c>
      <c r="DO739" s="11">
        <v>85290.0</v>
      </c>
      <c r="DP739" s="11">
        <v>1.194E7</v>
      </c>
      <c r="DQ739" s="11">
        <v>1.091E7</v>
      </c>
      <c r="DR739" s="11">
        <v>1.012E7</v>
      </c>
      <c r="DS739" s="11">
        <v>7110000.0</v>
      </c>
      <c r="DT739" s="11">
        <v>2420000.0</v>
      </c>
      <c r="DU739" s="13"/>
      <c r="DV739" s="12"/>
      <c r="DW739" s="12"/>
      <c r="DX739" s="12"/>
      <c r="DY739" s="13"/>
      <c r="DZ739" s="11">
        <v>6000000.0</v>
      </c>
      <c r="EA739" s="11">
        <v>6710000.0</v>
      </c>
      <c r="EB739" s="11">
        <v>8000000.0</v>
      </c>
      <c r="EC739" s="11">
        <v>8630000.0</v>
      </c>
      <c r="ED739" s="12"/>
      <c r="EE739" s="14">
        <v>0.036</v>
      </c>
      <c r="EF739" s="14">
        <v>0.105</v>
      </c>
      <c r="EG739" s="14">
        <v>0.113</v>
      </c>
      <c r="EH739" s="14">
        <v>0.04</v>
      </c>
    </row>
    <row r="740">
      <c r="A740" s="9">
        <f t="shared" si="2"/>
        <v>738</v>
      </c>
      <c r="B740" s="32" t="s">
        <v>875</v>
      </c>
      <c r="C740" s="11">
        <v>5570000.0</v>
      </c>
      <c r="D740" s="11">
        <v>5070000.0</v>
      </c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2"/>
      <c r="U740" s="12"/>
      <c r="V740" s="12"/>
      <c r="W740" s="12"/>
      <c r="X740" s="12"/>
      <c r="Y740" s="12"/>
      <c r="Z740" s="12"/>
      <c r="AA740" s="12"/>
      <c r="AB740" s="11"/>
      <c r="AC740" s="11"/>
      <c r="AD740" s="11"/>
      <c r="AE740" s="11"/>
      <c r="AF740" s="11"/>
      <c r="AG740" s="11"/>
      <c r="AH740" s="12"/>
      <c r="AI740" s="11"/>
      <c r="AJ740" s="11"/>
      <c r="AK740" s="11"/>
      <c r="AL740" s="11"/>
      <c r="AM740" s="11"/>
      <c r="AN740" s="11"/>
      <c r="AO740" s="11"/>
      <c r="AP740" s="11"/>
      <c r="AQ740" s="11"/>
      <c r="AR740" s="12"/>
      <c r="AS740" s="11"/>
      <c r="AT740" s="11"/>
      <c r="AU740" s="11"/>
      <c r="AV740" s="11"/>
      <c r="AW740" s="11"/>
      <c r="AX740" s="12"/>
      <c r="AY740" s="12"/>
      <c r="AZ740" s="12"/>
      <c r="BA740" s="12"/>
      <c r="BB740" s="12"/>
      <c r="BC740" s="13"/>
      <c r="BD740" s="13"/>
      <c r="BE740" s="13"/>
      <c r="BF740" s="13"/>
      <c r="BG740" s="13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2"/>
      <c r="BS740" s="12"/>
      <c r="BT740" s="12"/>
      <c r="BU740" s="12"/>
      <c r="BV740" s="12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3"/>
      <c r="CY740" s="13"/>
      <c r="CZ740" s="13"/>
      <c r="DA740" s="12"/>
      <c r="DB740" s="11"/>
      <c r="DC740" s="11"/>
      <c r="DD740" s="11"/>
      <c r="DE740" s="11"/>
      <c r="DF740" s="11"/>
      <c r="DG740" s="11"/>
      <c r="DH740" s="11"/>
      <c r="DI740" s="11"/>
      <c r="DJ740" s="11"/>
      <c r="DK740" s="12"/>
      <c r="DL740" s="12"/>
      <c r="DM740" s="12"/>
      <c r="DN740" s="12"/>
      <c r="DO740" s="12"/>
      <c r="DP740" s="11"/>
      <c r="DQ740" s="11"/>
      <c r="DR740" s="11"/>
      <c r="DS740" s="11"/>
      <c r="DT740" s="11"/>
      <c r="DU740" s="13"/>
      <c r="DV740" s="12"/>
      <c r="DW740" s="12"/>
      <c r="DX740" s="13"/>
      <c r="DY740" s="13"/>
      <c r="DZ740" s="11"/>
      <c r="EA740" s="11"/>
      <c r="EB740" s="11"/>
      <c r="EC740" s="11"/>
      <c r="ED740" s="11"/>
      <c r="EE740" s="14">
        <v>0.071</v>
      </c>
      <c r="EF740" s="14">
        <v>0.045</v>
      </c>
      <c r="EG740" s="14">
        <v>-0.107</v>
      </c>
      <c r="EH740" s="14">
        <v>0.041</v>
      </c>
    </row>
    <row r="741">
      <c r="A741" s="9">
        <f t="shared" si="2"/>
        <v>739</v>
      </c>
      <c r="B741" s="10" t="s">
        <v>876</v>
      </c>
      <c r="C741" s="11">
        <v>1330000.0</v>
      </c>
      <c r="D741" s="11">
        <v>1230000.0</v>
      </c>
      <c r="E741" s="11">
        <v>1210000.0</v>
      </c>
      <c r="F741" s="11">
        <v>1090000.0</v>
      </c>
      <c r="G741" s="11">
        <v>883590.0</v>
      </c>
      <c r="H741" s="11">
        <v>660600.0</v>
      </c>
      <c r="I741" s="11">
        <v>616780.0</v>
      </c>
      <c r="J741" s="11">
        <v>540990.0</v>
      </c>
      <c r="K741" s="11">
        <v>553800.0</v>
      </c>
      <c r="L741" s="11">
        <v>432460.0</v>
      </c>
      <c r="M741" s="11">
        <v>319320.0</v>
      </c>
      <c r="N741" s="11">
        <v>288930.0</v>
      </c>
      <c r="O741" s="11">
        <v>456260.0</v>
      </c>
      <c r="P741" s="11">
        <v>448540.0</v>
      </c>
      <c r="Q741" s="11">
        <v>360030.0</v>
      </c>
      <c r="R741" s="11">
        <v>259900.0</v>
      </c>
      <c r="S741" s="11">
        <v>228310.0</v>
      </c>
      <c r="T741" s="11">
        <v>141610.0</v>
      </c>
      <c r="U741" s="11">
        <v>140630.0</v>
      </c>
      <c r="V741" s="11">
        <v>113150.0</v>
      </c>
      <c r="W741" s="11">
        <v>79810.0</v>
      </c>
      <c r="X741" s="11">
        <v>76070.0</v>
      </c>
      <c r="Y741" s="11">
        <v>84820.0</v>
      </c>
      <c r="Z741" s="11">
        <v>106830.0</v>
      </c>
      <c r="AA741" s="11">
        <v>74180.0</v>
      </c>
      <c r="AB741" s="11">
        <v>58690.0</v>
      </c>
      <c r="AC741" s="11">
        <v>60250.0</v>
      </c>
      <c r="AD741" s="11">
        <v>98830.0</v>
      </c>
      <c r="AE741" s="11">
        <v>108620.0</v>
      </c>
      <c r="AF741" s="11">
        <v>76370.0</v>
      </c>
      <c r="AG741" s="11">
        <v>61360.0</v>
      </c>
      <c r="AH741" s="11">
        <v>62970.0</v>
      </c>
      <c r="AI741" s="11">
        <v>121890.0</v>
      </c>
      <c r="AJ741" s="11">
        <v>141830.0</v>
      </c>
      <c r="AK741" s="11">
        <v>97930.0</v>
      </c>
      <c r="AL741" s="11">
        <v>73020.0</v>
      </c>
      <c r="AM741" s="11">
        <v>75520.0</v>
      </c>
      <c r="AN741" s="11">
        <v>85300.0</v>
      </c>
      <c r="AO741" s="11">
        <v>87990.0</v>
      </c>
      <c r="AP741" s="11">
        <v>50960.0</v>
      </c>
      <c r="AQ741" s="11">
        <v>41940.0</v>
      </c>
      <c r="AR741" s="11">
        <v>44130.0</v>
      </c>
      <c r="AS741" s="11">
        <v>130050.0</v>
      </c>
      <c r="AT741" s="11">
        <v>71690.0</v>
      </c>
      <c r="AU741" s="11">
        <v>76320.0</v>
      </c>
      <c r="AV741" s="11">
        <v>116420.0</v>
      </c>
      <c r="AW741" s="11">
        <v>26710.0</v>
      </c>
      <c r="AX741" s="11">
        <v>-40770.0</v>
      </c>
      <c r="AY741" s="11">
        <v>-34790.0</v>
      </c>
      <c r="AZ741" s="11">
        <v>-24910.0</v>
      </c>
      <c r="BA741" s="11">
        <v>-12910.0</v>
      </c>
      <c r="BB741" s="11">
        <v>-9370.0</v>
      </c>
      <c r="BC741" s="13"/>
      <c r="BD741" s="13"/>
      <c r="BE741" s="13"/>
      <c r="BF741" s="13"/>
      <c r="BG741" s="13"/>
      <c r="BH741" s="11">
        <v>256420.0</v>
      </c>
      <c r="BI741" s="11">
        <v>161980.0</v>
      </c>
      <c r="BJ741" s="11">
        <v>165860.0</v>
      </c>
      <c r="BK741" s="11">
        <v>254450.0</v>
      </c>
      <c r="BL741" s="11">
        <v>213040.0</v>
      </c>
      <c r="BM741" s="11">
        <v>146160.0</v>
      </c>
      <c r="BN741" s="11">
        <v>162170.0</v>
      </c>
      <c r="BO741" s="11">
        <v>142830.0</v>
      </c>
      <c r="BP741" s="11">
        <v>73050.0</v>
      </c>
      <c r="BQ741" s="11">
        <v>105130.0</v>
      </c>
      <c r="BR741" s="11">
        <v>157350.0</v>
      </c>
      <c r="BS741" s="11">
        <v>164630.0</v>
      </c>
      <c r="BT741" s="11">
        <v>106930.0</v>
      </c>
      <c r="BU741" s="11">
        <v>50580.0</v>
      </c>
      <c r="BV741" s="11">
        <v>61680.0</v>
      </c>
      <c r="BW741" s="11">
        <v>594220.0</v>
      </c>
      <c r="BX741" s="11">
        <v>514440.0</v>
      </c>
      <c r="BY741" s="11">
        <v>434730.0</v>
      </c>
      <c r="BZ741" s="11">
        <v>383670.0</v>
      </c>
      <c r="CA741" s="11">
        <v>389350.0</v>
      </c>
      <c r="CB741" s="11">
        <v>123470.0</v>
      </c>
      <c r="CC741" s="11">
        <v>57030.0</v>
      </c>
      <c r="CD741" s="11">
        <v>44580.0</v>
      </c>
      <c r="CE741" s="11">
        <v>27530.0</v>
      </c>
      <c r="CF741" s="11">
        <v>26850.0</v>
      </c>
      <c r="CG741" s="11">
        <v>118730.0</v>
      </c>
      <c r="CH741" s="11">
        <v>118900.0</v>
      </c>
      <c r="CI741" s="11">
        <v>121440.0</v>
      </c>
      <c r="CJ741" s="11">
        <v>41040.0</v>
      </c>
      <c r="CK741" s="11">
        <v>48750.0</v>
      </c>
      <c r="CL741" s="11">
        <v>920750.0</v>
      </c>
      <c r="CM741" s="11">
        <v>766960.0</v>
      </c>
      <c r="CN741" s="11">
        <v>691520.0</v>
      </c>
      <c r="CO741" s="11">
        <v>507910.0</v>
      </c>
      <c r="CP741" s="11">
        <v>521740.0</v>
      </c>
      <c r="CQ741" s="11">
        <v>116190.0</v>
      </c>
      <c r="CR741" s="11">
        <v>136740.0</v>
      </c>
      <c r="CS741" s="11">
        <v>116320.0</v>
      </c>
      <c r="CT741" s="11">
        <v>67280.0</v>
      </c>
      <c r="CU741" s="11">
        <v>61660.0</v>
      </c>
      <c r="CV741" s="11">
        <v>202500.0</v>
      </c>
      <c r="CW741" s="11">
        <v>6840.0</v>
      </c>
      <c r="CX741" s="12"/>
      <c r="CY741" s="12"/>
      <c r="CZ741" s="12"/>
      <c r="DA741" s="13"/>
      <c r="DB741" s="11">
        <v>202500.0</v>
      </c>
      <c r="DC741" s="11">
        <v>213760.0</v>
      </c>
      <c r="DD741" s="11">
        <v>197720.0</v>
      </c>
      <c r="DE741" s="11">
        <v>112640.0</v>
      </c>
      <c r="DF741" s="11">
        <v>268680.0</v>
      </c>
      <c r="DG741" s="11">
        <v>231640.0</v>
      </c>
      <c r="DH741" s="11">
        <v>221200.0</v>
      </c>
      <c r="DI741" s="11">
        <v>118960.0</v>
      </c>
      <c r="DJ741" s="11">
        <v>104330.0</v>
      </c>
      <c r="DK741" s="11">
        <v>30110.0</v>
      </c>
      <c r="DL741" s="11">
        <v>15270.0</v>
      </c>
      <c r="DM741" s="11">
        <v>14200.0</v>
      </c>
      <c r="DN741" s="11">
        <v>12380.0</v>
      </c>
      <c r="DO741" s="11">
        <v>9410.0</v>
      </c>
      <c r="DP741" s="11">
        <v>54930.0</v>
      </c>
      <c r="DQ741" s="12"/>
      <c r="DR741" s="12"/>
      <c r="DS741" s="11"/>
      <c r="DT741" s="11"/>
      <c r="DU741" s="13"/>
      <c r="DV741" s="13"/>
      <c r="DW741" s="13"/>
      <c r="DX741" s="13"/>
      <c r="DY741" s="13"/>
      <c r="DZ741" s="11">
        <v>652070.0</v>
      </c>
      <c r="EA741" s="11">
        <v>535320.0</v>
      </c>
      <c r="EB741" s="11">
        <v>470330.0</v>
      </c>
      <c r="EC741" s="11">
        <v>388960.0</v>
      </c>
      <c r="ED741" s="11">
        <v>417410.0</v>
      </c>
      <c r="EE741" s="14">
        <v>0.016</v>
      </c>
      <c r="EF741" s="14">
        <v>0.075</v>
      </c>
      <c r="EG741" s="14">
        <v>2.655</v>
      </c>
      <c r="EH741" s="14">
        <v>1.277</v>
      </c>
    </row>
    <row r="742">
      <c r="A742" s="9">
        <f t="shared" si="2"/>
        <v>740</v>
      </c>
      <c r="B742" s="22" t="s">
        <v>877</v>
      </c>
      <c r="C742" s="11">
        <v>407790.0</v>
      </c>
      <c r="D742" s="11">
        <v>372780.0</v>
      </c>
      <c r="E742" s="11">
        <v>428410.0</v>
      </c>
      <c r="F742" s="11">
        <v>346640.0</v>
      </c>
      <c r="G742" s="11">
        <v>298280.0</v>
      </c>
      <c r="H742" s="11">
        <v>273960.0</v>
      </c>
      <c r="I742" s="11">
        <v>149560.0</v>
      </c>
      <c r="J742" s="11">
        <v>398960.0</v>
      </c>
      <c r="K742" s="11">
        <v>301920.0</v>
      </c>
      <c r="L742" s="11">
        <v>272970.0</v>
      </c>
      <c r="M742" s="11">
        <v>260830.0</v>
      </c>
      <c r="N742" s="11">
        <v>137910.0</v>
      </c>
      <c r="O742" s="11">
        <v>281910.0</v>
      </c>
      <c r="P742" s="11">
        <v>316880.0</v>
      </c>
      <c r="Q742" s="11">
        <v>380750.0</v>
      </c>
      <c r="R742" s="11">
        <v>302490.0</v>
      </c>
      <c r="S742" s="11">
        <v>222360.0</v>
      </c>
      <c r="T742" s="11">
        <v>109460.0</v>
      </c>
      <c r="U742" s="11">
        <v>97200.0</v>
      </c>
      <c r="V742" s="11">
        <v>148230.0</v>
      </c>
      <c r="W742" s="11">
        <v>129210.0</v>
      </c>
      <c r="X742" s="11">
        <v>108750.0</v>
      </c>
      <c r="Y742" s="11">
        <v>92170.0</v>
      </c>
      <c r="Z742" s="11">
        <v>-144450.0</v>
      </c>
      <c r="AA742" s="11">
        <v>-82080.0</v>
      </c>
      <c r="AB742" s="11">
        <v>-43720.0</v>
      </c>
      <c r="AC742" s="11">
        <v>-112020.0</v>
      </c>
      <c r="AD742" s="11">
        <v>58940.0</v>
      </c>
      <c r="AE742" s="11">
        <v>-194150.0</v>
      </c>
      <c r="AF742" s="11">
        <v>-116940.0</v>
      </c>
      <c r="AG742" s="11">
        <v>-81710.0</v>
      </c>
      <c r="AH742" s="11">
        <v>-142670.0</v>
      </c>
      <c r="AI742" s="11">
        <v>122620.0</v>
      </c>
      <c r="AJ742" s="11">
        <v>-2990.0</v>
      </c>
      <c r="AK742" s="11">
        <v>-93480.0</v>
      </c>
      <c r="AL742" s="11">
        <v>-30780.0</v>
      </c>
      <c r="AM742" s="11">
        <v>-90460.0</v>
      </c>
      <c r="AN742" s="11">
        <v>58940.0</v>
      </c>
      <c r="AO742" s="11">
        <v>-194150.0</v>
      </c>
      <c r="AP742" s="11">
        <v>-116940.0</v>
      </c>
      <c r="AQ742" s="11">
        <v>-81710.0</v>
      </c>
      <c r="AR742" s="11">
        <v>-142670.0</v>
      </c>
      <c r="AS742" s="11">
        <v>22770.0</v>
      </c>
      <c r="AT742" s="11">
        <v>-70880.0</v>
      </c>
      <c r="AU742" s="11">
        <v>-99560.0</v>
      </c>
      <c r="AV742" s="11">
        <v>-25680.0</v>
      </c>
      <c r="AW742" s="11">
        <v>-106330.0</v>
      </c>
      <c r="AX742" s="11">
        <v>-7190.0</v>
      </c>
      <c r="AY742" s="11">
        <v>-351.0</v>
      </c>
      <c r="AZ742" s="11">
        <v>-4210.0</v>
      </c>
      <c r="BA742" s="11">
        <v>-104210.0</v>
      </c>
      <c r="BB742" s="11">
        <v>-4050.0</v>
      </c>
      <c r="BC742" s="12"/>
      <c r="BD742" s="12"/>
      <c r="BE742" s="12"/>
      <c r="BF742" s="12"/>
      <c r="BG742" s="12"/>
      <c r="BH742" s="11">
        <v>178270.0</v>
      </c>
      <c r="BI742" s="11">
        <v>174420.0</v>
      </c>
      <c r="BJ742" s="11">
        <v>221420.0</v>
      </c>
      <c r="BK742" s="11">
        <v>305220.0</v>
      </c>
      <c r="BL742" s="11">
        <v>439390.0</v>
      </c>
      <c r="BM742" s="11">
        <v>117250.0</v>
      </c>
      <c r="BN742" s="11">
        <v>80950.0</v>
      </c>
      <c r="BO742" s="11">
        <v>82160.0</v>
      </c>
      <c r="BP742" s="11">
        <v>64850.0</v>
      </c>
      <c r="BQ742" s="11">
        <v>54520.0</v>
      </c>
      <c r="BR742" s="11">
        <v>648.0</v>
      </c>
      <c r="BS742" s="12"/>
      <c r="BT742" s="11">
        <v>735.0</v>
      </c>
      <c r="BU742" s="11">
        <v>1080.0</v>
      </c>
      <c r="BV742" s="12"/>
      <c r="BW742" s="11">
        <v>306850.0</v>
      </c>
      <c r="BX742" s="11">
        <v>266440.0</v>
      </c>
      <c r="BY742" s="11">
        <v>311600.0</v>
      </c>
      <c r="BZ742" s="11">
        <v>380180.0</v>
      </c>
      <c r="CA742" s="11">
        <v>500210.0</v>
      </c>
      <c r="CB742" s="11">
        <v>30170.0</v>
      </c>
      <c r="CC742" s="11">
        <v>7650.0</v>
      </c>
      <c r="CD742" s="11">
        <v>17270.0</v>
      </c>
      <c r="CE742" s="11">
        <v>20510.0</v>
      </c>
      <c r="CF742" s="11">
        <v>21080.0</v>
      </c>
      <c r="CG742" s="11">
        <v>785.0</v>
      </c>
      <c r="CH742" s="11">
        <v>785.0</v>
      </c>
      <c r="CI742" s="11">
        <v>785.0</v>
      </c>
      <c r="CJ742" s="11">
        <v>785.0</v>
      </c>
      <c r="CK742" s="12"/>
      <c r="CL742" s="11">
        <v>402750.0</v>
      </c>
      <c r="CM742" s="11">
        <v>332050.0</v>
      </c>
      <c r="CN742" s="11">
        <v>605670.0</v>
      </c>
      <c r="CO742" s="11">
        <v>709820.0</v>
      </c>
      <c r="CP742" s="11">
        <v>619120.0</v>
      </c>
      <c r="CQ742" s="11">
        <v>5490.0</v>
      </c>
      <c r="CR742" s="11">
        <v>14890.0</v>
      </c>
      <c r="CS742" s="11">
        <v>15960.0</v>
      </c>
      <c r="CT742" s="11">
        <v>17700.0</v>
      </c>
      <c r="CU742" s="11">
        <v>8590.0</v>
      </c>
      <c r="CV742" s="11">
        <v>40930.0</v>
      </c>
      <c r="CW742" s="11">
        <v>1150.0</v>
      </c>
      <c r="CX742" s="12"/>
      <c r="CY742" s="12"/>
      <c r="CZ742" s="12"/>
      <c r="DA742" s="12"/>
      <c r="DB742" s="11">
        <v>40930.0</v>
      </c>
      <c r="DC742" s="11">
        <v>119520.0</v>
      </c>
      <c r="DD742" s="11">
        <v>66030.0</v>
      </c>
      <c r="DE742" s="11">
        <v>91130.0</v>
      </c>
      <c r="DF742" s="11">
        <v>496000.0</v>
      </c>
      <c r="DG742" s="11">
        <v>528420.0</v>
      </c>
      <c r="DH742" s="11">
        <v>595830.0</v>
      </c>
      <c r="DI742" s="11">
        <v>643110.0</v>
      </c>
      <c r="DJ742" s="11">
        <v>524000.0</v>
      </c>
      <c r="DK742" s="11">
        <v>32340.0</v>
      </c>
      <c r="DL742" s="11">
        <v>47450.0</v>
      </c>
      <c r="DM742" s="11">
        <v>115240.0</v>
      </c>
      <c r="DN742" s="11">
        <v>140770.0</v>
      </c>
      <c r="DO742" s="11">
        <v>95210.0</v>
      </c>
      <c r="DP742" s="11">
        <v>430080.0</v>
      </c>
      <c r="DQ742" s="11">
        <v>366300.0</v>
      </c>
      <c r="DR742" s="11">
        <v>396090.0</v>
      </c>
      <c r="DS742" s="11">
        <v>366570.0</v>
      </c>
      <c r="DT742" s="11">
        <v>353890.0</v>
      </c>
      <c r="DU742" s="13"/>
      <c r="DV742" s="12"/>
      <c r="DW742" s="12"/>
      <c r="DX742" s="13"/>
      <c r="DY742" s="13"/>
      <c r="DZ742" s="11">
        <v>-93250.0</v>
      </c>
      <c r="EA742" s="11">
        <v>-196370.0</v>
      </c>
      <c r="EB742" s="11">
        <v>9850.0</v>
      </c>
      <c r="EC742" s="11">
        <v>66720.0</v>
      </c>
      <c r="ED742" s="11">
        <v>95130.0</v>
      </c>
      <c r="EE742" s="14">
        <v>0.031</v>
      </c>
      <c r="EF742" s="14">
        <v>0.072</v>
      </c>
      <c r="EG742" s="14">
        <v>0.778</v>
      </c>
      <c r="EH742" s="14">
        <v>0.866</v>
      </c>
    </row>
    <row r="743">
      <c r="A743" s="9">
        <f t="shared" si="2"/>
        <v>741</v>
      </c>
      <c r="B743" s="10" t="s">
        <v>878</v>
      </c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3"/>
      <c r="BD743" s="12"/>
      <c r="BE743" s="13"/>
      <c r="BF743" s="13"/>
      <c r="BG743" s="13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3"/>
      <c r="CY743" s="13"/>
      <c r="CZ743" s="13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23"/>
      <c r="EF743" s="23"/>
      <c r="EG743" s="23"/>
      <c r="EH743" s="23"/>
    </row>
    <row r="744">
      <c r="A744" s="9">
        <f t="shared" si="2"/>
        <v>742</v>
      </c>
      <c r="B744" s="10" t="s">
        <v>879</v>
      </c>
      <c r="C744" s="11">
        <v>4970000.0</v>
      </c>
      <c r="D744" s="11">
        <v>4160000.0</v>
      </c>
      <c r="E744" s="11">
        <v>4480000.0</v>
      </c>
      <c r="F744" s="11">
        <v>3720000.0</v>
      </c>
      <c r="G744" s="11">
        <v>3140000.0</v>
      </c>
      <c r="H744" s="11">
        <v>2700000.0</v>
      </c>
      <c r="I744" s="11">
        <v>2380000.0</v>
      </c>
      <c r="J744" s="11">
        <v>3100000.0</v>
      </c>
      <c r="K744" s="11">
        <v>2600000.0</v>
      </c>
      <c r="L744" s="11">
        <v>2190000.0</v>
      </c>
      <c r="M744" s="11">
        <v>1880000.0</v>
      </c>
      <c r="N744" s="11">
        <v>1560000.0</v>
      </c>
      <c r="O744" s="11">
        <v>1720000.0</v>
      </c>
      <c r="P744" s="11">
        <v>1350000.0</v>
      </c>
      <c r="Q744" s="11">
        <v>1110000.0</v>
      </c>
      <c r="R744" s="11">
        <v>922400.0</v>
      </c>
      <c r="S744" s="11">
        <v>813000.0</v>
      </c>
      <c r="T744" s="11">
        <v>551500.0</v>
      </c>
      <c r="U744" s="11">
        <v>412300.0</v>
      </c>
      <c r="V744" s="11">
        <v>321100.0</v>
      </c>
      <c r="W744" s="11">
        <v>229200.0</v>
      </c>
      <c r="X744" s="11">
        <v>185700.0</v>
      </c>
      <c r="Y744" s="11">
        <v>1380000.0</v>
      </c>
      <c r="Z744" s="11">
        <v>1210000.0</v>
      </c>
      <c r="AA744" s="11">
        <v>-34500.0</v>
      </c>
      <c r="AB744" s="11">
        <v>945100.0</v>
      </c>
      <c r="AC744" s="11">
        <v>731900.0</v>
      </c>
      <c r="AD744" s="11">
        <v>1500000.0</v>
      </c>
      <c r="AE744" s="11">
        <v>1280000.0</v>
      </c>
      <c r="AF744" s="11">
        <v>1100000.0</v>
      </c>
      <c r="AG744" s="11">
        <v>980800.0</v>
      </c>
      <c r="AH744" s="11">
        <v>758500.0</v>
      </c>
      <c r="AI744" s="11">
        <v>1570000.0</v>
      </c>
      <c r="AJ744" s="11">
        <v>1360000.0</v>
      </c>
      <c r="AK744" s="11">
        <v>1180000.0</v>
      </c>
      <c r="AL744" s="11">
        <v>1050000.0</v>
      </c>
      <c r="AM744" s="11">
        <v>831500.0</v>
      </c>
      <c r="AN744" s="11">
        <v>1380000.0</v>
      </c>
      <c r="AO744" s="11">
        <v>1130000.0</v>
      </c>
      <c r="AP744" s="11">
        <v>670900.0</v>
      </c>
      <c r="AQ744" s="11">
        <v>735900.0</v>
      </c>
      <c r="AR744" s="11">
        <v>588800.0</v>
      </c>
      <c r="AS744" s="11">
        <v>1600000.0</v>
      </c>
      <c r="AT744" s="11">
        <v>1170000.0</v>
      </c>
      <c r="AU744" s="11">
        <v>1140000.0</v>
      </c>
      <c r="AV744" s="11">
        <v>1040000.0</v>
      </c>
      <c r="AW744" s="11">
        <v>771900.0</v>
      </c>
      <c r="AX744" s="11">
        <v>-425600.0</v>
      </c>
      <c r="AY744" s="11">
        <v>-187400.0</v>
      </c>
      <c r="AZ744" s="11">
        <v>-190700.0</v>
      </c>
      <c r="BA744" s="11">
        <v>-53900.0</v>
      </c>
      <c r="BB744" s="11">
        <v>-81000.0</v>
      </c>
      <c r="BC744" s="12"/>
      <c r="BD744" s="12"/>
      <c r="BE744" s="12"/>
      <c r="BF744" s="12"/>
      <c r="BG744" s="12"/>
      <c r="BH744" s="11">
        <v>3220000.0</v>
      </c>
      <c r="BI744" s="11">
        <v>3140000.0</v>
      </c>
      <c r="BJ744" s="11">
        <v>1960000.0</v>
      </c>
      <c r="BK744" s="11">
        <v>2550000.0</v>
      </c>
      <c r="BL744" s="11">
        <v>1560000.0</v>
      </c>
      <c r="BM744" s="11">
        <v>645200.0</v>
      </c>
      <c r="BN744" s="11">
        <v>733500.0</v>
      </c>
      <c r="BO744" s="11">
        <v>549800.0</v>
      </c>
      <c r="BP744" s="11">
        <v>460000.0</v>
      </c>
      <c r="BQ744" s="11">
        <v>410400.0</v>
      </c>
      <c r="BR744" s="11">
        <v>595500.0</v>
      </c>
      <c r="BS744" s="11">
        <v>409000.0</v>
      </c>
      <c r="BT744" s="11">
        <v>241200.0</v>
      </c>
      <c r="BU744" s="11">
        <v>182300.0</v>
      </c>
      <c r="BV744" s="11">
        <v>167900.0</v>
      </c>
      <c r="BW744" s="11">
        <v>4660000.0</v>
      </c>
      <c r="BX744" s="11">
        <v>4330000.0</v>
      </c>
      <c r="BY744" s="11">
        <v>2810000.0</v>
      </c>
      <c r="BZ744" s="11">
        <v>3250000.0</v>
      </c>
      <c r="CA744" s="11">
        <v>2200000.0</v>
      </c>
      <c r="CB744" s="11">
        <v>1350000.0</v>
      </c>
      <c r="CC744" s="11">
        <v>812000.0</v>
      </c>
      <c r="CD744" s="11">
        <v>613100.0</v>
      </c>
      <c r="CE744" s="11">
        <v>458400.0</v>
      </c>
      <c r="CF744" s="11">
        <v>432100.0</v>
      </c>
      <c r="CG744" s="11">
        <v>307200.0</v>
      </c>
      <c r="CH744" s="11">
        <v>240600.0</v>
      </c>
      <c r="CI744" s="11">
        <v>201100.0</v>
      </c>
      <c r="CJ744" s="11">
        <v>201100.0</v>
      </c>
      <c r="CK744" s="11">
        <v>201100.0</v>
      </c>
      <c r="CL744" s="11">
        <v>9730000.0</v>
      </c>
      <c r="CM744" s="11">
        <v>7850000.0</v>
      </c>
      <c r="CN744" s="11">
        <v>5780000.0</v>
      </c>
      <c r="CO744" s="11">
        <v>6490000.0</v>
      </c>
      <c r="CP744" s="11">
        <v>4910000.0</v>
      </c>
      <c r="CQ744" s="11">
        <v>123500.0</v>
      </c>
      <c r="CR744" s="11">
        <v>100700.0</v>
      </c>
      <c r="CS744" s="11">
        <v>82500.0</v>
      </c>
      <c r="CT744" s="11">
        <v>68500.0</v>
      </c>
      <c r="CU744" s="11">
        <v>52600.0</v>
      </c>
      <c r="CV744" s="11">
        <v>1030000.0</v>
      </c>
      <c r="CW744" s="11">
        <v>7700.0</v>
      </c>
      <c r="CX744" s="13"/>
      <c r="CY744" s="13"/>
      <c r="CZ744" s="13"/>
      <c r="DA744" s="13"/>
      <c r="DB744" s="11">
        <v>1030000.0</v>
      </c>
      <c r="DC744" s="11">
        <v>820600.0</v>
      </c>
      <c r="DD744" s="11">
        <v>662800.0</v>
      </c>
      <c r="DE744" s="11">
        <v>596500.0</v>
      </c>
      <c r="DF744" s="11">
        <v>1450000.0</v>
      </c>
      <c r="DG744" s="11">
        <v>1160000.0</v>
      </c>
      <c r="DH744" s="11">
        <v>996400.0</v>
      </c>
      <c r="DI744" s="11">
        <v>709100.0</v>
      </c>
      <c r="DJ744" s="11">
        <v>587800.0</v>
      </c>
      <c r="DK744" s="11">
        <v>2620000.0</v>
      </c>
      <c r="DL744" s="11">
        <v>1790000.0</v>
      </c>
      <c r="DM744" s="11">
        <v>1890000.0</v>
      </c>
      <c r="DN744" s="11">
        <v>2280000.0</v>
      </c>
      <c r="DO744" s="11">
        <v>1790000.0</v>
      </c>
      <c r="DP744" s="11">
        <v>68700.0</v>
      </c>
      <c r="DQ744" s="11"/>
      <c r="DR744" s="11"/>
      <c r="DS744" s="11"/>
      <c r="DT744" s="11"/>
      <c r="DU744" s="12"/>
      <c r="DV744" s="12"/>
      <c r="DW744" s="12"/>
      <c r="DX744" s="13"/>
      <c r="DY744" s="13"/>
      <c r="DZ744" s="11">
        <v>8260000.0</v>
      </c>
      <c r="EA744" s="11">
        <v>6680000.0</v>
      </c>
      <c r="EB744" s="11">
        <v>4780000.0</v>
      </c>
      <c r="EC744" s="11">
        <v>5780000.0</v>
      </c>
      <c r="ED744" s="11">
        <v>4320000.0</v>
      </c>
      <c r="EE744" s="14">
        <v>0.106</v>
      </c>
      <c r="EF744" s="14">
        <v>0.135</v>
      </c>
      <c r="EG744" s="14">
        <v>0.982</v>
      </c>
      <c r="EH744" s="14">
        <v>0.305</v>
      </c>
    </row>
    <row r="745">
      <c r="A745" s="9">
        <f t="shared" si="2"/>
        <v>743</v>
      </c>
      <c r="B745" s="22" t="s">
        <v>880</v>
      </c>
      <c r="C745" s="11">
        <v>119610.0</v>
      </c>
      <c r="D745" s="11">
        <v>21260.0</v>
      </c>
      <c r="E745" s="11">
        <v>61.0</v>
      </c>
      <c r="F745" s="12"/>
      <c r="G745" s="11">
        <v>246.0</v>
      </c>
      <c r="H745" s="11">
        <v>331.0</v>
      </c>
      <c r="I745" s="11">
        <v>91.0</v>
      </c>
      <c r="J745" s="12"/>
      <c r="K745" s="11">
        <v>-369.0</v>
      </c>
      <c r="L745" s="12"/>
      <c r="M745" s="12"/>
      <c r="N745" s="12"/>
      <c r="O745" s="11">
        <v>153600.0</v>
      </c>
      <c r="P745" s="11">
        <v>161900.0</v>
      </c>
      <c r="Q745" s="11">
        <v>102870.0</v>
      </c>
      <c r="R745" s="11">
        <v>118390.0</v>
      </c>
      <c r="S745" s="11">
        <v>105770.0</v>
      </c>
      <c r="T745" s="11">
        <v>89120.0</v>
      </c>
      <c r="U745" s="11">
        <v>132170.0</v>
      </c>
      <c r="V745" s="11">
        <v>79420.0</v>
      </c>
      <c r="W745" s="11">
        <v>93830.0</v>
      </c>
      <c r="X745" s="11">
        <v>87720.0</v>
      </c>
      <c r="Y745" s="12"/>
      <c r="Z745" s="12"/>
      <c r="AA745" s="12"/>
      <c r="AB745" s="12"/>
      <c r="AC745" s="12"/>
      <c r="AD745" s="11">
        <v>-147720.0</v>
      </c>
      <c r="AE745" s="11">
        <v>-155130.0</v>
      </c>
      <c r="AF745" s="11">
        <v>-98830.0</v>
      </c>
      <c r="AG745" s="11">
        <v>-115360.0</v>
      </c>
      <c r="AH745" s="11">
        <v>-104790.0</v>
      </c>
      <c r="AI745" s="11">
        <v>-153530.0</v>
      </c>
      <c r="AJ745" s="11">
        <v>-161900.0</v>
      </c>
      <c r="AK745" s="11">
        <v>-102630.0</v>
      </c>
      <c r="AL745" s="11">
        <v>-118060.0</v>
      </c>
      <c r="AM745" s="11">
        <v>-105670.0</v>
      </c>
      <c r="AN745" s="11">
        <v>-147720.0</v>
      </c>
      <c r="AO745" s="11">
        <v>-155130.0</v>
      </c>
      <c r="AP745" s="11">
        <v>-97770.0</v>
      </c>
      <c r="AQ745" s="11">
        <v>-116430.0</v>
      </c>
      <c r="AR745" s="11">
        <v>-104790.0</v>
      </c>
      <c r="AS745" s="11">
        <v>-128870.0</v>
      </c>
      <c r="AT745" s="11">
        <v>-118170.0</v>
      </c>
      <c r="AU745" s="11">
        <v>-80490.0</v>
      </c>
      <c r="AV745" s="11">
        <v>-91260.0</v>
      </c>
      <c r="AW745" s="11">
        <v>-102280.0</v>
      </c>
      <c r="AX745" s="11">
        <v>-700.0</v>
      </c>
      <c r="AY745" s="11">
        <v>-391.0</v>
      </c>
      <c r="AZ745" s="11">
        <v>-723.0</v>
      </c>
      <c r="BA745" s="11">
        <v>-49.0</v>
      </c>
      <c r="BB745" s="11">
        <v>-861.0</v>
      </c>
      <c r="BC745" s="12"/>
      <c r="BD745" s="12"/>
      <c r="BE745" s="12"/>
      <c r="BF745" s="12"/>
      <c r="BG745" s="12"/>
      <c r="BH745" s="11">
        <v>224010.0</v>
      </c>
      <c r="BI745" s="11">
        <v>347530.0</v>
      </c>
      <c r="BJ745" s="11">
        <v>464330.0</v>
      </c>
      <c r="BK745" s="11">
        <v>384100.0</v>
      </c>
      <c r="BL745" s="11">
        <v>475200.0</v>
      </c>
      <c r="BM745" s="12"/>
      <c r="BN745" s="12"/>
      <c r="BO745" s="12"/>
      <c r="BP745" s="11">
        <v>94.0</v>
      </c>
      <c r="BQ745" s="11">
        <v>31.0</v>
      </c>
      <c r="BR745" s="12"/>
      <c r="BS745" s="12"/>
      <c r="BT745" s="12"/>
      <c r="BU745" s="12"/>
      <c r="BV745" s="12"/>
      <c r="BW745" s="11">
        <v>230320.0</v>
      </c>
      <c r="BX745" s="11">
        <v>355440.0</v>
      </c>
      <c r="BY745" s="11">
        <v>469220.0</v>
      </c>
      <c r="BZ745" s="11">
        <v>388200.0</v>
      </c>
      <c r="CA745" s="11">
        <v>483260.0</v>
      </c>
      <c r="CB745" s="11">
        <v>20510.0</v>
      </c>
      <c r="CC745" s="11">
        <v>1160.0</v>
      </c>
      <c r="CD745" s="11">
        <v>1140.0</v>
      </c>
      <c r="CE745" s="11">
        <v>628.0</v>
      </c>
      <c r="CF745" s="11">
        <v>776.0</v>
      </c>
      <c r="CG745" s="12"/>
      <c r="CH745" s="12"/>
      <c r="CI745" s="12"/>
      <c r="CJ745" s="12"/>
      <c r="CK745" s="12"/>
      <c r="CL745" s="11">
        <v>251190.0</v>
      </c>
      <c r="CM745" s="11">
        <v>357210.0</v>
      </c>
      <c r="CN745" s="11">
        <v>471490.0</v>
      </c>
      <c r="CO745" s="11">
        <v>388900.0</v>
      </c>
      <c r="CP745" s="11">
        <v>484100.0</v>
      </c>
      <c r="CQ745" s="11">
        <v>7430.0</v>
      </c>
      <c r="CR745" s="11">
        <v>13960.0</v>
      </c>
      <c r="CS745" s="11">
        <v>6170.0</v>
      </c>
      <c r="CT745" s="11">
        <v>3750.0</v>
      </c>
      <c r="CU745" s="11">
        <v>1630.0</v>
      </c>
      <c r="CV745" s="11">
        <v>36220.0</v>
      </c>
      <c r="CW745" s="11">
        <v>3190.0</v>
      </c>
      <c r="CX745" s="12"/>
      <c r="CY745" s="12"/>
      <c r="CZ745" s="12"/>
      <c r="DA745" s="12"/>
      <c r="DB745" s="11">
        <v>36220.0</v>
      </c>
      <c r="DC745" s="11">
        <v>36300.0</v>
      </c>
      <c r="DD745" s="11">
        <v>14210.0</v>
      </c>
      <c r="DE745" s="11">
        <v>10530.0</v>
      </c>
      <c r="DF745" s="11">
        <v>56180.0</v>
      </c>
      <c r="DG745" s="11">
        <v>39490.0</v>
      </c>
      <c r="DH745" s="11">
        <v>17050.0</v>
      </c>
      <c r="DI745" s="11">
        <v>13400.0</v>
      </c>
      <c r="DJ745" s="11">
        <v>7860.0</v>
      </c>
      <c r="DK745" s="12"/>
      <c r="DL745" s="12"/>
      <c r="DM745" s="12"/>
      <c r="DN745" s="12"/>
      <c r="DO745" s="12"/>
      <c r="DP745" s="11">
        <v>19960.0</v>
      </c>
      <c r="DQ745" s="12"/>
      <c r="DR745" s="12"/>
      <c r="DS745" s="12"/>
      <c r="DT745" s="12"/>
      <c r="DU745" s="13"/>
      <c r="DV745" s="12"/>
      <c r="DW745" s="12"/>
      <c r="DX745" s="13"/>
      <c r="DY745" s="13"/>
      <c r="DZ745" s="11">
        <v>195010.0</v>
      </c>
      <c r="EA745" s="11">
        <v>317710.0</v>
      </c>
      <c r="EB745" s="11">
        <v>454440.0</v>
      </c>
      <c r="EC745" s="11">
        <v>375500.0</v>
      </c>
      <c r="ED745" s="11">
        <v>476240.0</v>
      </c>
      <c r="EE745" s="14">
        <v>1.228</v>
      </c>
      <c r="EF745" s="14">
        <v>1.427</v>
      </c>
      <c r="EG745" s="14">
        <v>-0.055</v>
      </c>
      <c r="EH745" s="14">
        <v>0.115</v>
      </c>
    </row>
    <row r="746">
      <c r="A746" s="9">
        <f t="shared" si="2"/>
        <v>744</v>
      </c>
      <c r="B746" s="22" t="s">
        <v>881</v>
      </c>
      <c r="C746" s="12"/>
      <c r="D746" s="12"/>
      <c r="E746" s="12"/>
      <c r="F746" s="12"/>
      <c r="G746" s="12"/>
      <c r="H746" s="12"/>
      <c r="I746" s="12"/>
      <c r="J746" s="11">
        <v>-611.0</v>
      </c>
      <c r="K746" s="11">
        <v>-505.0</v>
      </c>
      <c r="L746" s="12"/>
      <c r="M746" s="12"/>
      <c r="N746" s="12"/>
      <c r="O746" s="11">
        <v>27440.0</v>
      </c>
      <c r="P746" s="11">
        <v>21000.0</v>
      </c>
      <c r="Q746" s="12"/>
      <c r="R746" s="12"/>
      <c r="S746" s="12"/>
      <c r="T746" s="11">
        <v>19210.0</v>
      </c>
      <c r="U746" s="11">
        <v>17190.0</v>
      </c>
      <c r="V746" s="12"/>
      <c r="W746" s="12"/>
      <c r="X746" s="12"/>
      <c r="Y746" s="11">
        <v>-27030.0</v>
      </c>
      <c r="Z746" s="11">
        <v>-21630.0</v>
      </c>
      <c r="AA746" s="12"/>
      <c r="AB746" s="12"/>
      <c r="AC746" s="12"/>
      <c r="AD746" s="11">
        <v>-23130.0</v>
      </c>
      <c r="AE746" s="11">
        <v>-18800.0</v>
      </c>
      <c r="AF746" s="12"/>
      <c r="AG746" s="12"/>
      <c r="AH746" s="12"/>
      <c r="AI746" s="11">
        <v>-27440.0</v>
      </c>
      <c r="AJ746" s="11">
        <v>-21000.0</v>
      </c>
      <c r="AK746" s="12"/>
      <c r="AL746" s="12"/>
      <c r="AM746" s="12"/>
      <c r="AN746" s="11">
        <v>-22450.0</v>
      </c>
      <c r="AO746" s="11">
        <v>-18060.0</v>
      </c>
      <c r="AP746" s="12"/>
      <c r="AQ746" s="12"/>
      <c r="AR746" s="12"/>
      <c r="AS746" s="11">
        <v>-23150.0</v>
      </c>
      <c r="AT746" s="11">
        <v>-19100.0</v>
      </c>
      <c r="AU746" s="12"/>
      <c r="AV746" s="12"/>
      <c r="AW746" s="12"/>
      <c r="AX746" s="11">
        <v>-926.0</v>
      </c>
      <c r="AY746" s="11">
        <v>-299.0</v>
      </c>
      <c r="AZ746" s="12"/>
      <c r="BA746" s="12"/>
      <c r="BB746" s="12"/>
      <c r="BC746" s="12"/>
      <c r="BD746" s="12"/>
      <c r="BE746" s="12"/>
      <c r="BF746" s="12"/>
      <c r="BG746" s="12"/>
      <c r="BH746" s="11">
        <v>19870.0</v>
      </c>
      <c r="BI746" s="11">
        <v>21990.0</v>
      </c>
      <c r="BJ746" s="12"/>
      <c r="BK746" s="12"/>
      <c r="BL746" s="12"/>
      <c r="BM746" s="11">
        <v>5330.0</v>
      </c>
      <c r="BN746" s="11">
        <v>1160.0</v>
      </c>
      <c r="BO746" s="12"/>
      <c r="BP746" s="12"/>
      <c r="BQ746" s="12"/>
      <c r="BR746" s="12"/>
      <c r="BS746" s="12"/>
      <c r="BT746" s="12"/>
      <c r="BU746" s="12"/>
      <c r="BV746" s="12"/>
      <c r="BW746" s="11">
        <v>26080.0</v>
      </c>
      <c r="BX746" s="11">
        <v>23670.0</v>
      </c>
      <c r="BY746" s="12"/>
      <c r="BZ746" s="12"/>
      <c r="CA746" s="12"/>
      <c r="CB746" s="11">
        <v>1340.0</v>
      </c>
      <c r="CC746" s="11">
        <v>1160.0</v>
      </c>
      <c r="CD746" s="12"/>
      <c r="CE746" s="12"/>
      <c r="CF746" s="12"/>
      <c r="CG746" s="12"/>
      <c r="CH746" s="12"/>
      <c r="CI746" s="12"/>
      <c r="CJ746" s="12"/>
      <c r="CK746" s="12"/>
      <c r="CL746" s="11">
        <v>30740.0</v>
      </c>
      <c r="CM746" s="11">
        <v>27390.0</v>
      </c>
      <c r="CN746" s="12"/>
      <c r="CO746" s="12"/>
      <c r="CP746" s="12"/>
      <c r="CQ746" s="11">
        <v>1170.0</v>
      </c>
      <c r="CR746" s="11">
        <v>1370.0</v>
      </c>
      <c r="CS746" s="12"/>
      <c r="CT746" s="12"/>
      <c r="CU746" s="12"/>
      <c r="CV746" s="11">
        <v>13200.0</v>
      </c>
      <c r="CW746" s="12"/>
      <c r="CX746" s="12"/>
      <c r="CY746" s="12"/>
      <c r="CZ746" s="12"/>
      <c r="DA746" s="12"/>
      <c r="DB746" s="11">
        <v>13200.0</v>
      </c>
      <c r="DC746" s="11">
        <v>5010.0</v>
      </c>
      <c r="DD746" s="12"/>
      <c r="DE746" s="12"/>
      <c r="DF746" s="11">
        <v>15080.0</v>
      </c>
      <c r="DG746" s="11">
        <v>12340.0</v>
      </c>
      <c r="DH746" s="12"/>
      <c r="DI746" s="12"/>
      <c r="DJ746" s="12"/>
      <c r="DK746" s="11">
        <v>122.0</v>
      </c>
      <c r="DL746" s="11">
        <v>66.0</v>
      </c>
      <c r="DM746" s="12"/>
      <c r="DN746" s="12"/>
      <c r="DO746" s="12"/>
      <c r="DP746" s="12"/>
      <c r="DQ746" s="11">
        <v>5460.0</v>
      </c>
      <c r="DR746" s="12"/>
      <c r="DS746" s="12"/>
      <c r="DT746" s="12"/>
      <c r="DU746" s="13"/>
      <c r="DV746" s="12"/>
      <c r="DW746" s="12"/>
      <c r="DX746" s="13"/>
      <c r="DY746" s="13"/>
      <c r="DZ746" s="11">
        <v>-36090.0</v>
      </c>
      <c r="EA746" s="11">
        <v>-10680.0</v>
      </c>
      <c r="EB746" s="12"/>
      <c r="EC746" s="12"/>
      <c r="ED746" s="12"/>
      <c r="EE746" s="23"/>
      <c r="EF746" s="23"/>
      <c r="EG746" s="23" t="s">
        <v>155</v>
      </c>
      <c r="EH746" s="23"/>
    </row>
    <row r="747">
      <c r="A747" s="9">
        <f t="shared" si="2"/>
        <v>745</v>
      </c>
      <c r="B747" s="10" t="s">
        <v>882</v>
      </c>
      <c r="C747" s="15">
        <v>1050000.0</v>
      </c>
      <c r="D747" s="15">
        <v>1000000.0</v>
      </c>
      <c r="E747" s="15">
        <v>950110.0</v>
      </c>
      <c r="F747" s="15">
        <v>869690.0</v>
      </c>
      <c r="G747" s="15">
        <v>1100000.0</v>
      </c>
      <c r="H747" s="15">
        <v>1600000.0</v>
      </c>
      <c r="I747" s="15">
        <v>1540000.0</v>
      </c>
      <c r="J747" s="15">
        <v>289670.0</v>
      </c>
      <c r="K747" s="15">
        <v>310520.0</v>
      </c>
      <c r="L747" s="15">
        <v>337830.0</v>
      </c>
      <c r="M747" s="15">
        <v>451560.0</v>
      </c>
      <c r="N747" s="15">
        <v>433210.0</v>
      </c>
      <c r="O747" s="15">
        <v>76360.0</v>
      </c>
      <c r="P747" s="15">
        <v>104820.0</v>
      </c>
      <c r="Q747" s="15">
        <v>120640.0</v>
      </c>
      <c r="R747" s="15">
        <v>203820.0</v>
      </c>
      <c r="S747" s="15">
        <v>221150.0</v>
      </c>
      <c r="T747" s="15"/>
      <c r="U747" s="15"/>
      <c r="V747" s="15"/>
      <c r="W747" s="15"/>
      <c r="X747" s="15"/>
      <c r="Y747" s="15">
        <v>191860.0</v>
      </c>
      <c r="Z747" s="15">
        <v>-16790.0</v>
      </c>
      <c r="AA747" s="15">
        <v>-10280.0</v>
      </c>
      <c r="AB747" s="15">
        <v>-16260.0</v>
      </c>
      <c r="AC747" s="15">
        <v>201630.0</v>
      </c>
      <c r="AD747" s="15">
        <v>115770.0</v>
      </c>
      <c r="AE747" s="15">
        <v>186070.0</v>
      </c>
      <c r="AF747" s="15">
        <v>203910.0</v>
      </c>
      <c r="AG747" s="15">
        <v>198830.0</v>
      </c>
      <c r="AH747" s="15">
        <v>178370.0</v>
      </c>
      <c r="AI747" s="15">
        <v>268490.0</v>
      </c>
      <c r="AJ747" s="15">
        <v>265120.0</v>
      </c>
      <c r="AK747" s="15">
        <v>284590.0</v>
      </c>
      <c r="AL747" s="15">
        <v>340590.0</v>
      </c>
      <c r="AM747" s="15">
        <v>301540.0</v>
      </c>
      <c r="AN747" s="15">
        <v>91750.0</v>
      </c>
      <c r="AO747" s="15">
        <v>104340.0</v>
      </c>
      <c r="AP747" s="15">
        <v>128570.0</v>
      </c>
      <c r="AQ747" s="15">
        <v>126270.0</v>
      </c>
      <c r="AR747" s="15">
        <v>112600.0</v>
      </c>
      <c r="AS747" s="15">
        <v>168410.0</v>
      </c>
      <c r="AT747" s="15">
        <v>104060.0</v>
      </c>
      <c r="AU747" s="15">
        <v>133690.0</v>
      </c>
      <c r="AV747" s="15">
        <v>134180.0</v>
      </c>
      <c r="AW747" s="15">
        <v>226880.0</v>
      </c>
      <c r="AX747" s="15">
        <v>-47650.0</v>
      </c>
      <c r="AY747" s="15">
        <v>-37840.0</v>
      </c>
      <c r="AZ747" s="15">
        <v>-38970.0</v>
      </c>
      <c r="BA747" s="15">
        <v>-106400.0</v>
      </c>
      <c r="BB747" s="15">
        <v>-96620.0</v>
      </c>
      <c r="BC747" s="15">
        <v>-41180.0</v>
      </c>
      <c r="BD747" s="15">
        <v>-45410.0</v>
      </c>
      <c r="BE747" s="15">
        <v>-48930.0</v>
      </c>
      <c r="BF747" s="15">
        <v>-40300.0</v>
      </c>
      <c r="BG747" s="15">
        <v>-37390.0</v>
      </c>
      <c r="BH747" s="15">
        <v>151560.0</v>
      </c>
      <c r="BI747" s="15">
        <v>2710.0</v>
      </c>
      <c r="BJ747" s="15">
        <v>4470.0</v>
      </c>
      <c r="BK747" s="15">
        <v>17030.0</v>
      </c>
      <c r="BL747" s="15">
        <v>17740.0</v>
      </c>
      <c r="BM747" s="15">
        <v>45240.0</v>
      </c>
      <c r="BN747" s="15">
        <v>57420.0</v>
      </c>
      <c r="BO747" s="15">
        <v>59610.0</v>
      </c>
      <c r="BP747" s="15">
        <v>73360.0</v>
      </c>
      <c r="BQ747" s="15">
        <v>47980.0</v>
      </c>
      <c r="BR747" s="15">
        <v>1780.0</v>
      </c>
      <c r="BS747" s="15">
        <v>1860.0</v>
      </c>
      <c r="BT747" s="15">
        <v>3450.0</v>
      </c>
      <c r="BU747" s="15">
        <v>8230.0</v>
      </c>
      <c r="BV747" s="15">
        <v>7380.0</v>
      </c>
      <c r="BW747" s="15">
        <v>227130.0</v>
      </c>
      <c r="BX747" s="15">
        <v>94970.0</v>
      </c>
      <c r="BY747" s="15">
        <v>139280.0</v>
      </c>
      <c r="BZ747" s="15">
        <v>155410.0</v>
      </c>
      <c r="CA747" s="15">
        <v>147990.0</v>
      </c>
      <c r="CB747" s="15">
        <v>391930.0</v>
      </c>
      <c r="CC747" s="15">
        <v>419670.0</v>
      </c>
      <c r="CD747" s="15">
        <v>484280.0</v>
      </c>
      <c r="CE747" s="15">
        <v>719050.0</v>
      </c>
      <c r="CF747" s="15">
        <v>728260.0</v>
      </c>
      <c r="CG747" s="15">
        <v>46750.0</v>
      </c>
      <c r="CH747" s="15">
        <v>46750.0</v>
      </c>
      <c r="CI747" s="15">
        <v>51410.0</v>
      </c>
      <c r="CJ747" s="15">
        <v>166050.0</v>
      </c>
      <c r="CK747" s="15">
        <v>149030.0</v>
      </c>
      <c r="CL747" s="15">
        <v>973530.0</v>
      </c>
      <c r="CM747" s="15">
        <v>838810.0</v>
      </c>
      <c r="CN747" s="15">
        <v>1230000.0</v>
      </c>
      <c r="CO747" s="15">
        <v>1350000.0</v>
      </c>
      <c r="CP747" s="15">
        <v>1300000.0</v>
      </c>
      <c r="CQ747" s="15">
        <v>37070.0</v>
      </c>
      <c r="CR747" s="15">
        <v>44970.0</v>
      </c>
      <c r="CS747" s="15">
        <v>28370.0</v>
      </c>
      <c r="CT747" s="15">
        <v>40740.0</v>
      </c>
      <c r="CU747" s="15">
        <v>32140.0</v>
      </c>
      <c r="CV747" s="15">
        <v>157920.0</v>
      </c>
      <c r="CW747" s="15"/>
      <c r="CX747" s="13"/>
      <c r="CY747" s="13"/>
      <c r="CZ747" s="13"/>
      <c r="DA747" s="12"/>
      <c r="DB747" s="15">
        <v>157920.0</v>
      </c>
      <c r="DC747" s="15">
        <v>183720.0</v>
      </c>
      <c r="DD747" s="15">
        <v>261990.0</v>
      </c>
      <c r="DE747" s="15">
        <v>277920.0</v>
      </c>
      <c r="DF747" s="15">
        <v>1710000.0</v>
      </c>
      <c r="DG747" s="15">
        <v>1430000.0</v>
      </c>
      <c r="DH747" s="15">
        <v>1620000.0</v>
      </c>
      <c r="DI747" s="15">
        <v>1560000.0</v>
      </c>
      <c r="DJ747" s="15">
        <v>1290000.0</v>
      </c>
      <c r="DK747" s="15"/>
      <c r="DL747" s="15">
        <v>589.0</v>
      </c>
      <c r="DM747" s="15"/>
      <c r="DN747" s="15"/>
      <c r="DO747" s="13"/>
      <c r="DP747" s="15">
        <v>1270000.0</v>
      </c>
      <c r="DQ747" s="15">
        <v>1040000.0</v>
      </c>
      <c r="DR747" s="15">
        <v>1080000.0</v>
      </c>
      <c r="DS747" s="15">
        <v>935370.0</v>
      </c>
      <c r="DT747" s="15">
        <v>688580.0</v>
      </c>
      <c r="DU747" s="13"/>
      <c r="DV747" s="12"/>
      <c r="DW747" s="15"/>
      <c r="DX747" s="15"/>
      <c r="DY747" s="15"/>
      <c r="DZ747" s="15">
        <v>-737580.0</v>
      </c>
      <c r="EA747" s="15">
        <v>-591700.0</v>
      </c>
      <c r="EB747" s="15">
        <v>-388130.0</v>
      </c>
      <c r="EC747" s="15">
        <v>-217210.0</v>
      </c>
      <c r="ED747" s="15">
        <v>15950.0</v>
      </c>
      <c r="EE747" s="17">
        <v>0.054</v>
      </c>
      <c r="EF747" s="17">
        <v>0.095</v>
      </c>
      <c r="EG747" s="17">
        <v>-0.242</v>
      </c>
      <c r="EH747" s="17">
        <v>-0.084</v>
      </c>
    </row>
    <row r="748">
      <c r="A748" s="9">
        <f t="shared" si="2"/>
        <v>746</v>
      </c>
      <c r="B748" s="22" t="s">
        <v>883</v>
      </c>
      <c r="C748" s="11">
        <v>2490000.0</v>
      </c>
      <c r="D748" s="11">
        <v>2280000.0</v>
      </c>
      <c r="E748" s="11">
        <v>2160000.0</v>
      </c>
      <c r="F748" s="11">
        <v>1890000.0</v>
      </c>
      <c r="G748" s="11">
        <v>1620000.0</v>
      </c>
      <c r="H748" s="11">
        <v>1490000.0</v>
      </c>
      <c r="I748" s="11">
        <v>1320000.0</v>
      </c>
      <c r="J748" s="11">
        <v>1680000.0</v>
      </c>
      <c r="K748" s="11">
        <v>1570000.0</v>
      </c>
      <c r="L748" s="11">
        <v>1360000.0</v>
      </c>
      <c r="M748" s="11">
        <v>1280000.0</v>
      </c>
      <c r="N748" s="11">
        <v>1120000.0</v>
      </c>
      <c r="O748" s="11">
        <v>1040000.0</v>
      </c>
      <c r="P748" s="11">
        <v>909650.0</v>
      </c>
      <c r="Q748" s="11">
        <v>742600.0</v>
      </c>
      <c r="R748" s="11">
        <v>653690.0</v>
      </c>
      <c r="S748" s="11">
        <v>582530.0</v>
      </c>
      <c r="T748" s="11">
        <v>299730.0</v>
      </c>
      <c r="U748" s="11">
        <v>226620.0</v>
      </c>
      <c r="V748" s="11">
        <v>198440.0</v>
      </c>
      <c r="W748" s="11">
        <v>162300.0</v>
      </c>
      <c r="X748" s="11">
        <v>135250.0</v>
      </c>
      <c r="Y748" s="11">
        <v>526180.0</v>
      </c>
      <c r="Z748" s="11">
        <v>614170.0</v>
      </c>
      <c r="AA748" s="11">
        <v>527150.0</v>
      </c>
      <c r="AB748" s="11">
        <v>591020.0</v>
      </c>
      <c r="AC748" s="11">
        <v>-49980.0</v>
      </c>
      <c r="AD748" s="11">
        <v>454300.0</v>
      </c>
      <c r="AE748" s="11">
        <v>529460.0</v>
      </c>
      <c r="AF748" s="11">
        <v>441120.0</v>
      </c>
      <c r="AG748" s="11">
        <v>532450.0</v>
      </c>
      <c r="AH748" s="11">
        <v>435930.0</v>
      </c>
      <c r="AI748" s="11">
        <v>1010000.0</v>
      </c>
      <c r="AJ748" s="11">
        <v>874970.0</v>
      </c>
      <c r="AK748" s="11">
        <v>779000.0</v>
      </c>
      <c r="AL748" s="11">
        <v>740680.0</v>
      </c>
      <c r="AM748" s="11">
        <v>649640.0</v>
      </c>
      <c r="AN748" s="11">
        <v>523370.0</v>
      </c>
      <c r="AO748" s="11">
        <v>447100.0</v>
      </c>
      <c r="AP748" s="11">
        <v>487850.0</v>
      </c>
      <c r="AQ748" s="11">
        <v>396830.0</v>
      </c>
      <c r="AR748" s="11">
        <v>329540.0</v>
      </c>
      <c r="AS748" s="11">
        <v>782450.0</v>
      </c>
      <c r="AT748" s="11">
        <v>792500.0</v>
      </c>
      <c r="AU748" s="11">
        <v>693090.0</v>
      </c>
      <c r="AV748" s="11">
        <v>590540.0</v>
      </c>
      <c r="AW748" s="11">
        <v>531940.0</v>
      </c>
      <c r="AX748" s="11">
        <v>-182340.0</v>
      </c>
      <c r="AY748" s="11">
        <v>-131470.0</v>
      </c>
      <c r="AZ748" s="11">
        <v>-113950.0</v>
      </c>
      <c r="BA748" s="11">
        <v>-181580.0</v>
      </c>
      <c r="BB748" s="11">
        <v>-35960.0</v>
      </c>
      <c r="BC748" s="12"/>
      <c r="BD748" s="12"/>
      <c r="BE748" s="12"/>
      <c r="BF748" s="12"/>
      <c r="BG748" s="12"/>
      <c r="BH748" s="11">
        <v>1080000.0</v>
      </c>
      <c r="BI748" s="11">
        <v>824620.0</v>
      </c>
      <c r="BJ748" s="11">
        <v>616530.0</v>
      </c>
      <c r="BK748" s="11">
        <v>425960.0</v>
      </c>
      <c r="BL748" s="11">
        <v>988790.0</v>
      </c>
      <c r="BM748" s="11">
        <v>355990.0</v>
      </c>
      <c r="BN748" s="11">
        <v>263840.0</v>
      </c>
      <c r="BO748" s="11">
        <v>224130.0</v>
      </c>
      <c r="BP748" s="11">
        <v>234240.0</v>
      </c>
      <c r="BQ748" s="11">
        <v>209690.0</v>
      </c>
      <c r="BR748" s="11">
        <v>78610.0</v>
      </c>
      <c r="BS748" s="11">
        <v>52960.0</v>
      </c>
      <c r="BT748" s="11">
        <v>43250.0</v>
      </c>
      <c r="BU748" s="11">
        <v>34050.0</v>
      </c>
      <c r="BV748" s="11">
        <v>19450.0</v>
      </c>
      <c r="BW748" s="11">
        <v>1630000.0</v>
      </c>
      <c r="BX748" s="11">
        <v>1230000.0</v>
      </c>
      <c r="BY748" s="11">
        <v>968280.0</v>
      </c>
      <c r="BZ748" s="11">
        <v>748070.0</v>
      </c>
      <c r="CA748" s="11">
        <v>1260000.0</v>
      </c>
      <c r="CB748" s="11">
        <v>270890.0</v>
      </c>
      <c r="CC748" s="11">
        <v>200360.0</v>
      </c>
      <c r="CD748" s="11">
        <v>170080.0</v>
      </c>
      <c r="CE748" s="11">
        <v>107490.0</v>
      </c>
      <c r="CF748" s="11">
        <v>85570.0</v>
      </c>
      <c r="CG748" s="11">
        <v>920020.0</v>
      </c>
      <c r="CH748" s="11">
        <v>927630.0</v>
      </c>
      <c r="CI748" s="11">
        <v>947540.0</v>
      </c>
      <c r="CJ748" s="11">
        <v>893810.0</v>
      </c>
      <c r="CK748" s="11">
        <v>657140.0</v>
      </c>
      <c r="CL748" s="11">
        <v>5540000.0</v>
      </c>
      <c r="CM748" s="11">
        <v>5200000.0</v>
      </c>
      <c r="CN748" s="11">
        <v>5120000.0</v>
      </c>
      <c r="CO748" s="11">
        <v>4800000.0</v>
      </c>
      <c r="CP748" s="11">
        <v>3330000.0</v>
      </c>
      <c r="CQ748" s="11">
        <v>47550.0</v>
      </c>
      <c r="CR748" s="11">
        <v>40600.0</v>
      </c>
      <c r="CS748" s="11">
        <v>24370.0</v>
      </c>
      <c r="CT748" s="11">
        <v>22420.0</v>
      </c>
      <c r="CU748" s="11">
        <v>21810.0</v>
      </c>
      <c r="CV748" s="11">
        <v>364490.0</v>
      </c>
      <c r="CW748" s="11">
        <v>12730.0</v>
      </c>
      <c r="CX748" s="12"/>
      <c r="CY748" s="12"/>
      <c r="CZ748" s="12"/>
      <c r="DA748" s="12"/>
      <c r="DB748" s="11">
        <v>364490.0</v>
      </c>
      <c r="DC748" s="11">
        <v>345490.0</v>
      </c>
      <c r="DD748" s="11">
        <v>293950.0</v>
      </c>
      <c r="DE748" s="11">
        <v>257410.0</v>
      </c>
      <c r="DF748" s="11">
        <v>2430000.0</v>
      </c>
      <c r="DG748" s="11">
        <v>2450000.0</v>
      </c>
      <c r="DH748" s="11">
        <v>2410000.0</v>
      </c>
      <c r="DI748" s="11">
        <v>2920000.0</v>
      </c>
      <c r="DJ748" s="11">
        <v>1730000.0</v>
      </c>
      <c r="DK748" s="11">
        <v>4500.0</v>
      </c>
      <c r="DL748" s="11">
        <v>6640.0</v>
      </c>
      <c r="DM748" s="12"/>
      <c r="DN748" s="12"/>
      <c r="DO748" s="12"/>
      <c r="DP748" s="11">
        <v>1730000.0</v>
      </c>
      <c r="DQ748" s="11">
        <v>1560000.0</v>
      </c>
      <c r="DR748" s="11">
        <v>1540000.0</v>
      </c>
      <c r="DS748" s="11">
        <v>1990000.0</v>
      </c>
      <c r="DT748" s="11">
        <v>1150000.0</v>
      </c>
      <c r="DU748" s="13"/>
      <c r="DV748" s="12"/>
      <c r="DW748" s="12"/>
      <c r="DX748" s="13"/>
      <c r="DY748" s="13"/>
      <c r="DZ748" s="11">
        <v>3110000.0</v>
      </c>
      <c r="EA748" s="11">
        <v>2760000.0</v>
      </c>
      <c r="EB748" s="11">
        <v>2710000.0</v>
      </c>
      <c r="EC748" s="11">
        <v>1880000.0</v>
      </c>
      <c r="ED748" s="11">
        <v>1600000.0</v>
      </c>
      <c r="EE748" s="14">
        <v>0.031</v>
      </c>
      <c r="EF748" s="14">
        <v>0.157</v>
      </c>
      <c r="EG748" s="14">
        <v>0.193</v>
      </c>
      <c r="EH748" s="14">
        <v>0.02</v>
      </c>
    </row>
    <row r="749">
      <c r="A749" s="9">
        <f t="shared" si="2"/>
        <v>747</v>
      </c>
      <c r="B749" s="10" t="s">
        <v>884</v>
      </c>
      <c r="C749" s="11">
        <v>9880000.0</v>
      </c>
      <c r="D749" s="11">
        <v>9170000.0</v>
      </c>
      <c r="E749" s="11">
        <v>9170000.0</v>
      </c>
      <c r="F749" s="11">
        <v>8610000.0</v>
      </c>
      <c r="G749" s="11">
        <v>7190000.0</v>
      </c>
      <c r="H749" s="11">
        <v>6560000.0</v>
      </c>
      <c r="I749" s="11">
        <v>6190000.0</v>
      </c>
      <c r="J749" s="11">
        <v>1020000.0</v>
      </c>
      <c r="K749" s="11">
        <v>926280.0</v>
      </c>
      <c r="L749" s="11">
        <v>818480.0</v>
      </c>
      <c r="M749" s="11">
        <v>874000.0</v>
      </c>
      <c r="N749" s="11">
        <v>851890.0</v>
      </c>
      <c r="O749" s="11">
        <v>210270.0</v>
      </c>
      <c r="P749" s="11">
        <v>182070.0</v>
      </c>
      <c r="Q749" s="11">
        <v>139390.0</v>
      </c>
      <c r="R749" s="11">
        <v>101540.0</v>
      </c>
      <c r="S749" s="11">
        <v>94390.0</v>
      </c>
      <c r="T749" s="12"/>
      <c r="U749" s="12"/>
      <c r="V749" s="12"/>
      <c r="W749" s="12"/>
      <c r="X749" s="12"/>
      <c r="Y749" s="11">
        <v>746880.0</v>
      </c>
      <c r="Z749" s="12"/>
      <c r="AA749" s="11">
        <v>631160.0</v>
      </c>
      <c r="AB749" s="12"/>
      <c r="AC749" s="12"/>
      <c r="AD749" s="11">
        <v>680900.0</v>
      </c>
      <c r="AE749" s="11">
        <v>640820.0</v>
      </c>
      <c r="AF749" s="11">
        <v>595240.0</v>
      </c>
      <c r="AG749" s="11">
        <v>695800.0</v>
      </c>
      <c r="AH749" s="11">
        <v>690200.0</v>
      </c>
      <c r="AI749" s="11">
        <v>1290000.0</v>
      </c>
      <c r="AJ749" s="11">
        <v>1130000.0</v>
      </c>
      <c r="AK749" s="11">
        <v>1020000.0</v>
      </c>
      <c r="AL749" s="11">
        <v>1090000.0</v>
      </c>
      <c r="AM749" s="11">
        <v>1050000.0</v>
      </c>
      <c r="AN749" s="11">
        <v>516320.0</v>
      </c>
      <c r="AO749" s="11">
        <v>489590.0</v>
      </c>
      <c r="AP749" s="11">
        <v>686260.0</v>
      </c>
      <c r="AQ749" s="11">
        <v>432090.0</v>
      </c>
      <c r="AR749" s="11">
        <v>427240.0</v>
      </c>
      <c r="AS749" s="11">
        <v>1100000.0</v>
      </c>
      <c r="AT749" s="11">
        <v>1090000.0</v>
      </c>
      <c r="AU749" s="11">
        <v>855150.0</v>
      </c>
      <c r="AV749" s="11">
        <v>854140.0</v>
      </c>
      <c r="AW749" s="11">
        <v>873310.0</v>
      </c>
      <c r="AX749" s="11">
        <v>-854230.0</v>
      </c>
      <c r="AY749" s="11">
        <v>-996940.0</v>
      </c>
      <c r="AZ749" s="11">
        <v>-530820.0</v>
      </c>
      <c r="BA749" s="11">
        <v>-638560.0</v>
      </c>
      <c r="BB749" s="11">
        <v>-745220.0</v>
      </c>
      <c r="BC749" s="11">
        <v>-111820.0</v>
      </c>
      <c r="BD749" s="11">
        <v>-104990.0</v>
      </c>
      <c r="BE749" s="11">
        <v>-101360.0</v>
      </c>
      <c r="BF749" s="11">
        <v>-98990.0</v>
      </c>
      <c r="BG749" s="11">
        <v>-97360.0</v>
      </c>
      <c r="BH749" s="11">
        <v>35000.0</v>
      </c>
      <c r="BI749" s="11">
        <v>7600.0</v>
      </c>
      <c r="BJ749" s="11">
        <v>14610.0</v>
      </c>
      <c r="BK749" s="11">
        <v>6380.0</v>
      </c>
      <c r="BL749" s="11">
        <v>5570.0</v>
      </c>
      <c r="BM749" s="11">
        <v>1240000.0</v>
      </c>
      <c r="BN749" s="11">
        <v>1330000.0</v>
      </c>
      <c r="BO749" s="11">
        <v>1200000.0</v>
      </c>
      <c r="BP749" s="11">
        <v>934950.0</v>
      </c>
      <c r="BQ749" s="11">
        <v>731280.0</v>
      </c>
      <c r="BR749" s="11">
        <v>21110.0</v>
      </c>
      <c r="BS749" s="11">
        <v>21980.0</v>
      </c>
      <c r="BT749" s="11">
        <v>20690.0</v>
      </c>
      <c r="BU749" s="11">
        <v>18580.0</v>
      </c>
      <c r="BV749" s="11">
        <v>23190.0</v>
      </c>
      <c r="BW749" s="11">
        <v>1480000.0</v>
      </c>
      <c r="BX749" s="11">
        <v>1500000.0</v>
      </c>
      <c r="BY749" s="11">
        <v>1340000.0</v>
      </c>
      <c r="BZ749" s="11">
        <v>1070000.0</v>
      </c>
      <c r="CA749" s="11">
        <v>857930.0</v>
      </c>
      <c r="CB749" s="11">
        <v>3750000.0</v>
      </c>
      <c r="CC749" s="11">
        <v>3450000.0</v>
      </c>
      <c r="CD749" s="11">
        <v>2980000.0</v>
      </c>
      <c r="CE749" s="11">
        <v>2820000.0</v>
      </c>
      <c r="CF749" s="11">
        <v>2700000.0</v>
      </c>
      <c r="CG749" s="11">
        <v>96330.0</v>
      </c>
      <c r="CH749" s="11">
        <v>40090.0</v>
      </c>
      <c r="CI749" s="11">
        <v>39760.0</v>
      </c>
      <c r="CJ749" s="11"/>
      <c r="CK749" s="11"/>
      <c r="CL749" s="11">
        <v>5580000.0</v>
      </c>
      <c r="CM749" s="11">
        <v>5180000.0</v>
      </c>
      <c r="CN749" s="11">
        <v>4530000.0</v>
      </c>
      <c r="CO749" s="11">
        <v>4040000.0</v>
      </c>
      <c r="CP749" s="11">
        <v>3720000.0</v>
      </c>
      <c r="CQ749" s="11">
        <v>602600.0</v>
      </c>
      <c r="CR749" s="11">
        <v>709740.0</v>
      </c>
      <c r="CS749" s="11">
        <v>598590.0</v>
      </c>
      <c r="CT749" s="11">
        <v>384310.0</v>
      </c>
      <c r="CU749" s="11">
        <v>340330.0</v>
      </c>
      <c r="CV749" s="11">
        <v>1040000.0</v>
      </c>
      <c r="CW749" s="11">
        <v>44400.0</v>
      </c>
      <c r="CX749" s="12"/>
      <c r="CY749" s="12"/>
      <c r="CZ749" s="12"/>
      <c r="DA749" s="12"/>
      <c r="DB749" s="11">
        <v>1040000.0</v>
      </c>
      <c r="DC749" s="11">
        <v>1350000.0</v>
      </c>
      <c r="DD749" s="11">
        <v>921840.0</v>
      </c>
      <c r="DE749" s="11">
        <v>694870.0</v>
      </c>
      <c r="DF749" s="11">
        <v>3310000.0</v>
      </c>
      <c r="DG749" s="11">
        <v>3080000.0</v>
      </c>
      <c r="DH749" s="11">
        <v>2690000.0</v>
      </c>
      <c r="DI749" s="11">
        <v>2630000.0</v>
      </c>
      <c r="DJ749" s="11">
        <v>2420000.0</v>
      </c>
      <c r="DK749" s="11">
        <v>25200.0</v>
      </c>
      <c r="DL749" s="11">
        <v>15700.0</v>
      </c>
      <c r="DM749" s="11">
        <v>16400.0</v>
      </c>
      <c r="DN749" s="11">
        <v>14900.0</v>
      </c>
      <c r="DO749" s="11">
        <v>13600.0</v>
      </c>
      <c r="DP749" s="11">
        <v>1380000.0</v>
      </c>
      <c r="DQ749" s="11">
        <v>898400.0</v>
      </c>
      <c r="DR749" s="11">
        <v>1090000.0</v>
      </c>
      <c r="DS749" s="11">
        <v>986280.0</v>
      </c>
      <c r="DT749" s="11">
        <v>998000.0</v>
      </c>
      <c r="DU749" s="13"/>
      <c r="DV749" s="12"/>
      <c r="DW749" s="12"/>
      <c r="DX749" s="12"/>
      <c r="DY749" s="12"/>
      <c r="DZ749" s="11">
        <v>2270000.0</v>
      </c>
      <c r="EA749" s="11">
        <v>2100000.0</v>
      </c>
      <c r="EB749" s="11">
        <v>1840000.0</v>
      </c>
      <c r="EC749" s="11">
        <v>1410000.0</v>
      </c>
      <c r="ED749" s="11">
        <v>1300000.0</v>
      </c>
      <c r="EE749" s="14">
        <v>0.052</v>
      </c>
      <c r="EF749" s="14">
        <v>0.103</v>
      </c>
      <c r="EG749" s="14">
        <v>0.373</v>
      </c>
      <c r="EH749" s="14">
        <v>0.06</v>
      </c>
    </row>
    <row r="750">
      <c r="A750" s="9">
        <f t="shared" si="2"/>
        <v>748</v>
      </c>
      <c r="B750" s="18" t="s">
        <v>885</v>
      </c>
      <c r="C750" s="19">
        <v>5850000.0</v>
      </c>
      <c r="D750" s="19">
        <v>3120000.0</v>
      </c>
      <c r="E750" s="19">
        <v>8090000.0</v>
      </c>
      <c r="F750" s="19">
        <v>7660000.0</v>
      </c>
      <c r="G750" s="19">
        <v>7010000.0</v>
      </c>
      <c r="H750" s="19">
        <v>6630000.0</v>
      </c>
      <c r="I750" s="19">
        <v>6420000.0</v>
      </c>
      <c r="J750" s="19">
        <v>1110000.0</v>
      </c>
      <c r="K750" s="19">
        <v>997000.0</v>
      </c>
      <c r="L750" s="19">
        <v>1280000.0</v>
      </c>
      <c r="M750" s="19">
        <v>1560000.0</v>
      </c>
      <c r="N750" s="19">
        <v>1590000.0</v>
      </c>
      <c r="O750" s="19">
        <v>290000.0</v>
      </c>
      <c r="P750" s="19">
        <v>294000.0</v>
      </c>
      <c r="Q750" s="19">
        <v>271000.0</v>
      </c>
      <c r="R750" s="19">
        <v>259000.0</v>
      </c>
      <c r="S750" s="19">
        <v>264000.0</v>
      </c>
      <c r="T750" s="20"/>
      <c r="U750" s="20"/>
      <c r="V750" s="20"/>
      <c r="W750" s="20"/>
      <c r="X750" s="20"/>
      <c r="Y750" s="19">
        <v>800000.0</v>
      </c>
      <c r="Z750" s="19">
        <v>-437000.0</v>
      </c>
      <c r="AA750" s="20"/>
      <c r="AB750" s="19">
        <v>1000.0</v>
      </c>
      <c r="AC750" s="19">
        <v>13000.0</v>
      </c>
      <c r="AD750" s="19">
        <v>768000.0</v>
      </c>
      <c r="AE750" s="19">
        <v>219000.0</v>
      </c>
      <c r="AF750" s="19">
        <v>914000.0</v>
      </c>
      <c r="AG750" s="19">
        <v>1220000.0</v>
      </c>
      <c r="AH750" s="19">
        <v>1100000.0</v>
      </c>
      <c r="AI750" s="19">
        <v>1340000.0</v>
      </c>
      <c r="AJ750" s="19">
        <v>1170000.0</v>
      </c>
      <c r="AK750" s="19">
        <v>1450000.0</v>
      </c>
      <c r="AL750" s="19">
        <v>1700000.0</v>
      </c>
      <c r="AM750" s="19">
        <v>1670000.0</v>
      </c>
      <c r="AN750" s="19">
        <v>569000.0</v>
      </c>
      <c r="AO750" s="19">
        <v>189000.0</v>
      </c>
      <c r="AP750" s="19">
        <v>1130000.0</v>
      </c>
      <c r="AQ750" s="19">
        <v>759000.0</v>
      </c>
      <c r="AR750" s="19">
        <v>677000.0</v>
      </c>
      <c r="AS750" s="19">
        <v>1450000.0</v>
      </c>
      <c r="AT750" s="19">
        <v>1200000.0</v>
      </c>
      <c r="AU750" s="19">
        <v>1400000.0</v>
      </c>
      <c r="AV750" s="19">
        <v>1630000.0</v>
      </c>
      <c r="AW750" s="19">
        <v>1600000.0</v>
      </c>
      <c r="AX750" s="19">
        <v>-1160000.0</v>
      </c>
      <c r="AY750" s="19">
        <v>-1110000.0</v>
      </c>
      <c r="AZ750" s="19">
        <v>-1200000.0</v>
      </c>
      <c r="BA750" s="19">
        <v>-1010000.0</v>
      </c>
      <c r="BB750" s="19">
        <v>-941000.0</v>
      </c>
      <c r="BC750" s="20"/>
      <c r="BD750" s="20"/>
      <c r="BE750" s="20"/>
      <c r="BF750" s="20"/>
      <c r="BG750" s="20"/>
      <c r="BH750" s="19">
        <v>1330000.0</v>
      </c>
      <c r="BI750" s="19">
        <v>887000.0</v>
      </c>
      <c r="BJ750" s="19">
        <v>693000.0</v>
      </c>
      <c r="BK750" s="19">
        <v>971000.0</v>
      </c>
      <c r="BL750" s="19">
        <v>876000.0</v>
      </c>
      <c r="BM750" s="19">
        <v>231000.0</v>
      </c>
      <c r="BN750" s="19">
        <v>211000.0</v>
      </c>
      <c r="BO750" s="19">
        <v>245000.0</v>
      </c>
      <c r="BP750" s="19">
        <v>172000.0</v>
      </c>
      <c r="BQ750" s="19">
        <v>136000.0</v>
      </c>
      <c r="BR750" s="19">
        <v>81000.0</v>
      </c>
      <c r="BS750" s="19">
        <v>78000.0</v>
      </c>
      <c r="BT750" s="19">
        <v>55000.0</v>
      </c>
      <c r="BU750" s="19">
        <v>47000.0</v>
      </c>
      <c r="BV750" s="19">
        <v>44000.0</v>
      </c>
      <c r="BW750" s="19">
        <v>1790000.0</v>
      </c>
      <c r="BX750" s="19">
        <v>1390000.0</v>
      </c>
      <c r="BY750" s="19">
        <v>1210000.0</v>
      </c>
      <c r="BZ750" s="19">
        <v>1400000.0</v>
      </c>
      <c r="CA750" s="19">
        <v>1370000.0</v>
      </c>
      <c r="CB750" s="19">
        <v>9530000.0</v>
      </c>
      <c r="CC750" s="19">
        <v>9040000.0</v>
      </c>
      <c r="CD750" s="19">
        <v>8050000.0</v>
      </c>
      <c r="CE750" s="19">
        <v>7270000.0</v>
      </c>
      <c r="CF750" s="19">
        <v>6650000.0</v>
      </c>
      <c r="CG750" s="20"/>
      <c r="CH750" s="20"/>
      <c r="CI750" s="20"/>
      <c r="CJ750" s="20"/>
      <c r="CK750" s="20"/>
      <c r="CL750" s="19">
        <v>1.192E7</v>
      </c>
      <c r="CM750" s="19">
        <v>1.096E7</v>
      </c>
      <c r="CN750" s="19">
        <v>9780000.0</v>
      </c>
      <c r="CO750" s="19">
        <v>9320000.0</v>
      </c>
      <c r="CP750" s="19">
        <v>8640000.0</v>
      </c>
      <c r="CQ750" s="19">
        <v>401000.0</v>
      </c>
      <c r="CR750" s="19">
        <v>437000.0</v>
      </c>
      <c r="CS750" s="19">
        <v>378000.0</v>
      </c>
      <c r="CT750" s="19">
        <v>242000.0</v>
      </c>
      <c r="CU750" s="19">
        <v>205000.0</v>
      </c>
      <c r="CV750" s="19">
        <v>2660000.0</v>
      </c>
      <c r="CW750" s="19">
        <v>128000.0</v>
      </c>
      <c r="CX750" s="19">
        <v>133000.0</v>
      </c>
      <c r="CY750" s="20"/>
      <c r="CZ750" s="20"/>
      <c r="DA750" s="20"/>
      <c r="DB750" s="19">
        <v>2660000.0</v>
      </c>
      <c r="DC750" s="19">
        <v>2530000.0</v>
      </c>
      <c r="DD750" s="19">
        <v>2150000.0</v>
      </c>
      <c r="DE750" s="19">
        <v>2210000.0</v>
      </c>
      <c r="DF750" s="19">
        <v>7120000.0</v>
      </c>
      <c r="DG750" s="19">
        <v>6270000.0</v>
      </c>
      <c r="DH750" s="19">
        <v>5050000.0</v>
      </c>
      <c r="DI750" s="19">
        <v>5310000.0</v>
      </c>
      <c r="DJ750" s="19">
        <v>5430000.0</v>
      </c>
      <c r="DK750" s="19">
        <v>100000.0</v>
      </c>
      <c r="DL750" s="19">
        <v>73000.0</v>
      </c>
      <c r="DM750" s="19">
        <v>58000.0</v>
      </c>
      <c r="DN750" s="19">
        <v>152000.0</v>
      </c>
      <c r="DO750" s="19">
        <v>112000.0</v>
      </c>
      <c r="DP750" s="39">
        <v>2680000.0</v>
      </c>
      <c r="DQ750" s="39">
        <v>2160000.0</v>
      </c>
      <c r="DR750" s="39">
        <v>1440000.0</v>
      </c>
      <c r="DS750" s="39">
        <v>1650000.0</v>
      </c>
      <c r="DT750" s="39">
        <v>1850000.0</v>
      </c>
      <c r="DU750" s="20"/>
      <c r="DV750" s="27"/>
      <c r="DW750" s="20"/>
      <c r="DX750" s="20"/>
      <c r="DY750" s="27"/>
      <c r="DZ750" s="19">
        <v>4800000.0</v>
      </c>
      <c r="EA750" s="19">
        <v>4690000.0</v>
      </c>
      <c r="EB750" s="19">
        <v>4730000.0</v>
      </c>
      <c r="EC750" s="19">
        <v>4010000.0</v>
      </c>
      <c r="ED750" s="19">
        <v>3210000.0</v>
      </c>
      <c r="EE750" s="21">
        <v>0.205</v>
      </c>
      <c r="EF750" s="21">
        <v>0.533</v>
      </c>
      <c r="EG750" s="21">
        <v>-0.052</v>
      </c>
      <c r="EH750" s="21">
        <v>-0.011</v>
      </c>
    </row>
    <row r="751">
      <c r="A751" s="9">
        <f t="shared" si="2"/>
        <v>749</v>
      </c>
      <c r="B751" s="10" t="s">
        <v>886</v>
      </c>
      <c r="C751" s="15">
        <v>938900.0</v>
      </c>
      <c r="D751" s="15">
        <v>896600.0</v>
      </c>
      <c r="E751" s="15">
        <v>876200.0</v>
      </c>
      <c r="F751" s="15">
        <v>888930.0</v>
      </c>
      <c r="G751" s="15">
        <v>846640.0</v>
      </c>
      <c r="H751" s="15">
        <v>952060.0</v>
      </c>
      <c r="I751" s="15">
        <v>887250.0</v>
      </c>
      <c r="J751" s="15">
        <v>155240.0</v>
      </c>
      <c r="K751" s="15">
        <v>136880.0</v>
      </c>
      <c r="L751" s="15">
        <v>140550.0</v>
      </c>
      <c r="M751" s="15">
        <v>135760.0</v>
      </c>
      <c r="N751" s="15">
        <v>132060.0</v>
      </c>
      <c r="O751" s="15">
        <v>96720.0</v>
      </c>
      <c r="P751" s="15">
        <v>80690.0</v>
      </c>
      <c r="Q751" s="15">
        <v>82210.0</v>
      </c>
      <c r="R751" s="15">
        <v>84450.0</v>
      </c>
      <c r="S751" s="15">
        <v>80180.0</v>
      </c>
      <c r="T751" s="15">
        <v>892.0</v>
      </c>
      <c r="U751" s="15">
        <v>701.0</v>
      </c>
      <c r="V751" s="15">
        <v>658.0</v>
      </c>
      <c r="W751" s="15">
        <v>653.0</v>
      </c>
      <c r="X751" s="15">
        <v>979.0</v>
      </c>
      <c r="Y751" s="12"/>
      <c r="Z751" s="12"/>
      <c r="AA751" s="12"/>
      <c r="AB751" s="15"/>
      <c r="AC751" s="15"/>
      <c r="AD751" s="15">
        <v>52430.0</v>
      </c>
      <c r="AE751" s="15">
        <v>49350.0</v>
      </c>
      <c r="AF751" s="15">
        <v>54140.0</v>
      </c>
      <c r="AG751" s="15">
        <v>46460.0</v>
      </c>
      <c r="AH751" s="15">
        <v>44860.0</v>
      </c>
      <c r="AI751" s="15">
        <v>75570.0</v>
      </c>
      <c r="AJ751" s="15">
        <v>71620.0</v>
      </c>
      <c r="AK751" s="15">
        <v>73900.0</v>
      </c>
      <c r="AL751" s="15">
        <v>67900.0</v>
      </c>
      <c r="AM751" s="15">
        <v>68160.0</v>
      </c>
      <c r="AN751" s="15">
        <v>39470.0</v>
      </c>
      <c r="AO751" s="15">
        <v>32500.0</v>
      </c>
      <c r="AP751" s="15">
        <v>36130.0</v>
      </c>
      <c r="AQ751" s="15">
        <v>30400.0</v>
      </c>
      <c r="AR751" s="15">
        <v>29310.0</v>
      </c>
      <c r="AS751" s="15">
        <v>83460.0</v>
      </c>
      <c r="AT751" s="15">
        <v>66150.0</v>
      </c>
      <c r="AU751" s="15">
        <v>52670.0</v>
      </c>
      <c r="AV751" s="15">
        <v>89250.0</v>
      </c>
      <c r="AW751" s="15">
        <v>13930.0</v>
      </c>
      <c r="AX751" s="15">
        <v>-15080.0</v>
      </c>
      <c r="AY751" s="15">
        <v>-13230.0</v>
      </c>
      <c r="AZ751" s="15">
        <v>-10890.0</v>
      </c>
      <c r="BA751" s="15">
        <v>-15020.0</v>
      </c>
      <c r="BB751" s="15">
        <v>-14390.0</v>
      </c>
      <c r="BC751" s="15">
        <v>-29070.0</v>
      </c>
      <c r="BD751" s="15">
        <v>-28370.0</v>
      </c>
      <c r="BE751" s="15">
        <v>-56460.0</v>
      </c>
      <c r="BF751" s="15">
        <v>-22490.0</v>
      </c>
      <c r="BG751" s="15">
        <v>-16760.0</v>
      </c>
      <c r="BH751" s="15">
        <v>1590.0</v>
      </c>
      <c r="BI751" s="15">
        <v>1450.0</v>
      </c>
      <c r="BJ751" s="15">
        <v>1960.0</v>
      </c>
      <c r="BK751" s="15">
        <v>2220.0</v>
      </c>
      <c r="BL751" s="15">
        <v>1950.0</v>
      </c>
      <c r="BM751" s="15">
        <v>60970.0</v>
      </c>
      <c r="BN751" s="15">
        <v>65430.0</v>
      </c>
      <c r="BO751" s="15">
        <v>64830.0</v>
      </c>
      <c r="BP751" s="15">
        <v>78090.0</v>
      </c>
      <c r="BQ751" s="15">
        <v>75640.0</v>
      </c>
      <c r="BR751" s="15">
        <v>157020.0</v>
      </c>
      <c r="BS751" s="15">
        <v>174360.0</v>
      </c>
      <c r="BT751" s="15">
        <v>182420.0</v>
      </c>
      <c r="BU751" s="15">
        <v>156570.0</v>
      </c>
      <c r="BV751" s="15">
        <v>198000.0</v>
      </c>
      <c r="BW751" s="15">
        <v>225340.0</v>
      </c>
      <c r="BX751" s="15">
        <v>247880.0</v>
      </c>
      <c r="BY751" s="15">
        <v>253380.0</v>
      </c>
      <c r="BZ751" s="15">
        <v>242170.0</v>
      </c>
      <c r="CA751" s="15">
        <v>284310.0</v>
      </c>
      <c r="CB751" s="15">
        <v>97140.0</v>
      </c>
      <c r="CC751" s="15">
        <v>96190.0</v>
      </c>
      <c r="CD751" s="15">
        <v>96570.0</v>
      </c>
      <c r="CE751" s="15">
        <v>100910.0</v>
      </c>
      <c r="CF751" s="15">
        <v>110190.0</v>
      </c>
      <c r="CG751" s="15">
        <v>9650.0</v>
      </c>
      <c r="CH751" s="15">
        <v>9650.0</v>
      </c>
      <c r="CI751" s="15"/>
      <c r="CJ751" s="15"/>
      <c r="CK751" s="15"/>
      <c r="CL751" s="15">
        <v>391300.0</v>
      </c>
      <c r="CM751" s="15">
        <v>415850.0</v>
      </c>
      <c r="CN751" s="15">
        <v>398060.0</v>
      </c>
      <c r="CO751" s="15">
        <v>391160.0</v>
      </c>
      <c r="CP751" s="15">
        <v>431940.0</v>
      </c>
      <c r="CQ751" s="15">
        <v>42550.0</v>
      </c>
      <c r="CR751" s="15">
        <v>60340.0</v>
      </c>
      <c r="CS751" s="15">
        <v>50050.0</v>
      </c>
      <c r="CT751" s="15">
        <v>43720.0</v>
      </c>
      <c r="CU751" s="15">
        <v>45720.0</v>
      </c>
      <c r="CV751" s="15">
        <v>83910.0</v>
      </c>
      <c r="CW751" s="15">
        <v>901.0</v>
      </c>
      <c r="CX751" s="15">
        <v>33340.0</v>
      </c>
      <c r="CY751" s="15">
        <v>30390.0</v>
      </c>
      <c r="CZ751" s="15">
        <v>12900.0</v>
      </c>
      <c r="DA751" s="15">
        <v>62190.0</v>
      </c>
      <c r="DB751" s="15">
        <v>83910.0</v>
      </c>
      <c r="DC751" s="15">
        <v>117190.0</v>
      </c>
      <c r="DD751" s="15">
        <v>109870.0</v>
      </c>
      <c r="DE751" s="15">
        <v>83190.0</v>
      </c>
      <c r="DF751" s="15">
        <v>136750.0</v>
      </c>
      <c r="DG751" s="15">
        <v>172850.0</v>
      </c>
      <c r="DH751" s="15">
        <v>162590.0</v>
      </c>
      <c r="DI751" s="15">
        <v>139970.0</v>
      </c>
      <c r="DJ751" s="15">
        <v>190660.0</v>
      </c>
      <c r="DK751" s="15">
        <v>29040.0</v>
      </c>
      <c r="DL751" s="15">
        <v>28890.0</v>
      </c>
      <c r="DM751" s="15">
        <v>28890.0</v>
      </c>
      <c r="DN751" s="15">
        <v>28890.0</v>
      </c>
      <c r="DO751" s="15">
        <v>20840.0</v>
      </c>
      <c r="DP751" s="15">
        <v>20380.0</v>
      </c>
      <c r="DQ751" s="15">
        <v>27360.0</v>
      </c>
      <c r="DR751" s="15">
        <v>25210.0</v>
      </c>
      <c r="DS751" s="15">
        <v>28700.0</v>
      </c>
      <c r="DT751" s="15">
        <v>32290.0</v>
      </c>
      <c r="DU751" s="13"/>
      <c r="DV751" s="12"/>
      <c r="DW751" s="12"/>
      <c r="DX751" s="13"/>
      <c r="DY751" s="13"/>
      <c r="DZ751" s="15">
        <v>254560.0</v>
      </c>
      <c r="EA751" s="15">
        <v>243000.0</v>
      </c>
      <c r="EB751" s="15">
        <v>235470.0</v>
      </c>
      <c r="EC751" s="15">
        <v>251190.0</v>
      </c>
      <c r="ED751" s="15">
        <v>241280.0</v>
      </c>
      <c r="EE751" s="17">
        <v>0.0</v>
      </c>
      <c r="EF751" s="17">
        <v>0.0</v>
      </c>
      <c r="EG751" s="17">
        <v>0.773</v>
      </c>
      <c r="EH751" s="17">
        <v>0.462</v>
      </c>
    </row>
    <row r="752">
      <c r="A752" s="9">
        <f t="shared" si="2"/>
        <v>750</v>
      </c>
      <c r="B752" s="10" t="s">
        <v>887</v>
      </c>
      <c r="C752" s="11">
        <v>9130000.0</v>
      </c>
      <c r="D752" s="11">
        <v>9140000.0</v>
      </c>
      <c r="E752" s="11">
        <v>1.117E7</v>
      </c>
      <c r="F752" s="11">
        <v>1.202E7</v>
      </c>
      <c r="G752" s="11">
        <v>1.287E7</v>
      </c>
      <c r="H752" s="11">
        <v>1.255E7</v>
      </c>
      <c r="I752" s="11">
        <v>1.263E7</v>
      </c>
      <c r="J752" s="11">
        <v>3610000.0</v>
      </c>
      <c r="K752" s="11">
        <v>3590000.0</v>
      </c>
      <c r="L752" s="11">
        <v>4100000.0</v>
      </c>
      <c r="M752" s="11">
        <v>3870000.0</v>
      </c>
      <c r="N752" s="11">
        <v>3940000.0</v>
      </c>
      <c r="O752" s="11">
        <v>3590000.0</v>
      </c>
      <c r="P752" s="11">
        <v>3600000.0</v>
      </c>
      <c r="Q752" s="11">
        <v>3850000.0</v>
      </c>
      <c r="R752" s="11">
        <v>3560000.0</v>
      </c>
      <c r="S752" s="11">
        <v>3940000.0</v>
      </c>
      <c r="T752" s="12"/>
      <c r="U752" s="12"/>
      <c r="V752" s="12"/>
      <c r="W752" s="12"/>
      <c r="X752" s="12"/>
      <c r="Y752" s="11">
        <v>-22000.0</v>
      </c>
      <c r="Z752" s="11">
        <v>-98000.0</v>
      </c>
      <c r="AA752" s="11">
        <v>-227000.0</v>
      </c>
      <c r="AB752" s="11">
        <v>-56000.0</v>
      </c>
      <c r="AC752" s="11">
        <v>-158000.0</v>
      </c>
      <c r="AD752" s="11">
        <v>-265000.0</v>
      </c>
      <c r="AE752" s="11">
        <v>-271000.0</v>
      </c>
      <c r="AF752" s="11">
        <v>-244000.0</v>
      </c>
      <c r="AG752" s="11">
        <v>2000.0</v>
      </c>
      <c r="AH752" s="11">
        <v>-504000.0</v>
      </c>
      <c r="AI752" s="11">
        <v>569000.0</v>
      </c>
      <c r="AJ752" s="11">
        <v>553000.0</v>
      </c>
      <c r="AK752" s="11">
        <v>816000.0</v>
      </c>
      <c r="AL752" s="11">
        <v>924000.0</v>
      </c>
      <c r="AM752" s="11">
        <v>572000.0</v>
      </c>
      <c r="AN752" s="11">
        <v>-268000.0</v>
      </c>
      <c r="AO752" s="11">
        <v>-255000.0</v>
      </c>
      <c r="AP752" s="11">
        <v>-118000.0</v>
      </c>
      <c r="AQ752" s="11">
        <v>1000.0</v>
      </c>
      <c r="AR752" s="11">
        <v>-513000.0</v>
      </c>
      <c r="AS752" s="11">
        <v>428000.0</v>
      </c>
      <c r="AT752" s="11">
        <v>359000.0</v>
      </c>
      <c r="AU752" s="11">
        <v>454000.0</v>
      </c>
      <c r="AV752" s="11">
        <v>334000.0</v>
      </c>
      <c r="AW752" s="11">
        <v>440000.0</v>
      </c>
      <c r="AX752" s="11">
        <v>-309000.0</v>
      </c>
      <c r="AY752" s="11">
        <v>-392000.0</v>
      </c>
      <c r="AZ752" s="11">
        <v>-395000.0</v>
      </c>
      <c r="BA752" s="11">
        <v>-427000.0</v>
      </c>
      <c r="BB752" s="11">
        <v>-320000.0</v>
      </c>
      <c r="BC752" s="12"/>
      <c r="BD752" s="12"/>
      <c r="BE752" s="12"/>
      <c r="BF752" s="12"/>
      <c r="BG752" s="12"/>
      <c r="BH752" s="11">
        <v>386000.0</v>
      </c>
      <c r="BI752" s="11">
        <v>333000.0</v>
      </c>
      <c r="BJ752" s="11">
        <v>458000.0</v>
      </c>
      <c r="BK752" s="11">
        <v>887000.0</v>
      </c>
      <c r="BL752" s="11">
        <v>900000.0</v>
      </c>
      <c r="BM752" s="11"/>
      <c r="BN752" s="11"/>
      <c r="BO752" s="11"/>
      <c r="BP752" s="11"/>
      <c r="BQ752" s="11"/>
      <c r="BR752" s="11">
        <v>2170000.0</v>
      </c>
      <c r="BS752" s="11">
        <v>2440000.0</v>
      </c>
      <c r="BT752" s="11">
        <v>2800000.0</v>
      </c>
      <c r="BU752" s="11">
        <v>2850000.0</v>
      </c>
      <c r="BV752" s="11">
        <v>2720000.0</v>
      </c>
      <c r="BW752" s="11">
        <v>2730000.0</v>
      </c>
      <c r="BX752" s="11">
        <v>2960000.0</v>
      </c>
      <c r="BY752" s="11">
        <v>3450000.0</v>
      </c>
      <c r="BZ752" s="11">
        <v>3900000.0</v>
      </c>
      <c r="CA752" s="11">
        <v>4020000.0</v>
      </c>
      <c r="CB752" s="11">
        <v>4490000.0</v>
      </c>
      <c r="CC752" s="11">
        <v>3940000.0</v>
      </c>
      <c r="CD752" s="11">
        <v>4280000.0</v>
      </c>
      <c r="CE752" s="11">
        <v>4600000.0</v>
      </c>
      <c r="CF752" s="11">
        <v>4820000.0</v>
      </c>
      <c r="CG752" s="11"/>
      <c r="CH752" s="11"/>
      <c r="CI752" s="11"/>
      <c r="CJ752" s="11"/>
      <c r="CK752" s="11"/>
      <c r="CL752" s="11">
        <v>8390000.0</v>
      </c>
      <c r="CM752" s="11">
        <v>7870000.0</v>
      </c>
      <c r="CN752" s="11">
        <v>8680000.0</v>
      </c>
      <c r="CO752" s="11">
        <v>9560000.0</v>
      </c>
      <c r="CP752" s="11">
        <v>9440000.0</v>
      </c>
      <c r="CQ752" s="11">
        <v>786000.0</v>
      </c>
      <c r="CR752" s="11">
        <v>847000.0</v>
      </c>
      <c r="CS752" s="11">
        <v>973000.0</v>
      </c>
      <c r="CT752" s="11">
        <v>977000.0</v>
      </c>
      <c r="CU752" s="11">
        <v>925000.0</v>
      </c>
      <c r="CV752" s="11">
        <v>1930000.0</v>
      </c>
      <c r="CW752" s="11">
        <v>67000.0</v>
      </c>
      <c r="CX752" s="12"/>
      <c r="CY752" s="13"/>
      <c r="CZ752" s="13"/>
      <c r="DA752" s="12"/>
      <c r="DB752" s="11">
        <v>1930000.0</v>
      </c>
      <c r="DC752" s="11">
        <v>1940000.0</v>
      </c>
      <c r="DD752" s="11">
        <v>2370000.0</v>
      </c>
      <c r="DE752" s="11">
        <v>2420000.0</v>
      </c>
      <c r="DF752" s="11">
        <v>7560000.0</v>
      </c>
      <c r="DG752" s="11">
        <v>6700000.0</v>
      </c>
      <c r="DH752" s="11">
        <v>7300000.0</v>
      </c>
      <c r="DI752" s="11">
        <v>8210000.0</v>
      </c>
      <c r="DJ752" s="11">
        <v>8130000.0</v>
      </c>
      <c r="DK752" s="12"/>
      <c r="DL752" s="11">
        <v>11000.0</v>
      </c>
      <c r="DM752" s="11">
        <v>14000.0</v>
      </c>
      <c r="DN752" s="11">
        <v>13000.0</v>
      </c>
      <c r="DO752" s="11">
        <v>31000.0</v>
      </c>
      <c r="DP752" s="11">
        <v>4680000.0</v>
      </c>
      <c r="DQ752" s="11">
        <v>3920000.0</v>
      </c>
      <c r="DR752" s="11">
        <v>3990000.0</v>
      </c>
      <c r="DS752" s="11">
        <v>4560000.0</v>
      </c>
      <c r="DT752" s="11">
        <v>4680000.0</v>
      </c>
      <c r="DU752" s="13"/>
      <c r="DV752" s="12"/>
      <c r="DW752" s="12"/>
      <c r="DX752" s="12"/>
      <c r="DY752" s="12"/>
      <c r="DZ752" s="11">
        <v>829000.0</v>
      </c>
      <c r="EA752" s="11">
        <v>1170000.0</v>
      </c>
      <c r="EB752" s="11">
        <v>1380000.0</v>
      </c>
      <c r="EC752" s="11">
        <v>1350000.0</v>
      </c>
      <c r="ED752" s="11">
        <v>1310000.0</v>
      </c>
      <c r="EE752" s="14">
        <v>0.0</v>
      </c>
      <c r="EF752" s="14">
        <v>0.0</v>
      </c>
      <c r="EG752" s="14">
        <v>3.167</v>
      </c>
      <c r="EH752" s="14">
        <v>0.958</v>
      </c>
    </row>
    <row r="753">
      <c r="A753" s="9">
        <f t="shared" si="2"/>
        <v>751</v>
      </c>
      <c r="B753" s="32" t="s">
        <v>888</v>
      </c>
      <c r="C753" s="11">
        <v>4170000.0</v>
      </c>
      <c r="D753" s="11">
        <v>3990000.0</v>
      </c>
      <c r="E753" s="11">
        <v>4290000.0</v>
      </c>
      <c r="F753" s="11">
        <v>4350000.0</v>
      </c>
      <c r="G753" s="11">
        <v>3760000.0</v>
      </c>
      <c r="H753" s="11">
        <v>3670000.0</v>
      </c>
      <c r="I753" s="11">
        <v>3380000.0</v>
      </c>
      <c r="J753" s="11">
        <v>862660.0</v>
      </c>
      <c r="K753" s="11">
        <v>909840.0</v>
      </c>
      <c r="L753" s="11">
        <v>841590.0</v>
      </c>
      <c r="M753" s="11">
        <v>766710.0</v>
      </c>
      <c r="N753" s="11">
        <v>657670.0</v>
      </c>
      <c r="O753" s="11">
        <v>643190.0</v>
      </c>
      <c r="P753" s="11">
        <v>717370.0</v>
      </c>
      <c r="Q753" s="11">
        <v>561320.0</v>
      </c>
      <c r="R753" s="11">
        <v>554780.0</v>
      </c>
      <c r="S753" s="11">
        <v>503860.0</v>
      </c>
      <c r="T753" s="12"/>
      <c r="U753" s="12"/>
      <c r="V753" s="12"/>
      <c r="W753" s="12"/>
      <c r="X753" s="12"/>
      <c r="Y753" s="11">
        <v>181860.0</v>
      </c>
      <c r="Z753" s="11">
        <v>-30850.0</v>
      </c>
      <c r="AA753" s="11">
        <v>-47310.0</v>
      </c>
      <c r="AB753" s="11">
        <v>-8080.0</v>
      </c>
      <c r="AC753" s="11">
        <v>134890.0</v>
      </c>
      <c r="AD753" s="11">
        <v>120050.0</v>
      </c>
      <c r="AE753" s="11">
        <v>131110.0</v>
      </c>
      <c r="AF753" s="11">
        <v>145760.0</v>
      </c>
      <c r="AG753" s="11">
        <v>130320.0</v>
      </c>
      <c r="AH753" s="11">
        <v>85960.0</v>
      </c>
      <c r="AI753" s="11">
        <v>353430.0</v>
      </c>
      <c r="AJ753" s="11">
        <v>317570.0</v>
      </c>
      <c r="AK753" s="11">
        <v>391540.0</v>
      </c>
      <c r="AL753" s="11">
        <v>319930.0</v>
      </c>
      <c r="AM753" s="11">
        <v>249010.0</v>
      </c>
      <c r="AN753" s="11">
        <v>62970.0</v>
      </c>
      <c r="AO753" s="11">
        <v>141910.0</v>
      </c>
      <c r="AP753" s="11">
        <v>10790.0</v>
      </c>
      <c r="AQ753" s="11">
        <v>380510.0</v>
      </c>
      <c r="AR753" s="11">
        <v>93770.0</v>
      </c>
      <c r="AS753" s="11">
        <v>302710.0</v>
      </c>
      <c r="AT753" s="11">
        <v>219650.0</v>
      </c>
      <c r="AU753" s="11">
        <v>265790.0</v>
      </c>
      <c r="AV753" s="11">
        <v>201660.0</v>
      </c>
      <c r="AW753" s="11">
        <v>172340.0</v>
      </c>
      <c r="AX753" s="11">
        <v>-136190.0</v>
      </c>
      <c r="AY753" s="11">
        <v>-118700.0</v>
      </c>
      <c r="AZ753" s="11">
        <v>-63050.0</v>
      </c>
      <c r="BA753" s="11">
        <v>-79500.0</v>
      </c>
      <c r="BB753" s="11">
        <v>-77690.0</v>
      </c>
      <c r="BC753" s="13"/>
      <c r="BD753" s="13"/>
      <c r="BE753" s="13"/>
      <c r="BF753" s="11">
        <v>-404200.0</v>
      </c>
      <c r="BG753" s="11">
        <v>-419220.0</v>
      </c>
      <c r="BH753" s="11">
        <v>229880.0</v>
      </c>
      <c r="BI753" s="11">
        <v>117620.0</v>
      </c>
      <c r="BJ753" s="11">
        <v>256230.0</v>
      </c>
      <c r="BK753" s="11">
        <v>103450.0</v>
      </c>
      <c r="BL753" s="11">
        <v>114280.0</v>
      </c>
      <c r="BM753" s="11">
        <v>478800.0</v>
      </c>
      <c r="BN753" s="11">
        <v>482370.0</v>
      </c>
      <c r="BO753" s="11">
        <v>457490.0</v>
      </c>
      <c r="BP753" s="11">
        <v>413800.0</v>
      </c>
      <c r="BQ753" s="11">
        <v>321080.0</v>
      </c>
      <c r="BR753" s="11">
        <v>505080.0</v>
      </c>
      <c r="BS753" s="11">
        <v>508500.0</v>
      </c>
      <c r="BT753" s="11">
        <v>405350.0</v>
      </c>
      <c r="BU753" s="11">
        <v>334630.0</v>
      </c>
      <c r="BV753" s="11">
        <v>343740.0</v>
      </c>
      <c r="BW753" s="11">
        <v>1240000.0</v>
      </c>
      <c r="BX753" s="11">
        <v>1150000.0</v>
      </c>
      <c r="BY753" s="11">
        <v>1150000.0</v>
      </c>
      <c r="BZ753" s="11">
        <v>877500.0</v>
      </c>
      <c r="CA753" s="11">
        <v>814420.0</v>
      </c>
      <c r="CB753" s="11">
        <v>1070000.0</v>
      </c>
      <c r="CC753" s="11">
        <v>843400.0</v>
      </c>
      <c r="CD753" s="11">
        <v>756710.0</v>
      </c>
      <c r="CE753" s="11">
        <v>704650.0</v>
      </c>
      <c r="CF753" s="11">
        <v>720840.0</v>
      </c>
      <c r="CG753" s="11">
        <v>602500.0</v>
      </c>
      <c r="CH753" s="11">
        <v>585940.0</v>
      </c>
      <c r="CI753" s="11">
        <v>549060.0</v>
      </c>
      <c r="CJ753" s="11">
        <v>486920.0</v>
      </c>
      <c r="CK753" s="11">
        <v>482510.0</v>
      </c>
      <c r="CL753" s="11">
        <v>3380000.0</v>
      </c>
      <c r="CM753" s="11">
        <v>3050000.0</v>
      </c>
      <c r="CN753" s="11">
        <v>2860000.0</v>
      </c>
      <c r="CO753" s="11">
        <v>2540000.0</v>
      </c>
      <c r="CP753" s="11">
        <v>2180000.0</v>
      </c>
      <c r="CQ753" s="11">
        <v>294950.0</v>
      </c>
      <c r="CR753" s="11">
        <v>249980.0</v>
      </c>
      <c r="CS753" s="11">
        <v>259930.0</v>
      </c>
      <c r="CT753" s="11">
        <v>188910.0</v>
      </c>
      <c r="CU753" s="11">
        <v>166690.0</v>
      </c>
      <c r="CV753" s="11">
        <v>768790.0</v>
      </c>
      <c r="CW753" s="11">
        <v>45250.0</v>
      </c>
      <c r="CX753" s="12"/>
      <c r="CY753" s="12"/>
      <c r="CZ753" s="11">
        <v>205.0</v>
      </c>
      <c r="DA753" s="11">
        <v>385.0</v>
      </c>
      <c r="DB753" s="11">
        <v>768790.0</v>
      </c>
      <c r="DC753" s="11">
        <v>672240.0</v>
      </c>
      <c r="DD753" s="11">
        <v>577520.0</v>
      </c>
      <c r="DE753" s="11">
        <v>513210.0</v>
      </c>
      <c r="DF753" s="11">
        <v>2570000.0</v>
      </c>
      <c r="DG753" s="11">
        <v>2290000.0</v>
      </c>
      <c r="DH753" s="11">
        <v>2070000.0</v>
      </c>
      <c r="DI753" s="11">
        <v>2320000.0</v>
      </c>
      <c r="DJ753" s="11">
        <v>1930000.0</v>
      </c>
      <c r="DK753" s="11">
        <v>375.0</v>
      </c>
      <c r="DL753" s="11">
        <v>366.0</v>
      </c>
      <c r="DM753" s="11">
        <v>33190.0</v>
      </c>
      <c r="DN753" s="11">
        <v>29480.0</v>
      </c>
      <c r="DO753" s="11">
        <v>26200.0</v>
      </c>
      <c r="DP753" s="11">
        <v>1620000.0</v>
      </c>
      <c r="DQ753" s="11">
        <v>1420000.0</v>
      </c>
      <c r="DR753" s="11">
        <v>1260000.0</v>
      </c>
      <c r="DS753" s="11">
        <v>1600000.0</v>
      </c>
      <c r="DT753" s="11">
        <v>1240000.0</v>
      </c>
      <c r="DU753" s="13"/>
      <c r="DV753" s="12"/>
      <c r="DW753" s="12"/>
      <c r="DX753" s="11">
        <v>150960.0</v>
      </c>
      <c r="DY753" s="11">
        <v>481940.0</v>
      </c>
      <c r="DZ753" s="11">
        <v>812090.0</v>
      </c>
      <c r="EA753" s="11">
        <v>761630.0</v>
      </c>
      <c r="EB753" s="11">
        <v>792040.0</v>
      </c>
      <c r="EC753" s="11">
        <v>212550.0</v>
      </c>
      <c r="ED753" s="11">
        <v>250190.0</v>
      </c>
      <c r="EE753" s="14">
        <v>0.058</v>
      </c>
      <c r="EF753" s="14">
        <v>0.062</v>
      </c>
      <c r="EG753" s="14">
        <v>0.3</v>
      </c>
      <c r="EH753" s="14">
        <v>-0.065</v>
      </c>
    </row>
    <row r="754">
      <c r="A754" s="9">
        <f t="shared" si="2"/>
        <v>752</v>
      </c>
      <c r="B754" s="32" t="s">
        <v>889</v>
      </c>
      <c r="C754" s="11">
        <v>2020000.0</v>
      </c>
      <c r="D754" s="11">
        <v>1900000.0</v>
      </c>
      <c r="E754" s="11">
        <v>3830000.0</v>
      </c>
      <c r="F754" s="11">
        <v>3440000.0</v>
      </c>
      <c r="G754" s="11">
        <v>2660000.0</v>
      </c>
      <c r="H754" s="11">
        <v>2550000.0</v>
      </c>
      <c r="I754" s="11">
        <v>2350000.0</v>
      </c>
      <c r="J754" s="11">
        <v>1370000.0</v>
      </c>
      <c r="K754" s="11">
        <v>1140000.0</v>
      </c>
      <c r="L754" s="11">
        <v>945080.0</v>
      </c>
      <c r="M754" s="11">
        <v>896990.0</v>
      </c>
      <c r="N754" s="11">
        <v>865010.0</v>
      </c>
      <c r="O754" s="11">
        <v>638750.0</v>
      </c>
      <c r="P754" s="11">
        <v>570250.0</v>
      </c>
      <c r="Q754" s="11">
        <v>451400.0</v>
      </c>
      <c r="R754" s="11">
        <v>427640.0</v>
      </c>
      <c r="S754" s="11">
        <v>386030.0</v>
      </c>
      <c r="T754" s="11">
        <v>48170.0</v>
      </c>
      <c r="U754" s="11">
        <v>51980.0</v>
      </c>
      <c r="V754" s="11">
        <v>44480.0</v>
      </c>
      <c r="W754" s="11">
        <v>40250.0</v>
      </c>
      <c r="X754" s="11">
        <v>40140.0</v>
      </c>
      <c r="Y754" s="11">
        <v>401700.0</v>
      </c>
      <c r="Z754" s="11">
        <v>516490.0</v>
      </c>
      <c r="AA754" s="11">
        <v>265200.0</v>
      </c>
      <c r="AB754" s="11">
        <v>585590.0</v>
      </c>
      <c r="AC754" s="11">
        <v>7080.0</v>
      </c>
      <c r="AD754" s="11">
        <v>423000.0</v>
      </c>
      <c r="AE754" s="11">
        <v>412260.0</v>
      </c>
      <c r="AF754" s="11">
        <v>225380.0</v>
      </c>
      <c r="AG754" s="11">
        <v>487550.0</v>
      </c>
      <c r="AH754" s="11">
        <v>449720.0</v>
      </c>
      <c r="AI754" s="11">
        <v>921340.0</v>
      </c>
      <c r="AJ754" s="11">
        <v>711380.0</v>
      </c>
      <c r="AK754" s="11">
        <v>608630.0</v>
      </c>
      <c r="AL754" s="11">
        <v>642050.0</v>
      </c>
      <c r="AM754" s="11">
        <v>582790.0</v>
      </c>
      <c r="AN754" s="11">
        <v>354700.0</v>
      </c>
      <c r="AO754" s="11">
        <v>313790.0</v>
      </c>
      <c r="AP754" s="11">
        <v>188910.0</v>
      </c>
      <c r="AQ754" s="11">
        <v>367320.0</v>
      </c>
      <c r="AR754" s="11">
        <v>332560.0</v>
      </c>
      <c r="AS754" s="11">
        <v>648740.0</v>
      </c>
      <c r="AT754" s="11">
        <v>387030.0</v>
      </c>
      <c r="AU754" s="11">
        <v>258350.0</v>
      </c>
      <c r="AV754" s="11">
        <v>386850.0</v>
      </c>
      <c r="AW754" s="11">
        <v>217850.0</v>
      </c>
      <c r="AX754" s="11">
        <v>-284640.0</v>
      </c>
      <c r="AY754" s="11">
        <v>-412950.0</v>
      </c>
      <c r="AZ754" s="11">
        <v>-269600.0</v>
      </c>
      <c r="BA754" s="11">
        <v>-144800.0</v>
      </c>
      <c r="BB754" s="11">
        <v>-104770.0</v>
      </c>
      <c r="BC754" s="11">
        <v>-232940.0</v>
      </c>
      <c r="BD754" s="11">
        <v>-236030.0</v>
      </c>
      <c r="BE754" s="11">
        <v>-229510.0</v>
      </c>
      <c r="BF754" s="11">
        <v>-234880.0</v>
      </c>
      <c r="BG754" s="11">
        <v>-335420.0</v>
      </c>
      <c r="BH754" s="11">
        <v>338860.0</v>
      </c>
      <c r="BI754" s="11">
        <v>198920.0</v>
      </c>
      <c r="BJ754" s="11">
        <v>458380.0</v>
      </c>
      <c r="BK754" s="11">
        <v>252740.0</v>
      </c>
      <c r="BL754" s="11">
        <v>167830.0</v>
      </c>
      <c r="BM754" s="11">
        <v>577890.0</v>
      </c>
      <c r="BN754" s="11">
        <v>352080.0</v>
      </c>
      <c r="BO754" s="11">
        <v>261650.0</v>
      </c>
      <c r="BP754" s="11">
        <v>265060.0</v>
      </c>
      <c r="BQ754" s="11">
        <v>246080.0</v>
      </c>
      <c r="BR754" s="11">
        <v>498490.0</v>
      </c>
      <c r="BS754" s="11">
        <v>446820.0</v>
      </c>
      <c r="BT754" s="11">
        <v>333360.0</v>
      </c>
      <c r="BU754" s="11">
        <v>265980.0</v>
      </c>
      <c r="BV754" s="11">
        <v>250890.0</v>
      </c>
      <c r="BW754" s="11">
        <v>1480000.0</v>
      </c>
      <c r="BX754" s="11">
        <v>1060000.0</v>
      </c>
      <c r="BY754" s="11">
        <v>1100000.0</v>
      </c>
      <c r="BZ754" s="11">
        <v>828600.0</v>
      </c>
      <c r="CA754" s="11">
        <v>694570.0</v>
      </c>
      <c r="CB754" s="11">
        <v>2260000.0</v>
      </c>
      <c r="CC754" s="11">
        <v>1950000.0</v>
      </c>
      <c r="CD754" s="11">
        <v>1290000.0</v>
      </c>
      <c r="CE754" s="11">
        <v>1150000.0</v>
      </c>
      <c r="CF754" s="11">
        <v>1130000.0</v>
      </c>
      <c r="CG754" s="11">
        <v>321710.0</v>
      </c>
      <c r="CH754" s="11">
        <v>283100.0</v>
      </c>
      <c r="CI754" s="12"/>
      <c r="CJ754" s="12"/>
      <c r="CK754" s="12"/>
      <c r="CL754" s="11">
        <v>6580000.0</v>
      </c>
      <c r="CM754" s="11">
        <v>5680000.0</v>
      </c>
      <c r="CN754" s="11">
        <v>3060000.0</v>
      </c>
      <c r="CO754" s="11">
        <v>2640000.0</v>
      </c>
      <c r="CP754" s="11">
        <v>2640000.0</v>
      </c>
      <c r="CQ754" s="11">
        <v>247200.0</v>
      </c>
      <c r="CR754" s="11">
        <v>200460.0</v>
      </c>
      <c r="CS754" s="11">
        <v>145750.0</v>
      </c>
      <c r="CT754" s="11">
        <v>142100.0</v>
      </c>
      <c r="CU754" s="11">
        <v>100360.0</v>
      </c>
      <c r="CV754" s="11">
        <v>833270.0</v>
      </c>
      <c r="CW754" s="11">
        <v>23360.0</v>
      </c>
      <c r="CX754" s="13"/>
      <c r="CY754" s="13"/>
      <c r="CZ754" s="11">
        <v>68690.0</v>
      </c>
      <c r="DA754" s="11">
        <v>65910.0</v>
      </c>
      <c r="DB754" s="11">
        <v>833270.0</v>
      </c>
      <c r="DC754" s="11">
        <v>679950.0</v>
      </c>
      <c r="DD754" s="11">
        <v>514440.0</v>
      </c>
      <c r="DE754" s="11">
        <v>562100.0</v>
      </c>
      <c r="DF754" s="11">
        <v>4890000.0</v>
      </c>
      <c r="DG754" s="11">
        <v>4310000.0</v>
      </c>
      <c r="DH754" s="11">
        <v>3350000.0</v>
      </c>
      <c r="DI754" s="11">
        <v>2920000.0</v>
      </c>
      <c r="DJ754" s="11">
        <v>2930000.0</v>
      </c>
      <c r="DK754" s="12"/>
      <c r="DL754" s="12"/>
      <c r="DM754" s="12"/>
      <c r="DN754" s="12"/>
      <c r="DO754" s="12"/>
      <c r="DP754" s="11">
        <v>2280000.0</v>
      </c>
      <c r="DQ754" s="11">
        <v>1940000.0</v>
      </c>
      <c r="DR754" s="11">
        <v>1150000.0</v>
      </c>
      <c r="DS754" s="11">
        <v>739990.0</v>
      </c>
      <c r="DT754" s="11">
        <v>652320.0</v>
      </c>
      <c r="DU754" s="13"/>
      <c r="DV754" s="12"/>
      <c r="DW754" s="12"/>
      <c r="DX754" s="13"/>
      <c r="DY754" s="12"/>
      <c r="DZ754" s="11">
        <v>1690000.0</v>
      </c>
      <c r="EA754" s="11">
        <v>1370000.0</v>
      </c>
      <c r="EB754" s="11">
        <v>-288770.0</v>
      </c>
      <c r="EC754" s="11">
        <v>-278170.0</v>
      </c>
      <c r="ED754" s="11">
        <v>-292750.0</v>
      </c>
      <c r="EE754" s="14">
        <v>0.0</v>
      </c>
      <c r="EF754" s="14">
        <v>0.0</v>
      </c>
      <c r="EG754" s="14">
        <v>1.125</v>
      </c>
      <c r="EH754" s="14"/>
    </row>
    <row r="755">
      <c r="A755" s="9">
        <f t="shared" si="2"/>
        <v>753</v>
      </c>
      <c r="B755" s="10" t="s">
        <v>890</v>
      </c>
      <c r="C755" s="11">
        <v>565000.0</v>
      </c>
      <c r="D755" s="11">
        <v>493000.0</v>
      </c>
      <c r="E755" s="11">
        <v>691350.0</v>
      </c>
      <c r="F755" s="11">
        <v>706260.0</v>
      </c>
      <c r="G755" s="11">
        <v>698150.0</v>
      </c>
      <c r="H755" s="11">
        <v>639060.0</v>
      </c>
      <c r="I755" s="11">
        <v>562020.0</v>
      </c>
      <c r="J755" s="11">
        <v>390660.0</v>
      </c>
      <c r="K755" s="11">
        <v>460280.0</v>
      </c>
      <c r="L755" s="11">
        <v>464080.0</v>
      </c>
      <c r="M755" s="11">
        <v>427940.0</v>
      </c>
      <c r="N755" s="11">
        <v>362690.0</v>
      </c>
      <c r="O755" s="11">
        <v>369630.0</v>
      </c>
      <c r="P755" s="11">
        <v>399040.0</v>
      </c>
      <c r="Q755" s="11">
        <v>392730.0</v>
      </c>
      <c r="R755" s="11">
        <v>368530.0</v>
      </c>
      <c r="S755" s="11">
        <v>326630.0</v>
      </c>
      <c r="T755" s="11"/>
      <c r="U755" s="11"/>
      <c r="V755" s="11"/>
      <c r="W755" s="11"/>
      <c r="X755" s="11"/>
      <c r="Y755" s="11">
        <v>-112020.0</v>
      </c>
      <c r="Z755" s="12"/>
      <c r="AA755" s="11">
        <v>69290.0</v>
      </c>
      <c r="AB755" s="12"/>
      <c r="AC755" s="11">
        <v>22720.0</v>
      </c>
      <c r="AD755" s="11">
        <v>-131590.0</v>
      </c>
      <c r="AE755" s="11">
        <v>42170.0</v>
      </c>
      <c r="AF755" s="11">
        <v>49930.0</v>
      </c>
      <c r="AG755" s="11">
        <v>40740.0</v>
      </c>
      <c r="AH755" s="11">
        <v>6230.0</v>
      </c>
      <c r="AI755" s="11">
        <v>58950.0</v>
      </c>
      <c r="AJ755" s="11">
        <v>98440.0</v>
      </c>
      <c r="AK755" s="11">
        <v>106950.0</v>
      </c>
      <c r="AL755" s="11">
        <v>96310.0</v>
      </c>
      <c r="AM755" s="11">
        <v>70660.0</v>
      </c>
      <c r="AN755" s="11">
        <v>-128570.0</v>
      </c>
      <c r="AO755" s="11">
        <v>30530.0</v>
      </c>
      <c r="AP755" s="11">
        <v>55370.0</v>
      </c>
      <c r="AQ755" s="11">
        <v>24080.0</v>
      </c>
      <c r="AR755" s="11">
        <v>2410.0</v>
      </c>
      <c r="AS755" s="11">
        <v>32650.0</v>
      </c>
      <c r="AT755" s="11">
        <v>67500.0</v>
      </c>
      <c r="AU755" s="11">
        <v>76350.0</v>
      </c>
      <c r="AV755" s="11">
        <v>67200.0</v>
      </c>
      <c r="AW755" s="11">
        <v>56300.0</v>
      </c>
      <c r="AX755" s="11">
        <v>-18220.0</v>
      </c>
      <c r="AY755" s="11">
        <v>-24710.0</v>
      </c>
      <c r="AZ755" s="11">
        <v>-38370.0</v>
      </c>
      <c r="BA755" s="11">
        <v>-37080.0</v>
      </c>
      <c r="BB755" s="11">
        <v>-33970.0</v>
      </c>
      <c r="BC755" s="11">
        <v>-50150.0</v>
      </c>
      <c r="BD755" s="12"/>
      <c r="BE755" s="12"/>
      <c r="BF755" s="11">
        <v>-70000.0</v>
      </c>
      <c r="BG755" s="11">
        <v>-8560.0</v>
      </c>
      <c r="BH755" s="11">
        <v>21530.0</v>
      </c>
      <c r="BI755" s="11">
        <v>66200.0</v>
      </c>
      <c r="BJ755" s="11">
        <v>25980.0</v>
      </c>
      <c r="BK755" s="11">
        <v>13470.0</v>
      </c>
      <c r="BL755" s="11">
        <v>27510.0</v>
      </c>
      <c r="BM755" s="11">
        <v>9870.0</v>
      </c>
      <c r="BN755" s="11">
        <v>7930.0</v>
      </c>
      <c r="BO755" s="11">
        <v>4730.0</v>
      </c>
      <c r="BP755" s="11">
        <v>5770.0</v>
      </c>
      <c r="BQ755" s="11">
        <v>7570.0</v>
      </c>
      <c r="BR755" s="11">
        <v>72600.0</v>
      </c>
      <c r="BS755" s="11">
        <v>77350.0</v>
      </c>
      <c r="BT755" s="11">
        <v>80590.0</v>
      </c>
      <c r="BU755" s="11">
        <v>66640.0</v>
      </c>
      <c r="BV755" s="11">
        <v>64410.0</v>
      </c>
      <c r="BW755" s="11">
        <v>122950.0</v>
      </c>
      <c r="BX755" s="11">
        <v>175290.0</v>
      </c>
      <c r="BY755" s="11">
        <v>132470.0</v>
      </c>
      <c r="BZ755" s="11">
        <v>104440.0</v>
      </c>
      <c r="CA755" s="11">
        <v>115610.0</v>
      </c>
      <c r="CB755" s="11">
        <v>318980.0</v>
      </c>
      <c r="CC755" s="11">
        <v>118040.0</v>
      </c>
      <c r="CD755" s="11">
        <v>118420.0</v>
      </c>
      <c r="CE755" s="11">
        <v>102320.0</v>
      </c>
      <c r="CF755" s="11">
        <v>86810.0</v>
      </c>
      <c r="CG755" s="11">
        <v>77600.0</v>
      </c>
      <c r="CH755" s="11">
        <v>197030.0</v>
      </c>
      <c r="CI755" s="11">
        <v>197030.0</v>
      </c>
      <c r="CJ755" s="11">
        <v>197030.0</v>
      </c>
      <c r="CK755" s="11">
        <v>196570.0</v>
      </c>
      <c r="CL755" s="11">
        <v>704060.0</v>
      </c>
      <c r="CM755" s="11">
        <v>634420.0</v>
      </c>
      <c r="CN755" s="11">
        <v>604010.0</v>
      </c>
      <c r="CO755" s="11">
        <v>576470.0</v>
      </c>
      <c r="CP755" s="11">
        <v>582030.0</v>
      </c>
      <c r="CQ755" s="11">
        <v>43050.0</v>
      </c>
      <c r="CR755" s="11">
        <v>55010.0</v>
      </c>
      <c r="CS755" s="11">
        <v>53960.0</v>
      </c>
      <c r="CT755" s="11">
        <v>38440.0</v>
      </c>
      <c r="CU755" s="11">
        <v>41040.0</v>
      </c>
      <c r="CV755" s="11">
        <v>122440.0</v>
      </c>
      <c r="CW755" s="11">
        <v>33880.0</v>
      </c>
      <c r="CX755" s="11"/>
      <c r="CY755" s="11"/>
      <c r="CZ755" s="11"/>
      <c r="DA755" s="11"/>
      <c r="DB755" s="11">
        <v>122440.0</v>
      </c>
      <c r="DC755" s="11">
        <v>103120.0</v>
      </c>
      <c r="DD755" s="11">
        <v>105520.0</v>
      </c>
      <c r="DE755" s="11">
        <v>87360.0</v>
      </c>
      <c r="DF755" s="11">
        <v>665490.0</v>
      </c>
      <c r="DG755" s="11">
        <v>420630.0</v>
      </c>
      <c r="DH755" s="11">
        <v>424690.0</v>
      </c>
      <c r="DI755" s="11">
        <v>453600.0</v>
      </c>
      <c r="DJ755" s="11">
        <v>415460.0</v>
      </c>
      <c r="DK755" s="12"/>
      <c r="DL755" s="12"/>
      <c r="DM755" s="12"/>
      <c r="DN755" s="12"/>
      <c r="DO755" s="12"/>
      <c r="DP755" s="11">
        <v>440000.0</v>
      </c>
      <c r="DQ755" s="11">
        <v>237460.0</v>
      </c>
      <c r="DR755" s="11">
        <v>238880.0</v>
      </c>
      <c r="DS755" s="11">
        <v>264440.0</v>
      </c>
      <c r="DT755" s="11">
        <v>237480.0</v>
      </c>
      <c r="DU755" s="13"/>
      <c r="DV755" s="12"/>
      <c r="DW755" s="12"/>
      <c r="DX755" s="12"/>
      <c r="DY755" s="12"/>
      <c r="DZ755" s="11">
        <v>38570.0</v>
      </c>
      <c r="EA755" s="11">
        <v>213800.0</v>
      </c>
      <c r="EB755" s="11">
        <v>179320.0</v>
      </c>
      <c r="EC755" s="11">
        <v>122860.0</v>
      </c>
      <c r="ED755" s="11">
        <v>166570.0</v>
      </c>
      <c r="EE755" s="14">
        <v>0.0</v>
      </c>
      <c r="EF755" s="14">
        <v>0.0</v>
      </c>
      <c r="EG755" s="14">
        <v>-4.417</v>
      </c>
      <c r="EH755" s="14">
        <v>-0.959</v>
      </c>
    </row>
    <row r="756">
      <c r="A756" s="9">
        <f t="shared" si="2"/>
        <v>754</v>
      </c>
      <c r="B756" s="10" t="s">
        <v>891</v>
      </c>
      <c r="C756" s="15">
        <v>1030000.0</v>
      </c>
      <c r="D756" s="15">
        <v>989050.0</v>
      </c>
      <c r="E756" s="15">
        <v>1190000.0</v>
      </c>
      <c r="F756" s="15">
        <v>1140000.0</v>
      </c>
      <c r="G756" s="15">
        <v>1080000.0</v>
      </c>
      <c r="H756" s="15">
        <v>992780.0</v>
      </c>
      <c r="I756" s="15">
        <v>976260.0</v>
      </c>
      <c r="J756" s="15">
        <v>347080.0</v>
      </c>
      <c r="K756" s="15">
        <v>332780.0</v>
      </c>
      <c r="L756" s="15">
        <v>331020.0</v>
      </c>
      <c r="M756" s="15">
        <v>304470.0</v>
      </c>
      <c r="N756" s="15">
        <v>300890.0</v>
      </c>
      <c r="O756" s="15">
        <v>230130.0</v>
      </c>
      <c r="P756" s="15">
        <v>222000.0</v>
      </c>
      <c r="Q756" s="15">
        <v>213060.0</v>
      </c>
      <c r="R756" s="15">
        <v>191660.0</v>
      </c>
      <c r="S756" s="15">
        <v>190210.0</v>
      </c>
      <c r="T756" s="15">
        <v>645.0</v>
      </c>
      <c r="U756" s="15">
        <v>623.0</v>
      </c>
      <c r="V756" s="15">
        <v>674.0</v>
      </c>
      <c r="W756" s="15">
        <v>525.0</v>
      </c>
      <c r="X756" s="15">
        <v>506.0</v>
      </c>
      <c r="Y756" s="12"/>
      <c r="Z756" s="15">
        <v>111640.0</v>
      </c>
      <c r="AA756" s="15">
        <v>118110.0</v>
      </c>
      <c r="AB756" s="15"/>
      <c r="AC756" s="15"/>
      <c r="AD756" s="15">
        <v>126580.0</v>
      </c>
      <c r="AE756" s="15">
        <v>118150.0</v>
      </c>
      <c r="AF756" s="15">
        <v>122200.0</v>
      </c>
      <c r="AG756" s="15">
        <v>116820.0</v>
      </c>
      <c r="AH756" s="15">
        <v>111920.0</v>
      </c>
      <c r="AI756" s="15">
        <v>165500.0</v>
      </c>
      <c r="AJ756" s="15">
        <v>157220.0</v>
      </c>
      <c r="AK756" s="15">
        <v>161230.0</v>
      </c>
      <c r="AL756" s="15">
        <v>152420.0</v>
      </c>
      <c r="AM756" s="15">
        <v>148410.0</v>
      </c>
      <c r="AN756" s="15">
        <v>94820.0</v>
      </c>
      <c r="AO756" s="15">
        <v>103600.0</v>
      </c>
      <c r="AP756" s="15">
        <v>79170.0</v>
      </c>
      <c r="AQ756" s="15">
        <v>75980.0</v>
      </c>
      <c r="AR756" s="15">
        <v>70180.0</v>
      </c>
      <c r="AS756" s="15">
        <v>147500.0</v>
      </c>
      <c r="AT756" s="15">
        <v>123370.0</v>
      </c>
      <c r="AU756" s="15">
        <v>125350.0</v>
      </c>
      <c r="AV756" s="15">
        <v>121230.0</v>
      </c>
      <c r="AW756" s="15">
        <v>105270.0</v>
      </c>
      <c r="AX756" s="15">
        <v>-57130.0</v>
      </c>
      <c r="AY756" s="15">
        <v>-60020.0</v>
      </c>
      <c r="AZ756" s="15">
        <v>-72180.0</v>
      </c>
      <c r="BA756" s="15">
        <v>-48710.0</v>
      </c>
      <c r="BB756" s="15">
        <v>-50100.0</v>
      </c>
      <c r="BC756" s="15">
        <v>-36640.0</v>
      </c>
      <c r="BD756" s="15">
        <v>-33070.0</v>
      </c>
      <c r="BE756" s="15">
        <v>-30860.0</v>
      </c>
      <c r="BF756" s="15">
        <v>-28520.0</v>
      </c>
      <c r="BG756" s="15">
        <v>-26150.0</v>
      </c>
      <c r="BH756" s="15">
        <v>243490.0</v>
      </c>
      <c r="BI756" s="15">
        <v>132530.0</v>
      </c>
      <c r="BJ756" s="15">
        <v>150080.0</v>
      </c>
      <c r="BK756" s="15">
        <v>154190.0</v>
      </c>
      <c r="BL756" s="15">
        <v>133690.0</v>
      </c>
      <c r="BM756" s="15">
        <v>140940.0</v>
      </c>
      <c r="BN756" s="15">
        <v>132340.0</v>
      </c>
      <c r="BO756" s="15">
        <v>124550.0</v>
      </c>
      <c r="BP756" s="15">
        <v>98330.0</v>
      </c>
      <c r="BQ756" s="15">
        <v>102650.0</v>
      </c>
      <c r="BR756" s="15">
        <v>116170.0</v>
      </c>
      <c r="BS756" s="15">
        <v>112880.0</v>
      </c>
      <c r="BT756" s="15">
        <v>103270.0</v>
      </c>
      <c r="BU756" s="15">
        <v>88680.0</v>
      </c>
      <c r="BV756" s="15">
        <v>80620.0</v>
      </c>
      <c r="BW756" s="15">
        <v>506360.0</v>
      </c>
      <c r="BX756" s="15">
        <v>382800.0</v>
      </c>
      <c r="BY756" s="15">
        <v>381830.0</v>
      </c>
      <c r="BZ756" s="15">
        <v>355100.0</v>
      </c>
      <c r="CA756" s="15">
        <v>326780.0</v>
      </c>
      <c r="CB756" s="15">
        <v>253450.0</v>
      </c>
      <c r="CC756" s="15">
        <v>242670.0</v>
      </c>
      <c r="CD756" s="15">
        <v>227580.0</v>
      </c>
      <c r="CE756" s="15">
        <v>184210.0</v>
      </c>
      <c r="CF756" s="15">
        <v>174090.0</v>
      </c>
      <c r="CG756" s="15">
        <v>102510.0</v>
      </c>
      <c r="CH756" s="15">
        <v>102510.0</v>
      </c>
      <c r="CI756" s="15">
        <v>102510.0</v>
      </c>
      <c r="CJ756" s="15">
        <v>86440.0</v>
      </c>
      <c r="CK756" s="15">
        <v>86440.0</v>
      </c>
      <c r="CL756" s="15">
        <v>1030000.0</v>
      </c>
      <c r="CM756" s="15">
        <v>941250.0</v>
      </c>
      <c r="CN756" s="15">
        <v>879510.0</v>
      </c>
      <c r="CO756" s="15">
        <v>790490.0</v>
      </c>
      <c r="CP756" s="15">
        <v>742940.0</v>
      </c>
      <c r="CQ756" s="15">
        <v>72030.0</v>
      </c>
      <c r="CR756" s="15">
        <v>69590.0</v>
      </c>
      <c r="CS756" s="15">
        <v>72730.0</v>
      </c>
      <c r="CT756" s="15">
        <v>62030.0</v>
      </c>
      <c r="CU756" s="15">
        <v>59210.0</v>
      </c>
      <c r="CV756" s="15">
        <v>121230.0</v>
      </c>
      <c r="CW756" s="15"/>
      <c r="CX756" s="15"/>
      <c r="CY756" s="15"/>
      <c r="CZ756" s="15"/>
      <c r="DA756" s="12"/>
      <c r="DB756" s="15">
        <v>121230.0</v>
      </c>
      <c r="DC756" s="15">
        <v>117900.0</v>
      </c>
      <c r="DD756" s="15">
        <v>119040.0</v>
      </c>
      <c r="DE756" s="15">
        <v>102290.0</v>
      </c>
      <c r="DF756" s="15">
        <v>194740.0</v>
      </c>
      <c r="DG756" s="15">
        <v>182150.0</v>
      </c>
      <c r="DH756" s="15">
        <v>197190.0</v>
      </c>
      <c r="DI756" s="15">
        <v>152510.0</v>
      </c>
      <c r="DJ756" s="15">
        <v>143020.0</v>
      </c>
      <c r="DK756" s="15">
        <v>99260.0</v>
      </c>
      <c r="DL756" s="15">
        <v>143510.0</v>
      </c>
      <c r="DM756" s="15">
        <v>91170.0</v>
      </c>
      <c r="DN756" s="15">
        <v>120200.0</v>
      </c>
      <c r="DO756" s="15">
        <v>106300.0</v>
      </c>
      <c r="DP756" s="15">
        <v>718.0</v>
      </c>
      <c r="DQ756" s="15">
        <v>753.0</v>
      </c>
      <c r="DR756" s="15">
        <v>904.0</v>
      </c>
      <c r="DS756" s="15">
        <v>1240.0</v>
      </c>
      <c r="DT756" s="15">
        <v>1200.0</v>
      </c>
      <c r="DU756" s="13"/>
      <c r="DV756" s="12"/>
      <c r="DW756" s="12"/>
      <c r="DX756" s="13"/>
      <c r="DY756" s="13"/>
      <c r="DZ756" s="15">
        <v>833750.0</v>
      </c>
      <c r="EA756" s="15">
        <v>759090.0</v>
      </c>
      <c r="EB756" s="15">
        <v>682320.0</v>
      </c>
      <c r="EC756" s="15">
        <v>637970.0</v>
      </c>
      <c r="ED756" s="15">
        <v>599920.0</v>
      </c>
      <c r="EE756" s="17">
        <v>0.034</v>
      </c>
      <c r="EF756" s="17">
        <v>0.058</v>
      </c>
      <c r="EG756" s="17">
        <v>-2.636</v>
      </c>
      <c r="EH756" s="17">
        <v>-0.824</v>
      </c>
    </row>
    <row r="757">
      <c r="A757" s="9">
        <f t="shared" si="2"/>
        <v>755</v>
      </c>
      <c r="B757" s="10" t="s">
        <v>892</v>
      </c>
      <c r="C757" s="15">
        <v>5220000.0</v>
      </c>
      <c r="D757" s="15">
        <v>5080000.0</v>
      </c>
      <c r="E757" s="15">
        <v>4300000.0</v>
      </c>
      <c r="F757" s="15">
        <v>3780000.0</v>
      </c>
      <c r="G757" s="15">
        <v>3920000.0</v>
      </c>
      <c r="H757" s="15">
        <v>3210000.0</v>
      </c>
      <c r="I757" s="15">
        <v>2460000.0</v>
      </c>
      <c r="J757" s="15">
        <v>786080.0</v>
      </c>
      <c r="K757" s="15">
        <v>531020.0</v>
      </c>
      <c r="L757" s="15">
        <v>442660.0</v>
      </c>
      <c r="M757" s="15">
        <v>581250.0</v>
      </c>
      <c r="N757" s="15">
        <v>466190.0</v>
      </c>
      <c r="O757" s="15">
        <v>525890.0</v>
      </c>
      <c r="P757" s="15">
        <v>431350.0</v>
      </c>
      <c r="Q757" s="15">
        <v>394530.0</v>
      </c>
      <c r="R757" s="15">
        <v>359610.0</v>
      </c>
      <c r="S757" s="15">
        <v>287790.0</v>
      </c>
      <c r="T757" s="15">
        <v>46950.0</v>
      </c>
      <c r="U757" s="15">
        <v>55400.0</v>
      </c>
      <c r="V757" s="15">
        <v>43520.0</v>
      </c>
      <c r="W757" s="15">
        <v>27210.0</v>
      </c>
      <c r="X757" s="15">
        <v>22850.0</v>
      </c>
      <c r="Y757" s="15">
        <v>224580.0</v>
      </c>
      <c r="Z757" s="15">
        <v>90800.0</v>
      </c>
      <c r="AA757" s="15">
        <v>44530.0</v>
      </c>
      <c r="AB757" s="15">
        <v>181900.0</v>
      </c>
      <c r="AC757" s="15">
        <v>6340.0</v>
      </c>
      <c r="AD757" s="15">
        <v>181070.0</v>
      </c>
      <c r="AE757" s="15">
        <v>61560.0</v>
      </c>
      <c r="AF757" s="15">
        <v>22030.0</v>
      </c>
      <c r="AG757" s="15">
        <v>187430.0</v>
      </c>
      <c r="AH757" s="15">
        <v>137890.0</v>
      </c>
      <c r="AI757" s="15">
        <v>0.0</v>
      </c>
      <c r="AJ757" s="15">
        <v>221510.0</v>
      </c>
      <c r="AK757" s="15">
        <v>137960.0</v>
      </c>
      <c r="AL757" s="15">
        <v>338760.0</v>
      </c>
      <c r="AM757" s="15">
        <v>277690.0</v>
      </c>
      <c r="AN757" s="15">
        <v>130060.0</v>
      </c>
      <c r="AO757" s="15">
        <v>61430.0</v>
      </c>
      <c r="AP757" s="15">
        <v>20970.0</v>
      </c>
      <c r="AQ757" s="15">
        <v>148820.0</v>
      </c>
      <c r="AR757" s="15">
        <v>121910.0</v>
      </c>
      <c r="AS757" s="15">
        <v>92870.0</v>
      </c>
      <c r="AT757" s="15">
        <v>-26200.0</v>
      </c>
      <c r="AU757" s="15">
        <v>-270840.0</v>
      </c>
      <c r="AV757" s="15">
        <v>212950.0</v>
      </c>
      <c r="AW757" s="15">
        <v>0.0</v>
      </c>
      <c r="AX757" s="15">
        <v>-391910.0</v>
      </c>
      <c r="AY757" s="15">
        <v>-385150.0</v>
      </c>
      <c r="AZ757" s="15">
        <v>-632160.0</v>
      </c>
      <c r="BA757" s="15">
        <v>-485200.0</v>
      </c>
      <c r="BB757" s="15">
        <v>0.0</v>
      </c>
      <c r="BC757" s="15">
        <v>0.0</v>
      </c>
      <c r="BD757" s="15">
        <v>0.0</v>
      </c>
      <c r="BE757" s="15">
        <v>0.0</v>
      </c>
      <c r="BF757" s="15">
        <v>0.0</v>
      </c>
      <c r="BG757" s="15">
        <v>0.0</v>
      </c>
      <c r="BH757" s="15">
        <v>1890000.0</v>
      </c>
      <c r="BI757" s="15">
        <v>1100000.0</v>
      </c>
      <c r="BJ757" s="15">
        <v>921660.0</v>
      </c>
      <c r="BK757" s="15">
        <v>895770.0</v>
      </c>
      <c r="BL757" s="15">
        <v>641110.0</v>
      </c>
      <c r="BM757" s="15">
        <v>1060000.0</v>
      </c>
      <c r="BN757" s="15">
        <v>1240000.0</v>
      </c>
      <c r="BO757" s="15">
        <v>1280000.0</v>
      </c>
      <c r="BP757" s="15">
        <v>1190000.0</v>
      </c>
      <c r="BQ757" s="15">
        <v>578370.0</v>
      </c>
      <c r="BR757" s="15">
        <v>1200000.0</v>
      </c>
      <c r="BS757" s="15">
        <v>933420.0</v>
      </c>
      <c r="BT757" s="15">
        <v>717260.0</v>
      </c>
      <c r="BU757" s="15">
        <v>690710.0</v>
      </c>
      <c r="BV757" s="15">
        <v>532180.0</v>
      </c>
      <c r="BW757" s="15">
        <v>4550000.0</v>
      </c>
      <c r="BX757" s="15">
        <v>3330000.0</v>
      </c>
      <c r="BY757" s="15">
        <v>3010000.0</v>
      </c>
      <c r="BZ757" s="15">
        <v>2830000.0</v>
      </c>
      <c r="CA757" s="15">
        <v>3460000.0</v>
      </c>
      <c r="CB757" s="15">
        <v>1810000.0</v>
      </c>
      <c r="CC757" s="15">
        <v>1530000.0</v>
      </c>
      <c r="CD757" s="15">
        <v>1140000.0</v>
      </c>
      <c r="CE757" s="15">
        <v>760500.0</v>
      </c>
      <c r="CF757" s="15">
        <v>591060.0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0.0</v>
      </c>
      <c r="CL757" s="15">
        <v>6870000.0</v>
      </c>
      <c r="CM757" s="15">
        <v>5220000.0</v>
      </c>
      <c r="CN757" s="15">
        <v>4400000.0</v>
      </c>
      <c r="CO757" s="15">
        <v>3750000.0</v>
      </c>
      <c r="CP757" s="15">
        <v>4180000.0</v>
      </c>
      <c r="CQ757" s="15">
        <v>716220.0</v>
      </c>
      <c r="CR757" s="15">
        <v>776000.0</v>
      </c>
      <c r="CS757" s="15">
        <v>716140.0</v>
      </c>
      <c r="CT757" s="15">
        <v>617340.0</v>
      </c>
      <c r="CU757" s="15">
        <v>582860.0</v>
      </c>
      <c r="CV757" s="15">
        <v>4490000.0</v>
      </c>
      <c r="CW757" s="15">
        <v>2380000.0</v>
      </c>
      <c r="CX757" s="15">
        <v>1890000.0</v>
      </c>
      <c r="CY757" s="15">
        <v>1800000.0</v>
      </c>
      <c r="CZ757" s="15">
        <v>1450000.0</v>
      </c>
      <c r="DA757" s="15">
        <v>690980.0</v>
      </c>
      <c r="DB757" s="15">
        <v>4490000.0</v>
      </c>
      <c r="DC757" s="15">
        <v>3520000.0</v>
      </c>
      <c r="DD757" s="15">
        <v>3070000.0</v>
      </c>
      <c r="DE757" s="15">
        <v>2640000.0</v>
      </c>
      <c r="DF757" s="15">
        <v>5080000.0</v>
      </c>
      <c r="DG757" s="15">
        <v>3990000.0</v>
      </c>
      <c r="DH757" s="15">
        <v>3370000.0</v>
      </c>
      <c r="DI757" s="15">
        <v>2820000.0</v>
      </c>
      <c r="DJ757" s="15">
        <v>3260000.0</v>
      </c>
      <c r="DK757" s="15">
        <v>158400.0</v>
      </c>
      <c r="DL757" s="15">
        <v>137910.0</v>
      </c>
      <c r="DM757" s="15">
        <v>41610.0</v>
      </c>
      <c r="DN757" s="15">
        <v>29420.0</v>
      </c>
      <c r="DO757" s="15">
        <v>25780.0</v>
      </c>
      <c r="DP757" s="15">
        <v>456150.0</v>
      </c>
      <c r="DQ757" s="15">
        <v>377630.0</v>
      </c>
      <c r="DR757" s="15">
        <v>186840.0</v>
      </c>
      <c r="DS757" s="15">
        <v>76630.0</v>
      </c>
      <c r="DT757" s="15">
        <v>333370.0</v>
      </c>
      <c r="DU757" s="16">
        <v>0.0</v>
      </c>
      <c r="DV757" s="15">
        <v>0.0</v>
      </c>
      <c r="DW757" s="15">
        <v>0.0</v>
      </c>
      <c r="DX757" s="15">
        <v>0.0</v>
      </c>
      <c r="DY757" s="15">
        <v>247620.0</v>
      </c>
      <c r="DZ757" s="15">
        <v>1340000.0</v>
      </c>
      <c r="EA757" s="15">
        <v>1140000.0</v>
      </c>
      <c r="EB757" s="15">
        <v>1030000.0</v>
      </c>
      <c r="EC757" s="15">
        <v>929700.0</v>
      </c>
      <c r="ED757" s="15">
        <v>913190.0</v>
      </c>
      <c r="EE757" s="17">
        <v>0.154</v>
      </c>
      <c r="EF757" s="17">
        <v>0.427</v>
      </c>
      <c r="EG757" s="17">
        <v>-0.35</v>
      </c>
      <c r="EH757" s="17">
        <v>0.356</v>
      </c>
    </row>
    <row r="758">
      <c r="A758" s="9">
        <f t="shared" si="2"/>
        <v>756</v>
      </c>
      <c r="B758" s="22" t="s">
        <v>893</v>
      </c>
      <c r="C758" s="11">
        <v>6000.0</v>
      </c>
      <c r="D758" s="11">
        <v>7500.0</v>
      </c>
      <c r="E758" s="11">
        <v>147870.0</v>
      </c>
      <c r="F758" s="11">
        <v>65200.0</v>
      </c>
      <c r="G758" s="11">
        <v>71640.0</v>
      </c>
      <c r="H758" s="11">
        <v>37200.0</v>
      </c>
      <c r="I758" s="12"/>
      <c r="J758" s="12"/>
      <c r="K758" s="12"/>
      <c r="L758" s="12"/>
      <c r="M758" s="12"/>
      <c r="N758" s="11">
        <v>-1470.0</v>
      </c>
      <c r="O758" s="11">
        <v>91200.0</v>
      </c>
      <c r="P758" s="11">
        <v>92660.0</v>
      </c>
      <c r="Q758" s="11">
        <v>86440.0</v>
      </c>
      <c r="R758" s="11">
        <v>49720.0</v>
      </c>
      <c r="S758" s="11">
        <v>28930.0</v>
      </c>
      <c r="T758" s="11">
        <v>67140.0</v>
      </c>
      <c r="U758" s="11">
        <v>70050.0</v>
      </c>
      <c r="V758" s="11">
        <v>67800.0</v>
      </c>
      <c r="W758" s="11">
        <v>34900.0</v>
      </c>
      <c r="X758" s="11">
        <v>22130.0</v>
      </c>
      <c r="Y758" s="12"/>
      <c r="Z758" s="12"/>
      <c r="AA758" s="12"/>
      <c r="AB758" s="12"/>
      <c r="AC758" s="12"/>
      <c r="AD758" s="11">
        <v>56870.0</v>
      </c>
      <c r="AE758" s="11">
        <v>-27330.0</v>
      </c>
      <c r="AF758" s="11">
        <v>-16410.0</v>
      </c>
      <c r="AG758" s="11">
        <v>-13700.0</v>
      </c>
      <c r="AH758" s="11">
        <v>-28530.0</v>
      </c>
      <c r="AI758" s="11">
        <v>56670.0</v>
      </c>
      <c r="AJ758" s="11">
        <v>-27460.0</v>
      </c>
      <c r="AK758" s="11">
        <v>-14790.0</v>
      </c>
      <c r="AL758" s="11">
        <v>-12520.0</v>
      </c>
      <c r="AM758" s="11">
        <v>-28930.0</v>
      </c>
      <c r="AN758" s="11">
        <v>56820.0</v>
      </c>
      <c r="AO758" s="11">
        <v>-27380.0</v>
      </c>
      <c r="AP758" s="11">
        <v>-16440.0</v>
      </c>
      <c r="AQ758" s="11">
        <v>-13700.0</v>
      </c>
      <c r="AR758" s="11">
        <v>-28530.0</v>
      </c>
      <c r="AS758" s="11">
        <v>-30130.0</v>
      </c>
      <c r="AT758" s="11">
        <v>-63610.0</v>
      </c>
      <c r="AU758" s="11">
        <v>-90740.0</v>
      </c>
      <c r="AV758" s="11">
        <v>179690.0</v>
      </c>
      <c r="AW758" s="11">
        <v>-25740.0</v>
      </c>
      <c r="AX758" s="11">
        <v>-985.0</v>
      </c>
      <c r="AY758" s="11">
        <v>-1360.0</v>
      </c>
      <c r="AZ758" s="11">
        <v>-15110.0</v>
      </c>
      <c r="BA758" s="11">
        <v>-2220.0</v>
      </c>
      <c r="BB758" s="11">
        <v>-2200.0</v>
      </c>
      <c r="BC758" s="12"/>
      <c r="BD758" s="12"/>
      <c r="BE758" s="12"/>
      <c r="BF758" s="12"/>
      <c r="BG758" s="12"/>
      <c r="BH758" s="11">
        <v>168840.0</v>
      </c>
      <c r="BI758" s="11">
        <v>189870.0</v>
      </c>
      <c r="BJ758" s="11">
        <v>235650.0</v>
      </c>
      <c r="BK758" s="11">
        <v>149260.0</v>
      </c>
      <c r="BL758" s="11">
        <v>45160.0</v>
      </c>
      <c r="BM758" s="12"/>
      <c r="BN758" s="11">
        <v>414.0</v>
      </c>
      <c r="BO758" s="11">
        <v>17710.0</v>
      </c>
      <c r="BP758" s="11">
        <v>709.0</v>
      </c>
      <c r="BQ758" s="12"/>
      <c r="BR758" s="12"/>
      <c r="BS758" s="12"/>
      <c r="BT758" s="12"/>
      <c r="BU758" s="12"/>
      <c r="BV758" s="12"/>
      <c r="BW758" s="11">
        <v>173700.0</v>
      </c>
      <c r="BX758" s="11">
        <v>192210.0</v>
      </c>
      <c r="BY758" s="11">
        <v>255600.0</v>
      </c>
      <c r="BZ758" s="11">
        <v>151790.0</v>
      </c>
      <c r="CA758" s="11">
        <v>45710.0</v>
      </c>
      <c r="CB758" s="11">
        <v>28290.0</v>
      </c>
      <c r="CC758" s="11">
        <v>13540.0</v>
      </c>
      <c r="CD758" s="11">
        <v>16150.0</v>
      </c>
      <c r="CE758" s="11">
        <v>7240.0</v>
      </c>
      <c r="CF758" s="11">
        <v>5090.0</v>
      </c>
      <c r="CG758" s="12"/>
      <c r="CH758" s="12"/>
      <c r="CI758" s="12"/>
      <c r="CJ758" s="12"/>
      <c r="CK758" s="12"/>
      <c r="CL758" s="11">
        <v>205880.0</v>
      </c>
      <c r="CM758" s="11">
        <v>214450.0</v>
      </c>
      <c r="CN758" s="11">
        <v>296660.0</v>
      </c>
      <c r="CO758" s="11">
        <v>271310.0</v>
      </c>
      <c r="CP758" s="11">
        <v>52980.0</v>
      </c>
      <c r="CQ758" s="11">
        <v>2460.0</v>
      </c>
      <c r="CR758" s="11">
        <v>3270.0</v>
      </c>
      <c r="CS758" s="11">
        <v>2850.0</v>
      </c>
      <c r="CT758" s="11">
        <v>3510.0</v>
      </c>
      <c r="CU758" s="12"/>
      <c r="CV758" s="11">
        <v>14400.0</v>
      </c>
      <c r="CW758" s="11">
        <v>2900.0</v>
      </c>
      <c r="CX758" s="12"/>
      <c r="CY758" s="12"/>
      <c r="CZ758" s="12"/>
      <c r="DA758" s="12"/>
      <c r="DB758" s="11">
        <v>14400.0</v>
      </c>
      <c r="DC758" s="11">
        <v>65550.0</v>
      </c>
      <c r="DD758" s="11">
        <v>62550.0</v>
      </c>
      <c r="DE758" s="11">
        <v>90670.0</v>
      </c>
      <c r="DF758" s="11">
        <v>31290.0</v>
      </c>
      <c r="DG758" s="11">
        <v>110320.0</v>
      </c>
      <c r="DH758" s="11">
        <v>129550.0</v>
      </c>
      <c r="DI758" s="11">
        <v>199440.0</v>
      </c>
      <c r="DJ758" s="11">
        <v>8120.0</v>
      </c>
      <c r="DK758" s="11">
        <v>2870.0</v>
      </c>
      <c r="DL758" s="11">
        <v>7260.0</v>
      </c>
      <c r="DM758" s="11">
        <v>23500.0</v>
      </c>
      <c r="DN758" s="11">
        <v>109720.0</v>
      </c>
      <c r="DO758" s="12"/>
      <c r="DP758" s="11">
        <v>16890.0</v>
      </c>
      <c r="DQ758" s="12"/>
      <c r="DR758" s="12"/>
      <c r="DS758" s="12"/>
      <c r="DT758" s="12"/>
      <c r="DU758" s="13"/>
      <c r="DV758" s="12"/>
      <c r="DW758" s="12"/>
      <c r="DX758" s="11">
        <v>140960.0</v>
      </c>
      <c r="DY758" s="11">
        <v>102960.0</v>
      </c>
      <c r="DZ758" s="11">
        <v>174590.0</v>
      </c>
      <c r="EA758" s="11">
        <v>104130.0</v>
      </c>
      <c r="EB758" s="11">
        <v>167110.0</v>
      </c>
      <c r="EC758" s="11">
        <v>71870.0</v>
      </c>
      <c r="ED758" s="11">
        <v>44200.0</v>
      </c>
      <c r="EE758" s="23"/>
      <c r="EF758" s="23"/>
      <c r="EG758" s="14">
        <v>-0.139</v>
      </c>
      <c r="EH758" s="14">
        <v>-0.41</v>
      </c>
    </row>
    <row r="759">
      <c r="A759" s="9">
        <f t="shared" si="2"/>
        <v>757</v>
      </c>
      <c r="B759" s="32" t="s">
        <v>894</v>
      </c>
      <c r="C759" s="11">
        <v>8.749E7</v>
      </c>
      <c r="D759" s="11">
        <v>8.061E7</v>
      </c>
      <c r="E759" s="11">
        <v>8.211E7</v>
      </c>
      <c r="F759" s="11">
        <v>8.153E7</v>
      </c>
      <c r="G759" s="11">
        <v>7.648E7</v>
      </c>
      <c r="H759" s="11">
        <v>7.194E7</v>
      </c>
      <c r="I759" s="11">
        <v>7.02E7</v>
      </c>
      <c r="J759" s="11">
        <v>5.498E7</v>
      </c>
      <c r="K759" s="11">
        <v>5.435E7</v>
      </c>
      <c r="L759" s="11">
        <v>5.129E7</v>
      </c>
      <c r="M759" s="11">
        <v>5.03E7</v>
      </c>
      <c r="N759" s="11">
        <v>4.862E7</v>
      </c>
      <c r="O759" s="11">
        <v>3.343E7</v>
      </c>
      <c r="P759" s="11">
        <v>3.31E7</v>
      </c>
      <c r="Q759" s="11">
        <v>3.195E7</v>
      </c>
      <c r="R759" s="11">
        <v>2.895E7</v>
      </c>
      <c r="S759" s="11">
        <v>3.026E7</v>
      </c>
      <c r="T759" s="11">
        <v>1.125E7</v>
      </c>
      <c r="U759" s="11">
        <v>1.056E7</v>
      </c>
      <c r="V759" s="11">
        <v>1.043E7</v>
      </c>
      <c r="W759" s="11">
        <v>9010000.0</v>
      </c>
      <c r="X759" s="11">
        <v>9050000.0</v>
      </c>
      <c r="Y759" s="11">
        <v>1.554E7</v>
      </c>
      <c r="Z759" s="11">
        <v>1.712E7</v>
      </c>
      <c r="AA759" s="11">
        <v>-3310000.0</v>
      </c>
      <c r="AB759" s="11">
        <v>1.976E7</v>
      </c>
      <c r="AC759" s="11">
        <v>1.67E7</v>
      </c>
      <c r="AD759" s="11">
        <v>1.733E7</v>
      </c>
      <c r="AE759" s="11">
        <v>1.8E7</v>
      </c>
      <c r="AF759" s="11">
        <v>1.767E7</v>
      </c>
      <c r="AG759" s="11">
        <v>1.98E7</v>
      </c>
      <c r="AH759" s="11">
        <v>1.92E7</v>
      </c>
      <c r="AI759" s="11">
        <v>2.856E7</v>
      </c>
      <c r="AJ759" s="11">
        <v>2.818E7</v>
      </c>
      <c r="AK759" s="11">
        <v>2.498E7</v>
      </c>
      <c r="AL759" s="11">
        <v>2.51E7</v>
      </c>
      <c r="AM759" s="11">
        <v>2.211E7</v>
      </c>
      <c r="AN759" s="11">
        <v>1.512E7</v>
      </c>
      <c r="AO759" s="11">
        <v>1.53E7</v>
      </c>
      <c r="AP759" s="11">
        <v>1300000.0</v>
      </c>
      <c r="AQ759" s="11">
        <v>1.654E7</v>
      </c>
      <c r="AR759" s="11">
        <v>1.541E7</v>
      </c>
      <c r="AS759" s="11">
        <v>2.342E7</v>
      </c>
      <c r="AT759" s="11">
        <v>2.22E7</v>
      </c>
      <c r="AU759" s="11">
        <v>2.106E7</v>
      </c>
      <c r="AV759" s="11">
        <v>1.877E7</v>
      </c>
      <c r="AW759" s="11">
        <v>1.928E7</v>
      </c>
      <c r="AX759" s="11">
        <v>-3500000.0</v>
      </c>
      <c r="AY759" s="11">
        <v>-3670000.0</v>
      </c>
      <c r="AZ759" s="11">
        <v>-3280000.0</v>
      </c>
      <c r="BA759" s="11">
        <v>-3230000.0</v>
      </c>
      <c r="BB759" s="11">
        <v>-3460000.0</v>
      </c>
      <c r="BC759" s="11">
        <v>-9920000.0</v>
      </c>
      <c r="BD759" s="11">
        <v>-9490000.0</v>
      </c>
      <c r="BE759" s="11">
        <v>-8940000.0</v>
      </c>
      <c r="BF759" s="11">
        <v>-8620000.0</v>
      </c>
      <c r="BG759" s="11">
        <v>-8170000.0</v>
      </c>
      <c r="BH759" s="11">
        <v>1.929E7</v>
      </c>
      <c r="BI759" s="11">
        <v>1.969E7</v>
      </c>
      <c r="BJ759" s="11">
        <v>1.83E7</v>
      </c>
      <c r="BK759" s="11">
        <v>4.191E7</v>
      </c>
      <c r="BL759" s="11">
        <v>3.838E7</v>
      </c>
      <c r="BM759" s="11">
        <v>1.448E7</v>
      </c>
      <c r="BN759" s="11">
        <v>1.41E7</v>
      </c>
      <c r="BO759" s="11">
        <v>1.349E7</v>
      </c>
      <c r="BP759" s="11">
        <v>1.17E7</v>
      </c>
      <c r="BQ759" s="11">
        <v>1.073E7</v>
      </c>
      <c r="BR759" s="11">
        <v>9020000.0</v>
      </c>
      <c r="BS759" s="11">
        <v>8600000.0</v>
      </c>
      <c r="BT759" s="11">
        <v>8770000.0</v>
      </c>
      <c r="BU759" s="11">
        <v>8140000.0</v>
      </c>
      <c r="BV759" s="11">
        <v>8050000.0</v>
      </c>
      <c r="BW759" s="11">
        <v>4.527E7</v>
      </c>
      <c r="BX759" s="11">
        <v>4.603E7</v>
      </c>
      <c r="BY759" s="11">
        <v>4.309E7</v>
      </c>
      <c r="BZ759" s="11">
        <v>6.503E7</v>
      </c>
      <c r="CA759" s="11">
        <v>6.021E7</v>
      </c>
      <c r="CB759" s="11">
        <v>1.862E7</v>
      </c>
      <c r="CC759" s="11">
        <v>1.704E7</v>
      </c>
      <c r="CD759" s="11">
        <v>1.701E7</v>
      </c>
      <c r="CE759" s="11">
        <v>1.591E7</v>
      </c>
      <c r="CF759" s="11">
        <v>1.591E7</v>
      </c>
      <c r="CG759" s="11">
        <v>3.364E7</v>
      </c>
      <c r="CH759" s="11">
        <v>3.045E7</v>
      </c>
      <c r="CI759" s="11">
        <v>3.191E7</v>
      </c>
      <c r="CJ759" s="11">
        <v>2.281E7</v>
      </c>
      <c r="CK759" s="11">
        <v>2.163E7</v>
      </c>
      <c r="CL759" s="11">
        <v>1.5773E8</v>
      </c>
      <c r="CM759" s="11">
        <v>1.5295E8</v>
      </c>
      <c r="CN759" s="11">
        <v>1.573E8</v>
      </c>
      <c r="CO759" s="11">
        <v>1.4121E8</v>
      </c>
      <c r="CP759" s="11">
        <v>1.3341E8</v>
      </c>
      <c r="CQ759" s="11">
        <v>8540000.0</v>
      </c>
      <c r="CR759" s="11">
        <v>7540000.0</v>
      </c>
      <c r="CS759" s="11">
        <v>7310000.0</v>
      </c>
      <c r="CT759" s="11">
        <v>6920000.0</v>
      </c>
      <c r="CU759" s="11">
        <v>6670000.0</v>
      </c>
      <c r="CV759" s="11">
        <v>3.596E7</v>
      </c>
      <c r="CW759" s="11">
        <v>371000.0</v>
      </c>
      <c r="CX759" s="11">
        <v>160000.0</v>
      </c>
      <c r="CY759" s="11">
        <v>2410000.0</v>
      </c>
      <c r="CZ759" s="11">
        <v>2980000.0</v>
      </c>
      <c r="DA759" s="11">
        <v>4900000.0</v>
      </c>
      <c r="DB759" s="11">
        <v>3.596E7</v>
      </c>
      <c r="DC759" s="11">
        <v>3.123E7</v>
      </c>
      <c r="DD759" s="11">
        <v>3.054E7</v>
      </c>
      <c r="DE759" s="11">
        <v>2.629E7</v>
      </c>
      <c r="DF759" s="11">
        <v>9.826E7</v>
      </c>
      <c r="DG759" s="11">
        <v>9.32E7</v>
      </c>
      <c r="DH759" s="11">
        <v>9.714E7</v>
      </c>
      <c r="DI759" s="11">
        <v>7.079E7</v>
      </c>
      <c r="DJ759" s="11">
        <v>6.226E7</v>
      </c>
      <c r="DK759" s="11">
        <v>1150000.0</v>
      </c>
      <c r="DL759" s="11">
        <v>511000.0</v>
      </c>
      <c r="DM759" s="11">
        <v>751000.0</v>
      </c>
      <c r="DN759" s="11">
        <v>1210000.0</v>
      </c>
      <c r="DO759" s="11">
        <v>1490000.0</v>
      </c>
      <c r="DP759" s="11">
        <v>2.721E7</v>
      </c>
      <c r="DQ759" s="11">
        <v>2.768E7</v>
      </c>
      <c r="DR759" s="11">
        <v>3.068E7</v>
      </c>
      <c r="DS759" s="11">
        <v>2.244E7</v>
      </c>
      <c r="DT759" s="11">
        <v>1.286E7</v>
      </c>
      <c r="DU759" s="12"/>
      <c r="DV759" s="12"/>
      <c r="DW759" s="12"/>
      <c r="DX759" s="12"/>
      <c r="DY759" s="12"/>
      <c r="DZ759" s="11">
        <v>5.947E7</v>
      </c>
      <c r="EA759" s="11">
        <v>5.975E7</v>
      </c>
      <c r="EB759" s="11">
        <v>6.016E7</v>
      </c>
      <c r="EC759" s="11">
        <v>7.042E7</v>
      </c>
      <c r="ED759" s="11">
        <v>7.115E7</v>
      </c>
      <c r="EE759" s="14">
        <v>0.019</v>
      </c>
      <c r="EF759" s="14">
        <v>0.048</v>
      </c>
      <c r="EG759" s="14">
        <v>0.121</v>
      </c>
      <c r="EH759" s="14">
        <v>0.084</v>
      </c>
    </row>
    <row r="760">
      <c r="A760" s="9">
        <f t="shared" si="2"/>
        <v>758</v>
      </c>
      <c r="B760" s="10" t="s">
        <v>895</v>
      </c>
      <c r="C760" s="12"/>
      <c r="D760" s="12"/>
      <c r="E760" s="11">
        <v>4450000.0</v>
      </c>
      <c r="F760" s="11">
        <v>4650000.0</v>
      </c>
      <c r="G760" s="11">
        <v>5030000.0</v>
      </c>
      <c r="H760" s="11">
        <v>4990000.0</v>
      </c>
      <c r="I760" s="11">
        <v>4860000.0</v>
      </c>
      <c r="J760" s="11">
        <v>2660000.0</v>
      </c>
      <c r="K760" s="11">
        <v>2770000.0</v>
      </c>
      <c r="L760" s="11">
        <v>3110000.0</v>
      </c>
      <c r="M760" s="11">
        <v>3140000.0</v>
      </c>
      <c r="N760" s="11">
        <v>3110000.0</v>
      </c>
      <c r="O760" s="11">
        <v>2120000.0</v>
      </c>
      <c r="P760" s="11">
        <v>2160000.0</v>
      </c>
      <c r="Q760" s="11">
        <v>2160000.0</v>
      </c>
      <c r="R760" s="11">
        <v>2200000.0</v>
      </c>
      <c r="S760" s="11">
        <v>2160000.0</v>
      </c>
      <c r="T760" s="11">
        <v>955700.0</v>
      </c>
      <c r="U760" s="11">
        <v>1000000.0</v>
      </c>
      <c r="V760" s="11">
        <v>980700.0</v>
      </c>
      <c r="W760" s="11">
        <v>1010000.0</v>
      </c>
      <c r="X760" s="11">
        <v>994500.0</v>
      </c>
      <c r="Y760" s="11">
        <v>426900.0</v>
      </c>
      <c r="Z760" s="11">
        <v>572200.0</v>
      </c>
      <c r="AA760" s="11">
        <v>-67700.0</v>
      </c>
      <c r="AB760" s="11">
        <v>878000.0</v>
      </c>
      <c r="AC760" s="11">
        <v>-2100.0</v>
      </c>
      <c r="AD760" s="11">
        <v>414400.0</v>
      </c>
      <c r="AE760" s="11">
        <v>532700.0</v>
      </c>
      <c r="AF760" s="11">
        <v>811800.0</v>
      </c>
      <c r="AG760" s="11">
        <v>827400.0</v>
      </c>
      <c r="AH760" s="11">
        <v>852200.0</v>
      </c>
      <c r="AI760" s="11">
        <v>712800.0</v>
      </c>
      <c r="AJ760" s="11">
        <v>794500.0</v>
      </c>
      <c r="AK760" s="11">
        <v>1140000.0</v>
      </c>
      <c r="AL760" s="11">
        <v>1110000.0</v>
      </c>
      <c r="AM760" s="11">
        <v>1090000.0</v>
      </c>
      <c r="AN760" s="11">
        <v>345000.0</v>
      </c>
      <c r="AO760" s="11">
        <v>566900.0</v>
      </c>
      <c r="AP760" s="11">
        <v>306200.0</v>
      </c>
      <c r="AQ760" s="11">
        <v>592700.0</v>
      </c>
      <c r="AR760" s="11">
        <v>633700.0</v>
      </c>
      <c r="AS760" s="11">
        <v>528900.0</v>
      </c>
      <c r="AT760" s="11">
        <v>861100.0</v>
      </c>
      <c r="AU760" s="11">
        <v>1260000.0</v>
      </c>
      <c r="AV760" s="11">
        <v>1110000.0</v>
      </c>
      <c r="AW760" s="11">
        <v>892500.0</v>
      </c>
      <c r="AX760" s="11">
        <v>-109600.0</v>
      </c>
      <c r="AY760" s="11">
        <v>-147400.0</v>
      </c>
      <c r="AZ760" s="11">
        <v>-151200.0</v>
      </c>
      <c r="BA760" s="11">
        <v>-214700.0</v>
      </c>
      <c r="BB760" s="11">
        <v>-210300.0</v>
      </c>
      <c r="BC760" s="11">
        <v>-260100.0</v>
      </c>
      <c r="BD760" s="11">
        <v>-249300.0</v>
      </c>
      <c r="BE760" s="11">
        <v>-150400.0</v>
      </c>
      <c r="BF760" s="11">
        <v>-152500.0</v>
      </c>
      <c r="BG760" s="11">
        <v>-156300.0</v>
      </c>
      <c r="BH760" s="11">
        <v>2010000.0</v>
      </c>
      <c r="BI760" s="11">
        <v>3580000.0</v>
      </c>
      <c r="BJ760" s="11">
        <v>3120000.0</v>
      </c>
      <c r="BK760" s="11">
        <v>2600000.0</v>
      </c>
      <c r="BL760" s="11">
        <v>1950000.0</v>
      </c>
      <c r="BM760" s="11">
        <v>879700.0</v>
      </c>
      <c r="BN760" s="11">
        <v>754600.0</v>
      </c>
      <c r="BO760" s="11">
        <v>852000.0</v>
      </c>
      <c r="BP760" s="11">
        <v>1050000.0</v>
      </c>
      <c r="BQ760" s="11">
        <v>780700.0</v>
      </c>
      <c r="BR760" s="11">
        <v>94200.0</v>
      </c>
      <c r="BS760" s="11">
        <v>82000.0</v>
      </c>
      <c r="BT760" s="11">
        <v>97800.0</v>
      </c>
      <c r="BU760" s="11">
        <v>91400.0</v>
      </c>
      <c r="BV760" s="11">
        <v>66600.0</v>
      </c>
      <c r="BW760" s="11">
        <v>3210000.0</v>
      </c>
      <c r="BX760" s="11">
        <v>4580000.0</v>
      </c>
      <c r="BY760" s="11">
        <v>4180000.0</v>
      </c>
      <c r="BZ760" s="11">
        <v>3970000.0</v>
      </c>
      <c r="CA760" s="11">
        <v>2910000.0</v>
      </c>
      <c r="CB760" s="11">
        <v>1000000.0</v>
      </c>
      <c r="CC760" s="11">
        <v>951700.0</v>
      </c>
      <c r="CD760" s="11">
        <v>1020000.0</v>
      </c>
      <c r="CE760" s="11">
        <v>1060000.0</v>
      </c>
      <c r="CF760" s="11">
        <v>1020000.0</v>
      </c>
      <c r="CG760" s="11">
        <v>3340000.0</v>
      </c>
      <c r="CH760" s="11">
        <v>3110000.0</v>
      </c>
      <c r="CI760" s="11">
        <v>3100000.0</v>
      </c>
      <c r="CJ760" s="11">
        <v>3080000.0</v>
      </c>
      <c r="CK760" s="11">
        <v>2980000.0</v>
      </c>
      <c r="CL760" s="11">
        <v>8840000.0</v>
      </c>
      <c r="CM760" s="11">
        <v>9360000.0</v>
      </c>
      <c r="CN760" s="11">
        <v>9830000.0</v>
      </c>
      <c r="CO760" s="11">
        <v>9660000.0</v>
      </c>
      <c r="CP760" s="11">
        <v>8610000.0</v>
      </c>
      <c r="CQ760" s="11">
        <v>219500.0</v>
      </c>
      <c r="CR760" s="11">
        <v>208800.0</v>
      </c>
      <c r="CS760" s="11">
        <v>217600.0</v>
      </c>
      <c r="CT760" s="11">
        <v>221000.0</v>
      </c>
      <c r="CU760" s="11">
        <v>159300.0</v>
      </c>
      <c r="CV760" s="11">
        <v>1540000.0</v>
      </c>
      <c r="CW760" s="11">
        <v>42300.0</v>
      </c>
      <c r="CX760" s="12"/>
      <c r="CY760" s="12"/>
      <c r="CZ760" s="12"/>
      <c r="DA760" s="12"/>
      <c r="DB760" s="11">
        <v>1540000.0</v>
      </c>
      <c r="DC760" s="11">
        <v>1840000.0</v>
      </c>
      <c r="DD760" s="11">
        <v>1740000.0</v>
      </c>
      <c r="DE760" s="11">
        <v>1740000.0</v>
      </c>
      <c r="DF760" s="11">
        <v>4230000.0</v>
      </c>
      <c r="DG760" s="11">
        <v>4540000.0</v>
      </c>
      <c r="DH760" s="11">
        <v>5150000.0</v>
      </c>
      <c r="DI760" s="11">
        <v>4690000.0</v>
      </c>
      <c r="DJ760" s="11">
        <v>4030000.0</v>
      </c>
      <c r="DK760" s="11">
        <v>776900.0</v>
      </c>
      <c r="DL760" s="11">
        <v>289400.0</v>
      </c>
      <c r="DM760" s="11">
        <v>1110000.0</v>
      </c>
      <c r="DN760" s="11">
        <v>1230000.0</v>
      </c>
      <c r="DO760" s="11">
        <v>1380000.0</v>
      </c>
      <c r="DP760" s="11">
        <v>1840000.0</v>
      </c>
      <c r="DQ760" s="11">
        <v>1790000.0</v>
      </c>
      <c r="DR760" s="11">
        <v>2140000.0</v>
      </c>
      <c r="DS760" s="11">
        <v>2130000.0</v>
      </c>
      <c r="DT760" s="11">
        <v>1640000.0</v>
      </c>
      <c r="DU760" s="12"/>
      <c r="DV760" s="12"/>
      <c r="DW760" s="12"/>
      <c r="DX760" s="12"/>
      <c r="DY760" s="12"/>
      <c r="DZ760" s="11">
        <v>4610000.0</v>
      </c>
      <c r="EA760" s="11">
        <v>4820000.0</v>
      </c>
      <c r="EB760" s="11">
        <v>4680000.0</v>
      </c>
      <c r="EC760" s="11">
        <v>4960000.0</v>
      </c>
      <c r="ED760" s="11">
        <v>4570000.0</v>
      </c>
      <c r="EE760" s="30"/>
      <c r="EF760" s="30"/>
      <c r="EG760" s="30"/>
      <c r="EH760" s="30"/>
    </row>
    <row r="761">
      <c r="A761" s="9">
        <f t="shared" si="2"/>
        <v>759</v>
      </c>
      <c r="B761" s="25" t="s">
        <v>896</v>
      </c>
      <c r="C761" s="15">
        <v>582770.0</v>
      </c>
      <c r="D761" s="15">
        <v>548830.0</v>
      </c>
      <c r="E761" s="15">
        <v>562420.0</v>
      </c>
      <c r="F761" s="15">
        <v>544270.0</v>
      </c>
      <c r="G761" s="15">
        <v>490570.0</v>
      </c>
      <c r="H761" s="15">
        <v>433730.0</v>
      </c>
      <c r="I761" s="15">
        <v>430490.0</v>
      </c>
      <c r="J761" s="15">
        <v>245790.0</v>
      </c>
      <c r="K761" s="15">
        <v>241860.0</v>
      </c>
      <c r="L761" s="15">
        <v>210940.0</v>
      </c>
      <c r="M761" s="15">
        <v>176460.0</v>
      </c>
      <c r="N761" s="15">
        <v>171730.0</v>
      </c>
      <c r="O761" s="15">
        <v>182020.0</v>
      </c>
      <c r="P761" s="15">
        <v>178840.0</v>
      </c>
      <c r="Q761" s="15">
        <v>165350.0</v>
      </c>
      <c r="R761" s="15">
        <v>146620.0</v>
      </c>
      <c r="S761" s="15">
        <v>153880.0</v>
      </c>
      <c r="T761" s="15">
        <v>17960.0</v>
      </c>
      <c r="U761" s="15">
        <v>20440.0</v>
      </c>
      <c r="V761" s="15">
        <v>19170.0</v>
      </c>
      <c r="W761" s="15">
        <v>18430.0</v>
      </c>
      <c r="X761" s="15">
        <v>16480.0</v>
      </c>
      <c r="Y761" s="15">
        <v>64350.0</v>
      </c>
      <c r="Z761" s="15">
        <v>64420.0</v>
      </c>
      <c r="AA761" s="15">
        <v>47280.0</v>
      </c>
      <c r="AB761" s="15">
        <v>23520.0</v>
      </c>
      <c r="AC761" s="15">
        <v>17220.0</v>
      </c>
      <c r="AD761" s="15">
        <v>66510.0</v>
      </c>
      <c r="AE761" s="15">
        <v>68110.0</v>
      </c>
      <c r="AF761" s="15">
        <v>48210.0</v>
      </c>
      <c r="AG761" s="15">
        <v>23660.0</v>
      </c>
      <c r="AH761" s="15">
        <v>15750.0</v>
      </c>
      <c r="AI761" s="15">
        <v>77740.0</v>
      </c>
      <c r="AJ761" s="15">
        <v>76130.0</v>
      </c>
      <c r="AK761" s="15">
        <v>58670.0</v>
      </c>
      <c r="AL761" s="15">
        <v>41680.0</v>
      </c>
      <c r="AM761" s="15">
        <v>29560.0</v>
      </c>
      <c r="AN761" s="15">
        <v>51410.0</v>
      </c>
      <c r="AO761" s="15">
        <v>40670.0</v>
      </c>
      <c r="AP761" s="15">
        <v>35160.0</v>
      </c>
      <c r="AQ761" s="15">
        <v>13500.0</v>
      </c>
      <c r="AR761" s="15">
        <v>10620.0</v>
      </c>
      <c r="AS761" s="15">
        <v>45840.0</v>
      </c>
      <c r="AT761" s="15">
        <v>63300.0</v>
      </c>
      <c r="AU761" s="15">
        <v>46350.0</v>
      </c>
      <c r="AV761" s="15">
        <v>43430.0</v>
      </c>
      <c r="AW761" s="15">
        <v>18060.0</v>
      </c>
      <c r="AX761" s="15">
        <v>-16790.0</v>
      </c>
      <c r="AY761" s="15">
        <v>-19150.0</v>
      </c>
      <c r="AZ761" s="15">
        <v>-11610.0</v>
      </c>
      <c r="BA761" s="15">
        <v>-11700.0</v>
      </c>
      <c r="BB761" s="15">
        <v>-10410.0</v>
      </c>
      <c r="BC761" s="15">
        <v>-5560.0</v>
      </c>
      <c r="BD761" s="15">
        <v>-4350.0</v>
      </c>
      <c r="BE761" s="15">
        <v>-3560.0</v>
      </c>
      <c r="BF761" s="15">
        <v>-3170.0</v>
      </c>
      <c r="BG761" s="15">
        <v>-2970.0</v>
      </c>
      <c r="BH761" s="15">
        <v>172380.0</v>
      </c>
      <c r="BI761" s="15">
        <v>150590.0</v>
      </c>
      <c r="BJ761" s="15">
        <v>110420.0</v>
      </c>
      <c r="BK761" s="15">
        <v>87290.0</v>
      </c>
      <c r="BL761" s="15">
        <v>69160.0</v>
      </c>
      <c r="BM761" s="15">
        <v>44510.0</v>
      </c>
      <c r="BN761" s="15">
        <v>40870.0</v>
      </c>
      <c r="BO761" s="15">
        <v>46810.0</v>
      </c>
      <c r="BP761" s="15">
        <v>41520.0</v>
      </c>
      <c r="BQ761" s="15">
        <v>44800.0</v>
      </c>
      <c r="BR761" s="15">
        <v>94300.0</v>
      </c>
      <c r="BS761" s="15">
        <v>88860.0</v>
      </c>
      <c r="BT761" s="15">
        <v>79150.0</v>
      </c>
      <c r="BU761" s="15">
        <v>68400.0</v>
      </c>
      <c r="BV761" s="15">
        <v>79920.0</v>
      </c>
      <c r="BW761" s="15">
        <v>322530.0</v>
      </c>
      <c r="BX761" s="15">
        <v>285690.0</v>
      </c>
      <c r="BY761" s="15">
        <v>240850.0</v>
      </c>
      <c r="BZ761" s="15">
        <v>201970.0</v>
      </c>
      <c r="CA761" s="15">
        <v>209370.0</v>
      </c>
      <c r="CB761" s="15">
        <v>59500.0</v>
      </c>
      <c r="CC761" s="15">
        <v>55930.0</v>
      </c>
      <c r="CD761" s="15">
        <v>48940.0</v>
      </c>
      <c r="CE761" s="15">
        <v>49000.0</v>
      </c>
      <c r="CF761" s="15">
        <v>45290.0</v>
      </c>
      <c r="CG761" s="15">
        <v>11190.0</v>
      </c>
      <c r="CH761" s="15">
        <v>11200.0</v>
      </c>
      <c r="CI761" s="15">
        <v>11240.0</v>
      </c>
      <c r="CJ761" s="15">
        <v>11200.0</v>
      </c>
      <c r="CK761" s="15">
        <v>14290.0</v>
      </c>
      <c r="CL761" s="15">
        <v>436440.0</v>
      </c>
      <c r="CM761" s="15">
        <v>395940.0</v>
      </c>
      <c r="CN761" s="15">
        <v>353660.0</v>
      </c>
      <c r="CO761" s="15">
        <v>310280.0</v>
      </c>
      <c r="CP761" s="15">
        <v>299200.0</v>
      </c>
      <c r="CQ761" s="15">
        <v>30390.0</v>
      </c>
      <c r="CR761" s="15">
        <v>34160.0</v>
      </c>
      <c r="CS761" s="15">
        <v>31690.0</v>
      </c>
      <c r="CT761" s="15">
        <v>24520.0</v>
      </c>
      <c r="CU761" s="15">
        <v>28460.0</v>
      </c>
      <c r="CV761" s="15">
        <v>87870.0</v>
      </c>
      <c r="CW761" s="15"/>
      <c r="CX761" s="15"/>
      <c r="CY761" s="15"/>
      <c r="CZ761" s="15"/>
      <c r="DA761" s="15"/>
      <c r="DB761" s="15">
        <v>87870.0</v>
      </c>
      <c r="DC761" s="15">
        <v>92780.0</v>
      </c>
      <c r="DD761" s="15">
        <v>84080.0</v>
      </c>
      <c r="DE761" s="15">
        <v>67650.0</v>
      </c>
      <c r="DF761" s="15">
        <v>111910.0</v>
      </c>
      <c r="DG761" s="15">
        <v>116740.0</v>
      </c>
      <c r="DH761" s="15">
        <v>110660.0</v>
      </c>
      <c r="DI761" s="15">
        <v>102780.0</v>
      </c>
      <c r="DJ761" s="15">
        <v>101240.0</v>
      </c>
      <c r="DK761" s="15"/>
      <c r="DL761" s="15"/>
      <c r="DM761" s="15"/>
      <c r="DN761" s="12"/>
      <c r="DO761" s="15"/>
      <c r="DP761" s="15"/>
      <c r="DQ761" s="15"/>
      <c r="DR761" s="15"/>
      <c r="DS761" s="15">
        <v>7010.0</v>
      </c>
      <c r="DT761" s="15">
        <v>7060.0</v>
      </c>
      <c r="DU761" s="13"/>
      <c r="DV761" s="12"/>
      <c r="DW761" s="12"/>
      <c r="DX761" s="13"/>
      <c r="DY761" s="13"/>
      <c r="DZ761" s="15">
        <v>324530.0</v>
      </c>
      <c r="EA761" s="15">
        <v>279200.0</v>
      </c>
      <c r="EB761" s="15">
        <v>243000.0</v>
      </c>
      <c r="EC761" s="15">
        <v>207500.0</v>
      </c>
      <c r="ED761" s="15">
        <v>197970.0</v>
      </c>
      <c r="EE761" s="17">
        <v>0.0</v>
      </c>
      <c r="EF761" s="17">
        <v>0.0</v>
      </c>
      <c r="EG761" s="17">
        <v>-0.302</v>
      </c>
      <c r="EH761" s="17">
        <v>1.292</v>
      </c>
    </row>
    <row r="762">
      <c r="A762" s="9">
        <f t="shared" si="2"/>
        <v>760</v>
      </c>
      <c r="B762" s="10" t="s">
        <v>897</v>
      </c>
      <c r="C762" s="11">
        <v>1.424E7</v>
      </c>
      <c r="D762" s="11">
        <v>1.224E7</v>
      </c>
      <c r="E762" s="11">
        <v>1.552E7</v>
      </c>
      <c r="F762" s="11">
        <v>1.586E7</v>
      </c>
      <c r="G762" s="11">
        <v>1.548E7</v>
      </c>
      <c r="H762" s="11">
        <v>1.476E7</v>
      </c>
      <c r="I762" s="11">
        <v>1.444E7</v>
      </c>
      <c r="J762" s="11">
        <v>5590000.0</v>
      </c>
      <c r="K762" s="11">
        <v>5710000.0</v>
      </c>
      <c r="L762" s="11">
        <v>5590000.0</v>
      </c>
      <c r="M762" s="11">
        <v>5320000.0</v>
      </c>
      <c r="N762" s="11">
        <v>5270000.0</v>
      </c>
      <c r="O762" s="11">
        <v>4780000.0</v>
      </c>
      <c r="P762" s="11">
        <v>4800000.0</v>
      </c>
      <c r="Q762" s="11">
        <v>4680000.0</v>
      </c>
      <c r="R762" s="11">
        <v>4330000.0</v>
      </c>
      <c r="S762" s="11">
        <v>4120000.0</v>
      </c>
      <c r="T762" s="11"/>
      <c r="U762" s="11"/>
      <c r="V762" s="11"/>
      <c r="W762" s="11"/>
      <c r="X762" s="11"/>
      <c r="Y762" s="11">
        <v>784000.0</v>
      </c>
      <c r="Z762" s="11">
        <v>837000.0</v>
      </c>
      <c r="AA762" s="11">
        <v>892000.0</v>
      </c>
      <c r="AB762" s="11">
        <v>-197000.0</v>
      </c>
      <c r="AC762" s="11">
        <v>1090000.0</v>
      </c>
      <c r="AD762" s="11">
        <v>682000.0</v>
      </c>
      <c r="AE762" s="11">
        <v>733000.0</v>
      </c>
      <c r="AF762" s="11">
        <v>790000.0</v>
      </c>
      <c r="AG762" s="11">
        <v>684000.0</v>
      </c>
      <c r="AH762" s="11">
        <v>976000.0</v>
      </c>
      <c r="AI762" s="11">
        <v>1660000.0</v>
      </c>
      <c r="AJ762" s="11">
        <v>1580000.0</v>
      </c>
      <c r="AK762" s="11">
        <v>1580000.0</v>
      </c>
      <c r="AL762" s="11">
        <v>1640000.0</v>
      </c>
      <c r="AM762" s="11">
        <v>1730000.0</v>
      </c>
      <c r="AN762" s="11">
        <v>496000.0</v>
      </c>
      <c r="AO762" s="11">
        <v>564000.0</v>
      </c>
      <c r="AP762" s="11">
        <v>437000.0</v>
      </c>
      <c r="AQ762" s="11">
        <v>354000.0</v>
      </c>
      <c r="AR762" s="11">
        <v>600000.0</v>
      </c>
      <c r="AS762" s="11">
        <v>1500000.0</v>
      </c>
      <c r="AT762" s="11">
        <v>1300000.0</v>
      </c>
      <c r="AU762" s="11">
        <v>1400000.0</v>
      </c>
      <c r="AV762" s="11">
        <v>1660000.0</v>
      </c>
      <c r="AW762" s="11">
        <v>2450000.0</v>
      </c>
      <c r="AX762" s="11">
        <v>-935000.0</v>
      </c>
      <c r="AY762" s="11">
        <v>-654000.0</v>
      </c>
      <c r="AZ762" s="11">
        <v>-731000.0</v>
      </c>
      <c r="BA762" s="11">
        <v>-846000.0</v>
      </c>
      <c r="BB762" s="11">
        <v>-1080000.0</v>
      </c>
      <c r="BC762" s="11">
        <v>-229000.0</v>
      </c>
      <c r="BD762" s="11">
        <v>-250000.0</v>
      </c>
      <c r="BE762" s="11">
        <v>-247000.0</v>
      </c>
      <c r="BF762" s="11">
        <v>-256000.0</v>
      </c>
      <c r="BG762" s="11">
        <v>-1190000.0</v>
      </c>
      <c r="BH762" s="11">
        <v>853000.0</v>
      </c>
      <c r="BI762" s="11">
        <v>957000.0</v>
      </c>
      <c r="BJ762" s="11">
        <v>1180000.0</v>
      </c>
      <c r="BK762" s="11">
        <v>1010000.0</v>
      </c>
      <c r="BL762" s="11">
        <v>595000.0</v>
      </c>
      <c r="BM762" s="11">
        <v>179000.0</v>
      </c>
      <c r="BN762" s="11">
        <v>148000.0</v>
      </c>
      <c r="BO762" s="11">
        <v>145000.0</v>
      </c>
      <c r="BP762" s="11">
        <v>199000.0</v>
      </c>
      <c r="BQ762" s="11">
        <v>196000.0</v>
      </c>
      <c r="BR762" s="11">
        <v>1920000.0</v>
      </c>
      <c r="BS762" s="11">
        <v>1980000.0</v>
      </c>
      <c r="BT762" s="11">
        <v>2030000.0</v>
      </c>
      <c r="BU762" s="11">
        <v>1900000.0</v>
      </c>
      <c r="BV762" s="11">
        <v>1950000.0</v>
      </c>
      <c r="BW762" s="11">
        <v>3230000.0</v>
      </c>
      <c r="BX762" s="11">
        <v>3370000.0</v>
      </c>
      <c r="BY762" s="11">
        <v>3500000.0</v>
      </c>
      <c r="BZ762" s="11">
        <v>3240000.0</v>
      </c>
      <c r="CA762" s="11">
        <v>3010000.0</v>
      </c>
      <c r="CB762" s="11">
        <v>5950000.0</v>
      </c>
      <c r="CC762" s="11">
        <v>3920000.0</v>
      </c>
      <c r="CD762" s="11">
        <v>3940000.0</v>
      </c>
      <c r="CE762" s="11">
        <v>3900000.0</v>
      </c>
      <c r="CF762" s="11">
        <v>3740000.0</v>
      </c>
      <c r="CG762" s="11">
        <v>249000.0</v>
      </c>
      <c r="CH762" s="11">
        <v>249000.0</v>
      </c>
      <c r="CI762" s="11">
        <v>238000.0</v>
      </c>
      <c r="CJ762" s="11">
        <v>238000.0</v>
      </c>
      <c r="CK762" s="11">
        <v>435000.0</v>
      </c>
      <c r="CL762" s="11">
        <v>9740000.0</v>
      </c>
      <c r="CM762" s="11">
        <v>7890000.0</v>
      </c>
      <c r="CN762" s="11">
        <v>8120000.0</v>
      </c>
      <c r="CO762" s="11">
        <v>7860000.0</v>
      </c>
      <c r="CP762" s="11">
        <v>7700000.0</v>
      </c>
      <c r="CQ762" s="11">
        <v>1470000.0</v>
      </c>
      <c r="CR762" s="11">
        <v>1370000.0</v>
      </c>
      <c r="CS762" s="11">
        <v>1310000.0</v>
      </c>
      <c r="CT762" s="11">
        <v>1180000.0</v>
      </c>
      <c r="CU762" s="11">
        <v>1170000.0</v>
      </c>
      <c r="CV762" s="11">
        <v>3520000.0</v>
      </c>
      <c r="CW762" s="11">
        <v>354000.0</v>
      </c>
      <c r="CX762" s="11">
        <v>102000.0</v>
      </c>
      <c r="CY762" s="11">
        <v>101000.0</v>
      </c>
      <c r="CZ762" s="11">
        <v>156000.0</v>
      </c>
      <c r="DA762" s="11">
        <v>152000.0</v>
      </c>
      <c r="DB762" s="11">
        <v>3520000.0</v>
      </c>
      <c r="DC762" s="11">
        <v>3380000.0</v>
      </c>
      <c r="DD762" s="11">
        <v>3290000.0</v>
      </c>
      <c r="DE762" s="11">
        <v>3030000.0</v>
      </c>
      <c r="DF762" s="11">
        <v>8760000.0</v>
      </c>
      <c r="DG762" s="11">
        <v>7010000.0</v>
      </c>
      <c r="DH762" s="11">
        <v>7140000.0</v>
      </c>
      <c r="DI762" s="11">
        <v>6990000.0</v>
      </c>
      <c r="DJ762" s="11">
        <v>6830000.0</v>
      </c>
      <c r="DK762" s="11"/>
      <c r="DL762" s="11"/>
      <c r="DM762" s="11"/>
      <c r="DN762" s="11"/>
      <c r="DO762" s="11"/>
      <c r="DP762" s="11">
        <v>4550000.0</v>
      </c>
      <c r="DQ762" s="11">
        <v>2680000.0</v>
      </c>
      <c r="DR762" s="11">
        <v>2680000.0</v>
      </c>
      <c r="DS762" s="11">
        <v>2760000.0</v>
      </c>
      <c r="DT762" s="11">
        <v>2800000.0</v>
      </c>
      <c r="DU762" s="13"/>
      <c r="DV762" s="12"/>
      <c r="DW762" s="12"/>
      <c r="DX762" s="12"/>
      <c r="DY762" s="12"/>
      <c r="DZ762" s="11">
        <v>979000.0</v>
      </c>
      <c r="EA762" s="11">
        <v>873000.0</v>
      </c>
      <c r="EB762" s="11">
        <v>977000.0</v>
      </c>
      <c r="EC762" s="11">
        <v>870000.0</v>
      </c>
      <c r="ED762" s="11">
        <v>871000.0</v>
      </c>
      <c r="EE762" s="14">
        <v>0.164</v>
      </c>
      <c r="EF762" s="14">
        <v>0.164</v>
      </c>
      <c r="EG762" s="14">
        <v>-2.112</v>
      </c>
      <c r="EH762" s="14">
        <v>-0.42</v>
      </c>
    </row>
    <row r="763">
      <c r="A763" s="9">
        <f t="shared" si="2"/>
        <v>761</v>
      </c>
      <c r="B763" s="10" t="s">
        <v>898</v>
      </c>
      <c r="C763" s="15">
        <v>1.323E7</v>
      </c>
      <c r="D763" s="15">
        <v>1.336E7</v>
      </c>
      <c r="E763" s="15">
        <v>1.358E7</v>
      </c>
      <c r="F763" s="15">
        <v>1.355E7</v>
      </c>
      <c r="G763" s="15">
        <v>1.285E7</v>
      </c>
      <c r="H763" s="15">
        <v>1.301E7</v>
      </c>
      <c r="I763" s="15">
        <v>1.353E7</v>
      </c>
      <c r="J763" s="15">
        <v>4430000.0</v>
      </c>
      <c r="K763" s="15">
        <v>4830000.0</v>
      </c>
      <c r="L763" s="15">
        <v>4790000.0</v>
      </c>
      <c r="M763" s="15">
        <v>4920000.0</v>
      </c>
      <c r="N763" s="15">
        <v>4900000.0</v>
      </c>
      <c r="O763" s="15">
        <v>2900000.0</v>
      </c>
      <c r="P763" s="15">
        <v>2950000.0</v>
      </c>
      <c r="Q763" s="15">
        <v>3030000.0</v>
      </c>
      <c r="R763" s="15">
        <v>3210000.0</v>
      </c>
      <c r="S763" s="15">
        <v>3460000.0</v>
      </c>
      <c r="T763" s="15">
        <v>144000.0</v>
      </c>
      <c r="U763" s="15">
        <v>154000.0</v>
      </c>
      <c r="V763" s="15">
        <v>148000.0</v>
      </c>
      <c r="W763" s="15">
        <v>182000.0</v>
      </c>
      <c r="X763" s="15">
        <v>193000.0</v>
      </c>
      <c r="Y763" s="15">
        <v>1440000.0</v>
      </c>
      <c r="Z763" s="15">
        <v>1750000.0</v>
      </c>
      <c r="AA763" s="15">
        <v>-231000.0</v>
      </c>
      <c r="AB763" s="15">
        <v>1420000.0</v>
      </c>
      <c r="AC763" s="15">
        <v>-354000.0</v>
      </c>
      <c r="AD763" s="15">
        <v>1310000.0</v>
      </c>
      <c r="AE763" s="15">
        <v>1330000.0</v>
      </c>
      <c r="AF763" s="15">
        <v>1660000.0</v>
      </c>
      <c r="AG763" s="15">
        <v>927000.0</v>
      </c>
      <c r="AH763" s="15">
        <v>773000.0</v>
      </c>
      <c r="AI763" s="15">
        <v>2020000.0</v>
      </c>
      <c r="AJ763" s="15">
        <v>2400000.0</v>
      </c>
      <c r="AK763" s="15">
        <v>2240000.0</v>
      </c>
      <c r="AL763" s="15">
        <v>2170000.0</v>
      </c>
      <c r="AM763" s="15">
        <v>1960000.0</v>
      </c>
      <c r="AN763" s="15">
        <v>960000.0</v>
      </c>
      <c r="AO763" s="15">
        <v>1340000.0</v>
      </c>
      <c r="AP763" s="15">
        <v>1250000.0</v>
      </c>
      <c r="AQ763" s="15">
        <v>694000.0</v>
      </c>
      <c r="AR763" s="15">
        <v>614000.0</v>
      </c>
      <c r="AS763" s="15">
        <v>1180000.0</v>
      </c>
      <c r="AT763" s="15">
        <v>1540000.0</v>
      </c>
      <c r="AU763" s="15">
        <v>403000.0</v>
      </c>
      <c r="AV763" s="15">
        <v>1630000.0</v>
      </c>
      <c r="AW763" s="15">
        <v>1690000.0</v>
      </c>
      <c r="AX763" s="15">
        <v>-586000.0</v>
      </c>
      <c r="AY763" s="15">
        <v>-578000.0</v>
      </c>
      <c r="AZ763" s="15">
        <v>-501000.0</v>
      </c>
      <c r="BA763" s="15">
        <v>-507000.0</v>
      </c>
      <c r="BB763" s="15">
        <v>-553000.0</v>
      </c>
      <c r="BC763" s="15">
        <v>-769000.0</v>
      </c>
      <c r="BD763" s="15">
        <v>-762000.0</v>
      </c>
      <c r="BE763" s="15">
        <v>-736000.0</v>
      </c>
      <c r="BF763" s="15">
        <v>-716000.0</v>
      </c>
      <c r="BG763" s="15">
        <v>-700000.0</v>
      </c>
      <c r="BH763" s="15">
        <v>397000.0</v>
      </c>
      <c r="BI763" s="15">
        <v>321000.0</v>
      </c>
      <c r="BJ763" s="15">
        <v>281000.0</v>
      </c>
      <c r="BK763" s="15">
        <v>280000.0</v>
      </c>
      <c r="BL763" s="15">
        <v>251000.0</v>
      </c>
      <c r="BM763" s="15">
        <v>1580000.0</v>
      </c>
      <c r="BN763" s="15">
        <v>1380000.0</v>
      </c>
      <c r="BO763" s="15">
        <v>1390000.0</v>
      </c>
      <c r="BP763" s="15">
        <v>1230000.0</v>
      </c>
      <c r="BQ763" s="15">
        <v>1340000.0</v>
      </c>
      <c r="BR763" s="15">
        <v>1230000.0</v>
      </c>
      <c r="BS763" s="15">
        <v>1330000.0</v>
      </c>
      <c r="BT763" s="15">
        <v>1220000.0</v>
      </c>
      <c r="BU763" s="15">
        <v>1240000.0</v>
      </c>
      <c r="BV763" s="15">
        <v>1250000.0</v>
      </c>
      <c r="BW763" s="15">
        <v>3430000.0</v>
      </c>
      <c r="BX763" s="15">
        <v>3160000.0</v>
      </c>
      <c r="BY763" s="15">
        <v>3040000.0</v>
      </c>
      <c r="BZ763" s="15">
        <v>2940000.0</v>
      </c>
      <c r="CA763" s="15">
        <v>3240000.0</v>
      </c>
      <c r="CB763" s="15">
        <v>4150000.0</v>
      </c>
      <c r="CC763" s="15">
        <v>3730000.0</v>
      </c>
      <c r="CD763" s="15">
        <v>3720000.0</v>
      </c>
      <c r="CE763" s="15">
        <v>3570000.0</v>
      </c>
      <c r="CF763" s="15">
        <v>3620000.0</v>
      </c>
      <c r="CG763" s="15">
        <v>5860000.0</v>
      </c>
      <c r="CH763" s="15">
        <v>6050000.0</v>
      </c>
      <c r="CI763" s="15">
        <v>5500000.0</v>
      </c>
      <c r="CJ763" s="15">
        <v>5170000.0</v>
      </c>
      <c r="CK763" s="15">
        <v>4970000.0</v>
      </c>
      <c r="CL763" s="15">
        <v>1.756E7</v>
      </c>
      <c r="CM763" s="15">
        <v>1.778E7</v>
      </c>
      <c r="CN763" s="15">
        <v>1.635E7</v>
      </c>
      <c r="CO763" s="15">
        <v>1.511E7</v>
      </c>
      <c r="CP763" s="15">
        <v>1.525E7</v>
      </c>
      <c r="CQ763" s="15">
        <v>2390000.0</v>
      </c>
      <c r="CR763" s="15">
        <v>2430000.0</v>
      </c>
      <c r="CS763" s="15">
        <v>2270000.0</v>
      </c>
      <c r="CT763" s="15">
        <v>2010000.0</v>
      </c>
      <c r="CU763" s="15">
        <v>1910000.0</v>
      </c>
      <c r="CV763" s="15">
        <v>4780000.0</v>
      </c>
      <c r="CW763" s="15">
        <v>221000.0</v>
      </c>
      <c r="CX763" s="15">
        <v>176000.0</v>
      </c>
      <c r="CY763" s="15">
        <v>370000.0</v>
      </c>
      <c r="CZ763" s="15">
        <v>438000.0</v>
      </c>
      <c r="DA763" s="15">
        <v>1200000.0</v>
      </c>
      <c r="DB763" s="15">
        <v>4780000.0</v>
      </c>
      <c r="DC763" s="15">
        <v>4530000.0</v>
      </c>
      <c r="DD763" s="15">
        <v>4520000.0</v>
      </c>
      <c r="DE763" s="15">
        <v>4470000.0</v>
      </c>
      <c r="DF763" s="15">
        <v>1.425E7</v>
      </c>
      <c r="DG763" s="15">
        <v>1.462E7</v>
      </c>
      <c r="DH763" s="15">
        <v>1.416E7</v>
      </c>
      <c r="DI763" s="15">
        <v>1.319E7</v>
      </c>
      <c r="DJ763" s="15">
        <v>1.311E7</v>
      </c>
      <c r="DK763" s="15">
        <v>404000.0</v>
      </c>
      <c r="DL763" s="15">
        <v>413000.0</v>
      </c>
      <c r="DM763" s="15">
        <v>429000.0</v>
      </c>
      <c r="DN763" s="15">
        <v>438000.0</v>
      </c>
      <c r="DO763" s="15">
        <v>456000.0</v>
      </c>
      <c r="DP763" s="15">
        <v>7630000.0</v>
      </c>
      <c r="DQ763" s="15">
        <v>8210000.0</v>
      </c>
      <c r="DR763" s="15">
        <v>7840000.0</v>
      </c>
      <c r="DS763" s="15">
        <v>6700000.0</v>
      </c>
      <c r="DT763" s="15">
        <v>5280000.0</v>
      </c>
      <c r="DU763" s="13"/>
      <c r="DV763" s="12"/>
      <c r="DW763" s="12"/>
      <c r="DX763" s="13"/>
      <c r="DY763" s="15"/>
      <c r="DZ763" s="15">
        <v>2750000.0</v>
      </c>
      <c r="EA763" s="15">
        <v>2600000.0</v>
      </c>
      <c r="EB763" s="15">
        <v>2180000.0</v>
      </c>
      <c r="EC763" s="15">
        <v>1910000.0</v>
      </c>
      <c r="ED763" s="15">
        <v>2130000.0</v>
      </c>
      <c r="EE763" s="17">
        <v>0.064</v>
      </c>
      <c r="EF763" s="17">
        <v>0.07</v>
      </c>
      <c r="EG763" s="17">
        <v>0.319</v>
      </c>
      <c r="EH763" s="17">
        <v>0.141</v>
      </c>
    </row>
    <row r="764">
      <c r="A764" s="9">
        <f t="shared" si="2"/>
        <v>762</v>
      </c>
      <c r="B764" s="22" t="s">
        <v>899</v>
      </c>
      <c r="C764" s="11">
        <v>56870.0</v>
      </c>
      <c r="D764" s="11">
        <v>6970.0</v>
      </c>
      <c r="E764" s="11">
        <v>6070.0</v>
      </c>
      <c r="F764" s="12"/>
      <c r="G764" s="12"/>
      <c r="H764" s="12"/>
      <c r="I764" s="11">
        <v>45.0</v>
      </c>
      <c r="J764" s="11">
        <v>3230.0</v>
      </c>
      <c r="K764" s="11">
        <v>-955.0</v>
      </c>
      <c r="L764" s="11">
        <v>-643.0</v>
      </c>
      <c r="M764" s="11">
        <v>-297.0</v>
      </c>
      <c r="N764" s="12"/>
      <c r="O764" s="11">
        <v>91450.0</v>
      </c>
      <c r="P764" s="11">
        <v>63770.0</v>
      </c>
      <c r="Q764" s="11">
        <v>39230.0</v>
      </c>
      <c r="R764" s="11">
        <v>32370.0</v>
      </c>
      <c r="S764" s="11">
        <v>15660.0</v>
      </c>
      <c r="T764" s="11">
        <v>26960.0</v>
      </c>
      <c r="U764" s="11">
        <v>29290.0</v>
      </c>
      <c r="V764" s="11">
        <v>29010.0</v>
      </c>
      <c r="W764" s="11">
        <v>25030.0</v>
      </c>
      <c r="X764" s="11">
        <v>11380.0</v>
      </c>
      <c r="Y764" s="12"/>
      <c r="Z764" s="11">
        <v>-65110.0</v>
      </c>
      <c r="AA764" s="11">
        <v>-1840.0</v>
      </c>
      <c r="AB764" s="11">
        <v>122.0</v>
      </c>
      <c r="AC764" s="11">
        <v>-16080.0</v>
      </c>
      <c r="AD764" s="11">
        <v>-94350.0</v>
      </c>
      <c r="AE764" s="11">
        <v>-66740.0</v>
      </c>
      <c r="AF764" s="11">
        <v>-42210.0</v>
      </c>
      <c r="AG764" s="11">
        <v>-33170.0</v>
      </c>
      <c r="AH764" s="11">
        <v>-16680.0</v>
      </c>
      <c r="AI764" s="11">
        <v>-85610.0</v>
      </c>
      <c r="AJ764" s="11">
        <v>-63770.0</v>
      </c>
      <c r="AK764" s="11">
        <v>-39230.0</v>
      </c>
      <c r="AL764" s="11">
        <v>-32370.0</v>
      </c>
      <c r="AM764" s="11">
        <v>-15620.0</v>
      </c>
      <c r="AN764" s="11">
        <v>-94350.0</v>
      </c>
      <c r="AO764" s="11">
        <v>-66740.0</v>
      </c>
      <c r="AP764" s="11">
        <v>-42210.0</v>
      </c>
      <c r="AQ764" s="11">
        <v>-33170.0</v>
      </c>
      <c r="AR764" s="11">
        <v>-16680.0</v>
      </c>
      <c r="AS764" s="11">
        <v>-92720.0</v>
      </c>
      <c r="AT764" s="11">
        <v>-54120.0</v>
      </c>
      <c r="AU764" s="11">
        <v>-34100.0</v>
      </c>
      <c r="AV764" s="11">
        <v>-27350.0</v>
      </c>
      <c r="AW764" s="11">
        <v>-15090.0</v>
      </c>
      <c r="AX764" s="11">
        <v>-1340.0</v>
      </c>
      <c r="AY764" s="11">
        <v>-1580.0</v>
      </c>
      <c r="AZ764" s="11">
        <v>-480.0</v>
      </c>
      <c r="BA764" s="11">
        <v>-153.0</v>
      </c>
      <c r="BB764" s="11">
        <v>-252.0</v>
      </c>
      <c r="BC764" s="12"/>
      <c r="BD764" s="12"/>
      <c r="BE764" s="12"/>
      <c r="BF764" s="12"/>
      <c r="BG764" s="12"/>
      <c r="BH764" s="11">
        <v>85450.0</v>
      </c>
      <c r="BI764" s="11">
        <v>170900.0</v>
      </c>
      <c r="BJ764" s="11">
        <v>114570.0</v>
      </c>
      <c r="BK764" s="11">
        <v>45470.0</v>
      </c>
      <c r="BL764" s="11">
        <v>5760.0</v>
      </c>
      <c r="BM764" s="11">
        <v>13100.0</v>
      </c>
      <c r="BN764" s="11">
        <v>1030.0</v>
      </c>
      <c r="BO764" s="12"/>
      <c r="BP764" s="12"/>
      <c r="BQ764" s="12"/>
      <c r="BR764" s="11">
        <v>4650.0</v>
      </c>
      <c r="BS764" s="11">
        <v>4100.0</v>
      </c>
      <c r="BT764" s="12"/>
      <c r="BU764" s="12"/>
      <c r="BV764" s="12"/>
      <c r="BW764" s="11">
        <v>105480.0</v>
      </c>
      <c r="BX764" s="11">
        <v>177030.0</v>
      </c>
      <c r="BY764" s="11">
        <v>115210.0</v>
      </c>
      <c r="BZ764" s="11">
        <v>45630.0</v>
      </c>
      <c r="CA764" s="11">
        <v>5870.0</v>
      </c>
      <c r="CB764" s="11">
        <v>32480.0</v>
      </c>
      <c r="CC764" s="11">
        <v>2170.0</v>
      </c>
      <c r="CD764" s="11">
        <v>786.0</v>
      </c>
      <c r="CE764" s="11">
        <v>594.0</v>
      </c>
      <c r="CF764" s="11">
        <v>738.0</v>
      </c>
      <c r="CG764" s="12"/>
      <c r="CH764" s="12"/>
      <c r="CI764" s="12"/>
      <c r="CJ764" s="12"/>
      <c r="CK764" s="12"/>
      <c r="CL764" s="11">
        <v>154320.0</v>
      </c>
      <c r="CM764" s="11">
        <v>220970.0</v>
      </c>
      <c r="CN764" s="11">
        <v>116550.0</v>
      </c>
      <c r="CO764" s="11">
        <v>46330.0</v>
      </c>
      <c r="CP764" s="11">
        <v>8450.0</v>
      </c>
      <c r="CQ764" s="11">
        <v>2520.0</v>
      </c>
      <c r="CR764" s="11">
        <v>5450.0</v>
      </c>
      <c r="CS764" s="11">
        <v>1200.0</v>
      </c>
      <c r="CT764" s="11">
        <v>997.0</v>
      </c>
      <c r="CU764" s="11">
        <v>1400.0</v>
      </c>
      <c r="CV764" s="11">
        <v>24770.0</v>
      </c>
      <c r="CW764" s="11">
        <v>1290.0</v>
      </c>
      <c r="CX764" s="12"/>
      <c r="CY764" s="12"/>
      <c r="CZ764" s="12"/>
      <c r="DA764" s="12"/>
      <c r="DB764" s="11">
        <v>24770.0</v>
      </c>
      <c r="DC764" s="11">
        <v>17010.0</v>
      </c>
      <c r="DD764" s="11">
        <v>14870.0</v>
      </c>
      <c r="DE764" s="11">
        <v>5550.0</v>
      </c>
      <c r="DF764" s="11">
        <v>124630.0</v>
      </c>
      <c r="DG764" s="11">
        <v>115990.0</v>
      </c>
      <c r="DH764" s="11">
        <v>26870.0</v>
      </c>
      <c r="DI764" s="11">
        <v>15700.0</v>
      </c>
      <c r="DJ764" s="11">
        <v>14240.0</v>
      </c>
      <c r="DK764" s="11">
        <v>12580.0</v>
      </c>
      <c r="DL764" s="11">
        <v>12210.0</v>
      </c>
      <c r="DM764" s="11">
        <v>134.0</v>
      </c>
      <c r="DN764" s="11">
        <v>109.0</v>
      </c>
      <c r="DO764" s="24">
        <v>109.0</v>
      </c>
      <c r="DP764" s="11">
        <v>99860.0</v>
      </c>
      <c r="DQ764" s="11">
        <v>98980.0</v>
      </c>
      <c r="DR764" s="11">
        <v>11990.0</v>
      </c>
      <c r="DS764" s="11">
        <v>9100.0</v>
      </c>
      <c r="DT764" s="11">
        <v>7800.0</v>
      </c>
      <c r="DU764" s="13"/>
      <c r="DV764" s="12"/>
      <c r="DW764" s="12"/>
      <c r="DX764" s="11">
        <v>118390.0</v>
      </c>
      <c r="DY764" s="11">
        <v>50870.0</v>
      </c>
      <c r="DZ764" s="11">
        <v>29690.0</v>
      </c>
      <c r="EA764" s="11">
        <v>104980.0</v>
      </c>
      <c r="EB764" s="11">
        <v>89680.0</v>
      </c>
      <c r="EC764" s="11">
        <v>30630.0</v>
      </c>
      <c r="ED764" s="11">
        <v>-5790.0</v>
      </c>
      <c r="EE764" s="14">
        <v>0.445</v>
      </c>
      <c r="EF764" s="14">
        <v>1.102</v>
      </c>
      <c r="EG764" s="14">
        <v>-0.024</v>
      </c>
      <c r="EH764" s="14">
        <v>-0.037</v>
      </c>
    </row>
    <row r="765">
      <c r="A765" s="9">
        <f t="shared" si="2"/>
        <v>763</v>
      </c>
      <c r="B765" s="10" t="s">
        <v>900</v>
      </c>
      <c r="C765" s="15">
        <v>1300000.0</v>
      </c>
      <c r="D765" s="15">
        <v>1200000.0</v>
      </c>
      <c r="E765" s="15">
        <v>1510000.0</v>
      </c>
      <c r="F765" s="15">
        <v>1590000.0</v>
      </c>
      <c r="G765" s="15">
        <v>1400000.0</v>
      </c>
      <c r="H765" s="15">
        <v>1330000.0</v>
      </c>
      <c r="I765" s="15">
        <v>1390000.0</v>
      </c>
      <c r="J765" s="15">
        <v>269500.0</v>
      </c>
      <c r="K765" s="15">
        <v>238500.0</v>
      </c>
      <c r="L765" s="15">
        <v>292200.0</v>
      </c>
      <c r="M765" s="15">
        <v>277300.0</v>
      </c>
      <c r="N765" s="15">
        <v>276100.0</v>
      </c>
      <c r="O765" s="15">
        <v>98000.0</v>
      </c>
      <c r="P765" s="15">
        <v>96300.0</v>
      </c>
      <c r="Q765" s="15">
        <v>97500.0</v>
      </c>
      <c r="R765" s="15">
        <v>108400.0</v>
      </c>
      <c r="S765" s="15">
        <v>90500.0</v>
      </c>
      <c r="T765" s="15">
        <v>10500.0</v>
      </c>
      <c r="U765" s="15">
        <v>9800.0</v>
      </c>
      <c r="V765" s="15">
        <v>10000.0</v>
      </c>
      <c r="W765" s="15">
        <v>10200.0</v>
      </c>
      <c r="X765" s="15">
        <v>9500.0</v>
      </c>
      <c r="Y765" s="15">
        <v>125800.0</v>
      </c>
      <c r="Z765" s="15">
        <v>140800.0</v>
      </c>
      <c r="AA765" s="15">
        <v>-38600.0</v>
      </c>
      <c r="AB765" s="15">
        <v>173800.0</v>
      </c>
      <c r="AC765" s="15">
        <v>-496900.0</v>
      </c>
      <c r="AD765" s="15">
        <v>80400.0</v>
      </c>
      <c r="AE765" s="15">
        <v>120000.0</v>
      </c>
      <c r="AF765" s="15">
        <v>133000.0</v>
      </c>
      <c r="AG765" s="15">
        <v>147200.0</v>
      </c>
      <c r="AH765" s="15">
        <v>-371800.0</v>
      </c>
      <c r="AI765" s="15">
        <v>220600.0</v>
      </c>
      <c r="AJ765" s="15">
        <v>186100.0</v>
      </c>
      <c r="AK765" s="15">
        <v>234400.0</v>
      </c>
      <c r="AL765" s="15">
        <v>204900.0</v>
      </c>
      <c r="AM765" s="15">
        <v>218000.0</v>
      </c>
      <c r="AN765" s="15">
        <v>62000.0</v>
      </c>
      <c r="AO765" s="15">
        <v>91700.0</v>
      </c>
      <c r="AP765" s="15">
        <v>45400.0</v>
      </c>
      <c r="AQ765" s="15">
        <v>91700.0</v>
      </c>
      <c r="AR765" s="15">
        <v>-236600.0</v>
      </c>
      <c r="AS765" s="15">
        <v>232300.0</v>
      </c>
      <c r="AT765" s="15">
        <v>150200.0</v>
      </c>
      <c r="AU765" s="15">
        <v>141500.0</v>
      </c>
      <c r="AV765" s="15">
        <v>164300.0</v>
      </c>
      <c r="AW765" s="15">
        <v>158800.0</v>
      </c>
      <c r="AX765" s="15">
        <v>-60200.0</v>
      </c>
      <c r="AY765" s="15">
        <v>-74100.0</v>
      </c>
      <c r="AZ765" s="15">
        <v>-75500.0</v>
      </c>
      <c r="BA765" s="15">
        <v>-76100.0</v>
      </c>
      <c r="BB765" s="15">
        <v>-63100.0</v>
      </c>
      <c r="BC765" s="15">
        <v>-39400.0</v>
      </c>
      <c r="BD765" s="15">
        <v>-37700.0</v>
      </c>
      <c r="BE765" s="15">
        <v>-35000.0</v>
      </c>
      <c r="BF765" s="15">
        <v>-32400.0</v>
      </c>
      <c r="BG765" s="15">
        <v>-28100.0</v>
      </c>
      <c r="BH765" s="15">
        <v>343300.0</v>
      </c>
      <c r="BI765" s="15">
        <v>162600.0</v>
      </c>
      <c r="BJ765" s="15">
        <v>235100.0</v>
      </c>
      <c r="BK765" s="15">
        <v>291500.0</v>
      </c>
      <c r="BL765" s="15">
        <v>104300.0</v>
      </c>
      <c r="BM765" s="15">
        <v>239800.0</v>
      </c>
      <c r="BN765" s="15">
        <v>260300.0</v>
      </c>
      <c r="BO765" s="15">
        <v>180500.0</v>
      </c>
      <c r="BP765" s="15">
        <v>149600.0</v>
      </c>
      <c r="BQ765" s="15">
        <v>122800.0</v>
      </c>
      <c r="BR765" s="15">
        <v>177600.0</v>
      </c>
      <c r="BS765" s="15">
        <v>215100.0</v>
      </c>
      <c r="BT765" s="15">
        <v>207900.0</v>
      </c>
      <c r="BU765" s="15">
        <v>201600.0</v>
      </c>
      <c r="BV765" s="15">
        <v>219600.0</v>
      </c>
      <c r="BW765" s="15">
        <v>779800.0</v>
      </c>
      <c r="BX765" s="15">
        <v>656600.0</v>
      </c>
      <c r="BY765" s="15">
        <v>656600.0</v>
      </c>
      <c r="BZ765" s="15">
        <v>655900.0</v>
      </c>
      <c r="CA765" s="15">
        <v>501600.0</v>
      </c>
      <c r="CB765" s="15">
        <v>647800.0</v>
      </c>
      <c r="CC765" s="15">
        <v>611800.0</v>
      </c>
      <c r="CD765" s="15">
        <v>571400.0</v>
      </c>
      <c r="CE765" s="15">
        <v>530900.0</v>
      </c>
      <c r="CF765" s="15">
        <v>495400.0</v>
      </c>
      <c r="CG765" s="15">
        <v>18800.0</v>
      </c>
      <c r="CH765" s="15">
        <v>44000.0</v>
      </c>
      <c r="CI765" s="15">
        <v>18800.0</v>
      </c>
      <c r="CJ765" s="15">
        <v>37200.0</v>
      </c>
      <c r="CK765" s="15">
        <v>37200.0</v>
      </c>
      <c r="CL765" s="15">
        <v>1530000.0</v>
      </c>
      <c r="CM765" s="15">
        <v>1420000.0</v>
      </c>
      <c r="CN765" s="15">
        <v>1390000.0</v>
      </c>
      <c r="CO765" s="15">
        <v>1440000.0</v>
      </c>
      <c r="CP765" s="15">
        <v>1250000.0</v>
      </c>
      <c r="CQ765" s="15">
        <v>92000.0</v>
      </c>
      <c r="CR765" s="15">
        <v>121400.0</v>
      </c>
      <c r="CS765" s="15">
        <v>90000.0</v>
      </c>
      <c r="CT765" s="15">
        <v>75800.0</v>
      </c>
      <c r="CU765" s="15">
        <v>76700.0</v>
      </c>
      <c r="CV765" s="15">
        <v>170400.0</v>
      </c>
      <c r="CW765" s="15">
        <v>3900.0</v>
      </c>
      <c r="CX765" s="16">
        <v>0.0</v>
      </c>
      <c r="CY765" s="16">
        <v>0.0</v>
      </c>
      <c r="CZ765" s="16">
        <v>0.0</v>
      </c>
      <c r="DA765" s="15">
        <v>0.0</v>
      </c>
      <c r="DB765" s="15">
        <v>170400.0</v>
      </c>
      <c r="DC765" s="15">
        <v>205500.0</v>
      </c>
      <c r="DD765" s="15">
        <v>173100.0</v>
      </c>
      <c r="DE765" s="15">
        <v>165000.0</v>
      </c>
      <c r="DF765" s="15">
        <v>792300.0</v>
      </c>
      <c r="DG765" s="15">
        <v>678900.0</v>
      </c>
      <c r="DH765" s="15">
        <v>638900.0</v>
      </c>
      <c r="DI765" s="15">
        <v>638800.0</v>
      </c>
      <c r="DJ765" s="15">
        <v>472500.0</v>
      </c>
      <c r="DK765" s="15">
        <v>15900.0</v>
      </c>
      <c r="DL765" s="15">
        <v>14600.0</v>
      </c>
      <c r="DM765" s="15">
        <v>19300.0</v>
      </c>
      <c r="DN765" s="15">
        <v>13000.0</v>
      </c>
      <c r="DO765" s="15">
        <v>11000.0</v>
      </c>
      <c r="DP765" s="15">
        <v>523200.0</v>
      </c>
      <c r="DQ765" s="15">
        <v>370400.0</v>
      </c>
      <c r="DR765" s="15">
        <v>369600.0</v>
      </c>
      <c r="DS765" s="15">
        <v>368900.0</v>
      </c>
      <c r="DT765" s="15">
        <v>194700.0</v>
      </c>
      <c r="DU765" s="16">
        <v>0.0</v>
      </c>
      <c r="DV765" s="15">
        <v>0.0</v>
      </c>
      <c r="DW765" s="15">
        <v>0.0</v>
      </c>
      <c r="DX765" s="16">
        <v>0.0</v>
      </c>
      <c r="DY765" s="16">
        <v>0.0</v>
      </c>
      <c r="DZ765" s="15">
        <v>733900.0</v>
      </c>
      <c r="EA765" s="15">
        <v>740400.0</v>
      </c>
      <c r="EB765" s="15">
        <v>746300.0</v>
      </c>
      <c r="EC765" s="15">
        <v>804700.0</v>
      </c>
      <c r="ED765" s="15">
        <v>774400.0</v>
      </c>
      <c r="EE765" s="17">
        <v>0.167</v>
      </c>
      <c r="EF765" s="17">
        <v>0.1</v>
      </c>
      <c r="EG765" s="17">
        <v>0.203</v>
      </c>
      <c r="EH765" s="17">
        <v>0.065</v>
      </c>
    </row>
    <row r="766">
      <c r="A766" s="9">
        <f t="shared" si="2"/>
        <v>764</v>
      </c>
      <c r="B766" s="22" t="s">
        <v>901</v>
      </c>
      <c r="C766" s="11">
        <v>18530.0</v>
      </c>
      <c r="D766" s="11">
        <v>4280.0</v>
      </c>
      <c r="E766" s="11">
        <v>12690.0</v>
      </c>
      <c r="F766" s="11">
        <v>16130.0</v>
      </c>
      <c r="G766" s="11">
        <v>7990.0</v>
      </c>
      <c r="H766" s="11">
        <v>1500.0</v>
      </c>
      <c r="I766" s="11">
        <v>29.0</v>
      </c>
      <c r="J766" s="12"/>
      <c r="K766" s="12"/>
      <c r="L766" s="12"/>
      <c r="M766" s="12"/>
      <c r="N766" s="12"/>
      <c r="O766" s="11">
        <v>52700.0</v>
      </c>
      <c r="P766" s="11">
        <v>45570.0</v>
      </c>
      <c r="Q766" s="11">
        <v>26920.0</v>
      </c>
      <c r="R766" s="11">
        <v>23800.0</v>
      </c>
      <c r="S766" s="11">
        <v>20930.0</v>
      </c>
      <c r="T766" s="11">
        <v>40190.0</v>
      </c>
      <c r="U766" s="11">
        <v>35020.0</v>
      </c>
      <c r="V766" s="11">
        <v>18240.0</v>
      </c>
      <c r="W766" s="11">
        <v>12670.0</v>
      </c>
      <c r="X766" s="11">
        <v>16200.0</v>
      </c>
      <c r="Y766" s="12"/>
      <c r="Z766" s="12"/>
      <c r="AA766" s="12"/>
      <c r="AB766" s="12"/>
      <c r="AC766" s="11">
        <v>-23690.0</v>
      </c>
      <c r="AD766" s="11">
        <v>-31140.0</v>
      </c>
      <c r="AE766" s="11">
        <v>-23990.0</v>
      </c>
      <c r="AF766" s="11">
        <v>-22610.0</v>
      </c>
      <c r="AG766" s="11">
        <v>-20800.0</v>
      </c>
      <c r="AH766" s="11">
        <v>-24850.0</v>
      </c>
      <c r="AI766" s="11">
        <v>-40010.0</v>
      </c>
      <c r="AJ766" s="11">
        <v>-29440.0</v>
      </c>
      <c r="AK766" s="11">
        <v>-18930.0</v>
      </c>
      <c r="AL766" s="11">
        <v>-22300.0</v>
      </c>
      <c r="AM766" s="11">
        <v>-20900.0</v>
      </c>
      <c r="AN766" s="11">
        <v>-29120.0</v>
      </c>
      <c r="AO766" s="11">
        <v>-20820.0</v>
      </c>
      <c r="AP766" s="11">
        <v>-15810.0</v>
      </c>
      <c r="AQ766" s="11">
        <v>-18600.0</v>
      </c>
      <c r="AR766" s="11">
        <v>-24850.0</v>
      </c>
      <c r="AS766" s="11">
        <v>-44820.0</v>
      </c>
      <c r="AT766" s="11">
        <v>-36370.0</v>
      </c>
      <c r="AU766" s="11">
        <v>10560.0</v>
      </c>
      <c r="AV766" s="11">
        <v>-23720.0</v>
      </c>
      <c r="AW766" s="11">
        <v>-20860.0</v>
      </c>
      <c r="AX766" s="11">
        <v>-220.0</v>
      </c>
      <c r="AY766" s="11">
        <v>-1080.0</v>
      </c>
      <c r="AZ766" s="11">
        <v>-1430.0</v>
      </c>
      <c r="BA766" s="11">
        <v>-74.0</v>
      </c>
      <c r="BB766" s="11">
        <v>-659.0</v>
      </c>
      <c r="BC766" s="12"/>
      <c r="BD766" s="12"/>
      <c r="BE766" s="12"/>
      <c r="BF766" s="12"/>
      <c r="BG766" s="12"/>
      <c r="BH766" s="11">
        <v>67710.0</v>
      </c>
      <c r="BI766" s="11">
        <v>100810.0</v>
      </c>
      <c r="BJ766" s="11">
        <v>51060.0</v>
      </c>
      <c r="BK766" s="11">
        <v>30950.0</v>
      </c>
      <c r="BL766" s="11">
        <v>53720.0</v>
      </c>
      <c r="BM766" s="11">
        <v>16530.0</v>
      </c>
      <c r="BN766" s="11">
        <v>11320.0</v>
      </c>
      <c r="BO766" s="11">
        <v>6830.0</v>
      </c>
      <c r="BP766" s="11">
        <v>2550.0</v>
      </c>
      <c r="BQ766" s="12"/>
      <c r="BR766" s="12"/>
      <c r="BS766" s="12"/>
      <c r="BT766" s="12"/>
      <c r="BU766" s="12"/>
      <c r="BV766" s="12"/>
      <c r="BW766" s="11">
        <v>88700.0</v>
      </c>
      <c r="BX766" s="11">
        <v>115550.0</v>
      </c>
      <c r="BY766" s="11">
        <v>59380.0</v>
      </c>
      <c r="BZ766" s="11">
        <v>34250.0</v>
      </c>
      <c r="CA766" s="11">
        <v>54950.0</v>
      </c>
      <c r="CB766" s="11">
        <v>3660.0</v>
      </c>
      <c r="CC766" s="11">
        <v>2410.0</v>
      </c>
      <c r="CD766" s="11">
        <v>1840.0</v>
      </c>
      <c r="CE766" s="11">
        <v>97.0</v>
      </c>
      <c r="CF766" s="11">
        <v>805.0</v>
      </c>
      <c r="CG766" s="12"/>
      <c r="CH766" s="12"/>
      <c r="CI766" s="12"/>
      <c r="CJ766" s="12"/>
      <c r="CK766" s="12"/>
      <c r="CL766" s="11">
        <v>92530.0</v>
      </c>
      <c r="CM766" s="11">
        <v>118130.0</v>
      </c>
      <c r="CN766" s="11">
        <v>61390.0</v>
      </c>
      <c r="CO766" s="11">
        <v>34350.0</v>
      </c>
      <c r="CP766" s="11">
        <v>56790.0</v>
      </c>
      <c r="CQ766" s="11">
        <v>1680.0</v>
      </c>
      <c r="CR766" s="11">
        <v>2860.0</v>
      </c>
      <c r="CS766" s="11">
        <v>1430.0</v>
      </c>
      <c r="CT766" s="11">
        <v>1150.0</v>
      </c>
      <c r="CU766" s="11">
        <v>1460.0</v>
      </c>
      <c r="CV766" s="11">
        <v>7720.0</v>
      </c>
      <c r="CW766" s="11">
        <v>588.0</v>
      </c>
      <c r="CX766" s="12"/>
      <c r="CY766" s="12"/>
      <c r="CZ766" s="12"/>
      <c r="DA766" s="12"/>
      <c r="DB766" s="11">
        <v>7720.0</v>
      </c>
      <c r="DC766" s="11">
        <v>18050.0</v>
      </c>
      <c r="DD766" s="11">
        <v>23220.0</v>
      </c>
      <c r="DE766" s="11">
        <v>3020.0</v>
      </c>
      <c r="DF766" s="11">
        <v>8780.0</v>
      </c>
      <c r="DG766" s="11">
        <v>21390.0</v>
      </c>
      <c r="DH766" s="11">
        <v>34140.0</v>
      </c>
      <c r="DI766" s="11">
        <v>3020.0</v>
      </c>
      <c r="DJ766" s="11">
        <v>7480.0</v>
      </c>
      <c r="DK766" s="12"/>
      <c r="DL766" s="12"/>
      <c r="DM766" s="12"/>
      <c r="DN766" s="12"/>
      <c r="DO766" s="24">
        <v>199.0</v>
      </c>
      <c r="DP766" s="11">
        <v>1060.0</v>
      </c>
      <c r="DQ766" s="12"/>
      <c r="DR766" s="11">
        <v>58.0</v>
      </c>
      <c r="DS766" s="12"/>
      <c r="DT766" s="11">
        <v>3150.0</v>
      </c>
      <c r="DU766" s="13"/>
      <c r="DV766" s="12"/>
      <c r="DW766" s="12"/>
      <c r="DX766" s="13"/>
      <c r="DY766" s="13"/>
      <c r="DZ766" s="11">
        <v>83750.0</v>
      </c>
      <c r="EA766" s="11">
        <v>96740.0</v>
      </c>
      <c r="EB766" s="11">
        <v>27250.0</v>
      </c>
      <c r="EC766" s="11">
        <v>31330.0</v>
      </c>
      <c r="ED766" s="11">
        <v>49310.0</v>
      </c>
      <c r="EE766" s="23"/>
      <c r="EF766" s="14">
        <v>0.88</v>
      </c>
      <c r="EG766" s="14">
        <v>0.431</v>
      </c>
      <c r="EH766" s="14">
        <v>0.039</v>
      </c>
    </row>
    <row r="767">
      <c r="A767" s="9">
        <f t="shared" si="2"/>
        <v>765</v>
      </c>
      <c r="B767" s="10" t="s">
        <v>902</v>
      </c>
      <c r="C767" s="11">
        <v>799100.0</v>
      </c>
      <c r="D767" s="11">
        <v>772030.0</v>
      </c>
      <c r="E767" s="11">
        <v>761610.0</v>
      </c>
      <c r="F767" s="11">
        <v>735990.0</v>
      </c>
      <c r="G767" s="11">
        <v>1810000.0</v>
      </c>
      <c r="H767" s="11">
        <v>1810000.0</v>
      </c>
      <c r="I767" s="11">
        <v>1780000.0</v>
      </c>
      <c r="J767" s="11">
        <v>240810.0</v>
      </c>
      <c r="K767" s="11">
        <v>227320.0</v>
      </c>
      <c r="L767" s="11">
        <v>545590.0</v>
      </c>
      <c r="M767" s="11">
        <v>549090.0</v>
      </c>
      <c r="N767" s="11">
        <v>517230.0</v>
      </c>
      <c r="O767" s="11">
        <v>177190.0</v>
      </c>
      <c r="P767" s="11">
        <v>172270.0</v>
      </c>
      <c r="Q767" s="11">
        <v>432070.0</v>
      </c>
      <c r="R767" s="11">
        <v>443160.0</v>
      </c>
      <c r="S767" s="11">
        <v>413040.0</v>
      </c>
      <c r="T767" s="11">
        <v>11600.0</v>
      </c>
      <c r="U767" s="11">
        <v>9100.0</v>
      </c>
      <c r="V767" s="11">
        <v>8200.0</v>
      </c>
      <c r="W767" s="11">
        <v>7700.0</v>
      </c>
      <c r="X767" s="11">
        <v>6700.0</v>
      </c>
      <c r="Y767" s="11">
        <v>61060.0</v>
      </c>
      <c r="Z767" s="11">
        <v>-17390.0</v>
      </c>
      <c r="AA767" s="11">
        <v>-2660.0</v>
      </c>
      <c r="AB767" s="12"/>
      <c r="AC767" s="11">
        <v>-2200.0</v>
      </c>
      <c r="AD767" s="11">
        <v>40590.0</v>
      </c>
      <c r="AE767" s="11">
        <v>25140.0</v>
      </c>
      <c r="AF767" s="11">
        <v>94380.0</v>
      </c>
      <c r="AG767" s="11">
        <v>89700.0</v>
      </c>
      <c r="AH767" s="11">
        <v>87990.0</v>
      </c>
      <c r="AI767" s="11">
        <v>89470.0</v>
      </c>
      <c r="AJ767" s="11">
        <v>82920.0</v>
      </c>
      <c r="AK767" s="11">
        <v>156000.0</v>
      </c>
      <c r="AL767" s="11">
        <v>150860.0</v>
      </c>
      <c r="AM767" s="11">
        <v>141920.0</v>
      </c>
      <c r="AN767" s="11">
        <v>56450.0</v>
      </c>
      <c r="AO767" s="11">
        <v>15880.0</v>
      </c>
      <c r="AP767" s="11">
        <v>49830.0</v>
      </c>
      <c r="AQ767" s="11">
        <v>58850.0</v>
      </c>
      <c r="AR767" s="11">
        <v>60440.0</v>
      </c>
      <c r="AS767" s="11">
        <v>-4380.0</v>
      </c>
      <c r="AT767" s="11">
        <v>162370.0</v>
      </c>
      <c r="AU767" s="11">
        <v>79890.0</v>
      </c>
      <c r="AV767" s="11">
        <v>107710.0</v>
      </c>
      <c r="AW767" s="11">
        <v>109580.0</v>
      </c>
      <c r="AX767" s="11">
        <v>-22450.0</v>
      </c>
      <c r="AY767" s="11">
        <v>-21500.0</v>
      </c>
      <c r="AZ767" s="11">
        <v>-27630.0</v>
      </c>
      <c r="BA767" s="11">
        <v>-29780.0</v>
      </c>
      <c r="BB767" s="11">
        <v>-29930.0</v>
      </c>
      <c r="BC767" s="11">
        <v>-22340.0</v>
      </c>
      <c r="BD767" s="11">
        <v>-22350.0</v>
      </c>
      <c r="BE767" s="11">
        <v>-21460.0</v>
      </c>
      <c r="BF767" s="11">
        <v>-19510.0</v>
      </c>
      <c r="BG767" s="11">
        <v>-19030.0</v>
      </c>
      <c r="BH767" s="11">
        <v>471540.0</v>
      </c>
      <c r="BI767" s="11">
        <v>25900.0</v>
      </c>
      <c r="BJ767" s="11">
        <v>36900.0</v>
      </c>
      <c r="BK767" s="11">
        <v>41210.0</v>
      </c>
      <c r="BL767" s="11">
        <v>16460.0</v>
      </c>
      <c r="BM767" s="11">
        <v>286180.0</v>
      </c>
      <c r="BN767" s="11">
        <v>250550.0</v>
      </c>
      <c r="BO767" s="11">
        <v>330840.0</v>
      </c>
      <c r="BP767" s="11">
        <v>250230.0</v>
      </c>
      <c r="BQ767" s="11">
        <v>241690.0</v>
      </c>
      <c r="BR767" s="11">
        <v>156350.0</v>
      </c>
      <c r="BS767" s="11">
        <v>131570.0</v>
      </c>
      <c r="BT767" s="11">
        <v>367440.0</v>
      </c>
      <c r="BU767" s="11">
        <v>393810.0</v>
      </c>
      <c r="BV767" s="11">
        <v>385750.0</v>
      </c>
      <c r="BW767" s="11">
        <v>930440.0</v>
      </c>
      <c r="BX767" s="11">
        <v>767110.0</v>
      </c>
      <c r="BY767" s="11">
        <v>747870.0</v>
      </c>
      <c r="BZ767" s="11">
        <v>698550.0</v>
      </c>
      <c r="CA767" s="11">
        <v>676040.0</v>
      </c>
      <c r="CB767" s="11">
        <v>155610.0</v>
      </c>
      <c r="CC767" s="11">
        <v>137110.0</v>
      </c>
      <c r="CD767" s="11">
        <v>185450.0</v>
      </c>
      <c r="CE767" s="11">
        <v>176520.0</v>
      </c>
      <c r="CF767" s="11">
        <v>175590.0</v>
      </c>
      <c r="CG767" s="11">
        <v>195310.0</v>
      </c>
      <c r="CH767" s="11">
        <v>196160.0</v>
      </c>
      <c r="CI767" s="11">
        <v>351720.0</v>
      </c>
      <c r="CJ767" s="11">
        <v>337890.0</v>
      </c>
      <c r="CK767" s="11">
        <v>352710.0</v>
      </c>
      <c r="CL767" s="11">
        <v>1420000.0</v>
      </c>
      <c r="CM767" s="11">
        <v>1470000.0</v>
      </c>
      <c r="CN767" s="11">
        <v>1460000.0</v>
      </c>
      <c r="CO767" s="11">
        <v>1430000.0</v>
      </c>
      <c r="CP767" s="11">
        <v>1440000.0</v>
      </c>
      <c r="CQ767" s="11">
        <v>70880.0</v>
      </c>
      <c r="CR767" s="11">
        <v>56830.0</v>
      </c>
      <c r="CS767" s="11">
        <v>127590.0</v>
      </c>
      <c r="CT767" s="11">
        <v>116660.0</v>
      </c>
      <c r="CU767" s="11">
        <v>117010.0</v>
      </c>
      <c r="CV767" s="11">
        <v>203990.0</v>
      </c>
      <c r="CW767" s="11">
        <v>5910.0</v>
      </c>
      <c r="CX767" s="24">
        <v>700.0</v>
      </c>
      <c r="CY767" s="11">
        <v>3100.0</v>
      </c>
      <c r="CZ767" s="11">
        <v>4300.0</v>
      </c>
      <c r="DA767" s="11">
        <v>4000.0</v>
      </c>
      <c r="DB767" s="11">
        <v>203990.0</v>
      </c>
      <c r="DC767" s="11">
        <v>298480.0</v>
      </c>
      <c r="DD767" s="11">
        <v>246300.0</v>
      </c>
      <c r="DE767" s="11">
        <v>353890.0</v>
      </c>
      <c r="DF767" s="11">
        <v>595740.0</v>
      </c>
      <c r="DG767" s="11">
        <v>840910.0</v>
      </c>
      <c r="DH767" s="11">
        <v>819800.0</v>
      </c>
      <c r="DI767" s="11">
        <v>858700.0</v>
      </c>
      <c r="DJ767" s="11">
        <v>896530.0</v>
      </c>
      <c r="DK767" s="12"/>
      <c r="DL767" s="12"/>
      <c r="DM767" s="12"/>
      <c r="DN767" s="12"/>
      <c r="DO767" s="12"/>
      <c r="DP767" s="11">
        <v>198800.0</v>
      </c>
      <c r="DQ767" s="11">
        <v>290520.0</v>
      </c>
      <c r="DR767" s="11">
        <v>396640.0</v>
      </c>
      <c r="DS767" s="11">
        <v>299200.0</v>
      </c>
      <c r="DT767" s="11">
        <v>435330.0</v>
      </c>
      <c r="DU767" s="13"/>
      <c r="DV767" s="13"/>
      <c r="DW767" s="13"/>
      <c r="DX767" s="11">
        <v>1800.0</v>
      </c>
      <c r="DY767" s="13"/>
      <c r="DZ767" s="11">
        <v>823200.0</v>
      </c>
      <c r="EA767" s="11">
        <v>633160.0</v>
      </c>
      <c r="EB767" s="11">
        <v>635660.0</v>
      </c>
      <c r="EC767" s="11">
        <v>567580.0</v>
      </c>
      <c r="ED767" s="11">
        <v>543080.0</v>
      </c>
      <c r="EE767" s="14">
        <v>0.075</v>
      </c>
      <c r="EF767" s="14">
        <v>0.03</v>
      </c>
      <c r="EG767" s="14">
        <v>0.5</v>
      </c>
      <c r="EH767" s="14">
        <v>0.062</v>
      </c>
    </row>
    <row r="768">
      <c r="A768" s="9">
        <f t="shared" si="2"/>
        <v>766</v>
      </c>
      <c r="B768" s="10" t="s">
        <v>903</v>
      </c>
      <c r="C768" s="11">
        <v>2710000.0</v>
      </c>
      <c r="D768" s="11">
        <v>2370000.0</v>
      </c>
      <c r="E768" s="11">
        <v>2780000.0</v>
      </c>
      <c r="F768" s="11">
        <v>2440000.0</v>
      </c>
      <c r="G768" s="11">
        <v>3460000.0</v>
      </c>
      <c r="H768" s="11">
        <v>3150000.0</v>
      </c>
      <c r="I768" s="11">
        <v>2690000.0</v>
      </c>
      <c r="J768" s="11">
        <v>976100.0</v>
      </c>
      <c r="K768" s="11">
        <v>948900.0</v>
      </c>
      <c r="L768" s="11">
        <v>1210000.0</v>
      </c>
      <c r="M768" s="11">
        <v>1080000.0</v>
      </c>
      <c r="N768" s="11">
        <v>929300.0</v>
      </c>
      <c r="O768" s="11">
        <v>662000.0</v>
      </c>
      <c r="P768" s="11">
        <v>608800.0</v>
      </c>
      <c r="Q768" s="11">
        <v>640200.0</v>
      </c>
      <c r="R768" s="11">
        <v>583100.0</v>
      </c>
      <c r="S768" s="11">
        <v>502000.0</v>
      </c>
      <c r="T768" s="12"/>
      <c r="U768" s="12"/>
      <c r="V768" s="12"/>
      <c r="W768" s="12"/>
      <c r="X768" s="12"/>
      <c r="Y768" s="11">
        <v>311000.0</v>
      </c>
      <c r="Z768" s="11">
        <v>5800.0</v>
      </c>
      <c r="AA768" s="11">
        <v>560900.0</v>
      </c>
      <c r="AB768" s="11">
        <v>492900.0</v>
      </c>
      <c r="AC768" s="11">
        <v>-1500.0</v>
      </c>
      <c r="AD768" s="11">
        <v>130100.0</v>
      </c>
      <c r="AE768" s="11">
        <v>151900.0</v>
      </c>
      <c r="AF768" s="11">
        <v>398000.0</v>
      </c>
      <c r="AG768" s="11">
        <v>355300.0</v>
      </c>
      <c r="AH768" s="11">
        <v>340500.0</v>
      </c>
      <c r="AI768" s="11">
        <v>502800.0</v>
      </c>
      <c r="AJ768" s="11">
        <v>512500.0</v>
      </c>
      <c r="AK768" s="11">
        <v>830600.0</v>
      </c>
      <c r="AL768" s="11">
        <v>739600.0</v>
      </c>
      <c r="AM768" s="11">
        <v>640100.0</v>
      </c>
      <c r="AN768" s="11">
        <v>92400.0</v>
      </c>
      <c r="AO768" s="11">
        <v>117600.0</v>
      </c>
      <c r="AP768" s="11">
        <v>362000.0</v>
      </c>
      <c r="AQ768" s="11">
        <v>222400.0</v>
      </c>
      <c r="AR768" s="11">
        <v>214600.0</v>
      </c>
      <c r="AS768" s="11">
        <v>527900.0</v>
      </c>
      <c r="AT768" s="11">
        <v>710400.0</v>
      </c>
      <c r="AU768" s="11">
        <v>588800.0</v>
      </c>
      <c r="AV768" s="11">
        <v>360800.0</v>
      </c>
      <c r="AW768" s="11">
        <v>475000.0</v>
      </c>
      <c r="AX768" s="11">
        <v>-161600.0</v>
      </c>
      <c r="AY768" s="11">
        <v>-131300.0</v>
      </c>
      <c r="AZ768" s="11">
        <v>-152200.0</v>
      </c>
      <c r="BA768" s="11">
        <v>-155100.0</v>
      </c>
      <c r="BB768" s="11">
        <v>-134700.0</v>
      </c>
      <c r="BC768" s="11">
        <v>-164300.0</v>
      </c>
      <c r="BD768" s="11">
        <v>-188300.0</v>
      </c>
      <c r="BE768" s="11">
        <v>-174800.0</v>
      </c>
      <c r="BF768" s="11">
        <v>-157100.0</v>
      </c>
      <c r="BG768" s="11">
        <v>-151900.0</v>
      </c>
      <c r="BH768" s="11">
        <v>560900.0</v>
      </c>
      <c r="BI768" s="11">
        <v>304700.0</v>
      </c>
      <c r="BJ768" s="11">
        <v>336600.0</v>
      </c>
      <c r="BK768" s="11">
        <v>219700.0</v>
      </c>
      <c r="BL768" s="11">
        <v>171200.0</v>
      </c>
      <c r="BM768" s="11">
        <v>2560000.0</v>
      </c>
      <c r="BN768" s="11">
        <v>2460000.0</v>
      </c>
      <c r="BO768" s="11">
        <v>2630000.0</v>
      </c>
      <c r="BP768" s="11">
        <v>2460000.0</v>
      </c>
      <c r="BQ768" s="11">
        <v>2140000.0</v>
      </c>
      <c r="BR768" s="12"/>
      <c r="BS768" s="12"/>
      <c r="BT768" s="12"/>
      <c r="BU768" s="12"/>
      <c r="BV768" s="12"/>
      <c r="BW768" s="11">
        <v>3240000.0</v>
      </c>
      <c r="BX768" s="11">
        <v>3310000.0</v>
      </c>
      <c r="BY768" s="11">
        <v>3140000.0</v>
      </c>
      <c r="BZ768" s="11">
        <v>2840000.0</v>
      </c>
      <c r="CA768" s="11">
        <v>2450000.0</v>
      </c>
      <c r="CB768" s="11">
        <v>973100.0</v>
      </c>
      <c r="CC768" s="11">
        <v>631000.0</v>
      </c>
      <c r="CD768" s="11">
        <v>908200.0</v>
      </c>
      <c r="CE768" s="11">
        <v>842500.0</v>
      </c>
      <c r="CF768" s="11">
        <v>766900.0</v>
      </c>
      <c r="CG768" s="11">
        <v>1820000.0</v>
      </c>
      <c r="CH768" s="11">
        <v>1680000.0</v>
      </c>
      <c r="CI768" s="11">
        <v>2190000.0</v>
      </c>
      <c r="CJ768" s="11">
        <v>2060000.0</v>
      </c>
      <c r="CK768" s="11">
        <v>1800000.0</v>
      </c>
      <c r="CL768" s="11">
        <v>6580000.0</v>
      </c>
      <c r="CM768" s="11">
        <v>7260000.0</v>
      </c>
      <c r="CN768" s="11">
        <v>7080000.0</v>
      </c>
      <c r="CO768" s="11">
        <v>6560000.0</v>
      </c>
      <c r="CP768" s="11">
        <v>5770000.0</v>
      </c>
      <c r="CQ768" s="11">
        <v>704600.0</v>
      </c>
      <c r="CR768" s="11">
        <v>691300.0</v>
      </c>
      <c r="CS768" s="11">
        <v>682700.0</v>
      </c>
      <c r="CT768" s="11">
        <v>648500.0</v>
      </c>
      <c r="CU768" s="11">
        <v>608400.0</v>
      </c>
      <c r="CV768" s="11">
        <v>2520000.0</v>
      </c>
      <c r="CW768" s="11">
        <v>1500000.0</v>
      </c>
      <c r="CX768" s="11">
        <v>1450000.0</v>
      </c>
      <c r="CY768" s="11">
        <v>1360000.0</v>
      </c>
      <c r="CZ768" s="11">
        <v>1280000.0</v>
      </c>
      <c r="DA768" s="11">
        <v>1190000.0</v>
      </c>
      <c r="DB768" s="11">
        <v>2520000.0</v>
      </c>
      <c r="DC768" s="11">
        <v>2620000.0</v>
      </c>
      <c r="DD768" s="11">
        <v>2390000.0</v>
      </c>
      <c r="DE768" s="11">
        <v>2340000.0</v>
      </c>
      <c r="DF768" s="11">
        <v>4930000.0</v>
      </c>
      <c r="DG768" s="11">
        <v>5790000.0</v>
      </c>
      <c r="DH768" s="11">
        <v>5600000.0</v>
      </c>
      <c r="DI768" s="11">
        <v>5160000.0</v>
      </c>
      <c r="DJ768" s="11">
        <v>4390000.0</v>
      </c>
      <c r="DK768" s="12"/>
      <c r="DL768" s="11">
        <v>5200.0</v>
      </c>
      <c r="DM768" s="11">
        <v>18400.0</v>
      </c>
      <c r="DN768" s="12"/>
      <c r="DO768" s="12"/>
      <c r="DP768" s="11">
        <v>2230000.0</v>
      </c>
      <c r="DQ768" s="11">
        <v>2650000.0</v>
      </c>
      <c r="DR768" s="11">
        <v>2690000.0</v>
      </c>
      <c r="DS768" s="11">
        <v>2370000.0</v>
      </c>
      <c r="DT768" s="11">
        <v>1710000.0</v>
      </c>
      <c r="DU768" s="13"/>
      <c r="DV768" s="12"/>
      <c r="DW768" s="12"/>
      <c r="DX768" s="12"/>
      <c r="DY768" s="12"/>
      <c r="DZ768" s="11">
        <v>1650000.0</v>
      </c>
      <c r="EA768" s="11">
        <v>1460000.0</v>
      </c>
      <c r="EB768" s="11">
        <v>1480000.0</v>
      </c>
      <c r="EC768" s="11">
        <v>1400000.0</v>
      </c>
      <c r="ED768" s="11">
        <v>1390000.0</v>
      </c>
      <c r="EE768" s="14">
        <v>0.122</v>
      </c>
      <c r="EF768" s="14">
        <v>0.151</v>
      </c>
      <c r="EG768" s="14">
        <v>1.571</v>
      </c>
      <c r="EH768" s="14">
        <v>0.209</v>
      </c>
    </row>
    <row r="769">
      <c r="A769" s="9">
        <f t="shared" si="2"/>
        <v>767</v>
      </c>
      <c r="B769" s="32" t="s">
        <v>904</v>
      </c>
      <c r="C769" s="11">
        <v>4850000.0</v>
      </c>
      <c r="D769" s="11">
        <v>4020000.0</v>
      </c>
      <c r="E769" s="11">
        <v>4550000.0</v>
      </c>
      <c r="F769" s="11">
        <v>4550000.0</v>
      </c>
      <c r="G769" s="11">
        <v>4370000.0</v>
      </c>
      <c r="H769" s="11">
        <v>3590000.0</v>
      </c>
      <c r="I769" s="11">
        <v>3030000.0</v>
      </c>
      <c r="J769" s="11">
        <v>847120.0</v>
      </c>
      <c r="K769" s="11">
        <v>803080.0</v>
      </c>
      <c r="L769" s="11">
        <v>722060.0</v>
      </c>
      <c r="M769" s="11">
        <v>553550.0</v>
      </c>
      <c r="N769" s="11">
        <v>492660.0</v>
      </c>
      <c r="O769" s="11">
        <v>501680.0</v>
      </c>
      <c r="P769" s="11">
        <v>448000.0</v>
      </c>
      <c r="Q769" s="11">
        <v>429820.0</v>
      </c>
      <c r="R769" s="11">
        <v>393260.0</v>
      </c>
      <c r="S769" s="11">
        <v>346710.0</v>
      </c>
      <c r="T769" s="11"/>
      <c r="U769" s="11"/>
      <c r="V769" s="11"/>
      <c r="W769" s="11"/>
      <c r="X769" s="11"/>
      <c r="Y769" s="11">
        <v>335340.0</v>
      </c>
      <c r="Z769" s="11"/>
      <c r="AA769" s="11">
        <v>286550.0</v>
      </c>
      <c r="AB769" s="11"/>
      <c r="AC769" s="12"/>
      <c r="AD769" s="11">
        <v>348180.0</v>
      </c>
      <c r="AE769" s="11">
        <v>367970.0</v>
      </c>
      <c r="AF769" s="11">
        <v>290000.0</v>
      </c>
      <c r="AG769" s="11">
        <v>149320.0</v>
      </c>
      <c r="AH769" s="11">
        <v>127040.0</v>
      </c>
      <c r="AI769" s="11">
        <v>372590.0</v>
      </c>
      <c r="AJ769" s="11">
        <v>357610.0</v>
      </c>
      <c r="AK769" s="11">
        <v>295030.0</v>
      </c>
      <c r="AL769" s="11">
        <v>163920.0</v>
      </c>
      <c r="AM769" s="11">
        <v>149360.0</v>
      </c>
      <c r="AN769" s="11">
        <v>267150.0</v>
      </c>
      <c r="AO769" s="11">
        <v>169390.0</v>
      </c>
      <c r="AP769" s="11">
        <v>179420.0</v>
      </c>
      <c r="AQ769" s="11">
        <v>105060.0</v>
      </c>
      <c r="AR769" s="11">
        <v>84340.0</v>
      </c>
      <c r="AS769" s="11">
        <v>256040.0</v>
      </c>
      <c r="AT769" s="11">
        <v>231450.0</v>
      </c>
      <c r="AU769" s="11">
        <v>522540.0</v>
      </c>
      <c r="AV769" s="11">
        <v>188660.0</v>
      </c>
      <c r="AW769" s="11">
        <v>181190.0</v>
      </c>
      <c r="AX769" s="11">
        <v>-40460.0</v>
      </c>
      <c r="AY769" s="11">
        <v>-7370.0</v>
      </c>
      <c r="AZ769" s="11">
        <v>-8090.0</v>
      </c>
      <c r="BA769" s="11">
        <v>-4780.0</v>
      </c>
      <c r="BB769" s="11">
        <v>-4680.0</v>
      </c>
      <c r="BC769" s="11">
        <v>-20370.0</v>
      </c>
      <c r="BD769" s="11">
        <v>-8890.0</v>
      </c>
      <c r="BE769" s="11">
        <v>-8640.0</v>
      </c>
      <c r="BF769" s="11">
        <v>-8590.0</v>
      </c>
      <c r="BG769" s="11">
        <v>-9190.0</v>
      </c>
      <c r="BH769" s="11">
        <v>454860.0</v>
      </c>
      <c r="BI769" s="11">
        <v>575120.0</v>
      </c>
      <c r="BJ769" s="11">
        <v>720860.0</v>
      </c>
      <c r="BK769" s="11">
        <v>593000.0</v>
      </c>
      <c r="BL769" s="11">
        <v>569690.0</v>
      </c>
      <c r="BM769" s="11">
        <v>251290.0</v>
      </c>
      <c r="BN769" s="11">
        <v>295720.0</v>
      </c>
      <c r="BO769" s="11">
        <v>245940.0</v>
      </c>
      <c r="BP769" s="11">
        <v>233430.0</v>
      </c>
      <c r="BQ769" s="11">
        <v>250240.0</v>
      </c>
      <c r="BR769" s="11">
        <v>3700000.0</v>
      </c>
      <c r="BS769" s="11">
        <v>3580000.0</v>
      </c>
      <c r="BT769" s="11">
        <v>3260000.0</v>
      </c>
      <c r="BU769" s="11">
        <v>3400000.0</v>
      </c>
      <c r="BV769" s="11">
        <v>3310000.0</v>
      </c>
      <c r="BW769" s="11">
        <v>4410000.0</v>
      </c>
      <c r="BX769" s="11">
        <v>4450000.0</v>
      </c>
      <c r="BY769" s="11">
        <v>4230000.0</v>
      </c>
      <c r="BZ769" s="11">
        <v>4230000.0</v>
      </c>
      <c r="CA769" s="11">
        <v>4130000.0</v>
      </c>
      <c r="CB769" s="11">
        <v>65040.0</v>
      </c>
      <c r="CC769" s="11">
        <v>24280.0</v>
      </c>
      <c r="CD769" s="11">
        <v>19520.0</v>
      </c>
      <c r="CE769" s="11">
        <v>14240.0</v>
      </c>
      <c r="CF769" s="11">
        <v>13100.0</v>
      </c>
      <c r="CG769" s="12"/>
      <c r="CH769" s="11"/>
      <c r="CI769" s="11"/>
      <c r="CJ769" s="11"/>
      <c r="CK769" s="11"/>
      <c r="CL769" s="11">
        <v>5090000.0</v>
      </c>
      <c r="CM769" s="11">
        <v>5160000.0</v>
      </c>
      <c r="CN769" s="11">
        <v>5200000.0</v>
      </c>
      <c r="CO769" s="11">
        <v>5310000.0</v>
      </c>
      <c r="CP769" s="11">
        <v>5270000.0</v>
      </c>
      <c r="CQ769" s="11">
        <v>264830.0</v>
      </c>
      <c r="CR769" s="11">
        <v>259540.0</v>
      </c>
      <c r="CS769" s="11">
        <v>214430.0</v>
      </c>
      <c r="CT769" s="11">
        <v>217330.0</v>
      </c>
      <c r="CU769" s="11">
        <v>185590.0</v>
      </c>
      <c r="CV769" s="11">
        <v>850720.0</v>
      </c>
      <c r="CW769" s="12"/>
      <c r="CX769" s="12"/>
      <c r="CY769" s="13"/>
      <c r="CZ769" s="13"/>
      <c r="DA769" s="12"/>
      <c r="DB769" s="11">
        <v>850720.0</v>
      </c>
      <c r="DC769" s="11">
        <v>1550000.0</v>
      </c>
      <c r="DD769" s="11">
        <v>1090000.0</v>
      </c>
      <c r="DE769" s="11">
        <v>1090000.0</v>
      </c>
      <c r="DF769" s="11">
        <v>2710000.0</v>
      </c>
      <c r="DG769" s="11">
        <v>3070000.0</v>
      </c>
      <c r="DH769" s="11">
        <v>3270000.0</v>
      </c>
      <c r="DI769" s="11">
        <v>3590000.0</v>
      </c>
      <c r="DJ769" s="11">
        <v>3580000.0</v>
      </c>
      <c r="DK769" s="11">
        <v>71410.0</v>
      </c>
      <c r="DL769" s="11">
        <v>70550.0</v>
      </c>
      <c r="DM769" s="11">
        <v>75130.0</v>
      </c>
      <c r="DN769" s="11">
        <v>71790.0</v>
      </c>
      <c r="DO769" s="11">
        <v>82000.0</v>
      </c>
      <c r="DP769" s="11">
        <v>1740000.0</v>
      </c>
      <c r="DQ769" s="11">
        <v>1390000.0</v>
      </c>
      <c r="DR769" s="11">
        <v>2010000.0</v>
      </c>
      <c r="DS769" s="11">
        <v>2310000.0</v>
      </c>
      <c r="DT769" s="11">
        <v>2300000.0</v>
      </c>
      <c r="DU769" s="13"/>
      <c r="DV769" s="12"/>
      <c r="DW769" s="12"/>
      <c r="DX769" s="12"/>
      <c r="DY769" s="12"/>
      <c r="DZ769" s="11">
        <v>2380000.0</v>
      </c>
      <c r="EA769" s="11">
        <v>2090000.0</v>
      </c>
      <c r="EB769" s="11">
        <v>1930000.0</v>
      </c>
      <c r="EC769" s="11">
        <v>1720000.0</v>
      </c>
      <c r="ED769" s="11">
        <v>1690000.0</v>
      </c>
      <c r="EE769" s="14">
        <v>0.346</v>
      </c>
      <c r="EF769" s="14">
        <v>0.334</v>
      </c>
      <c r="EG769" s="14">
        <v>0.058</v>
      </c>
      <c r="EH769" s="14">
        <v>0.145</v>
      </c>
    </row>
    <row r="770">
      <c r="A770" s="9">
        <f t="shared" si="2"/>
        <v>768</v>
      </c>
      <c r="B770" s="10" t="s">
        <v>905</v>
      </c>
      <c r="C770" s="11">
        <v>5980000.0</v>
      </c>
      <c r="D770" s="11">
        <v>5770000.0</v>
      </c>
      <c r="E770" s="11">
        <v>5640000.0</v>
      </c>
      <c r="F770" s="11">
        <v>4910000.0</v>
      </c>
      <c r="G770" s="11">
        <v>4170000.0</v>
      </c>
      <c r="H770" s="11">
        <v>4270000.0</v>
      </c>
      <c r="I770" s="11">
        <v>5100000.0</v>
      </c>
      <c r="J770" s="11">
        <v>653000.0</v>
      </c>
      <c r="K770" s="11">
        <v>584000.0</v>
      </c>
      <c r="L770" s="11">
        <v>342000.0</v>
      </c>
      <c r="M770" s="11">
        <v>112000.0</v>
      </c>
      <c r="N770" s="11">
        <v>325000.0</v>
      </c>
      <c r="O770" s="11">
        <v>341000.0</v>
      </c>
      <c r="P770" s="11">
        <v>294000.0</v>
      </c>
      <c r="Q770" s="11">
        <v>147000.0</v>
      </c>
      <c r="R770" s="11">
        <v>132000.0</v>
      </c>
      <c r="S770" s="11">
        <v>155000.0</v>
      </c>
      <c r="T770" s="12"/>
      <c r="U770" s="12"/>
      <c r="V770" s="12"/>
      <c r="W770" s="12"/>
      <c r="X770" s="12"/>
      <c r="Y770" s="11">
        <v>310000.0</v>
      </c>
      <c r="Z770" s="11">
        <v>101000.0</v>
      </c>
      <c r="AA770" s="11">
        <v>189000.0</v>
      </c>
      <c r="AB770" s="11">
        <v>-70000.0</v>
      </c>
      <c r="AC770" s="11">
        <v>107000.0</v>
      </c>
      <c r="AD770" s="11">
        <v>268000.0</v>
      </c>
      <c r="AE770" s="11">
        <v>396000.0</v>
      </c>
      <c r="AF770" s="11">
        <v>249000.0</v>
      </c>
      <c r="AG770" s="11">
        <v>33000.0</v>
      </c>
      <c r="AH770" s="11">
        <v>312000.0</v>
      </c>
      <c r="AI770" s="11">
        <v>416000.0</v>
      </c>
      <c r="AJ770" s="11">
        <v>353000.0</v>
      </c>
      <c r="AK770" s="11">
        <v>243000.0</v>
      </c>
      <c r="AL770" s="11">
        <v>25000.0</v>
      </c>
      <c r="AM770" s="11">
        <v>209000.0</v>
      </c>
      <c r="AN770" s="11">
        <v>202000.0</v>
      </c>
      <c r="AO770" s="11">
        <v>281000.0</v>
      </c>
      <c r="AP770" s="11">
        <v>434000.0</v>
      </c>
      <c r="AQ770" s="11">
        <v>-61000.0</v>
      </c>
      <c r="AR770" s="11">
        <v>203000.0</v>
      </c>
      <c r="AS770" s="11">
        <v>256000.0</v>
      </c>
      <c r="AT770" s="11">
        <v>165000.0</v>
      </c>
      <c r="AU770" s="11">
        <v>193000.0</v>
      </c>
      <c r="AV770" s="11">
        <v>61000.0</v>
      </c>
      <c r="AW770" s="11">
        <v>47000.0</v>
      </c>
      <c r="AX770" s="11">
        <v>-20000.0</v>
      </c>
      <c r="AY770" s="11">
        <v>-17000.0</v>
      </c>
      <c r="AZ770" s="11">
        <v>-8000.0</v>
      </c>
      <c r="BA770" s="11">
        <v>-11000.0</v>
      </c>
      <c r="BB770" s="11">
        <v>-10000.0</v>
      </c>
      <c r="BC770" s="11">
        <v>-46000.0</v>
      </c>
      <c r="BD770" s="11">
        <v>-44000.0</v>
      </c>
      <c r="BE770" s="11">
        <v>-45000.0</v>
      </c>
      <c r="BF770" s="11">
        <v>-46000.0</v>
      </c>
      <c r="BG770" s="11">
        <v>-47000.0</v>
      </c>
      <c r="BH770" s="11">
        <v>712000.0</v>
      </c>
      <c r="BI770" s="11">
        <v>739000.0</v>
      </c>
      <c r="BJ770" s="11">
        <v>439000.0</v>
      </c>
      <c r="BK770" s="11">
        <v>538000.0</v>
      </c>
      <c r="BL770" s="11">
        <v>885000.0</v>
      </c>
      <c r="BM770" s="11">
        <v>1190000.0</v>
      </c>
      <c r="BN770" s="11">
        <v>1140000.0</v>
      </c>
      <c r="BO770" s="11">
        <v>904000.0</v>
      </c>
      <c r="BP770" s="11">
        <v>1430000.0</v>
      </c>
      <c r="BQ770" s="11">
        <v>861000.0</v>
      </c>
      <c r="BR770" s="12"/>
      <c r="BS770" s="12"/>
      <c r="BT770" s="12"/>
      <c r="BU770" s="11">
        <v>6000.0</v>
      </c>
      <c r="BV770" s="11">
        <v>14000.0</v>
      </c>
      <c r="BW770" s="11">
        <v>2010000.0</v>
      </c>
      <c r="BX770" s="11">
        <v>1960000.0</v>
      </c>
      <c r="BY770" s="11">
        <v>1430000.0</v>
      </c>
      <c r="BZ770" s="11">
        <v>2050000.0</v>
      </c>
      <c r="CA770" s="11">
        <v>1840000.0</v>
      </c>
      <c r="CB770" s="11">
        <v>305000.0</v>
      </c>
      <c r="CC770" s="11">
        <v>121000.0</v>
      </c>
      <c r="CD770" s="11">
        <v>130000.0</v>
      </c>
      <c r="CE770" s="11">
        <v>145000.0</v>
      </c>
      <c r="CF770" s="11">
        <v>169000.0</v>
      </c>
      <c r="CG770" s="11">
        <v>1270000.0</v>
      </c>
      <c r="CH770" s="11">
        <v>1270000.0</v>
      </c>
      <c r="CI770" s="11">
        <v>968000.0</v>
      </c>
      <c r="CJ770" s="11">
        <v>959000.0</v>
      </c>
      <c r="CK770" s="11">
        <v>324000.0</v>
      </c>
      <c r="CL770" s="11">
        <v>5360000.0</v>
      </c>
      <c r="CM770" s="11">
        <v>5050000.0</v>
      </c>
      <c r="CN770" s="11">
        <v>3670000.0</v>
      </c>
      <c r="CO770" s="11">
        <v>4140000.0</v>
      </c>
      <c r="CP770" s="11">
        <v>3410000.0</v>
      </c>
      <c r="CQ770" s="11">
        <v>572000.0</v>
      </c>
      <c r="CR770" s="11">
        <v>546000.0</v>
      </c>
      <c r="CS770" s="11">
        <v>350000.0</v>
      </c>
      <c r="CT770" s="11">
        <v>535000.0</v>
      </c>
      <c r="CU770" s="11">
        <v>438000.0</v>
      </c>
      <c r="CV770" s="11">
        <v>1500000.0</v>
      </c>
      <c r="CW770" s="11">
        <v>39000.0</v>
      </c>
      <c r="CX770" s="13"/>
      <c r="CY770" s="12"/>
      <c r="CZ770" s="12"/>
      <c r="DA770" s="12"/>
      <c r="DB770" s="11">
        <v>1500000.0</v>
      </c>
      <c r="DC770" s="11">
        <v>1420000.0</v>
      </c>
      <c r="DD770" s="11">
        <v>1070000.0</v>
      </c>
      <c r="DE770" s="11">
        <v>1560000.0</v>
      </c>
      <c r="DF770" s="11">
        <v>3510000.0</v>
      </c>
      <c r="DG770" s="11">
        <v>3330000.0</v>
      </c>
      <c r="DH770" s="11">
        <v>2450000.0</v>
      </c>
      <c r="DI770" s="11">
        <v>3400000.0</v>
      </c>
      <c r="DJ770" s="11">
        <v>2360000.0</v>
      </c>
      <c r="DK770" s="11">
        <v>850000.0</v>
      </c>
      <c r="DL770" s="11">
        <v>724000.0</v>
      </c>
      <c r="DM770" s="11">
        <v>387000.0</v>
      </c>
      <c r="DN770" s="11">
        <v>369000.0</v>
      </c>
      <c r="DO770" s="11">
        <v>281000.0</v>
      </c>
      <c r="DP770" s="11">
        <v>1380000.0</v>
      </c>
      <c r="DQ770" s="11">
        <v>1240000.0</v>
      </c>
      <c r="DR770" s="11">
        <v>498000.0</v>
      </c>
      <c r="DS770" s="11">
        <v>684000.0</v>
      </c>
      <c r="DT770" s="11">
        <v>51000.0</v>
      </c>
      <c r="DU770" s="13"/>
      <c r="DV770" s="12"/>
      <c r="DW770" s="12"/>
      <c r="DX770" s="12"/>
      <c r="DY770" s="12"/>
      <c r="DZ770" s="11">
        <v>1840000.0</v>
      </c>
      <c r="EA770" s="11">
        <v>1700000.0</v>
      </c>
      <c r="EB770" s="11">
        <v>1230000.0</v>
      </c>
      <c r="EC770" s="11">
        <v>757000.0</v>
      </c>
      <c r="ED770" s="11">
        <v>1070000.0</v>
      </c>
      <c r="EE770" s="14">
        <v>0.118</v>
      </c>
      <c r="EF770" s="14">
        <v>0.125</v>
      </c>
      <c r="EG770" s="14">
        <v>0.083</v>
      </c>
      <c r="EH770" s="14">
        <v>0.032</v>
      </c>
    </row>
    <row r="771">
      <c r="A771" s="9">
        <f t="shared" si="2"/>
        <v>769</v>
      </c>
      <c r="B771" s="10" t="s">
        <v>906</v>
      </c>
      <c r="C771" s="11"/>
      <c r="D771" s="11"/>
      <c r="E771" s="11">
        <v>16470.0</v>
      </c>
      <c r="F771" s="11">
        <v>18540.0</v>
      </c>
      <c r="G771" s="11">
        <v>23760.0</v>
      </c>
      <c r="H771" s="11">
        <v>41200.0</v>
      </c>
      <c r="I771" s="11">
        <v>61340.0</v>
      </c>
      <c r="J771" s="11">
        <v>5080.0</v>
      </c>
      <c r="K771" s="11">
        <v>-3580.0</v>
      </c>
      <c r="L771" s="11">
        <v>-12830.0</v>
      </c>
      <c r="M771" s="11">
        <v>523.0</v>
      </c>
      <c r="N771" s="11">
        <v>13070.0</v>
      </c>
      <c r="O771" s="11">
        <v>4930.0</v>
      </c>
      <c r="P771" s="11">
        <v>6380.0</v>
      </c>
      <c r="Q771" s="11">
        <v>6990.0</v>
      </c>
      <c r="R771" s="11">
        <v>5830.0</v>
      </c>
      <c r="S771" s="11">
        <v>8690.0</v>
      </c>
      <c r="T771" s="12"/>
      <c r="U771" s="12"/>
      <c r="V771" s="11">
        <v>1380.0</v>
      </c>
      <c r="W771" s="12"/>
      <c r="X771" s="12"/>
      <c r="Y771" s="11"/>
      <c r="Z771" s="11">
        <v>-23470.0</v>
      </c>
      <c r="AA771" s="11"/>
      <c r="AB771" s="11">
        <v>-16960.0</v>
      </c>
      <c r="AC771" s="11">
        <v>1820.0</v>
      </c>
      <c r="AD771" s="11">
        <v>338.0</v>
      </c>
      <c r="AE771" s="11">
        <v>-23390.0</v>
      </c>
      <c r="AF771" s="11">
        <v>-19410.0</v>
      </c>
      <c r="AG771" s="11">
        <v>-15630.0</v>
      </c>
      <c r="AH771" s="11">
        <v>1850.0</v>
      </c>
      <c r="AI771" s="11">
        <v>966.0</v>
      </c>
      <c r="AJ771" s="11">
        <v>-8640.0</v>
      </c>
      <c r="AK771" s="11">
        <v>-18400.0</v>
      </c>
      <c r="AL771" s="11">
        <v>-3370.0</v>
      </c>
      <c r="AM771" s="11">
        <v>6390.0</v>
      </c>
      <c r="AN771" s="11">
        <v>-104.0</v>
      </c>
      <c r="AO771" s="11">
        <v>-17970.0</v>
      </c>
      <c r="AP771" s="11">
        <v>-14820.0</v>
      </c>
      <c r="AQ771" s="11">
        <v>-11900.0</v>
      </c>
      <c r="AR771" s="11">
        <v>1240.0</v>
      </c>
      <c r="AS771" s="11">
        <v>-563.0</v>
      </c>
      <c r="AT771" s="11">
        <v>-3730.0</v>
      </c>
      <c r="AU771" s="11">
        <v>1910.0</v>
      </c>
      <c r="AV771" s="11">
        <v>3210.0</v>
      </c>
      <c r="AW771" s="11">
        <v>2660.0</v>
      </c>
      <c r="AX771" s="12"/>
      <c r="AY771" s="11">
        <v>-19.0</v>
      </c>
      <c r="AZ771" s="11">
        <v>-947.0</v>
      </c>
      <c r="BA771" s="11">
        <v>-40.0</v>
      </c>
      <c r="BB771" s="11">
        <v>-1020.0</v>
      </c>
      <c r="BC771" s="12"/>
      <c r="BD771" s="12"/>
      <c r="BE771" s="12"/>
      <c r="BF771" s="12"/>
      <c r="BG771" s="12"/>
      <c r="BH771" s="11">
        <v>20620.0</v>
      </c>
      <c r="BI771" s="11">
        <v>21030.0</v>
      </c>
      <c r="BJ771" s="11">
        <v>26050.0</v>
      </c>
      <c r="BK771" s="11">
        <v>24580.0</v>
      </c>
      <c r="BL771" s="11">
        <v>21210.0</v>
      </c>
      <c r="BM771" s="11">
        <v>10480.0</v>
      </c>
      <c r="BN771" s="11">
        <v>8120.0</v>
      </c>
      <c r="BO771" s="11">
        <v>10500.0</v>
      </c>
      <c r="BP771" s="11">
        <v>23490.0</v>
      </c>
      <c r="BQ771" s="11">
        <v>32870.0</v>
      </c>
      <c r="BR771" s="11">
        <v>1440.0</v>
      </c>
      <c r="BS771" s="11">
        <v>1250.0</v>
      </c>
      <c r="BT771" s="11">
        <v>1810.0</v>
      </c>
      <c r="BU771" s="11">
        <v>2450.0</v>
      </c>
      <c r="BV771" s="11">
        <v>3530.0</v>
      </c>
      <c r="BW771" s="11">
        <v>32660.0</v>
      </c>
      <c r="BX771" s="11">
        <v>31250.0</v>
      </c>
      <c r="BY771" s="11">
        <v>40260.0</v>
      </c>
      <c r="BZ771" s="11">
        <v>56260.0</v>
      </c>
      <c r="CA771" s="11">
        <v>62000.0</v>
      </c>
      <c r="CB771" s="11">
        <v>6080.0</v>
      </c>
      <c r="CC771" s="11">
        <v>12170.0</v>
      </c>
      <c r="CD771" s="11">
        <v>27820.0</v>
      </c>
      <c r="CE771" s="11">
        <v>26760.0</v>
      </c>
      <c r="CF771" s="11">
        <v>37700.0</v>
      </c>
      <c r="CG771" s="11"/>
      <c r="CH771" s="11"/>
      <c r="CI771" s="11"/>
      <c r="CJ771" s="11"/>
      <c r="CK771" s="11"/>
      <c r="CL771" s="11">
        <v>61090.0</v>
      </c>
      <c r="CM771" s="11">
        <v>61170.0</v>
      </c>
      <c r="CN771" s="11">
        <v>81310.0</v>
      </c>
      <c r="CO771" s="11">
        <v>91100.0</v>
      </c>
      <c r="CP771" s="11">
        <v>109320.0</v>
      </c>
      <c r="CQ771" s="11">
        <v>64.0</v>
      </c>
      <c r="CR771" s="11">
        <v>42.0</v>
      </c>
      <c r="CS771" s="11">
        <v>104.0</v>
      </c>
      <c r="CT771" s="11">
        <v>79.0</v>
      </c>
      <c r="CU771" s="11">
        <v>78.0</v>
      </c>
      <c r="CV771" s="11">
        <v>6640.0</v>
      </c>
      <c r="CW771" s="11">
        <v>1640.0</v>
      </c>
      <c r="CX771" s="11">
        <v>1540.0</v>
      </c>
      <c r="CY771" s="11">
        <v>1760.0</v>
      </c>
      <c r="CZ771" s="11">
        <v>1510.0</v>
      </c>
      <c r="DA771" s="12"/>
      <c r="DB771" s="11">
        <v>6640.0</v>
      </c>
      <c r="DC771" s="11">
        <v>6860.0</v>
      </c>
      <c r="DD771" s="11">
        <v>7280.0</v>
      </c>
      <c r="DE771" s="11">
        <v>7700.0</v>
      </c>
      <c r="DF771" s="11">
        <v>6640.0</v>
      </c>
      <c r="DG771" s="11">
        <v>6860.0</v>
      </c>
      <c r="DH771" s="11">
        <v>7280.0</v>
      </c>
      <c r="DI771" s="11">
        <v>7700.0</v>
      </c>
      <c r="DJ771" s="11">
        <v>8500.0</v>
      </c>
      <c r="DK771" s="11">
        <v>5100.0</v>
      </c>
      <c r="DL771" s="12"/>
      <c r="DM771" s="12"/>
      <c r="DN771" s="12"/>
      <c r="DO771" s="12"/>
      <c r="DP771" s="11"/>
      <c r="DQ771" s="11"/>
      <c r="DR771" s="11"/>
      <c r="DS771" s="11"/>
      <c r="DT771" s="11"/>
      <c r="DU771" s="13"/>
      <c r="DV771" s="12"/>
      <c r="DW771" s="12"/>
      <c r="DX771" s="12"/>
      <c r="DY771" s="12"/>
      <c r="DZ771" s="11">
        <v>54440.0</v>
      </c>
      <c r="EA771" s="11">
        <v>54300.0</v>
      </c>
      <c r="EB771" s="11">
        <v>74030.0</v>
      </c>
      <c r="EC771" s="11">
        <v>83400.0</v>
      </c>
      <c r="ED771" s="11">
        <v>100820.0</v>
      </c>
      <c r="EE771" s="14"/>
      <c r="EF771" s="14"/>
      <c r="EG771" s="23"/>
      <c r="EH771" s="14"/>
    </row>
    <row r="772">
      <c r="A772" s="9">
        <f t="shared" si="2"/>
        <v>770</v>
      </c>
      <c r="B772" s="10" t="s">
        <v>907</v>
      </c>
      <c r="C772" s="11">
        <v>2470000.0</v>
      </c>
      <c r="D772" s="11">
        <v>2320000.0</v>
      </c>
      <c r="E772" s="11">
        <v>2840000.0</v>
      </c>
      <c r="F772" s="11">
        <v>2970000.0</v>
      </c>
      <c r="G772" s="11">
        <v>2210000.0</v>
      </c>
      <c r="H772" s="11">
        <v>1770000.0</v>
      </c>
      <c r="I772" s="11">
        <v>2150000.0</v>
      </c>
      <c r="J772" s="11">
        <v>588720.0</v>
      </c>
      <c r="K772" s="11">
        <v>584780.0</v>
      </c>
      <c r="L772" s="11">
        <v>453440.0</v>
      </c>
      <c r="M772" s="11">
        <v>442800.0</v>
      </c>
      <c r="N772" s="11">
        <v>592930.0</v>
      </c>
      <c r="O772" s="11">
        <v>311020.0</v>
      </c>
      <c r="P772" s="11">
        <v>282910.0</v>
      </c>
      <c r="Q772" s="11">
        <v>216750.0</v>
      </c>
      <c r="R772" s="11">
        <v>174750.0</v>
      </c>
      <c r="S772" s="11">
        <v>191420.0</v>
      </c>
      <c r="T772" s="12"/>
      <c r="U772" s="12"/>
      <c r="V772" s="12"/>
      <c r="W772" s="12"/>
      <c r="X772" s="12"/>
      <c r="Y772" s="11">
        <v>233880.0</v>
      </c>
      <c r="Z772" s="11">
        <v>153320.0</v>
      </c>
      <c r="AA772" s="11">
        <v>-109410.0</v>
      </c>
      <c r="AB772" s="12"/>
      <c r="AC772" s="11">
        <v>-1810.0</v>
      </c>
      <c r="AD772" s="11">
        <v>189820.0</v>
      </c>
      <c r="AE772" s="11">
        <v>114160.0</v>
      </c>
      <c r="AF772" s="11">
        <v>73010.0</v>
      </c>
      <c r="AG772" s="11">
        <v>227750.0</v>
      </c>
      <c r="AH772" s="11">
        <v>361710.0</v>
      </c>
      <c r="AI772" s="11">
        <v>479360.0</v>
      </c>
      <c r="AJ772" s="11">
        <v>508350.0</v>
      </c>
      <c r="AK772" s="11">
        <v>431610.0</v>
      </c>
      <c r="AL772" s="11">
        <v>466110.0</v>
      </c>
      <c r="AM772" s="11">
        <v>595170.0</v>
      </c>
      <c r="AN772" s="11">
        <v>141980.0</v>
      </c>
      <c r="AO772" s="11">
        <v>78130.0</v>
      </c>
      <c r="AP772" s="11">
        <v>310970.0</v>
      </c>
      <c r="AQ772" s="11">
        <v>140410.0</v>
      </c>
      <c r="AR772" s="11">
        <v>225340.0</v>
      </c>
      <c r="AS772" s="11">
        <v>511810.0</v>
      </c>
      <c r="AT772" s="11">
        <v>342720.0</v>
      </c>
      <c r="AU772" s="11">
        <v>352140.0</v>
      </c>
      <c r="AV772" s="11">
        <v>415790.0</v>
      </c>
      <c r="AW772" s="11">
        <v>521310.0</v>
      </c>
      <c r="AX772" s="11">
        <v>-248160.0</v>
      </c>
      <c r="AY772" s="11">
        <v>-301860.0</v>
      </c>
      <c r="AZ772" s="11">
        <v>-177220.0</v>
      </c>
      <c r="BA772" s="11">
        <v>-231070.0</v>
      </c>
      <c r="BB772" s="11">
        <v>-345480.0</v>
      </c>
      <c r="BC772" s="12"/>
      <c r="BD772" s="12"/>
      <c r="BE772" s="12"/>
      <c r="BF772" s="12"/>
      <c r="BG772" s="12"/>
      <c r="BH772" s="11">
        <v>24740.0</v>
      </c>
      <c r="BI772" s="11">
        <v>7800.0</v>
      </c>
      <c r="BJ772" s="11">
        <v>20100.0</v>
      </c>
      <c r="BK772" s="11">
        <v>5630.0</v>
      </c>
      <c r="BL772" s="11">
        <v>5890.0</v>
      </c>
      <c r="BM772" s="11">
        <v>483350.0</v>
      </c>
      <c r="BN772" s="11">
        <v>521880.0</v>
      </c>
      <c r="BO772" s="11">
        <v>558450.0</v>
      </c>
      <c r="BP772" s="11">
        <v>392500.0</v>
      </c>
      <c r="BQ772" s="11">
        <v>393370.0</v>
      </c>
      <c r="BR772" s="11">
        <v>351400.0</v>
      </c>
      <c r="BS772" s="11">
        <v>507440.0</v>
      </c>
      <c r="BT772" s="11">
        <v>315730.0</v>
      </c>
      <c r="BU772" s="11">
        <v>185400.0</v>
      </c>
      <c r="BV772" s="11">
        <v>184510.0</v>
      </c>
      <c r="BW772" s="11">
        <v>917580.0</v>
      </c>
      <c r="BX772" s="11">
        <v>1100000.0</v>
      </c>
      <c r="BY772" s="11">
        <v>957080.0</v>
      </c>
      <c r="BZ772" s="11">
        <v>632950.0</v>
      </c>
      <c r="CA772" s="11">
        <v>640780.0</v>
      </c>
      <c r="CB772" s="11">
        <v>3940000.0</v>
      </c>
      <c r="CC772" s="11">
        <v>3540000.0</v>
      </c>
      <c r="CD772" s="11">
        <v>2960000.0</v>
      </c>
      <c r="CE772" s="11">
        <v>2920000.0</v>
      </c>
      <c r="CF772" s="11">
        <v>2780000.0</v>
      </c>
      <c r="CG772" s="11">
        <v>953830.0</v>
      </c>
      <c r="CH772" s="11">
        <v>953830.0</v>
      </c>
      <c r="CI772" s="11">
        <v>935140.0</v>
      </c>
      <c r="CJ772" s="11">
        <v>598130.0</v>
      </c>
      <c r="CK772" s="11">
        <v>586720.0</v>
      </c>
      <c r="CL772" s="11">
        <v>6080000.0</v>
      </c>
      <c r="CM772" s="11">
        <v>5980000.0</v>
      </c>
      <c r="CN772" s="11">
        <v>5170000.0</v>
      </c>
      <c r="CO772" s="11">
        <v>4370000.0</v>
      </c>
      <c r="CP772" s="11">
        <v>4220000.0</v>
      </c>
      <c r="CQ772" s="11">
        <v>206780.0</v>
      </c>
      <c r="CR772" s="11">
        <v>278060.0</v>
      </c>
      <c r="CS772" s="11">
        <v>222010.0</v>
      </c>
      <c r="CT772" s="11">
        <v>134570.0</v>
      </c>
      <c r="CU772" s="11">
        <v>132800.0</v>
      </c>
      <c r="CV772" s="11">
        <v>514120.0</v>
      </c>
      <c r="CW772" s="11">
        <v>27340.0</v>
      </c>
      <c r="CX772" s="11">
        <v>19.0</v>
      </c>
      <c r="CY772" s="24">
        <v>3.0</v>
      </c>
      <c r="CZ772" s="12"/>
      <c r="DA772" s="12"/>
      <c r="DB772" s="11">
        <v>514120.0</v>
      </c>
      <c r="DC772" s="11">
        <v>607780.0</v>
      </c>
      <c r="DD772" s="11">
        <v>480310.0</v>
      </c>
      <c r="DE772" s="11">
        <v>358340.0</v>
      </c>
      <c r="DF772" s="11">
        <v>2710000.0</v>
      </c>
      <c r="DG772" s="11">
        <v>2760000.0</v>
      </c>
      <c r="DH772" s="11">
        <v>2050000.0</v>
      </c>
      <c r="DI772" s="11">
        <v>1960000.0</v>
      </c>
      <c r="DJ772" s="11">
        <v>1940000.0</v>
      </c>
      <c r="DK772" s="11">
        <v>2030.0</v>
      </c>
      <c r="DL772" s="11">
        <v>2500.0</v>
      </c>
      <c r="DM772" s="11">
        <v>1890.0</v>
      </c>
      <c r="DN772" s="11">
        <v>2620.0</v>
      </c>
      <c r="DO772" s="11">
        <v>2090.0</v>
      </c>
      <c r="DP772" s="11">
        <v>1510000.0</v>
      </c>
      <c r="DQ772" s="11">
        <v>1410000.0</v>
      </c>
      <c r="DR772" s="11">
        <v>992400.0</v>
      </c>
      <c r="DS772" s="11">
        <v>722800.0</v>
      </c>
      <c r="DT772" s="11">
        <v>774850.0</v>
      </c>
      <c r="DU772" s="13"/>
      <c r="DV772" s="12"/>
      <c r="DW772" s="12"/>
      <c r="DX772" s="12"/>
      <c r="DY772" s="12"/>
      <c r="DZ772" s="11">
        <v>3370000.0</v>
      </c>
      <c r="EA772" s="11">
        <v>3210000.0</v>
      </c>
      <c r="EB772" s="11">
        <v>3110000.0</v>
      </c>
      <c r="EC772" s="11">
        <v>2410000.0</v>
      </c>
      <c r="ED772" s="11">
        <v>2270000.0</v>
      </c>
      <c r="EE772" s="14">
        <v>0.091</v>
      </c>
      <c r="EF772" s="14">
        <v>0.117</v>
      </c>
      <c r="EG772" s="14">
        <v>-0.067</v>
      </c>
      <c r="EH772" s="14">
        <v>0.092</v>
      </c>
    </row>
    <row r="773">
      <c r="A773" s="9">
        <f t="shared" si="2"/>
        <v>771</v>
      </c>
      <c r="B773" s="10" t="s">
        <v>908</v>
      </c>
      <c r="C773" s="15">
        <v>4290000.0</v>
      </c>
      <c r="D773" s="15">
        <v>3940000.0</v>
      </c>
      <c r="E773" s="15">
        <v>4640000.0</v>
      </c>
      <c r="F773" s="15">
        <v>4160000.0</v>
      </c>
      <c r="G773" s="15">
        <v>4290000.0</v>
      </c>
      <c r="H773" s="15">
        <v>4600000.0</v>
      </c>
      <c r="I773" s="15">
        <v>3900000.0</v>
      </c>
      <c r="J773" s="15">
        <v>1130000.0</v>
      </c>
      <c r="K773" s="15">
        <v>582490.0</v>
      </c>
      <c r="L773" s="15">
        <v>789060.0</v>
      </c>
      <c r="M773" s="15">
        <v>609860.0</v>
      </c>
      <c r="N773" s="15">
        <v>-41960.0</v>
      </c>
      <c r="O773" s="15">
        <v>180190.0</v>
      </c>
      <c r="P773" s="15">
        <v>172390.0</v>
      </c>
      <c r="Q773" s="15">
        <v>211580.0</v>
      </c>
      <c r="R773" s="15">
        <v>226030.0</v>
      </c>
      <c r="S773" s="15">
        <v>244490.0</v>
      </c>
      <c r="T773" s="15">
        <v>0.0</v>
      </c>
      <c r="U773" s="15">
        <v>0.0</v>
      </c>
      <c r="V773" s="15">
        <v>0.0</v>
      </c>
      <c r="W773" s="15">
        <v>0.0</v>
      </c>
      <c r="X773" s="15">
        <v>0.0</v>
      </c>
      <c r="Y773" s="15">
        <v>1280000.0</v>
      </c>
      <c r="Z773" s="15">
        <v>220600.0</v>
      </c>
      <c r="AA773" s="15">
        <v>522450.0</v>
      </c>
      <c r="AB773" s="15">
        <v>32730.0</v>
      </c>
      <c r="AC773" s="15">
        <v>-959530.0</v>
      </c>
      <c r="AD773" s="15">
        <v>1280000.0</v>
      </c>
      <c r="AE773" s="15">
        <v>146720.0</v>
      </c>
      <c r="AF773" s="15">
        <v>543870.0</v>
      </c>
      <c r="AG773" s="15">
        <v>-78830.0</v>
      </c>
      <c r="AH773" s="15">
        <v>-1080000.0</v>
      </c>
      <c r="AI773" s="15">
        <v>1790000.0</v>
      </c>
      <c r="AJ773" s="15">
        <v>1250000.0</v>
      </c>
      <c r="AK773" s="15">
        <v>1540000.0</v>
      </c>
      <c r="AL773" s="15">
        <v>1290000.0</v>
      </c>
      <c r="AM773" s="15">
        <v>807540.0</v>
      </c>
      <c r="AN773" s="15">
        <v>953510.0</v>
      </c>
      <c r="AO773" s="15">
        <v>-30590.0</v>
      </c>
      <c r="AP773" s="15">
        <v>578130.0</v>
      </c>
      <c r="AQ773" s="15">
        <v>-137790.0</v>
      </c>
      <c r="AR773" s="15">
        <v>-1260000.0</v>
      </c>
      <c r="AS773" s="15">
        <v>1550000.0</v>
      </c>
      <c r="AT773" s="15">
        <v>947230.0</v>
      </c>
      <c r="AU773" s="15">
        <v>1150000.0</v>
      </c>
      <c r="AV773" s="15">
        <v>1360000.0</v>
      </c>
      <c r="AW773" s="15">
        <v>1000000.0</v>
      </c>
      <c r="AX773" s="15">
        <v>-1470000.0</v>
      </c>
      <c r="AY773" s="15">
        <v>-1420000.0</v>
      </c>
      <c r="AZ773" s="15">
        <v>-1260000.0</v>
      </c>
      <c r="BA773" s="15">
        <v>-918970.0</v>
      </c>
      <c r="BB773" s="15">
        <v>-856800.0</v>
      </c>
      <c r="BC773" s="16">
        <v>0.0</v>
      </c>
      <c r="BD773" s="16">
        <v>0.0</v>
      </c>
      <c r="BE773" s="16">
        <v>0.0</v>
      </c>
      <c r="BF773" s="16">
        <v>0.0</v>
      </c>
      <c r="BG773" s="16">
        <v>0.0</v>
      </c>
      <c r="BH773" s="15">
        <v>765470.0</v>
      </c>
      <c r="BI773" s="15">
        <v>499200.0</v>
      </c>
      <c r="BJ773" s="15">
        <v>1320000.0</v>
      </c>
      <c r="BK773" s="15">
        <v>1150000.0</v>
      </c>
      <c r="BL773" s="15">
        <v>1460000.0</v>
      </c>
      <c r="BM773" s="15">
        <v>155220.0</v>
      </c>
      <c r="BN773" s="15">
        <v>178920.0</v>
      </c>
      <c r="BO773" s="15">
        <v>106000.0</v>
      </c>
      <c r="BP773" s="15">
        <v>256540.0</v>
      </c>
      <c r="BQ773" s="15">
        <v>251570.0</v>
      </c>
      <c r="BR773" s="15">
        <v>1370000.0</v>
      </c>
      <c r="BS773" s="15">
        <v>1440000.0</v>
      </c>
      <c r="BT773" s="15">
        <v>1370000.0</v>
      </c>
      <c r="BU773" s="15">
        <v>1320000.0</v>
      </c>
      <c r="BV773" s="15">
        <v>1400000.0</v>
      </c>
      <c r="BW773" s="15">
        <v>2370000.0</v>
      </c>
      <c r="BX773" s="15">
        <v>2180000.0</v>
      </c>
      <c r="BY773" s="15">
        <v>2860000.0</v>
      </c>
      <c r="BZ773" s="15">
        <v>2790000.0</v>
      </c>
      <c r="CA773" s="15">
        <v>3180000.0</v>
      </c>
      <c r="CB773" s="15">
        <v>8240000.0</v>
      </c>
      <c r="CC773" s="15">
        <v>7540000.0</v>
      </c>
      <c r="CD773" s="15">
        <v>6130000.0</v>
      </c>
      <c r="CE773" s="15">
        <v>6600000.0</v>
      </c>
      <c r="CF773" s="15">
        <v>6390000.0</v>
      </c>
      <c r="CG773" s="15">
        <v>205920.0</v>
      </c>
      <c r="CH773" s="15">
        <v>222220.0</v>
      </c>
      <c r="CI773" s="15">
        <v>203850.0</v>
      </c>
      <c r="CJ773" s="15">
        <v>218190.0</v>
      </c>
      <c r="CK773" s="15">
        <v>226010.0</v>
      </c>
      <c r="CL773" s="15">
        <v>1.177E7</v>
      </c>
      <c r="CM773" s="15">
        <v>1.101E7</v>
      </c>
      <c r="CN773" s="15">
        <v>1.022E7</v>
      </c>
      <c r="CO773" s="15">
        <v>1.07E7</v>
      </c>
      <c r="CP773" s="15">
        <v>1.075E7</v>
      </c>
      <c r="CQ773" s="15">
        <v>115800.0</v>
      </c>
      <c r="CR773" s="15">
        <v>121690.0</v>
      </c>
      <c r="CS773" s="15">
        <v>96980.0</v>
      </c>
      <c r="CT773" s="15">
        <v>116400.0</v>
      </c>
      <c r="CU773" s="15">
        <v>104460.0</v>
      </c>
      <c r="CV773" s="15">
        <v>798150.0</v>
      </c>
      <c r="CW773" s="15">
        <v>0.0</v>
      </c>
      <c r="CX773" s="16">
        <v>0.0</v>
      </c>
      <c r="CY773" s="16">
        <v>0.0</v>
      </c>
      <c r="CZ773" s="16">
        <v>0.0</v>
      </c>
      <c r="DA773" s="15">
        <v>0.0</v>
      </c>
      <c r="DB773" s="15">
        <v>798150.0</v>
      </c>
      <c r="DC773" s="15">
        <v>836420.0</v>
      </c>
      <c r="DD773" s="15">
        <v>733350.0</v>
      </c>
      <c r="DE773" s="15">
        <v>855190.0</v>
      </c>
      <c r="DF773" s="15">
        <v>4850000.0</v>
      </c>
      <c r="DG773" s="15">
        <v>4830000.0</v>
      </c>
      <c r="DH773" s="15">
        <v>4430000.0</v>
      </c>
      <c r="DI773" s="15">
        <v>5090000.0</v>
      </c>
      <c r="DJ773" s="15">
        <v>5280000.0</v>
      </c>
      <c r="DK773" s="15">
        <v>193350.0</v>
      </c>
      <c r="DL773" s="15">
        <v>239020.0</v>
      </c>
      <c r="DM773" s="15">
        <v>270140.0</v>
      </c>
      <c r="DN773" s="15">
        <v>419080.0</v>
      </c>
      <c r="DO773" s="15">
        <v>333660.0</v>
      </c>
      <c r="DP773" s="15">
        <v>2430000.0</v>
      </c>
      <c r="DQ773" s="15">
        <v>2370000.0</v>
      </c>
      <c r="DR773" s="15">
        <v>2170000.0</v>
      </c>
      <c r="DS773" s="15">
        <v>2320000.0</v>
      </c>
      <c r="DT773" s="15">
        <v>2410000.0</v>
      </c>
      <c r="DU773" s="16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6900000.0</v>
      </c>
      <c r="EA773" s="15">
        <v>6160000.0</v>
      </c>
      <c r="EB773" s="15">
        <v>5740000.0</v>
      </c>
      <c r="EC773" s="15">
        <v>5560000.0</v>
      </c>
      <c r="ED773" s="15">
        <v>5400000.0</v>
      </c>
      <c r="EE773" s="17">
        <v>0.165</v>
      </c>
      <c r="EF773" s="17">
        <v>0.303</v>
      </c>
      <c r="EG773" s="17">
        <v>0.25</v>
      </c>
      <c r="EH773" s="17">
        <v>0.388</v>
      </c>
    </row>
    <row r="774">
      <c r="A774" s="9">
        <f t="shared" si="2"/>
        <v>772</v>
      </c>
      <c r="B774" s="10" t="s">
        <v>909</v>
      </c>
      <c r="C774" s="15">
        <v>2.49E7</v>
      </c>
      <c r="D774" s="15">
        <v>2.528E7</v>
      </c>
      <c r="E774" s="15">
        <v>2.498E7</v>
      </c>
      <c r="F774" s="15">
        <v>2.627E7</v>
      </c>
      <c r="G774" s="15">
        <v>2.608E7</v>
      </c>
      <c r="H774" s="15">
        <v>2.648E7</v>
      </c>
      <c r="I774" s="15">
        <v>1.834E7</v>
      </c>
      <c r="J774" s="15">
        <v>8130000.0</v>
      </c>
      <c r="K774" s="15">
        <v>9100000.0</v>
      </c>
      <c r="L774" s="15">
        <v>9580000.0</v>
      </c>
      <c r="M774" s="15">
        <v>1.024E7</v>
      </c>
      <c r="N774" s="15">
        <v>6180000.0</v>
      </c>
      <c r="O774" s="15">
        <v>3120000.0</v>
      </c>
      <c r="P774" s="15">
        <v>3310000.0</v>
      </c>
      <c r="Q774" s="15">
        <v>2600000.0</v>
      </c>
      <c r="R774" s="15">
        <v>3140000.0</v>
      </c>
      <c r="S774" s="15">
        <v>2450000.0</v>
      </c>
      <c r="T774" s="15">
        <v>112000.0</v>
      </c>
      <c r="U774" s="15">
        <v>109000.0</v>
      </c>
      <c r="V774" s="15">
        <v>93000.0</v>
      </c>
      <c r="W774" s="15">
        <v>120000.0</v>
      </c>
      <c r="X774" s="15">
        <v>105000.0</v>
      </c>
      <c r="Y774" s="15">
        <v>3000000.0</v>
      </c>
      <c r="Z774" s="15">
        <v>-1.06E7</v>
      </c>
      <c r="AA774" s="15">
        <v>-483000.0</v>
      </c>
      <c r="AB774" s="15">
        <v>6030000.0</v>
      </c>
      <c r="AC774" s="15">
        <v>2600000.0</v>
      </c>
      <c r="AD774" s="15">
        <v>2660000.0</v>
      </c>
      <c r="AE774" s="15">
        <v>-1.132E7</v>
      </c>
      <c r="AF774" s="15">
        <v>5450000.0</v>
      </c>
      <c r="AG774" s="15">
        <v>5020000.0</v>
      </c>
      <c r="AH774" s="15">
        <v>1010000.0</v>
      </c>
      <c r="AI774" s="15">
        <v>6000000.0</v>
      </c>
      <c r="AJ774" s="15">
        <v>6780000.0</v>
      </c>
      <c r="AK774" s="15">
        <v>8010000.0</v>
      </c>
      <c r="AL774" s="15">
        <v>8440000.0</v>
      </c>
      <c r="AM774" s="15">
        <v>4470000.0</v>
      </c>
      <c r="AN774" s="15">
        <v>1940000.0</v>
      </c>
      <c r="AO774" s="15">
        <v>-1.019E7</v>
      </c>
      <c r="AP774" s="15">
        <v>1.094E7</v>
      </c>
      <c r="AQ774" s="15">
        <v>3630000.0</v>
      </c>
      <c r="AR774" s="15">
        <v>634000.0</v>
      </c>
      <c r="AS774" s="15">
        <v>3550000.0</v>
      </c>
      <c r="AT774" s="15">
        <v>2570000.0</v>
      </c>
      <c r="AU774" s="15">
        <v>501000.0</v>
      </c>
      <c r="AV774" s="15">
        <v>5240000.0</v>
      </c>
      <c r="AW774" s="15">
        <v>2470000.0</v>
      </c>
      <c r="AX774" s="15">
        <v>-768000.0</v>
      </c>
      <c r="AY774" s="15">
        <v>-826000.0</v>
      </c>
      <c r="AZ774" s="15">
        <v>-1190000.0</v>
      </c>
      <c r="BA774" s="15">
        <v>-1250000.0</v>
      </c>
      <c r="BB774" s="15">
        <v>-648000.0</v>
      </c>
      <c r="BC774" s="15">
        <v>-1950000.0</v>
      </c>
      <c r="BD774" s="15">
        <v>-3180000.0</v>
      </c>
      <c r="BE774" s="15">
        <v>-2890000.0</v>
      </c>
      <c r="BF774" s="15">
        <v>-3760000.0</v>
      </c>
      <c r="BG774" s="15">
        <v>-2200000.0</v>
      </c>
      <c r="BH774" s="15">
        <v>2280000.0</v>
      </c>
      <c r="BI774" s="15">
        <v>1130000.0</v>
      </c>
      <c r="BJ774" s="15">
        <v>1770000.0</v>
      </c>
      <c r="BK774" s="15">
        <v>4200000.0</v>
      </c>
      <c r="BL774" s="15">
        <v>4840000.0</v>
      </c>
      <c r="BM774" s="15">
        <v>2150000.0</v>
      </c>
      <c r="BN774" s="15">
        <v>2280000.0</v>
      </c>
      <c r="BO774" s="15">
        <v>1810000.0</v>
      </c>
      <c r="BP774" s="15">
        <v>898000.0</v>
      </c>
      <c r="BQ774" s="15">
        <v>1450000.0</v>
      </c>
      <c r="BR774" s="15">
        <v>2720000.0</v>
      </c>
      <c r="BS774" s="15">
        <v>2670000.0</v>
      </c>
      <c r="BT774" s="15">
        <v>2760000.0</v>
      </c>
      <c r="BU774" s="15">
        <v>2680000.0</v>
      </c>
      <c r="BV774" s="15">
        <v>2620000.0</v>
      </c>
      <c r="BW774" s="15">
        <v>8100000.0</v>
      </c>
      <c r="BX774" s="15">
        <v>9080000.0</v>
      </c>
      <c r="BY774" s="15">
        <v>7200000.0</v>
      </c>
      <c r="BZ774" s="15">
        <v>8750000.0</v>
      </c>
      <c r="CA774" s="15">
        <v>9780000.0</v>
      </c>
      <c r="CB774" s="15">
        <v>7600000.0</v>
      </c>
      <c r="CC774" s="15">
        <v>7080000.0</v>
      </c>
      <c r="CD774" s="15">
        <v>7060000.0</v>
      </c>
      <c r="CE774" s="15">
        <v>6690000.0</v>
      </c>
      <c r="CF774" s="15">
        <v>6520000.0</v>
      </c>
      <c r="CG774" s="15">
        <v>3.555E7</v>
      </c>
      <c r="CH774" s="15">
        <v>3.65E7</v>
      </c>
      <c r="CI774" s="15">
        <v>4.483E7</v>
      </c>
      <c r="CJ774" s="15">
        <v>4.413E7</v>
      </c>
      <c r="CK774" s="15">
        <v>4.305E7</v>
      </c>
      <c r="CL774" s="15">
        <v>1.0145E8</v>
      </c>
      <c r="CM774" s="15">
        <v>1.0346E8</v>
      </c>
      <c r="CN774" s="15">
        <v>1.2009E8</v>
      </c>
      <c r="CO774" s="15">
        <v>1.2048E8</v>
      </c>
      <c r="CP774" s="15">
        <v>1.2297E8</v>
      </c>
      <c r="CQ774" s="15">
        <v>4000000.0</v>
      </c>
      <c r="CR774" s="15">
        <v>4150000.0</v>
      </c>
      <c r="CS774" s="15">
        <v>4360000.0</v>
      </c>
      <c r="CT774" s="15">
        <v>4000000.0</v>
      </c>
      <c r="CU774" s="15">
        <v>2840000.0</v>
      </c>
      <c r="CV774" s="15">
        <v>7880000.0</v>
      </c>
      <c r="CW774" s="15">
        <v>153000.0</v>
      </c>
      <c r="CX774" s="15">
        <v>21000.0</v>
      </c>
      <c r="CY774" s="15">
        <v>462000.0</v>
      </c>
      <c r="CZ774" s="15">
        <v>645000.0</v>
      </c>
      <c r="DA774" s="12"/>
      <c r="DB774" s="15">
        <v>7880000.0</v>
      </c>
      <c r="DC774" s="15">
        <v>7500000.0</v>
      </c>
      <c r="DD774" s="15">
        <v>1.015E7</v>
      </c>
      <c r="DE774" s="15">
        <v>9500000.0</v>
      </c>
      <c r="DF774" s="15">
        <v>4.97E7</v>
      </c>
      <c r="DG774" s="15">
        <v>5.168E7</v>
      </c>
      <c r="DH774" s="15">
        <v>5.402E7</v>
      </c>
      <c r="DI774" s="15">
        <v>6.291E7</v>
      </c>
      <c r="DJ774" s="15">
        <v>5.674E7</v>
      </c>
      <c r="DK774" s="15"/>
      <c r="DL774" s="15">
        <v>5000.0</v>
      </c>
      <c r="DM774" s="15"/>
      <c r="DN774" s="15"/>
      <c r="DO774" s="15"/>
      <c r="DP774" s="15">
        <v>2.867E7</v>
      </c>
      <c r="DQ774" s="15">
        <v>3.077E7</v>
      </c>
      <c r="DR774" s="15">
        <v>2.831E7</v>
      </c>
      <c r="DS774" s="15">
        <v>2.971E7</v>
      </c>
      <c r="DT774" s="15">
        <v>2.515E7</v>
      </c>
      <c r="DU774" s="13"/>
      <c r="DV774" s="12"/>
      <c r="DW774" s="12"/>
      <c r="DX774" s="15"/>
      <c r="DY774" s="15">
        <v>8320000.0</v>
      </c>
      <c r="DZ774" s="15">
        <v>5.162E7</v>
      </c>
      <c r="EA774" s="15">
        <v>5.166E7</v>
      </c>
      <c r="EB774" s="15">
        <v>6.586E7</v>
      </c>
      <c r="EC774" s="15">
        <v>5.736E7</v>
      </c>
      <c r="ED774" s="15">
        <v>6.601E7</v>
      </c>
      <c r="EE774" s="17">
        <v>0.053</v>
      </c>
      <c r="EF774" s="17">
        <v>0.051</v>
      </c>
      <c r="EG774" s="17">
        <v>0.231</v>
      </c>
      <c r="EH774" s="17">
        <v>0.162</v>
      </c>
    </row>
    <row r="775">
      <c r="A775" s="9">
        <f t="shared" si="2"/>
        <v>773</v>
      </c>
      <c r="B775" s="22" t="s">
        <v>910</v>
      </c>
      <c r="C775" s="11">
        <v>15510.0</v>
      </c>
      <c r="D775" s="11">
        <v>41240.0</v>
      </c>
      <c r="E775" s="11">
        <v>4260.0</v>
      </c>
      <c r="F775" s="11">
        <v>1970.0</v>
      </c>
      <c r="G775" s="12"/>
      <c r="H775" s="12"/>
      <c r="I775" s="12"/>
      <c r="J775" s="11">
        <v>1130.0</v>
      </c>
      <c r="K775" s="11">
        <v>837.0</v>
      </c>
      <c r="L775" s="11">
        <v>-475.0</v>
      </c>
      <c r="M775" s="11">
        <v>-155.0</v>
      </c>
      <c r="N775" s="11">
        <v>-146.0</v>
      </c>
      <c r="O775" s="11">
        <v>63700.0</v>
      </c>
      <c r="P775" s="11">
        <v>52090.0</v>
      </c>
      <c r="Q775" s="11">
        <v>31180.0</v>
      </c>
      <c r="R775" s="11">
        <v>22010.0</v>
      </c>
      <c r="S775" s="11">
        <v>27120.0</v>
      </c>
      <c r="T775" s="11">
        <v>25770.0</v>
      </c>
      <c r="U775" s="11">
        <v>26400.0</v>
      </c>
      <c r="V775" s="11">
        <v>17670.0</v>
      </c>
      <c r="W775" s="11">
        <v>13860.0</v>
      </c>
      <c r="X775" s="11">
        <v>19410.0</v>
      </c>
      <c r="Y775" s="12"/>
      <c r="Z775" s="12"/>
      <c r="AA775" s="12"/>
      <c r="AB775" s="11">
        <v>-22820.0</v>
      </c>
      <c r="AC775" s="12"/>
      <c r="AD775" s="11">
        <v>-61390.0</v>
      </c>
      <c r="AE775" s="11">
        <v>-49690.0</v>
      </c>
      <c r="AF775" s="11">
        <v>-30880.0</v>
      </c>
      <c r="AG775" s="11">
        <v>-22500.0</v>
      </c>
      <c r="AH775" s="11">
        <v>-27130.0</v>
      </c>
      <c r="AI775" s="11">
        <v>-60030.0</v>
      </c>
      <c r="AJ775" s="11">
        <v>-50450.0</v>
      </c>
      <c r="AK775" s="11">
        <v>-31180.0</v>
      </c>
      <c r="AL775" s="11">
        <v>-22010.0</v>
      </c>
      <c r="AM775" s="11">
        <v>-27120.0</v>
      </c>
      <c r="AN775" s="11">
        <v>-61390.0</v>
      </c>
      <c r="AO775" s="11">
        <v>-49690.0</v>
      </c>
      <c r="AP775" s="11">
        <v>-30880.0</v>
      </c>
      <c r="AQ775" s="11">
        <v>-22500.0</v>
      </c>
      <c r="AR775" s="11">
        <v>-27130.0</v>
      </c>
      <c r="AS775" s="11">
        <v>-56340.0</v>
      </c>
      <c r="AT775" s="11">
        <v>-45040.0</v>
      </c>
      <c r="AU775" s="11">
        <v>-21880.0</v>
      </c>
      <c r="AV775" s="11">
        <v>-18780.0</v>
      </c>
      <c r="AW775" s="11">
        <v>-22760.0</v>
      </c>
      <c r="AX775" s="11">
        <v>-8430.0</v>
      </c>
      <c r="AY775" s="11">
        <v>-13920.0</v>
      </c>
      <c r="AZ775" s="11">
        <v>-5920.0</v>
      </c>
      <c r="BA775" s="11">
        <v>-952.0</v>
      </c>
      <c r="BB775" s="11">
        <v>-729.0</v>
      </c>
      <c r="BC775" s="12"/>
      <c r="BD775" s="12"/>
      <c r="BE775" s="12"/>
      <c r="BF775" s="12"/>
      <c r="BG775" s="12"/>
      <c r="BH775" s="11">
        <v>71710.0</v>
      </c>
      <c r="BI775" s="11">
        <v>73930.0</v>
      </c>
      <c r="BJ775" s="11">
        <v>81020.0</v>
      </c>
      <c r="BK775" s="11">
        <v>56760.0</v>
      </c>
      <c r="BL775" s="11">
        <v>73040.0</v>
      </c>
      <c r="BM775" s="11">
        <v>923.0</v>
      </c>
      <c r="BN775" s="11">
        <v>903.0</v>
      </c>
      <c r="BO775" s="12"/>
      <c r="BP775" s="12"/>
      <c r="BQ775" s="12"/>
      <c r="BR775" s="11">
        <v>4220.0</v>
      </c>
      <c r="BS775" s="11">
        <v>3570.0</v>
      </c>
      <c r="BT775" s="12"/>
      <c r="BU775" s="12"/>
      <c r="BV775" s="12"/>
      <c r="BW775" s="11">
        <v>79350.0</v>
      </c>
      <c r="BX775" s="11">
        <v>80070.0</v>
      </c>
      <c r="BY775" s="11">
        <v>81820.0</v>
      </c>
      <c r="BZ775" s="11">
        <v>58040.0</v>
      </c>
      <c r="CA775" s="11">
        <v>73760.0</v>
      </c>
      <c r="CB775" s="11">
        <v>32780.0</v>
      </c>
      <c r="CC775" s="11">
        <v>26340.0</v>
      </c>
      <c r="CD775" s="11">
        <v>7460.0</v>
      </c>
      <c r="CE775" s="11">
        <v>2440.0</v>
      </c>
      <c r="CF775" s="11">
        <v>1240.0</v>
      </c>
      <c r="CG775" s="12"/>
      <c r="CH775" s="12"/>
      <c r="CI775" s="12"/>
      <c r="CJ775" s="12"/>
      <c r="CK775" s="12"/>
      <c r="CL775" s="11">
        <v>114020.0</v>
      </c>
      <c r="CM775" s="11">
        <v>106480.0</v>
      </c>
      <c r="CN775" s="11">
        <v>90820.0</v>
      </c>
      <c r="CO775" s="11">
        <v>61580.0</v>
      </c>
      <c r="CP775" s="11">
        <v>79620.0</v>
      </c>
      <c r="CQ775" s="11">
        <v>1260.0</v>
      </c>
      <c r="CR775" s="11">
        <v>3580.0</v>
      </c>
      <c r="CS775" s="11">
        <v>1440.0</v>
      </c>
      <c r="CT775" s="11">
        <v>410.0</v>
      </c>
      <c r="CU775" s="12"/>
      <c r="CV775" s="11">
        <v>10220.0</v>
      </c>
      <c r="CW775" s="11">
        <v>644.0</v>
      </c>
      <c r="CX775" s="12"/>
      <c r="CY775" s="12"/>
      <c r="CZ775" s="12"/>
      <c r="DA775" s="12"/>
      <c r="DB775" s="11">
        <v>10220.0</v>
      </c>
      <c r="DC775" s="11">
        <v>15180.0</v>
      </c>
      <c r="DD775" s="11">
        <v>6030.0</v>
      </c>
      <c r="DE775" s="11">
        <v>3870.0</v>
      </c>
      <c r="DF775" s="11">
        <v>32100.0</v>
      </c>
      <c r="DG775" s="11">
        <v>15280.0</v>
      </c>
      <c r="DH775" s="11">
        <v>6140.0</v>
      </c>
      <c r="DI775" s="11">
        <v>3900.0</v>
      </c>
      <c r="DJ775" s="11">
        <v>3250.0</v>
      </c>
      <c r="DK775" s="11">
        <v>1840.0</v>
      </c>
      <c r="DL775" s="12"/>
      <c r="DM775" s="11">
        <v>1500.0</v>
      </c>
      <c r="DN775" s="11">
        <v>1050.0</v>
      </c>
      <c r="DO775" s="11">
        <v>4590.0</v>
      </c>
      <c r="DP775" s="11">
        <v>21880.0</v>
      </c>
      <c r="DQ775" s="12"/>
      <c r="DR775" s="12"/>
      <c r="DS775" s="12"/>
      <c r="DT775" s="12"/>
      <c r="DU775" s="13"/>
      <c r="DV775" s="12"/>
      <c r="DW775" s="12"/>
      <c r="DX775" s="13"/>
      <c r="DY775" s="13"/>
      <c r="DZ775" s="11">
        <v>81920.0</v>
      </c>
      <c r="EA775" s="11">
        <v>91210.0</v>
      </c>
      <c r="EB775" s="11">
        <v>84680.0</v>
      </c>
      <c r="EC775" s="11">
        <v>57680.0</v>
      </c>
      <c r="ED775" s="11">
        <v>76370.0</v>
      </c>
      <c r="EE775" s="14">
        <v>0.034</v>
      </c>
      <c r="EF775" s="14">
        <v>4.874</v>
      </c>
      <c r="EG775" s="23" t="s">
        <v>155</v>
      </c>
      <c r="EH775" s="23"/>
    </row>
    <row r="776">
      <c r="A776" s="9">
        <f t="shared" si="2"/>
        <v>774</v>
      </c>
      <c r="B776" s="10" t="s">
        <v>911</v>
      </c>
      <c r="C776" s="11">
        <v>524830.0</v>
      </c>
      <c r="D776" s="11">
        <v>540810.0</v>
      </c>
      <c r="E776" s="11">
        <v>603880.0</v>
      </c>
      <c r="F776" s="11">
        <v>647070.0</v>
      </c>
      <c r="G776" s="11">
        <v>634120.0</v>
      </c>
      <c r="H776" s="11">
        <v>594330.0</v>
      </c>
      <c r="I776" s="11">
        <v>561810.0</v>
      </c>
      <c r="J776" s="11">
        <v>41620.0</v>
      </c>
      <c r="K776" s="11">
        <v>79560.0</v>
      </c>
      <c r="L776" s="11">
        <v>83650.0</v>
      </c>
      <c r="M776" s="11">
        <v>85870.0</v>
      </c>
      <c r="N776" s="11">
        <v>94140.0</v>
      </c>
      <c r="O776" s="11">
        <v>73210.0</v>
      </c>
      <c r="P776" s="11">
        <v>74680.0</v>
      </c>
      <c r="Q776" s="11">
        <v>74300.0</v>
      </c>
      <c r="R776" s="11">
        <v>68870.0</v>
      </c>
      <c r="S776" s="11">
        <v>67950.0</v>
      </c>
      <c r="T776" s="11"/>
      <c r="U776" s="11"/>
      <c r="V776" s="11"/>
      <c r="W776" s="11"/>
      <c r="X776" s="11"/>
      <c r="Y776" s="11">
        <v>-53040.0</v>
      </c>
      <c r="Z776" s="12"/>
      <c r="AA776" s="12"/>
      <c r="AB776" s="12"/>
      <c r="AC776" s="12"/>
      <c r="AD776" s="11">
        <v>-52590.0</v>
      </c>
      <c r="AE776" s="11">
        <v>5810.0</v>
      </c>
      <c r="AF776" s="11">
        <v>9820.0</v>
      </c>
      <c r="AG776" s="11">
        <v>16980.0</v>
      </c>
      <c r="AH776" s="11">
        <v>26100.0</v>
      </c>
      <c r="AI776" s="11">
        <v>-3880.0</v>
      </c>
      <c r="AJ776" s="11">
        <v>34330.0</v>
      </c>
      <c r="AK776" s="11">
        <v>36500.0</v>
      </c>
      <c r="AL776" s="11">
        <v>42320.0</v>
      </c>
      <c r="AM776" s="11">
        <v>48370.0</v>
      </c>
      <c r="AN776" s="11">
        <v>-53270.0</v>
      </c>
      <c r="AO776" s="11">
        <v>3780.0</v>
      </c>
      <c r="AP776" s="11">
        <v>5300.0</v>
      </c>
      <c r="AQ776" s="11">
        <v>11050.0</v>
      </c>
      <c r="AR776" s="11">
        <v>16570.0</v>
      </c>
      <c r="AS776" s="11">
        <v>2380.0</v>
      </c>
      <c r="AT776" s="11">
        <v>22320.0</v>
      </c>
      <c r="AU776" s="11">
        <v>45130.0</v>
      </c>
      <c r="AV776" s="11">
        <v>51930.0</v>
      </c>
      <c r="AW776" s="11">
        <v>32040.0</v>
      </c>
      <c r="AX776" s="11">
        <v>-15680.0</v>
      </c>
      <c r="AY776" s="11">
        <v>-28780.0</v>
      </c>
      <c r="AZ776" s="11">
        <v>-28420.0</v>
      </c>
      <c r="BA776" s="11">
        <v>-32180.0</v>
      </c>
      <c r="BB776" s="11">
        <v>-35110.0</v>
      </c>
      <c r="BC776" s="12"/>
      <c r="BD776" s="12"/>
      <c r="BE776" s="12"/>
      <c r="BF776" s="12"/>
      <c r="BG776" s="11">
        <v>-25950.0</v>
      </c>
      <c r="BH776" s="11">
        <v>30130.0</v>
      </c>
      <c r="BI776" s="11">
        <v>57950.0</v>
      </c>
      <c r="BJ776" s="11">
        <v>80160.0</v>
      </c>
      <c r="BK776" s="11">
        <v>63940.0</v>
      </c>
      <c r="BL776" s="11">
        <v>44350.0</v>
      </c>
      <c r="BM776" s="11">
        <v>1000.0</v>
      </c>
      <c r="BN776" s="11">
        <v>3200.0</v>
      </c>
      <c r="BO776" s="11">
        <v>4000.0</v>
      </c>
      <c r="BP776" s="11">
        <v>4800.0</v>
      </c>
      <c r="BQ776" s="11"/>
      <c r="BR776" s="11">
        <v>94670.0</v>
      </c>
      <c r="BS776" s="11">
        <v>84430.0</v>
      </c>
      <c r="BT776" s="11">
        <v>81260.0</v>
      </c>
      <c r="BU776" s="11">
        <v>73190.0</v>
      </c>
      <c r="BV776" s="11">
        <v>68220.0</v>
      </c>
      <c r="BW776" s="11">
        <v>131510.0</v>
      </c>
      <c r="BX776" s="11">
        <v>157940.0</v>
      </c>
      <c r="BY776" s="11">
        <v>177400.0</v>
      </c>
      <c r="BZ776" s="11">
        <v>153040.0</v>
      </c>
      <c r="CA776" s="11">
        <v>127780.0</v>
      </c>
      <c r="CB776" s="11">
        <v>282930.0</v>
      </c>
      <c r="CC776" s="11">
        <v>110820.0</v>
      </c>
      <c r="CD776" s="11">
        <v>113040.0</v>
      </c>
      <c r="CE776" s="11">
        <v>110870.0</v>
      </c>
      <c r="CF776" s="11">
        <v>105540.0</v>
      </c>
      <c r="CG776" s="12"/>
      <c r="CH776" s="12"/>
      <c r="CI776" s="12"/>
      <c r="CJ776" s="12"/>
      <c r="CK776" s="12"/>
      <c r="CL776" s="11">
        <v>422440.0</v>
      </c>
      <c r="CM776" s="11">
        <v>277150.0</v>
      </c>
      <c r="CN776" s="11">
        <v>299200.0</v>
      </c>
      <c r="CO776" s="11">
        <v>270150.0</v>
      </c>
      <c r="CP776" s="11">
        <v>235260.0</v>
      </c>
      <c r="CQ776" s="11">
        <v>59510.0</v>
      </c>
      <c r="CR776" s="11">
        <v>48170.0</v>
      </c>
      <c r="CS776" s="11">
        <v>53130.0</v>
      </c>
      <c r="CT776" s="11">
        <v>37900.0</v>
      </c>
      <c r="CU776" s="11">
        <v>28690.0</v>
      </c>
      <c r="CV776" s="11">
        <v>141440.0</v>
      </c>
      <c r="CW776" s="11">
        <v>53150.0</v>
      </c>
      <c r="CX776" s="12"/>
      <c r="CY776" s="12"/>
      <c r="CZ776" s="13"/>
      <c r="DA776" s="12"/>
      <c r="DB776" s="11">
        <v>141440.0</v>
      </c>
      <c r="DC776" s="11">
        <v>86540.0</v>
      </c>
      <c r="DD776" s="11">
        <v>96940.0</v>
      </c>
      <c r="DE776" s="11">
        <v>74440.0</v>
      </c>
      <c r="DF776" s="11">
        <v>345490.0</v>
      </c>
      <c r="DG776" s="11">
        <v>146350.0</v>
      </c>
      <c r="DH776" s="11">
        <v>158440.0</v>
      </c>
      <c r="DI776" s="11">
        <v>136330.0</v>
      </c>
      <c r="DJ776" s="11">
        <v>115560.0</v>
      </c>
      <c r="DK776" s="12"/>
      <c r="DL776" s="12"/>
      <c r="DM776" s="12"/>
      <c r="DN776" s="12"/>
      <c r="DO776" s="12"/>
      <c r="DP776" s="11">
        <v>195740.0</v>
      </c>
      <c r="DQ776" s="11"/>
      <c r="DR776" s="11"/>
      <c r="DS776" s="11"/>
      <c r="DT776" s="11"/>
      <c r="DU776" s="13"/>
      <c r="DV776" s="12"/>
      <c r="DW776" s="12"/>
      <c r="DX776" s="11"/>
      <c r="DY776" s="11"/>
      <c r="DZ776" s="11">
        <v>76960.0</v>
      </c>
      <c r="EA776" s="11">
        <v>130800.0</v>
      </c>
      <c r="EB776" s="11">
        <v>140760.0</v>
      </c>
      <c r="EC776" s="11">
        <v>133810.0</v>
      </c>
      <c r="ED776" s="11">
        <v>119700.0</v>
      </c>
      <c r="EE776" s="14">
        <v>0.0</v>
      </c>
      <c r="EF776" s="14">
        <v>0.0</v>
      </c>
      <c r="EG776" s="14">
        <v>-0.16</v>
      </c>
      <c r="EH776" s="14">
        <v>-0.238</v>
      </c>
    </row>
    <row r="777">
      <c r="A777" s="9">
        <f t="shared" si="2"/>
        <v>775</v>
      </c>
      <c r="B777" s="10" t="s">
        <v>912</v>
      </c>
      <c r="C777" s="15">
        <v>5730000.0</v>
      </c>
      <c r="D777" s="15">
        <v>5740000.0</v>
      </c>
      <c r="E777" s="15">
        <v>4560000.0</v>
      </c>
      <c r="F777" s="15">
        <v>4040000.0</v>
      </c>
      <c r="G777" s="15">
        <v>3480000.0</v>
      </c>
      <c r="H777" s="15">
        <v>2990000.0</v>
      </c>
      <c r="I777" s="15">
        <v>2810000.0</v>
      </c>
      <c r="J777" s="15">
        <v>2660000.0</v>
      </c>
      <c r="K777" s="15">
        <v>2590000.0</v>
      </c>
      <c r="L777" s="15">
        <v>2240000.0</v>
      </c>
      <c r="M777" s="15">
        <v>1830000.0</v>
      </c>
      <c r="N777" s="15">
        <v>1600000.0</v>
      </c>
      <c r="O777" s="15">
        <v>1240000.0</v>
      </c>
      <c r="P777" s="15">
        <v>1050000.0</v>
      </c>
      <c r="Q777" s="15">
        <v>916210.0</v>
      </c>
      <c r="R777" s="15">
        <v>837860.0</v>
      </c>
      <c r="S777" s="15">
        <v>912180.0</v>
      </c>
      <c r="T777" s="15">
        <v>711020.0</v>
      </c>
      <c r="U777" s="15">
        <v>608530.0</v>
      </c>
      <c r="V777" s="15">
        <v>526870.0</v>
      </c>
      <c r="W777" s="15">
        <v>477960.0</v>
      </c>
      <c r="X777" s="15">
        <v>519520.0</v>
      </c>
      <c r="Y777" s="15">
        <v>1390000.0</v>
      </c>
      <c r="Z777" s="15">
        <v>-3280.0</v>
      </c>
      <c r="AA777" s="15">
        <v>1280000.0</v>
      </c>
      <c r="AB777" s="15">
        <v>942820.0</v>
      </c>
      <c r="AC777" s="15">
        <v>537780.0</v>
      </c>
      <c r="AD777" s="15">
        <v>1300000.0</v>
      </c>
      <c r="AE777" s="15">
        <v>1460000.0</v>
      </c>
      <c r="AF777" s="15">
        <v>1170000.0</v>
      </c>
      <c r="AG777" s="15">
        <v>858190.0</v>
      </c>
      <c r="AH777" s="15">
        <v>434130.0</v>
      </c>
      <c r="AI777" s="15">
        <v>1660000.0</v>
      </c>
      <c r="AJ777" s="15">
        <v>1600000.0</v>
      </c>
      <c r="AK777" s="15">
        <v>1330000.0</v>
      </c>
      <c r="AL777" s="15">
        <v>1060000.0</v>
      </c>
      <c r="AM777" s="15">
        <v>769060.0</v>
      </c>
      <c r="AN777" s="15">
        <v>1180000.0</v>
      </c>
      <c r="AO777" s="15">
        <v>802270.0</v>
      </c>
      <c r="AP777" s="15">
        <v>926080.0</v>
      </c>
      <c r="AQ777" s="15">
        <v>704420.0</v>
      </c>
      <c r="AR777" s="15">
        <v>366160.0</v>
      </c>
      <c r="AS777" s="15">
        <v>1150000.0</v>
      </c>
      <c r="AT777" s="15">
        <v>1230000.0</v>
      </c>
      <c r="AU777" s="15">
        <v>1080000.0</v>
      </c>
      <c r="AV777" s="15">
        <v>759700.0</v>
      </c>
      <c r="AW777" s="15">
        <v>605910.0</v>
      </c>
      <c r="AX777" s="15">
        <v>-130500.0</v>
      </c>
      <c r="AY777" s="15">
        <v>-66950.0</v>
      </c>
      <c r="AZ777" s="15">
        <v>-38590.0</v>
      </c>
      <c r="BA777" s="15">
        <v>-31740.0</v>
      </c>
      <c r="BB777" s="15">
        <v>-45790.0</v>
      </c>
      <c r="BC777" s="15">
        <v>-472260.0</v>
      </c>
      <c r="BD777" s="15">
        <v>-402070.0</v>
      </c>
      <c r="BE777" s="15">
        <v>-343990.0</v>
      </c>
      <c r="BF777" s="15">
        <v>-346280.0</v>
      </c>
      <c r="BG777" s="15">
        <v>-3040000.0</v>
      </c>
      <c r="BH777" s="15">
        <v>1740000.0</v>
      </c>
      <c r="BI777" s="15">
        <v>2880000.0</v>
      </c>
      <c r="BJ777" s="15">
        <v>3020000.0</v>
      </c>
      <c r="BK777" s="15">
        <v>2490000.0</v>
      </c>
      <c r="BL777" s="15">
        <v>2390000.0</v>
      </c>
      <c r="BM777" s="15">
        <v>1080000.0</v>
      </c>
      <c r="BN777" s="15">
        <v>651680.0</v>
      </c>
      <c r="BO777" s="15">
        <v>593190.0</v>
      </c>
      <c r="BP777" s="15">
        <v>631420.0</v>
      </c>
      <c r="BQ777" s="15">
        <v>618340.0</v>
      </c>
      <c r="BR777" s="15">
        <v>1260000.0</v>
      </c>
      <c r="BS777" s="15">
        <v>931850.0</v>
      </c>
      <c r="BT777" s="15">
        <v>732990.0</v>
      </c>
      <c r="BU777" s="15">
        <v>698640.0</v>
      </c>
      <c r="BV777" s="15">
        <v>617900.0</v>
      </c>
      <c r="BW777" s="15">
        <v>4240000.0</v>
      </c>
      <c r="BX777" s="15">
        <v>4550000.0</v>
      </c>
      <c r="BY777" s="15">
        <v>4390000.0</v>
      </c>
      <c r="BZ777" s="15">
        <v>3870000.0</v>
      </c>
      <c r="CA777" s="15">
        <v>3900000.0</v>
      </c>
      <c r="CB777" s="15">
        <v>448800.0</v>
      </c>
      <c r="CC777" s="15">
        <v>286310.0</v>
      </c>
      <c r="CD777" s="15">
        <v>283980.0</v>
      </c>
      <c r="CE777" s="15">
        <v>278010.0</v>
      </c>
      <c r="CF777" s="15">
        <v>314590.0</v>
      </c>
      <c r="CG777" s="15">
        <v>2210000.0</v>
      </c>
      <c r="CH777" s="15">
        <v>354700.0</v>
      </c>
      <c r="CI777" s="15">
        <v>349530.0</v>
      </c>
      <c r="CJ777" s="15">
        <v>335180.0</v>
      </c>
      <c r="CK777" s="15">
        <v>335260.0</v>
      </c>
      <c r="CL777" s="15">
        <v>9010000.0</v>
      </c>
      <c r="CM777" s="15">
        <v>5640000.0</v>
      </c>
      <c r="CN777" s="15">
        <v>5530000.0</v>
      </c>
      <c r="CO777" s="15">
        <v>4960000.0</v>
      </c>
      <c r="CP777" s="15">
        <v>4830000.0</v>
      </c>
      <c r="CQ777" s="15">
        <v>202420.0</v>
      </c>
      <c r="CR777" s="15">
        <v>169350.0</v>
      </c>
      <c r="CS777" s="15">
        <v>147380.0</v>
      </c>
      <c r="CT777" s="15">
        <v>106520.0</v>
      </c>
      <c r="CU777" s="15">
        <v>103340.0</v>
      </c>
      <c r="CV777" s="15">
        <v>1770000.0</v>
      </c>
      <c r="CW777" s="15">
        <v>0.0</v>
      </c>
      <c r="CX777" s="15">
        <v>0.0</v>
      </c>
      <c r="CY777" s="16">
        <v>0.0</v>
      </c>
      <c r="CZ777" s="16">
        <v>0.0</v>
      </c>
      <c r="DA777" s="15">
        <v>0.0</v>
      </c>
      <c r="DB777" s="15">
        <v>1770000.0</v>
      </c>
      <c r="DC777" s="15">
        <v>1210000.0</v>
      </c>
      <c r="DD777" s="15">
        <v>1290000.0</v>
      </c>
      <c r="DE777" s="15">
        <v>1000000.0</v>
      </c>
      <c r="DF777" s="15">
        <v>6330000.0</v>
      </c>
      <c r="DG777" s="15">
        <v>4020000.0</v>
      </c>
      <c r="DH777" s="15">
        <v>4210000.0</v>
      </c>
      <c r="DI777" s="15">
        <v>4270000.0</v>
      </c>
      <c r="DJ777" s="15">
        <v>4400000.0</v>
      </c>
      <c r="DK777" s="15">
        <v>0.0</v>
      </c>
      <c r="DL777" s="15">
        <v>0.0</v>
      </c>
      <c r="DM777" s="15">
        <v>0.0</v>
      </c>
      <c r="DN777" s="15">
        <v>0.0</v>
      </c>
      <c r="DO777" s="15">
        <v>0.0</v>
      </c>
      <c r="DP777" s="15">
        <v>3170000.0</v>
      </c>
      <c r="DQ777" s="15">
        <v>2240000.0</v>
      </c>
      <c r="DR777" s="15">
        <v>2680000.0</v>
      </c>
      <c r="DS777" s="15">
        <v>3060000.0</v>
      </c>
      <c r="DT777" s="15">
        <v>3170000.0</v>
      </c>
      <c r="DU777" s="16">
        <v>0.0</v>
      </c>
      <c r="DV777" s="15">
        <v>0.0</v>
      </c>
      <c r="DW777" s="15">
        <v>0.0</v>
      </c>
      <c r="DX777" s="15">
        <v>0.0</v>
      </c>
      <c r="DY777" s="15">
        <v>0.0</v>
      </c>
      <c r="DZ777" s="15">
        <v>2660000.0</v>
      </c>
      <c r="EA777" s="15">
        <v>1620000.0</v>
      </c>
      <c r="EB777" s="15">
        <v>1330000.0</v>
      </c>
      <c r="EC777" s="15">
        <v>689110.0</v>
      </c>
      <c r="ED777" s="15">
        <v>421440.0</v>
      </c>
      <c r="EE777" s="17">
        <v>0.023</v>
      </c>
      <c r="EF777" s="17">
        <v>0.157</v>
      </c>
      <c r="EG777" s="17">
        <v>0.083</v>
      </c>
      <c r="EH777" s="17">
        <v>0.068</v>
      </c>
    </row>
    <row r="778">
      <c r="A778" s="9">
        <f t="shared" si="2"/>
        <v>776</v>
      </c>
      <c r="B778" s="22" t="s">
        <v>913</v>
      </c>
      <c r="C778" s="11">
        <v>1250.0</v>
      </c>
      <c r="D778" s="11">
        <v>17620.0</v>
      </c>
      <c r="E778" s="12"/>
      <c r="F778" s="12"/>
      <c r="G778" s="12"/>
      <c r="H778" s="12"/>
      <c r="I778" s="12"/>
      <c r="J778" s="11">
        <v>-1320.0</v>
      </c>
      <c r="K778" s="11">
        <v>-792.0</v>
      </c>
      <c r="L778" s="11">
        <v>-316.0</v>
      </c>
      <c r="M778" s="11">
        <v>-99.0</v>
      </c>
      <c r="N778" s="12"/>
      <c r="O778" s="11">
        <v>85340.0</v>
      </c>
      <c r="P778" s="11">
        <v>59890.0</v>
      </c>
      <c r="Q778" s="11">
        <v>26710.0</v>
      </c>
      <c r="R778" s="11">
        <v>9340.0</v>
      </c>
      <c r="S778" s="12"/>
      <c r="T778" s="11">
        <v>64230.0</v>
      </c>
      <c r="U778" s="11">
        <v>42060.0</v>
      </c>
      <c r="V778" s="11">
        <v>20990.0</v>
      </c>
      <c r="W778" s="11">
        <v>7860.0</v>
      </c>
      <c r="X778" s="12"/>
      <c r="Y778" s="11">
        <v>-86990.0</v>
      </c>
      <c r="Z778" s="11">
        <v>-61600.0</v>
      </c>
      <c r="AA778" s="11">
        <v>-27140.0</v>
      </c>
      <c r="AB778" s="11">
        <v>-9540.0</v>
      </c>
      <c r="AC778" s="12"/>
      <c r="AD778" s="11">
        <v>-86330.0</v>
      </c>
      <c r="AE778" s="11">
        <v>-61740.0</v>
      </c>
      <c r="AF778" s="11">
        <v>-27560.0</v>
      </c>
      <c r="AG778" s="11">
        <v>-9690.0</v>
      </c>
      <c r="AH778" s="12"/>
      <c r="AI778" s="11">
        <v>-85340.0</v>
      </c>
      <c r="AJ778" s="11">
        <v>-59890.0</v>
      </c>
      <c r="AK778" s="11">
        <v>-26710.0</v>
      </c>
      <c r="AL778" s="11">
        <v>-9340.0</v>
      </c>
      <c r="AM778" s="12"/>
      <c r="AN778" s="11">
        <v>-86330.0</v>
      </c>
      <c r="AO778" s="11">
        <v>-61740.0</v>
      </c>
      <c r="AP778" s="11">
        <v>-27560.0</v>
      </c>
      <c r="AQ778" s="11">
        <v>-9690.0</v>
      </c>
      <c r="AR778" s="12"/>
      <c r="AS778" s="11">
        <v>-75800.0</v>
      </c>
      <c r="AT778" s="11">
        <v>-46340.0</v>
      </c>
      <c r="AU778" s="11">
        <v>-22500.0</v>
      </c>
      <c r="AV778" s="11">
        <v>-9350.0</v>
      </c>
      <c r="AW778" s="12"/>
      <c r="AX778" s="11">
        <v>-3590.0</v>
      </c>
      <c r="AY778" s="11">
        <v>-3000.0</v>
      </c>
      <c r="AZ778" s="11">
        <v>-1410.0</v>
      </c>
      <c r="BA778" s="11">
        <v>-195.0</v>
      </c>
      <c r="BB778" s="12"/>
      <c r="BC778" s="12"/>
      <c r="BD778" s="12"/>
      <c r="BE778" s="12"/>
      <c r="BF778" s="12"/>
      <c r="BG778" s="12"/>
      <c r="BH778" s="11">
        <v>71240.0</v>
      </c>
      <c r="BI778" s="11">
        <v>76090.0</v>
      </c>
      <c r="BJ778" s="11">
        <v>28460.0</v>
      </c>
      <c r="BK778" s="11">
        <v>2730.0</v>
      </c>
      <c r="BL778" s="12"/>
      <c r="BM778" s="12"/>
      <c r="BN778" s="11">
        <v>5.0</v>
      </c>
      <c r="BO778" s="11">
        <v>45.0</v>
      </c>
      <c r="BP778" s="11">
        <v>1500.0</v>
      </c>
      <c r="BQ778" s="12"/>
      <c r="BR778" s="12"/>
      <c r="BS778" s="12"/>
      <c r="BT778" s="12"/>
      <c r="BU778" s="12"/>
      <c r="BV778" s="12"/>
      <c r="BW778" s="11">
        <v>73280.0</v>
      </c>
      <c r="BX778" s="11">
        <v>76240.0</v>
      </c>
      <c r="BY778" s="11">
        <v>28550.0</v>
      </c>
      <c r="BZ778" s="11">
        <v>4360.0</v>
      </c>
      <c r="CA778" s="12"/>
      <c r="CB778" s="11">
        <v>6740.0</v>
      </c>
      <c r="CC778" s="11">
        <v>4690.0</v>
      </c>
      <c r="CD778" s="11">
        <v>1980.0</v>
      </c>
      <c r="CE778" s="11">
        <v>513.0</v>
      </c>
      <c r="CF778" s="12"/>
      <c r="CG778" s="12"/>
      <c r="CH778" s="12"/>
      <c r="CI778" s="12"/>
      <c r="CJ778" s="12"/>
      <c r="CK778" s="12"/>
      <c r="CL778" s="11">
        <v>82310.0</v>
      </c>
      <c r="CM778" s="11">
        <v>85330.0</v>
      </c>
      <c r="CN778" s="11">
        <v>30750.0</v>
      </c>
      <c r="CO778" s="11">
        <v>4990.0</v>
      </c>
      <c r="CP778" s="12"/>
      <c r="CQ778" s="11">
        <v>2020.0</v>
      </c>
      <c r="CR778" s="11">
        <v>3440.0</v>
      </c>
      <c r="CS778" s="11">
        <v>864.0</v>
      </c>
      <c r="CT778" s="11">
        <v>872.0</v>
      </c>
      <c r="CU778" s="12"/>
      <c r="CV778" s="11">
        <v>10380.0</v>
      </c>
      <c r="CW778" s="12"/>
      <c r="CX778" s="12"/>
      <c r="CY778" s="12"/>
      <c r="CZ778" s="12"/>
      <c r="DA778" s="12"/>
      <c r="DB778" s="11">
        <v>10380.0</v>
      </c>
      <c r="DC778" s="11">
        <v>11300.0</v>
      </c>
      <c r="DD778" s="11">
        <v>3850.0</v>
      </c>
      <c r="DE778" s="11">
        <v>1210.0</v>
      </c>
      <c r="DF778" s="11">
        <v>33420.0</v>
      </c>
      <c r="DG778" s="11">
        <v>28340.0</v>
      </c>
      <c r="DH778" s="11">
        <v>21930.0</v>
      </c>
      <c r="DI778" s="11">
        <v>6250.0</v>
      </c>
      <c r="DJ778" s="12"/>
      <c r="DK778" s="11">
        <v>2290.0</v>
      </c>
      <c r="DL778" s="11">
        <v>2180.0</v>
      </c>
      <c r="DM778" s="11">
        <v>221.0</v>
      </c>
      <c r="DN778" s="11">
        <v>114.0</v>
      </c>
      <c r="DO778" s="12"/>
      <c r="DP778" s="11">
        <v>20390.0</v>
      </c>
      <c r="DQ778" s="11">
        <v>15550.0</v>
      </c>
      <c r="DR778" s="11">
        <v>17620.0</v>
      </c>
      <c r="DS778" s="11">
        <v>4950.0</v>
      </c>
      <c r="DT778" s="12"/>
      <c r="DU778" s="13"/>
      <c r="DV778" s="11">
        <v>153230.0</v>
      </c>
      <c r="DW778" s="11">
        <v>52490.0</v>
      </c>
      <c r="DX778" s="11">
        <v>15660.0</v>
      </c>
      <c r="DY778" s="13"/>
      <c r="DZ778" s="11">
        <v>48880.0</v>
      </c>
      <c r="EA778" s="11">
        <v>56980.0</v>
      </c>
      <c r="EB778" s="11">
        <v>8820.0</v>
      </c>
      <c r="EC778" s="11">
        <v>-1260.0</v>
      </c>
      <c r="ED778" s="12"/>
      <c r="EE778" s="23"/>
      <c r="EF778" s="23"/>
      <c r="EG778" s="14">
        <v>0.0</v>
      </c>
      <c r="EH778" s="14">
        <v>-0.156</v>
      </c>
    </row>
    <row r="779">
      <c r="A779" s="9">
        <f t="shared" si="2"/>
        <v>777</v>
      </c>
      <c r="B779" s="10" t="s">
        <v>914</v>
      </c>
      <c r="C779" s="15">
        <v>752520.0</v>
      </c>
      <c r="D779" s="15">
        <v>611670.0</v>
      </c>
      <c r="E779" s="15">
        <v>540050.0</v>
      </c>
      <c r="F779" s="15">
        <v>889120.0</v>
      </c>
      <c r="G779" s="15">
        <v>809040.0</v>
      </c>
      <c r="H779" s="15">
        <v>627190.0</v>
      </c>
      <c r="I779" s="15">
        <v>536470.0</v>
      </c>
      <c r="J779" s="15">
        <v>247180.0</v>
      </c>
      <c r="K779" s="15">
        <v>409440.0</v>
      </c>
      <c r="L779" s="15">
        <v>382090.0</v>
      </c>
      <c r="M779" s="15">
        <v>281040.0</v>
      </c>
      <c r="N779" s="15">
        <v>259090.0</v>
      </c>
      <c r="O779" s="15">
        <v>224350.0</v>
      </c>
      <c r="P779" s="15">
        <v>244890.0</v>
      </c>
      <c r="Q779" s="15">
        <v>229050.0</v>
      </c>
      <c r="R779" s="15">
        <v>0.0</v>
      </c>
      <c r="S779" s="15">
        <v>219430.0</v>
      </c>
      <c r="T779" s="15">
        <v>116170.0</v>
      </c>
      <c r="U779" s="15">
        <v>119620.0</v>
      </c>
      <c r="V779" s="15">
        <v>100200.0</v>
      </c>
      <c r="W779" s="15">
        <v>92370.0</v>
      </c>
      <c r="X779" s="15">
        <v>90030.0</v>
      </c>
      <c r="Y779" s="15">
        <v>0.0</v>
      </c>
      <c r="Z779" s="15">
        <v>164880.0</v>
      </c>
      <c r="AA779" s="15">
        <v>114230.0</v>
      </c>
      <c r="AB779" s="15">
        <v>0.0</v>
      </c>
      <c r="AC779" s="15">
        <v>38260.0</v>
      </c>
      <c r="AD779" s="15">
        <v>34690.0</v>
      </c>
      <c r="AE779" s="15">
        <v>177550.0</v>
      </c>
      <c r="AF779" s="15">
        <v>118520.0</v>
      </c>
      <c r="AG779" s="15">
        <v>56160.0</v>
      </c>
      <c r="AH779" s="15">
        <v>37710.0</v>
      </c>
      <c r="AI779" s="15">
        <v>43130.0</v>
      </c>
      <c r="AJ779" s="15">
        <v>183570.0</v>
      </c>
      <c r="AK779" s="15">
        <v>169300.0</v>
      </c>
      <c r="AL779" s="15">
        <v>0.0</v>
      </c>
      <c r="AM779" s="15">
        <v>58630.0</v>
      </c>
      <c r="AN779" s="15">
        <v>11650.0</v>
      </c>
      <c r="AO779" s="15">
        <v>56680.0</v>
      </c>
      <c r="AP779" s="15">
        <v>126100.0</v>
      </c>
      <c r="AQ779" s="15">
        <v>0.0</v>
      </c>
      <c r="AR779" s="15">
        <v>50640.0</v>
      </c>
      <c r="AS779" s="15">
        <v>65970.0</v>
      </c>
      <c r="AT779" s="15">
        <v>123500.0</v>
      </c>
      <c r="AU779" s="15">
        <v>136310.0</v>
      </c>
      <c r="AV779" s="15">
        <v>0.0</v>
      </c>
      <c r="AW779" s="15">
        <v>87880.0</v>
      </c>
      <c r="AX779" s="15">
        <v>-11740.0</v>
      </c>
      <c r="AY779" s="15">
        <v>-20500.0</v>
      </c>
      <c r="AZ779" s="15">
        <v>-25590.0</v>
      </c>
      <c r="BA779" s="15">
        <v>0.0</v>
      </c>
      <c r="BB779" s="15">
        <v>-10270.0</v>
      </c>
      <c r="BC779" s="15">
        <v>-31570.0</v>
      </c>
      <c r="BD779" s="15">
        <v>-8180.0</v>
      </c>
      <c r="BE779" s="15">
        <v>0.0</v>
      </c>
      <c r="BF779" s="15">
        <v>0.0</v>
      </c>
      <c r="BG779" s="15">
        <v>0.0</v>
      </c>
      <c r="BH779" s="15">
        <v>593180.0</v>
      </c>
      <c r="BI779" s="15">
        <v>614150.0</v>
      </c>
      <c r="BJ779" s="15">
        <v>608940.0</v>
      </c>
      <c r="BK779" s="15">
        <v>547910.0</v>
      </c>
      <c r="BL779" s="15">
        <v>498610.0</v>
      </c>
      <c r="BM779" s="15">
        <v>195830.0</v>
      </c>
      <c r="BN779" s="15">
        <v>243370.0</v>
      </c>
      <c r="BO779" s="15">
        <v>198480.0</v>
      </c>
      <c r="BP779" s="15">
        <v>130460.0</v>
      </c>
      <c r="BQ779" s="15">
        <v>108600.0</v>
      </c>
      <c r="BR779" s="15">
        <v>89310.0</v>
      </c>
      <c r="BS779" s="15">
        <v>115190.0</v>
      </c>
      <c r="BT779" s="15">
        <v>122020.0</v>
      </c>
      <c r="BU779" s="15">
        <v>87300.0</v>
      </c>
      <c r="BV779" s="15">
        <v>79100.0</v>
      </c>
      <c r="BW779" s="15">
        <v>893750.0</v>
      </c>
      <c r="BX779" s="15">
        <v>987270.0</v>
      </c>
      <c r="BY779" s="15">
        <v>953380.0</v>
      </c>
      <c r="BZ779" s="15">
        <v>780940.0</v>
      </c>
      <c r="CA779" s="15">
        <v>707370.0</v>
      </c>
      <c r="CB779" s="15">
        <v>72370.0</v>
      </c>
      <c r="CC779" s="15">
        <v>76070.0</v>
      </c>
      <c r="CD779" s="15">
        <v>67760.0</v>
      </c>
      <c r="CE779" s="15">
        <v>50340.0</v>
      </c>
      <c r="CF779" s="15">
        <v>53230.0</v>
      </c>
      <c r="CG779" s="15">
        <v>55690.0</v>
      </c>
      <c r="CH779" s="15">
        <v>56550.0</v>
      </c>
      <c r="CI779" s="15">
        <v>56320.0</v>
      </c>
      <c r="CJ779" s="15">
        <v>81270.0</v>
      </c>
      <c r="CK779" s="15">
        <v>81270.0</v>
      </c>
      <c r="CL779" s="15">
        <v>1080000.0</v>
      </c>
      <c r="CM779" s="15">
        <v>1190000.0</v>
      </c>
      <c r="CN779" s="15">
        <v>1170000.0</v>
      </c>
      <c r="CO779" s="15">
        <v>982440.0</v>
      </c>
      <c r="CP779" s="15">
        <v>904470.0</v>
      </c>
      <c r="CQ779" s="15">
        <v>36710.0</v>
      </c>
      <c r="CR779" s="15">
        <v>48530.0</v>
      </c>
      <c r="CS779" s="15">
        <v>51350.0</v>
      </c>
      <c r="CT779" s="15">
        <v>41810.0</v>
      </c>
      <c r="CU779" s="15">
        <v>25520.0</v>
      </c>
      <c r="CV779" s="15">
        <v>174640.0</v>
      </c>
      <c r="CW779" s="15">
        <v>60900.0</v>
      </c>
      <c r="CX779" s="15">
        <v>0.0</v>
      </c>
      <c r="CY779" s="16">
        <v>0.0</v>
      </c>
      <c r="CZ779" s="16">
        <v>0.0</v>
      </c>
      <c r="DA779" s="15">
        <v>0.0</v>
      </c>
      <c r="DB779" s="15">
        <v>174640.0</v>
      </c>
      <c r="DC779" s="15">
        <v>174080.0</v>
      </c>
      <c r="DD779" s="15">
        <v>192980.0</v>
      </c>
      <c r="DE779" s="15">
        <v>125960.0</v>
      </c>
      <c r="DF779" s="15">
        <v>310550.0</v>
      </c>
      <c r="DG779" s="15">
        <v>305530.0</v>
      </c>
      <c r="DH779" s="15">
        <v>251080.0</v>
      </c>
      <c r="DI779" s="15">
        <v>0.0</v>
      </c>
      <c r="DJ779" s="15">
        <v>132580.0</v>
      </c>
      <c r="DK779" s="15">
        <v>6250.0</v>
      </c>
      <c r="DL779" s="15">
        <v>1370.0</v>
      </c>
      <c r="DM779" s="15">
        <v>1500.0</v>
      </c>
      <c r="DN779" s="15">
        <v>0.0</v>
      </c>
      <c r="DO779" s="15">
        <v>0.0</v>
      </c>
      <c r="DP779" s="15">
        <v>14210.0</v>
      </c>
      <c r="DQ779" s="15">
        <v>15190.0</v>
      </c>
      <c r="DR779" s="15">
        <v>16070.0</v>
      </c>
      <c r="DS779" s="15">
        <v>16700.0</v>
      </c>
      <c r="DT779" s="15">
        <v>16480.0</v>
      </c>
      <c r="DU779" s="16">
        <v>0.0</v>
      </c>
      <c r="DV779" s="15">
        <v>0.0</v>
      </c>
      <c r="DW779" s="15">
        <v>0.0</v>
      </c>
      <c r="DX779" s="15">
        <v>0.0</v>
      </c>
      <c r="DY779" s="15">
        <v>0.0</v>
      </c>
      <c r="DZ779" s="15">
        <v>769060.0</v>
      </c>
      <c r="EA779" s="15">
        <v>880210.0</v>
      </c>
      <c r="EB779" s="15">
        <v>920030.0</v>
      </c>
      <c r="EC779" s="15">
        <v>799520.0</v>
      </c>
      <c r="ED779" s="15">
        <v>771890.0</v>
      </c>
      <c r="EE779" s="17">
        <v>0.029</v>
      </c>
      <c r="EF779" s="17">
        <v>0.262</v>
      </c>
      <c r="EG779" s="17">
        <v>0.222</v>
      </c>
      <c r="EH779" s="17">
        <v>0.302</v>
      </c>
    </row>
    <row r="780">
      <c r="A780" s="9">
        <f t="shared" si="2"/>
        <v>778</v>
      </c>
      <c r="B780" s="25" t="s">
        <v>915</v>
      </c>
      <c r="C780" s="15">
        <v>1.888E7</v>
      </c>
      <c r="D780" s="15">
        <v>1.875E7</v>
      </c>
      <c r="E780" s="15">
        <v>1.845E7</v>
      </c>
      <c r="F780" s="15">
        <v>1.849E7</v>
      </c>
      <c r="G780" s="15">
        <v>1.835E7</v>
      </c>
      <c r="H780" s="15">
        <v>1.82E7</v>
      </c>
      <c r="I780" s="15">
        <v>1.859E7</v>
      </c>
      <c r="J780" s="15">
        <v>6450000.0</v>
      </c>
      <c r="K780" s="15">
        <v>6140000.0</v>
      </c>
      <c r="L780" s="15">
        <v>6590000.0</v>
      </c>
      <c r="M780" s="15">
        <v>6660000.0</v>
      </c>
      <c r="N780" s="15">
        <v>6660000.0</v>
      </c>
      <c r="O780" s="15">
        <v>3160000.0</v>
      </c>
      <c r="P780" s="15">
        <v>2990000.0</v>
      </c>
      <c r="Q780" s="15">
        <v>3200000.0</v>
      </c>
      <c r="R780" s="15">
        <v>3290000.0</v>
      </c>
      <c r="S780" s="15">
        <v>3400000.0</v>
      </c>
      <c r="T780" s="15">
        <v>284000.0</v>
      </c>
      <c r="U780" s="15">
        <v>317000.0</v>
      </c>
      <c r="V780" s="15">
        <v>309000.0</v>
      </c>
      <c r="W780" s="15">
        <v>328000.0</v>
      </c>
      <c r="X780" s="15">
        <v>324000.0</v>
      </c>
      <c r="Y780" s="15">
        <v>2910000.0</v>
      </c>
      <c r="Z780" s="15">
        <v>2060000.0</v>
      </c>
      <c r="AA780" s="15">
        <v>13000.0</v>
      </c>
      <c r="AB780" s="15">
        <v>3310000.0</v>
      </c>
      <c r="AC780" s="15">
        <v>2890000.0</v>
      </c>
      <c r="AD780" s="15">
        <v>2650000.0</v>
      </c>
      <c r="AE780" s="15">
        <v>1810000.0</v>
      </c>
      <c r="AF780" s="15">
        <v>2990000.0</v>
      </c>
      <c r="AG780" s="15">
        <v>3010000.0</v>
      </c>
      <c r="AH780" s="15">
        <v>1340000.0</v>
      </c>
      <c r="AI780" s="15">
        <v>4210000.0</v>
      </c>
      <c r="AJ780" s="15">
        <v>4030000.0</v>
      </c>
      <c r="AK780" s="15">
        <v>4110000.0</v>
      </c>
      <c r="AL780" s="15">
        <v>4070000.0</v>
      </c>
      <c r="AM780" s="15">
        <v>4000000.0</v>
      </c>
      <c r="AN780" s="15">
        <v>2160000.0</v>
      </c>
      <c r="AO780" s="15">
        <v>1410000.0</v>
      </c>
      <c r="AP780" s="15">
        <v>2280000.0</v>
      </c>
      <c r="AQ780" s="15">
        <v>2170000.0</v>
      </c>
      <c r="AR780" s="15">
        <v>1010000.0</v>
      </c>
      <c r="AS780" s="15">
        <v>2740000.0</v>
      </c>
      <c r="AT780" s="15">
        <v>2970000.0</v>
      </c>
      <c r="AU780" s="15">
        <v>2930000.0</v>
      </c>
      <c r="AV780" s="15">
        <v>3230000.0</v>
      </c>
      <c r="AW780" s="15">
        <v>2310000.0</v>
      </c>
      <c r="AX780" s="15">
        <v>-1210000.0</v>
      </c>
      <c r="AY780" s="15">
        <v>-877000.0</v>
      </c>
      <c r="AZ780" s="15">
        <v>-785000.0</v>
      </c>
      <c r="BA780" s="15">
        <v>-771000.0</v>
      </c>
      <c r="BB780" s="15">
        <v>-1060000.0</v>
      </c>
      <c r="BC780" s="15">
        <v>-1410000.0</v>
      </c>
      <c r="BD780" s="15">
        <v>-1390000.0</v>
      </c>
      <c r="BE780" s="15">
        <v>-1360000.0</v>
      </c>
      <c r="BF780" s="15">
        <v>-1310000.0</v>
      </c>
      <c r="BG780" s="15">
        <v>-1270000.0</v>
      </c>
      <c r="BH780" s="15">
        <v>442000.0</v>
      </c>
      <c r="BI780" s="15">
        <v>539000.0</v>
      </c>
      <c r="BJ780" s="15">
        <v>616000.0</v>
      </c>
      <c r="BK780" s="15">
        <v>923000.0</v>
      </c>
      <c r="BL780" s="15">
        <v>619000.0</v>
      </c>
      <c r="BM780" s="15">
        <v>2260000.0</v>
      </c>
      <c r="BN780" s="15">
        <v>2160000.0</v>
      </c>
      <c r="BO780" s="15">
        <v>2320000.0</v>
      </c>
      <c r="BP780" s="15">
        <v>2180000.0</v>
      </c>
      <c r="BQ780" s="15">
        <v>2280000.0</v>
      </c>
      <c r="BR780" s="15">
        <v>1790000.0</v>
      </c>
      <c r="BS780" s="15">
        <v>1810000.0</v>
      </c>
      <c r="BT780" s="15">
        <v>1790000.0</v>
      </c>
      <c r="BU780" s="15">
        <v>1680000.0</v>
      </c>
      <c r="BV780" s="15">
        <v>1910000.0</v>
      </c>
      <c r="BW780" s="15">
        <v>5060000.0</v>
      </c>
      <c r="BX780" s="15">
        <v>5040000.0</v>
      </c>
      <c r="BY780" s="15">
        <v>5210000.0</v>
      </c>
      <c r="BZ780" s="15">
        <v>5120000.0</v>
      </c>
      <c r="CA780" s="15">
        <v>5430000.0</v>
      </c>
      <c r="CB780" s="15">
        <v>7850000.0</v>
      </c>
      <c r="CC780" s="15">
        <v>7160000.0</v>
      </c>
      <c r="CD780" s="15">
        <v>7440000.0</v>
      </c>
      <c r="CE780" s="15">
        <v>7170000.0</v>
      </c>
      <c r="CF780" s="15">
        <v>7100000.0</v>
      </c>
      <c r="CG780" s="15">
        <v>1470000.0</v>
      </c>
      <c r="CH780" s="15">
        <v>1470000.0</v>
      </c>
      <c r="CI780" s="15">
        <v>1580000.0</v>
      </c>
      <c r="CJ780" s="15">
        <v>1480000.0</v>
      </c>
      <c r="CK780" s="15">
        <v>1450000.0</v>
      </c>
      <c r="CL780" s="15">
        <v>1.528E7</v>
      </c>
      <c r="CM780" s="15">
        <v>1.452E7</v>
      </c>
      <c r="CN780" s="15">
        <v>1.515E7</v>
      </c>
      <c r="CO780" s="15">
        <v>1.46E7</v>
      </c>
      <c r="CP780" s="15">
        <v>1.484E7</v>
      </c>
      <c r="CQ780" s="15">
        <v>3060000.0</v>
      </c>
      <c r="CR780" s="15">
        <v>3190000.0</v>
      </c>
      <c r="CS780" s="15">
        <v>2830000.0</v>
      </c>
      <c r="CT780" s="15">
        <v>2610000.0</v>
      </c>
      <c r="CU780" s="15">
        <v>2610000.0</v>
      </c>
      <c r="CV780" s="15">
        <v>6920000.0</v>
      </c>
      <c r="CW780" s="15">
        <v>130000.0</v>
      </c>
      <c r="CX780" s="15"/>
      <c r="CY780" s="15"/>
      <c r="CZ780" s="15"/>
      <c r="DA780" s="15"/>
      <c r="DB780" s="15">
        <v>6920000.0</v>
      </c>
      <c r="DC780" s="15">
        <v>6540000.0</v>
      </c>
      <c r="DD780" s="15">
        <v>5860000.0</v>
      </c>
      <c r="DE780" s="15">
        <v>5850000.0</v>
      </c>
      <c r="DF780" s="15">
        <v>1.506E7</v>
      </c>
      <c r="DG780" s="15">
        <v>1.45E7</v>
      </c>
      <c r="DH780" s="15">
        <v>1.421E7</v>
      </c>
      <c r="DI780" s="15">
        <v>1.443E7</v>
      </c>
      <c r="DJ780" s="15">
        <v>1.474E7</v>
      </c>
      <c r="DK780" s="15">
        <v>268000.0</v>
      </c>
      <c r="DL780" s="15">
        <v>224000.0</v>
      </c>
      <c r="DM780" s="15">
        <v>233000.0</v>
      </c>
      <c r="DN780" s="15">
        <v>257000.0</v>
      </c>
      <c r="DO780" s="15">
        <v>247000.0</v>
      </c>
      <c r="DP780" s="15">
        <v>6490000.0</v>
      </c>
      <c r="DQ780" s="15">
        <v>6250000.0</v>
      </c>
      <c r="DR780" s="15">
        <v>6470000.0</v>
      </c>
      <c r="DS780" s="15">
        <v>6440000.0</v>
      </c>
      <c r="DT780" s="15">
        <v>6110000.0</v>
      </c>
      <c r="DU780" s="13"/>
      <c r="DV780" s="12"/>
      <c r="DW780" s="12"/>
      <c r="DX780" s="13"/>
      <c r="DY780" s="13"/>
      <c r="DZ780" s="15">
        <v>-33000.0</v>
      </c>
      <c r="EA780" s="15">
        <v>-287000.0</v>
      </c>
      <c r="EB780" s="15">
        <v>629000.0</v>
      </c>
      <c r="EC780" s="15">
        <v>-102000.0</v>
      </c>
      <c r="ED780" s="15">
        <v>-174000.0</v>
      </c>
      <c r="EE780" s="17">
        <v>0.019</v>
      </c>
      <c r="EF780" s="17">
        <v>0.06</v>
      </c>
      <c r="EG780" s="17">
        <v>0.222</v>
      </c>
      <c r="EH780" s="17">
        <v>0.082</v>
      </c>
    </row>
    <row r="781">
      <c r="A781" s="9">
        <f t="shared" si="2"/>
        <v>779</v>
      </c>
      <c r="B781" s="22" t="s">
        <v>916</v>
      </c>
      <c r="C781" s="11">
        <v>104830.0</v>
      </c>
      <c r="D781" s="11">
        <v>134750.0</v>
      </c>
      <c r="E781" s="11">
        <v>453170.0</v>
      </c>
      <c r="F781" s="11">
        <v>411550.0</v>
      </c>
      <c r="G781" s="11">
        <v>369860.0</v>
      </c>
      <c r="H781" s="11">
        <v>297480.0</v>
      </c>
      <c r="I781" s="11">
        <v>271600.0</v>
      </c>
      <c r="J781" s="11">
        <v>171770.0</v>
      </c>
      <c r="K781" s="11">
        <v>146070.0</v>
      </c>
      <c r="L781" s="11">
        <v>111750.0</v>
      </c>
      <c r="M781" s="11">
        <v>79570.0</v>
      </c>
      <c r="N781" s="11">
        <v>59340.0</v>
      </c>
      <c r="O781" s="11">
        <v>89940.0</v>
      </c>
      <c r="P781" s="11">
        <v>75710.0</v>
      </c>
      <c r="Q781" s="11">
        <v>84980.0</v>
      </c>
      <c r="R781" s="11">
        <v>100090.0</v>
      </c>
      <c r="S781" s="11">
        <v>103730.0</v>
      </c>
      <c r="T781" s="11">
        <v>44170.0</v>
      </c>
      <c r="U781" s="11">
        <v>35040.0</v>
      </c>
      <c r="V781" s="11">
        <v>43070.0</v>
      </c>
      <c r="W781" s="11">
        <v>62360.0</v>
      </c>
      <c r="X781" s="11">
        <v>64220.0</v>
      </c>
      <c r="Y781" s="11">
        <v>80510.0</v>
      </c>
      <c r="Z781" s="12"/>
      <c r="AA781" s="12"/>
      <c r="AB781" s="11">
        <v>-21040.0</v>
      </c>
      <c r="AC781" s="12"/>
      <c r="AD781" s="11">
        <v>81880.0</v>
      </c>
      <c r="AE781" s="11">
        <v>73130.0</v>
      </c>
      <c r="AF781" s="11">
        <v>25790.0</v>
      </c>
      <c r="AG781" s="11">
        <v>-19240.0</v>
      </c>
      <c r="AH781" s="11">
        <v>-43790.0</v>
      </c>
      <c r="AI781" s="11">
        <v>97930.0</v>
      </c>
      <c r="AJ781" s="11">
        <v>83670.0</v>
      </c>
      <c r="AK781" s="11">
        <v>39450.0</v>
      </c>
      <c r="AL781" s="11">
        <v>-7600.0</v>
      </c>
      <c r="AM781" s="11">
        <v>-31850.0</v>
      </c>
      <c r="AN781" s="11">
        <v>79280.0</v>
      </c>
      <c r="AO781" s="11">
        <v>80160.0</v>
      </c>
      <c r="AP781" s="11">
        <v>24820.0</v>
      </c>
      <c r="AQ781" s="11">
        <v>-25850.0</v>
      </c>
      <c r="AR781" s="11">
        <v>-43790.0</v>
      </c>
      <c r="AS781" s="11">
        <v>98240.0</v>
      </c>
      <c r="AT781" s="11">
        <v>37920.0</v>
      </c>
      <c r="AU781" s="11">
        <v>12980.0</v>
      </c>
      <c r="AV781" s="11">
        <v>7280.0</v>
      </c>
      <c r="AW781" s="11">
        <v>-54310.0</v>
      </c>
      <c r="AX781" s="11">
        <v>-8190.0</v>
      </c>
      <c r="AY781" s="11">
        <v>-10370.0</v>
      </c>
      <c r="AZ781" s="11">
        <v>-14990.0</v>
      </c>
      <c r="BA781" s="11">
        <v>-10140.0</v>
      </c>
      <c r="BB781" s="11">
        <v>-10560.0</v>
      </c>
      <c r="BC781" s="12"/>
      <c r="BD781" s="12"/>
      <c r="BE781" s="12"/>
      <c r="BF781" s="12"/>
      <c r="BG781" s="12"/>
      <c r="BH781" s="11">
        <v>255270.0</v>
      </c>
      <c r="BI781" s="11">
        <v>189050.0</v>
      </c>
      <c r="BJ781" s="11">
        <v>149350.0</v>
      </c>
      <c r="BK781" s="11">
        <v>110190.0</v>
      </c>
      <c r="BL781" s="11">
        <v>110140.0</v>
      </c>
      <c r="BM781" s="11">
        <v>87130.0</v>
      </c>
      <c r="BN781" s="11">
        <v>111710.0</v>
      </c>
      <c r="BO781" s="11">
        <v>111000.0</v>
      </c>
      <c r="BP781" s="11">
        <v>83880.0</v>
      </c>
      <c r="BQ781" s="11">
        <v>97580.0</v>
      </c>
      <c r="BR781" s="11">
        <v>149120.0</v>
      </c>
      <c r="BS781" s="11">
        <v>109550.0</v>
      </c>
      <c r="BT781" s="11">
        <v>73150.0</v>
      </c>
      <c r="BU781" s="11">
        <v>98500.0</v>
      </c>
      <c r="BV781" s="11">
        <v>102470.0</v>
      </c>
      <c r="BW781" s="11">
        <v>495860.0</v>
      </c>
      <c r="BX781" s="11">
        <v>414370.0</v>
      </c>
      <c r="BY781" s="11">
        <v>336340.0</v>
      </c>
      <c r="BZ781" s="11">
        <v>296640.0</v>
      </c>
      <c r="CA781" s="11">
        <v>313600.0</v>
      </c>
      <c r="CB781" s="11">
        <v>98690.0</v>
      </c>
      <c r="CC781" s="11">
        <v>93430.0</v>
      </c>
      <c r="CD781" s="11">
        <v>87410.0</v>
      </c>
      <c r="CE781" s="11">
        <v>85630.0</v>
      </c>
      <c r="CF781" s="11">
        <v>82910.0</v>
      </c>
      <c r="CG781" s="12"/>
      <c r="CH781" s="12"/>
      <c r="CI781" s="12"/>
      <c r="CJ781" s="12"/>
      <c r="CK781" s="12"/>
      <c r="CL781" s="11">
        <v>600290.0</v>
      </c>
      <c r="CM781" s="11">
        <v>516100.0</v>
      </c>
      <c r="CN781" s="11">
        <v>423920.0</v>
      </c>
      <c r="CO781" s="11">
        <v>383700.0</v>
      </c>
      <c r="CP781" s="11">
        <v>396860.0</v>
      </c>
      <c r="CQ781" s="11">
        <v>85760.0</v>
      </c>
      <c r="CR781" s="11">
        <v>64590.0</v>
      </c>
      <c r="CS781" s="11">
        <v>62610.0</v>
      </c>
      <c r="CT781" s="11">
        <v>62440.0</v>
      </c>
      <c r="CU781" s="11">
        <v>65340.0</v>
      </c>
      <c r="CV781" s="11">
        <v>113080.0</v>
      </c>
      <c r="CW781" s="12"/>
      <c r="CX781" s="24">
        <v>4.0</v>
      </c>
      <c r="CY781" s="24">
        <v>3.0</v>
      </c>
      <c r="CZ781" s="24">
        <v>200.0</v>
      </c>
      <c r="DA781" s="11">
        <v>482.0</v>
      </c>
      <c r="DB781" s="11">
        <v>113080.0</v>
      </c>
      <c r="DC781" s="11">
        <v>88070.0</v>
      </c>
      <c r="DD781" s="11">
        <v>102060.0</v>
      </c>
      <c r="DE781" s="11">
        <v>104710.0</v>
      </c>
      <c r="DF781" s="11">
        <v>132900.0</v>
      </c>
      <c r="DG781" s="11">
        <v>96180.0</v>
      </c>
      <c r="DH781" s="11">
        <v>113240.0</v>
      </c>
      <c r="DI781" s="11">
        <v>126820.0</v>
      </c>
      <c r="DJ781" s="11">
        <v>114730.0</v>
      </c>
      <c r="DK781" s="12"/>
      <c r="DL781" s="12"/>
      <c r="DM781" s="12"/>
      <c r="DN781" s="11">
        <v>154.0</v>
      </c>
      <c r="DO781" s="24">
        <v>136.0</v>
      </c>
      <c r="DP781" s="11">
        <v>14640.0</v>
      </c>
      <c r="DQ781" s="11">
        <v>2680.0</v>
      </c>
      <c r="DR781" s="11">
        <v>4760.0</v>
      </c>
      <c r="DS781" s="11">
        <v>5250.0</v>
      </c>
      <c r="DT781" s="11">
        <v>588.0</v>
      </c>
      <c r="DU781" s="13"/>
      <c r="DV781" s="12"/>
      <c r="DW781" s="12"/>
      <c r="DX781" s="13"/>
      <c r="DY781" s="13"/>
      <c r="DZ781" s="11">
        <v>467390.0</v>
      </c>
      <c r="EA781" s="11">
        <v>419920.0</v>
      </c>
      <c r="EB781" s="11">
        <v>310680.0</v>
      </c>
      <c r="EC781" s="11">
        <v>256870.0</v>
      </c>
      <c r="ED781" s="11">
        <v>282130.0</v>
      </c>
      <c r="EE781" s="14">
        <v>0.017</v>
      </c>
      <c r="EF781" s="14">
        <v>0.287</v>
      </c>
      <c r="EG781" s="14">
        <v>-0.273</v>
      </c>
      <c r="EH781" s="14">
        <v>0.432</v>
      </c>
    </row>
    <row r="782">
      <c r="A782" s="9">
        <f t="shared" si="2"/>
        <v>780</v>
      </c>
      <c r="B782" s="10" t="s">
        <v>917</v>
      </c>
      <c r="C782" s="11">
        <v>2.132E7</v>
      </c>
      <c r="D782" s="11">
        <v>1.829E7</v>
      </c>
      <c r="E782" s="11">
        <v>2.032E7</v>
      </c>
      <c r="F782" s="11">
        <v>1.817E7</v>
      </c>
      <c r="G782" s="11">
        <v>1.712E7</v>
      </c>
      <c r="H782" s="11">
        <v>1.588E7</v>
      </c>
      <c r="I782" s="11">
        <v>1.515E7</v>
      </c>
      <c r="J782" s="11">
        <v>2720000.0</v>
      </c>
      <c r="K782" s="11">
        <v>2480000.0</v>
      </c>
      <c r="L782" s="11">
        <v>2330000.0</v>
      </c>
      <c r="M782" s="11">
        <v>2180000.0</v>
      </c>
      <c r="N782" s="11">
        <v>2020000.0</v>
      </c>
      <c r="O782" s="11">
        <v>1940000.0</v>
      </c>
      <c r="P782" s="11">
        <v>1730000.0</v>
      </c>
      <c r="Q782" s="11">
        <v>1620000.0</v>
      </c>
      <c r="R782" s="11">
        <v>1490000.0</v>
      </c>
      <c r="S782" s="11">
        <v>1350000.0</v>
      </c>
      <c r="T782" s="11"/>
      <c r="U782" s="11"/>
      <c r="V782" s="11"/>
      <c r="W782" s="11"/>
      <c r="X782" s="11"/>
      <c r="Y782" s="12"/>
      <c r="Z782" s="12"/>
      <c r="AA782" s="12"/>
      <c r="AB782" s="12"/>
      <c r="AC782" s="11">
        <v>-439.0</v>
      </c>
      <c r="AD782" s="11">
        <v>1160000.0</v>
      </c>
      <c r="AE782" s="11">
        <v>1110000.0</v>
      </c>
      <c r="AF782" s="11">
        <v>1060000.0</v>
      </c>
      <c r="AG782" s="11">
        <v>1010000.0</v>
      </c>
      <c r="AH782" s="11">
        <v>1010000.0</v>
      </c>
      <c r="AI782" s="11">
        <v>812380.0</v>
      </c>
      <c r="AJ782" s="11">
        <v>778760.0</v>
      </c>
      <c r="AK782" s="11">
        <v>754150.0</v>
      </c>
      <c r="AL782" s="11">
        <v>713070.0</v>
      </c>
      <c r="AM782" s="11">
        <v>702990.0</v>
      </c>
      <c r="AN782" s="11">
        <v>888430.0</v>
      </c>
      <c r="AO782" s="11">
        <v>842410.0</v>
      </c>
      <c r="AP782" s="11">
        <v>664110.0</v>
      </c>
      <c r="AQ782" s="11">
        <v>626970.0</v>
      </c>
      <c r="AR782" s="11">
        <v>623430.0</v>
      </c>
      <c r="AS782" s="11">
        <v>-236610.0</v>
      </c>
      <c r="AT782" s="11">
        <v>162970.0</v>
      </c>
      <c r="AU782" s="11">
        <v>-80550.0</v>
      </c>
      <c r="AV782" s="11">
        <v>-468140.0</v>
      </c>
      <c r="AW782" s="11">
        <v>-148890.0</v>
      </c>
      <c r="AX782" s="11">
        <v>-331900.0</v>
      </c>
      <c r="AY782" s="11">
        <v>-304640.0</v>
      </c>
      <c r="AZ782" s="11">
        <v>-296820.0</v>
      </c>
      <c r="BA782" s="11">
        <v>-418140.0</v>
      </c>
      <c r="BB782" s="11">
        <v>-315580.0</v>
      </c>
      <c r="BC782" s="12"/>
      <c r="BD782" s="12"/>
      <c r="BE782" s="12"/>
      <c r="BF782" s="12"/>
      <c r="BG782" s="12"/>
      <c r="BH782" s="11">
        <v>539250.0</v>
      </c>
      <c r="BI782" s="11">
        <v>487610.0</v>
      </c>
      <c r="BJ782" s="11">
        <v>443970.0</v>
      </c>
      <c r="BK782" s="11">
        <v>418770.0</v>
      </c>
      <c r="BL782" s="11">
        <v>381220.0</v>
      </c>
      <c r="BM782" s="11">
        <v>191090.0</v>
      </c>
      <c r="BN782" s="11">
        <v>139850.0</v>
      </c>
      <c r="BO782" s="11">
        <v>133320.0</v>
      </c>
      <c r="BP782" s="11">
        <v>152390.0</v>
      </c>
      <c r="BQ782" s="11">
        <v>132170.0</v>
      </c>
      <c r="BR782" s="11">
        <v>2850000.0</v>
      </c>
      <c r="BS782" s="11">
        <v>2520000.0</v>
      </c>
      <c r="BT782" s="11">
        <v>2390000.0</v>
      </c>
      <c r="BU782" s="11">
        <v>2260000.0</v>
      </c>
      <c r="BV782" s="11">
        <v>1930000.0</v>
      </c>
      <c r="BW782" s="11">
        <v>3660000.0</v>
      </c>
      <c r="BX782" s="11">
        <v>3210000.0</v>
      </c>
      <c r="BY782" s="11">
        <v>3060000.0</v>
      </c>
      <c r="BZ782" s="11">
        <v>2870000.0</v>
      </c>
      <c r="CA782" s="11">
        <v>2470000.0</v>
      </c>
      <c r="CB782" s="11">
        <v>3520000.0</v>
      </c>
      <c r="CC782" s="11">
        <v>2830000.0</v>
      </c>
      <c r="CD782" s="11">
        <v>2670000.0</v>
      </c>
      <c r="CE782" s="11">
        <v>2520000.0</v>
      </c>
      <c r="CF782" s="11">
        <v>2160000.0</v>
      </c>
      <c r="CG782" s="12"/>
      <c r="CH782" s="12"/>
      <c r="CI782" s="12"/>
      <c r="CJ782" s="12"/>
      <c r="CK782" s="12"/>
      <c r="CL782" s="11">
        <v>2.13E7</v>
      </c>
      <c r="CM782" s="11">
        <v>1.882E7</v>
      </c>
      <c r="CN782" s="11">
        <v>1.757E7</v>
      </c>
      <c r="CO782" s="11">
        <v>1.636E7</v>
      </c>
      <c r="CP782" s="11">
        <v>1.452E7</v>
      </c>
      <c r="CQ782" s="11">
        <v>737140.0</v>
      </c>
      <c r="CR782" s="11">
        <v>593170.0</v>
      </c>
      <c r="CS782" s="11">
        <v>529730.0</v>
      </c>
      <c r="CT782" s="11">
        <v>494990.0</v>
      </c>
      <c r="CU782" s="11">
        <v>441750.0</v>
      </c>
      <c r="CV782" s="11">
        <v>1530000.0</v>
      </c>
      <c r="CW782" s="11">
        <v>31020.0</v>
      </c>
      <c r="CX782" s="11">
        <v>1130.0</v>
      </c>
      <c r="CY782" s="11">
        <v>127.0</v>
      </c>
      <c r="CZ782" s="24">
        <v>62.0</v>
      </c>
      <c r="DA782" s="11">
        <v>428.0</v>
      </c>
      <c r="DB782" s="11">
        <v>1530000.0</v>
      </c>
      <c r="DC782" s="11">
        <v>1310000.0</v>
      </c>
      <c r="DD782" s="11">
        <v>1170000.0</v>
      </c>
      <c r="DE782" s="11">
        <v>1110000.0</v>
      </c>
      <c r="DF782" s="11">
        <v>1.753E7</v>
      </c>
      <c r="DG782" s="11">
        <v>1.546E7</v>
      </c>
      <c r="DH782" s="11">
        <v>1.425E7</v>
      </c>
      <c r="DI782" s="11">
        <v>1.326E7</v>
      </c>
      <c r="DJ782" s="11">
        <v>1.162E7</v>
      </c>
      <c r="DK782" s="11">
        <v>224500.0</v>
      </c>
      <c r="DL782" s="11">
        <v>144800.0</v>
      </c>
      <c r="DM782" s="11">
        <v>137700.0</v>
      </c>
      <c r="DN782" s="11">
        <v>123600.0</v>
      </c>
      <c r="DO782" s="11">
        <v>109600.0</v>
      </c>
      <c r="DP782" s="11">
        <v>1.546E7</v>
      </c>
      <c r="DQ782" s="11">
        <v>1.381E7</v>
      </c>
      <c r="DR782" s="11">
        <v>1.275E7</v>
      </c>
      <c r="DS782" s="11">
        <v>1.183E7</v>
      </c>
      <c r="DT782" s="11">
        <v>1.032E7</v>
      </c>
      <c r="DU782" s="12"/>
      <c r="DV782" s="12"/>
      <c r="DW782" s="12"/>
      <c r="DX782" s="12"/>
      <c r="DY782" s="12"/>
      <c r="DZ782" s="11">
        <v>3770000.0</v>
      </c>
      <c r="EA782" s="11">
        <v>3360000.0</v>
      </c>
      <c r="EB782" s="11">
        <v>3320000.0</v>
      </c>
      <c r="EC782" s="11">
        <v>3110000.0</v>
      </c>
      <c r="ED782" s="11">
        <v>2900000.0</v>
      </c>
      <c r="EE782" s="14">
        <v>0.155</v>
      </c>
      <c r="EF782" s="14">
        <v>0.157</v>
      </c>
      <c r="EG782" s="14">
        <v>-0.25</v>
      </c>
      <c r="EH782" s="14">
        <v>-0.038</v>
      </c>
    </row>
    <row r="783">
      <c r="A783" s="9">
        <f t="shared" si="2"/>
        <v>781</v>
      </c>
      <c r="B783" s="25" t="s">
        <v>918</v>
      </c>
      <c r="C783" s="15">
        <v>85380.0</v>
      </c>
      <c r="D783" s="15"/>
      <c r="E783" s="15">
        <v>135740.0</v>
      </c>
      <c r="F783" s="15">
        <v>112440.0</v>
      </c>
      <c r="G783" s="15">
        <v>102810.0</v>
      </c>
      <c r="H783" s="15">
        <v>129490.0</v>
      </c>
      <c r="I783" s="15">
        <v>201070.0</v>
      </c>
      <c r="J783" s="15">
        <v>25430.0</v>
      </c>
      <c r="K783" s="15">
        <v>20250.0</v>
      </c>
      <c r="L783" s="15">
        <v>14340.0</v>
      </c>
      <c r="M783" s="15">
        <v>17720.0</v>
      </c>
      <c r="N783" s="15">
        <v>28420.0</v>
      </c>
      <c r="O783" s="15">
        <v>24520.0</v>
      </c>
      <c r="P783" s="15">
        <v>21890.0</v>
      </c>
      <c r="Q783" s="15">
        <v>40430.0</v>
      </c>
      <c r="R783" s="15">
        <v>48740.0</v>
      </c>
      <c r="S783" s="15">
        <v>32370.0</v>
      </c>
      <c r="T783" s="15">
        <v>6210.0</v>
      </c>
      <c r="U783" s="15">
        <v>10080.0</v>
      </c>
      <c r="V783" s="15">
        <v>27630.0</v>
      </c>
      <c r="W783" s="15">
        <v>26500.0</v>
      </c>
      <c r="X783" s="15">
        <v>3480.0</v>
      </c>
      <c r="Y783" s="15">
        <v>-198.0</v>
      </c>
      <c r="Z783" s="15">
        <v>1770.0</v>
      </c>
      <c r="AA783" s="12"/>
      <c r="AB783" s="15">
        <v>-27190.0</v>
      </c>
      <c r="AC783" s="15">
        <v>8520.0</v>
      </c>
      <c r="AD783" s="15">
        <v>22840.0</v>
      </c>
      <c r="AE783" s="15">
        <v>19960.0</v>
      </c>
      <c r="AF783" s="15">
        <v>-20060.0</v>
      </c>
      <c r="AG783" s="15">
        <v>1480.0</v>
      </c>
      <c r="AH783" s="15">
        <v>8950.0</v>
      </c>
      <c r="AI783" s="15">
        <v>9080.0</v>
      </c>
      <c r="AJ783" s="15">
        <v>2530.0</v>
      </c>
      <c r="AK783" s="15">
        <v>-21630.0</v>
      </c>
      <c r="AL783" s="15">
        <v>-26490.0</v>
      </c>
      <c r="AM783" s="15">
        <v>1450.0</v>
      </c>
      <c r="AN783" s="15">
        <v>-7190.0</v>
      </c>
      <c r="AO783" s="15">
        <v>-5690.0</v>
      </c>
      <c r="AP783" s="15">
        <v>-28350.0</v>
      </c>
      <c r="AQ783" s="15">
        <v>-6510.0</v>
      </c>
      <c r="AR783" s="15">
        <v>14670.0</v>
      </c>
      <c r="AS783" s="15">
        <v>-17140.0</v>
      </c>
      <c r="AT783" s="15">
        <v>44130.0</v>
      </c>
      <c r="AU783" s="15">
        <v>10080.0</v>
      </c>
      <c r="AV783" s="15">
        <v>-41050.0</v>
      </c>
      <c r="AW783" s="15">
        <v>-6370.0</v>
      </c>
      <c r="AX783" s="15">
        <v>-598.0</v>
      </c>
      <c r="AY783" s="15">
        <v>-1110.0</v>
      </c>
      <c r="AZ783" s="15">
        <v>-1880.0</v>
      </c>
      <c r="BA783" s="15">
        <v>-6280.0</v>
      </c>
      <c r="BB783" s="15">
        <v>-827.0</v>
      </c>
      <c r="BC783" s="13"/>
      <c r="BD783" s="13"/>
      <c r="BE783" s="13"/>
      <c r="BF783" s="13"/>
      <c r="BG783" s="13"/>
      <c r="BH783" s="15">
        <v>16510.0</v>
      </c>
      <c r="BI783" s="15">
        <v>22350.0</v>
      </c>
      <c r="BJ783" s="15">
        <v>16110.0</v>
      </c>
      <c r="BK783" s="15">
        <v>29660.0</v>
      </c>
      <c r="BL783" s="15">
        <v>34520.0</v>
      </c>
      <c r="BM783" s="15">
        <v>135000.0</v>
      </c>
      <c r="BN783" s="15">
        <v>107160.0</v>
      </c>
      <c r="BO783" s="15">
        <v>184780.0</v>
      </c>
      <c r="BP783" s="15">
        <v>179890.0</v>
      </c>
      <c r="BQ783" s="15">
        <v>138320.0</v>
      </c>
      <c r="BR783" s="15">
        <v>27740.0</v>
      </c>
      <c r="BS783" s="15">
        <v>26700.0</v>
      </c>
      <c r="BT783" s="15">
        <v>30890.0</v>
      </c>
      <c r="BU783" s="15">
        <v>50160.0</v>
      </c>
      <c r="BV783" s="15">
        <v>25390.0</v>
      </c>
      <c r="BW783" s="15">
        <v>195570.0</v>
      </c>
      <c r="BX783" s="15">
        <v>167350.0</v>
      </c>
      <c r="BY783" s="15">
        <v>238310.0</v>
      </c>
      <c r="BZ783" s="15">
        <v>264030.0</v>
      </c>
      <c r="CA783" s="15">
        <v>198410.0</v>
      </c>
      <c r="CB783" s="15">
        <v>74420.0</v>
      </c>
      <c r="CC783" s="15">
        <v>82050.0</v>
      </c>
      <c r="CD783" s="15">
        <v>65080.0</v>
      </c>
      <c r="CE783" s="15">
        <v>42250.0</v>
      </c>
      <c r="CF783" s="15">
        <v>67350.0</v>
      </c>
      <c r="CG783" s="15">
        <v>28270.0</v>
      </c>
      <c r="CH783" s="15">
        <v>28550.0</v>
      </c>
      <c r="CI783" s="15">
        <v>323.0</v>
      </c>
      <c r="CJ783" s="15">
        <v>323.0</v>
      </c>
      <c r="CK783" s="15">
        <v>323.0</v>
      </c>
      <c r="CL783" s="15">
        <v>371220.0</v>
      </c>
      <c r="CM783" s="15">
        <v>428830.0</v>
      </c>
      <c r="CN783" s="15">
        <v>438330.0</v>
      </c>
      <c r="CO783" s="15">
        <v>439700.0</v>
      </c>
      <c r="CP783" s="15">
        <v>371470.0</v>
      </c>
      <c r="CQ783" s="15">
        <v>72090.0</v>
      </c>
      <c r="CR783" s="15">
        <v>112310.0</v>
      </c>
      <c r="CS783" s="15">
        <v>111600.0</v>
      </c>
      <c r="CT783" s="15">
        <v>115870.0</v>
      </c>
      <c r="CU783" s="15">
        <v>73960.0</v>
      </c>
      <c r="CV783" s="15">
        <v>131870.0</v>
      </c>
      <c r="CW783" s="15">
        <v>36760.0</v>
      </c>
      <c r="CX783" s="15">
        <v>43330.0</v>
      </c>
      <c r="CY783" s="15">
        <v>61120.0</v>
      </c>
      <c r="CZ783" s="15">
        <v>49060.0</v>
      </c>
      <c r="DA783" s="15">
        <v>40510.0</v>
      </c>
      <c r="DB783" s="15">
        <v>131870.0</v>
      </c>
      <c r="DC783" s="15">
        <v>164820.0</v>
      </c>
      <c r="DD783" s="15">
        <v>184600.0</v>
      </c>
      <c r="DE783" s="15">
        <v>177680.0</v>
      </c>
      <c r="DF783" s="15">
        <v>153360.0</v>
      </c>
      <c r="DG783" s="15">
        <v>203210.0</v>
      </c>
      <c r="DH783" s="15">
        <v>215340.0</v>
      </c>
      <c r="DI783" s="15">
        <v>207350.0</v>
      </c>
      <c r="DJ783" s="15">
        <v>132540.0</v>
      </c>
      <c r="DK783" s="15">
        <v>47230.0</v>
      </c>
      <c r="DL783" s="15">
        <v>128930.0</v>
      </c>
      <c r="DM783" s="15">
        <v>72140.0</v>
      </c>
      <c r="DN783" s="15">
        <v>78820.0</v>
      </c>
      <c r="DO783" s="15">
        <v>91800.0</v>
      </c>
      <c r="DP783" s="15">
        <v>14350.0</v>
      </c>
      <c r="DQ783" s="15">
        <v>28790.0</v>
      </c>
      <c r="DR783" s="15">
        <v>30740.0</v>
      </c>
      <c r="DS783" s="15">
        <v>28790.0</v>
      </c>
      <c r="DT783" s="15"/>
      <c r="DU783" s="13"/>
      <c r="DV783" s="12"/>
      <c r="DW783" s="12"/>
      <c r="DX783" s="13"/>
      <c r="DY783" s="13"/>
      <c r="DZ783" s="15">
        <v>217860.0</v>
      </c>
      <c r="EA783" s="15">
        <v>225620.0</v>
      </c>
      <c r="EB783" s="15">
        <v>222990.0</v>
      </c>
      <c r="EC783" s="15">
        <v>232350.0</v>
      </c>
      <c r="ED783" s="15">
        <v>238930.0</v>
      </c>
      <c r="EE783" s="17"/>
      <c r="EF783" s="17">
        <v>0.0</v>
      </c>
      <c r="EG783" s="17">
        <v>-0.167</v>
      </c>
      <c r="EH783" s="17"/>
    </row>
    <row r="784">
      <c r="A784" s="9">
        <f t="shared" si="2"/>
        <v>782</v>
      </c>
      <c r="B784" s="25" t="s">
        <v>919</v>
      </c>
      <c r="C784" s="15">
        <v>1210000.0</v>
      </c>
      <c r="D784" s="15">
        <v>1190000.0</v>
      </c>
      <c r="E784" s="15">
        <v>1430000.0</v>
      </c>
      <c r="F784" s="15">
        <v>1300000.0</v>
      </c>
      <c r="G784" s="15">
        <v>1130000.0</v>
      </c>
      <c r="H784" s="15">
        <v>1160000.0</v>
      </c>
      <c r="I784" s="15">
        <v>1100000.0</v>
      </c>
      <c r="J784" s="15">
        <v>549000.0</v>
      </c>
      <c r="K784" s="15">
        <v>481520.0</v>
      </c>
      <c r="L784" s="15">
        <v>414580.0</v>
      </c>
      <c r="M784" s="15">
        <v>445980.0</v>
      </c>
      <c r="N784" s="15">
        <v>412130.0</v>
      </c>
      <c r="O784" s="15">
        <v>411100.0</v>
      </c>
      <c r="P784" s="15">
        <v>358620.0</v>
      </c>
      <c r="Q784" s="15">
        <v>315590.0</v>
      </c>
      <c r="R784" s="15">
        <v>309670.0</v>
      </c>
      <c r="S784" s="15">
        <v>299480.0</v>
      </c>
      <c r="T784" s="15">
        <v>16400.0</v>
      </c>
      <c r="U784" s="15">
        <v>20100.0</v>
      </c>
      <c r="V784" s="15">
        <v>19200.0</v>
      </c>
      <c r="W784" s="15">
        <v>21700.0</v>
      </c>
      <c r="X784" s="15">
        <v>20700.0</v>
      </c>
      <c r="Y784" s="15">
        <v>129400.0</v>
      </c>
      <c r="Z784" s="15">
        <v>113790.0</v>
      </c>
      <c r="AA784" s="15">
        <v>-18460.0</v>
      </c>
      <c r="AB784" s="12"/>
      <c r="AC784" s="15">
        <v>-11550.0</v>
      </c>
      <c r="AD784" s="15">
        <v>90900.0</v>
      </c>
      <c r="AE784" s="15">
        <v>98150.0</v>
      </c>
      <c r="AF784" s="15">
        <v>78590.0</v>
      </c>
      <c r="AG784" s="15">
        <v>127540.0</v>
      </c>
      <c r="AH784" s="15">
        <v>103420.0</v>
      </c>
      <c r="AI784" s="15">
        <v>176400.0</v>
      </c>
      <c r="AJ784" s="15">
        <v>157300.0</v>
      </c>
      <c r="AK784" s="15">
        <v>125040.0</v>
      </c>
      <c r="AL784" s="15">
        <v>158680.0</v>
      </c>
      <c r="AM784" s="15">
        <v>133220.0</v>
      </c>
      <c r="AN784" s="15">
        <v>67500.0</v>
      </c>
      <c r="AO784" s="15">
        <v>73250.0</v>
      </c>
      <c r="AP784" s="15">
        <v>80160.0</v>
      </c>
      <c r="AQ784" s="15">
        <v>82080.0</v>
      </c>
      <c r="AR784" s="15">
        <v>65960.0</v>
      </c>
      <c r="AS784" s="15">
        <v>138200.0</v>
      </c>
      <c r="AT784" s="15">
        <v>108210.0</v>
      </c>
      <c r="AU784" s="15">
        <v>103730.0</v>
      </c>
      <c r="AV784" s="15">
        <v>104300.0</v>
      </c>
      <c r="AW784" s="15">
        <v>88850.0</v>
      </c>
      <c r="AX784" s="15">
        <v>-49900.0</v>
      </c>
      <c r="AY784" s="15">
        <v>-40290.0</v>
      </c>
      <c r="AZ784" s="15">
        <v>-40590.0</v>
      </c>
      <c r="BA784" s="15">
        <v>-40110.0</v>
      </c>
      <c r="BB784" s="15">
        <v>-29610.0</v>
      </c>
      <c r="BC784" s="15">
        <v>-32800.0</v>
      </c>
      <c r="BD784" s="15">
        <v>-29980.0</v>
      </c>
      <c r="BE784" s="15">
        <v>-30190.0</v>
      </c>
      <c r="BF784" s="15">
        <v>-29220.0</v>
      </c>
      <c r="BG784" s="15">
        <v>-24360.0</v>
      </c>
      <c r="BH784" s="15">
        <v>8500.0</v>
      </c>
      <c r="BI784" s="15">
        <v>1560.0</v>
      </c>
      <c r="BJ784" s="15">
        <v>2200.0</v>
      </c>
      <c r="BK784" s="15">
        <v>9850.0</v>
      </c>
      <c r="BL784" s="15">
        <v>4190.0</v>
      </c>
      <c r="BM784" s="15">
        <v>107400.0</v>
      </c>
      <c r="BN784" s="15">
        <v>120160.0</v>
      </c>
      <c r="BO784" s="15">
        <v>86690.0</v>
      </c>
      <c r="BP784" s="15">
        <v>84430.0</v>
      </c>
      <c r="BQ784" s="15">
        <v>116530.0</v>
      </c>
      <c r="BR784" s="15">
        <v>195900.0</v>
      </c>
      <c r="BS784" s="15">
        <v>170550.0</v>
      </c>
      <c r="BT784" s="15">
        <v>144950.0</v>
      </c>
      <c r="BU784" s="15">
        <v>142070.0</v>
      </c>
      <c r="BV784" s="15">
        <v>140800.0</v>
      </c>
      <c r="BW784" s="15">
        <v>340600.0</v>
      </c>
      <c r="BX784" s="15">
        <v>331620.0</v>
      </c>
      <c r="BY784" s="15">
        <v>278270.0</v>
      </c>
      <c r="BZ784" s="15">
        <v>276810.0</v>
      </c>
      <c r="CA784" s="15">
        <v>308770.0</v>
      </c>
      <c r="CB784" s="15">
        <v>333400.0</v>
      </c>
      <c r="CC784" s="15">
        <v>214950.0</v>
      </c>
      <c r="CD784" s="15">
        <v>200630.0</v>
      </c>
      <c r="CE784" s="15">
        <v>197080.0</v>
      </c>
      <c r="CF784" s="15">
        <v>172140.0</v>
      </c>
      <c r="CG784" s="15">
        <v>332100.0</v>
      </c>
      <c r="CH784" s="15">
        <v>320760.0</v>
      </c>
      <c r="CI784" s="15">
        <v>142110.0</v>
      </c>
      <c r="CJ784" s="15">
        <v>141390.0</v>
      </c>
      <c r="CK784" s="15">
        <v>127670.0</v>
      </c>
      <c r="CL784" s="15">
        <v>1360000.0</v>
      </c>
      <c r="CM784" s="15">
        <v>1230000.0</v>
      </c>
      <c r="CN784" s="15">
        <v>861040.0</v>
      </c>
      <c r="CO784" s="15">
        <v>858610.0</v>
      </c>
      <c r="CP784" s="15">
        <v>853800.0</v>
      </c>
      <c r="CQ784" s="15">
        <v>131900.0</v>
      </c>
      <c r="CR784" s="15">
        <v>126750.0</v>
      </c>
      <c r="CS784" s="15">
        <v>108920.0</v>
      </c>
      <c r="CT784" s="15">
        <v>97520.0</v>
      </c>
      <c r="CU784" s="15">
        <v>89550.0</v>
      </c>
      <c r="CV784" s="15">
        <v>290000.0</v>
      </c>
      <c r="CW784" s="15">
        <v>20700.0</v>
      </c>
      <c r="CX784" s="12"/>
      <c r="CY784" s="12"/>
      <c r="CZ784" s="12"/>
      <c r="DA784" s="12"/>
      <c r="DB784" s="15">
        <v>290000.0</v>
      </c>
      <c r="DC784" s="15">
        <v>272780.0</v>
      </c>
      <c r="DD784" s="15">
        <v>223080.0</v>
      </c>
      <c r="DE784" s="15">
        <v>222370.0</v>
      </c>
      <c r="DF784" s="15">
        <v>930300.0</v>
      </c>
      <c r="DG784" s="15">
        <v>840440.0</v>
      </c>
      <c r="DH784" s="15">
        <v>502310.0</v>
      </c>
      <c r="DI784" s="15">
        <v>549140.0</v>
      </c>
      <c r="DJ784" s="15">
        <v>598330.0</v>
      </c>
      <c r="DK784" s="12"/>
      <c r="DL784" s="12"/>
      <c r="DM784" s="12"/>
      <c r="DN784" s="12"/>
      <c r="DO784" s="12"/>
      <c r="DP784" s="15">
        <v>515900.0</v>
      </c>
      <c r="DQ784" s="15">
        <v>443900.0</v>
      </c>
      <c r="DR784" s="15">
        <v>181050.0</v>
      </c>
      <c r="DS784" s="15">
        <v>208380.0</v>
      </c>
      <c r="DT784" s="15">
        <v>209720.0</v>
      </c>
      <c r="DU784" s="13"/>
      <c r="DV784" s="12"/>
      <c r="DW784" s="12"/>
      <c r="DX784" s="12"/>
      <c r="DY784" s="12"/>
      <c r="DZ784" s="15">
        <v>427600.0</v>
      </c>
      <c r="EA784" s="15">
        <v>386300.0</v>
      </c>
      <c r="EB784" s="15">
        <v>358480.0</v>
      </c>
      <c r="EC784" s="15">
        <v>309250.0</v>
      </c>
      <c r="ED784" s="15">
        <v>255280.0</v>
      </c>
      <c r="EE784" s="17">
        <v>0.008</v>
      </c>
      <c r="EF784" s="17">
        <v>0.025</v>
      </c>
      <c r="EG784" s="17">
        <v>2.167</v>
      </c>
      <c r="EH784" s="17">
        <v>0.567</v>
      </c>
    </row>
    <row r="785">
      <c r="A785" s="9">
        <f t="shared" si="2"/>
        <v>783</v>
      </c>
      <c r="B785" s="10" t="s">
        <v>920</v>
      </c>
      <c r="C785" s="11">
        <v>338200.0</v>
      </c>
      <c r="D785" s="11">
        <v>294000.0</v>
      </c>
      <c r="E785" s="11">
        <v>282500.0</v>
      </c>
      <c r="F785" s="11">
        <v>278190.0</v>
      </c>
      <c r="G785" s="11">
        <v>212500.0</v>
      </c>
      <c r="H785" s="11">
        <v>172880.0</v>
      </c>
      <c r="I785" s="11">
        <v>154750.0</v>
      </c>
      <c r="J785" s="11">
        <v>132530.0</v>
      </c>
      <c r="K785" s="11">
        <v>132710.0</v>
      </c>
      <c r="L785" s="11">
        <v>94210.0</v>
      </c>
      <c r="M785" s="11">
        <v>85750.0</v>
      </c>
      <c r="N785" s="11">
        <v>78360.0</v>
      </c>
      <c r="O785" s="11">
        <v>4860.0</v>
      </c>
      <c r="P785" s="11">
        <v>5290.0</v>
      </c>
      <c r="Q785" s="11">
        <v>5560.0</v>
      </c>
      <c r="R785" s="11">
        <v>4370.0</v>
      </c>
      <c r="S785" s="11">
        <v>4290.0</v>
      </c>
      <c r="T785" s="12"/>
      <c r="U785" s="12"/>
      <c r="V785" s="12"/>
      <c r="W785" s="12"/>
      <c r="X785" s="12"/>
      <c r="Y785" s="11">
        <v>109000.0</v>
      </c>
      <c r="Z785" s="11">
        <v>129190.0</v>
      </c>
      <c r="AA785" s="11">
        <v>96050.0</v>
      </c>
      <c r="AB785" s="11">
        <v>85630.0</v>
      </c>
      <c r="AC785" s="11">
        <v>-7310.0</v>
      </c>
      <c r="AD785" s="11">
        <v>58970.0</v>
      </c>
      <c r="AE785" s="11">
        <v>82160.0</v>
      </c>
      <c r="AF785" s="11">
        <v>68050.0</v>
      </c>
      <c r="AG785" s="11">
        <v>61090.0</v>
      </c>
      <c r="AH785" s="11">
        <v>40380.0</v>
      </c>
      <c r="AI785" s="11">
        <v>218120.0</v>
      </c>
      <c r="AJ785" s="11">
        <v>216780.0</v>
      </c>
      <c r="AK785" s="11">
        <v>160670.0</v>
      </c>
      <c r="AL785" s="11">
        <v>137600.0</v>
      </c>
      <c r="AM785" s="11">
        <v>122920.0</v>
      </c>
      <c r="AN785" s="11">
        <v>58000.0</v>
      </c>
      <c r="AO785" s="11">
        <v>80780.0</v>
      </c>
      <c r="AP785" s="11">
        <v>66900.0</v>
      </c>
      <c r="AQ785" s="11">
        <v>59850.0</v>
      </c>
      <c r="AR785" s="11">
        <v>39680.0</v>
      </c>
      <c r="AS785" s="11">
        <v>165690.0</v>
      </c>
      <c r="AT785" s="11">
        <v>148650.0</v>
      </c>
      <c r="AU785" s="11">
        <v>154590.0</v>
      </c>
      <c r="AV785" s="11">
        <v>108450.0</v>
      </c>
      <c r="AW785" s="11">
        <v>89160.0</v>
      </c>
      <c r="AX785" s="11"/>
      <c r="AY785" s="11">
        <v>-15490.0</v>
      </c>
      <c r="AZ785" s="12">
        <v>-849.0</v>
      </c>
      <c r="BA785" s="12">
        <v>-846.0</v>
      </c>
      <c r="BB785" s="11">
        <v>-1530.0</v>
      </c>
      <c r="BC785" s="11">
        <v>-79340.0</v>
      </c>
      <c r="BD785" s="11">
        <v>-79340.0</v>
      </c>
      <c r="BE785" s="11">
        <v>-68970.0</v>
      </c>
      <c r="BF785" s="11">
        <v>-60160.0</v>
      </c>
      <c r="BG785" s="11">
        <v>-53370.0</v>
      </c>
      <c r="BH785" s="11">
        <v>43530.0</v>
      </c>
      <c r="BI785" s="11">
        <v>41710.0</v>
      </c>
      <c r="BJ785" s="11">
        <v>47680.0</v>
      </c>
      <c r="BK785" s="11">
        <v>27660.0</v>
      </c>
      <c r="BL785" s="11">
        <v>23570.0</v>
      </c>
      <c r="BM785" s="11">
        <v>5060.0</v>
      </c>
      <c r="BN785" s="11">
        <v>2790.0</v>
      </c>
      <c r="BO785" s="11">
        <v>4180.0</v>
      </c>
      <c r="BP785" s="11">
        <v>1130.0</v>
      </c>
      <c r="BQ785" s="11">
        <v>1150.0</v>
      </c>
      <c r="BR785" s="11">
        <v>2290.0</v>
      </c>
      <c r="BS785" s="11">
        <v>2440.0</v>
      </c>
      <c r="BT785" s="11">
        <v>2240.0</v>
      </c>
      <c r="BU785" s="11">
        <v>1180.0</v>
      </c>
      <c r="BV785" s="11">
        <v>849.0</v>
      </c>
      <c r="BW785" s="11">
        <v>52810.0</v>
      </c>
      <c r="BX785" s="11">
        <v>52380.0</v>
      </c>
      <c r="BY785" s="11">
        <v>56110.0</v>
      </c>
      <c r="BZ785" s="11">
        <v>31080.0</v>
      </c>
      <c r="CA785" s="11">
        <v>26280.0</v>
      </c>
      <c r="CB785" s="11">
        <v>1680000.0</v>
      </c>
      <c r="CC785" s="11">
        <v>1770000.0</v>
      </c>
      <c r="CD785" s="11">
        <v>1720000.0</v>
      </c>
      <c r="CE785" s="11">
        <v>1260000.0</v>
      </c>
      <c r="CF785" s="11">
        <v>1190000.0</v>
      </c>
      <c r="CG785" s="11"/>
      <c r="CH785" s="11"/>
      <c r="CI785" s="11"/>
      <c r="CJ785" s="11"/>
      <c r="CK785" s="11"/>
      <c r="CL785" s="11">
        <v>1740000.0</v>
      </c>
      <c r="CM785" s="11">
        <v>1840000.0</v>
      </c>
      <c r="CN785" s="11">
        <v>1790000.0</v>
      </c>
      <c r="CO785" s="11">
        <v>1290000.0</v>
      </c>
      <c r="CP785" s="11">
        <v>1220000.0</v>
      </c>
      <c r="CQ785" s="11">
        <v>2730.0</v>
      </c>
      <c r="CR785" s="11">
        <v>4800.0</v>
      </c>
      <c r="CS785" s="11">
        <v>5220.0</v>
      </c>
      <c r="CT785" s="11">
        <v>2220.0</v>
      </c>
      <c r="CU785" s="11">
        <v>2000.0</v>
      </c>
      <c r="CV785" s="11">
        <v>104000.0</v>
      </c>
      <c r="CW785" s="12">
        <v>572.0</v>
      </c>
      <c r="CX785" s="12"/>
      <c r="CY785" s="12"/>
      <c r="CZ785" s="12"/>
      <c r="DA785" s="12"/>
      <c r="DB785" s="11">
        <v>104000.0</v>
      </c>
      <c r="DC785" s="11">
        <v>128420.0</v>
      </c>
      <c r="DD785" s="11">
        <v>122810.0</v>
      </c>
      <c r="DE785" s="11">
        <v>77640.0</v>
      </c>
      <c r="DF785" s="11">
        <v>1030000.0</v>
      </c>
      <c r="DG785" s="11">
        <v>1100000.0</v>
      </c>
      <c r="DH785" s="11">
        <v>1060000.0</v>
      </c>
      <c r="DI785" s="11">
        <v>770560.0</v>
      </c>
      <c r="DJ785" s="11">
        <v>699130.0</v>
      </c>
      <c r="DK785" s="11">
        <v>648.0</v>
      </c>
      <c r="DL785" s="11">
        <v>11670.0</v>
      </c>
      <c r="DM785" s="11">
        <v>9850.0</v>
      </c>
      <c r="DN785" s="11">
        <v>3150.0</v>
      </c>
      <c r="DO785" s="11">
        <v>695.0</v>
      </c>
      <c r="DP785" s="11">
        <v>913170.0</v>
      </c>
      <c r="DQ785" s="11">
        <v>970370.0</v>
      </c>
      <c r="DR785" s="11">
        <v>933630.0</v>
      </c>
      <c r="DS785" s="11">
        <v>657660.0</v>
      </c>
      <c r="DT785" s="11">
        <v>619190.0</v>
      </c>
      <c r="DU785" s="11">
        <v>89260.0</v>
      </c>
      <c r="DV785" s="11">
        <v>89260.0</v>
      </c>
      <c r="DW785" s="11">
        <v>89260.0</v>
      </c>
      <c r="DX785" s="12"/>
      <c r="DY785" s="12"/>
      <c r="DZ785" s="11">
        <v>711660.0</v>
      </c>
      <c r="EA785" s="11">
        <v>732040.0</v>
      </c>
      <c r="EB785" s="11">
        <v>729210.0</v>
      </c>
      <c r="EC785" s="11">
        <v>521710.0</v>
      </c>
      <c r="ED785" s="11">
        <v>520770.0</v>
      </c>
      <c r="EE785" s="14">
        <v>0.0</v>
      </c>
      <c r="EF785" s="14">
        <v>0.0</v>
      </c>
      <c r="EG785" s="14">
        <v>-1.38</v>
      </c>
      <c r="EH785" s="14">
        <v>-0.579</v>
      </c>
    </row>
    <row r="786">
      <c r="A786" s="9">
        <f t="shared" si="2"/>
        <v>784</v>
      </c>
      <c r="B786" s="22" t="s">
        <v>921</v>
      </c>
      <c r="C786" s="11">
        <v>13670.0</v>
      </c>
      <c r="D786" s="12"/>
      <c r="E786" s="12"/>
      <c r="F786" s="12"/>
      <c r="G786" s="12"/>
      <c r="H786" s="12"/>
      <c r="I786" s="12"/>
      <c r="J786" s="11">
        <v>-3280.0</v>
      </c>
      <c r="K786" s="11">
        <v>-286.0</v>
      </c>
      <c r="L786" s="11">
        <v>-28.0</v>
      </c>
      <c r="M786" s="11">
        <v>-22.0</v>
      </c>
      <c r="N786" s="12"/>
      <c r="O786" s="11">
        <v>166680.0</v>
      </c>
      <c r="P786" s="11">
        <v>107870.0</v>
      </c>
      <c r="Q786" s="11">
        <v>65370.0</v>
      </c>
      <c r="R786" s="11">
        <v>23980.0</v>
      </c>
      <c r="S786" s="12"/>
      <c r="T786" s="11">
        <v>132930.0</v>
      </c>
      <c r="U786" s="11">
        <v>86600.0</v>
      </c>
      <c r="V786" s="11">
        <v>56360.0</v>
      </c>
      <c r="W786" s="11">
        <v>17440.0</v>
      </c>
      <c r="X786" s="12"/>
      <c r="Y786" s="12"/>
      <c r="Z786" s="12"/>
      <c r="AA786" s="12"/>
      <c r="AB786" s="12"/>
      <c r="AC786" s="12"/>
      <c r="AD786" s="11">
        <v>-163910.0</v>
      </c>
      <c r="AE786" s="11">
        <v>-103440.0</v>
      </c>
      <c r="AF786" s="11">
        <v>-64870.0</v>
      </c>
      <c r="AG786" s="11">
        <v>-23940.0</v>
      </c>
      <c r="AH786" s="12"/>
      <c r="AI786" s="11">
        <v>-166680.0</v>
      </c>
      <c r="AJ786" s="11">
        <v>-107870.0</v>
      </c>
      <c r="AK786" s="11">
        <v>-65370.0</v>
      </c>
      <c r="AL786" s="11">
        <v>-23980.0</v>
      </c>
      <c r="AM786" s="12"/>
      <c r="AN786" s="11">
        <v>-161870.0</v>
      </c>
      <c r="AO786" s="11">
        <v>-103230.0</v>
      </c>
      <c r="AP786" s="11">
        <v>-64870.0</v>
      </c>
      <c r="AQ786" s="11">
        <v>-23970.0</v>
      </c>
      <c r="AR786" s="12"/>
      <c r="AS786" s="11">
        <v>-157110.0</v>
      </c>
      <c r="AT786" s="11">
        <v>-81010.0</v>
      </c>
      <c r="AU786" s="11">
        <v>-50220.0</v>
      </c>
      <c r="AV786" s="11">
        <v>-21870.0</v>
      </c>
      <c r="AW786" s="12"/>
      <c r="AX786" s="11">
        <v>-3200.0</v>
      </c>
      <c r="AY786" s="11">
        <v>-5290.0</v>
      </c>
      <c r="AZ786" s="11">
        <v>-69.0</v>
      </c>
      <c r="BA786" s="11">
        <v>-3.0</v>
      </c>
      <c r="BB786" s="12"/>
      <c r="BC786" s="12"/>
      <c r="BD786" s="12"/>
      <c r="BE786" s="12"/>
      <c r="BF786" s="12"/>
      <c r="BG786" s="12"/>
      <c r="BH786" s="11">
        <v>233380.0</v>
      </c>
      <c r="BI786" s="11">
        <v>307300.0</v>
      </c>
      <c r="BJ786" s="11">
        <v>45660.0</v>
      </c>
      <c r="BK786" s="11">
        <v>56080.0</v>
      </c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1">
        <v>241630.0</v>
      </c>
      <c r="BX786" s="11">
        <v>313750.0</v>
      </c>
      <c r="BY786" s="11">
        <v>47100.0</v>
      </c>
      <c r="BZ786" s="11">
        <v>56330.0</v>
      </c>
      <c r="CA786" s="12"/>
      <c r="CB786" s="11">
        <v>8330.0</v>
      </c>
      <c r="CC786" s="11">
        <v>6360.0</v>
      </c>
      <c r="CD786" s="11">
        <v>125.0</v>
      </c>
      <c r="CE786" s="11">
        <v>84.0</v>
      </c>
      <c r="CF786" s="12"/>
      <c r="CG786" s="12"/>
      <c r="CH786" s="12"/>
      <c r="CI786" s="12"/>
      <c r="CJ786" s="12"/>
      <c r="CK786" s="12"/>
      <c r="CL786" s="11">
        <v>254530.0</v>
      </c>
      <c r="CM786" s="11">
        <v>321970.0</v>
      </c>
      <c r="CN786" s="11">
        <v>47490.0</v>
      </c>
      <c r="CO786" s="11">
        <v>56470.0</v>
      </c>
      <c r="CP786" s="12"/>
      <c r="CQ786" s="11">
        <v>5690.0</v>
      </c>
      <c r="CR786" s="11">
        <v>10920.0</v>
      </c>
      <c r="CS786" s="11">
        <v>1220.0</v>
      </c>
      <c r="CT786" s="11">
        <v>212.0</v>
      </c>
      <c r="CU786" s="12"/>
      <c r="CV786" s="11">
        <v>27830.0</v>
      </c>
      <c r="CW786" s="11">
        <v>1700.0</v>
      </c>
      <c r="CX786" s="12"/>
      <c r="CY786" s="12"/>
      <c r="CZ786" s="12"/>
      <c r="DA786" s="12"/>
      <c r="DB786" s="11">
        <v>27830.0</v>
      </c>
      <c r="DC786" s="11">
        <v>42550.0</v>
      </c>
      <c r="DD786" s="11">
        <v>17430.0</v>
      </c>
      <c r="DE786" s="11">
        <v>2300.0</v>
      </c>
      <c r="DF786" s="11">
        <v>29110.0</v>
      </c>
      <c r="DG786" s="11">
        <v>42700.0</v>
      </c>
      <c r="DH786" s="11">
        <v>17430.0</v>
      </c>
      <c r="DI786" s="11">
        <v>2300.0</v>
      </c>
      <c r="DJ786" s="12"/>
      <c r="DK786" s="11">
        <v>210.0</v>
      </c>
      <c r="DL786" s="11">
        <v>210.0</v>
      </c>
      <c r="DM786" s="12"/>
      <c r="DN786" s="12"/>
      <c r="DO786" s="12"/>
      <c r="DP786" s="11">
        <v>955.0</v>
      </c>
      <c r="DQ786" s="12"/>
      <c r="DR786" s="12"/>
      <c r="DS786" s="12"/>
      <c r="DT786" s="12"/>
      <c r="DU786" s="13"/>
      <c r="DV786" s="12"/>
      <c r="DW786" s="11">
        <v>119770.0</v>
      </c>
      <c r="DX786" s="11">
        <v>79900.0</v>
      </c>
      <c r="DY786" s="13"/>
      <c r="DZ786" s="11">
        <v>225420.0</v>
      </c>
      <c r="EA786" s="11">
        <v>279270.0</v>
      </c>
      <c r="EB786" s="11">
        <v>30060.0</v>
      </c>
      <c r="EC786" s="11">
        <v>54170.0</v>
      </c>
      <c r="ED786" s="12"/>
      <c r="EE786" s="23"/>
      <c r="EF786" s="14">
        <v>0.764</v>
      </c>
      <c r="EG786" s="14">
        <v>-0.032</v>
      </c>
      <c r="EH786" s="14">
        <v>0.148</v>
      </c>
    </row>
    <row r="787">
      <c r="A787" s="9">
        <f t="shared" si="2"/>
        <v>785</v>
      </c>
      <c r="B787" s="10" t="s">
        <v>922</v>
      </c>
      <c r="C787" s="11">
        <v>4870000.0</v>
      </c>
      <c r="D787" s="11">
        <v>4540000.0</v>
      </c>
      <c r="E787" s="11">
        <v>4840000.0</v>
      </c>
      <c r="F787" s="11">
        <v>5340000.0</v>
      </c>
      <c r="G787" s="11">
        <v>2430000.0</v>
      </c>
      <c r="H787" s="11">
        <v>1120000.0</v>
      </c>
      <c r="I787" s="11">
        <v>1180000.0</v>
      </c>
      <c r="J787" s="11">
        <v>771300.0</v>
      </c>
      <c r="K787" s="11">
        <v>922560.0</v>
      </c>
      <c r="L787" s="11">
        <v>401230.0</v>
      </c>
      <c r="M787" s="11">
        <v>193700.0</v>
      </c>
      <c r="N787" s="11">
        <v>223770.0</v>
      </c>
      <c r="O787" s="11">
        <v>302080.0</v>
      </c>
      <c r="P787" s="11">
        <v>293550.0</v>
      </c>
      <c r="Q787" s="11">
        <v>140840.0</v>
      </c>
      <c r="R787" s="11">
        <v>32120.0</v>
      </c>
      <c r="S787" s="11">
        <v>4360.0</v>
      </c>
      <c r="T787" s="12"/>
      <c r="U787" s="12"/>
      <c r="V787" s="12"/>
      <c r="W787" s="12"/>
      <c r="X787" s="12"/>
      <c r="Y787" s="11">
        <v>394180.0</v>
      </c>
      <c r="Z787" s="11">
        <v>532040.0</v>
      </c>
      <c r="AA787" s="11">
        <v>-33360.0</v>
      </c>
      <c r="AB787" s="11">
        <v>140270.0</v>
      </c>
      <c r="AC787" s="11">
        <v>-7380.0</v>
      </c>
      <c r="AD787" s="11">
        <v>413980.0</v>
      </c>
      <c r="AE787" s="11">
        <v>552040.0</v>
      </c>
      <c r="AF787" s="11">
        <v>193710.0</v>
      </c>
      <c r="AG787" s="11">
        <v>152830.0</v>
      </c>
      <c r="AH787" s="11">
        <v>186500.0</v>
      </c>
      <c r="AI787" s="11">
        <v>981390.0</v>
      </c>
      <c r="AJ787" s="11">
        <v>965130.0</v>
      </c>
      <c r="AK787" s="11">
        <v>432200.0</v>
      </c>
      <c r="AL787" s="11">
        <v>259020.0</v>
      </c>
      <c r="AM787" s="11">
        <v>311520.0</v>
      </c>
      <c r="AN787" s="11">
        <v>309210.0</v>
      </c>
      <c r="AO787" s="11">
        <v>419260.0</v>
      </c>
      <c r="AP787" s="11">
        <v>484290.0</v>
      </c>
      <c r="AQ787" s="11">
        <v>93860.0</v>
      </c>
      <c r="AR787" s="11">
        <v>116720.0</v>
      </c>
      <c r="AS787" s="11">
        <v>961330.0</v>
      </c>
      <c r="AT787" s="11">
        <v>881980.0</v>
      </c>
      <c r="AU787" s="11">
        <v>322590.0</v>
      </c>
      <c r="AV787" s="11">
        <v>243350.0</v>
      </c>
      <c r="AW787" s="11">
        <v>205770.0</v>
      </c>
      <c r="AX787" s="11">
        <v>-829980.0</v>
      </c>
      <c r="AY787" s="11">
        <v>-756000.0</v>
      </c>
      <c r="AZ787" s="11">
        <v>-387190.0</v>
      </c>
      <c r="BA787" s="11">
        <v>-154600.0</v>
      </c>
      <c r="BB787" s="11">
        <v>-221660.0</v>
      </c>
      <c r="BC787" s="11">
        <v>-41430.0</v>
      </c>
      <c r="BD787" s="11">
        <v>-42770.0</v>
      </c>
      <c r="BE787" s="11">
        <v>-25450.0</v>
      </c>
      <c r="BF787" s="11">
        <v>-19600.0</v>
      </c>
      <c r="BG787" s="11">
        <v>-19890.0</v>
      </c>
      <c r="BH787" s="11">
        <v>209970.0</v>
      </c>
      <c r="BI787" s="11">
        <v>146790.0</v>
      </c>
      <c r="BJ787" s="11">
        <v>172540.0</v>
      </c>
      <c r="BK787" s="11">
        <v>8020.0</v>
      </c>
      <c r="BL787" s="11">
        <v>8690.0</v>
      </c>
      <c r="BM787" s="11">
        <v>552430.0</v>
      </c>
      <c r="BN787" s="11">
        <v>628340.0</v>
      </c>
      <c r="BO787" s="11">
        <v>634120.0</v>
      </c>
      <c r="BP787" s="11">
        <v>151130.0</v>
      </c>
      <c r="BQ787" s="11">
        <v>174560.0</v>
      </c>
      <c r="BR787" s="12"/>
      <c r="BS787" s="12"/>
      <c r="BT787" s="12"/>
      <c r="BU787" s="12"/>
      <c r="BV787" s="12"/>
      <c r="BW787" s="11">
        <v>890030.0</v>
      </c>
      <c r="BX787" s="11">
        <v>907230.0</v>
      </c>
      <c r="BY787" s="11">
        <v>923210.0</v>
      </c>
      <c r="BZ787" s="11">
        <v>190190.0</v>
      </c>
      <c r="CA787" s="11">
        <v>244110.0</v>
      </c>
      <c r="CB787" s="11">
        <v>3020000.0</v>
      </c>
      <c r="CC787" s="11">
        <v>2610000.0</v>
      </c>
      <c r="CD787" s="11">
        <v>2380000.0</v>
      </c>
      <c r="CE787" s="11">
        <v>802860.0</v>
      </c>
      <c r="CF787" s="11">
        <v>803640.0</v>
      </c>
      <c r="CG787" s="11">
        <v>2920000.0</v>
      </c>
      <c r="CH787" s="11">
        <v>2920000.0</v>
      </c>
      <c r="CI787" s="11">
        <v>2890000.0</v>
      </c>
      <c r="CJ787" s="11">
        <v>47030.0</v>
      </c>
      <c r="CK787" s="11">
        <v>47050.0</v>
      </c>
      <c r="CL787" s="11">
        <v>8420000.0</v>
      </c>
      <c r="CM787" s="11">
        <v>7910000.0</v>
      </c>
      <c r="CN787" s="11">
        <v>7680000.0</v>
      </c>
      <c r="CO787" s="11">
        <v>1080000.0</v>
      </c>
      <c r="CP787" s="11">
        <v>1120000.0</v>
      </c>
      <c r="CQ787" s="11">
        <v>99190.0</v>
      </c>
      <c r="CR787" s="11">
        <v>117880.0</v>
      </c>
      <c r="CS787" s="11">
        <v>119870.0</v>
      </c>
      <c r="CT787" s="11">
        <v>18010.0</v>
      </c>
      <c r="CU787" s="11">
        <v>14820.0</v>
      </c>
      <c r="CV787" s="11">
        <v>993040.0</v>
      </c>
      <c r="CW787" s="11">
        <v>80100.0</v>
      </c>
      <c r="CX787" s="12"/>
      <c r="CY787" s="12"/>
      <c r="CZ787" s="12"/>
      <c r="DA787" s="12"/>
      <c r="DB787" s="11">
        <v>993040.0</v>
      </c>
      <c r="DC787" s="11">
        <v>614560.0</v>
      </c>
      <c r="DD787" s="11">
        <v>609550.0</v>
      </c>
      <c r="DE787" s="11">
        <v>78650.0</v>
      </c>
      <c r="DF787" s="11">
        <v>2750000.0</v>
      </c>
      <c r="DG787" s="11">
        <v>2450000.0</v>
      </c>
      <c r="DH787" s="11">
        <v>2440000.0</v>
      </c>
      <c r="DI787" s="11">
        <v>289790.0</v>
      </c>
      <c r="DJ787" s="11">
        <v>379860.0</v>
      </c>
      <c r="DK787" s="11">
        <v>40780.0</v>
      </c>
      <c r="DL787" s="11">
        <v>22250.0</v>
      </c>
      <c r="DM787" s="11">
        <v>20390.0</v>
      </c>
      <c r="DN787" s="11">
        <v>31000.0</v>
      </c>
      <c r="DO787" s="11">
        <v>16440.0</v>
      </c>
      <c r="DP787" s="11">
        <v>432540.0</v>
      </c>
      <c r="DQ787" s="11">
        <v>630840.0</v>
      </c>
      <c r="DR787" s="11">
        <v>616900.0</v>
      </c>
      <c r="DS787" s="11">
        <v>18000.0</v>
      </c>
      <c r="DT787" s="11">
        <v>112000.0</v>
      </c>
      <c r="DU787" s="13"/>
      <c r="DV787" s="12"/>
      <c r="DW787" s="12"/>
      <c r="DX787" s="12"/>
      <c r="DY787" s="12"/>
      <c r="DZ787" s="11">
        <v>5670000.0</v>
      </c>
      <c r="EA787" s="11">
        <v>5460000.0</v>
      </c>
      <c r="EB787" s="11">
        <v>5240000.0</v>
      </c>
      <c r="EC787" s="11">
        <v>786470.0</v>
      </c>
      <c r="ED787" s="11">
        <v>738400.0</v>
      </c>
      <c r="EE787" s="14">
        <v>0.059</v>
      </c>
      <c r="EF787" s="14">
        <v>0.129</v>
      </c>
      <c r="EG787" s="14">
        <v>0.629</v>
      </c>
      <c r="EH787" s="14">
        <v>0.231</v>
      </c>
    </row>
    <row r="788">
      <c r="A788" s="9">
        <f t="shared" si="2"/>
        <v>786</v>
      </c>
      <c r="B788" s="10" t="s">
        <v>923</v>
      </c>
      <c r="C788" s="15">
        <v>3.613E7</v>
      </c>
      <c r="D788" s="15">
        <v>3.276E7</v>
      </c>
      <c r="E788" s="15">
        <v>3.727E7</v>
      </c>
      <c r="F788" s="15">
        <v>3.414E7</v>
      </c>
      <c r="G788" s="15">
        <v>3.498E7</v>
      </c>
      <c r="H788" s="15">
        <v>4.138E7</v>
      </c>
      <c r="I788" s="15">
        <v>4.37E7</v>
      </c>
      <c r="J788" s="15">
        <v>2.267E7</v>
      </c>
      <c r="K788" s="15">
        <v>2.109E7</v>
      </c>
      <c r="L788" s="15">
        <v>2.171E7</v>
      </c>
      <c r="M788" s="15">
        <v>2.476E7</v>
      </c>
      <c r="N788" s="15">
        <v>2.63E7</v>
      </c>
      <c r="O788" s="15">
        <v>1.215E7</v>
      </c>
      <c r="P788" s="15">
        <v>1.098E7</v>
      </c>
      <c r="Q788" s="15">
        <v>1.27E7</v>
      </c>
      <c r="R788" s="15">
        <v>1.536E7</v>
      </c>
      <c r="S788" s="15">
        <v>1.646E7</v>
      </c>
      <c r="T788" s="15"/>
      <c r="U788" s="15"/>
      <c r="V788" s="15"/>
      <c r="W788" s="15"/>
      <c r="X788" s="15"/>
      <c r="Y788" s="15">
        <v>8830000.0</v>
      </c>
      <c r="Z788" s="15">
        <v>-2000000.0</v>
      </c>
      <c r="AA788" s="15">
        <v>-3740000.0</v>
      </c>
      <c r="AB788" s="15">
        <v>6630000.0</v>
      </c>
      <c r="AC788" s="15">
        <v>-1510000.0</v>
      </c>
      <c r="AD788" s="15">
        <v>1.079E7</v>
      </c>
      <c r="AE788" s="15">
        <v>8230000.0</v>
      </c>
      <c r="AF788" s="15">
        <v>6740000.0</v>
      </c>
      <c r="AG788" s="15">
        <v>8140000.0</v>
      </c>
      <c r="AH788" s="15">
        <v>9610000.0</v>
      </c>
      <c r="AI788" s="15">
        <v>1.187E7</v>
      </c>
      <c r="AJ788" s="15">
        <v>1.119E7</v>
      </c>
      <c r="AK788" s="15">
        <v>1.004E7</v>
      </c>
      <c r="AL788" s="15">
        <v>1.115E7</v>
      </c>
      <c r="AM788" s="15">
        <v>1.177E7</v>
      </c>
      <c r="AN788" s="15">
        <v>8920000.0</v>
      </c>
      <c r="AO788" s="15">
        <v>6430000.0</v>
      </c>
      <c r="AP788" s="15">
        <v>1180000.0</v>
      </c>
      <c r="AQ788" s="15">
        <v>6530000.0</v>
      </c>
      <c r="AR788" s="15">
        <v>7350000.0</v>
      </c>
      <c r="AS788" s="15">
        <v>1.047E7</v>
      </c>
      <c r="AT788" s="15">
        <v>7630000.0</v>
      </c>
      <c r="AU788" s="15">
        <v>6490000.0</v>
      </c>
      <c r="AV788" s="15">
        <v>8800000.0</v>
      </c>
      <c r="AW788" s="15">
        <v>1.053E7</v>
      </c>
      <c r="AX788" s="15">
        <v>-2050000.0</v>
      </c>
      <c r="AY788" s="15">
        <v>-1550000.0</v>
      </c>
      <c r="AZ788" s="15">
        <v>-1680000.0</v>
      </c>
      <c r="BA788" s="15">
        <v>-2260000.0</v>
      </c>
      <c r="BB788" s="15">
        <v>-2550000.0</v>
      </c>
      <c r="BC788" s="15">
        <v>-6850000.0</v>
      </c>
      <c r="BD788" s="15">
        <v>-6640000.0</v>
      </c>
      <c r="BE788" s="15">
        <v>-6320000.0</v>
      </c>
      <c r="BF788" s="15">
        <v>-6040000.0</v>
      </c>
      <c r="BG788" s="15">
        <v>-5740000.0</v>
      </c>
      <c r="BH788" s="15">
        <v>1.118E7</v>
      </c>
      <c r="BI788" s="15">
        <v>1.612E7</v>
      </c>
      <c r="BJ788" s="15">
        <v>2.068E7</v>
      </c>
      <c r="BK788" s="15">
        <v>2.22E7</v>
      </c>
      <c r="BL788" s="15">
        <v>1.99E7</v>
      </c>
      <c r="BM788" s="15">
        <v>3970000.0</v>
      </c>
      <c r="BN788" s="15">
        <v>3690000.0</v>
      </c>
      <c r="BO788" s="15">
        <v>3670000.0</v>
      </c>
      <c r="BP788" s="15">
        <v>3860000.0</v>
      </c>
      <c r="BQ788" s="15">
        <v>3940000.0</v>
      </c>
      <c r="BR788" s="15">
        <v>3380000.0</v>
      </c>
      <c r="BS788" s="15">
        <v>3070000.0</v>
      </c>
      <c r="BT788" s="15">
        <v>2660000.0</v>
      </c>
      <c r="BU788" s="15">
        <v>2680000.0</v>
      </c>
      <c r="BV788" s="15">
        <v>2900000.0</v>
      </c>
      <c r="BW788" s="15">
        <v>2.041E7</v>
      </c>
      <c r="BX788" s="15">
        <v>2.493E7</v>
      </c>
      <c r="BY788" s="15">
        <v>3.655E7</v>
      </c>
      <c r="BZ788" s="15">
        <v>3.401E7</v>
      </c>
      <c r="CA788" s="15">
        <v>3.34E7</v>
      </c>
      <c r="CB788" s="15">
        <v>1.221E7</v>
      </c>
      <c r="CC788" s="15">
        <v>9600000.0</v>
      </c>
      <c r="CD788" s="15">
        <v>8200000.0</v>
      </c>
      <c r="CE788" s="15">
        <v>1.064E7</v>
      </c>
      <c r="CF788" s="15">
        <v>1.257E7</v>
      </c>
      <c r="CG788" s="15">
        <v>1.676E7</v>
      </c>
      <c r="CH788" s="15">
        <v>1.411E7</v>
      </c>
      <c r="CI788" s="15">
        <v>9400000.0</v>
      </c>
      <c r="CJ788" s="15">
        <v>1.063E7</v>
      </c>
      <c r="CK788" s="15">
        <v>1.129E7</v>
      </c>
      <c r="CL788" s="15">
        <v>8.638E7</v>
      </c>
      <c r="CM788" s="15">
        <v>8.322E7</v>
      </c>
      <c r="CN788" s="15">
        <v>8.79E7</v>
      </c>
      <c r="CO788" s="15">
        <v>8.727E7</v>
      </c>
      <c r="CP788" s="15">
        <v>9.0E7</v>
      </c>
      <c r="CQ788" s="15">
        <v>3800000.0</v>
      </c>
      <c r="CR788" s="15">
        <v>2720000.0</v>
      </c>
      <c r="CS788" s="15">
        <v>2290000.0</v>
      </c>
      <c r="CT788" s="15">
        <v>2680000.0</v>
      </c>
      <c r="CU788" s="15">
        <v>2800000.0</v>
      </c>
      <c r="CV788" s="15">
        <v>2.697E7</v>
      </c>
      <c r="CW788" s="15">
        <v>1.128E7</v>
      </c>
      <c r="CX788" s="15">
        <v>1.384E7</v>
      </c>
      <c r="CY788" s="15">
        <v>1.321E7</v>
      </c>
      <c r="CZ788" s="15">
        <v>1.25E7</v>
      </c>
      <c r="DA788" s="15">
        <v>1.313E7</v>
      </c>
      <c r="DB788" s="15">
        <v>2.697E7</v>
      </c>
      <c r="DC788" s="15">
        <v>2.878E7</v>
      </c>
      <c r="DD788" s="15">
        <v>2.719E7</v>
      </c>
      <c r="DE788" s="15">
        <v>2.653E7</v>
      </c>
      <c r="DF788" s="15">
        <v>6.528E7</v>
      </c>
      <c r="DG788" s="15">
        <v>6.416E7</v>
      </c>
      <c r="DH788" s="15">
        <v>6.892E7</v>
      </c>
      <c r="DI788" s="15">
        <v>6.405E7</v>
      </c>
      <c r="DJ788" s="15">
        <v>6.423E7</v>
      </c>
      <c r="DK788" s="15">
        <v>2.223E7</v>
      </c>
      <c r="DL788" s="15">
        <v>2.208E7</v>
      </c>
      <c r="DM788" s="15">
        <v>2.129E7</v>
      </c>
      <c r="DN788" s="15">
        <v>1.863E7</v>
      </c>
      <c r="DO788" s="15">
        <v>1.736E7</v>
      </c>
      <c r="DP788" s="15">
        <v>2.863E7</v>
      </c>
      <c r="DQ788" s="15">
        <v>2.538E7</v>
      </c>
      <c r="DR788" s="15">
        <v>3.118E7</v>
      </c>
      <c r="DS788" s="15">
        <v>2.968E7</v>
      </c>
      <c r="DT788" s="15">
        <v>2.831E7</v>
      </c>
      <c r="DU788" s="13"/>
      <c r="DV788" s="12"/>
      <c r="DW788" s="15"/>
      <c r="DX788" s="15"/>
      <c r="DY788" s="15"/>
      <c r="DZ788" s="15">
        <v>1.898E7</v>
      </c>
      <c r="EA788" s="15">
        <v>1.698E7</v>
      </c>
      <c r="EB788" s="15">
        <v>1.707E7</v>
      </c>
      <c r="EC788" s="15">
        <v>2.306E7</v>
      </c>
      <c r="ED788" s="15">
        <v>2.555E7</v>
      </c>
      <c r="EE788" s="17">
        <v>0.05</v>
      </c>
      <c r="EF788" s="17">
        <v>0.119</v>
      </c>
      <c r="EG788" s="17">
        <v>0.05</v>
      </c>
      <c r="EH788" s="17">
        <v>0.052</v>
      </c>
    </row>
    <row r="789">
      <c r="A789" s="9">
        <f t="shared" si="2"/>
        <v>787</v>
      </c>
      <c r="B789" s="22" t="s">
        <v>924</v>
      </c>
      <c r="C789" s="12"/>
      <c r="D789" s="11">
        <v>15620.0</v>
      </c>
      <c r="E789" s="12"/>
      <c r="F789" s="12"/>
      <c r="G789" s="12"/>
      <c r="H789" s="12"/>
      <c r="I789" s="12"/>
      <c r="J789" s="11">
        <v>-911.0</v>
      </c>
      <c r="K789" s="11">
        <v>-490.0</v>
      </c>
      <c r="L789" s="11">
        <v>-549.0</v>
      </c>
      <c r="M789" s="11">
        <v>-257.0</v>
      </c>
      <c r="N789" s="12"/>
      <c r="O789" s="11">
        <v>48280.0</v>
      </c>
      <c r="P789" s="11">
        <v>25880.0</v>
      </c>
      <c r="Q789" s="11">
        <v>24970.0</v>
      </c>
      <c r="R789" s="11">
        <v>16890.0</v>
      </c>
      <c r="S789" s="12"/>
      <c r="T789" s="11">
        <v>37510.0</v>
      </c>
      <c r="U789" s="11">
        <v>18790.0</v>
      </c>
      <c r="V789" s="11">
        <v>22020.0</v>
      </c>
      <c r="W789" s="11">
        <v>14050.0</v>
      </c>
      <c r="X789" s="12"/>
      <c r="Y789" s="12"/>
      <c r="Z789" s="11">
        <v>-27170.0</v>
      </c>
      <c r="AA789" s="12"/>
      <c r="AB789" s="12"/>
      <c r="AC789" s="12"/>
      <c r="AD789" s="11">
        <v>-47370.0</v>
      </c>
      <c r="AE789" s="11">
        <v>-41440.0</v>
      </c>
      <c r="AF789" s="11">
        <v>-27940.0</v>
      </c>
      <c r="AG789" s="11">
        <v>-17130.0</v>
      </c>
      <c r="AH789" s="12"/>
      <c r="AI789" s="11">
        <v>-48280.0</v>
      </c>
      <c r="AJ789" s="11">
        <v>-25880.0</v>
      </c>
      <c r="AK789" s="11">
        <v>-24970.0</v>
      </c>
      <c r="AL789" s="11">
        <v>-16890.0</v>
      </c>
      <c r="AM789" s="12"/>
      <c r="AN789" s="11">
        <v>-47370.0</v>
      </c>
      <c r="AO789" s="11">
        <v>-41440.0</v>
      </c>
      <c r="AP789" s="11">
        <v>-27940.0</v>
      </c>
      <c r="AQ789" s="11">
        <v>-17130.0</v>
      </c>
      <c r="AR789" s="12"/>
      <c r="AS789" s="11">
        <v>-38760.0</v>
      </c>
      <c r="AT789" s="11">
        <v>-29030.0</v>
      </c>
      <c r="AU789" s="11">
        <v>-17660.0</v>
      </c>
      <c r="AV789" s="11">
        <v>-16050.0</v>
      </c>
      <c r="AW789" s="12"/>
      <c r="AX789" s="11">
        <v>-437.0</v>
      </c>
      <c r="AY789" s="11">
        <v>-581.0</v>
      </c>
      <c r="AZ789" s="11">
        <v>-209.0</v>
      </c>
      <c r="BA789" s="11">
        <v>-771.0</v>
      </c>
      <c r="BB789" s="12"/>
      <c r="BC789" s="12"/>
      <c r="BD789" s="12"/>
      <c r="BE789" s="12"/>
      <c r="BF789" s="12"/>
      <c r="BG789" s="12"/>
      <c r="BH789" s="11">
        <v>336480.0</v>
      </c>
      <c r="BI789" s="11">
        <v>88250.0</v>
      </c>
      <c r="BJ789" s="11">
        <v>1400.0</v>
      </c>
      <c r="BK789" s="11">
        <v>9620.0</v>
      </c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1">
        <v>339230.0</v>
      </c>
      <c r="BX789" s="11">
        <v>90450.0</v>
      </c>
      <c r="BY789" s="11">
        <v>1600.0</v>
      </c>
      <c r="BZ789" s="11">
        <v>10190.0</v>
      </c>
      <c r="CA789" s="12"/>
      <c r="CB789" s="11">
        <v>2790.0</v>
      </c>
      <c r="CC789" s="11">
        <v>1100.0</v>
      </c>
      <c r="CD789" s="11">
        <v>1510.0</v>
      </c>
      <c r="CE789" s="11">
        <v>1780.0</v>
      </c>
      <c r="CF789" s="12"/>
      <c r="CG789" s="12"/>
      <c r="CH789" s="12"/>
      <c r="CI789" s="12"/>
      <c r="CJ789" s="12"/>
      <c r="CK789" s="12"/>
      <c r="CL789" s="11">
        <v>358870.0</v>
      </c>
      <c r="CM789" s="11">
        <v>92190.0</v>
      </c>
      <c r="CN789" s="11">
        <v>3240.0</v>
      </c>
      <c r="CO789" s="11">
        <v>12110.0</v>
      </c>
      <c r="CP789" s="12"/>
      <c r="CQ789" s="11">
        <v>2620.0</v>
      </c>
      <c r="CR789" s="11">
        <v>1050.0</v>
      </c>
      <c r="CS789" s="11">
        <v>3360.0</v>
      </c>
      <c r="CT789" s="11">
        <v>1070.0</v>
      </c>
      <c r="CU789" s="12"/>
      <c r="CV789" s="11">
        <v>11710.0</v>
      </c>
      <c r="CW789" s="11">
        <v>434.0</v>
      </c>
      <c r="CX789" s="12"/>
      <c r="CY789" s="12"/>
      <c r="CZ789" s="12"/>
      <c r="DA789" s="12"/>
      <c r="DB789" s="11">
        <v>11710.0</v>
      </c>
      <c r="DC789" s="11">
        <v>4830.0</v>
      </c>
      <c r="DD789" s="11">
        <v>9160.0</v>
      </c>
      <c r="DE789" s="11">
        <v>2510.0</v>
      </c>
      <c r="DF789" s="11">
        <v>13510.0</v>
      </c>
      <c r="DG789" s="11">
        <v>5360.0</v>
      </c>
      <c r="DH789" s="11">
        <v>21970.0</v>
      </c>
      <c r="DI789" s="11">
        <v>3180.0</v>
      </c>
      <c r="DJ789" s="12"/>
      <c r="DK789" s="11">
        <v>11840.0</v>
      </c>
      <c r="DL789" s="11">
        <v>140.0</v>
      </c>
      <c r="DM789" s="11">
        <v>140.0</v>
      </c>
      <c r="DN789" s="11">
        <v>140.0</v>
      </c>
      <c r="DO789" s="12"/>
      <c r="DP789" s="11">
        <v>1500.0</v>
      </c>
      <c r="DQ789" s="12"/>
      <c r="DR789" s="11">
        <v>11510.0</v>
      </c>
      <c r="DS789" s="11">
        <v>103.0</v>
      </c>
      <c r="DT789" s="12"/>
      <c r="DU789" s="13"/>
      <c r="DV789" s="12"/>
      <c r="DW789" s="11">
        <v>50020.0</v>
      </c>
      <c r="DX789" s="11">
        <v>50020.0</v>
      </c>
      <c r="DY789" s="13"/>
      <c r="DZ789" s="11">
        <v>345360.0</v>
      </c>
      <c r="EA789" s="11">
        <v>86830.0</v>
      </c>
      <c r="EB789" s="11">
        <v>-18720.0</v>
      </c>
      <c r="EC789" s="11">
        <v>8930.0</v>
      </c>
      <c r="ED789" s="12"/>
      <c r="EE789" s="23"/>
      <c r="EF789" s="23"/>
      <c r="EG789" s="14">
        <v>0.121</v>
      </c>
      <c r="EH789" s="14">
        <v>-0.049</v>
      </c>
    </row>
    <row r="790">
      <c r="A790" s="9">
        <f t="shared" si="2"/>
        <v>788</v>
      </c>
      <c r="B790" s="10" t="s">
        <v>925</v>
      </c>
      <c r="C790" s="15">
        <v>9170000.0</v>
      </c>
      <c r="D790" s="15">
        <v>8630000.0</v>
      </c>
      <c r="E790" s="15">
        <v>1.9447E8</v>
      </c>
      <c r="F790" s="15">
        <v>1.8234E8</v>
      </c>
      <c r="G790" s="15">
        <v>1.8326E8</v>
      </c>
      <c r="H790" s="15">
        <v>1.7772E8</v>
      </c>
      <c r="I790" s="15">
        <v>1.5236E8</v>
      </c>
      <c r="J790" s="15">
        <v>8.812E7</v>
      </c>
      <c r="K790" s="15">
        <v>8.297E7</v>
      </c>
      <c r="L790" s="15">
        <v>8.288E7</v>
      </c>
      <c r="M790" s="15">
        <v>7.891E7</v>
      </c>
      <c r="N790" s="15">
        <v>7.174E7</v>
      </c>
      <c r="O790" s="15">
        <v>6.054E7</v>
      </c>
      <c r="P790" s="15">
        <v>5.696E7</v>
      </c>
      <c r="Q790" s="15">
        <v>5.742E7</v>
      </c>
      <c r="R790" s="15">
        <v>5.496E7</v>
      </c>
      <c r="S790" s="15">
        <v>4.814E7</v>
      </c>
      <c r="T790" s="15"/>
      <c r="U790" s="15"/>
      <c r="V790" s="15"/>
      <c r="W790" s="15"/>
      <c r="X790" s="15"/>
      <c r="Y790" s="15">
        <v>2.306E7</v>
      </c>
      <c r="Z790" s="15">
        <v>2.214E7</v>
      </c>
      <c r="AA790" s="15">
        <v>-3.167E7</v>
      </c>
      <c r="AB790" s="15">
        <v>2.091E7</v>
      </c>
      <c r="AC790" s="15">
        <v>2.064E7</v>
      </c>
      <c r="AD790" s="15">
        <v>1.841E7</v>
      </c>
      <c r="AE790" s="15">
        <v>1.719E7</v>
      </c>
      <c r="AF790" s="15">
        <v>-1.126E7</v>
      </c>
      <c r="AG790" s="15">
        <v>1.431E7</v>
      </c>
      <c r="AH790" s="15">
        <v>1.473E7</v>
      </c>
      <c r="AI790" s="15">
        <v>3.915E7</v>
      </c>
      <c r="AJ790" s="15">
        <v>3.539E7</v>
      </c>
      <c r="AK790" s="15">
        <v>3.442E7</v>
      </c>
      <c r="AL790" s="15">
        <v>3.208E7</v>
      </c>
      <c r="AM790" s="15">
        <v>3.074E7</v>
      </c>
      <c r="AN790" s="15">
        <v>1.21E7</v>
      </c>
      <c r="AO790" s="15">
        <v>1.094E7</v>
      </c>
      <c r="AP790" s="15">
        <v>-1.606E7</v>
      </c>
      <c r="AQ790" s="15">
        <v>1.007E7</v>
      </c>
      <c r="AR790" s="15">
        <v>1.024E7</v>
      </c>
      <c r="AS790" s="15">
        <v>2.771E7</v>
      </c>
      <c r="AT790" s="15">
        <v>2.557E7</v>
      </c>
      <c r="AU790" s="15">
        <v>2.95E7</v>
      </c>
      <c r="AV790" s="15">
        <v>3.26E7</v>
      </c>
      <c r="AW790" s="15">
        <v>2.291E7</v>
      </c>
      <c r="AX790" s="15">
        <v>-1.175E7</v>
      </c>
      <c r="AY790" s="15">
        <v>-1.129E7</v>
      </c>
      <c r="AZ790" s="15">
        <v>-1.313E7</v>
      </c>
      <c r="BA790" s="15">
        <v>-1.269E7</v>
      </c>
      <c r="BB790" s="15">
        <v>-1.15E7</v>
      </c>
      <c r="BC790" s="15">
        <v>-7440000.0</v>
      </c>
      <c r="BD790" s="15">
        <v>-7040000.0</v>
      </c>
      <c r="BE790" s="15">
        <v>-6990000.0</v>
      </c>
      <c r="BF790" s="15">
        <v>-6940000.0</v>
      </c>
      <c r="BG790" s="15">
        <v>-6420000.0</v>
      </c>
      <c r="BH790" s="15">
        <v>2.058E7</v>
      </c>
      <c r="BI790" s="15">
        <v>2.453E7</v>
      </c>
      <c r="BJ790" s="15">
        <v>1.95E7</v>
      </c>
      <c r="BK790" s="15">
        <v>1.199E7</v>
      </c>
      <c r="BL790" s="15">
        <v>1.722E7</v>
      </c>
      <c r="BM790" s="15">
        <v>2.304E7</v>
      </c>
      <c r="BN790" s="15">
        <v>2.089E7</v>
      </c>
      <c r="BO790" s="15">
        <v>2.275E7</v>
      </c>
      <c r="BP790" s="15">
        <v>1.938E7</v>
      </c>
      <c r="BQ790" s="15">
        <v>1.387E7</v>
      </c>
      <c r="BR790" s="15">
        <v>1.178E7</v>
      </c>
      <c r="BS790" s="15">
        <v>1.136E7</v>
      </c>
      <c r="BT790" s="15">
        <v>1.275E7</v>
      </c>
      <c r="BU790" s="15">
        <v>1.368E7</v>
      </c>
      <c r="BV790" s="15">
        <v>1.078E7</v>
      </c>
      <c r="BW790" s="15">
        <v>5.68E7</v>
      </c>
      <c r="BX790" s="15">
        <v>5.749E7</v>
      </c>
      <c r="BY790" s="15">
        <v>5.566E7</v>
      </c>
      <c r="BZ790" s="15">
        <v>4.545E7</v>
      </c>
      <c r="CA790" s="15">
        <v>4.223E7</v>
      </c>
      <c r="CB790" s="15">
        <v>6.277E7</v>
      </c>
      <c r="CC790" s="15">
        <v>6.218E7</v>
      </c>
      <c r="CD790" s="15">
        <v>7.609E7</v>
      </c>
      <c r="CE790" s="15">
        <v>6.546E7</v>
      </c>
      <c r="CF790" s="15">
        <v>5.09E7</v>
      </c>
      <c r="CG790" s="15">
        <v>2.293E7</v>
      </c>
      <c r="CH790" s="15">
        <v>2.373E7</v>
      </c>
      <c r="CI790" s="15">
        <v>2.623E7</v>
      </c>
      <c r="CJ790" s="15">
        <v>3.358E7</v>
      </c>
      <c r="CK790" s="15">
        <v>2.104E7</v>
      </c>
      <c r="CL790" s="15">
        <v>2.5784E8</v>
      </c>
      <c r="CM790" s="15">
        <v>2.6379E8</v>
      </c>
      <c r="CN790" s="15">
        <v>2.8568E8</v>
      </c>
      <c r="CO790" s="15">
        <v>2.7926E8</v>
      </c>
      <c r="CP790" s="15">
        <v>2.1025E8</v>
      </c>
      <c r="CQ790" s="15">
        <v>1.983E7</v>
      </c>
      <c r="CR790" s="15">
        <v>1.975E7</v>
      </c>
      <c r="CS790" s="15">
        <v>1.996E7</v>
      </c>
      <c r="CT790" s="15">
        <v>2.149E7</v>
      </c>
      <c r="CU790" s="15">
        <v>1.547E7</v>
      </c>
      <c r="CV790" s="15">
        <v>5.101E7</v>
      </c>
      <c r="CW790" s="15">
        <v>882000.0</v>
      </c>
      <c r="CX790" s="15">
        <v>1380000.0</v>
      </c>
      <c r="CY790" s="15">
        <v>2060000.0</v>
      </c>
      <c r="CZ790" s="15">
        <v>1570000.0</v>
      </c>
      <c r="DA790" s="15">
        <v>384000.0</v>
      </c>
      <c r="DB790" s="15">
        <v>5.101E7</v>
      </c>
      <c r="DC790" s="15">
        <v>4.552E7</v>
      </c>
      <c r="DD790" s="15">
        <v>5.559E7</v>
      </c>
      <c r="DE790" s="15">
        <v>3.987E7</v>
      </c>
      <c r="DF790" s="15">
        <v>1.2815E8</v>
      </c>
      <c r="DG790" s="15">
        <v>1.3204E8</v>
      </c>
      <c r="DH790" s="15">
        <v>1.4497E8</v>
      </c>
      <c r="DI790" s="15">
        <v>1.5002E8</v>
      </c>
      <c r="DJ790" s="15">
        <v>1.0151E8</v>
      </c>
      <c r="DK790" s="15">
        <v>9960000.0</v>
      </c>
      <c r="DL790" s="15">
        <v>1.429E7</v>
      </c>
      <c r="DM790" s="15">
        <v>1.565E7</v>
      </c>
      <c r="DN790" s="15">
        <v>2.892E7</v>
      </c>
      <c r="DO790" s="15">
        <v>2.123E7</v>
      </c>
      <c r="DP790" s="15">
        <v>5.939E7</v>
      </c>
      <c r="DQ790" s="15">
        <v>7.02E7</v>
      </c>
      <c r="DR790" s="15">
        <v>7.119E7</v>
      </c>
      <c r="DS790" s="15">
        <v>8.586E7</v>
      </c>
      <c r="DT790" s="15">
        <v>6.326E7</v>
      </c>
      <c r="DU790" s="13"/>
      <c r="DV790" s="12"/>
      <c r="DW790" s="12"/>
      <c r="DX790" s="13"/>
      <c r="DY790" s="13"/>
      <c r="DZ790" s="15">
        <v>1.2293E8</v>
      </c>
      <c r="EA790" s="15">
        <v>1.2494E8</v>
      </c>
      <c r="EB790" s="15">
        <v>1.2257E8</v>
      </c>
      <c r="EC790" s="15">
        <v>1.2214E8</v>
      </c>
      <c r="ED790" s="15">
        <v>1.0475E8</v>
      </c>
      <c r="EE790" s="17">
        <v>0.111</v>
      </c>
      <c r="EF790" s="17">
        <v>0.207</v>
      </c>
      <c r="EG790" s="17">
        <v>-0.295</v>
      </c>
      <c r="EH790" s="17">
        <v>-0.126</v>
      </c>
    </row>
    <row r="791">
      <c r="A791" s="9">
        <f t="shared" si="2"/>
        <v>789</v>
      </c>
      <c r="B791" s="25" t="s">
        <v>926</v>
      </c>
      <c r="C791" s="15">
        <v>1740000.0</v>
      </c>
      <c r="D791" s="15">
        <v>1620000.0</v>
      </c>
      <c r="E791" s="15">
        <v>1770000.0</v>
      </c>
      <c r="F791" s="15">
        <v>1710000.0</v>
      </c>
      <c r="G791" s="15">
        <v>1480000.0</v>
      </c>
      <c r="H791" s="15">
        <v>1420000.0</v>
      </c>
      <c r="I791" s="15">
        <v>1630000.0</v>
      </c>
      <c r="J791" s="15">
        <v>283600.0</v>
      </c>
      <c r="K791" s="15">
        <v>291200.0</v>
      </c>
      <c r="L791" s="15">
        <v>263200.0</v>
      </c>
      <c r="M791" s="15">
        <v>236700.0</v>
      </c>
      <c r="N791" s="15">
        <v>200400.0</v>
      </c>
      <c r="O791" s="15">
        <v>150900.0</v>
      </c>
      <c r="P791" s="15">
        <v>155100.0</v>
      </c>
      <c r="Q791" s="15">
        <v>132500.0</v>
      </c>
      <c r="R791" s="15">
        <v>126600.0</v>
      </c>
      <c r="S791" s="15">
        <v>123200.0</v>
      </c>
      <c r="T791" s="15"/>
      <c r="U791" s="15"/>
      <c r="V791" s="15"/>
      <c r="W791" s="15">
        <v>6600.0</v>
      </c>
      <c r="X791" s="15">
        <v>5200.0</v>
      </c>
      <c r="Y791" s="15">
        <v>126700.0</v>
      </c>
      <c r="Z791" s="15">
        <v>118700.0</v>
      </c>
      <c r="AA791" s="15">
        <v>-30400.0</v>
      </c>
      <c r="AB791" s="15">
        <v>84300.0</v>
      </c>
      <c r="AC791" s="15">
        <v>-110000.0</v>
      </c>
      <c r="AD791" s="15">
        <v>68900.0</v>
      </c>
      <c r="AE791" s="15">
        <v>54800.0</v>
      </c>
      <c r="AF791" s="15">
        <v>60300.0</v>
      </c>
      <c r="AG791" s="15">
        <v>38500.0</v>
      </c>
      <c r="AH791" s="15">
        <v>-80100.0</v>
      </c>
      <c r="AI791" s="15">
        <v>187800.0</v>
      </c>
      <c r="AJ791" s="15">
        <v>186900.0</v>
      </c>
      <c r="AK791" s="15">
        <v>180500.0</v>
      </c>
      <c r="AL791" s="15">
        <v>163000.0</v>
      </c>
      <c r="AM791" s="15">
        <v>136200.0</v>
      </c>
      <c r="AN791" s="15">
        <v>66700.0</v>
      </c>
      <c r="AO791" s="15">
        <v>23000.0</v>
      </c>
      <c r="AP791" s="15">
        <v>29900.0</v>
      </c>
      <c r="AQ791" s="15">
        <v>28700.0</v>
      </c>
      <c r="AR791" s="15">
        <v>-71900.0</v>
      </c>
      <c r="AS791" s="15">
        <v>115300.0</v>
      </c>
      <c r="AT791" s="15">
        <v>78300.0</v>
      </c>
      <c r="AU791" s="15">
        <v>101800.0</v>
      </c>
      <c r="AV791" s="15">
        <v>119500.0</v>
      </c>
      <c r="AW791" s="15">
        <v>127700.0</v>
      </c>
      <c r="AX791" s="15">
        <v>-37200.0</v>
      </c>
      <c r="AY791" s="15">
        <v>-109700.0</v>
      </c>
      <c r="AZ791" s="15">
        <v>-67500.0</v>
      </c>
      <c r="BA791" s="15">
        <v>-53700.0</v>
      </c>
      <c r="BB791" s="15">
        <v>-40700.0</v>
      </c>
      <c r="BC791" s="13"/>
      <c r="BD791" s="13"/>
      <c r="BE791" s="13"/>
      <c r="BF791" s="13"/>
      <c r="BG791" s="15">
        <v>-8700.0</v>
      </c>
      <c r="BH791" s="15">
        <v>33000.0</v>
      </c>
      <c r="BI791" s="15">
        <v>40600.0</v>
      </c>
      <c r="BJ791" s="15">
        <v>82100.0</v>
      </c>
      <c r="BK791" s="15">
        <v>33300.0</v>
      </c>
      <c r="BL791" s="15">
        <v>21900.0</v>
      </c>
      <c r="BM791" s="15">
        <v>165800.0</v>
      </c>
      <c r="BN791" s="15">
        <v>192500.0</v>
      </c>
      <c r="BO791" s="15">
        <v>160900.0</v>
      </c>
      <c r="BP791" s="15">
        <v>149500.0</v>
      </c>
      <c r="BQ791" s="15">
        <v>169100.0</v>
      </c>
      <c r="BR791" s="15">
        <v>299100.0</v>
      </c>
      <c r="BS791" s="15">
        <v>284700.0</v>
      </c>
      <c r="BT791" s="15">
        <v>236900.0</v>
      </c>
      <c r="BU791" s="15">
        <v>228700.0</v>
      </c>
      <c r="BV791" s="15">
        <v>226400.0</v>
      </c>
      <c r="BW791" s="15">
        <v>519500.0</v>
      </c>
      <c r="BX791" s="15">
        <v>540300.0</v>
      </c>
      <c r="BY791" s="15">
        <v>506700.0</v>
      </c>
      <c r="BZ791" s="15">
        <v>438100.0</v>
      </c>
      <c r="CA791" s="15">
        <v>444300.0</v>
      </c>
      <c r="CB791" s="15">
        <v>528900.0</v>
      </c>
      <c r="CC791" s="15">
        <v>417900.0</v>
      </c>
      <c r="CD791" s="15">
        <v>328000.0</v>
      </c>
      <c r="CE791" s="15">
        <v>280800.0</v>
      </c>
      <c r="CF791" s="15">
        <v>277800.0</v>
      </c>
      <c r="CG791" s="15">
        <v>296100.0</v>
      </c>
      <c r="CH791" s="15">
        <v>296500.0</v>
      </c>
      <c r="CI791" s="15">
        <v>188200.0</v>
      </c>
      <c r="CJ791" s="15">
        <v>186400.0</v>
      </c>
      <c r="CK791" s="15">
        <v>186600.0</v>
      </c>
      <c r="CL791" s="15">
        <v>1560000.0</v>
      </c>
      <c r="CM791" s="15">
        <v>1480000.0</v>
      </c>
      <c r="CN791" s="15">
        <v>1200000.0</v>
      </c>
      <c r="CO791" s="15">
        <v>1090000.0</v>
      </c>
      <c r="CP791" s="15">
        <v>1110000.0</v>
      </c>
      <c r="CQ791" s="15">
        <v>169900.0</v>
      </c>
      <c r="CR791" s="15">
        <v>177200.0</v>
      </c>
      <c r="CS791" s="15">
        <v>141900.0</v>
      </c>
      <c r="CT791" s="15">
        <v>144200.0</v>
      </c>
      <c r="CU791" s="15">
        <v>140800.0</v>
      </c>
      <c r="CV791" s="15">
        <v>296200.0</v>
      </c>
      <c r="CW791" s="15">
        <v>22100.0</v>
      </c>
      <c r="CX791" s="15"/>
      <c r="CY791" s="15"/>
      <c r="CZ791" s="15"/>
      <c r="DA791" s="15"/>
      <c r="DB791" s="15">
        <v>296200.0</v>
      </c>
      <c r="DC791" s="15">
        <v>298700.0</v>
      </c>
      <c r="DD791" s="15">
        <v>281200.0</v>
      </c>
      <c r="DE791" s="15">
        <v>293100.0</v>
      </c>
      <c r="DF791" s="15">
        <v>1410000.0</v>
      </c>
      <c r="DG791" s="15">
        <v>1410000.0</v>
      </c>
      <c r="DH791" s="15">
        <v>1090000.0</v>
      </c>
      <c r="DI791" s="15">
        <v>1050000.0</v>
      </c>
      <c r="DJ791" s="15">
        <v>1130000.0</v>
      </c>
      <c r="DK791" s="15">
        <v>4100.0</v>
      </c>
      <c r="DL791" s="15"/>
      <c r="DM791" s="15"/>
      <c r="DN791" s="15"/>
      <c r="DO791" s="15"/>
      <c r="DP791" s="15">
        <v>983600.0</v>
      </c>
      <c r="DQ791" s="15">
        <v>978800.0</v>
      </c>
      <c r="DR791" s="15">
        <v>665600.0</v>
      </c>
      <c r="DS791" s="15">
        <v>619800.0</v>
      </c>
      <c r="DT791" s="15">
        <v>682400.0</v>
      </c>
      <c r="DU791" s="13"/>
      <c r="DV791" s="15"/>
      <c r="DW791" s="15"/>
      <c r="DX791" s="15"/>
      <c r="DY791" s="13"/>
      <c r="DZ791" s="15">
        <v>147300.0</v>
      </c>
      <c r="EA791" s="15">
        <v>56200.0</v>
      </c>
      <c r="EB791" s="15">
        <v>99900.0</v>
      </c>
      <c r="EC791" s="15">
        <v>30400.0</v>
      </c>
      <c r="ED791" s="15">
        <v>-18500.0</v>
      </c>
      <c r="EE791" s="23">
        <v>0.031</v>
      </c>
      <c r="EF791" s="23">
        <v>0.046</v>
      </c>
      <c r="EG791" s="23">
        <v>-0.078</v>
      </c>
      <c r="EH791" s="23">
        <v>0.033</v>
      </c>
    </row>
    <row r="792">
      <c r="A792" s="9">
        <f t="shared" si="2"/>
        <v>790</v>
      </c>
      <c r="B792" s="25" t="s">
        <v>927</v>
      </c>
      <c r="C792" s="15">
        <v>38560.0</v>
      </c>
      <c r="D792" s="15">
        <v>33850.0</v>
      </c>
      <c r="E792" s="15">
        <v>29520.0</v>
      </c>
      <c r="F792" s="15">
        <v>24470.0</v>
      </c>
      <c r="G792" s="15">
        <v>27840.0</v>
      </c>
      <c r="H792" s="15">
        <v>22640.0</v>
      </c>
      <c r="I792" s="15">
        <v>32050.0</v>
      </c>
      <c r="J792" s="15">
        <v>8620.0</v>
      </c>
      <c r="K792" s="15">
        <v>8630.0</v>
      </c>
      <c r="L792" s="15">
        <v>9720.0</v>
      </c>
      <c r="M792" s="15">
        <v>4830.0</v>
      </c>
      <c r="N792" s="15">
        <v>10440.0</v>
      </c>
      <c r="O792" s="15">
        <v>34670.0</v>
      </c>
      <c r="P792" s="15">
        <v>44660.0</v>
      </c>
      <c r="Q792" s="15">
        <v>39220.0</v>
      </c>
      <c r="R792" s="15">
        <v>33000.0</v>
      </c>
      <c r="S792" s="15">
        <v>35770.0</v>
      </c>
      <c r="T792" s="15">
        <v>13350.0</v>
      </c>
      <c r="U792" s="15">
        <v>17450.0</v>
      </c>
      <c r="V792" s="15">
        <v>18880.0</v>
      </c>
      <c r="W792" s="15">
        <v>16040.0</v>
      </c>
      <c r="X792" s="15">
        <v>17630.0</v>
      </c>
      <c r="Y792" s="15">
        <v>-26380.0</v>
      </c>
      <c r="Z792" s="15">
        <v>-39970.0</v>
      </c>
      <c r="AA792" s="15">
        <v>-800.0</v>
      </c>
      <c r="AB792" s="15"/>
      <c r="AC792" s="15"/>
      <c r="AD792" s="15">
        <v>-29270.0</v>
      </c>
      <c r="AE792" s="15">
        <v>-34450.0</v>
      </c>
      <c r="AF792" s="15">
        <v>-28340.0</v>
      </c>
      <c r="AG792" s="15">
        <v>-19900.0</v>
      </c>
      <c r="AH792" s="15">
        <v>-14820.0</v>
      </c>
      <c r="AI792" s="15">
        <v>-25260.0</v>
      </c>
      <c r="AJ792" s="15">
        <v>-34060.0</v>
      </c>
      <c r="AK792" s="15">
        <v>-27000.0</v>
      </c>
      <c r="AL792" s="15">
        <v>-27180.0</v>
      </c>
      <c r="AM792" s="15">
        <v>-23180.0</v>
      </c>
      <c r="AN792" s="15">
        <v>-29510.0</v>
      </c>
      <c r="AO792" s="15">
        <v>-34530.0</v>
      </c>
      <c r="AP792" s="15">
        <v>-25240.0</v>
      </c>
      <c r="AQ792" s="15">
        <v>-23430.0</v>
      </c>
      <c r="AR792" s="15">
        <v>-14690.0</v>
      </c>
      <c r="AS792" s="15">
        <v>-21030.0</v>
      </c>
      <c r="AT792" s="15">
        <v>-28100.0</v>
      </c>
      <c r="AU792" s="15">
        <v>-25910.0</v>
      </c>
      <c r="AV792" s="15">
        <v>-26170.0</v>
      </c>
      <c r="AW792" s="15">
        <v>-16920.0</v>
      </c>
      <c r="AX792" s="15">
        <v>-211.0</v>
      </c>
      <c r="AY792" s="15">
        <v>-1190.0</v>
      </c>
      <c r="AZ792" s="15">
        <v>-2940.0</v>
      </c>
      <c r="BA792" s="15">
        <v>-395.0</v>
      </c>
      <c r="BB792" s="15">
        <v>-1120.0</v>
      </c>
      <c r="BC792" s="13"/>
      <c r="BD792" s="13"/>
      <c r="BE792" s="13"/>
      <c r="BF792" s="13"/>
      <c r="BG792" s="13"/>
      <c r="BH792" s="15">
        <v>21780.0</v>
      </c>
      <c r="BI792" s="15">
        <v>37240.0</v>
      </c>
      <c r="BJ792" s="15">
        <v>68760.0</v>
      </c>
      <c r="BK792" s="15">
        <v>77200.0</v>
      </c>
      <c r="BL792" s="15">
        <v>80710.0</v>
      </c>
      <c r="BM792" s="15">
        <v>6940.0</v>
      </c>
      <c r="BN792" s="15">
        <v>6180.0</v>
      </c>
      <c r="BO792" s="15">
        <v>4660.0</v>
      </c>
      <c r="BP792" s="15">
        <v>1700.0</v>
      </c>
      <c r="BQ792" s="15">
        <v>16570.0</v>
      </c>
      <c r="BR792" s="15">
        <v>3770.0</v>
      </c>
      <c r="BS792" s="15">
        <v>4800.0</v>
      </c>
      <c r="BT792" s="15">
        <v>5080.0</v>
      </c>
      <c r="BU792" s="15">
        <v>3300.0</v>
      </c>
      <c r="BV792" s="15">
        <v>2510.0</v>
      </c>
      <c r="BW792" s="15">
        <v>33760.0</v>
      </c>
      <c r="BX792" s="15">
        <v>49400.0</v>
      </c>
      <c r="BY792" s="15">
        <v>79740.0</v>
      </c>
      <c r="BZ792" s="15">
        <v>83390.0</v>
      </c>
      <c r="CA792" s="15">
        <v>101160.0</v>
      </c>
      <c r="CB792" s="15">
        <v>4230.0</v>
      </c>
      <c r="CC792" s="15">
        <v>2600.0</v>
      </c>
      <c r="CD792" s="15">
        <v>5080.0</v>
      </c>
      <c r="CE792" s="15">
        <v>2980.0</v>
      </c>
      <c r="CF792" s="15">
        <v>2680.0</v>
      </c>
      <c r="CG792" s="15"/>
      <c r="CH792" s="15">
        <v>331.0</v>
      </c>
      <c r="CI792" s="15">
        <v>1780.0</v>
      </c>
      <c r="CJ792" s="15">
        <v>844.0</v>
      </c>
      <c r="CK792" s="15">
        <v>946.0</v>
      </c>
      <c r="CL792" s="15">
        <v>43050.0</v>
      </c>
      <c r="CM792" s="15">
        <v>59550.0</v>
      </c>
      <c r="CN792" s="15">
        <v>91320.0</v>
      </c>
      <c r="CO792" s="15">
        <v>87830.0</v>
      </c>
      <c r="CP792" s="15">
        <v>106060.0</v>
      </c>
      <c r="CQ792" s="15">
        <v>4000.0</v>
      </c>
      <c r="CR792" s="15">
        <v>3920.0</v>
      </c>
      <c r="CS792" s="15">
        <v>4920.0</v>
      </c>
      <c r="CT792" s="15">
        <v>4360.0</v>
      </c>
      <c r="CU792" s="15">
        <v>3960.0</v>
      </c>
      <c r="CV792" s="15">
        <v>11310.0</v>
      </c>
      <c r="CW792" s="15">
        <v>1040.0</v>
      </c>
      <c r="CX792" s="15"/>
      <c r="CY792" s="15"/>
      <c r="CZ792" s="15"/>
      <c r="DA792" s="15"/>
      <c r="DB792" s="15">
        <v>11310.0</v>
      </c>
      <c r="DC792" s="15">
        <v>10370.0</v>
      </c>
      <c r="DD792" s="15">
        <v>12100.0</v>
      </c>
      <c r="DE792" s="15">
        <v>13370.0</v>
      </c>
      <c r="DF792" s="15">
        <v>14450.0</v>
      </c>
      <c r="DG792" s="15">
        <v>11840.0</v>
      </c>
      <c r="DH792" s="15">
        <v>13940.0</v>
      </c>
      <c r="DI792" s="15">
        <v>13610.0</v>
      </c>
      <c r="DJ792" s="15">
        <v>11580.0</v>
      </c>
      <c r="DK792" s="15">
        <v>4540.0</v>
      </c>
      <c r="DL792" s="15">
        <v>5570.0</v>
      </c>
      <c r="DM792" s="15"/>
      <c r="DN792" s="12">
        <v>331.0</v>
      </c>
      <c r="DO792" s="15">
        <v>232.0</v>
      </c>
      <c r="DP792" s="15">
        <v>1790.0</v>
      </c>
      <c r="DQ792" s="15"/>
      <c r="DR792" s="15"/>
      <c r="DS792" s="15"/>
      <c r="DT792" s="15"/>
      <c r="DU792" s="13"/>
      <c r="DV792" s="12"/>
      <c r="DW792" s="12"/>
      <c r="DX792" s="13"/>
      <c r="DY792" s="13"/>
      <c r="DZ792" s="15">
        <v>28610.0</v>
      </c>
      <c r="EA792" s="15">
        <v>47860.0</v>
      </c>
      <c r="EB792" s="15">
        <v>76760.0</v>
      </c>
      <c r="EC792" s="15">
        <v>74080.0</v>
      </c>
      <c r="ED792" s="15">
        <v>94740.0</v>
      </c>
      <c r="EE792" s="17">
        <v>0.0</v>
      </c>
      <c r="EF792" s="17">
        <v>0.0</v>
      </c>
      <c r="EG792" s="17">
        <v>0.8</v>
      </c>
      <c r="EH792" s="17">
        <v>0.229</v>
      </c>
    </row>
    <row r="793">
      <c r="A793" s="9">
        <f t="shared" si="2"/>
        <v>791</v>
      </c>
      <c r="B793" s="22" t="s">
        <v>928</v>
      </c>
      <c r="C793" s="11">
        <v>188250.0</v>
      </c>
      <c r="D793" s="11">
        <v>114880.0</v>
      </c>
      <c r="E793" s="11">
        <v>40890.0</v>
      </c>
      <c r="F793" s="11">
        <v>30340.0</v>
      </c>
      <c r="G793" s="11">
        <v>1610.0</v>
      </c>
      <c r="H793" s="11">
        <v>154.0</v>
      </c>
      <c r="I793" s="11">
        <v>250.0</v>
      </c>
      <c r="J793" s="11">
        <v>37510.0</v>
      </c>
      <c r="K793" s="12"/>
      <c r="L793" s="12"/>
      <c r="M793" s="12"/>
      <c r="N793" s="12"/>
      <c r="O793" s="11">
        <v>226790.0</v>
      </c>
      <c r="P793" s="11">
        <v>209480.0</v>
      </c>
      <c r="Q793" s="11">
        <v>131430.0</v>
      </c>
      <c r="R793" s="11">
        <v>110170.0</v>
      </c>
      <c r="S793" s="11">
        <v>118690.0</v>
      </c>
      <c r="T793" s="11">
        <v>121370.0</v>
      </c>
      <c r="U793" s="11">
        <v>161370.0</v>
      </c>
      <c r="V793" s="11">
        <v>107270.0</v>
      </c>
      <c r="W793" s="11">
        <v>86940.0</v>
      </c>
      <c r="X793" s="11">
        <v>97740.0</v>
      </c>
      <c r="Y793" s="12"/>
      <c r="Z793" s="12"/>
      <c r="AA793" s="12"/>
      <c r="AB793" s="12"/>
      <c r="AC793" s="12"/>
      <c r="AD793" s="11">
        <v>-199550.0</v>
      </c>
      <c r="AE793" s="11">
        <v>-178380.0</v>
      </c>
      <c r="AF793" s="11">
        <v>-128920.0</v>
      </c>
      <c r="AG793" s="11">
        <v>-109440.0</v>
      </c>
      <c r="AH793" s="11">
        <v>-118180.0</v>
      </c>
      <c r="AI793" s="11">
        <v>-188300.0</v>
      </c>
      <c r="AJ793" s="11">
        <v>-179150.0</v>
      </c>
      <c r="AK793" s="11">
        <v>-129830.0</v>
      </c>
      <c r="AL793" s="11">
        <v>-110020.0</v>
      </c>
      <c r="AM793" s="11">
        <v>-118440.0</v>
      </c>
      <c r="AN793" s="11">
        <v>-199590.0</v>
      </c>
      <c r="AO793" s="11">
        <v>-178410.0</v>
      </c>
      <c r="AP793" s="11">
        <v>-128980.0</v>
      </c>
      <c r="AQ793" s="11">
        <v>-109580.0</v>
      </c>
      <c r="AR793" s="11">
        <v>-118180.0</v>
      </c>
      <c r="AS793" s="11">
        <v>-189650.0</v>
      </c>
      <c r="AT793" s="11">
        <v>-159120.0</v>
      </c>
      <c r="AU793" s="11">
        <v>-73720.0</v>
      </c>
      <c r="AV793" s="11">
        <v>-84390.0</v>
      </c>
      <c r="AW793" s="11">
        <v>-94030.0</v>
      </c>
      <c r="AX793" s="11">
        <v>-206.0</v>
      </c>
      <c r="AY793" s="11">
        <v>-2360.0</v>
      </c>
      <c r="AZ793" s="11">
        <v>-62.0</v>
      </c>
      <c r="BA793" s="11">
        <v>-70.0</v>
      </c>
      <c r="BB793" s="11">
        <v>-1420.0</v>
      </c>
      <c r="BC793" s="12"/>
      <c r="BD793" s="12"/>
      <c r="BE793" s="12"/>
      <c r="BF793" s="12"/>
      <c r="BG793" s="12"/>
      <c r="BH793" s="11">
        <v>263070.0</v>
      </c>
      <c r="BI793" s="11">
        <v>328200.0</v>
      </c>
      <c r="BJ793" s="11">
        <v>146670.0</v>
      </c>
      <c r="BK793" s="11">
        <v>129550.0</v>
      </c>
      <c r="BL793" s="11">
        <v>175630.0</v>
      </c>
      <c r="BM793" s="11">
        <v>7860.0</v>
      </c>
      <c r="BN793" s="12"/>
      <c r="BO793" s="12"/>
      <c r="BP793" s="12"/>
      <c r="BQ793" s="12"/>
      <c r="BR793" s="11">
        <v>346.0</v>
      </c>
      <c r="BS793" s="12"/>
      <c r="BT793" s="12"/>
      <c r="BU793" s="12"/>
      <c r="BV793" s="12"/>
      <c r="BW793" s="11">
        <v>278570.0</v>
      </c>
      <c r="BX793" s="11">
        <v>334610.0</v>
      </c>
      <c r="BY793" s="11">
        <v>148420.0</v>
      </c>
      <c r="BZ793" s="11">
        <v>131640.0</v>
      </c>
      <c r="CA793" s="11">
        <v>177600.0</v>
      </c>
      <c r="CB793" s="11">
        <v>13660.0</v>
      </c>
      <c r="CC793" s="11">
        <v>3860.0</v>
      </c>
      <c r="CD793" s="11">
        <v>2190.0</v>
      </c>
      <c r="CE793" s="11">
        <v>2840.0</v>
      </c>
      <c r="CF793" s="11">
        <v>3480.0</v>
      </c>
      <c r="CG793" s="12"/>
      <c r="CH793" s="12"/>
      <c r="CI793" s="12"/>
      <c r="CJ793" s="12"/>
      <c r="CK793" s="12"/>
      <c r="CL793" s="11">
        <v>294960.0</v>
      </c>
      <c r="CM793" s="11">
        <v>341190.0</v>
      </c>
      <c r="CN793" s="11">
        <v>180290.0</v>
      </c>
      <c r="CO793" s="11">
        <v>180390.0</v>
      </c>
      <c r="CP793" s="11">
        <v>215440.0</v>
      </c>
      <c r="CQ793" s="11">
        <v>985.0</v>
      </c>
      <c r="CR793" s="11">
        <v>4330.0</v>
      </c>
      <c r="CS793" s="11">
        <v>5670.0</v>
      </c>
      <c r="CT793" s="11">
        <v>4750.0</v>
      </c>
      <c r="CU793" s="11">
        <v>3810.0</v>
      </c>
      <c r="CV793" s="11">
        <v>46350.0</v>
      </c>
      <c r="CW793" s="11">
        <v>1650.0</v>
      </c>
      <c r="CX793" s="12"/>
      <c r="CY793" s="12"/>
      <c r="CZ793" s="12"/>
      <c r="DA793" s="12"/>
      <c r="DB793" s="11">
        <v>46350.0</v>
      </c>
      <c r="DC793" s="11">
        <v>46900.0</v>
      </c>
      <c r="DD793" s="11">
        <v>49470.0</v>
      </c>
      <c r="DE793" s="11">
        <v>16480.0</v>
      </c>
      <c r="DF793" s="11">
        <v>245190.0</v>
      </c>
      <c r="DG793" s="11">
        <v>158020.0</v>
      </c>
      <c r="DH793" s="11">
        <v>50830.0</v>
      </c>
      <c r="DI793" s="11">
        <v>18140.0</v>
      </c>
      <c r="DJ793" s="11">
        <v>17080.0</v>
      </c>
      <c r="DK793" s="11">
        <v>2730.0</v>
      </c>
      <c r="DL793" s="11">
        <v>2720.0</v>
      </c>
      <c r="DM793" s="11">
        <v>29690.0</v>
      </c>
      <c r="DN793" s="11">
        <v>45910.0</v>
      </c>
      <c r="DO793" s="11">
        <v>34360.0</v>
      </c>
      <c r="DP793" s="11">
        <v>123060.0</v>
      </c>
      <c r="DQ793" s="11">
        <v>102660.0</v>
      </c>
      <c r="DR793" s="12"/>
      <c r="DS793" s="12"/>
      <c r="DT793" s="12"/>
      <c r="DU793" s="13"/>
      <c r="DV793" s="12"/>
      <c r="DW793" s="12"/>
      <c r="DX793" s="13"/>
      <c r="DY793" s="13"/>
      <c r="DZ793" s="11">
        <v>49770.0</v>
      </c>
      <c r="EA793" s="11">
        <v>183170.0</v>
      </c>
      <c r="EB793" s="11">
        <v>129460.0</v>
      </c>
      <c r="EC793" s="11">
        <v>162240.0</v>
      </c>
      <c r="ED793" s="11">
        <v>198370.0</v>
      </c>
      <c r="EE793" s="14">
        <v>0.566</v>
      </c>
      <c r="EF793" s="14">
        <v>0.632</v>
      </c>
      <c r="EG793" s="14">
        <v>-0.086</v>
      </c>
      <c r="EH793" s="14">
        <v>-0.039</v>
      </c>
    </row>
    <row r="794">
      <c r="A794" s="9">
        <f t="shared" si="2"/>
        <v>792</v>
      </c>
      <c r="B794" s="10" t="s">
        <v>929</v>
      </c>
      <c r="C794" s="11">
        <v>1.2687E8</v>
      </c>
      <c r="D794" s="11">
        <v>1.2936E8</v>
      </c>
      <c r="E794" s="11">
        <v>1.2229E8</v>
      </c>
      <c r="F794" s="11">
        <v>1.2116E8</v>
      </c>
      <c r="G794" s="11">
        <v>1.2266E8</v>
      </c>
      <c r="H794" s="11">
        <v>1.1534E8</v>
      </c>
      <c r="I794" s="11">
        <v>1.0983E8</v>
      </c>
      <c r="J794" s="11">
        <v>2.434E7</v>
      </c>
      <c r="K794" s="11">
        <v>2.38E7</v>
      </c>
      <c r="L794" s="11">
        <v>2.456E7</v>
      </c>
      <c r="M794" s="11">
        <v>2.35E7</v>
      </c>
      <c r="N794" s="11">
        <v>2.225E7</v>
      </c>
      <c r="O794" s="11">
        <v>2.183E7</v>
      </c>
      <c r="P794" s="11">
        <v>2.11E7</v>
      </c>
      <c r="Q794" s="11">
        <v>2.159E7</v>
      </c>
      <c r="R794" s="11">
        <v>2.006E7</v>
      </c>
      <c r="S794" s="11">
        <v>1.862E7</v>
      </c>
      <c r="T794" s="11"/>
      <c r="U794" s="11"/>
      <c r="V794" s="11"/>
      <c r="W794" s="11"/>
      <c r="X794" s="11"/>
      <c r="Y794" s="11">
        <v>2250000.0</v>
      </c>
      <c r="Z794" s="11">
        <v>2620000.0</v>
      </c>
      <c r="AA794" s="11">
        <v>-365000.0</v>
      </c>
      <c r="AB794" s="11">
        <v>3410000.0</v>
      </c>
      <c r="AC794" s="11">
        <v>3580000.0</v>
      </c>
      <c r="AD794" s="11">
        <v>1980000.0</v>
      </c>
      <c r="AE794" s="11">
        <v>3980000.0</v>
      </c>
      <c r="AF794" s="11">
        <v>1480000.0</v>
      </c>
      <c r="AG794" s="11">
        <v>2910000.0</v>
      </c>
      <c r="AH794" s="11">
        <v>3090000.0</v>
      </c>
      <c r="AI794" s="11">
        <v>5800000.0</v>
      </c>
      <c r="AJ794" s="11">
        <v>5170000.0</v>
      </c>
      <c r="AK794" s="11">
        <v>5410000.0</v>
      </c>
      <c r="AL794" s="11">
        <v>5780000.0</v>
      </c>
      <c r="AM794" s="11">
        <v>5710000.0</v>
      </c>
      <c r="AN794" s="11">
        <v>1640000.0</v>
      </c>
      <c r="AO794" s="11">
        <v>3080000.0</v>
      </c>
      <c r="AP794" s="11">
        <v>1890000.0</v>
      </c>
      <c r="AQ794" s="11">
        <v>1960000.0</v>
      </c>
      <c r="AR794" s="11">
        <v>2020000.0</v>
      </c>
      <c r="AS794" s="11">
        <v>5300000.0</v>
      </c>
      <c r="AT794" s="11">
        <v>4180000.0</v>
      </c>
      <c r="AU794" s="11">
        <v>3680000.0</v>
      </c>
      <c r="AV794" s="11">
        <v>4260000.0</v>
      </c>
      <c r="AW794" s="11">
        <v>4740000.0</v>
      </c>
      <c r="AX794" s="11">
        <v>-3130000.0</v>
      </c>
      <c r="AY794" s="11">
        <v>-2970000.0</v>
      </c>
      <c r="AZ794" s="11">
        <v>-2810000.0</v>
      </c>
      <c r="BA794" s="11">
        <v>-3700000.0</v>
      </c>
      <c r="BB794" s="11">
        <v>-3350000.0</v>
      </c>
      <c r="BC794" s="11">
        <v>-486000.0</v>
      </c>
      <c r="BD794" s="11">
        <v>-437000.0</v>
      </c>
      <c r="BE794" s="11">
        <v>-443000.0</v>
      </c>
      <c r="BF794" s="11">
        <v>-429000.0</v>
      </c>
      <c r="BG794" s="11">
        <v>-385000.0</v>
      </c>
      <c r="BH794" s="11">
        <v>1580000.0</v>
      </c>
      <c r="BI794" s="11">
        <v>1610000.0</v>
      </c>
      <c r="BJ794" s="11">
        <v>1510000.0</v>
      </c>
      <c r="BK794" s="11">
        <v>1230000.0</v>
      </c>
      <c r="BL794" s="11">
        <v>1200000.0</v>
      </c>
      <c r="BM794" s="11">
        <v>1710000.0</v>
      </c>
      <c r="BN794" s="11">
        <v>1590000.0</v>
      </c>
      <c r="BO794" s="11">
        <v>1640000.0</v>
      </c>
      <c r="BP794" s="11">
        <v>1650000.0</v>
      </c>
      <c r="BQ794" s="11">
        <v>1730000.0</v>
      </c>
      <c r="BR794" s="11">
        <v>7080000.0</v>
      </c>
      <c r="BS794" s="11">
        <v>6850000.0</v>
      </c>
      <c r="BT794" s="11">
        <v>6530000.0</v>
      </c>
      <c r="BU794" s="11">
        <v>6560000.0</v>
      </c>
      <c r="BV794" s="11">
        <v>6170000.0</v>
      </c>
      <c r="BW794" s="11">
        <v>1.089E7</v>
      </c>
      <c r="BX794" s="11">
        <v>1.08E7</v>
      </c>
      <c r="BY794" s="11">
        <v>1.112E7</v>
      </c>
      <c r="BZ794" s="11">
        <v>1.034E7</v>
      </c>
      <c r="CA794" s="11">
        <v>9890000.0</v>
      </c>
      <c r="CB794" s="11">
        <v>2.869E7</v>
      </c>
      <c r="CC794" s="11">
        <v>2.164E7</v>
      </c>
      <c r="CD794" s="11">
        <v>2.107E7</v>
      </c>
      <c r="CE794" s="11">
        <v>2.102E7</v>
      </c>
      <c r="CF794" s="11">
        <v>1.962E7</v>
      </c>
      <c r="CG794" s="11">
        <v>3080000.0</v>
      </c>
      <c r="CH794" s="11">
        <v>3090000.0</v>
      </c>
      <c r="CI794" s="11">
        <v>2930000.0</v>
      </c>
      <c r="CJ794" s="11">
        <v>3030000.0</v>
      </c>
      <c r="CK794" s="11">
        <v>2720000.0</v>
      </c>
      <c r="CL794" s="11">
        <v>4.79E7</v>
      </c>
      <c r="CM794" s="11">
        <v>3.87E7</v>
      </c>
      <c r="CN794" s="11">
        <v>3.781E7</v>
      </c>
      <c r="CO794" s="11">
        <v>3.753E7</v>
      </c>
      <c r="CP794" s="11">
        <v>3.49E7</v>
      </c>
      <c r="CQ794" s="11">
        <v>6350000.0</v>
      </c>
      <c r="CR794" s="11">
        <v>6060000.0</v>
      </c>
      <c r="CS794" s="11">
        <v>5860000.0</v>
      </c>
      <c r="CT794" s="11">
        <v>5820000.0</v>
      </c>
      <c r="CU794" s="11">
        <v>5730000.0</v>
      </c>
      <c r="CV794" s="11">
        <v>1.424E7</v>
      </c>
      <c r="CW794" s="11">
        <v>597000.0</v>
      </c>
      <c r="CX794" s="12"/>
      <c r="CY794" s="12"/>
      <c r="CZ794" s="13"/>
      <c r="DA794" s="12"/>
      <c r="DB794" s="11">
        <v>1.424E7</v>
      </c>
      <c r="DC794" s="11">
        <v>1.427E7</v>
      </c>
      <c r="DD794" s="11">
        <v>1.42E7</v>
      </c>
      <c r="DE794" s="11">
        <v>1.286E7</v>
      </c>
      <c r="DF794" s="11">
        <v>3.933E7</v>
      </c>
      <c r="DG794" s="11">
        <v>3.087E7</v>
      </c>
      <c r="DH794" s="11">
        <v>3.09E7</v>
      </c>
      <c r="DI794" s="11">
        <v>3.082E7</v>
      </c>
      <c r="DJ794" s="11">
        <v>2.81E7</v>
      </c>
      <c r="DK794" s="11">
        <v>278000.0</v>
      </c>
      <c r="DL794" s="11">
        <v>155000.0</v>
      </c>
      <c r="DM794" s="11">
        <v>176000.0</v>
      </c>
      <c r="DN794" s="11">
        <v>151000.0</v>
      </c>
      <c r="DO794" s="11">
        <v>128000.0</v>
      </c>
      <c r="DP794" s="28">
        <v>1.862E7</v>
      </c>
      <c r="DQ794" s="28">
        <v>1.207E7</v>
      </c>
      <c r="DR794" s="28">
        <v>1.203E7</v>
      </c>
      <c r="DS794" s="28">
        <v>1.183E7</v>
      </c>
      <c r="DT794" s="28">
        <v>9710000.0</v>
      </c>
      <c r="DU794" s="13"/>
      <c r="DV794" s="12"/>
      <c r="DW794" s="12"/>
      <c r="DX794" s="12"/>
      <c r="DY794" s="12"/>
      <c r="DZ794" s="11">
        <v>8600000.0</v>
      </c>
      <c r="EA794" s="11">
        <v>7890000.0</v>
      </c>
      <c r="EB794" s="11">
        <v>6930000.0</v>
      </c>
      <c r="EC794" s="11">
        <v>6700000.0</v>
      </c>
      <c r="ED794" s="11">
        <v>6820000.0</v>
      </c>
      <c r="EE794" s="14">
        <v>0.043</v>
      </c>
      <c r="EF794" s="14">
        <v>0.098</v>
      </c>
      <c r="EG794" s="14">
        <v>0.119</v>
      </c>
      <c r="EH794" s="14">
        <v>0.052</v>
      </c>
    </row>
    <row r="795">
      <c r="A795" s="9">
        <f t="shared" si="2"/>
        <v>793</v>
      </c>
      <c r="B795" s="25" t="s">
        <v>930</v>
      </c>
      <c r="C795" s="15">
        <v>1600000.0</v>
      </c>
      <c r="D795" s="15">
        <v>1520000.0</v>
      </c>
      <c r="E795" s="15">
        <v>1800000.0</v>
      </c>
      <c r="F795" s="15">
        <v>2010000.0</v>
      </c>
      <c r="G795" s="15">
        <v>1960000.0</v>
      </c>
      <c r="H795" s="15">
        <v>1740000.0</v>
      </c>
      <c r="I795" s="15">
        <v>1030000.0</v>
      </c>
      <c r="J795" s="15">
        <v>299080.0</v>
      </c>
      <c r="K795" s="15">
        <v>443300.0</v>
      </c>
      <c r="L795" s="15">
        <v>415940.0</v>
      </c>
      <c r="M795" s="15">
        <v>356370.0</v>
      </c>
      <c r="N795" s="15">
        <v>172360.0</v>
      </c>
      <c r="O795" s="15">
        <v>179450.0</v>
      </c>
      <c r="P795" s="15">
        <v>195190.0</v>
      </c>
      <c r="Q795" s="15">
        <v>201540.0</v>
      </c>
      <c r="R795" s="15">
        <v>186520.0</v>
      </c>
      <c r="S795" s="15">
        <v>146630.0</v>
      </c>
      <c r="T795" s="15">
        <v>41070.0</v>
      </c>
      <c r="U795" s="15">
        <v>41300.0</v>
      </c>
      <c r="V795" s="15">
        <v>40280.0</v>
      </c>
      <c r="W795" s="15">
        <v>39490.0</v>
      </c>
      <c r="X795" s="15">
        <v>31020.0</v>
      </c>
      <c r="Y795" s="15">
        <v>120710.0</v>
      </c>
      <c r="Z795" s="15">
        <v>174140.0</v>
      </c>
      <c r="AA795" s="15">
        <v>-42890.0</v>
      </c>
      <c r="AB795" s="15">
        <v>125830.0</v>
      </c>
      <c r="AC795" s="15">
        <v>-1700.0</v>
      </c>
      <c r="AD795" s="15">
        <v>44000.0</v>
      </c>
      <c r="AE795" s="15">
        <v>74100.0</v>
      </c>
      <c r="AF795" s="15">
        <v>34760.0</v>
      </c>
      <c r="AG795" s="15">
        <v>12690.0</v>
      </c>
      <c r="AH795" s="15">
        <v>-5590.0</v>
      </c>
      <c r="AI795" s="15">
        <v>255800.0</v>
      </c>
      <c r="AJ795" s="15">
        <v>389510.0</v>
      </c>
      <c r="AK795" s="15">
        <v>351560.0</v>
      </c>
      <c r="AL795" s="15">
        <v>295880.0</v>
      </c>
      <c r="AM795" s="15">
        <v>87820.0</v>
      </c>
      <c r="AN795" s="15">
        <v>50910.0</v>
      </c>
      <c r="AO795" s="15">
        <v>66040.0</v>
      </c>
      <c r="AP795" s="15">
        <v>95720.0</v>
      </c>
      <c r="AQ795" s="15">
        <v>105000.0</v>
      </c>
      <c r="AR795" s="15">
        <v>-10350.0</v>
      </c>
      <c r="AS795" s="15">
        <v>234940.0</v>
      </c>
      <c r="AT795" s="15">
        <v>246580.0</v>
      </c>
      <c r="AU795" s="15">
        <v>255440.0</v>
      </c>
      <c r="AV795" s="15">
        <v>138470.0</v>
      </c>
      <c r="AW795" s="15">
        <v>103850.0</v>
      </c>
      <c r="AX795" s="15">
        <v>-112670.0</v>
      </c>
      <c r="AY795" s="15">
        <v>-111100.0</v>
      </c>
      <c r="AZ795" s="15">
        <v>-122590.0</v>
      </c>
      <c r="BA795" s="15">
        <v>-125450.0</v>
      </c>
      <c r="BB795" s="15">
        <v>-128740.0</v>
      </c>
      <c r="BC795" s="13"/>
      <c r="BD795" s="13"/>
      <c r="BE795" s="13"/>
      <c r="BF795" s="13"/>
      <c r="BG795" s="13"/>
      <c r="BH795" s="15">
        <v>35030.0</v>
      </c>
      <c r="BI795" s="15">
        <v>85890.0</v>
      </c>
      <c r="BJ795" s="15">
        <v>89050.0</v>
      </c>
      <c r="BK795" s="15">
        <v>121750.0</v>
      </c>
      <c r="BL795" s="15">
        <v>70050.0</v>
      </c>
      <c r="BM795" s="15">
        <v>169600.0</v>
      </c>
      <c r="BN795" s="15">
        <v>198050.0</v>
      </c>
      <c r="BO795" s="15">
        <v>196680.0</v>
      </c>
      <c r="BP795" s="15">
        <v>200860.0</v>
      </c>
      <c r="BQ795" s="15">
        <v>105090.0</v>
      </c>
      <c r="BR795" s="15">
        <v>364670.0</v>
      </c>
      <c r="BS795" s="15">
        <v>441480.0</v>
      </c>
      <c r="BT795" s="15">
        <v>393440.0</v>
      </c>
      <c r="BU795" s="15">
        <v>350390.0</v>
      </c>
      <c r="BV795" s="15">
        <v>276250.0</v>
      </c>
      <c r="BW795" s="15">
        <v>648840.0</v>
      </c>
      <c r="BX795" s="15">
        <v>764360.0</v>
      </c>
      <c r="BY795" s="15">
        <v>728550.0</v>
      </c>
      <c r="BZ795" s="15">
        <v>745310.0</v>
      </c>
      <c r="CA795" s="15">
        <v>481340.0</v>
      </c>
      <c r="CB795" s="15">
        <v>1010000.0</v>
      </c>
      <c r="CC795" s="15">
        <v>941480.0</v>
      </c>
      <c r="CD795" s="15">
        <v>958720.0</v>
      </c>
      <c r="CE795" s="15">
        <v>906720.0</v>
      </c>
      <c r="CF795" s="15">
        <v>517670.0</v>
      </c>
      <c r="CG795" s="15">
        <v>772420.0</v>
      </c>
      <c r="CH795" s="15">
        <v>772890.0</v>
      </c>
      <c r="CI795" s="15">
        <v>774320.0</v>
      </c>
      <c r="CJ795" s="15">
        <v>770010.0</v>
      </c>
      <c r="CK795" s="15"/>
      <c r="CL795" s="15">
        <v>2830000.0</v>
      </c>
      <c r="CM795" s="15">
        <v>2890000.0</v>
      </c>
      <c r="CN795" s="15">
        <v>2930000.0</v>
      </c>
      <c r="CO795" s="15">
        <v>2910000.0</v>
      </c>
      <c r="CP795" s="15">
        <v>1080000.0</v>
      </c>
      <c r="CQ795" s="15">
        <v>168540.0</v>
      </c>
      <c r="CR795" s="15">
        <v>203070.0</v>
      </c>
      <c r="CS795" s="15">
        <v>188440.0</v>
      </c>
      <c r="CT795" s="15">
        <v>164750.0</v>
      </c>
      <c r="CU795" s="15">
        <v>73440.0</v>
      </c>
      <c r="CV795" s="15">
        <v>366640.0</v>
      </c>
      <c r="CW795" s="15">
        <v>20910.0</v>
      </c>
      <c r="CX795" s="13"/>
      <c r="CY795" s="13"/>
      <c r="CZ795" s="13"/>
      <c r="DA795" s="12"/>
      <c r="DB795" s="15">
        <v>366640.0</v>
      </c>
      <c r="DC795" s="15">
        <v>349090.0</v>
      </c>
      <c r="DD795" s="15">
        <v>350710.0</v>
      </c>
      <c r="DE795" s="15">
        <v>336970.0</v>
      </c>
      <c r="DF795" s="15">
        <v>2040000.0</v>
      </c>
      <c r="DG795" s="15">
        <v>2150000.0</v>
      </c>
      <c r="DH795" s="15">
        <v>2270000.0</v>
      </c>
      <c r="DI795" s="15">
        <v>2420000.0</v>
      </c>
      <c r="DJ795" s="15">
        <v>686240.0</v>
      </c>
      <c r="DK795" s="15">
        <v>12000.0</v>
      </c>
      <c r="DL795" s="15">
        <v>15710.0</v>
      </c>
      <c r="DM795" s="15">
        <v>16180.0</v>
      </c>
      <c r="DN795" s="15">
        <v>11200.0</v>
      </c>
      <c r="DO795" s="15">
        <v>11630.0</v>
      </c>
      <c r="DP795" s="15">
        <v>1380000.0</v>
      </c>
      <c r="DQ795" s="15">
        <v>1490000.0</v>
      </c>
      <c r="DR795" s="15">
        <v>1570000.0</v>
      </c>
      <c r="DS795" s="15">
        <v>1700000.0</v>
      </c>
      <c r="DT795" s="15">
        <v>415590.0</v>
      </c>
      <c r="DU795" s="13"/>
      <c r="DV795" s="12"/>
      <c r="DW795" s="12"/>
      <c r="DX795" s="13"/>
      <c r="DY795" s="15"/>
      <c r="DZ795" s="15">
        <v>751440.0</v>
      </c>
      <c r="EA795" s="15">
        <v>715140.0</v>
      </c>
      <c r="EB795" s="15">
        <v>636480.0</v>
      </c>
      <c r="EC795" s="15">
        <v>457900.0</v>
      </c>
      <c r="ED795" s="15">
        <v>358740.0</v>
      </c>
      <c r="EE795" s="23">
        <v>0.27</v>
      </c>
      <c r="EF795" s="23">
        <v>0.125</v>
      </c>
      <c r="EG795" s="23">
        <v>5.75</v>
      </c>
      <c r="EH795" s="23">
        <v>0.943</v>
      </c>
    </row>
    <row r="796">
      <c r="A796" s="9">
        <f t="shared" si="2"/>
        <v>794</v>
      </c>
      <c r="B796" s="25" t="s">
        <v>931</v>
      </c>
      <c r="C796" s="15">
        <v>1700000.0</v>
      </c>
      <c r="D796" s="15">
        <v>1590000.0</v>
      </c>
      <c r="E796" s="15">
        <v>1730000.0</v>
      </c>
      <c r="F796" s="15">
        <v>1660000.0</v>
      </c>
      <c r="G796" s="15">
        <v>1730000.0</v>
      </c>
      <c r="H796" s="15">
        <v>1360000.0</v>
      </c>
      <c r="I796" s="15">
        <v>1350000.0</v>
      </c>
      <c r="J796" s="15">
        <v>386200.0</v>
      </c>
      <c r="K796" s="15">
        <v>562200.0</v>
      </c>
      <c r="L796" s="15">
        <v>569700.0</v>
      </c>
      <c r="M796" s="15">
        <v>257000.0</v>
      </c>
      <c r="N796" s="15">
        <v>203100.0</v>
      </c>
      <c r="O796" s="15">
        <v>243300.0</v>
      </c>
      <c r="P796" s="15">
        <v>242800.0</v>
      </c>
      <c r="Q796" s="15">
        <v>214500.0</v>
      </c>
      <c r="R796" s="15">
        <v>185300.0</v>
      </c>
      <c r="S796" s="15">
        <v>180700.0</v>
      </c>
      <c r="T796" s="15">
        <v>17000.0</v>
      </c>
      <c r="U796" s="15">
        <v>16000.0</v>
      </c>
      <c r="V796" s="15">
        <v>18000.0</v>
      </c>
      <c r="W796" s="15">
        <v>13000.0</v>
      </c>
      <c r="X796" s="15">
        <v>16000.0</v>
      </c>
      <c r="Y796" s="15">
        <v>146500.0</v>
      </c>
      <c r="Z796" s="15">
        <v>312900.0</v>
      </c>
      <c r="AA796" s="15">
        <v>-7100.0</v>
      </c>
      <c r="AB796" s="15"/>
      <c r="AC796" s="15">
        <v>-12200.0</v>
      </c>
      <c r="AD796" s="15">
        <v>121100.0</v>
      </c>
      <c r="AE796" s="15">
        <v>293800.0</v>
      </c>
      <c r="AF796" s="15">
        <v>305700.0</v>
      </c>
      <c r="AG796" s="15">
        <v>61200.0</v>
      </c>
      <c r="AH796" s="15">
        <v>-30800.0</v>
      </c>
      <c r="AI796" s="15">
        <v>198900.0</v>
      </c>
      <c r="AJ796" s="15">
        <v>369900.0</v>
      </c>
      <c r="AK796" s="15">
        <v>396900.0</v>
      </c>
      <c r="AL796" s="15">
        <v>116400.0</v>
      </c>
      <c r="AM796" s="15">
        <v>63600.0</v>
      </c>
      <c r="AN796" s="15">
        <v>87100.0</v>
      </c>
      <c r="AO796" s="15">
        <v>205000.0</v>
      </c>
      <c r="AP796" s="15">
        <v>354500.0</v>
      </c>
      <c r="AQ796" s="15">
        <v>43300.0</v>
      </c>
      <c r="AR796" s="15">
        <v>-173600.0</v>
      </c>
      <c r="AS796" s="15">
        <v>160300.0</v>
      </c>
      <c r="AT796" s="15">
        <v>188400.0</v>
      </c>
      <c r="AU796" s="15">
        <v>276100.0</v>
      </c>
      <c r="AV796" s="15">
        <v>89600.0</v>
      </c>
      <c r="AW796" s="15">
        <v>52100.0</v>
      </c>
      <c r="AX796" s="15">
        <v>-55100.0</v>
      </c>
      <c r="AY796" s="15">
        <v>-56300.0</v>
      </c>
      <c r="AZ796" s="15">
        <v>-64300.0</v>
      </c>
      <c r="BA796" s="15">
        <v>-53000.0</v>
      </c>
      <c r="BB796" s="15">
        <v>-47100.0</v>
      </c>
      <c r="BC796" s="15">
        <v>-83400.0</v>
      </c>
      <c r="BD796" s="15">
        <v>-78800.0</v>
      </c>
      <c r="BE796" s="15">
        <v>-69500.0</v>
      </c>
      <c r="BF796" s="15">
        <v>-69500.0</v>
      </c>
      <c r="BG796" s="15">
        <v>-69500.0</v>
      </c>
      <c r="BH796" s="15">
        <v>392300.0</v>
      </c>
      <c r="BI796" s="15">
        <v>374700.0</v>
      </c>
      <c r="BJ796" s="15">
        <v>323700.0</v>
      </c>
      <c r="BK796" s="15">
        <v>52300.0</v>
      </c>
      <c r="BL796" s="15">
        <v>94300.0</v>
      </c>
      <c r="BM796" s="15">
        <v>309400.0</v>
      </c>
      <c r="BN796" s="15">
        <v>312500.0</v>
      </c>
      <c r="BO796" s="15">
        <v>346500.0</v>
      </c>
      <c r="BP796" s="15">
        <v>244600.0</v>
      </c>
      <c r="BQ796" s="15">
        <v>220800.0</v>
      </c>
      <c r="BR796" s="15">
        <v>503000.0</v>
      </c>
      <c r="BS796" s="15">
        <v>497900.0</v>
      </c>
      <c r="BT796" s="15">
        <v>382300.0</v>
      </c>
      <c r="BU796" s="15">
        <v>343500.0</v>
      </c>
      <c r="BV796" s="15">
        <v>387200.0</v>
      </c>
      <c r="BW796" s="15">
        <v>1220000.0</v>
      </c>
      <c r="BX796" s="15">
        <v>1200000.0</v>
      </c>
      <c r="BY796" s="15">
        <v>1060000.0</v>
      </c>
      <c r="BZ796" s="15">
        <v>650400.0</v>
      </c>
      <c r="CA796" s="15">
        <v>710800.0</v>
      </c>
      <c r="CB796" s="15">
        <v>519600.0</v>
      </c>
      <c r="CC796" s="15">
        <v>486400.0</v>
      </c>
      <c r="CD796" s="15">
        <v>506400.0</v>
      </c>
      <c r="CE796" s="15">
        <v>434000.0</v>
      </c>
      <c r="CF796" s="15">
        <v>429500.0</v>
      </c>
      <c r="CG796" s="15"/>
      <c r="CH796" s="15"/>
      <c r="CI796" s="15"/>
      <c r="CJ796" s="15"/>
      <c r="CK796" s="15"/>
      <c r="CL796" s="15">
        <v>1970000.0</v>
      </c>
      <c r="CM796" s="15">
        <v>1900000.0</v>
      </c>
      <c r="CN796" s="15">
        <v>1820000.0</v>
      </c>
      <c r="CO796" s="15">
        <v>1180000.0</v>
      </c>
      <c r="CP796" s="15">
        <v>1240000.0</v>
      </c>
      <c r="CQ796" s="15">
        <v>137200.0</v>
      </c>
      <c r="CR796" s="15">
        <v>130300.0</v>
      </c>
      <c r="CS796" s="15">
        <v>124100.0</v>
      </c>
      <c r="CT796" s="15">
        <v>99600.0</v>
      </c>
      <c r="CU796" s="15">
        <v>115600.0</v>
      </c>
      <c r="CV796" s="15">
        <v>270600.0</v>
      </c>
      <c r="CW796" s="15">
        <v>6200.0</v>
      </c>
      <c r="CX796" s="15"/>
      <c r="CY796" s="15"/>
      <c r="CZ796" s="15"/>
      <c r="DA796" s="15"/>
      <c r="DB796" s="15">
        <v>270600.0</v>
      </c>
      <c r="DC796" s="15">
        <v>233400.0</v>
      </c>
      <c r="DD796" s="15">
        <v>231500.0</v>
      </c>
      <c r="DE796" s="15">
        <v>182100.0</v>
      </c>
      <c r="DF796" s="15">
        <v>1150000.0</v>
      </c>
      <c r="DG796" s="15">
        <v>1060000.0</v>
      </c>
      <c r="DH796" s="15">
        <v>1070000.0</v>
      </c>
      <c r="DI796" s="15">
        <v>784600.0</v>
      </c>
      <c r="DJ796" s="15">
        <v>780800.0</v>
      </c>
      <c r="DK796" s="15">
        <v>93500.0</v>
      </c>
      <c r="DL796" s="15">
        <v>84700.0</v>
      </c>
      <c r="DM796" s="15">
        <v>97200.0</v>
      </c>
      <c r="DN796" s="15">
        <v>84900.0</v>
      </c>
      <c r="DO796" s="15">
        <v>85300.0</v>
      </c>
      <c r="DP796" s="15">
        <v>466200.0</v>
      </c>
      <c r="DQ796" s="15">
        <v>455100.0</v>
      </c>
      <c r="DR796" s="15">
        <v>473800.0</v>
      </c>
      <c r="DS796" s="15">
        <v>335400.0</v>
      </c>
      <c r="DT796" s="15">
        <v>337200.0</v>
      </c>
      <c r="DU796" s="15"/>
      <c r="DV796" s="15"/>
      <c r="DW796" s="15"/>
      <c r="DX796" s="15"/>
      <c r="DY796" s="15"/>
      <c r="DZ796" s="15">
        <v>816100.0</v>
      </c>
      <c r="EA796" s="15">
        <v>839800.0</v>
      </c>
      <c r="EB796" s="15">
        <v>754300.0</v>
      </c>
      <c r="EC796" s="15">
        <v>395000.0</v>
      </c>
      <c r="ED796" s="15">
        <v>461900.0</v>
      </c>
      <c r="EE796" s="30">
        <v>0.132</v>
      </c>
      <c r="EF796" s="30">
        <v>0.053</v>
      </c>
      <c r="EG796" s="30">
        <v>0.533</v>
      </c>
      <c r="EH796" s="30">
        <v>0.002</v>
      </c>
    </row>
    <row r="797">
      <c r="A797" s="9">
        <f t="shared" si="2"/>
        <v>795</v>
      </c>
      <c r="B797" s="22" t="s">
        <v>932</v>
      </c>
      <c r="C797" s="12"/>
      <c r="D797" s="12"/>
      <c r="E797" s="11">
        <v>10000.0</v>
      </c>
      <c r="F797" s="11">
        <v>10000.0</v>
      </c>
      <c r="G797" s="12"/>
      <c r="H797" s="12"/>
      <c r="I797" s="12"/>
      <c r="J797" s="12"/>
      <c r="K797" s="12"/>
      <c r="L797" s="12"/>
      <c r="M797" s="12"/>
      <c r="N797" s="12"/>
      <c r="O797" s="11">
        <v>20130.0</v>
      </c>
      <c r="P797" s="11">
        <v>11390.0</v>
      </c>
      <c r="Q797" s="12"/>
      <c r="R797" s="12"/>
      <c r="S797" s="12"/>
      <c r="T797" s="11">
        <v>17380.0</v>
      </c>
      <c r="U797" s="11">
        <v>10110.0</v>
      </c>
      <c r="V797" s="12"/>
      <c r="W797" s="12"/>
      <c r="X797" s="12"/>
      <c r="Y797" s="11">
        <v>-13130.0</v>
      </c>
      <c r="Z797" s="11">
        <v>-1730.0</v>
      </c>
      <c r="AA797" s="12"/>
      <c r="AB797" s="12"/>
      <c r="AC797" s="12"/>
      <c r="AD797" s="11">
        <v>-12340.0</v>
      </c>
      <c r="AE797" s="11">
        <v>-1080.0</v>
      </c>
      <c r="AF797" s="12"/>
      <c r="AG797" s="12"/>
      <c r="AH797" s="12"/>
      <c r="AI797" s="11">
        <v>-10130.0</v>
      </c>
      <c r="AJ797" s="11">
        <v>-1390.0</v>
      </c>
      <c r="AK797" s="12"/>
      <c r="AL797" s="12"/>
      <c r="AM797" s="12"/>
      <c r="AN797" s="11">
        <v>-12340.0</v>
      </c>
      <c r="AO797" s="11">
        <v>-1340.0</v>
      </c>
      <c r="AP797" s="12"/>
      <c r="AQ797" s="12"/>
      <c r="AR797" s="12"/>
      <c r="AS797" s="11">
        <v>-15790.0</v>
      </c>
      <c r="AT797" s="11">
        <v>7190.0</v>
      </c>
      <c r="AU797" s="12"/>
      <c r="AV797" s="12"/>
      <c r="AW797" s="12"/>
      <c r="AX797" s="11">
        <v>-271.0</v>
      </c>
      <c r="AY797" s="11">
        <v>-217.0</v>
      </c>
      <c r="AZ797" s="12"/>
      <c r="BA797" s="12"/>
      <c r="BB797" s="12"/>
      <c r="BC797" s="12"/>
      <c r="BD797" s="12"/>
      <c r="BE797" s="12"/>
      <c r="BF797" s="12"/>
      <c r="BG797" s="12"/>
      <c r="BH797" s="11">
        <v>7020.0</v>
      </c>
      <c r="BI797" s="11">
        <v>23260.0</v>
      </c>
      <c r="BJ797" s="12"/>
      <c r="BK797" s="12"/>
      <c r="BL797" s="12"/>
      <c r="BM797" s="11">
        <v>922.0</v>
      </c>
      <c r="BN797" s="12"/>
      <c r="BO797" s="12"/>
      <c r="BP797" s="12"/>
      <c r="BQ797" s="12"/>
      <c r="BR797" s="12"/>
      <c r="BS797" s="12"/>
      <c r="BT797" s="12"/>
      <c r="BU797" s="12"/>
      <c r="BV797" s="12"/>
      <c r="BW797" s="11">
        <v>8320.0</v>
      </c>
      <c r="BX797" s="11">
        <v>25530.0</v>
      </c>
      <c r="BY797" s="12"/>
      <c r="BZ797" s="12"/>
      <c r="CA797" s="12"/>
      <c r="CB797" s="11">
        <v>1910.0</v>
      </c>
      <c r="CC797" s="11">
        <v>1380.0</v>
      </c>
      <c r="CD797" s="12"/>
      <c r="CE797" s="12"/>
      <c r="CF797" s="12"/>
      <c r="CG797" s="12"/>
      <c r="CH797" s="12"/>
      <c r="CI797" s="12"/>
      <c r="CJ797" s="12"/>
      <c r="CK797" s="12"/>
      <c r="CL797" s="11">
        <v>10960.0</v>
      </c>
      <c r="CM797" s="11">
        <v>27410.0</v>
      </c>
      <c r="CN797" s="12"/>
      <c r="CO797" s="12"/>
      <c r="CP797" s="12"/>
      <c r="CQ797" s="11">
        <v>2090.0</v>
      </c>
      <c r="CR797" s="11">
        <v>501.0</v>
      </c>
      <c r="CS797" s="12"/>
      <c r="CT797" s="12"/>
      <c r="CU797" s="12"/>
      <c r="CV797" s="11">
        <v>4490.0</v>
      </c>
      <c r="CW797" s="11">
        <v>376.0</v>
      </c>
      <c r="CX797" s="11">
        <v>166.0</v>
      </c>
      <c r="CY797" s="12"/>
      <c r="CZ797" s="12"/>
      <c r="DA797" s="12"/>
      <c r="DB797" s="11">
        <v>4490.0</v>
      </c>
      <c r="DC797" s="11">
        <v>11470.0</v>
      </c>
      <c r="DD797" s="12"/>
      <c r="DE797" s="12"/>
      <c r="DF797" s="11">
        <v>30400.0</v>
      </c>
      <c r="DG797" s="11">
        <v>34600.0</v>
      </c>
      <c r="DH797" s="12"/>
      <c r="DI797" s="12"/>
      <c r="DJ797" s="12"/>
      <c r="DK797" s="11">
        <v>115.0</v>
      </c>
      <c r="DL797" s="11">
        <v>131.0</v>
      </c>
      <c r="DM797" s="12"/>
      <c r="DN797" s="12"/>
      <c r="DO797" s="12"/>
      <c r="DP797" s="11">
        <v>25800.0</v>
      </c>
      <c r="DQ797" s="11">
        <v>22960.0</v>
      </c>
      <c r="DR797" s="12"/>
      <c r="DS797" s="12"/>
      <c r="DT797" s="12"/>
      <c r="DU797" s="13"/>
      <c r="DV797" s="13"/>
      <c r="DW797" s="13"/>
      <c r="DX797" s="13"/>
      <c r="DY797" s="13"/>
      <c r="DZ797" s="11">
        <v>-19450.0</v>
      </c>
      <c r="EA797" s="11">
        <v>-7180.0</v>
      </c>
      <c r="EB797" s="12"/>
      <c r="EC797" s="12"/>
      <c r="ED797" s="12"/>
      <c r="EE797" s="23"/>
      <c r="EF797" s="23"/>
      <c r="EG797" s="14">
        <v>0.075</v>
      </c>
      <c r="EH797" s="23"/>
    </row>
    <row r="798">
      <c r="A798" s="9">
        <f t="shared" si="2"/>
        <v>796</v>
      </c>
      <c r="B798" s="22" t="s">
        <v>933</v>
      </c>
      <c r="C798" s="12"/>
      <c r="D798" s="12"/>
      <c r="E798" s="12"/>
      <c r="F798" s="12"/>
      <c r="G798" s="12"/>
      <c r="H798" s="12"/>
      <c r="I798" s="12"/>
      <c r="J798" s="11">
        <v>-58.0</v>
      </c>
      <c r="K798" s="11">
        <v>-6.0</v>
      </c>
      <c r="L798" s="11">
        <v>-1.0</v>
      </c>
      <c r="M798" s="12"/>
      <c r="N798" s="12"/>
      <c r="O798" s="11">
        <v>45350.0</v>
      </c>
      <c r="P798" s="11">
        <v>14500.0</v>
      </c>
      <c r="Q798" s="11">
        <v>4810.0</v>
      </c>
      <c r="R798" s="12"/>
      <c r="S798" s="12"/>
      <c r="T798" s="11">
        <v>24540.0</v>
      </c>
      <c r="U798" s="11">
        <v>11540.0</v>
      </c>
      <c r="V798" s="11">
        <v>3620.0</v>
      </c>
      <c r="W798" s="12"/>
      <c r="X798" s="12"/>
      <c r="Y798" s="11">
        <v>-45540.0</v>
      </c>
      <c r="Z798" s="11">
        <v>-14950.0</v>
      </c>
      <c r="AA798" s="11">
        <v>-4860.0</v>
      </c>
      <c r="AB798" s="12"/>
      <c r="AC798" s="12"/>
      <c r="AD798" s="11">
        <v>-43960.0</v>
      </c>
      <c r="AE798" s="11">
        <v>-17510.0</v>
      </c>
      <c r="AF798" s="11">
        <v>-6030.0</v>
      </c>
      <c r="AG798" s="12"/>
      <c r="AH798" s="12"/>
      <c r="AI798" s="11">
        <v>-45350.0</v>
      </c>
      <c r="AJ798" s="11">
        <v>-14500.0</v>
      </c>
      <c r="AK798" s="11">
        <v>-4810.0</v>
      </c>
      <c r="AL798" s="12"/>
      <c r="AM798" s="12"/>
      <c r="AN798" s="11">
        <v>-43960.0</v>
      </c>
      <c r="AO798" s="11">
        <v>-17510.0</v>
      </c>
      <c r="AP798" s="11">
        <v>-6030.0</v>
      </c>
      <c r="AQ798" s="12"/>
      <c r="AR798" s="12"/>
      <c r="AS798" s="11">
        <v>-30920.0</v>
      </c>
      <c r="AT798" s="11">
        <v>-15380.0</v>
      </c>
      <c r="AU798" s="11">
        <v>-4030.0</v>
      </c>
      <c r="AV798" s="12"/>
      <c r="AW798" s="12"/>
      <c r="AX798" s="11">
        <v>-115.0</v>
      </c>
      <c r="AY798" s="11">
        <v>-132.0</v>
      </c>
      <c r="AZ798" s="11">
        <v>-13.0</v>
      </c>
      <c r="BA798" s="12"/>
      <c r="BB798" s="12"/>
      <c r="BC798" s="12"/>
      <c r="BD798" s="12"/>
      <c r="BE798" s="12"/>
      <c r="BF798" s="12"/>
      <c r="BG798" s="12"/>
      <c r="BH798" s="11">
        <v>389400.0</v>
      </c>
      <c r="BI798" s="11">
        <v>13890.0</v>
      </c>
      <c r="BJ798" s="11">
        <v>1940.0</v>
      </c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1">
        <v>392710.0</v>
      </c>
      <c r="BX798" s="11">
        <v>15600.0</v>
      </c>
      <c r="BY798" s="11">
        <v>2120.0</v>
      </c>
      <c r="BZ798" s="12"/>
      <c r="CA798" s="12"/>
      <c r="CB798" s="11">
        <v>195.0</v>
      </c>
      <c r="CC798" s="11">
        <v>138.0</v>
      </c>
      <c r="CD798" s="11">
        <v>12.0</v>
      </c>
      <c r="CE798" s="12"/>
      <c r="CF798" s="12"/>
      <c r="CG798" s="12"/>
      <c r="CH798" s="12"/>
      <c r="CI798" s="12"/>
      <c r="CJ798" s="12"/>
      <c r="CK798" s="12"/>
      <c r="CL798" s="11">
        <v>393020.0</v>
      </c>
      <c r="CM798" s="11">
        <v>15860.0</v>
      </c>
      <c r="CN798" s="11">
        <v>2130.0</v>
      </c>
      <c r="CO798" s="12"/>
      <c r="CP798" s="12"/>
      <c r="CQ798" s="11">
        <v>547.0</v>
      </c>
      <c r="CR798" s="11">
        <v>269.0</v>
      </c>
      <c r="CS798" s="11">
        <v>798.0</v>
      </c>
      <c r="CT798" s="12"/>
      <c r="CU798" s="12"/>
      <c r="CV798" s="11">
        <v>2960.0</v>
      </c>
      <c r="CW798" s="12"/>
      <c r="CX798" s="12"/>
      <c r="CY798" s="12"/>
      <c r="CZ798" s="12"/>
      <c r="DA798" s="12"/>
      <c r="DB798" s="11">
        <v>2960.0</v>
      </c>
      <c r="DC798" s="11">
        <v>1200.0</v>
      </c>
      <c r="DD798" s="11">
        <v>11510.0</v>
      </c>
      <c r="DE798" s="12"/>
      <c r="DF798" s="11">
        <v>3110.0</v>
      </c>
      <c r="DG798" s="11">
        <v>3810.0</v>
      </c>
      <c r="DH798" s="11">
        <v>15500.0</v>
      </c>
      <c r="DI798" s="12"/>
      <c r="DJ798" s="12"/>
      <c r="DK798" s="11">
        <v>123.0</v>
      </c>
      <c r="DL798" s="11">
        <v>123.0</v>
      </c>
      <c r="DM798" s="12"/>
      <c r="DN798" s="12"/>
      <c r="DO798" s="12"/>
      <c r="DP798" s="12"/>
      <c r="DQ798" s="11">
        <v>2520.0</v>
      </c>
      <c r="DR798" s="11">
        <v>3990.0</v>
      </c>
      <c r="DS798" s="12"/>
      <c r="DT798" s="12"/>
      <c r="DU798" s="13"/>
      <c r="DV798" s="11">
        <v>41970.0</v>
      </c>
      <c r="DW798" s="11">
        <v>1.0</v>
      </c>
      <c r="DX798" s="13"/>
      <c r="DY798" s="13"/>
      <c r="DZ798" s="11">
        <v>389920.0</v>
      </c>
      <c r="EA798" s="11">
        <v>12040.0</v>
      </c>
      <c r="EB798" s="11">
        <v>-13370.0</v>
      </c>
      <c r="EC798" s="12"/>
      <c r="ED798" s="12"/>
      <c r="EE798" s="23"/>
      <c r="EF798" s="23"/>
      <c r="EG798" s="14">
        <v>-0.444</v>
      </c>
      <c r="EH798" s="14">
        <v>0.051</v>
      </c>
    </row>
    <row r="799">
      <c r="A799" s="9">
        <f t="shared" si="2"/>
        <v>797</v>
      </c>
      <c r="B799" s="22" t="s">
        <v>934</v>
      </c>
      <c r="C799" s="11">
        <v>91930.0</v>
      </c>
      <c r="D799" s="12"/>
      <c r="E799" s="12"/>
      <c r="F799" s="12"/>
      <c r="G799" s="12"/>
      <c r="H799" s="12"/>
      <c r="I799" s="12"/>
      <c r="J799" s="11">
        <v>-974.0</v>
      </c>
      <c r="K799" s="11">
        <v>-141.0</v>
      </c>
      <c r="L799" s="11">
        <v>-23.0</v>
      </c>
      <c r="M799" s="11">
        <v>-2.0</v>
      </c>
      <c r="N799" s="12"/>
      <c r="O799" s="11">
        <v>21110.0</v>
      </c>
      <c r="P799" s="11">
        <v>11780.0</v>
      </c>
      <c r="Q799" s="11">
        <v>4750.0</v>
      </c>
      <c r="R799" s="11">
        <v>1140.0</v>
      </c>
      <c r="S799" s="12"/>
      <c r="T799" s="11">
        <v>15620.0</v>
      </c>
      <c r="U799" s="11">
        <v>7760.0</v>
      </c>
      <c r="V799" s="11">
        <v>3210.0</v>
      </c>
      <c r="W799" s="11">
        <v>741.0</v>
      </c>
      <c r="X799" s="12"/>
      <c r="Y799" s="12"/>
      <c r="Z799" s="12"/>
      <c r="AA799" s="12"/>
      <c r="AB799" s="12"/>
      <c r="AC799" s="12"/>
      <c r="AD799" s="11">
        <v>-19090.0</v>
      </c>
      <c r="AE799" s="11">
        <v>-10890.0</v>
      </c>
      <c r="AF799" s="11">
        <v>-7920.0</v>
      </c>
      <c r="AG799" s="11">
        <v>-1150.0</v>
      </c>
      <c r="AH799" s="12"/>
      <c r="AI799" s="11">
        <v>-21110.0</v>
      </c>
      <c r="AJ799" s="11">
        <v>-11780.0</v>
      </c>
      <c r="AK799" s="11">
        <v>-4750.0</v>
      </c>
      <c r="AL799" s="11">
        <v>-1140.0</v>
      </c>
      <c r="AM799" s="12"/>
      <c r="AN799" s="11">
        <v>-19090.0</v>
      </c>
      <c r="AO799" s="11">
        <v>-10890.0</v>
      </c>
      <c r="AP799" s="11">
        <v>-7920.0</v>
      </c>
      <c r="AQ799" s="11">
        <v>-1150.0</v>
      </c>
      <c r="AR799" s="12"/>
      <c r="AS799" s="11">
        <v>-18710.0</v>
      </c>
      <c r="AT799" s="11">
        <v>-9450.0</v>
      </c>
      <c r="AU799" s="11">
        <v>-3890.0</v>
      </c>
      <c r="AV799" s="11">
        <v>-1310.0</v>
      </c>
      <c r="AW799" s="12"/>
      <c r="AX799" s="11">
        <v>-6400.0</v>
      </c>
      <c r="AY799" s="11">
        <v>-2230.0</v>
      </c>
      <c r="AZ799" s="11">
        <v>-210.0</v>
      </c>
      <c r="BA799" s="11">
        <v>-15.0</v>
      </c>
      <c r="BB799" s="12"/>
      <c r="BC799" s="12"/>
      <c r="BD799" s="12"/>
      <c r="BE799" s="12"/>
      <c r="BF799" s="12"/>
      <c r="BG799" s="12"/>
      <c r="BH799" s="11">
        <v>193690.0</v>
      </c>
      <c r="BI799" s="11">
        <v>111760.0</v>
      </c>
      <c r="BJ799" s="11">
        <v>49590.0</v>
      </c>
      <c r="BK799" s="11">
        <v>1920.0</v>
      </c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1">
        <v>195880.0</v>
      </c>
      <c r="BX799" s="11">
        <v>112650.0</v>
      </c>
      <c r="BY799" s="11">
        <v>49910.0</v>
      </c>
      <c r="BZ799" s="11">
        <v>2170.0</v>
      </c>
      <c r="CA799" s="12"/>
      <c r="CB799" s="11">
        <v>11180.0</v>
      </c>
      <c r="CC799" s="11">
        <v>3010.0</v>
      </c>
      <c r="CD799" s="11">
        <v>200.0</v>
      </c>
      <c r="CE799" s="11">
        <v>13.0</v>
      </c>
      <c r="CF799" s="12"/>
      <c r="CG799" s="12"/>
      <c r="CH799" s="12"/>
      <c r="CI799" s="12"/>
      <c r="CJ799" s="12"/>
      <c r="CK799" s="12"/>
      <c r="CL799" s="11">
        <v>209020.0</v>
      </c>
      <c r="CM799" s="11">
        <v>116120.0</v>
      </c>
      <c r="CN799" s="11">
        <v>50110.0</v>
      </c>
      <c r="CO799" s="11">
        <v>2180.0</v>
      </c>
      <c r="CP799" s="12"/>
      <c r="CQ799" s="11">
        <v>724.0</v>
      </c>
      <c r="CR799" s="11">
        <v>888.0</v>
      </c>
      <c r="CS799" s="11">
        <v>193.0</v>
      </c>
      <c r="CT799" s="11">
        <v>42.0</v>
      </c>
      <c r="CU799" s="12"/>
      <c r="CV799" s="11">
        <v>3330.0</v>
      </c>
      <c r="CW799" s="11">
        <v>480.0</v>
      </c>
      <c r="CX799" s="12"/>
      <c r="CY799" s="12"/>
      <c r="CZ799" s="12"/>
      <c r="DA799" s="12"/>
      <c r="DB799" s="11">
        <v>3330.0</v>
      </c>
      <c r="DC799" s="11">
        <v>2600.0</v>
      </c>
      <c r="DD799" s="11">
        <v>640.0</v>
      </c>
      <c r="DE799" s="11">
        <v>43.0</v>
      </c>
      <c r="DF799" s="11">
        <v>6110.0</v>
      </c>
      <c r="DG799" s="11">
        <v>2890.0</v>
      </c>
      <c r="DH799" s="11">
        <v>640.0</v>
      </c>
      <c r="DI799" s="11">
        <v>1890.0</v>
      </c>
      <c r="DJ799" s="12"/>
      <c r="DK799" s="11">
        <v>497.0</v>
      </c>
      <c r="DL799" s="12"/>
      <c r="DM799" s="12"/>
      <c r="DN799" s="12"/>
      <c r="DO799" s="12"/>
      <c r="DP799" s="11">
        <v>2780.0</v>
      </c>
      <c r="DQ799" s="12"/>
      <c r="DR799" s="12"/>
      <c r="DS799" s="11">
        <v>1840.0</v>
      </c>
      <c r="DT799" s="12"/>
      <c r="DU799" s="13"/>
      <c r="DV799" s="13"/>
      <c r="DW799" s="13"/>
      <c r="DX799" s="11">
        <v>1410.0</v>
      </c>
      <c r="DY799" s="12"/>
      <c r="DZ799" s="11">
        <v>202910.0</v>
      </c>
      <c r="EA799" s="11">
        <v>113230.0</v>
      </c>
      <c r="EB799" s="11">
        <v>49470.0</v>
      </c>
      <c r="EC799" s="11">
        <v>289.0</v>
      </c>
      <c r="ED799" s="12"/>
      <c r="EE799" s="23"/>
      <c r="EF799" s="23"/>
      <c r="EG799" s="14">
        <v>0.213</v>
      </c>
      <c r="EH799" s="14">
        <v>0.232</v>
      </c>
    </row>
    <row r="800">
      <c r="A800" s="9">
        <f t="shared" si="2"/>
        <v>798</v>
      </c>
      <c r="B800" s="10" t="s">
        <v>935</v>
      </c>
      <c r="C800" s="11">
        <v>1.75E7</v>
      </c>
      <c r="D800" s="11">
        <v>1.537E7</v>
      </c>
      <c r="E800" s="11">
        <v>1.997E7</v>
      </c>
      <c r="F800" s="11">
        <v>2.023E7</v>
      </c>
      <c r="G800" s="11">
        <v>2.008E7</v>
      </c>
      <c r="H800" s="11">
        <v>1.869E7</v>
      </c>
      <c r="I800" s="11">
        <v>1.92E7</v>
      </c>
      <c r="J800" s="11">
        <v>6920000.0</v>
      </c>
      <c r="K800" s="11">
        <v>7070000.0</v>
      </c>
      <c r="L800" s="11">
        <v>6920000.0</v>
      </c>
      <c r="M800" s="11">
        <v>5800000.0</v>
      </c>
      <c r="N800" s="11">
        <v>6010000.0</v>
      </c>
      <c r="O800" s="11">
        <v>5710000.0</v>
      </c>
      <c r="P800" s="11">
        <v>5600000.0</v>
      </c>
      <c r="Q800" s="11">
        <v>5500000.0</v>
      </c>
      <c r="R800" s="11">
        <v>4440000.0</v>
      </c>
      <c r="S800" s="11">
        <v>4450000.0</v>
      </c>
      <c r="T800" s="11"/>
      <c r="U800" s="11"/>
      <c r="V800" s="11"/>
      <c r="W800" s="11"/>
      <c r="X800" s="11"/>
      <c r="Y800" s="11">
        <v>1110000.0</v>
      </c>
      <c r="Z800" s="11">
        <v>1300000.0</v>
      </c>
      <c r="AA800" s="11"/>
      <c r="AB800" s="11">
        <v>-186000.0</v>
      </c>
      <c r="AC800" s="11">
        <v>1380000.0</v>
      </c>
      <c r="AD800" s="11">
        <v>901000.0</v>
      </c>
      <c r="AE800" s="11">
        <v>1040000.0</v>
      </c>
      <c r="AF800" s="11">
        <v>1120000.0</v>
      </c>
      <c r="AG800" s="11">
        <v>875000.0</v>
      </c>
      <c r="AH800" s="11">
        <v>1060000.0</v>
      </c>
      <c r="AI800" s="11">
        <v>2280000.0</v>
      </c>
      <c r="AJ800" s="11">
        <v>2430000.0</v>
      </c>
      <c r="AK800" s="11">
        <v>2410000.0</v>
      </c>
      <c r="AL800" s="11">
        <v>2310000.0</v>
      </c>
      <c r="AM800" s="11">
        <v>2490000.0</v>
      </c>
      <c r="AN800" s="11">
        <v>691000.0</v>
      </c>
      <c r="AO800" s="11">
        <v>801000.0</v>
      </c>
      <c r="AP800" s="11">
        <v>859000.0</v>
      </c>
      <c r="AQ800" s="11">
        <v>556000.0</v>
      </c>
      <c r="AR800" s="11">
        <v>673000.0</v>
      </c>
      <c r="AS800" s="11">
        <v>1810000.0</v>
      </c>
      <c r="AT800" s="11">
        <v>2110000.0</v>
      </c>
      <c r="AU800" s="11">
        <v>1690000.0</v>
      </c>
      <c r="AV800" s="11">
        <v>2150000.0</v>
      </c>
      <c r="AW800" s="11">
        <v>1470000.0</v>
      </c>
      <c r="AX800" s="11">
        <v>-855000.0</v>
      </c>
      <c r="AY800" s="11">
        <v>-578000.0</v>
      </c>
      <c r="AZ800" s="11">
        <v>-672000.0</v>
      </c>
      <c r="BA800" s="11">
        <v>-768000.0</v>
      </c>
      <c r="BB800" s="11">
        <v>-690000.0</v>
      </c>
      <c r="BC800" s="11">
        <v>-423000.0</v>
      </c>
      <c r="BD800" s="11">
        <v>-400000.0</v>
      </c>
      <c r="BE800" s="11">
        <v>-368000.0</v>
      </c>
      <c r="BF800" s="11">
        <v>-358000.0</v>
      </c>
      <c r="BG800" s="11">
        <v>-349000.0</v>
      </c>
      <c r="BH800" s="11">
        <v>723000.0</v>
      </c>
      <c r="BI800" s="11">
        <v>934000.0</v>
      </c>
      <c r="BJ800" s="11">
        <v>1310000.0</v>
      </c>
      <c r="BK800" s="11">
        <v>1070000.0</v>
      </c>
      <c r="BL800" s="11">
        <v>707000.0</v>
      </c>
      <c r="BM800" s="11">
        <v>15000.0</v>
      </c>
      <c r="BN800" s="11">
        <v>29000.0</v>
      </c>
      <c r="BO800" s="11">
        <v>62000.0</v>
      </c>
      <c r="BP800" s="11">
        <v>27000.0</v>
      </c>
      <c r="BQ800" s="11">
        <v>26000.0</v>
      </c>
      <c r="BR800" s="11">
        <v>3540000.0</v>
      </c>
      <c r="BS800" s="11">
        <v>3480000.0</v>
      </c>
      <c r="BT800" s="11">
        <v>3540000.0</v>
      </c>
      <c r="BU800" s="11">
        <v>3800000.0</v>
      </c>
      <c r="BV800" s="11">
        <v>4040000.0</v>
      </c>
      <c r="BW800" s="11">
        <v>4650000.0</v>
      </c>
      <c r="BX800" s="11">
        <v>4840000.0</v>
      </c>
      <c r="BY800" s="11">
        <v>5380000.0</v>
      </c>
      <c r="BZ800" s="11">
        <v>5250000.0</v>
      </c>
      <c r="CA800" s="11">
        <v>5080000.0</v>
      </c>
      <c r="CB800" s="11">
        <v>9740000.0</v>
      </c>
      <c r="CC800" s="11">
        <v>7430000.0</v>
      </c>
      <c r="CD800" s="11">
        <v>7770000.0</v>
      </c>
      <c r="CE800" s="11">
        <v>8100000.0</v>
      </c>
      <c r="CF800" s="11">
        <v>8310000.0</v>
      </c>
      <c r="CG800" s="11"/>
      <c r="CH800" s="11"/>
      <c r="CI800" s="11"/>
      <c r="CJ800" s="11"/>
      <c r="CK800" s="11"/>
      <c r="CL800" s="11">
        <v>1.456E7</v>
      </c>
      <c r="CM800" s="11">
        <v>1.247E7</v>
      </c>
      <c r="CN800" s="11">
        <v>1.339E7</v>
      </c>
      <c r="CO800" s="11">
        <v>1.357E7</v>
      </c>
      <c r="CP800" s="11">
        <v>1.361E7</v>
      </c>
      <c r="CQ800" s="11">
        <v>1210000.0</v>
      </c>
      <c r="CR800" s="11">
        <v>1190000.0</v>
      </c>
      <c r="CS800" s="11">
        <v>1270000.0</v>
      </c>
      <c r="CT800" s="11">
        <v>1510000.0</v>
      </c>
      <c r="CU800" s="11">
        <v>1250000.0</v>
      </c>
      <c r="CV800" s="11">
        <v>2770000.0</v>
      </c>
      <c r="CW800" s="11">
        <v>242000.0</v>
      </c>
      <c r="CX800" s="11">
        <v>122000.0</v>
      </c>
      <c r="CY800" s="11">
        <v>125000.0</v>
      </c>
      <c r="CZ800" s="13"/>
      <c r="DA800" s="12"/>
      <c r="DB800" s="11">
        <v>2770000.0</v>
      </c>
      <c r="DC800" s="11">
        <v>2730000.0</v>
      </c>
      <c r="DD800" s="11">
        <v>2710000.0</v>
      </c>
      <c r="DE800" s="11">
        <v>2970000.0</v>
      </c>
      <c r="DF800" s="11">
        <v>9110000.0</v>
      </c>
      <c r="DG800" s="11">
        <v>6940000.0</v>
      </c>
      <c r="DH800" s="11">
        <v>7970000.0</v>
      </c>
      <c r="DI800" s="11">
        <v>8400000.0</v>
      </c>
      <c r="DJ800" s="11">
        <v>8120000.0</v>
      </c>
      <c r="DK800" s="11"/>
      <c r="DL800" s="11"/>
      <c r="DM800" s="11"/>
      <c r="DN800" s="11"/>
      <c r="DO800" s="11"/>
      <c r="DP800" s="11">
        <v>5840000.0</v>
      </c>
      <c r="DQ800" s="11">
        <v>3380000.0</v>
      </c>
      <c r="DR800" s="11">
        <v>4390000.0</v>
      </c>
      <c r="DS800" s="11">
        <v>4480000.0</v>
      </c>
      <c r="DT800" s="11">
        <v>4580000.0</v>
      </c>
      <c r="DU800" s="12"/>
      <c r="DV800" s="12"/>
      <c r="DW800" s="12"/>
      <c r="DX800" s="12"/>
      <c r="DY800" s="12"/>
      <c r="DZ800" s="11">
        <v>5450000.0</v>
      </c>
      <c r="EA800" s="11">
        <v>5530000.0</v>
      </c>
      <c r="EB800" s="11">
        <v>5420000.0</v>
      </c>
      <c r="EC800" s="11">
        <v>5180000.0</v>
      </c>
      <c r="ED800" s="11">
        <v>5490000.0</v>
      </c>
      <c r="EE800" s="14">
        <v>0.081</v>
      </c>
      <c r="EF800" s="14">
        <v>0.111</v>
      </c>
      <c r="EG800" s="14">
        <v>-0.778</v>
      </c>
      <c r="EH800" s="14">
        <v>-0.212</v>
      </c>
    </row>
    <row r="801">
      <c r="A801" s="9">
        <f t="shared" si="2"/>
        <v>799</v>
      </c>
      <c r="B801" s="10" t="s">
        <v>936</v>
      </c>
      <c r="C801" s="11">
        <v>2890000.0</v>
      </c>
      <c r="D801" s="11">
        <v>2640000.0</v>
      </c>
      <c r="E801" s="11">
        <v>2870000.0</v>
      </c>
      <c r="F801" s="11">
        <v>2750000.0</v>
      </c>
      <c r="G801" s="11">
        <v>2630000.0</v>
      </c>
      <c r="H801" s="11">
        <v>2400000.0</v>
      </c>
      <c r="I801" s="11">
        <v>2420000.0</v>
      </c>
      <c r="J801" s="11">
        <v>1060000.0</v>
      </c>
      <c r="K801" s="11">
        <v>968400.0</v>
      </c>
      <c r="L801" s="11">
        <v>938600.0</v>
      </c>
      <c r="M801" s="11">
        <v>830400.0</v>
      </c>
      <c r="N801" s="11">
        <v>828800.0</v>
      </c>
      <c r="O801" s="11"/>
      <c r="P801" s="11"/>
      <c r="Q801" s="11"/>
      <c r="R801" s="11"/>
      <c r="S801" s="11"/>
      <c r="T801" s="12"/>
      <c r="U801" s="12"/>
      <c r="V801" s="12"/>
      <c r="W801" s="12"/>
      <c r="X801" s="12"/>
      <c r="Y801" s="11">
        <v>899300.0</v>
      </c>
      <c r="Z801" s="11">
        <v>990400.0</v>
      </c>
      <c r="AA801" s="11">
        <v>959800.0</v>
      </c>
      <c r="AB801" s="11">
        <v>765000.0</v>
      </c>
      <c r="AC801" s="11">
        <v>749100.0</v>
      </c>
      <c r="AD801" s="11">
        <v>788400.0</v>
      </c>
      <c r="AE801" s="11">
        <v>886900.0</v>
      </c>
      <c r="AF801" s="11">
        <v>874300.0</v>
      </c>
      <c r="AG801" s="11">
        <v>662700.0</v>
      </c>
      <c r="AH801" s="11">
        <v>672600.0</v>
      </c>
      <c r="AI801" s="11">
        <v>1410000.0</v>
      </c>
      <c r="AJ801" s="11">
        <v>1320000.0</v>
      </c>
      <c r="AK801" s="11">
        <v>1240000.0</v>
      </c>
      <c r="AL801" s="11">
        <v>1120000.0</v>
      </c>
      <c r="AM801" s="11">
        <v>1090000.0</v>
      </c>
      <c r="AN801" s="11">
        <v>538900.0</v>
      </c>
      <c r="AO801" s="11">
        <v>627400.0</v>
      </c>
      <c r="AP801" s="11">
        <v>962000.0</v>
      </c>
      <c r="AQ801" s="11">
        <v>478100.0</v>
      </c>
      <c r="AR801" s="11">
        <v>483500.0</v>
      </c>
      <c r="AS801" s="11">
        <v>1100000.0</v>
      </c>
      <c r="AT801" s="11">
        <v>945700.0</v>
      </c>
      <c r="AU801" s="11">
        <v>1030000.0</v>
      </c>
      <c r="AV801" s="11">
        <v>913300.0</v>
      </c>
      <c r="AW801" s="11">
        <v>909300.0</v>
      </c>
      <c r="AX801" s="11">
        <v>-626200.0</v>
      </c>
      <c r="AY801" s="11">
        <v>-619200.0</v>
      </c>
      <c r="AZ801" s="11">
        <v>-628000.0</v>
      </c>
      <c r="BA801" s="11">
        <v>-590500.0</v>
      </c>
      <c r="BB801" s="11">
        <v>-832200.0</v>
      </c>
      <c r="BC801" s="11">
        <v>-144300.0</v>
      </c>
      <c r="BD801" s="11">
        <v>-147500.0</v>
      </c>
      <c r="BE801" s="11">
        <v>-142500.0</v>
      </c>
      <c r="BF801" s="11">
        <v>-142800.0</v>
      </c>
      <c r="BG801" s="11">
        <v>-140100.0</v>
      </c>
      <c r="BH801" s="11">
        <v>148800.0</v>
      </c>
      <c r="BI801" s="11">
        <v>100500.0</v>
      </c>
      <c r="BJ801" s="11">
        <v>134100.0</v>
      </c>
      <c r="BK801" s="11">
        <v>170600.0</v>
      </c>
      <c r="BL801" s="11">
        <v>136600.0</v>
      </c>
      <c r="BM801" s="11">
        <v>274200.0</v>
      </c>
      <c r="BN801" s="11">
        <v>301200.0</v>
      </c>
      <c r="BO801" s="11">
        <v>354500.0</v>
      </c>
      <c r="BP801" s="11">
        <v>304200.0</v>
      </c>
      <c r="BQ801" s="11">
        <v>243500.0</v>
      </c>
      <c r="BR801" s="11">
        <v>197900.0</v>
      </c>
      <c r="BS801" s="11">
        <v>160300.0</v>
      </c>
      <c r="BT801" s="11">
        <v>150800.0</v>
      </c>
      <c r="BU801" s="11">
        <v>152600.0</v>
      </c>
      <c r="BV801" s="11">
        <v>137900.0</v>
      </c>
      <c r="BW801" s="11">
        <v>728600.0</v>
      </c>
      <c r="BX801" s="11">
        <v>635400.0</v>
      </c>
      <c r="BY801" s="11">
        <v>680100.0</v>
      </c>
      <c r="BZ801" s="11">
        <v>648000.0</v>
      </c>
      <c r="CA801" s="11">
        <v>537000.0</v>
      </c>
      <c r="CB801" s="11">
        <v>8960000.0</v>
      </c>
      <c r="CC801" s="11">
        <v>8690000.0</v>
      </c>
      <c r="CD801" s="11">
        <v>8400000.0</v>
      </c>
      <c r="CE801" s="11">
        <v>8070000.0</v>
      </c>
      <c r="CF801" s="11">
        <v>7710000.0</v>
      </c>
      <c r="CG801" s="11">
        <v>13200.0</v>
      </c>
      <c r="CH801" s="11"/>
      <c r="CI801" s="11">
        <v>13200.0</v>
      </c>
      <c r="CJ801" s="11">
        <v>13200.0</v>
      </c>
      <c r="CK801" s="11">
        <v>13200.0</v>
      </c>
      <c r="CL801" s="11">
        <v>9920000.0</v>
      </c>
      <c r="CM801" s="11">
        <v>9570000.0</v>
      </c>
      <c r="CN801" s="11">
        <v>9300000.0</v>
      </c>
      <c r="CO801" s="11">
        <v>9000000.0</v>
      </c>
      <c r="CP801" s="11">
        <v>8540000.0</v>
      </c>
      <c r="CQ801" s="11">
        <v>157100.0</v>
      </c>
      <c r="CR801" s="11">
        <v>180500.0</v>
      </c>
      <c r="CS801" s="11">
        <v>225100.0</v>
      </c>
      <c r="CT801" s="11">
        <v>247800.0</v>
      </c>
      <c r="CU801" s="11">
        <v>176700.0</v>
      </c>
      <c r="CV801" s="11">
        <v>491300.0</v>
      </c>
      <c r="CW801" s="11">
        <v>45400.0</v>
      </c>
      <c r="CX801" s="12"/>
      <c r="CY801" s="11">
        <v>345100.0</v>
      </c>
      <c r="CZ801" s="11">
        <v>181300.0</v>
      </c>
      <c r="DA801" s="11">
        <v>80000.0</v>
      </c>
      <c r="DB801" s="11">
        <v>491300.0</v>
      </c>
      <c r="DC801" s="11">
        <v>447000.0</v>
      </c>
      <c r="DD801" s="11">
        <v>971700.0</v>
      </c>
      <c r="DE801" s="11">
        <v>744400.0</v>
      </c>
      <c r="DF801" s="11">
        <v>5180000.0</v>
      </c>
      <c r="DG801" s="11">
        <v>4440000.0</v>
      </c>
      <c r="DH801" s="11">
        <v>4440000.0</v>
      </c>
      <c r="DI801" s="11">
        <v>4590000.0</v>
      </c>
      <c r="DJ801" s="11">
        <v>4320000.0</v>
      </c>
      <c r="DK801" s="11">
        <v>47600.0</v>
      </c>
      <c r="DL801" s="11">
        <v>44900.0</v>
      </c>
      <c r="DM801" s="11">
        <v>44600.0</v>
      </c>
      <c r="DN801" s="11">
        <v>32900.0</v>
      </c>
      <c r="DO801" s="11">
        <v>34700.0</v>
      </c>
      <c r="DP801" s="11">
        <v>3310000.0</v>
      </c>
      <c r="DQ801" s="11">
        <v>2680000.0</v>
      </c>
      <c r="DR801" s="11">
        <v>2240000.0</v>
      </c>
      <c r="DS801" s="11">
        <v>2270000.0</v>
      </c>
      <c r="DT801" s="11">
        <v>2050000.0</v>
      </c>
      <c r="DU801" s="11">
        <v>5600.0</v>
      </c>
      <c r="DV801" s="11">
        <v>5700.0</v>
      </c>
      <c r="DW801" s="11">
        <v>6100.0</v>
      </c>
      <c r="DX801" s="11">
        <v>6100.0</v>
      </c>
      <c r="DY801" s="11">
        <v>6100.0</v>
      </c>
      <c r="DZ801" s="11">
        <v>4420000.0</v>
      </c>
      <c r="EA801" s="11">
        <v>4810000.0</v>
      </c>
      <c r="EB801" s="11">
        <v>4550000.0</v>
      </c>
      <c r="EC801" s="11">
        <v>4090000.0</v>
      </c>
      <c r="ED801" s="11">
        <v>3910000.0</v>
      </c>
      <c r="EE801" s="14">
        <v>0.072</v>
      </c>
      <c r="EF801" s="14">
        <v>0.083</v>
      </c>
      <c r="EG801" s="14">
        <v>0.027</v>
      </c>
      <c r="EH801" s="14">
        <v>0.05</v>
      </c>
    </row>
    <row r="802">
      <c r="A802" s="9">
        <f t="shared" si="2"/>
        <v>800</v>
      </c>
      <c r="B802" s="10" t="s">
        <v>937</v>
      </c>
      <c r="C802" s="15">
        <v>843060.0</v>
      </c>
      <c r="D802" s="15">
        <v>746840.0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7">
        <v>0.074</v>
      </c>
      <c r="EF802" s="17">
        <v>0.182</v>
      </c>
      <c r="EG802" s="17">
        <v>0.286</v>
      </c>
      <c r="EH802" s="17">
        <v>0.201</v>
      </c>
    </row>
    <row r="803">
      <c r="A803" s="9">
        <f t="shared" si="2"/>
        <v>801</v>
      </c>
      <c r="B803" s="22" t="s">
        <v>938</v>
      </c>
      <c r="C803" s="12"/>
      <c r="D803" s="12"/>
      <c r="E803" s="11">
        <v>3560.0</v>
      </c>
      <c r="F803" s="11">
        <v>3600.0</v>
      </c>
      <c r="G803" s="11">
        <v>360.0</v>
      </c>
      <c r="H803" s="12"/>
      <c r="I803" s="12"/>
      <c r="J803" s="12"/>
      <c r="K803" s="12"/>
      <c r="L803" s="11">
        <v>345.0</v>
      </c>
      <c r="M803" s="11">
        <v>-8.0</v>
      </c>
      <c r="N803" s="11">
        <v>-4.0</v>
      </c>
      <c r="O803" s="11">
        <v>29280.0</v>
      </c>
      <c r="P803" s="11">
        <v>37590.0</v>
      </c>
      <c r="Q803" s="11">
        <v>39690.0</v>
      </c>
      <c r="R803" s="11">
        <v>27570.0</v>
      </c>
      <c r="S803" s="11">
        <v>15810.0</v>
      </c>
      <c r="T803" s="11">
        <v>9530.0</v>
      </c>
      <c r="U803" s="11">
        <v>18940.0</v>
      </c>
      <c r="V803" s="11">
        <v>16690.0</v>
      </c>
      <c r="W803" s="11">
        <v>16050.0</v>
      </c>
      <c r="X803" s="11">
        <v>9950.0</v>
      </c>
      <c r="Y803" s="11">
        <v>-20120.0</v>
      </c>
      <c r="Z803" s="11">
        <v>-21500.0</v>
      </c>
      <c r="AA803" s="11">
        <v>-3770.0</v>
      </c>
      <c r="AB803" s="11">
        <v>-46840.0</v>
      </c>
      <c r="AC803" s="12"/>
      <c r="AD803" s="11">
        <v>-20230.0</v>
      </c>
      <c r="AE803" s="11">
        <v>-20020.0</v>
      </c>
      <c r="AF803" s="11">
        <v>-46450.0</v>
      </c>
      <c r="AG803" s="11">
        <v>-46550.0</v>
      </c>
      <c r="AH803" s="11">
        <v>-16330.0</v>
      </c>
      <c r="AI803" s="11">
        <v>-25720.0</v>
      </c>
      <c r="AJ803" s="11">
        <v>-34000.0</v>
      </c>
      <c r="AK803" s="11">
        <v>-39330.0</v>
      </c>
      <c r="AL803" s="11">
        <v>-27570.0</v>
      </c>
      <c r="AM803" s="11">
        <v>-15810.0</v>
      </c>
      <c r="AN803" s="11">
        <v>-20840.0</v>
      </c>
      <c r="AO803" s="11">
        <v>-18700.0</v>
      </c>
      <c r="AP803" s="11">
        <v>-43800.0</v>
      </c>
      <c r="AQ803" s="11">
        <v>-46550.0</v>
      </c>
      <c r="AR803" s="11">
        <v>-16330.0</v>
      </c>
      <c r="AS803" s="11">
        <v>-19450.0</v>
      </c>
      <c r="AT803" s="11">
        <v>-30760.0</v>
      </c>
      <c r="AU803" s="11">
        <v>-30740.0</v>
      </c>
      <c r="AV803" s="11">
        <v>-23530.0</v>
      </c>
      <c r="AW803" s="11">
        <v>-13420.0</v>
      </c>
      <c r="AX803" s="11">
        <v>-39.0</v>
      </c>
      <c r="AY803" s="11">
        <v>-58.0</v>
      </c>
      <c r="AZ803" s="11">
        <v>-47.0</v>
      </c>
      <c r="BA803" s="11">
        <v>-38.0</v>
      </c>
      <c r="BB803" s="11">
        <v>-35.0</v>
      </c>
      <c r="BC803" s="12"/>
      <c r="BD803" s="12"/>
      <c r="BE803" s="12"/>
      <c r="BF803" s="12"/>
      <c r="BG803" s="12"/>
      <c r="BH803" s="11">
        <v>22090.0</v>
      </c>
      <c r="BI803" s="11">
        <v>24980.0</v>
      </c>
      <c r="BJ803" s="11">
        <v>25810.0</v>
      </c>
      <c r="BK803" s="11">
        <v>56410.0</v>
      </c>
      <c r="BL803" s="11">
        <v>41080.0</v>
      </c>
      <c r="BM803" s="11">
        <v>5160.0</v>
      </c>
      <c r="BN803" s="11">
        <v>2780.0</v>
      </c>
      <c r="BO803" s="12"/>
      <c r="BP803" s="11">
        <v>581.0</v>
      </c>
      <c r="BQ803" s="11">
        <v>482.0</v>
      </c>
      <c r="BR803" s="12"/>
      <c r="BS803" s="12"/>
      <c r="BT803" s="12"/>
      <c r="BU803" s="12"/>
      <c r="BV803" s="12"/>
      <c r="BW803" s="11">
        <v>28680.0</v>
      </c>
      <c r="BX803" s="11">
        <v>31810.0</v>
      </c>
      <c r="BY803" s="11">
        <v>27710.0</v>
      </c>
      <c r="BZ803" s="11">
        <v>57340.0</v>
      </c>
      <c r="CA803" s="11">
        <v>42040.0</v>
      </c>
      <c r="CB803" s="11">
        <v>843.0</v>
      </c>
      <c r="CC803" s="11">
        <v>138.0</v>
      </c>
      <c r="CD803" s="11">
        <v>97.0</v>
      </c>
      <c r="CE803" s="11">
        <v>62.0</v>
      </c>
      <c r="CF803" s="11">
        <v>31.0</v>
      </c>
      <c r="CG803" s="12"/>
      <c r="CH803" s="12"/>
      <c r="CI803" s="12"/>
      <c r="CJ803" s="12"/>
      <c r="CK803" s="12"/>
      <c r="CL803" s="11">
        <v>50840.0</v>
      </c>
      <c r="CM803" s="11">
        <v>55020.0</v>
      </c>
      <c r="CN803" s="11">
        <v>49240.0</v>
      </c>
      <c r="CO803" s="11">
        <v>57400.0</v>
      </c>
      <c r="CP803" s="11">
        <v>42070.0</v>
      </c>
      <c r="CQ803" s="11">
        <v>4300.0</v>
      </c>
      <c r="CR803" s="11">
        <v>2630.0</v>
      </c>
      <c r="CS803" s="11">
        <v>746.0</v>
      </c>
      <c r="CT803" s="11">
        <v>1980.0</v>
      </c>
      <c r="CU803" s="11">
        <v>1370.0</v>
      </c>
      <c r="CV803" s="11">
        <v>12250.0</v>
      </c>
      <c r="CW803" s="12"/>
      <c r="CX803" s="12"/>
      <c r="CY803" s="12"/>
      <c r="CZ803" s="12"/>
      <c r="DA803" s="12"/>
      <c r="DB803" s="11">
        <v>12250.0</v>
      </c>
      <c r="DC803" s="11">
        <v>12380.0</v>
      </c>
      <c r="DD803" s="11">
        <v>13790.0</v>
      </c>
      <c r="DE803" s="11">
        <v>4900.0</v>
      </c>
      <c r="DF803" s="11">
        <v>13330.0</v>
      </c>
      <c r="DG803" s="11">
        <v>13900.0</v>
      </c>
      <c r="DH803" s="11">
        <v>19080.0</v>
      </c>
      <c r="DI803" s="11">
        <v>5880.0</v>
      </c>
      <c r="DJ803" s="11">
        <v>5380.0</v>
      </c>
      <c r="DK803" s="12"/>
      <c r="DL803" s="12"/>
      <c r="DM803" s="12"/>
      <c r="DN803" s="12"/>
      <c r="DO803" s="12"/>
      <c r="DP803" s="11">
        <v>97.0</v>
      </c>
      <c r="DQ803" s="12"/>
      <c r="DR803" s="12"/>
      <c r="DS803" s="12"/>
      <c r="DT803" s="12"/>
      <c r="DU803" s="13"/>
      <c r="DV803" s="12"/>
      <c r="DW803" s="12"/>
      <c r="DX803" s="13"/>
      <c r="DY803" s="13"/>
      <c r="DZ803" s="11">
        <v>35990.0</v>
      </c>
      <c r="EA803" s="11">
        <v>39320.0</v>
      </c>
      <c r="EB803" s="11">
        <v>25720.0</v>
      </c>
      <c r="EC803" s="11">
        <v>51510.0</v>
      </c>
      <c r="ED803" s="11">
        <v>36690.0</v>
      </c>
      <c r="EE803" s="23"/>
      <c r="EF803" s="23"/>
      <c r="EG803" s="23" t="s">
        <v>155</v>
      </c>
      <c r="EH803" s="23"/>
    </row>
    <row r="804">
      <c r="A804" s="9">
        <f t="shared" si="2"/>
        <v>802</v>
      </c>
      <c r="B804" s="22" t="s">
        <v>939</v>
      </c>
      <c r="C804" s="11">
        <v>5550.0</v>
      </c>
      <c r="D804" s="12"/>
      <c r="E804" s="12"/>
      <c r="F804" s="12"/>
      <c r="G804" s="12"/>
      <c r="H804" s="12"/>
      <c r="I804" s="12"/>
      <c r="J804" s="12"/>
      <c r="K804" s="11">
        <v>-10.0</v>
      </c>
      <c r="L804" s="11">
        <v>-30.0</v>
      </c>
      <c r="M804" s="11">
        <v>-31.0</v>
      </c>
      <c r="N804" s="11">
        <v>-20.0</v>
      </c>
      <c r="O804" s="11">
        <v>67480.0</v>
      </c>
      <c r="P804" s="11">
        <v>62870.0</v>
      </c>
      <c r="Q804" s="11">
        <v>36050.0</v>
      </c>
      <c r="R804" s="11">
        <v>28340.0</v>
      </c>
      <c r="S804" s="11">
        <v>23580.0</v>
      </c>
      <c r="T804" s="11">
        <v>47830.0</v>
      </c>
      <c r="U804" s="11">
        <v>46790.0</v>
      </c>
      <c r="V804" s="11">
        <v>26430.0</v>
      </c>
      <c r="W804" s="11">
        <v>20400.0</v>
      </c>
      <c r="X804" s="11">
        <v>17510.0</v>
      </c>
      <c r="Y804" s="12"/>
      <c r="Z804" s="11">
        <v>-63380.0</v>
      </c>
      <c r="AA804" s="12"/>
      <c r="AB804" s="12"/>
      <c r="AC804" s="11">
        <v>-23870.0</v>
      </c>
      <c r="AD804" s="11">
        <v>-63140.0</v>
      </c>
      <c r="AE804" s="11">
        <v>-60450.0</v>
      </c>
      <c r="AF804" s="11">
        <v>-35430.0</v>
      </c>
      <c r="AG804" s="11">
        <v>-27560.0</v>
      </c>
      <c r="AH804" s="11">
        <v>-22630.0</v>
      </c>
      <c r="AI804" s="11">
        <v>-67480.0</v>
      </c>
      <c r="AJ804" s="11">
        <v>-62870.0</v>
      </c>
      <c r="AK804" s="11">
        <v>-36050.0</v>
      </c>
      <c r="AL804" s="11">
        <v>-28340.0</v>
      </c>
      <c r="AM804" s="11">
        <v>-23580.0</v>
      </c>
      <c r="AN804" s="11">
        <v>-63140.0</v>
      </c>
      <c r="AO804" s="11">
        <v>-60450.0</v>
      </c>
      <c r="AP804" s="11">
        <v>-35430.0</v>
      </c>
      <c r="AQ804" s="11">
        <v>-27560.0</v>
      </c>
      <c r="AR804" s="11">
        <v>-22630.0</v>
      </c>
      <c r="AS804" s="11">
        <v>-54760.0</v>
      </c>
      <c r="AT804" s="11">
        <v>-48660.0</v>
      </c>
      <c r="AU804" s="11">
        <v>-28440.0</v>
      </c>
      <c r="AV804" s="11">
        <v>-25350.0</v>
      </c>
      <c r="AW804" s="11">
        <v>-17930.0</v>
      </c>
      <c r="AX804" s="12"/>
      <c r="AY804" s="12"/>
      <c r="AZ804" s="12"/>
      <c r="BA804" s="12"/>
      <c r="BB804" s="11">
        <v>-64.0</v>
      </c>
      <c r="BC804" s="12"/>
      <c r="BD804" s="12"/>
      <c r="BE804" s="12"/>
      <c r="BF804" s="12"/>
      <c r="BG804" s="12"/>
      <c r="BH804" s="11">
        <v>236890.0</v>
      </c>
      <c r="BI804" s="11">
        <v>178990.0</v>
      </c>
      <c r="BJ804" s="11">
        <v>93150.0</v>
      </c>
      <c r="BK804" s="11">
        <v>67790.0</v>
      </c>
      <c r="BL804" s="11">
        <v>85750.0</v>
      </c>
      <c r="BM804" s="11">
        <v>30.0</v>
      </c>
      <c r="BN804" s="11">
        <v>224.0</v>
      </c>
      <c r="BO804" s="11">
        <v>216.0</v>
      </c>
      <c r="BP804" s="11">
        <v>295.0</v>
      </c>
      <c r="BQ804" s="11">
        <v>430.0</v>
      </c>
      <c r="BR804" s="12"/>
      <c r="BS804" s="12"/>
      <c r="BT804" s="12"/>
      <c r="BU804" s="12"/>
      <c r="BV804" s="12"/>
      <c r="BW804" s="11">
        <v>239600.0</v>
      </c>
      <c r="BX804" s="11">
        <v>181200.0</v>
      </c>
      <c r="BY804" s="11">
        <v>94640.0</v>
      </c>
      <c r="BZ804" s="11">
        <v>68810.0</v>
      </c>
      <c r="CA804" s="11">
        <v>86870.0</v>
      </c>
      <c r="CB804" s="11">
        <v>278.0</v>
      </c>
      <c r="CC804" s="12"/>
      <c r="CD804" s="11">
        <v>10.0</v>
      </c>
      <c r="CE804" s="11">
        <v>40.0</v>
      </c>
      <c r="CF804" s="11">
        <v>71.0</v>
      </c>
      <c r="CG804" s="12"/>
      <c r="CH804" s="12"/>
      <c r="CI804" s="12"/>
      <c r="CJ804" s="12"/>
      <c r="CK804" s="12"/>
      <c r="CL804" s="11">
        <v>241970.0</v>
      </c>
      <c r="CM804" s="11">
        <v>182380.0</v>
      </c>
      <c r="CN804" s="11">
        <v>95850.0</v>
      </c>
      <c r="CO804" s="11">
        <v>69820.0</v>
      </c>
      <c r="CP804" s="11">
        <v>87260.0</v>
      </c>
      <c r="CQ804" s="11">
        <v>3530.0</v>
      </c>
      <c r="CR804" s="11">
        <v>4120.0</v>
      </c>
      <c r="CS804" s="11">
        <v>1460.0</v>
      </c>
      <c r="CT804" s="11">
        <v>770.0</v>
      </c>
      <c r="CU804" s="12"/>
      <c r="CV804" s="11">
        <v>15560.0</v>
      </c>
      <c r="CW804" s="11">
        <v>252.0</v>
      </c>
      <c r="CX804" s="12"/>
      <c r="CY804" s="12"/>
      <c r="CZ804" s="12"/>
      <c r="DA804" s="12"/>
      <c r="DB804" s="11">
        <v>15560.0</v>
      </c>
      <c r="DC804" s="11">
        <v>13620.0</v>
      </c>
      <c r="DD804" s="11">
        <v>10030.0</v>
      </c>
      <c r="DE804" s="11">
        <v>5450.0</v>
      </c>
      <c r="DF804" s="11">
        <v>23190.0</v>
      </c>
      <c r="DG804" s="11">
        <v>21390.0</v>
      </c>
      <c r="DH804" s="11">
        <v>15990.0</v>
      </c>
      <c r="DI804" s="11">
        <v>12950.0</v>
      </c>
      <c r="DJ804" s="11">
        <v>5160.0</v>
      </c>
      <c r="DK804" s="12"/>
      <c r="DL804" s="12"/>
      <c r="DM804" s="12"/>
      <c r="DN804" s="12"/>
      <c r="DO804" s="12"/>
      <c r="DP804" s="11">
        <v>7250.0</v>
      </c>
      <c r="DQ804" s="11">
        <v>7500.0</v>
      </c>
      <c r="DR804" s="11">
        <v>5570.0</v>
      </c>
      <c r="DS804" s="11">
        <v>7320.0</v>
      </c>
      <c r="DT804" s="12"/>
      <c r="DU804" s="13"/>
      <c r="DV804" s="12"/>
      <c r="DW804" s="12"/>
      <c r="DX804" s="13"/>
      <c r="DY804" s="13"/>
      <c r="DZ804" s="11">
        <v>218780.0</v>
      </c>
      <c r="EA804" s="11">
        <v>160990.0</v>
      </c>
      <c r="EB804" s="11">
        <v>79870.0</v>
      </c>
      <c r="EC804" s="11">
        <v>56880.0</v>
      </c>
      <c r="ED804" s="11">
        <v>82100.0</v>
      </c>
      <c r="EE804" s="23"/>
      <c r="EF804" s="23"/>
      <c r="EG804" s="14">
        <v>0.048</v>
      </c>
      <c r="EH804" s="14">
        <v>0.044</v>
      </c>
    </row>
    <row r="805">
      <c r="A805" s="9">
        <f t="shared" si="2"/>
        <v>803</v>
      </c>
      <c r="B805" s="25" t="s">
        <v>940</v>
      </c>
      <c r="C805" s="15">
        <v>1470000.0</v>
      </c>
      <c r="D805" s="15">
        <v>1380000.0</v>
      </c>
      <c r="E805" s="15">
        <v>1130000.0</v>
      </c>
      <c r="F805" s="15">
        <v>867520.0</v>
      </c>
      <c r="G805" s="15">
        <v>820080.0</v>
      </c>
      <c r="H805" s="15">
        <v>746670.0</v>
      </c>
      <c r="I805" s="15">
        <v>737560.0</v>
      </c>
      <c r="J805" s="15">
        <v>392120.0</v>
      </c>
      <c r="K805" s="15">
        <v>312310.0</v>
      </c>
      <c r="L805" s="15">
        <v>291500.0</v>
      </c>
      <c r="M805" s="15">
        <v>279590.0</v>
      </c>
      <c r="N805" s="15">
        <v>277040.0</v>
      </c>
      <c r="O805" s="15">
        <v>283830.0</v>
      </c>
      <c r="P805" s="15">
        <v>207870.0</v>
      </c>
      <c r="Q805" s="15">
        <v>198810.0</v>
      </c>
      <c r="R805" s="15">
        <v>195480.0</v>
      </c>
      <c r="S805" s="15">
        <v>198990.0</v>
      </c>
      <c r="T805" s="15">
        <v>32100.0</v>
      </c>
      <c r="U805" s="15">
        <v>24500.0</v>
      </c>
      <c r="V805" s="15">
        <v>23900.0</v>
      </c>
      <c r="W805" s="15">
        <v>22500.0</v>
      </c>
      <c r="X805" s="15">
        <v>22100.0</v>
      </c>
      <c r="Y805" s="15">
        <v>46130.0</v>
      </c>
      <c r="Z805" s="15">
        <v>87780.0</v>
      </c>
      <c r="AA805" s="15">
        <v>62740.0</v>
      </c>
      <c r="AB805" s="15">
        <v>83050.0</v>
      </c>
      <c r="AC805" s="15">
        <v>-6790.0</v>
      </c>
      <c r="AD805" s="15">
        <v>28900.0</v>
      </c>
      <c r="AE805" s="15">
        <v>83100.0</v>
      </c>
      <c r="AF805" s="15">
        <v>60670.0</v>
      </c>
      <c r="AG805" s="15">
        <v>84010.0</v>
      </c>
      <c r="AH805" s="15">
        <v>70230.0</v>
      </c>
      <c r="AI805" s="15">
        <v>153180.0</v>
      </c>
      <c r="AJ805" s="15">
        <v>124160.0</v>
      </c>
      <c r="AK805" s="15">
        <v>112650.0</v>
      </c>
      <c r="AL805" s="15">
        <v>103680.0</v>
      </c>
      <c r="AM805" s="15">
        <v>97260.0</v>
      </c>
      <c r="AN805" s="15">
        <v>31530.0</v>
      </c>
      <c r="AO805" s="15">
        <v>59220.0</v>
      </c>
      <c r="AP805" s="15">
        <v>20140.0</v>
      </c>
      <c r="AQ805" s="15">
        <v>60890.0</v>
      </c>
      <c r="AR805" s="15">
        <v>50740.0</v>
      </c>
      <c r="AS805" s="15">
        <v>82600.0</v>
      </c>
      <c r="AT805" s="15">
        <v>78940.0</v>
      </c>
      <c r="AU805" s="15">
        <v>64810.0</v>
      </c>
      <c r="AV805" s="15">
        <v>73790.0</v>
      </c>
      <c r="AW805" s="15">
        <v>73470.0</v>
      </c>
      <c r="AX805" s="15">
        <v>-15550.0</v>
      </c>
      <c r="AY805" s="15">
        <v>-12890.0</v>
      </c>
      <c r="AZ805" s="15">
        <v>-10870.0</v>
      </c>
      <c r="BA805" s="15">
        <v>-9950.0</v>
      </c>
      <c r="BB805" s="15">
        <v>-11030.0</v>
      </c>
      <c r="BC805" s="15">
        <v>-21830.0</v>
      </c>
      <c r="BD805" s="15">
        <v>-19320.0</v>
      </c>
      <c r="BE805" s="15">
        <v>-18610.0</v>
      </c>
      <c r="BF805" s="15">
        <v>-17630.0</v>
      </c>
      <c r="BG805" s="15">
        <v>-16510.0</v>
      </c>
      <c r="BH805" s="15">
        <v>123520.0</v>
      </c>
      <c r="BI805" s="15">
        <v>104150.0</v>
      </c>
      <c r="BJ805" s="15">
        <v>89880.0</v>
      </c>
      <c r="BK805" s="15">
        <v>88820.0</v>
      </c>
      <c r="BL805" s="15">
        <v>81050.0</v>
      </c>
      <c r="BM805" s="15">
        <v>375980.0</v>
      </c>
      <c r="BN805" s="15">
        <v>202140.0</v>
      </c>
      <c r="BO805" s="15">
        <v>208360.0</v>
      </c>
      <c r="BP805" s="15">
        <v>195230.0</v>
      </c>
      <c r="BQ805" s="15">
        <v>188300.0</v>
      </c>
      <c r="BR805" s="15">
        <v>174950.0</v>
      </c>
      <c r="BS805" s="15">
        <v>94090.0</v>
      </c>
      <c r="BT805" s="15">
        <v>87220.0</v>
      </c>
      <c r="BU805" s="15">
        <v>77080.0</v>
      </c>
      <c r="BV805" s="15">
        <v>75100.0</v>
      </c>
      <c r="BW805" s="15">
        <v>715970.0</v>
      </c>
      <c r="BX805" s="15">
        <v>418510.0</v>
      </c>
      <c r="BY805" s="15">
        <v>406590.0</v>
      </c>
      <c r="BZ805" s="15">
        <v>376470.0</v>
      </c>
      <c r="CA805" s="15">
        <v>358030.0</v>
      </c>
      <c r="CB805" s="15">
        <v>256370.0</v>
      </c>
      <c r="CC805" s="15">
        <v>83920.0</v>
      </c>
      <c r="CD805" s="15">
        <v>86700.0</v>
      </c>
      <c r="CE805" s="15">
        <v>85730.0</v>
      </c>
      <c r="CF805" s="15">
        <v>87620.0</v>
      </c>
      <c r="CG805" s="15">
        <v>607210.0</v>
      </c>
      <c r="CH805" s="15">
        <v>83330.0</v>
      </c>
      <c r="CI805" s="15">
        <v>86030.0</v>
      </c>
      <c r="CJ805" s="15">
        <v>80800.0</v>
      </c>
      <c r="CK805" s="15">
        <v>79110.0</v>
      </c>
      <c r="CL805" s="15">
        <v>2850000.0</v>
      </c>
      <c r="CM805" s="15">
        <v>709670.0</v>
      </c>
      <c r="CN805" s="15">
        <v>722130.0</v>
      </c>
      <c r="CO805" s="15">
        <v>692030.0</v>
      </c>
      <c r="CP805" s="15">
        <v>680730.0</v>
      </c>
      <c r="CQ805" s="15">
        <v>164100.0</v>
      </c>
      <c r="CR805" s="15">
        <v>87820.0</v>
      </c>
      <c r="CS805" s="15">
        <v>93010.0</v>
      </c>
      <c r="CT805" s="15">
        <v>77580.0</v>
      </c>
      <c r="CU805" s="15">
        <v>67290.0</v>
      </c>
      <c r="CV805" s="15">
        <v>359930.0</v>
      </c>
      <c r="CW805" s="15">
        <v>11180.0</v>
      </c>
      <c r="CX805" s="15"/>
      <c r="CY805" s="15"/>
      <c r="CZ805" s="15"/>
      <c r="DA805" s="15"/>
      <c r="DB805" s="15">
        <v>359930.0</v>
      </c>
      <c r="DC805" s="15">
        <v>151470.0</v>
      </c>
      <c r="DD805" s="15">
        <v>154740.0</v>
      </c>
      <c r="DE805" s="15">
        <v>127410.0</v>
      </c>
      <c r="DF805" s="15">
        <v>1610000.0</v>
      </c>
      <c r="DG805" s="15">
        <v>273300.0</v>
      </c>
      <c r="DH805" s="15">
        <v>259340.0</v>
      </c>
      <c r="DI805" s="15">
        <v>279420.0</v>
      </c>
      <c r="DJ805" s="15">
        <v>299480.0</v>
      </c>
      <c r="DK805" s="15">
        <v>113500.0</v>
      </c>
      <c r="DL805" s="15">
        <v>41590.0</v>
      </c>
      <c r="DM805" s="15">
        <v>46860.0</v>
      </c>
      <c r="DN805" s="15">
        <v>44700.0</v>
      </c>
      <c r="DO805" s="15">
        <v>43230.0</v>
      </c>
      <c r="DP805" s="15">
        <v>913710.0</v>
      </c>
      <c r="DQ805" s="15">
        <v>35930.0</v>
      </c>
      <c r="DR805" s="15">
        <v>61070.0</v>
      </c>
      <c r="DS805" s="15">
        <v>65770.0</v>
      </c>
      <c r="DT805" s="15">
        <v>81440.0</v>
      </c>
      <c r="DU805" s="13"/>
      <c r="DV805" s="12"/>
      <c r="DW805" s="12"/>
      <c r="DX805" s="13"/>
      <c r="DY805" s="13"/>
      <c r="DZ805" s="15">
        <v>1240000.0</v>
      </c>
      <c r="EA805" s="15">
        <v>435050.0</v>
      </c>
      <c r="EB805" s="15">
        <v>407670.0</v>
      </c>
      <c r="EC805" s="15">
        <v>402760.0</v>
      </c>
      <c r="ED805" s="15">
        <v>373050.0</v>
      </c>
      <c r="EE805" s="23"/>
      <c r="EF805" s="23"/>
      <c r="EG805" s="23">
        <v>0.255</v>
      </c>
      <c r="EH805" s="23">
        <v>0.1</v>
      </c>
    </row>
    <row r="806">
      <c r="A806" s="9">
        <f t="shared" si="2"/>
        <v>804</v>
      </c>
      <c r="B806" s="10" t="s">
        <v>941</v>
      </c>
      <c r="C806" s="11"/>
      <c r="D806" s="11"/>
      <c r="E806" s="11">
        <v>5.5184E8</v>
      </c>
      <c r="F806" s="11">
        <v>5.871E8</v>
      </c>
      <c r="G806" s="11">
        <v>5.2685E8</v>
      </c>
      <c r="H806" s="11">
        <v>4.127E8</v>
      </c>
      <c r="I806" s="11">
        <v>3.7928E8</v>
      </c>
      <c r="J806" s="11">
        <v>4.5144E8</v>
      </c>
      <c r="K806" s="11">
        <v>4.8347E8</v>
      </c>
      <c r="L806" s="11">
        <v>4.3267E8</v>
      </c>
      <c r="M806" s="11">
        <v>3.3335E8</v>
      </c>
      <c r="N806" s="11">
        <v>3.0664E8</v>
      </c>
      <c r="O806" s="11">
        <v>1.7381E8</v>
      </c>
      <c r="P806" s="11">
        <v>1.656E8</v>
      </c>
      <c r="Q806" s="11">
        <v>1.3978E8</v>
      </c>
      <c r="R806" s="11">
        <v>1.1444E8</v>
      </c>
      <c r="S806" s="11">
        <v>1.0533E8</v>
      </c>
      <c r="T806" s="11">
        <v>1.628E7</v>
      </c>
      <c r="U806" s="11">
        <v>1.593E7</v>
      </c>
      <c r="V806" s="11">
        <v>1.321E7</v>
      </c>
      <c r="W806" s="11">
        <v>1.14E7</v>
      </c>
      <c r="X806" s="11">
        <v>1.074E7</v>
      </c>
      <c r="Y806" s="11"/>
      <c r="Z806" s="11"/>
      <c r="AA806" s="11"/>
      <c r="AB806" s="11"/>
      <c r="AC806" s="11"/>
      <c r="AD806" s="11">
        <v>2.8025E8</v>
      </c>
      <c r="AE806" s="11">
        <v>3.1986E8</v>
      </c>
      <c r="AF806" s="11">
        <v>2.9886E8</v>
      </c>
      <c r="AG806" s="11">
        <v>2.2138E8</v>
      </c>
      <c r="AH806" s="11">
        <v>2.0552E8</v>
      </c>
      <c r="AI806" s="11">
        <v>2.8563E8</v>
      </c>
      <c r="AJ806" s="11">
        <v>3.2416E8</v>
      </c>
      <c r="AK806" s="11">
        <v>2.9991E8</v>
      </c>
      <c r="AL806" s="11">
        <v>2.224E8</v>
      </c>
      <c r="AM806" s="11">
        <v>2.0405E8</v>
      </c>
      <c r="AN806" s="11">
        <v>1.9812E8</v>
      </c>
      <c r="AO806" s="11">
        <v>2.2615E8</v>
      </c>
      <c r="AP806" s="11">
        <v>2.106E8</v>
      </c>
      <c r="AQ806" s="11">
        <v>1.5316E8</v>
      </c>
      <c r="AR806" s="11">
        <v>1.3717E8</v>
      </c>
      <c r="AS806" s="11">
        <v>2.0343E8</v>
      </c>
      <c r="AT806" s="11">
        <v>2.0938E8</v>
      </c>
      <c r="AU806" s="11">
        <v>2.0293E8</v>
      </c>
      <c r="AV806" s="11">
        <v>1.4287E8</v>
      </c>
      <c r="AW806" s="11">
        <v>1.0648E8</v>
      </c>
      <c r="AX806" s="11">
        <v>-8240000.0</v>
      </c>
      <c r="AY806" s="11">
        <v>-7360000.0</v>
      </c>
      <c r="AZ806" s="11">
        <v>-6770000.0</v>
      </c>
      <c r="BA806" s="11">
        <v>-4340000.0</v>
      </c>
      <c r="BB806" s="11">
        <v>-3360000.0</v>
      </c>
      <c r="BC806" s="11">
        <v>-2.425E7</v>
      </c>
      <c r="BD806" s="11">
        <v>-1.819E7</v>
      </c>
      <c r="BE806" s="11">
        <v>-1.516E7</v>
      </c>
      <c r="BF806" s="11">
        <v>-1.213E7</v>
      </c>
      <c r="BG806" s="11">
        <v>-9090000.0</v>
      </c>
      <c r="BH806" s="11">
        <v>9.4414E8</v>
      </c>
      <c r="BI806" s="11">
        <v>8.6321E8</v>
      </c>
      <c r="BJ806" s="11">
        <v>8.0773E8</v>
      </c>
      <c r="BK806" s="11">
        <v>6.772E8</v>
      </c>
      <c r="BL806" s="11">
        <v>6.1128E8</v>
      </c>
      <c r="BM806" s="11">
        <v>1.6221E8</v>
      </c>
      <c r="BN806" s="11">
        <v>1.69E8</v>
      </c>
      <c r="BO806" s="11">
        <v>1.5991E8</v>
      </c>
      <c r="BP806" s="11">
        <v>1.2792E8</v>
      </c>
      <c r="BQ806" s="11">
        <v>1.1274E8</v>
      </c>
      <c r="BR806" s="11">
        <v>3.368E7</v>
      </c>
      <c r="BS806" s="11">
        <v>3.835E7</v>
      </c>
      <c r="BT806" s="11">
        <v>3.485E7</v>
      </c>
      <c r="BU806" s="11">
        <v>2.434E7</v>
      </c>
      <c r="BV806" s="11">
        <v>2.336E7</v>
      </c>
      <c r="BW806" s="11"/>
      <c r="BX806" s="11"/>
      <c r="BY806" s="11"/>
      <c r="BZ806" s="11">
        <v>8.4203E8</v>
      </c>
      <c r="CA806" s="11">
        <v>7.5791E8</v>
      </c>
      <c r="CB806" s="11">
        <v>2.555E7</v>
      </c>
      <c r="CC806" s="11">
        <v>2.444E7</v>
      </c>
      <c r="CD806" s="11">
        <v>2.143E7</v>
      </c>
      <c r="CE806" s="11">
        <v>1.834E7</v>
      </c>
      <c r="CF806" s="11">
        <v>1.74E7</v>
      </c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>
        <v>9620000.0</v>
      </c>
      <c r="CR806" s="11">
        <v>6310000.0</v>
      </c>
      <c r="CS806" s="11">
        <v>1.065E7</v>
      </c>
      <c r="CT806" s="11">
        <v>7320000.0</v>
      </c>
      <c r="CU806" s="11">
        <v>6940000.0</v>
      </c>
      <c r="CV806" s="11">
        <v>7.538E7</v>
      </c>
      <c r="CW806" s="11"/>
      <c r="CX806" s="11"/>
      <c r="CY806" s="12"/>
      <c r="CZ806" s="12"/>
      <c r="DA806" s="11"/>
      <c r="DB806" s="11">
        <v>7.538E7</v>
      </c>
      <c r="DC806" s="11">
        <v>8.563E7</v>
      </c>
      <c r="DD806" s="11">
        <v>9.756E7</v>
      </c>
      <c r="DE806" s="11">
        <v>6.008E7</v>
      </c>
      <c r="DF806" s="11">
        <v>7.793E7</v>
      </c>
      <c r="DG806" s="11">
        <v>8.76E7</v>
      </c>
      <c r="DH806" s="11">
        <v>1.0516E8</v>
      </c>
      <c r="DI806" s="11">
        <v>6.604E7</v>
      </c>
      <c r="DJ806" s="11">
        <v>5.898E7</v>
      </c>
      <c r="DK806" s="11">
        <v>6.4742E8</v>
      </c>
      <c r="DL806" s="11">
        <v>5.5737E8</v>
      </c>
      <c r="DM806" s="11">
        <v>4.3298E8</v>
      </c>
      <c r="DN806" s="11">
        <v>3.8412E8</v>
      </c>
      <c r="DO806" s="11">
        <v>3.2217E8</v>
      </c>
      <c r="DP806" s="11"/>
      <c r="DQ806" s="11"/>
      <c r="DR806" s="11"/>
      <c r="DS806" s="11"/>
      <c r="DT806" s="11"/>
      <c r="DU806" s="12"/>
      <c r="DV806" s="12"/>
      <c r="DW806" s="12"/>
      <c r="DX806" s="12"/>
      <c r="DY806" s="12"/>
      <c r="DZ806" s="11"/>
      <c r="EA806" s="11"/>
      <c r="EB806" s="11"/>
      <c r="EC806" s="11"/>
      <c r="ED806" s="11"/>
      <c r="EE806" s="14"/>
      <c r="EF806" s="14"/>
      <c r="EG806" s="23"/>
      <c r="EH806" s="14"/>
    </row>
    <row r="807">
      <c r="A807" s="9">
        <f t="shared" si="2"/>
        <v>805</v>
      </c>
      <c r="B807" s="22" t="s">
        <v>942</v>
      </c>
      <c r="C807" s="12"/>
      <c r="D807" s="12"/>
      <c r="E807" s="12"/>
      <c r="F807" s="12"/>
      <c r="G807" s="12"/>
      <c r="H807" s="12"/>
      <c r="I807" s="12"/>
      <c r="J807" s="11">
        <v>-1300.0</v>
      </c>
      <c r="K807" s="11">
        <v>-690.0</v>
      </c>
      <c r="L807" s="11">
        <v>-175.0</v>
      </c>
      <c r="M807" s="11">
        <v>-154.0</v>
      </c>
      <c r="N807" s="12"/>
      <c r="O807" s="11">
        <v>36680.0</v>
      </c>
      <c r="P807" s="11">
        <v>24040.0</v>
      </c>
      <c r="Q807" s="11">
        <v>8570.0</v>
      </c>
      <c r="R807" s="11">
        <v>8840.0</v>
      </c>
      <c r="S807" s="12"/>
      <c r="T807" s="11">
        <v>28000.0</v>
      </c>
      <c r="U807" s="11">
        <v>18140.0</v>
      </c>
      <c r="V807" s="11">
        <v>6470.0</v>
      </c>
      <c r="W807" s="11">
        <v>7370.0</v>
      </c>
      <c r="X807" s="12"/>
      <c r="Y807" s="12"/>
      <c r="Z807" s="12"/>
      <c r="AA807" s="12"/>
      <c r="AB807" s="12"/>
      <c r="AC807" s="12"/>
      <c r="AD807" s="11">
        <v>-35720.0</v>
      </c>
      <c r="AE807" s="11">
        <v>-23170.0</v>
      </c>
      <c r="AF807" s="11">
        <v>-8520.0</v>
      </c>
      <c r="AG807" s="11">
        <v>-8990.0</v>
      </c>
      <c r="AH807" s="12"/>
      <c r="AI807" s="11">
        <v>-36680.0</v>
      </c>
      <c r="AJ807" s="11">
        <v>-24040.0</v>
      </c>
      <c r="AK807" s="11">
        <v>-8570.0</v>
      </c>
      <c r="AL807" s="11">
        <v>-8840.0</v>
      </c>
      <c r="AM807" s="12"/>
      <c r="AN807" s="11">
        <v>-35090.0</v>
      </c>
      <c r="AO807" s="11">
        <v>-23170.0</v>
      </c>
      <c r="AP807" s="11">
        <v>-8520.0</v>
      </c>
      <c r="AQ807" s="11">
        <v>-8990.0</v>
      </c>
      <c r="AR807" s="12"/>
      <c r="AS807" s="11">
        <v>-29880.0</v>
      </c>
      <c r="AT807" s="11">
        <v>-20790.0</v>
      </c>
      <c r="AU807" s="11">
        <v>-8110.0</v>
      </c>
      <c r="AV807" s="11">
        <v>-9760.0</v>
      </c>
      <c r="AW807" s="12"/>
      <c r="AX807" s="11">
        <v>-607.0</v>
      </c>
      <c r="AY807" s="11">
        <v>-1120.0</v>
      </c>
      <c r="AZ807" s="11">
        <v>-389.0</v>
      </c>
      <c r="BA807" s="11">
        <v>-132.0</v>
      </c>
      <c r="BB807" s="12"/>
      <c r="BC807" s="12"/>
      <c r="BD807" s="12"/>
      <c r="BE807" s="12"/>
      <c r="BF807" s="12"/>
      <c r="BG807" s="12"/>
      <c r="BH807" s="11">
        <v>78210.0</v>
      </c>
      <c r="BI807" s="11">
        <v>107430.0</v>
      </c>
      <c r="BJ807" s="11">
        <v>51030.0</v>
      </c>
      <c r="BK807" s="11">
        <v>9750.0</v>
      </c>
      <c r="BL807" s="12"/>
      <c r="BM807" s="11">
        <v>642.0</v>
      </c>
      <c r="BN807" s="12"/>
      <c r="BO807" s="12"/>
      <c r="BP807" s="12"/>
      <c r="BQ807" s="12"/>
      <c r="BR807" s="12"/>
      <c r="BS807" s="12"/>
      <c r="BT807" s="12"/>
      <c r="BU807" s="12"/>
      <c r="BV807" s="12"/>
      <c r="BW807" s="11">
        <v>81130.0</v>
      </c>
      <c r="BX807" s="11">
        <v>109810.0</v>
      </c>
      <c r="BY807" s="11">
        <v>52330.0</v>
      </c>
      <c r="BZ807" s="11">
        <v>10490.0</v>
      </c>
      <c r="CA807" s="12"/>
      <c r="CB807" s="11">
        <v>8100.0</v>
      </c>
      <c r="CC807" s="11">
        <v>4600.0</v>
      </c>
      <c r="CD807" s="11">
        <v>1540.0</v>
      </c>
      <c r="CE807" s="11">
        <v>862.0</v>
      </c>
      <c r="CF807" s="12"/>
      <c r="CG807" s="12"/>
      <c r="CH807" s="12"/>
      <c r="CI807" s="12"/>
      <c r="CJ807" s="12"/>
      <c r="CK807" s="12"/>
      <c r="CL807" s="11">
        <v>89510.0</v>
      </c>
      <c r="CM807" s="11">
        <v>114680.0</v>
      </c>
      <c r="CN807" s="11">
        <v>54220.0</v>
      </c>
      <c r="CO807" s="11">
        <v>11420.0</v>
      </c>
      <c r="CP807" s="12"/>
      <c r="CQ807" s="11">
        <v>823.0</v>
      </c>
      <c r="CR807" s="11">
        <v>193.0</v>
      </c>
      <c r="CS807" s="11">
        <v>547.0</v>
      </c>
      <c r="CT807" s="11">
        <v>466.0</v>
      </c>
      <c r="CU807" s="12"/>
      <c r="CV807" s="11">
        <v>6000.0</v>
      </c>
      <c r="CW807" s="11">
        <v>900.0</v>
      </c>
      <c r="CX807" s="12"/>
      <c r="CY807" s="12"/>
      <c r="CZ807" s="12"/>
      <c r="DA807" s="12"/>
      <c r="DB807" s="11">
        <v>6000.0</v>
      </c>
      <c r="DC807" s="11">
        <v>3340.0</v>
      </c>
      <c r="DD807" s="11">
        <v>1480.0</v>
      </c>
      <c r="DE807" s="11">
        <v>651.0</v>
      </c>
      <c r="DF807" s="11">
        <v>11470.0</v>
      </c>
      <c r="DG807" s="11">
        <v>5890.0</v>
      </c>
      <c r="DH807" s="11">
        <v>1980.0</v>
      </c>
      <c r="DI807" s="11">
        <v>676.0</v>
      </c>
      <c r="DJ807" s="12"/>
      <c r="DK807" s="12"/>
      <c r="DL807" s="12"/>
      <c r="DM807" s="11">
        <v>13.0</v>
      </c>
      <c r="DN807" s="11">
        <v>13.0</v>
      </c>
      <c r="DO807" s="12"/>
      <c r="DP807" s="11">
        <v>5460.0</v>
      </c>
      <c r="DQ807" s="12"/>
      <c r="DR807" s="12"/>
      <c r="DS807" s="12"/>
      <c r="DT807" s="12"/>
      <c r="DU807" s="13"/>
      <c r="DV807" s="12"/>
      <c r="DW807" s="11">
        <v>77930.0</v>
      </c>
      <c r="DX807" s="11">
        <v>28180.0</v>
      </c>
      <c r="DY807" s="13"/>
      <c r="DZ807" s="11">
        <v>78050.0</v>
      </c>
      <c r="EA807" s="11">
        <v>108800.0</v>
      </c>
      <c r="EB807" s="11">
        <v>52240.0</v>
      </c>
      <c r="EC807" s="11">
        <v>10750.0</v>
      </c>
      <c r="ED807" s="12"/>
      <c r="EE807" s="23"/>
      <c r="EF807" s="23"/>
      <c r="EG807" s="14">
        <v>0.154</v>
      </c>
      <c r="EH807" s="14">
        <v>0.119</v>
      </c>
    </row>
    <row r="808">
      <c r="A808" s="9">
        <f t="shared" si="2"/>
        <v>806</v>
      </c>
      <c r="B808" s="10" t="s">
        <v>943</v>
      </c>
      <c r="C808" s="11">
        <v>1.492E7</v>
      </c>
      <c r="D808" s="11">
        <v>1.24E7</v>
      </c>
      <c r="E808" s="11">
        <v>1.267E7</v>
      </c>
      <c r="F808" s="11">
        <v>1.182E7</v>
      </c>
      <c r="G808" s="11">
        <v>1.009E7</v>
      </c>
      <c r="H808" s="11">
        <v>8680000.0</v>
      </c>
      <c r="I808" s="11">
        <v>7860000.0</v>
      </c>
      <c r="J808" s="11">
        <v>1870000.0</v>
      </c>
      <c r="K808" s="11">
        <v>1700000.0</v>
      </c>
      <c r="L808" s="11">
        <v>1460000.0</v>
      </c>
      <c r="M808" s="11">
        <v>1250000.0</v>
      </c>
      <c r="N808" s="11">
        <v>1130000.0</v>
      </c>
      <c r="O808" s="11">
        <v>1370000.0</v>
      </c>
      <c r="P808" s="11">
        <v>1260000.0</v>
      </c>
      <c r="Q808" s="11">
        <v>1030000.0</v>
      </c>
      <c r="R808" s="11">
        <v>896790.0</v>
      </c>
      <c r="S808" s="11">
        <v>780490.0</v>
      </c>
      <c r="T808" s="12"/>
      <c r="U808" s="12"/>
      <c r="V808" s="12"/>
      <c r="W808" s="12"/>
      <c r="X808" s="12"/>
      <c r="Y808" s="11">
        <v>485300.0</v>
      </c>
      <c r="Z808" s="11">
        <v>441300.0</v>
      </c>
      <c r="AA808" s="11">
        <v>423190.0</v>
      </c>
      <c r="AB808" s="11">
        <v>336910.0</v>
      </c>
      <c r="AC808" s="11">
        <v>-57480.0</v>
      </c>
      <c r="AD808" s="11">
        <v>375400.0</v>
      </c>
      <c r="AE808" s="11">
        <v>337500.0</v>
      </c>
      <c r="AF808" s="11">
        <v>347070.0</v>
      </c>
      <c r="AG808" s="11">
        <v>283520.0</v>
      </c>
      <c r="AH808" s="11">
        <v>262700.0</v>
      </c>
      <c r="AI808" s="11">
        <v>582300.0</v>
      </c>
      <c r="AJ808" s="11">
        <v>516400.0</v>
      </c>
      <c r="AK808" s="11">
        <v>483110.0</v>
      </c>
      <c r="AL808" s="11">
        <v>404520.0</v>
      </c>
      <c r="AM808" s="11">
        <v>395140.0</v>
      </c>
      <c r="AN808" s="11">
        <v>271500.0</v>
      </c>
      <c r="AO808" s="11">
        <v>265700.0</v>
      </c>
      <c r="AP808" s="11">
        <v>245220.0</v>
      </c>
      <c r="AQ808" s="11">
        <v>197060.0</v>
      </c>
      <c r="AR808" s="11">
        <v>183000.0</v>
      </c>
      <c r="AS808" s="11">
        <v>398800.0</v>
      </c>
      <c r="AT808" s="11">
        <v>322800.0</v>
      </c>
      <c r="AU808" s="11">
        <v>128580.0</v>
      </c>
      <c r="AV808" s="11">
        <v>70130.0</v>
      </c>
      <c r="AW808" s="11">
        <v>67500.0</v>
      </c>
      <c r="AX808" s="11">
        <v>-124900.0</v>
      </c>
      <c r="AY808" s="11">
        <v>-158000.0</v>
      </c>
      <c r="AZ808" s="11">
        <v>-105380.0</v>
      </c>
      <c r="BA808" s="11">
        <v>-100760.0</v>
      </c>
      <c r="BB808" s="11">
        <v>-83240.0</v>
      </c>
      <c r="BC808" s="11">
        <v>-27600.0</v>
      </c>
      <c r="BD808" s="11">
        <v>-27700.0</v>
      </c>
      <c r="BE808" s="11">
        <v>-26540.0</v>
      </c>
      <c r="BF808" s="11">
        <v>-24130.0</v>
      </c>
      <c r="BG808" s="11">
        <v>-19990.0</v>
      </c>
      <c r="BH808" s="11">
        <v>84000.0</v>
      </c>
      <c r="BI808" s="11">
        <v>31600.0</v>
      </c>
      <c r="BJ808" s="11">
        <v>57250.0</v>
      </c>
      <c r="BK808" s="11">
        <v>50280.0</v>
      </c>
      <c r="BL808" s="11">
        <v>45010.0</v>
      </c>
      <c r="BM808" s="11">
        <v>505000.0</v>
      </c>
      <c r="BN808" s="11">
        <v>546500.0</v>
      </c>
      <c r="BO808" s="11">
        <v>544440.0</v>
      </c>
      <c r="BP808" s="11">
        <v>420110.0</v>
      </c>
      <c r="BQ808" s="11">
        <v>332260.0</v>
      </c>
      <c r="BR808" s="11">
        <v>2430000.0</v>
      </c>
      <c r="BS808" s="11">
        <v>2370000.0</v>
      </c>
      <c r="BT808" s="11">
        <v>2130000.0</v>
      </c>
      <c r="BU808" s="11">
        <v>1770000.0</v>
      </c>
      <c r="BV808" s="11">
        <v>1470000.0</v>
      </c>
      <c r="BW808" s="11">
        <v>3070000.0</v>
      </c>
      <c r="BX808" s="11">
        <v>2990000.0</v>
      </c>
      <c r="BY808" s="11">
        <v>2780000.0</v>
      </c>
      <c r="BZ808" s="11">
        <v>2290000.0</v>
      </c>
      <c r="CA808" s="11">
        <v>1880000.0</v>
      </c>
      <c r="CB808" s="11">
        <v>1860000.0</v>
      </c>
      <c r="CC808" s="11">
        <v>1450000.0</v>
      </c>
      <c r="CD808" s="11">
        <v>1190000.0</v>
      </c>
      <c r="CE808" s="11">
        <v>1010000.0</v>
      </c>
      <c r="CF808" s="11">
        <v>876660.0</v>
      </c>
      <c r="CG808" s="11">
        <v>454600.0</v>
      </c>
      <c r="CH808" s="11">
        <v>434900.0</v>
      </c>
      <c r="CI808" s="11">
        <v>256320.0</v>
      </c>
      <c r="CJ808" s="11">
        <v>259400.0</v>
      </c>
      <c r="CK808" s="11">
        <v>213220.0</v>
      </c>
      <c r="CL808" s="11">
        <v>6240000.0</v>
      </c>
      <c r="CM808" s="11">
        <v>5470000.0</v>
      </c>
      <c r="CN808" s="11">
        <v>4760000.0</v>
      </c>
      <c r="CO808" s="11">
        <v>3940000.0</v>
      </c>
      <c r="CP808" s="11">
        <v>3320000.0</v>
      </c>
      <c r="CQ808" s="11">
        <v>125300.0</v>
      </c>
      <c r="CR808" s="11">
        <v>126300.0</v>
      </c>
      <c r="CS808" s="11">
        <v>111360.0</v>
      </c>
      <c r="CT808" s="11">
        <v>88420.0</v>
      </c>
      <c r="CU808" s="11">
        <v>70870.0</v>
      </c>
      <c r="CV808" s="11">
        <v>2570000.0</v>
      </c>
      <c r="CW808" s="11">
        <v>2090000.0</v>
      </c>
      <c r="CX808" s="11">
        <v>2060000.0</v>
      </c>
      <c r="CY808" s="11">
        <v>1920000.0</v>
      </c>
      <c r="CZ808" s="11">
        <v>1600000.0</v>
      </c>
      <c r="DA808" s="11">
        <v>1310000.0</v>
      </c>
      <c r="DB808" s="11">
        <v>2570000.0</v>
      </c>
      <c r="DC808" s="11">
        <v>2490000.0</v>
      </c>
      <c r="DD808" s="11">
        <v>2300000.0</v>
      </c>
      <c r="DE808" s="11">
        <v>1920000.0</v>
      </c>
      <c r="DF808" s="11">
        <v>4780000.0</v>
      </c>
      <c r="DG808" s="11">
        <v>4270000.0</v>
      </c>
      <c r="DH808" s="11">
        <v>3680000.0</v>
      </c>
      <c r="DI808" s="11">
        <v>3030000.0</v>
      </c>
      <c r="DJ808" s="11">
        <v>2490000.0</v>
      </c>
      <c r="DK808" s="11"/>
      <c r="DL808" s="11"/>
      <c r="DM808" s="12"/>
      <c r="DN808" s="12"/>
      <c r="DO808" s="11">
        <v>22280.0</v>
      </c>
      <c r="DP808" s="11">
        <v>1670000.0</v>
      </c>
      <c r="DQ808" s="11">
        <v>1360000.0</v>
      </c>
      <c r="DR808" s="11">
        <v>1030000.0</v>
      </c>
      <c r="DS808" s="11">
        <v>769920.0</v>
      </c>
      <c r="DT808" s="11">
        <v>604680.0</v>
      </c>
      <c r="DU808" s="12"/>
      <c r="DV808" s="12"/>
      <c r="DW808" s="12"/>
      <c r="DX808" s="12"/>
      <c r="DY808" s="12"/>
      <c r="DZ808" s="11">
        <v>1470000.0</v>
      </c>
      <c r="EA808" s="11">
        <v>1200000.0</v>
      </c>
      <c r="EB808" s="11">
        <v>1080000.0</v>
      </c>
      <c r="EC808" s="11">
        <v>910780.0</v>
      </c>
      <c r="ED808" s="11">
        <v>828160.0</v>
      </c>
      <c r="EE808" s="14">
        <v>0.06</v>
      </c>
      <c r="EF808" s="14">
        <v>0.324</v>
      </c>
      <c r="EG808" s="14">
        <v>1.416</v>
      </c>
      <c r="EH808" s="14">
        <v>0.372</v>
      </c>
    </row>
    <row r="809">
      <c r="A809" s="9">
        <f t="shared" si="2"/>
        <v>807</v>
      </c>
      <c r="B809" s="10" t="s">
        <v>944</v>
      </c>
      <c r="C809" s="15">
        <v>1360000.0</v>
      </c>
      <c r="D809" s="15">
        <v>1310000.0</v>
      </c>
      <c r="E809" s="15">
        <v>1310000.0</v>
      </c>
      <c r="F809" s="15">
        <v>1220000.0</v>
      </c>
      <c r="G809" s="15">
        <v>1200000.0</v>
      </c>
      <c r="H809" s="15">
        <v>1190000.0</v>
      </c>
      <c r="I809" s="15">
        <v>1100000.0</v>
      </c>
      <c r="J809" s="15">
        <v>321800.0</v>
      </c>
      <c r="K809" s="15">
        <v>299530.0</v>
      </c>
      <c r="L809" s="15">
        <v>315310.0</v>
      </c>
      <c r="M809" s="15">
        <v>296720.0</v>
      </c>
      <c r="N809" s="15">
        <v>256090.0</v>
      </c>
      <c r="O809" s="15">
        <v>145210.0</v>
      </c>
      <c r="P809" s="15">
        <v>125370.0</v>
      </c>
      <c r="Q809" s="15">
        <v>121770.0</v>
      </c>
      <c r="R809" s="15">
        <v>112150.0</v>
      </c>
      <c r="S809" s="15">
        <v>101230.0</v>
      </c>
      <c r="T809" s="15"/>
      <c r="U809" s="15"/>
      <c r="V809" s="15"/>
      <c r="W809" s="15"/>
      <c r="X809" s="15"/>
      <c r="Y809" s="15">
        <v>190920.0</v>
      </c>
      <c r="Z809" s="15">
        <v>172110.0</v>
      </c>
      <c r="AA809" s="15">
        <v>-18790.0</v>
      </c>
      <c r="AB809" s="15"/>
      <c r="AC809" s="15"/>
      <c r="AD809" s="15">
        <v>195540.0</v>
      </c>
      <c r="AE809" s="15">
        <v>174200.0</v>
      </c>
      <c r="AF809" s="15">
        <v>175520.0</v>
      </c>
      <c r="AG809" s="15">
        <v>184630.0</v>
      </c>
      <c r="AH809" s="15">
        <v>154550.0</v>
      </c>
      <c r="AI809" s="15">
        <v>207940.0</v>
      </c>
      <c r="AJ809" s="15">
        <v>200310.0</v>
      </c>
      <c r="AK809" s="15">
        <v>217420.0</v>
      </c>
      <c r="AL809" s="15">
        <v>207590.0</v>
      </c>
      <c r="AM809" s="15">
        <v>175330.0</v>
      </c>
      <c r="AN809" s="15">
        <v>150290.0</v>
      </c>
      <c r="AO809" s="15">
        <v>135040.0</v>
      </c>
      <c r="AP809" s="15">
        <v>115120.0</v>
      </c>
      <c r="AQ809" s="15">
        <v>121520.0</v>
      </c>
      <c r="AR809" s="15">
        <v>101540.0</v>
      </c>
      <c r="AS809" s="15">
        <v>197600.0</v>
      </c>
      <c r="AT809" s="15">
        <v>160710.0</v>
      </c>
      <c r="AU809" s="15">
        <v>146390.0</v>
      </c>
      <c r="AV809" s="15">
        <v>142590.0</v>
      </c>
      <c r="AW809" s="15">
        <v>132770.0</v>
      </c>
      <c r="AX809" s="15">
        <v>-70880.0</v>
      </c>
      <c r="AY809" s="15">
        <v>-31030.0</v>
      </c>
      <c r="AZ809" s="15">
        <v>-27010.0</v>
      </c>
      <c r="BA809" s="15">
        <v>-16670.0</v>
      </c>
      <c r="BB809" s="15">
        <v>-18300.0</v>
      </c>
      <c r="BC809" s="15">
        <v>-70110.0</v>
      </c>
      <c r="BD809" s="15">
        <v>-64530.0</v>
      </c>
      <c r="BE809" s="15">
        <v>-58980.0</v>
      </c>
      <c r="BF809" s="15">
        <v>-190550.0</v>
      </c>
      <c r="BG809" s="15">
        <v>-49780.0</v>
      </c>
      <c r="BH809" s="15">
        <v>196290.0</v>
      </c>
      <c r="BI809" s="15">
        <v>205750.0</v>
      </c>
      <c r="BJ809" s="15">
        <v>143100.0</v>
      </c>
      <c r="BK809" s="15">
        <v>118080.0</v>
      </c>
      <c r="BL809" s="15">
        <v>182200.0</v>
      </c>
      <c r="BM809" s="15">
        <v>75690.0</v>
      </c>
      <c r="BN809" s="15">
        <v>72960.0</v>
      </c>
      <c r="BO809" s="15">
        <v>69920.0</v>
      </c>
      <c r="BP809" s="15">
        <v>66010.0</v>
      </c>
      <c r="BQ809" s="15">
        <v>62440.0</v>
      </c>
      <c r="BR809" s="15">
        <v>86070.0</v>
      </c>
      <c r="BS809" s="15">
        <v>90860.0</v>
      </c>
      <c r="BT809" s="15">
        <v>76380.0</v>
      </c>
      <c r="BU809" s="15">
        <v>76100.0</v>
      </c>
      <c r="BV809" s="15">
        <v>77900.0</v>
      </c>
      <c r="BW809" s="15">
        <v>368570.0</v>
      </c>
      <c r="BX809" s="15">
        <v>378880.0</v>
      </c>
      <c r="BY809" s="15">
        <v>301150.0</v>
      </c>
      <c r="BZ809" s="15">
        <v>267830.0</v>
      </c>
      <c r="CA809" s="15">
        <v>330210.0</v>
      </c>
      <c r="CB809" s="15">
        <v>247040.0</v>
      </c>
      <c r="CC809" s="15">
        <v>190810.0</v>
      </c>
      <c r="CD809" s="15">
        <v>180670.0</v>
      </c>
      <c r="CE809" s="15">
        <v>169600.0</v>
      </c>
      <c r="CF809" s="15">
        <v>172310.0</v>
      </c>
      <c r="CG809" s="15">
        <v>208370.0</v>
      </c>
      <c r="CH809" s="15">
        <v>168030.0</v>
      </c>
      <c r="CI809" s="15">
        <v>168030.0</v>
      </c>
      <c r="CJ809" s="15">
        <v>143790.0</v>
      </c>
      <c r="CK809" s="15">
        <v>143790.0</v>
      </c>
      <c r="CL809" s="15">
        <v>917920.0</v>
      </c>
      <c r="CM809" s="15">
        <v>817030.0</v>
      </c>
      <c r="CN809" s="15">
        <v>735010.0</v>
      </c>
      <c r="CO809" s="15">
        <v>634730.0</v>
      </c>
      <c r="CP809" s="15">
        <v>702160.0</v>
      </c>
      <c r="CQ809" s="15">
        <v>76670.0</v>
      </c>
      <c r="CR809" s="15">
        <v>57980.0</v>
      </c>
      <c r="CS809" s="15">
        <v>41350.0</v>
      </c>
      <c r="CT809" s="15">
        <v>38930.0</v>
      </c>
      <c r="CU809" s="15">
        <v>38630.0</v>
      </c>
      <c r="CV809" s="15">
        <v>119710.0</v>
      </c>
      <c r="CW809" s="15"/>
      <c r="CX809" s="15"/>
      <c r="CY809" s="13"/>
      <c r="CZ809" s="13"/>
      <c r="DA809" s="12"/>
      <c r="DB809" s="15">
        <v>119710.0</v>
      </c>
      <c r="DC809" s="15">
        <v>93770.0</v>
      </c>
      <c r="DD809" s="15">
        <v>76620.0</v>
      </c>
      <c r="DE809" s="15">
        <v>73000.0</v>
      </c>
      <c r="DF809" s="15">
        <v>191050.0</v>
      </c>
      <c r="DG809" s="15">
        <v>164750.0</v>
      </c>
      <c r="DH809" s="15">
        <v>159040.0</v>
      </c>
      <c r="DI809" s="15">
        <v>121130.0</v>
      </c>
      <c r="DJ809" s="15">
        <v>121240.0</v>
      </c>
      <c r="DK809" s="15"/>
      <c r="DL809" s="15"/>
      <c r="DM809" s="15"/>
      <c r="DN809" s="15"/>
      <c r="DO809" s="15"/>
      <c r="DP809" s="15"/>
      <c r="DQ809" s="15"/>
      <c r="DR809" s="12"/>
      <c r="DS809" s="12"/>
      <c r="DT809" s="12"/>
      <c r="DU809" s="13"/>
      <c r="DV809" s="12"/>
      <c r="DW809" s="12"/>
      <c r="DX809" s="13"/>
      <c r="DY809" s="13"/>
      <c r="DZ809" s="15">
        <v>726870.0</v>
      </c>
      <c r="EA809" s="15">
        <v>652280.0</v>
      </c>
      <c r="EB809" s="15">
        <v>575980.0</v>
      </c>
      <c r="EC809" s="15">
        <v>513600.0</v>
      </c>
      <c r="ED809" s="15">
        <v>580920.0</v>
      </c>
      <c r="EE809" s="17">
        <v>0.023</v>
      </c>
      <c r="EF809" s="17">
        <v>0.0</v>
      </c>
      <c r="EG809" s="17">
        <v>0.0</v>
      </c>
      <c r="EH809" s="17">
        <v>0.059</v>
      </c>
    </row>
    <row r="810">
      <c r="A810" s="9">
        <f t="shared" si="2"/>
        <v>808</v>
      </c>
      <c r="B810" s="10" t="s">
        <v>945</v>
      </c>
      <c r="C810" s="15">
        <v>228910.0</v>
      </c>
      <c r="D810" s="15">
        <v>195710.0</v>
      </c>
      <c r="E810" s="15">
        <v>176620.0</v>
      </c>
      <c r="F810" s="15">
        <v>191360.0</v>
      </c>
      <c r="G810" s="15">
        <v>138580.0</v>
      </c>
      <c r="H810" s="15">
        <v>101330.0</v>
      </c>
      <c r="I810" s="15">
        <v>0.0</v>
      </c>
      <c r="J810" s="15">
        <v>52340.0</v>
      </c>
      <c r="K810" s="15">
        <v>66960.0</v>
      </c>
      <c r="L810" s="15">
        <v>36350.0</v>
      </c>
      <c r="M810" s="15">
        <v>15070.0</v>
      </c>
      <c r="N810" s="15">
        <v>0.0</v>
      </c>
      <c r="O810" s="15">
        <v>61750.0</v>
      </c>
      <c r="P810" s="15">
        <v>49900.0</v>
      </c>
      <c r="Q810" s="15">
        <v>26550.0</v>
      </c>
      <c r="R810" s="15">
        <v>24410.0</v>
      </c>
      <c r="S810" s="15">
        <v>0.0</v>
      </c>
      <c r="T810" s="15">
        <v>28140.0</v>
      </c>
      <c r="U810" s="15">
        <v>21050.0</v>
      </c>
      <c r="V810" s="15">
        <v>15120.0</v>
      </c>
      <c r="W810" s="15">
        <v>15240.0</v>
      </c>
      <c r="X810" s="15">
        <v>0.0</v>
      </c>
      <c r="Y810" s="15">
        <v>-9910.0</v>
      </c>
      <c r="Z810" s="15">
        <v>0.0</v>
      </c>
      <c r="AA810" s="15">
        <v>0.0</v>
      </c>
      <c r="AB810" s="15">
        <v>0.0</v>
      </c>
      <c r="AC810" s="15">
        <v>0.0</v>
      </c>
      <c r="AD810" s="15">
        <v>-6770.0</v>
      </c>
      <c r="AE810" s="15">
        <v>17540.0</v>
      </c>
      <c r="AF810" s="15">
        <v>6700.0</v>
      </c>
      <c r="AG810" s="15">
        <v>-12320.0</v>
      </c>
      <c r="AH810" s="15">
        <v>0.0</v>
      </c>
      <c r="AI810" s="15">
        <v>0.0</v>
      </c>
      <c r="AJ810" s="15">
        <v>25350.0</v>
      </c>
      <c r="AK810" s="15">
        <v>17720.0</v>
      </c>
      <c r="AL810" s="15">
        <v>-1240.0</v>
      </c>
      <c r="AM810" s="15">
        <v>0.0</v>
      </c>
      <c r="AN810" s="15">
        <v>-12880.0</v>
      </c>
      <c r="AO810" s="15">
        <v>9520.0</v>
      </c>
      <c r="AP810" s="15">
        <v>1840.0</v>
      </c>
      <c r="AQ810" s="15">
        <v>-14200.0</v>
      </c>
      <c r="AR810" s="15">
        <v>0.0</v>
      </c>
      <c r="AS810" s="15">
        <v>-4240.0</v>
      </c>
      <c r="AT810" s="15">
        <v>3340.0</v>
      </c>
      <c r="AU810" s="15">
        <v>3410.0</v>
      </c>
      <c r="AV810" s="15">
        <v>5960.0</v>
      </c>
      <c r="AW810" s="15">
        <v>0.0</v>
      </c>
      <c r="AX810" s="15">
        <v>-13630.0</v>
      </c>
      <c r="AY810" s="15">
        <v>-11710.0</v>
      </c>
      <c r="AZ810" s="15">
        <v>-5480.0</v>
      </c>
      <c r="BA810" s="15">
        <v>-4060.0</v>
      </c>
      <c r="BB810" s="15">
        <v>0.0</v>
      </c>
      <c r="BC810" s="15">
        <v>0.0</v>
      </c>
      <c r="BD810" s="15">
        <v>0.0</v>
      </c>
      <c r="BE810" s="15">
        <v>0.0</v>
      </c>
      <c r="BF810" s="15">
        <v>0.0</v>
      </c>
      <c r="BG810" s="15">
        <v>0.0</v>
      </c>
      <c r="BH810" s="15">
        <v>117250.0</v>
      </c>
      <c r="BI810" s="15">
        <v>149480.0</v>
      </c>
      <c r="BJ810" s="15">
        <v>36690.0</v>
      </c>
      <c r="BK810" s="15">
        <v>14220.0</v>
      </c>
      <c r="BL810" s="15">
        <v>0.0</v>
      </c>
      <c r="BM810" s="15">
        <v>30040.0</v>
      </c>
      <c r="BN810" s="15">
        <v>28020.0</v>
      </c>
      <c r="BO810" s="15">
        <v>14640.0</v>
      </c>
      <c r="BP810" s="15">
        <v>10690.0</v>
      </c>
      <c r="BQ810" s="15">
        <v>0.0</v>
      </c>
      <c r="BR810" s="15">
        <v>46130.0</v>
      </c>
      <c r="BS810" s="15">
        <v>35330.0</v>
      </c>
      <c r="BT810" s="15">
        <v>29570.0</v>
      </c>
      <c r="BU810" s="15">
        <v>18810.0</v>
      </c>
      <c r="BV810" s="15">
        <v>0.0</v>
      </c>
      <c r="BW810" s="15">
        <v>198590.0</v>
      </c>
      <c r="BX810" s="15">
        <v>218620.0</v>
      </c>
      <c r="BY810" s="15">
        <v>84580.0</v>
      </c>
      <c r="BZ810" s="15">
        <v>46120.0</v>
      </c>
      <c r="CA810" s="15">
        <v>0.0</v>
      </c>
      <c r="CB810" s="15">
        <v>27750.0</v>
      </c>
      <c r="CC810" s="15">
        <v>21460.0</v>
      </c>
      <c r="CD810" s="15">
        <v>17970.0</v>
      </c>
      <c r="CE810" s="15">
        <v>17320.0</v>
      </c>
      <c r="CF810" s="15">
        <v>0.0</v>
      </c>
      <c r="CG810" s="15">
        <v>9870.0</v>
      </c>
      <c r="CH810" s="15">
        <v>1390.0</v>
      </c>
      <c r="CI810" s="15">
        <v>1390.0</v>
      </c>
      <c r="CJ810" s="15">
        <v>1390.0</v>
      </c>
      <c r="CK810" s="15">
        <v>0.0</v>
      </c>
      <c r="CL810" s="15">
        <v>249970.0</v>
      </c>
      <c r="CM810" s="15">
        <v>250130.0</v>
      </c>
      <c r="CN810" s="15">
        <v>110150.0</v>
      </c>
      <c r="CO810" s="15">
        <v>71060.0</v>
      </c>
      <c r="CP810" s="15">
        <v>0.0</v>
      </c>
      <c r="CQ810" s="15">
        <v>12700.0</v>
      </c>
      <c r="CR810" s="15">
        <v>12070.0</v>
      </c>
      <c r="CS810" s="15">
        <v>12920.0</v>
      </c>
      <c r="CT810" s="15">
        <v>9380.0</v>
      </c>
      <c r="CU810" s="15">
        <v>0.0</v>
      </c>
      <c r="CV810" s="15">
        <v>25040.0</v>
      </c>
      <c r="CW810" s="15">
        <v>0.0</v>
      </c>
      <c r="CX810" s="15">
        <v>0.0</v>
      </c>
      <c r="CY810" s="16">
        <v>0.0</v>
      </c>
      <c r="CZ810" s="16">
        <v>0.0</v>
      </c>
      <c r="DA810" s="15">
        <v>0.0</v>
      </c>
      <c r="DB810" s="15">
        <v>25040.0</v>
      </c>
      <c r="DC810" s="15">
        <v>23590.0</v>
      </c>
      <c r="DD810" s="15">
        <v>28890.0</v>
      </c>
      <c r="DE810" s="15">
        <v>19230.0</v>
      </c>
      <c r="DF810" s="15">
        <v>33360.0</v>
      </c>
      <c r="DG810" s="15">
        <v>32350.0</v>
      </c>
      <c r="DH810" s="15">
        <v>48870.0</v>
      </c>
      <c r="DI810" s="15">
        <v>41370.0</v>
      </c>
      <c r="DJ810" s="15">
        <v>0.0</v>
      </c>
      <c r="DK810" s="15">
        <v>0.0</v>
      </c>
      <c r="DL810" s="15">
        <v>0.0</v>
      </c>
      <c r="DM810" s="15">
        <v>0.0</v>
      </c>
      <c r="DN810" s="15">
        <v>0.0</v>
      </c>
      <c r="DO810" s="15">
        <v>0.0</v>
      </c>
      <c r="DP810" s="15">
        <v>0.0</v>
      </c>
      <c r="DQ810" s="15">
        <v>0.0</v>
      </c>
      <c r="DR810" s="15">
        <v>15110.0</v>
      </c>
      <c r="DS810" s="15">
        <v>18380.0</v>
      </c>
      <c r="DT810" s="15">
        <v>0.0</v>
      </c>
      <c r="DU810" s="16">
        <v>0.0</v>
      </c>
      <c r="DV810" s="15">
        <v>0.0</v>
      </c>
      <c r="DW810" s="15">
        <v>0.0</v>
      </c>
      <c r="DX810" s="15">
        <v>0.0</v>
      </c>
      <c r="DY810" s="15">
        <v>0.0</v>
      </c>
      <c r="DZ810" s="15">
        <v>216610.0</v>
      </c>
      <c r="EA810" s="15">
        <v>217780.0</v>
      </c>
      <c r="EB810" s="15">
        <v>61280.0</v>
      </c>
      <c r="EC810" s="15">
        <v>29690.0</v>
      </c>
      <c r="ED810" s="15">
        <v>0.0</v>
      </c>
      <c r="EE810" s="17">
        <v>0.067</v>
      </c>
      <c r="EF810" s="17">
        <v>0.11</v>
      </c>
      <c r="EG810" s="17">
        <v>0.5</v>
      </c>
      <c r="EH810" s="17">
        <v>-0.092</v>
      </c>
    </row>
    <row r="811">
      <c r="A811" s="9">
        <f t="shared" si="2"/>
        <v>809</v>
      </c>
      <c r="B811" s="10" t="s">
        <v>946</v>
      </c>
      <c r="C811" s="11">
        <v>1.186E7</v>
      </c>
      <c r="D811" s="11">
        <v>1.084E7</v>
      </c>
      <c r="E811" s="11">
        <v>1.291E7</v>
      </c>
      <c r="F811" s="11">
        <v>1.324E7</v>
      </c>
      <c r="G811" s="11">
        <v>1.263E7</v>
      </c>
      <c r="H811" s="11">
        <v>1.257E7</v>
      </c>
      <c r="I811" s="11">
        <v>1.215E7</v>
      </c>
      <c r="J811" s="11">
        <v>4700000.0</v>
      </c>
      <c r="K811" s="11">
        <v>4900000.0</v>
      </c>
      <c r="L811" s="11">
        <v>4960000.0</v>
      </c>
      <c r="M811" s="11">
        <v>5140000.0</v>
      </c>
      <c r="N811" s="11">
        <v>5200000.0</v>
      </c>
      <c r="O811" s="11">
        <v>3470000.0</v>
      </c>
      <c r="P811" s="11">
        <v>3560000.0</v>
      </c>
      <c r="Q811" s="11">
        <v>3230000.0</v>
      </c>
      <c r="R811" s="11">
        <v>3100000.0</v>
      </c>
      <c r="S811" s="11">
        <v>3010000.0</v>
      </c>
      <c r="T811" s="11"/>
      <c r="U811" s="11"/>
      <c r="V811" s="11"/>
      <c r="W811" s="11"/>
      <c r="X811" s="11"/>
      <c r="Y811" s="11">
        <v>253000.0</v>
      </c>
      <c r="Z811" s="11">
        <v>1240000.0</v>
      </c>
      <c r="AA811" s="11">
        <v>1680000.0</v>
      </c>
      <c r="AB811" s="11">
        <v>1970000.0</v>
      </c>
      <c r="AC811" s="11"/>
      <c r="AD811" s="11">
        <v>-181000.0</v>
      </c>
      <c r="AE811" s="11">
        <v>857000.0</v>
      </c>
      <c r="AF811" s="11">
        <v>1310000.0</v>
      </c>
      <c r="AG811" s="11">
        <v>1700000.0</v>
      </c>
      <c r="AH811" s="11">
        <v>1930000.0</v>
      </c>
      <c r="AI811" s="11">
        <v>1810000.0</v>
      </c>
      <c r="AJ811" s="11">
        <v>1930000.0</v>
      </c>
      <c r="AK811" s="11">
        <v>2300000.0</v>
      </c>
      <c r="AL811" s="11">
        <v>2560000.0</v>
      </c>
      <c r="AM811" s="11">
        <v>2650000.0</v>
      </c>
      <c r="AN811" s="11">
        <v>-366000.0</v>
      </c>
      <c r="AO811" s="11">
        <v>644000.0</v>
      </c>
      <c r="AP811" s="11">
        <v>983000.0</v>
      </c>
      <c r="AQ811" s="11">
        <v>1160000.0</v>
      </c>
      <c r="AR811" s="11">
        <v>1250000.0</v>
      </c>
      <c r="AS811" s="11">
        <v>1240000.0</v>
      </c>
      <c r="AT811" s="11">
        <v>1390000.0</v>
      </c>
      <c r="AU811" s="11">
        <v>1440000.0</v>
      </c>
      <c r="AV811" s="11">
        <v>2000000.0</v>
      </c>
      <c r="AW811" s="11">
        <v>1870000.0</v>
      </c>
      <c r="AX811" s="11">
        <v>-458000.0</v>
      </c>
      <c r="AY811" s="11">
        <v>-629000.0</v>
      </c>
      <c r="AZ811" s="11">
        <v>-707000.0</v>
      </c>
      <c r="BA811" s="11">
        <v>-990000.0</v>
      </c>
      <c r="BB811" s="11">
        <v>-727000.0</v>
      </c>
      <c r="BC811" s="11">
        <v>-332000.0</v>
      </c>
      <c r="BD811" s="11">
        <v>-666000.0</v>
      </c>
      <c r="BE811" s="11">
        <v>-686000.0</v>
      </c>
      <c r="BF811" s="11">
        <v>-1270000.0</v>
      </c>
      <c r="BG811" s="11">
        <v>-1170000.0</v>
      </c>
      <c r="BH811" s="11">
        <v>1500000.0</v>
      </c>
      <c r="BI811" s="11">
        <v>1420000.0</v>
      </c>
      <c r="BJ811" s="11">
        <v>1530000.0</v>
      </c>
      <c r="BK811" s="11">
        <v>1940000.0</v>
      </c>
      <c r="BL811" s="11">
        <v>2570000.0</v>
      </c>
      <c r="BM811" s="11">
        <v>306000.0</v>
      </c>
      <c r="BN811" s="11">
        <v>367000.0</v>
      </c>
      <c r="BO811" s="11">
        <v>310000.0</v>
      </c>
      <c r="BP811" s="11">
        <v>294000.0</v>
      </c>
      <c r="BQ811" s="11">
        <v>261000.0</v>
      </c>
      <c r="BR811" s="11">
        <v>1290000.0</v>
      </c>
      <c r="BS811" s="11">
        <v>1250000.0</v>
      </c>
      <c r="BT811" s="11">
        <v>1240000.0</v>
      </c>
      <c r="BU811" s="11">
        <v>1100000.0</v>
      </c>
      <c r="BV811" s="11">
        <v>1120000.0</v>
      </c>
      <c r="BW811" s="11">
        <v>3250000.0</v>
      </c>
      <c r="BX811" s="11">
        <v>3260000.0</v>
      </c>
      <c r="BY811" s="11">
        <v>3290000.0</v>
      </c>
      <c r="BZ811" s="11">
        <v>3470000.0</v>
      </c>
      <c r="CA811" s="11">
        <v>4160000.0</v>
      </c>
      <c r="CB811" s="11">
        <v>5540000.0</v>
      </c>
      <c r="CC811" s="11">
        <v>2820000.0</v>
      </c>
      <c r="CD811" s="11">
        <v>2890000.0</v>
      </c>
      <c r="CE811" s="11">
        <v>2740000.0</v>
      </c>
      <c r="CF811" s="11">
        <v>2330000.0</v>
      </c>
      <c r="CG811" s="11">
        <v>628000.0</v>
      </c>
      <c r="CH811" s="11">
        <v>1350000.0</v>
      </c>
      <c r="CI811" s="11">
        <v>1350000.0</v>
      </c>
      <c r="CJ811" s="11">
        <v>1350000.0</v>
      </c>
      <c r="CK811" s="11">
        <v>1320000.0</v>
      </c>
      <c r="CL811" s="11">
        <v>1.013E7</v>
      </c>
      <c r="CM811" s="11">
        <v>8090000.0</v>
      </c>
      <c r="CN811" s="11">
        <v>8150000.0</v>
      </c>
      <c r="CO811" s="11">
        <v>8170000.0</v>
      </c>
      <c r="CP811" s="11">
        <v>8490000.0</v>
      </c>
      <c r="CQ811" s="11">
        <v>647000.0</v>
      </c>
      <c r="CR811" s="11">
        <v>711000.0</v>
      </c>
      <c r="CS811" s="11">
        <v>717000.0</v>
      </c>
      <c r="CT811" s="11">
        <v>683000.0</v>
      </c>
      <c r="CU811" s="11">
        <v>668000.0</v>
      </c>
      <c r="CV811" s="11">
        <v>2370000.0</v>
      </c>
      <c r="CW811" s="11">
        <v>478000.0</v>
      </c>
      <c r="CX811" s="11"/>
      <c r="CY811" s="11"/>
      <c r="CZ811" s="11"/>
      <c r="DA811" s="11"/>
      <c r="DB811" s="11">
        <v>2370000.0</v>
      </c>
      <c r="DC811" s="11">
        <v>1990000.0</v>
      </c>
      <c r="DD811" s="11">
        <v>2030000.0</v>
      </c>
      <c r="DE811" s="11">
        <v>2010000.0</v>
      </c>
      <c r="DF811" s="11">
        <v>1.162E7</v>
      </c>
      <c r="DG811" s="11">
        <v>8960000.0</v>
      </c>
      <c r="DH811" s="11">
        <v>8900000.0</v>
      </c>
      <c r="DI811" s="11">
        <v>8900000.0</v>
      </c>
      <c r="DJ811" s="11">
        <v>8750000.0</v>
      </c>
      <c r="DK811" s="11">
        <v>118000.0</v>
      </c>
      <c r="DL811" s="11">
        <v>89000.0</v>
      </c>
      <c r="DM811" s="11">
        <v>81000.0</v>
      </c>
      <c r="DN811" s="11">
        <v>79000.0</v>
      </c>
      <c r="DO811" s="11">
        <v>86000.0</v>
      </c>
      <c r="DP811" s="11">
        <v>8540000.0</v>
      </c>
      <c r="DQ811" s="11">
        <v>5740000.0</v>
      </c>
      <c r="DR811" s="11">
        <v>5710000.0</v>
      </c>
      <c r="DS811" s="11">
        <v>5700000.0</v>
      </c>
      <c r="DT811" s="11">
        <v>5720000.0</v>
      </c>
      <c r="DU811" s="13"/>
      <c r="DV811" s="12"/>
      <c r="DW811" s="12"/>
      <c r="DX811" s="12"/>
      <c r="DY811" s="12"/>
      <c r="DZ811" s="11">
        <v>-1500000.0</v>
      </c>
      <c r="EA811" s="11">
        <v>-869000.0</v>
      </c>
      <c r="EB811" s="11">
        <v>-753000.0</v>
      </c>
      <c r="EC811" s="11">
        <v>-729000.0</v>
      </c>
      <c r="ED811" s="11">
        <v>-259000.0</v>
      </c>
      <c r="EE811" s="14">
        <v>0.192</v>
      </c>
      <c r="EF811" s="14">
        <v>0.293</v>
      </c>
      <c r="EG811" s="14">
        <v>-0.375</v>
      </c>
      <c r="EH811" s="14">
        <v>-0.041</v>
      </c>
    </row>
    <row r="812">
      <c r="A812" s="9">
        <f t="shared" si="2"/>
        <v>810</v>
      </c>
      <c r="B812" s="10" t="s">
        <v>947</v>
      </c>
      <c r="C812" s="11">
        <v>566430.0</v>
      </c>
      <c r="D812" s="11">
        <v>542110.0</v>
      </c>
      <c r="E812" s="11">
        <v>655410.0</v>
      </c>
      <c r="F812" s="11">
        <v>684560.0</v>
      </c>
      <c r="G812" s="11">
        <v>637340.0</v>
      </c>
      <c r="H812" s="11">
        <v>566090.0</v>
      </c>
      <c r="I812" s="11">
        <v>406840.0</v>
      </c>
      <c r="J812" s="11">
        <v>243610.0</v>
      </c>
      <c r="K812" s="11">
        <v>288710.0</v>
      </c>
      <c r="L812" s="11">
        <v>305210.0</v>
      </c>
      <c r="M812" s="11">
        <v>310090.0</v>
      </c>
      <c r="N812" s="11">
        <v>306360.0</v>
      </c>
      <c r="O812" s="11">
        <v>126460.0</v>
      </c>
      <c r="P812" s="11">
        <v>111390.0</v>
      </c>
      <c r="Q812" s="11">
        <v>115550.0</v>
      </c>
      <c r="R812" s="11">
        <v>113380.0</v>
      </c>
      <c r="S812" s="11">
        <v>75870.0</v>
      </c>
      <c r="T812" s="11">
        <v>38810.0</v>
      </c>
      <c r="U812" s="11">
        <v>29200.0</v>
      </c>
      <c r="V812" s="11">
        <v>42070.0</v>
      </c>
      <c r="W812" s="11">
        <v>45050.0</v>
      </c>
      <c r="X812" s="11">
        <v>30340.0</v>
      </c>
      <c r="Y812" s="12"/>
      <c r="Z812" s="11">
        <v>145210.0</v>
      </c>
      <c r="AA812" s="11">
        <v>85480.0</v>
      </c>
      <c r="AB812" s="11">
        <v>127700.0</v>
      </c>
      <c r="AC812" s="11">
        <v>225390.0</v>
      </c>
      <c r="AD812" s="12"/>
      <c r="AE812" s="11">
        <v>51090.0</v>
      </c>
      <c r="AF812" s="11">
        <v>550.0</v>
      </c>
      <c r="AG812" s="11">
        <v>62180.0</v>
      </c>
      <c r="AH812" s="11">
        <v>227420.0</v>
      </c>
      <c r="AI812" s="11">
        <v>172750.0</v>
      </c>
      <c r="AJ812" s="11">
        <v>232430.0</v>
      </c>
      <c r="AK812" s="11">
        <v>245060.0</v>
      </c>
      <c r="AL812" s="11">
        <v>230150.0</v>
      </c>
      <c r="AM812" s="11">
        <v>236070.0</v>
      </c>
      <c r="AN812" s="12"/>
      <c r="AO812" s="11">
        <v>28690.0</v>
      </c>
      <c r="AP812" s="11">
        <v>-581.0</v>
      </c>
      <c r="AQ812" s="11">
        <v>44780.0</v>
      </c>
      <c r="AR812" s="11">
        <v>149920.0</v>
      </c>
      <c r="AS812" s="11">
        <v>175210.0</v>
      </c>
      <c r="AT812" s="11">
        <v>118520.0</v>
      </c>
      <c r="AU812" s="11">
        <v>165370.0</v>
      </c>
      <c r="AV812" s="11">
        <v>135280.0</v>
      </c>
      <c r="AW812" s="11">
        <v>128080.0</v>
      </c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1">
        <v>140250.0</v>
      </c>
      <c r="BI812" s="11">
        <v>98590.0</v>
      </c>
      <c r="BJ812" s="11">
        <v>144830.0</v>
      </c>
      <c r="BK812" s="11">
        <v>238860.0</v>
      </c>
      <c r="BL812" s="11">
        <v>213810.0</v>
      </c>
      <c r="BM812" s="11">
        <v>164750.0</v>
      </c>
      <c r="BN812" s="11">
        <v>252650.0</v>
      </c>
      <c r="BO812" s="11">
        <v>204070.0</v>
      </c>
      <c r="BP812" s="11">
        <v>211720.0</v>
      </c>
      <c r="BQ812" s="11">
        <v>91100.0</v>
      </c>
      <c r="BR812" s="11">
        <v>143970.0</v>
      </c>
      <c r="BS812" s="11">
        <v>141640.0</v>
      </c>
      <c r="BT812" s="11">
        <v>122600.0</v>
      </c>
      <c r="BU812" s="11">
        <v>114900.0</v>
      </c>
      <c r="BV812" s="11">
        <v>46190.0</v>
      </c>
      <c r="BW812" s="11">
        <v>472250.0</v>
      </c>
      <c r="BX812" s="11">
        <v>526870.0</v>
      </c>
      <c r="BY812" s="11">
        <v>523700.0</v>
      </c>
      <c r="BZ812" s="11">
        <v>612820.0</v>
      </c>
      <c r="CA812" s="11">
        <v>370550.0</v>
      </c>
      <c r="CB812" s="11">
        <v>186670.0</v>
      </c>
      <c r="CC812" s="11">
        <v>233250.0</v>
      </c>
      <c r="CD812" s="11">
        <v>243150.0</v>
      </c>
      <c r="CE812" s="11">
        <v>216640.0</v>
      </c>
      <c r="CF812" s="11">
        <v>94560.0</v>
      </c>
      <c r="CG812" s="12"/>
      <c r="CH812" s="11">
        <v>339570.0</v>
      </c>
      <c r="CI812" s="11">
        <v>339570.0</v>
      </c>
      <c r="CJ812" s="11">
        <v>333610.0</v>
      </c>
      <c r="CK812" s="11">
        <v>141.0</v>
      </c>
      <c r="CL812" s="11">
        <v>1190000.0</v>
      </c>
      <c r="CM812" s="11">
        <v>1580000.0</v>
      </c>
      <c r="CN812" s="11">
        <v>1600000.0</v>
      </c>
      <c r="CO812" s="11">
        <v>1760000.0</v>
      </c>
      <c r="CP812" s="11">
        <v>508770.0</v>
      </c>
      <c r="CQ812" s="11">
        <v>13490.0</v>
      </c>
      <c r="CR812" s="11">
        <v>56770.0</v>
      </c>
      <c r="CS812" s="11">
        <v>44720.0</v>
      </c>
      <c r="CT812" s="11">
        <v>34720.0</v>
      </c>
      <c r="CU812" s="11">
        <v>19200.0</v>
      </c>
      <c r="CV812" s="11">
        <v>176620.0</v>
      </c>
      <c r="CW812" s="12"/>
      <c r="CX812" s="13"/>
      <c r="CY812" s="13"/>
      <c r="CZ812" s="13"/>
      <c r="DA812" s="12"/>
      <c r="DB812" s="11">
        <v>176620.0</v>
      </c>
      <c r="DC812" s="11">
        <v>200920.0</v>
      </c>
      <c r="DD812" s="11">
        <v>192210.0</v>
      </c>
      <c r="DE812" s="11">
        <v>306670.0</v>
      </c>
      <c r="DF812" s="11">
        <v>853370.0</v>
      </c>
      <c r="DG812" s="11">
        <v>976390.0</v>
      </c>
      <c r="DH812" s="11">
        <v>1040000.0</v>
      </c>
      <c r="DI812" s="11">
        <v>1210000.0</v>
      </c>
      <c r="DJ812" s="11">
        <v>45000.0</v>
      </c>
      <c r="DK812" s="12"/>
      <c r="DL812" s="12"/>
      <c r="DM812" s="12"/>
      <c r="DN812" s="12"/>
      <c r="DO812" s="12"/>
      <c r="DP812" s="11">
        <v>662200.0</v>
      </c>
      <c r="DQ812" s="11">
        <v>772430.0</v>
      </c>
      <c r="DR812" s="11">
        <v>843530.0</v>
      </c>
      <c r="DS812" s="11">
        <v>883610.0</v>
      </c>
      <c r="DT812" s="11">
        <v>874.0</v>
      </c>
      <c r="DU812" s="13"/>
      <c r="DV812" s="12"/>
      <c r="DW812" s="12"/>
      <c r="DX812" s="12"/>
      <c r="DY812" s="13"/>
      <c r="DZ812" s="11">
        <v>334040.0</v>
      </c>
      <c r="EA812" s="11">
        <v>598920.0</v>
      </c>
      <c r="EB812" s="11">
        <v>561120.0</v>
      </c>
      <c r="EC812" s="11">
        <v>554050.0</v>
      </c>
      <c r="ED812" s="11">
        <v>463410.0</v>
      </c>
      <c r="EE812" s="14">
        <v>0.009</v>
      </c>
      <c r="EF812" s="14">
        <v>0.12</v>
      </c>
      <c r="EG812" s="14">
        <v>-0.069</v>
      </c>
      <c r="EH812" s="14">
        <v>0.213</v>
      </c>
    </row>
    <row r="813">
      <c r="A813" s="9">
        <f t="shared" si="2"/>
        <v>811</v>
      </c>
      <c r="B813" s="25" t="s">
        <v>948</v>
      </c>
      <c r="C813" s="15">
        <v>757090.0</v>
      </c>
      <c r="D813" s="15">
        <v>742610.0</v>
      </c>
      <c r="E813" s="15">
        <v>734900.0</v>
      </c>
      <c r="F813" s="15">
        <v>704540.0</v>
      </c>
      <c r="G813" s="15">
        <v>579480.0</v>
      </c>
      <c r="H813" s="15">
        <v>592620.0</v>
      </c>
      <c r="I813" s="15">
        <v>587670.0</v>
      </c>
      <c r="J813" s="15">
        <v>254690.0</v>
      </c>
      <c r="K813" s="15">
        <v>255760.0</v>
      </c>
      <c r="L813" s="15">
        <v>215160.0</v>
      </c>
      <c r="M813" s="15">
        <v>216900.0</v>
      </c>
      <c r="N813" s="15">
        <v>214390.0</v>
      </c>
      <c r="O813" s="15">
        <v>233660.0</v>
      </c>
      <c r="P813" s="15">
        <v>234100.0</v>
      </c>
      <c r="Q813" s="15">
        <v>193360.0</v>
      </c>
      <c r="R813" s="15">
        <v>193790.0</v>
      </c>
      <c r="S813" s="15">
        <v>189280.0</v>
      </c>
      <c r="T813" s="15"/>
      <c r="U813" s="15"/>
      <c r="V813" s="15"/>
      <c r="W813" s="15"/>
      <c r="X813" s="15"/>
      <c r="Y813" s="15">
        <v>-22490.0</v>
      </c>
      <c r="Z813" s="15">
        <v>19170.0</v>
      </c>
      <c r="AA813" s="15">
        <v>18070.0</v>
      </c>
      <c r="AB813" s="15">
        <v>22610.0</v>
      </c>
      <c r="AC813" s="15">
        <v>-165.0</v>
      </c>
      <c r="AD813" s="15">
        <v>-43770.0</v>
      </c>
      <c r="AE813" s="15">
        <v>509.0</v>
      </c>
      <c r="AF813" s="15">
        <v>10780.0</v>
      </c>
      <c r="AG813" s="15">
        <v>22000.0</v>
      </c>
      <c r="AH813" s="15">
        <v>18330.0</v>
      </c>
      <c r="AI813" s="15">
        <v>46150.0</v>
      </c>
      <c r="AJ813" s="15">
        <v>44990.0</v>
      </c>
      <c r="AK813" s="15">
        <v>35990.0</v>
      </c>
      <c r="AL813" s="15">
        <v>37260.0</v>
      </c>
      <c r="AM813" s="15">
        <v>39310.0</v>
      </c>
      <c r="AN813" s="15">
        <v>-44420.0</v>
      </c>
      <c r="AO813" s="15">
        <v>-1720.0</v>
      </c>
      <c r="AP813" s="15">
        <v>2150.0</v>
      </c>
      <c r="AQ813" s="15">
        <v>15720.0</v>
      </c>
      <c r="AR813" s="15">
        <v>12280.0</v>
      </c>
      <c r="AS813" s="15">
        <v>29870.0</v>
      </c>
      <c r="AT813" s="15">
        <v>19180.0</v>
      </c>
      <c r="AU813" s="15">
        <v>17010.0</v>
      </c>
      <c r="AV813" s="15">
        <v>29750.0</v>
      </c>
      <c r="AW813" s="15">
        <v>46510.0</v>
      </c>
      <c r="AX813" s="15">
        <v>-9170.0</v>
      </c>
      <c r="AY813" s="15">
        <v>-7900.0</v>
      </c>
      <c r="AZ813" s="15">
        <v>-6310.0</v>
      </c>
      <c r="BA813" s="15">
        <v>-3380.0</v>
      </c>
      <c r="BB813" s="15">
        <v>-5170.0</v>
      </c>
      <c r="BC813" s="15">
        <v>-3570.0</v>
      </c>
      <c r="BD813" s="15">
        <v>-3270.0</v>
      </c>
      <c r="BE813" s="15">
        <v>-2480.0</v>
      </c>
      <c r="BF813" s="15">
        <v>-2410.0</v>
      </c>
      <c r="BG813" s="15">
        <v>-2150.0</v>
      </c>
      <c r="BH813" s="15">
        <v>11370.0</v>
      </c>
      <c r="BI813" s="15">
        <v>7650.0</v>
      </c>
      <c r="BJ813" s="15">
        <v>7600.0</v>
      </c>
      <c r="BK813" s="15">
        <v>7880.0</v>
      </c>
      <c r="BL813" s="15">
        <v>7130.0</v>
      </c>
      <c r="BM813" s="15">
        <v>130280.0</v>
      </c>
      <c r="BN813" s="15">
        <v>126830.0</v>
      </c>
      <c r="BO813" s="15">
        <v>108100.0</v>
      </c>
      <c r="BP813" s="15">
        <v>104640.0</v>
      </c>
      <c r="BQ813" s="15">
        <v>90630.0</v>
      </c>
      <c r="BR813" s="15">
        <v>173430.0</v>
      </c>
      <c r="BS813" s="15">
        <v>173600.0</v>
      </c>
      <c r="BT813" s="15">
        <v>132440.0</v>
      </c>
      <c r="BU813" s="15">
        <v>135210.0</v>
      </c>
      <c r="BV813" s="15">
        <v>136890.0</v>
      </c>
      <c r="BW813" s="15">
        <v>329150.0</v>
      </c>
      <c r="BX813" s="15">
        <v>318800.0</v>
      </c>
      <c r="BY813" s="15">
        <v>258420.0</v>
      </c>
      <c r="BZ813" s="15">
        <v>256450.0</v>
      </c>
      <c r="CA813" s="15">
        <v>243380.0</v>
      </c>
      <c r="CB813" s="15">
        <v>135040.0</v>
      </c>
      <c r="CC813" s="15">
        <v>25760.0</v>
      </c>
      <c r="CD813" s="15">
        <v>23070.0</v>
      </c>
      <c r="CE813" s="15">
        <v>21130.0</v>
      </c>
      <c r="CF813" s="15">
        <v>24880.0</v>
      </c>
      <c r="CG813" s="15">
        <v>49370.0</v>
      </c>
      <c r="CH813" s="15">
        <v>91690.0</v>
      </c>
      <c r="CI813" s="15">
        <v>15770.0</v>
      </c>
      <c r="CJ813" s="15">
        <v>14200.0</v>
      </c>
      <c r="CK813" s="15">
        <v>18100.0</v>
      </c>
      <c r="CL813" s="15">
        <v>770020.0</v>
      </c>
      <c r="CM813" s="15">
        <v>708570.0</v>
      </c>
      <c r="CN813" s="15">
        <v>401520.0</v>
      </c>
      <c r="CO813" s="15">
        <v>399850.0</v>
      </c>
      <c r="CP813" s="15">
        <v>398330.0</v>
      </c>
      <c r="CQ813" s="15">
        <v>36170.0</v>
      </c>
      <c r="CR813" s="15">
        <v>38170.0</v>
      </c>
      <c r="CS813" s="15">
        <v>25460.0</v>
      </c>
      <c r="CT813" s="15">
        <v>29700.0</v>
      </c>
      <c r="CU813" s="15">
        <v>27250.0</v>
      </c>
      <c r="CV813" s="15">
        <v>107310.0</v>
      </c>
      <c r="CW813" s="15">
        <v>10660.0</v>
      </c>
      <c r="CX813" s="15"/>
      <c r="CY813" s="15">
        <v>69.0</v>
      </c>
      <c r="CZ813" s="15">
        <v>113.0</v>
      </c>
      <c r="DA813" s="15">
        <v>252.0</v>
      </c>
      <c r="DB813" s="15">
        <v>107310.0</v>
      </c>
      <c r="DC813" s="15">
        <v>84880.0</v>
      </c>
      <c r="DD813" s="15">
        <v>71520.0</v>
      </c>
      <c r="DE813" s="15">
        <v>91290.0</v>
      </c>
      <c r="DF813" s="15">
        <v>533710.0</v>
      </c>
      <c r="DG813" s="15">
        <v>429080.0</v>
      </c>
      <c r="DH813" s="15">
        <v>191240.0</v>
      </c>
      <c r="DI813" s="15">
        <v>202130.0</v>
      </c>
      <c r="DJ813" s="15">
        <v>198860.0</v>
      </c>
      <c r="DK813" s="15">
        <v>22960.0</v>
      </c>
      <c r="DL813" s="15">
        <v>22740.0</v>
      </c>
      <c r="DM813" s="15">
        <v>23980.0</v>
      </c>
      <c r="DN813" s="15">
        <v>22710.0</v>
      </c>
      <c r="DO813" s="15">
        <v>24970.0</v>
      </c>
      <c r="DP813" s="15">
        <v>399280.0</v>
      </c>
      <c r="DQ813" s="15">
        <v>304930.0</v>
      </c>
      <c r="DR813" s="15">
        <v>94770.0</v>
      </c>
      <c r="DS813" s="15">
        <v>86330.0</v>
      </c>
      <c r="DT813" s="15">
        <v>80470.0</v>
      </c>
      <c r="DU813" s="13"/>
      <c r="DV813" s="12"/>
      <c r="DW813" s="12"/>
      <c r="DX813" s="13"/>
      <c r="DY813" s="13"/>
      <c r="DZ813" s="15">
        <v>236320.0</v>
      </c>
      <c r="EA813" s="15">
        <v>279490.0</v>
      </c>
      <c r="EB813" s="15">
        <v>210280.0</v>
      </c>
      <c r="EC813" s="15">
        <v>197730.0</v>
      </c>
      <c r="ED813" s="15">
        <v>199470.0</v>
      </c>
      <c r="EE813" s="17">
        <v>0.013</v>
      </c>
      <c r="EF813" s="17">
        <v>0.005</v>
      </c>
      <c r="EG813" s="17">
        <v>0.483</v>
      </c>
      <c r="EH813" s="17">
        <v>-0.265</v>
      </c>
    </row>
    <row r="814">
      <c r="A814" s="9">
        <f t="shared" si="2"/>
        <v>812</v>
      </c>
      <c r="B814" s="10" t="s">
        <v>949</v>
      </c>
      <c r="C814" s="15">
        <v>1.399E7</v>
      </c>
      <c r="D814" s="15">
        <v>1.27E7</v>
      </c>
      <c r="E814" s="15">
        <v>1.109E7</v>
      </c>
      <c r="F814" s="15">
        <v>1.019E7</v>
      </c>
      <c r="G814" s="15">
        <v>1.017E7</v>
      </c>
      <c r="H814" s="15">
        <v>7040000.0</v>
      </c>
      <c r="I814" s="15">
        <v>4710000.0</v>
      </c>
      <c r="J814" s="15">
        <v>1550000.0</v>
      </c>
      <c r="K814" s="15">
        <v>1500000.0</v>
      </c>
      <c r="L814" s="15">
        <v>1430000.0</v>
      </c>
      <c r="M814" s="15">
        <v>852000.0</v>
      </c>
      <c r="N814" s="15">
        <v>566000.0</v>
      </c>
      <c r="O814" s="15">
        <v>649000.0</v>
      </c>
      <c r="P814" s="15">
        <v>729000.0</v>
      </c>
      <c r="Q814" s="15">
        <v>747000.0</v>
      </c>
      <c r="R814" s="15">
        <v>337000.0</v>
      </c>
      <c r="S814" s="15">
        <v>204000.0</v>
      </c>
      <c r="T814" s="15">
        <v>49000.0</v>
      </c>
      <c r="U814" s="15">
        <v>46000.0</v>
      </c>
      <c r="V814" s="15">
        <v>42000.0</v>
      </c>
      <c r="W814" s="15">
        <v>44000.0</v>
      </c>
      <c r="X814" s="15">
        <v>0.0</v>
      </c>
      <c r="Y814" s="15">
        <v>894000.0</v>
      </c>
      <c r="Z814" s="15">
        <v>731000.0</v>
      </c>
      <c r="AA814" s="15">
        <v>-172000.0</v>
      </c>
      <c r="AB814" s="15">
        <v>407000.0</v>
      </c>
      <c r="AC814" s="15">
        <v>323000.0</v>
      </c>
      <c r="AD814" s="15">
        <v>866000.0</v>
      </c>
      <c r="AE814" s="15">
        <v>610000.0</v>
      </c>
      <c r="AF814" s="15">
        <v>393000.0</v>
      </c>
      <c r="AG814" s="15">
        <v>318000.0</v>
      </c>
      <c r="AH814" s="15">
        <v>355000.0</v>
      </c>
      <c r="AI814" s="15">
        <v>1130000.0</v>
      </c>
      <c r="AJ814" s="15">
        <v>1030000.0</v>
      </c>
      <c r="AK814" s="15">
        <v>1020000.0</v>
      </c>
      <c r="AL814" s="15">
        <v>637000.0</v>
      </c>
      <c r="AM814" s="15">
        <v>403000.0</v>
      </c>
      <c r="AN814" s="15">
        <v>667000.0</v>
      </c>
      <c r="AO814" s="15">
        <v>581000.0</v>
      </c>
      <c r="AP814" s="15">
        <v>366000.0</v>
      </c>
      <c r="AQ814" s="15">
        <v>244000.0</v>
      </c>
      <c r="AR814" s="15">
        <v>243000.0</v>
      </c>
      <c r="AS814" s="15">
        <v>992000.0</v>
      </c>
      <c r="AT814" s="15">
        <v>760000.0</v>
      </c>
      <c r="AU814" s="15">
        <v>522000.0</v>
      </c>
      <c r="AV814" s="15">
        <v>446000.0</v>
      </c>
      <c r="AW814" s="15">
        <v>399000.0</v>
      </c>
      <c r="AX814" s="15">
        <v>-121000.0</v>
      </c>
      <c r="AY814" s="15">
        <v>-73000.0</v>
      </c>
      <c r="AZ814" s="15">
        <v>-81000.0</v>
      </c>
      <c r="BA814" s="15">
        <v>-29000.0</v>
      </c>
      <c r="BB814" s="15">
        <v>-27000.0</v>
      </c>
      <c r="BC814" s="15">
        <v>-198000.0</v>
      </c>
      <c r="BD814" s="15">
        <v>-198000.0</v>
      </c>
      <c r="BE814" s="15">
        <v>-198000.0</v>
      </c>
      <c r="BF814" s="15">
        <v>-1140000.0</v>
      </c>
      <c r="BG814" s="15">
        <v>-93000.0</v>
      </c>
      <c r="BH814" s="15">
        <v>717000.0</v>
      </c>
      <c r="BI814" s="15">
        <v>369000.0</v>
      </c>
      <c r="BJ814" s="15">
        <v>422000.0</v>
      </c>
      <c r="BK814" s="15">
        <v>396000.0</v>
      </c>
      <c r="BL814" s="15">
        <v>673000.0</v>
      </c>
      <c r="BM814" s="15">
        <v>1730000.0</v>
      </c>
      <c r="BN814" s="15">
        <v>1880000.0</v>
      </c>
      <c r="BO814" s="15">
        <v>1830000.0</v>
      </c>
      <c r="BP814" s="15">
        <v>1660000.0</v>
      </c>
      <c r="BQ814" s="15">
        <v>977000.0</v>
      </c>
      <c r="BR814" s="15">
        <v>0.0</v>
      </c>
      <c r="BS814" s="15">
        <v>0.0</v>
      </c>
      <c r="BT814" s="15">
        <v>0.0</v>
      </c>
      <c r="BU814" s="15">
        <v>67000.0</v>
      </c>
      <c r="BV814" s="15">
        <v>70000.0</v>
      </c>
      <c r="BW814" s="15">
        <v>2710000.0</v>
      </c>
      <c r="BX814" s="15">
        <v>2650000.0</v>
      </c>
      <c r="BY814" s="15">
        <v>2520000.0</v>
      </c>
      <c r="BZ814" s="15">
        <v>2290000.0</v>
      </c>
      <c r="CA814" s="15">
        <v>1790000.0</v>
      </c>
      <c r="CB814" s="15">
        <v>687000.0</v>
      </c>
      <c r="CC814" s="15">
        <v>237000.0</v>
      </c>
      <c r="CD814" s="15">
        <v>232000.0</v>
      </c>
      <c r="CE814" s="15">
        <v>259000.0</v>
      </c>
      <c r="CF814" s="15">
        <v>142000.0</v>
      </c>
      <c r="CG814" s="15">
        <v>4910000.0</v>
      </c>
      <c r="CH814" s="15">
        <v>4860000.0</v>
      </c>
      <c r="CI814" s="15">
        <v>4860000.0</v>
      </c>
      <c r="CJ814" s="15">
        <v>4620000.0</v>
      </c>
      <c r="CK814" s="15">
        <v>1210000.0</v>
      </c>
      <c r="CL814" s="15">
        <v>9660000.0</v>
      </c>
      <c r="CM814" s="15">
        <v>8990000.0</v>
      </c>
      <c r="CN814" s="15">
        <v>9190000.0</v>
      </c>
      <c r="CO814" s="15">
        <v>9130000.0</v>
      </c>
      <c r="CP814" s="15">
        <v>3380000.0</v>
      </c>
      <c r="CQ814" s="15">
        <v>592000.0</v>
      </c>
      <c r="CR814" s="15">
        <v>547000.0</v>
      </c>
      <c r="CS814" s="15">
        <v>557000.0</v>
      </c>
      <c r="CT814" s="15">
        <v>591000.0</v>
      </c>
      <c r="CU814" s="15">
        <v>314000.0</v>
      </c>
      <c r="CV814" s="15">
        <v>2330000.0</v>
      </c>
      <c r="CW814" s="15">
        <v>132000.0</v>
      </c>
      <c r="CX814" s="16">
        <v>0.0</v>
      </c>
      <c r="CY814" s="16">
        <v>0.0</v>
      </c>
      <c r="CZ814" s="16">
        <v>0.0</v>
      </c>
      <c r="DA814" s="15">
        <v>0.0</v>
      </c>
      <c r="DB814" s="15">
        <v>2330000.0</v>
      </c>
      <c r="DC814" s="15">
        <v>2060000.0</v>
      </c>
      <c r="DD814" s="15">
        <v>2200000.0</v>
      </c>
      <c r="DE814" s="15">
        <v>2020000.0</v>
      </c>
      <c r="DF814" s="15">
        <v>6240000.0</v>
      </c>
      <c r="DG814" s="15">
        <v>5680000.0</v>
      </c>
      <c r="DH814" s="15">
        <v>5800000.0</v>
      </c>
      <c r="DI814" s="15">
        <v>5990000.0</v>
      </c>
      <c r="DJ814" s="15">
        <v>2310000.0</v>
      </c>
      <c r="DK814" s="15">
        <v>21000.0</v>
      </c>
      <c r="DL814" s="15">
        <v>26000.0</v>
      </c>
      <c r="DM814" s="15">
        <v>74000.0</v>
      </c>
      <c r="DN814" s="15">
        <v>97000.0</v>
      </c>
      <c r="DO814" s="15">
        <v>0.0</v>
      </c>
      <c r="DP814" s="15">
        <v>3250000.0</v>
      </c>
      <c r="DQ814" s="15">
        <v>3050000.0</v>
      </c>
      <c r="DR814" s="15">
        <v>3060000.0</v>
      </c>
      <c r="DS814" s="15">
        <v>3230000.0</v>
      </c>
      <c r="DT814" s="15">
        <v>1090000.0</v>
      </c>
      <c r="DU814" s="16">
        <v>0.0</v>
      </c>
      <c r="DV814" s="15">
        <v>0.0</v>
      </c>
      <c r="DW814" s="15">
        <v>0.0</v>
      </c>
      <c r="DX814" s="16">
        <v>0.0</v>
      </c>
      <c r="DY814" s="16">
        <v>0.0</v>
      </c>
      <c r="DZ814" s="15">
        <v>3410000.0</v>
      </c>
      <c r="EA814" s="15">
        <v>3310000.0</v>
      </c>
      <c r="EB814" s="15">
        <v>3370000.0</v>
      </c>
      <c r="EC814" s="15">
        <v>3140000.0</v>
      </c>
      <c r="ED814" s="15">
        <v>1070000.0</v>
      </c>
      <c r="EE814" s="17">
        <v>0.028</v>
      </c>
      <c r="EF814" s="17">
        <v>0.061</v>
      </c>
      <c r="EG814" s="17">
        <v>-0.033</v>
      </c>
      <c r="EH814" s="17">
        <v>0.071</v>
      </c>
    </row>
    <row r="815">
      <c r="A815" s="9">
        <f t="shared" si="2"/>
        <v>813</v>
      </c>
      <c r="B815" s="10" t="s">
        <v>950</v>
      </c>
      <c r="C815" s="11">
        <v>1410000.0</v>
      </c>
      <c r="D815" s="11">
        <v>1340000.0</v>
      </c>
      <c r="E815" s="11">
        <v>1450000.0</v>
      </c>
      <c r="F815" s="11">
        <v>1450000.0</v>
      </c>
      <c r="G815" s="11">
        <v>1410000.0</v>
      </c>
      <c r="H815" s="11">
        <v>1340000.0</v>
      </c>
      <c r="I815" s="11">
        <v>1420000.0</v>
      </c>
      <c r="J815" s="11">
        <v>590760.0</v>
      </c>
      <c r="K815" s="11">
        <v>588500.0</v>
      </c>
      <c r="L815" s="11">
        <v>572290.0</v>
      </c>
      <c r="M815" s="11">
        <v>557410.0</v>
      </c>
      <c r="N815" s="11">
        <v>635190.0</v>
      </c>
      <c r="O815" s="11">
        <v>543960.0</v>
      </c>
      <c r="P815" s="11">
        <v>545590.0</v>
      </c>
      <c r="Q815" s="11">
        <v>538940.0</v>
      </c>
      <c r="R815" s="11">
        <v>536580.0</v>
      </c>
      <c r="S815" s="11">
        <v>545300.0</v>
      </c>
      <c r="T815" s="11"/>
      <c r="U815" s="11"/>
      <c r="V815" s="11"/>
      <c r="W815" s="11"/>
      <c r="X815" s="11"/>
      <c r="Y815" s="11"/>
      <c r="Z815" s="11"/>
      <c r="AA815" s="11"/>
      <c r="AB815" s="11">
        <v>-152630.0</v>
      </c>
      <c r="AC815" s="11">
        <v>-98300.0</v>
      </c>
      <c r="AD815" s="11">
        <v>21360.0</v>
      </c>
      <c r="AE815" s="11">
        <v>9630.0</v>
      </c>
      <c r="AF815" s="11">
        <v>448.0</v>
      </c>
      <c r="AG815" s="11">
        <v>-178880.0</v>
      </c>
      <c r="AH815" s="11">
        <v>-29240.0</v>
      </c>
      <c r="AI815" s="11">
        <v>76570.0</v>
      </c>
      <c r="AJ815" s="11">
        <v>70160.0</v>
      </c>
      <c r="AK815" s="11">
        <v>54000.0</v>
      </c>
      <c r="AL815" s="11">
        <v>39370.0</v>
      </c>
      <c r="AM815" s="11">
        <v>107290.0</v>
      </c>
      <c r="AN815" s="11">
        <v>19290.0</v>
      </c>
      <c r="AO815" s="11">
        <v>11590.0</v>
      </c>
      <c r="AP815" s="11">
        <v>28200.0</v>
      </c>
      <c r="AQ815" s="11">
        <v>-109780.0</v>
      </c>
      <c r="AR815" s="11">
        <v>-19550.0</v>
      </c>
      <c r="AS815" s="11">
        <v>27290.0</v>
      </c>
      <c r="AT815" s="11">
        <v>48200.0</v>
      </c>
      <c r="AU815" s="11">
        <v>26920.0</v>
      </c>
      <c r="AV815" s="11">
        <v>23690.0</v>
      </c>
      <c r="AW815" s="11">
        <v>35890.0</v>
      </c>
      <c r="AX815" s="11">
        <v>-38880.0</v>
      </c>
      <c r="AY815" s="11">
        <v>-44850.0</v>
      </c>
      <c r="AZ815" s="11">
        <v>-38150.0</v>
      </c>
      <c r="BA815" s="11">
        <v>-33320.0</v>
      </c>
      <c r="BB815" s="11">
        <v>-22220.0</v>
      </c>
      <c r="BC815" s="12"/>
      <c r="BD815" s="12"/>
      <c r="BE815" s="12"/>
      <c r="BF815" s="12"/>
      <c r="BG815" s="12"/>
      <c r="BH815" s="11">
        <v>79300.0</v>
      </c>
      <c r="BI815" s="11">
        <v>195350.0</v>
      </c>
      <c r="BJ815" s="11">
        <v>197940.0</v>
      </c>
      <c r="BK815" s="11">
        <v>216410.0</v>
      </c>
      <c r="BL815" s="11">
        <v>231670.0</v>
      </c>
      <c r="BM815" s="11">
        <v>50950.0</v>
      </c>
      <c r="BN815" s="11">
        <v>34550.0</v>
      </c>
      <c r="BO815" s="11">
        <v>49860.0</v>
      </c>
      <c r="BP815" s="11">
        <v>39280.0</v>
      </c>
      <c r="BQ815" s="11">
        <v>32060.0</v>
      </c>
      <c r="BR815" s="11">
        <v>375670.0</v>
      </c>
      <c r="BS815" s="11">
        <v>321910.0</v>
      </c>
      <c r="BT815" s="11">
        <v>332300.0</v>
      </c>
      <c r="BU815" s="11">
        <v>325310.0</v>
      </c>
      <c r="BV815" s="11">
        <v>329200.0</v>
      </c>
      <c r="BW815" s="11">
        <v>545380.0</v>
      </c>
      <c r="BX815" s="11">
        <v>588380.0</v>
      </c>
      <c r="BY815" s="11">
        <v>606750.0</v>
      </c>
      <c r="BZ815" s="11">
        <v>607400.0</v>
      </c>
      <c r="CA815" s="11">
        <v>616550.0</v>
      </c>
      <c r="CB815" s="11">
        <v>196330.0</v>
      </c>
      <c r="CC815" s="11">
        <v>149890.0</v>
      </c>
      <c r="CD815" s="11">
        <v>136500.0</v>
      </c>
      <c r="CE815" s="11">
        <v>122840.0</v>
      </c>
      <c r="CF815" s="11">
        <v>109830.0</v>
      </c>
      <c r="CG815" s="11">
        <v>110000.0</v>
      </c>
      <c r="CH815" s="11">
        <v>110000.0</v>
      </c>
      <c r="CI815" s="11">
        <v>110000.0</v>
      </c>
      <c r="CJ815" s="11">
        <v>110000.0</v>
      </c>
      <c r="CK815" s="11">
        <v>110000.0</v>
      </c>
      <c r="CL815" s="11">
        <v>1150000.0</v>
      </c>
      <c r="CM815" s="11">
        <v>1140000.0</v>
      </c>
      <c r="CN815" s="11">
        <v>1150000.0</v>
      </c>
      <c r="CO815" s="11">
        <v>1150000.0</v>
      </c>
      <c r="CP815" s="11">
        <v>1310000.0</v>
      </c>
      <c r="CQ815" s="11">
        <v>158440.0</v>
      </c>
      <c r="CR815" s="11">
        <v>123830.0</v>
      </c>
      <c r="CS815" s="11">
        <v>155870.0</v>
      </c>
      <c r="CT815" s="11">
        <v>162410.0</v>
      </c>
      <c r="CU815" s="11">
        <v>146100.0</v>
      </c>
      <c r="CV815" s="11">
        <v>283570.0</v>
      </c>
      <c r="CW815" s="11">
        <v>5860.0</v>
      </c>
      <c r="CX815" s="12"/>
      <c r="CY815" s="13"/>
      <c r="CZ815" s="13"/>
      <c r="DA815" s="12"/>
      <c r="DB815" s="11">
        <v>283570.0</v>
      </c>
      <c r="DC815" s="11">
        <v>241250.0</v>
      </c>
      <c r="DD815" s="11">
        <v>256130.0</v>
      </c>
      <c r="DE815" s="11">
        <v>248850.0</v>
      </c>
      <c r="DF815" s="11">
        <v>805580.0</v>
      </c>
      <c r="DG815" s="11">
        <v>815870.0</v>
      </c>
      <c r="DH815" s="11">
        <v>838420.0</v>
      </c>
      <c r="DI815" s="11">
        <v>880710.0</v>
      </c>
      <c r="DJ815" s="11">
        <v>928530.0</v>
      </c>
      <c r="DK815" s="11"/>
      <c r="DL815" s="11"/>
      <c r="DM815" s="11"/>
      <c r="DN815" s="11"/>
      <c r="DO815" s="11"/>
      <c r="DP815" s="11">
        <v>418500.0</v>
      </c>
      <c r="DQ815" s="11">
        <v>482450.0</v>
      </c>
      <c r="DR815" s="11">
        <v>486250.0</v>
      </c>
      <c r="DS815" s="11">
        <v>490040.0</v>
      </c>
      <c r="DT815" s="11">
        <v>493840.0</v>
      </c>
      <c r="DU815" s="13"/>
      <c r="DV815" s="12"/>
      <c r="DW815" s="12"/>
      <c r="DX815" s="12"/>
      <c r="DY815" s="12"/>
      <c r="DZ815" s="11">
        <v>348380.0</v>
      </c>
      <c r="EA815" s="11">
        <v>322710.0</v>
      </c>
      <c r="EB815" s="11">
        <v>307090.0</v>
      </c>
      <c r="EC815" s="11">
        <v>271410.0</v>
      </c>
      <c r="ED815" s="11">
        <v>384510.0</v>
      </c>
      <c r="EE815" s="14">
        <v>0.015</v>
      </c>
      <c r="EF815" s="14">
        <v>0.014</v>
      </c>
      <c r="EG815" s="14">
        <v>-0.143</v>
      </c>
      <c r="EH815" s="14">
        <v>0.155</v>
      </c>
    </row>
    <row r="816">
      <c r="A816" s="9">
        <f t="shared" si="2"/>
        <v>814</v>
      </c>
      <c r="B816" s="25" t="s">
        <v>951</v>
      </c>
      <c r="C816" s="15"/>
      <c r="D816" s="15"/>
      <c r="E816" s="15">
        <v>5900.0</v>
      </c>
      <c r="F816" s="15">
        <v>7500.0</v>
      </c>
      <c r="G816" s="15">
        <v>9210.0</v>
      </c>
      <c r="H816" s="15">
        <v>10140.0</v>
      </c>
      <c r="I816" s="15">
        <v>14120.0</v>
      </c>
      <c r="J816" s="15">
        <v>0.0</v>
      </c>
      <c r="K816" s="15">
        <v>0.0</v>
      </c>
      <c r="L816" s="15">
        <v>0.0</v>
      </c>
      <c r="M816" s="15">
        <v>-4940.0</v>
      </c>
      <c r="N816" s="15">
        <v>-4090.0</v>
      </c>
      <c r="O816" s="15">
        <v>4410.0</v>
      </c>
      <c r="P816" s="15">
        <v>4140.0</v>
      </c>
      <c r="Q816" s="15">
        <v>4560.0</v>
      </c>
      <c r="R816" s="15">
        <v>6790.0</v>
      </c>
      <c r="S816" s="15">
        <v>9430.0</v>
      </c>
      <c r="T816" s="15">
        <v>1610.0</v>
      </c>
      <c r="U816" s="15">
        <v>0.0</v>
      </c>
      <c r="V816" s="15">
        <v>0.0</v>
      </c>
      <c r="W816" s="15">
        <v>2030.0</v>
      </c>
      <c r="X816" s="15">
        <v>2440.0</v>
      </c>
      <c r="Y816" s="15">
        <v>0.0</v>
      </c>
      <c r="Z816" s="15">
        <v>0.0</v>
      </c>
      <c r="AA816" s="15">
        <v>-4830.0</v>
      </c>
      <c r="AB816" s="15">
        <v>-21230.0</v>
      </c>
      <c r="AC816" s="15">
        <v>0.0</v>
      </c>
      <c r="AD816" s="15">
        <v>-3570.0</v>
      </c>
      <c r="AE816" s="15">
        <v>-2970.0</v>
      </c>
      <c r="AF816" s="15">
        <v>-4090.0</v>
      </c>
      <c r="AG816" s="15">
        <v>-21230.0</v>
      </c>
      <c r="AH816" s="15">
        <v>-13260.0</v>
      </c>
      <c r="AI816" s="15">
        <v>-2860.0</v>
      </c>
      <c r="AJ816" s="15">
        <v>-3580.0</v>
      </c>
      <c r="AK816" s="15">
        <v>-3380.0</v>
      </c>
      <c r="AL816" s="15">
        <v>-6210.0</v>
      </c>
      <c r="AM816" s="15">
        <v>-8550.0</v>
      </c>
      <c r="AN816" s="15">
        <v>-3570.0</v>
      </c>
      <c r="AO816" s="15">
        <v>-2980.0</v>
      </c>
      <c r="AP816" s="15">
        <v>-4090.0</v>
      </c>
      <c r="AQ816" s="15">
        <v>-21280.0</v>
      </c>
      <c r="AR816" s="15">
        <v>-13270.0</v>
      </c>
      <c r="AS816" s="15">
        <v>-3550.0</v>
      </c>
      <c r="AT816" s="15">
        <v>-1180.0</v>
      </c>
      <c r="AU816" s="15">
        <v>-2110.0</v>
      </c>
      <c r="AV816" s="15">
        <v>-3440.0</v>
      </c>
      <c r="AW816" s="15">
        <v>-4530.0</v>
      </c>
      <c r="AX816" s="15">
        <v>0.0</v>
      </c>
      <c r="AY816" s="15">
        <v>0.0</v>
      </c>
      <c r="AZ816" s="15">
        <v>0.0</v>
      </c>
      <c r="BA816" s="15">
        <v>0.0</v>
      </c>
      <c r="BB816" s="15">
        <v>-1620.0</v>
      </c>
      <c r="BC816" s="15">
        <v>0.0</v>
      </c>
      <c r="BD816" s="15">
        <v>0.0</v>
      </c>
      <c r="BE816" s="15">
        <v>0.0</v>
      </c>
      <c r="BF816" s="15">
        <v>0.0</v>
      </c>
      <c r="BG816" s="15">
        <v>0.0</v>
      </c>
      <c r="BH816" s="15">
        <v>1380.0</v>
      </c>
      <c r="BI816" s="15">
        <v>3420.0</v>
      </c>
      <c r="BJ816" s="15">
        <v>3580.0</v>
      </c>
      <c r="BK816" s="15">
        <v>6030.0</v>
      </c>
      <c r="BL816" s="15">
        <v>4810.0</v>
      </c>
      <c r="BM816" s="15">
        <v>0.0</v>
      </c>
      <c r="BN816" s="15">
        <v>0.0</v>
      </c>
      <c r="BO816" s="15">
        <v>1110.0</v>
      </c>
      <c r="BP816" s="15">
        <v>0.0</v>
      </c>
      <c r="BQ816" s="15">
        <v>2050.0</v>
      </c>
      <c r="BR816" s="15">
        <v>2080.0</v>
      </c>
      <c r="BS816" s="15">
        <v>1820.0</v>
      </c>
      <c r="BT816" s="15">
        <v>2950.0</v>
      </c>
      <c r="BU816" s="15">
        <v>4070.0</v>
      </c>
      <c r="BV816" s="15">
        <v>5920.0</v>
      </c>
      <c r="BW816" s="15">
        <v>4630.0</v>
      </c>
      <c r="BX816" s="15">
        <v>5860.0</v>
      </c>
      <c r="BY816" s="15">
        <v>8040.0</v>
      </c>
      <c r="BZ816" s="15">
        <v>11640.0</v>
      </c>
      <c r="CA816" s="15">
        <v>13670.0</v>
      </c>
      <c r="CB816" s="15">
        <v>5880.0</v>
      </c>
      <c r="CC816" s="15">
        <v>7210.0</v>
      </c>
      <c r="CD816" s="15">
        <v>8280.0</v>
      </c>
      <c r="CE816" s="15">
        <v>8810.0</v>
      </c>
      <c r="CF816" s="15">
        <v>20780.0</v>
      </c>
      <c r="CG816" s="15">
        <v>0.0</v>
      </c>
      <c r="CH816" s="15">
        <v>0.0</v>
      </c>
      <c r="CI816" s="15">
        <v>0.0</v>
      </c>
      <c r="CJ816" s="15">
        <v>0.0</v>
      </c>
      <c r="CK816" s="15">
        <v>0.0</v>
      </c>
      <c r="CL816" s="15">
        <v>11660.0</v>
      </c>
      <c r="CM816" s="15">
        <v>14250.0</v>
      </c>
      <c r="CN816" s="15">
        <v>17670.0</v>
      </c>
      <c r="CO816" s="15">
        <v>22240.0</v>
      </c>
      <c r="CP816" s="15">
        <v>38520.0</v>
      </c>
      <c r="CQ816" s="15">
        <v>0.0</v>
      </c>
      <c r="CR816" s="15">
        <v>0.0</v>
      </c>
      <c r="CS816" s="15">
        <v>1150.0</v>
      </c>
      <c r="CT816" s="15">
        <v>1330.0</v>
      </c>
      <c r="CU816" s="15">
        <v>1650.0</v>
      </c>
      <c r="CV816" s="15">
        <v>3920.0</v>
      </c>
      <c r="CW816" s="15">
        <v>0.0</v>
      </c>
      <c r="CX816" s="15">
        <v>0.0</v>
      </c>
      <c r="CY816" s="15">
        <v>0.0</v>
      </c>
      <c r="CZ816" s="15">
        <v>0.0</v>
      </c>
      <c r="DA816" s="15">
        <v>0.0</v>
      </c>
      <c r="DB816" s="15">
        <v>3920.0</v>
      </c>
      <c r="DC816" s="15">
        <v>7230.0</v>
      </c>
      <c r="DD816" s="15">
        <v>7460.0</v>
      </c>
      <c r="DE816" s="15">
        <v>4900.0</v>
      </c>
      <c r="DF816" s="15">
        <v>9870.0</v>
      </c>
      <c r="DG816" s="15">
        <v>9250.0</v>
      </c>
      <c r="DH816" s="15">
        <v>9850.0</v>
      </c>
      <c r="DI816" s="15">
        <v>10590.0</v>
      </c>
      <c r="DJ816" s="15">
        <v>9150.0</v>
      </c>
      <c r="DK816" s="15">
        <v>0.0</v>
      </c>
      <c r="DL816" s="15">
        <v>0.0</v>
      </c>
      <c r="DM816" s="15">
        <v>0.0</v>
      </c>
      <c r="DN816" s="15">
        <v>1370.0</v>
      </c>
      <c r="DO816" s="15">
        <v>2010.0</v>
      </c>
      <c r="DP816" s="15">
        <v>5950.0</v>
      </c>
      <c r="DQ816" s="15">
        <v>2010.0</v>
      </c>
      <c r="DR816" s="15">
        <v>2390.0</v>
      </c>
      <c r="DS816" s="15">
        <v>2600.0</v>
      </c>
      <c r="DT816" s="15">
        <v>2840.0</v>
      </c>
      <c r="DU816" s="16">
        <v>0.0</v>
      </c>
      <c r="DV816" s="15">
        <v>0.0</v>
      </c>
      <c r="DW816" s="15">
        <v>0.0</v>
      </c>
      <c r="DX816" s="15">
        <v>0.0</v>
      </c>
      <c r="DY816" s="15">
        <v>0.0</v>
      </c>
      <c r="DZ816" s="15">
        <v>1740.0</v>
      </c>
      <c r="EA816" s="15">
        <v>5000.0</v>
      </c>
      <c r="EB816" s="15">
        <v>7820.0</v>
      </c>
      <c r="EC816" s="15">
        <v>11600.0</v>
      </c>
      <c r="ED816" s="15">
        <v>29300.0</v>
      </c>
      <c r="EE816" s="17"/>
      <c r="EF816" s="17"/>
      <c r="EG816" s="17" t="s">
        <v>155</v>
      </c>
      <c r="EH816" s="17"/>
    </row>
    <row r="817">
      <c r="A817" s="9">
        <f t="shared" si="2"/>
        <v>815</v>
      </c>
      <c r="B817" s="25" t="s">
        <v>952</v>
      </c>
      <c r="C817" s="15">
        <v>4720000.0</v>
      </c>
      <c r="D817" s="15">
        <v>4310000.0</v>
      </c>
      <c r="E817" s="15">
        <v>4760000.0</v>
      </c>
      <c r="F817" s="15">
        <v>4270000.0</v>
      </c>
      <c r="G817" s="15">
        <v>3940000.0</v>
      </c>
      <c r="H817" s="15">
        <v>3760000.0</v>
      </c>
      <c r="I817" s="15">
        <v>3920000.0</v>
      </c>
      <c r="J817" s="15">
        <v>987900.0</v>
      </c>
      <c r="K817" s="15">
        <v>871200.0</v>
      </c>
      <c r="L817" s="15">
        <v>861200.0</v>
      </c>
      <c r="M817" s="15">
        <v>891200.0</v>
      </c>
      <c r="N817" s="15">
        <v>904300.0</v>
      </c>
      <c r="O817" s="15">
        <v>469700.0</v>
      </c>
      <c r="P817" s="15">
        <v>421100.0</v>
      </c>
      <c r="Q817" s="15">
        <v>400500.0</v>
      </c>
      <c r="R817" s="15">
        <v>396800.0</v>
      </c>
      <c r="S817" s="15">
        <v>416900.0</v>
      </c>
      <c r="T817" s="15"/>
      <c r="U817" s="15"/>
      <c r="V817" s="15"/>
      <c r="W817" s="15"/>
      <c r="X817" s="15"/>
      <c r="Y817" s="15">
        <v>502800.0</v>
      </c>
      <c r="Z817" s="15">
        <v>409100.0</v>
      </c>
      <c r="AA817" s="15">
        <v>-6200.0</v>
      </c>
      <c r="AB817" s="15">
        <v>489500.0</v>
      </c>
      <c r="AC817" s="15">
        <v>479500.0</v>
      </c>
      <c r="AD817" s="15">
        <v>430100.0</v>
      </c>
      <c r="AE817" s="15">
        <v>384400.0</v>
      </c>
      <c r="AF817" s="15">
        <v>432000.0</v>
      </c>
      <c r="AG817" s="15">
        <v>487100.0</v>
      </c>
      <c r="AH817" s="15">
        <v>449800.0</v>
      </c>
      <c r="AI817" s="15">
        <v>699000.0</v>
      </c>
      <c r="AJ817" s="15">
        <v>574900.0</v>
      </c>
      <c r="AK817" s="15">
        <v>576700.0</v>
      </c>
      <c r="AL817" s="15">
        <v>601100.0</v>
      </c>
      <c r="AM817" s="15">
        <v>591700.0</v>
      </c>
      <c r="AN817" s="15">
        <v>333800.0</v>
      </c>
      <c r="AO817" s="15">
        <v>305900.0</v>
      </c>
      <c r="AP817" s="15">
        <v>293500.0</v>
      </c>
      <c r="AQ817" s="15">
        <v>366700.0</v>
      </c>
      <c r="AR817" s="15">
        <v>323900.0</v>
      </c>
      <c r="AS817" s="15">
        <v>668000.0</v>
      </c>
      <c r="AT817" s="15">
        <v>440300.0</v>
      </c>
      <c r="AU817" s="15">
        <v>443700.0</v>
      </c>
      <c r="AV817" s="15">
        <v>552600.0</v>
      </c>
      <c r="AW817" s="15">
        <v>359100.0</v>
      </c>
      <c r="AX817" s="15">
        <v>-143100.0</v>
      </c>
      <c r="AY817" s="15">
        <v>-159600.0</v>
      </c>
      <c r="AZ817" s="15">
        <v>-159400.0</v>
      </c>
      <c r="BA817" s="15">
        <v>-124000.0</v>
      </c>
      <c r="BB817" s="15">
        <v>-103200.0</v>
      </c>
      <c r="BC817" s="15">
        <v>-204600.0</v>
      </c>
      <c r="BD817" s="15">
        <v>-193700.0</v>
      </c>
      <c r="BE817" s="15">
        <v>-185600.0</v>
      </c>
      <c r="BF817" s="15">
        <v>-177400.0</v>
      </c>
      <c r="BG817" s="15">
        <v>-171600.0</v>
      </c>
      <c r="BH817" s="15">
        <v>247600.0</v>
      </c>
      <c r="BI817" s="15">
        <v>268100.0</v>
      </c>
      <c r="BJ817" s="15">
        <v>526100.0</v>
      </c>
      <c r="BK817" s="15">
        <v>281900.0</v>
      </c>
      <c r="BL817" s="15">
        <v>253200.0</v>
      </c>
      <c r="BM817" s="15">
        <v>591900.0</v>
      </c>
      <c r="BN817" s="15">
        <v>571600.0</v>
      </c>
      <c r="BO817" s="15">
        <v>595100.0</v>
      </c>
      <c r="BP817" s="15">
        <v>486600.0</v>
      </c>
      <c r="BQ817" s="15">
        <v>520200.0</v>
      </c>
      <c r="BR817" s="15">
        <v>636700.0</v>
      </c>
      <c r="BS817" s="15">
        <v>633900.0</v>
      </c>
      <c r="BT817" s="15">
        <v>571100.0</v>
      </c>
      <c r="BU817" s="15">
        <v>519600.0</v>
      </c>
      <c r="BV817" s="15">
        <v>504600.0</v>
      </c>
      <c r="BW817" s="15">
        <v>1540000.0</v>
      </c>
      <c r="BX817" s="15">
        <v>1520000.0</v>
      </c>
      <c r="BY817" s="15">
        <v>1770000.0</v>
      </c>
      <c r="BZ817" s="15">
        <v>1320000.0</v>
      </c>
      <c r="CA817" s="15">
        <v>1310000.0</v>
      </c>
      <c r="CB817" s="15">
        <v>993900.0</v>
      </c>
      <c r="CC817" s="15">
        <v>728500.0</v>
      </c>
      <c r="CD817" s="15">
        <v>663900.0</v>
      </c>
      <c r="CE817" s="15">
        <v>565500.0</v>
      </c>
      <c r="CF817" s="15">
        <v>540800.0</v>
      </c>
      <c r="CG817" s="15">
        <v>1410000.0</v>
      </c>
      <c r="CH817" s="15">
        <v>833800.0</v>
      </c>
      <c r="CI817" s="15">
        <v>822200.0</v>
      </c>
      <c r="CJ817" s="15">
        <v>791300.0</v>
      </c>
      <c r="CK817" s="15">
        <v>806100.0</v>
      </c>
      <c r="CL817" s="15">
        <v>4820000.0</v>
      </c>
      <c r="CM817" s="15">
        <v>3380000.0</v>
      </c>
      <c r="CN817" s="15">
        <v>3550000.0</v>
      </c>
      <c r="CO817" s="15">
        <v>2980000.0</v>
      </c>
      <c r="CP817" s="15">
        <v>2970000.0</v>
      </c>
      <c r="CQ817" s="15">
        <v>473800.0</v>
      </c>
      <c r="CR817" s="15">
        <v>476000.0</v>
      </c>
      <c r="CS817" s="15">
        <v>441300.0</v>
      </c>
      <c r="CT817" s="15">
        <v>368900.0</v>
      </c>
      <c r="CU817" s="15">
        <v>327900.0</v>
      </c>
      <c r="CV817" s="15">
        <v>928100.0</v>
      </c>
      <c r="CW817" s="15">
        <v>39300.0</v>
      </c>
      <c r="CX817" s="15"/>
      <c r="CY817" s="15"/>
      <c r="CZ817" s="15"/>
      <c r="DA817" s="15"/>
      <c r="DB817" s="15">
        <v>928100.0</v>
      </c>
      <c r="DC817" s="15">
        <v>815700.0</v>
      </c>
      <c r="DD817" s="15">
        <v>976200.0</v>
      </c>
      <c r="DE817" s="15">
        <v>706600.0</v>
      </c>
      <c r="DF817" s="15">
        <v>3500000.0</v>
      </c>
      <c r="DG817" s="15">
        <v>2220000.0</v>
      </c>
      <c r="DH817" s="15">
        <v>2360000.0</v>
      </c>
      <c r="DI817" s="15">
        <v>1890000.0</v>
      </c>
      <c r="DJ817" s="15">
        <v>1870000.0</v>
      </c>
      <c r="DK817" s="15">
        <v>4600.0</v>
      </c>
      <c r="DL817" s="15">
        <v>7300.0</v>
      </c>
      <c r="DM817" s="15">
        <v>7300.0</v>
      </c>
      <c r="DN817" s="15">
        <v>7100.0</v>
      </c>
      <c r="DO817" s="15">
        <v>7100.0</v>
      </c>
      <c r="DP817" s="15">
        <v>2190000.0</v>
      </c>
      <c r="DQ817" s="15">
        <v>1170000.0</v>
      </c>
      <c r="DR817" s="15">
        <v>1100000.0</v>
      </c>
      <c r="DS817" s="15">
        <v>956200.0</v>
      </c>
      <c r="DT817" s="15">
        <v>945400.0</v>
      </c>
      <c r="DU817" s="13"/>
      <c r="DV817" s="12"/>
      <c r="DW817" s="12"/>
      <c r="DX817" s="13"/>
      <c r="DY817" s="13"/>
      <c r="DZ817" s="15">
        <v>1310000.0</v>
      </c>
      <c r="EA817" s="15">
        <v>1160000.0</v>
      </c>
      <c r="EB817" s="15">
        <v>1190000.0</v>
      </c>
      <c r="EC817" s="15">
        <v>1090000.0</v>
      </c>
      <c r="ED817" s="15">
        <v>1090000.0</v>
      </c>
      <c r="EE817" s="17">
        <v>0.012</v>
      </c>
      <c r="EF817" s="17">
        <v>0.04</v>
      </c>
      <c r="EG817" s="17">
        <v>1.286</v>
      </c>
      <c r="EH817" s="17">
        <v>0.423</v>
      </c>
    </row>
    <row r="818">
      <c r="A818" s="9">
        <f t="shared" si="2"/>
        <v>816</v>
      </c>
      <c r="B818" s="22" t="s">
        <v>953</v>
      </c>
      <c r="C818" s="11">
        <v>208260.0</v>
      </c>
      <c r="D818" s="11">
        <v>52370.0</v>
      </c>
      <c r="E818" s="11">
        <v>57360.0</v>
      </c>
      <c r="F818" s="11">
        <v>49090.0</v>
      </c>
      <c r="G818" s="11">
        <v>23670.0</v>
      </c>
      <c r="H818" s="12"/>
      <c r="I818" s="12"/>
      <c r="J818" s="11">
        <v>52090.0</v>
      </c>
      <c r="K818" s="11">
        <v>47410.0</v>
      </c>
      <c r="L818" s="11">
        <v>23460.0</v>
      </c>
      <c r="M818" s="12"/>
      <c r="N818" s="12"/>
      <c r="O818" s="11">
        <v>189380.0</v>
      </c>
      <c r="P818" s="11">
        <v>62830.0</v>
      </c>
      <c r="Q818" s="11">
        <v>9630.0</v>
      </c>
      <c r="R818" s="12"/>
      <c r="S818" s="12"/>
      <c r="T818" s="11">
        <v>162220.0</v>
      </c>
      <c r="U818" s="11">
        <v>60580.0</v>
      </c>
      <c r="V818" s="11">
        <v>8220.0</v>
      </c>
      <c r="W818" s="12"/>
      <c r="X818" s="12"/>
      <c r="Y818" s="11">
        <v>-136810.0</v>
      </c>
      <c r="Z818" s="11">
        <v>-15330.0</v>
      </c>
      <c r="AA818" s="12"/>
      <c r="AB818" s="12"/>
      <c r="AC818" s="12"/>
      <c r="AD818" s="11">
        <v>-130590.0</v>
      </c>
      <c r="AE818" s="11">
        <v>-1610.0</v>
      </c>
      <c r="AF818" s="11">
        <v>13880.0</v>
      </c>
      <c r="AG818" s="12"/>
      <c r="AH818" s="12"/>
      <c r="AI818" s="11">
        <v>-132020.0</v>
      </c>
      <c r="AJ818" s="11">
        <v>-13740.0</v>
      </c>
      <c r="AK818" s="11">
        <v>14050.0</v>
      </c>
      <c r="AL818" s="12"/>
      <c r="AM818" s="12"/>
      <c r="AN818" s="11">
        <v>-133200.0</v>
      </c>
      <c r="AO818" s="11">
        <v>-2780.0</v>
      </c>
      <c r="AP818" s="11">
        <v>9400.0</v>
      </c>
      <c r="AQ818" s="12"/>
      <c r="AR818" s="12"/>
      <c r="AS818" s="11">
        <v>-83210.0</v>
      </c>
      <c r="AT818" s="11">
        <v>307410.0</v>
      </c>
      <c r="AU818" s="11">
        <v>-2380.0</v>
      </c>
      <c r="AV818" s="12"/>
      <c r="AW818" s="12"/>
      <c r="AX818" s="11">
        <v>-39240.0</v>
      </c>
      <c r="AY818" s="11">
        <v>-21000.0</v>
      </c>
      <c r="AZ818" s="11">
        <v>-890.0</v>
      </c>
      <c r="BA818" s="12"/>
      <c r="BB818" s="12"/>
      <c r="BC818" s="12"/>
      <c r="BD818" s="12"/>
      <c r="BE818" s="12"/>
      <c r="BF818" s="12"/>
      <c r="BG818" s="12"/>
      <c r="BH818" s="11">
        <v>159180.0</v>
      </c>
      <c r="BI818" s="11">
        <v>216430.0</v>
      </c>
      <c r="BJ818" s="11">
        <v>2110.0</v>
      </c>
      <c r="BK818" s="12"/>
      <c r="BL818" s="12"/>
      <c r="BM818" s="11">
        <v>35760.0</v>
      </c>
      <c r="BN818" s="11">
        <v>108570.0</v>
      </c>
      <c r="BO818" s="11">
        <v>228740.0</v>
      </c>
      <c r="BP818" s="12"/>
      <c r="BQ818" s="12"/>
      <c r="BR818" s="11">
        <v>1160.0</v>
      </c>
      <c r="BS818" s="11">
        <v>1130.0</v>
      </c>
      <c r="BT818" s="11">
        <v>11.0</v>
      </c>
      <c r="BU818" s="12"/>
      <c r="BV818" s="12"/>
      <c r="BW818" s="11">
        <v>207100.0</v>
      </c>
      <c r="BX818" s="11">
        <v>326950.0</v>
      </c>
      <c r="BY818" s="11">
        <v>230900.0</v>
      </c>
      <c r="BZ818" s="12"/>
      <c r="CA818" s="12"/>
      <c r="CB818" s="11">
        <v>80090.0</v>
      </c>
      <c r="CC818" s="11">
        <v>33120.0</v>
      </c>
      <c r="CD818" s="11">
        <v>2930.0</v>
      </c>
      <c r="CE818" s="12"/>
      <c r="CF818" s="12"/>
      <c r="CG818" s="12"/>
      <c r="CH818" s="12"/>
      <c r="CI818" s="12"/>
      <c r="CJ818" s="12"/>
      <c r="CK818" s="12"/>
      <c r="CL818" s="11">
        <v>287710.0</v>
      </c>
      <c r="CM818" s="11">
        <v>429040.0</v>
      </c>
      <c r="CN818" s="11">
        <v>238690.0</v>
      </c>
      <c r="CO818" s="12"/>
      <c r="CP818" s="12"/>
      <c r="CQ818" s="11">
        <v>9590.0</v>
      </c>
      <c r="CR818" s="11">
        <v>7320.0</v>
      </c>
      <c r="CS818" s="11">
        <v>4330.0</v>
      </c>
      <c r="CT818" s="12"/>
      <c r="CU818" s="12"/>
      <c r="CV818" s="11">
        <v>127760.0</v>
      </c>
      <c r="CW818" s="12"/>
      <c r="CX818" s="24">
        <v>255.0</v>
      </c>
      <c r="CY818" s="12"/>
      <c r="CZ818" s="12"/>
      <c r="DA818" s="12"/>
      <c r="DB818" s="11">
        <v>127760.0</v>
      </c>
      <c r="DC818" s="11">
        <v>159180.0</v>
      </c>
      <c r="DD818" s="11">
        <v>52120.0</v>
      </c>
      <c r="DE818" s="12"/>
      <c r="DF818" s="11">
        <v>410580.0</v>
      </c>
      <c r="DG818" s="11">
        <v>420390.0</v>
      </c>
      <c r="DH818" s="11">
        <v>226520.0</v>
      </c>
      <c r="DI818" s="12"/>
      <c r="DJ818" s="12"/>
      <c r="DK818" s="12"/>
      <c r="DL818" s="12"/>
      <c r="DM818" s="12"/>
      <c r="DN818" s="12"/>
      <c r="DO818" s="12"/>
      <c r="DP818" s="11">
        <v>5080.0</v>
      </c>
      <c r="DQ818" s="11">
        <v>3940.0</v>
      </c>
      <c r="DR818" s="11">
        <v>205.0</v>
      </c>
      <c r="DS818" s="12"/>
      <c r="DT818" s="12"/>
      <c r="DU818" s="13"/>
      <c r="DV818" s="12"/>
      <c r="DW818" s="12"/>
      <c r="DX818" s="13"/>
      <c r="DY818" s="13"/>
      <c r="DZ818" s="11">
        <v>-122870.0</v>
      </c>
      <c r="EA818" s="11">
        <v>8650.0</v>
      </c>
      <c r="EB818" s="11">
        <v>12170.0</v>
      </c>
      <c r="EC818" s="12"/>
      <c r="ED818" s="12"/>
      <c r="EE818" s="14">
        <v>0.193</v>
      </c>
      <c r="EF818" s="14">
        <v>1.213</v>
      </c>
      <c r="EG818" s="23" t="s">
        <v>155</v>
      </c>
      <c r="EH818" s="23"/>
    </row>
    <row r="819">
      <c r="A819" s="9">
        <f t="shared" si="2"/>
        <v>817</v>
      </c>
      <c r="B819" s="10" t="s">
        <v>954</v>
      </c>
      <c r="C819" s="11">
        <v>2.18E7</v>
      </c>
      <c r="D819" s="11">
        <v>2.125E7</v>
      </c>
      <c r="E819" s="11">
        <v>2.226E7</v>
      </c>
      <c r="F819" s="11">
        <v>2.057E7</v>
      </c>
      <c r="G819" s="11">
        <v>1.265E7</v>
      </c>
      <c r="H819" s="11">
        <v>1.095E7</v>
      </c>
      <c r="I819" s="11">
        <v>9470000.0</v>
      </c>
      <c r="J819" s="11">
        <v>4510000.0</v>
      </c>
      <c r="K819" s="11">
        <v>3940000.0</v>
      </c>
      <c r="L819" s="11">
        <v>2660000.0</v>
      </c>
      <c r="M819" s="11">
        <v>2410000.0</v>
      </c>
      <c r="N819" s="11">
        <v>2140000.0</v>
      </c>
      <c r="O819" s="11">
        <v>2010000.0</v>
      </c>
      <c r="P819" s="11">
        <v>1950000.0</v>
      </c>
      <c r="Q819" s="11">
        <v>1270000.0</v>
      </c>
      <c r="R819" s="11">
        <v>1130000.0</v>
      </c>
      <c r="S819" s="11">
        <v>1050000.0</v>
      </c>
      <c r="T819" s="11"/>
      <c r="U819" s="11"/>
      <c r="V819" s="11"/>
      <c r="W819" s="11"/>
      <c r="X819" s="11"/>
      <c r="Y819" s="11">
        <v>2460000.0</v>
      </c>
      <c r="Z819" s="11">
        <v>1800000.0</v>
      </c>
      <c r="AA819" s="11">
        <v>1070000.0</v>
      </c>
      <c r="AB819" s="11">
        <v>1240000.0</v>
      </c>
      <c r="AC819" s="11">
        <v>1070000.0</v>
      </c>
      <c r="AD819" s="11">
        <v>2430000.0</v>
      </c>
      <c r="AE819" s="11">
        <v>2260000.0</v>
      </c>
      <c r="AF819" s="11">
        <v>1190000.0</v>
      </c>
      <c r="AG819" s="11">
        <v>1330000.0</v>
      </c>
      <c r="AH819" s="11">
        <v>1210000.0</v>
      </c>
      <c r="AI819" s="11">
        <v>2600000.0</v>
      </c>
      <c r="AJ819" s="11">
        <v>2080000.0</v>
      </c>
      <c r="AK819" s="11">
        <v>1450000.0</v>
      </c>
      <c r="AL819" s="11">
        <v>1330000.0</v>
      </c>
      <c r="AM819" s="11">
        <v>1130000.0</v>
      </c>
      <c r="AN819" s="11">
        <v>1830000.0</v>
      </c>
      <c r="AO819" s="11">
        <v>1680000.0</v>
      </c>
      <c r="AP819" s="11">
        <v>802660.0</v>
      </c>
      <c r="AQ819" s="11">
        <v>902660.0</v>
      </c>
      <c r="AR819" s="11">
        <v>794160.0</v>
      </c>
      <c r="AS819" s="11">
        <v>1890000.0</v>
      </c>
      <c r="AT819" s="11">
        <v>2060000.0</v>
      </c>
      <c r="AU819" s="11">
        <v>1190000.0</v>
      </c>
      <c r="AV819" s="11">
        <v>821280.0</v>
      </c>
      <c r="AW819" s="11">
        <v>-221530.0</v>
      </c>
      <c r="AX819" s="11">
        <v>-86500.0</v>
      </c>
      <c r="AY819" s="11">
        <v>-130440.0</v>
      </c>
      <c r="AZ819" s="11">
        <v>-113070.0</v>
      </c>
      <c r="BA819" s="11">
        <v>-78350.0</v>
      </c>
      <c r="BB819" s="11">
        <v>-91360.0</v>
      </c>
      <c r="BC819" s="11">
        <v>-51450.0</v>
      </c>
      <c r="BD819" s="11">
        <v>-49160.0</v>
      </c>
      <c r="BE819" s="11">
        <v>-37610.0</v>
      </c>
      <c r="BF819" s="11">
        <v>-35320.0</v>
      </c>
      <c r="BG819" s="11">
        <v>-33190.0</v>
      </c>
      <c r="BH819" s="11">
        <v>1460000.0</v>
      </c>
      <c r="BI819" s="11">
        <v>1570000.0</v>
      </c>
      <c r="BJ819" s="11">
        <v>2660000.0</v>
      </c>
      <c r="BK819" s="11">
        <v>1350000.0</v>
      </c>
      <c r="BL819" s="11">
        <v>1170000.0</v>
      </c>
      <c r="BM819" s="11">
        <v>906880.0</v>
      </c>
      <c r="BN819" s="11">
        <v>1040000.0</v>
      </c>
      <c r="BO819" s="11">
        <v>520600.0</v>
      </c>
      <c r="BP819" s="11">
        <v>779950.0</v>
      </c>
      <c r="BQ819" s="11">
        <v>472290.0</v>
      </c>
      <c r="BR819" s="11">
        <v>1.809E7</v>
      </c>
      <c r="BS819" s="11">
        <v>1.735E7</v>
      </c>
      <c r="BT819" s="11">
        <v>1.107E7</v>
      </c>
      <c r="BU819" s="11">
        <v>9320000.0</v>
      </c>
      <c r="BV819" s="11">
        <v>8860000.0</v>
      </c>
      <c r="BW819" s="11">
        <v>2.047E7</v>
      </c>
      <c r="BX819" s="11">
        <v>1.998E7</v>
      </c>
      <c r="BY819" s="11">
        <v>1.428E7</v>
      </c>
      <c r="BZ819" s="11">
        <v>1.146E7</v>
      </c>
      <c r="CA819" s="11">
        <v>1.054E7</v>
      </c>
      <c r="CB819" s="11">
        <v>281560.0</v>
      </c>
      <c r="CC819" s="11">
        <v>345490.0</v>
      </c>
      <c r="CD819" s="11">
        <v>301120.0</v>
      </c>
      <c r="CE819" s="11">
        <v>417320.0</v>
      </c>
      <c r="CF819" s="11">
        <v>452950.0</v>
      </c>
      <c r="CG819" s="11">
        <v>3660000.0</v>
      </c>
      <c r="CH819" s="11">
        <v>3680000.0</v>
      </c>
      <c r="CI819" s="11">
        <v>196400.0</v>
      </c>
      <c r="CJ819" s="11">
        <v>39840.0</v>
      </c>
      <c r="CK819" s="11">
        <v>38850.0</v>
      </c>
      <c r="CL819" s="11">
        <v>2.936E7</v>
      </c>
      <c r="CM819" s="11">
        <v>2.857E7</v>
      </c>
      <c r="CN819" s="11">
        <v>1.875E7</v>
      </c>
      <c r="CO819" s="11">
        <v>1.536E7</v>
      </c>
      <c r="CP819" s="11">
        <v>1.442E7</v>
      </c>
      <c r="CQ819" s="11">
        <v>1270000.0</v>
      </c>
      <c r="CR819" s="11">
        <v>1330000.0</v>
      </c>
      <c r="CS819" s="11">
        <v>754670.0</v>
      </c>
      <c r="CT819" s="11">
        <v>596520.0</v>
      </c>
      <c r="CU819" s="11">
        <v>538850.0</v>
      </c>
      <c r="CV819" s="11">
        <v>3320000.0</v>
      </c>
      <c r="CW819" s="12"/>
      <c r="CX819" s="13"/>
      <c r="CY819" s="13"/>
      <c r="CZ819" s="12"/>
      <c r="DA819" s="12"/>
      <c r="DB819" s="11">
        <v>3320000.0</v>
      </c>
      <c r="DC819" s="11">
        <v>4070000.0</v>
      </c>
      <c r="DD819" s="11">
        <v>2610000.0</v>
      </c>
      <c r="DE819" s="11">
        <v>2510000.0</v>
      </c>
      <c r="DF819" s="11">
        <v>1.333E7</v>
      </c>
      <c r="DG819" s="11">
        <v>1.388E7</v>
      </c>
      <c r="DH819" s="11">
        <v>1.076E7</v>
      </c>
      <c r="DI819" s="11">
        <v>8150000.0</v>
      </c>
      <c r="DJ819" s="11">
        <v>8470000.0</v>
      </c>
      <c r="DK819" s="11">
        <v>2300000.0</v>
      </c>
      <c r="DL819" s="11">
        <v>2030000.0</v>
      </c>
      <c r="DM819" s="11">
        <v>1860000.0</v>
      </c>
      <c r="DN819" s="11">
        <v>1540000.0</v>
      </c>
      <c r="DO819" s="11">
        <v>1340000.0</v>
      </c>
      <c r="DP819" s="11">
        <v>7780000.0</v>
      </c>
      <c r="DQ819" s="11">
        <v>7550000.0</v>
      </c>
      <c r="DR819" s="11">
        <v>6490000.0</v>
      </c>
      <c r="DS819" s="11">
        <v>4470000.0</v>
      </c>
      <c r="DT819" s="11">
        <v>5030000.0</v>
      </c>
      <c r="DU819" s="13"/>
      <c r="DV819" s="12"/>
      <c r="DW819" s="12"/>
      <c r="DX819" s="13"/>
      <c r="DY819" s="11"/>
      <c r="DZ819" s="11">
        <v>1.595E7</v>
      </c>
      <c r="EA819" s="11">
        <v>1.458E7</v>
      </c>
      <c r="EB819" s="11">
        <v>7870000.0</v>
      </c>
      <c r="EC819" s="11">
        <v>7030000.0</v>
      </c>
      <c r="ED819" s="11">
        <v>5650000.0</v>
      </c>
      <c r="EE819" s="14">
        <v>0.01</v>
      </c>
      <c r="EF819" s="14">
        <v>0.079</v>
      </c>
      <c r="EG819" s="14">
        <v>0.398</v>
      </c>
      <c r="EH819" s="14">
        <v>0.309</v>
      </c>
    </row>
    <row r="820">
      <c r="A820" s="9">
        <f t="shared" si="2"/>
        <v>818</v>
      </c>
      <c r="B820" s="10" t="s">
        <v>955</v>
      </c>
      <c r="C820" s="12"/>
      <c r="D820" s="12"/>
      <c r="E820" s="12">
        <v>209700.0</v>
      </c>
      <c r="F820" s="12">
        <v>193000.0</v>
      </c>
      <c r="G820" s="12">
        <v>218400.0</v>
      </c>
      <c r="H820" s="12">
        <v>311300.0</v>
      </c>
      <c r="I820" s="12">
        <v>418200.0</v>
      </c>
      <c r="J820" s="12">
        <v>26000.0</v>
      </c>
      <c r="K820" s="12">
        <v>-24500.0</v>
      </c>
      <c r="L820" s="12">
        <v>19600.0</v>
      </c>
      <c r="M820" s="12">
        <v>32600.0</v>
      </c>
      <c r="N820" s="12">
        <v>55500.0</v>
      </c>
      <c r="O820" s="12">
        <v>33700.0</v>
      </c>
      <c r="P820" s="12">
        <v>39900.0</v>
      </c>
      <c r="Q820" s="12">
        <v>43700.0</v>
      </c>
      <c r="R820" s="12">
        <v>94100.0</v>
      </c>
      <c r="S820" s="12">
        <v>75600.0</v>
      </c>
      <c r="T820" s="12">
        <v>0.0</v>
      </c>
      <c r="U820" s="12">
        <v>0.0</v>
      </c>
      <c r="V820" s="12">
        <v>0.0</v>
      </c>
      <c r="W820" s="12">
        <v>47900.0</v>
      </c>
      <c r="X820" s="12">
        <v>33000.0</v>
      </c>
      <c r="Y820" s="15">
        <v>-20400.0</v>
      </c>
      <c r="Z820" s="15">
        <v>-92200.0</v>
      </c>
      <c r="AA820" s="15">
        <v>24100.0</v>
      </c>
      <c r="AB820" s="12">
        <v>-49900.0</v>
      </c>
      <c r="AC820" s="12">
        <v>-150400.0</v>
      </c>
      <c r="AD820" s="15">
        <v>-16200.0</v>
      </c>
      <c r="AE820" s="15">
        <v>-104100.0</v>
      </c>
      <c r="AF820" s="15">
        <v>12100.0</v>
      </c>
      <c r="AG820" s="12">
        <v>-67600.0</v>
      </c>
      <c r="AH820" s="12">
        <v>-187700.0</v>
      </c>
      <c r="AI820" s="15">
        <v>-15200.0</v>
      </c>
      <c r="AJ820" s="15">
        <v>-83100.0</v>
      </c>
      <c r="AK820" s="15">
        <v>-27800.0</v>
      </c>
      <c r="AL820" s="12">
        <v>-48400.0</v>
      </c>
      <c r="AM820" s="12">
        <v>-6300.0</v>
      </c>
      <c r="AN820" s="15">
        <v>-16500.0</v>
      </c>
      <c r="AO820" s="15">
        <v>-104100.0</v>
      </c>
      <c r="AP820" s="15">
        <v>12200.0</v>
      </c>
      <c r="AQ820" s="12">
        <v>-67000.0</v>
      </c>
      <c r="AR820" s="12">
        <v>-187400.0</v>
      </c>
      <c r="AS820" s="15">
        <v>5200.0</v>
      </c>
      <c r="AT820" s="15">
        <v>-80500.0</v>
      </c>
      <c r="AU820" s="15">
        <v>-19500.0</v>
      </c>
      <c r="AV820" s="12">
        <v>37700.0</v>
      </c>
      <c r="AW820" s="12">
        <v>8500.0</v>
      </c>
      <c r="AX820" s="15">
        <v>0.0</v>
      </c>
      <c r="AY820" s="15">
        <v>0.0</v>
      </c>
      <c r="AZ820" s="15">
        <v>0.0</v>
      </c>
      <c r="BA820" s="12">
        <v>-3000.0</v>
      </c>
      <c r="BB820" s="12">
        <v>0.0</v>
      </c>
      <c r="BC820" s="12">
        <v>0.0</v>
      </c>
      <c r="BD820" s="12">
        <v>0.0</v>
      </c>
      <c r="BE820" s="12">
        <v>0.0</v>
      </c>
      <c r="BF820" s="12">
        <v>0.0</v>
      </c>
      <c r="BG820" s="12">
        <v>0.0</v>
      </c>
      <c r="BH820" s="12">
        <v>130900.0</v>
      </c>
      <c r="BI820" s="12">
        <v>153400.0</v>
      </c>
      <c r="BJ820" s="12">
        <v>225100.0</v>
      </c>
      <c r="BK820" s="12">
        <v>260700.0</v>
      </c>
      <c r="BL820" s="12">
        <v>234000.0</v>
      </c>
      <c r="BM820" s="12">
        <v>21100.0</v>
      </c>
      <c r="BN820" s="12">
        <v>60200.0</v>
      </c>
      <c r="BO820" s="12">
        <v>60200.0</v>
      </c>
      <c r="BP820" s="12">
        <v>19900.0</v>
      </c>
      <c r="BQ820" s="12">
        <v>26500.0</v>
      </c>
      <c r="BR820" s="12">
        <v>64500.0</v>
      </c>
      <c r="BS820" s="12">
        <v>129700.0</v>
      </c>
      <c r="BT820" s="12">
        <v>153100.0</v>
      </c>
      <c r="BU820" s="12">
        <v>177400.0</v>
      </c>
      <c r="BV820" s="12">
        <v>319200.0</v>
      </c>
      <c r="BW820" s="12">
        <v>225500.0</v>
      </c>
      <c r="BX820" s="12">
        <v>349600.0</v>
      </c>
      <c r="BY820" s="12">
        <v>444600.0</v>
      </c>
      <c r="BZ820" s="12">
        <v>471300.0</v>
      </c>
      <c r="CA820" s="12">
        <v>594900.0</v>
      </c>
      <c r="CB820" s="12">
        <v>10900.0</v>
      </c>
      <c r="CC820" s="12">
        <v>4200.0</v>
      </c>
      <c r="CD820" s="12">
        <v>4900.0</v>
      </c>
      <c r="CE820" s="12">
        <v>6000.0</v>
      </c>
      <c r="CF820" s="12">
        <v>3500.0</v>
      </c>
      <c r="CG820" s="12">
        <v>0.0</v>
      </c>
      <c r="CH820" s="12">
        <v>0.0</v>
      </c>
      <c r="CI820" s="12">
        <v>0.0</v>
      </c>
      <c r="CJ820" s="12">
        <v>0.0</v>
      </c>
      <c r="CK820" s="12">
        <v>0.0</v>
      </c>
      <c r="CL820" s="12">
        <v>455900.0</v>
      </c>
      <c r="CM820" s="12">
        <v>589200.0</v>
      </c>
      <c r="CN820" s="12">
        <v>694500.0</v>
      </c>
      <c r="CO820" s="12">
        <v>713500.0</v>
      </c>
      <c r="CP820" s="12">
        <v>820100.0</v>
      </c>
      <c r="CQ820" s="12">
        <v>15100.0</v>
      </c>
      <c r="CR820" s="12">
        <v>49900.0</v>
      </c>
      <c r="CS820" s="12">
        <v>85700.0</v>
      </c>
      <c r="CT820" s="12">
        <v>71100.0</v>
      </c>
      <c r="CU820" s="12">
        <v>90800.0</v>
      </c>
      <c r="CV820" s="12">
        <v>336800.0</v>
      </c>
      <c r="CW820" s="12">
        <v>2500.0</v>
      </c>
      <c r="CX820" s="12">
        <v>0.0</v>
      </c>
      <c r="CY820" s="12">
        <v>0.0</v>
      </c>
      <c r="CZ820" s="12">
        <v>0.0</v>
      </c>
      <c r="DA820" s="12">
        <v>0.0</v>
      </c>
      <c r="DB820" s="12">
        <v>336800.0</v>
      </c>
      <c r="DC820" s="12">
        <v>438700.0</v>
      </c>
      <c r="DD820" s="12">
        <v>403400.0</v>
      </c>
      <c r="DE820" s="12">
        <v>325700.0</v>
      </c>
      <c r="DF820" s="12">
        <v>792800.0</v>
      </c>
      <c r="DG820" s="12">
        <v>911100.0</v>
      </c>
      <c r="DH820" s="12">
        <v>913400.0</v>
      </c>
      <c r="DI820" s="12">
        <v>949600.0</v>
      </c>
      <c r="DJ820" s="12">
        <v>985800.0</v>
      </c>
      <c r="DK820" s="12">
        <v>5700.0</v>
      </c>
      <c r="DL820" s="12">
        <v>6300.0</v>
      </c>
      <c r="DM820" s="12">
        <v>19700.0</v>
      </c>
      <c r="DN820" s="12">
        <v>0.0</v>
      </c>
      <c r="DO820" s="12">
        <v>0.0</v>
      </c>
      <c r="DP820" s="12">
        <v>121100.0</v>
      </c>
      <c r="DQ820" s="12">
        <v>120200.0</v>
      </c>
      <c r="DR820" s="12">
        <v>157500.0</v>
      </c>
      <c r="DS820" s="12">
        <v>234100.0</v>
      </c>
      <c r="DT820" s="12">
        <v>247000.0</v>
      </c>
      <c r="DU820" s="12">
        <v>4600.0</v>
      </c>
      <c r="DV820" s="12">
        <v>4600.0</v>
      </c>
      <c r="DW820" s="12">
        <v>4600.0</v>
      </c>
      <c r="DX820" s="12">
        <v>0.0</v>
      </c>
      <c r="DY820" s="12">
        <v>0.0</v>
      </c>
      <c r="DZ820" s="15">
        <v>-336900.0</v>
      </c>
      <c r="EA820" s="12">
        <v>-321900.0</v>
      </c>
      <c r="EB820" s="12">
        <v>-218900.0</v>
      </c>
      <c r="EC820" s="12">
        <v>-236100.0</v>
      </c>
      <c r="ED820" s="12">
        <v>-165700.0</v>
      </c>
      <c r="EE820" s="31"/>
      <c r="EF820" s="31"/>
      <c r="EG820" s="31"/>
      <c r="EH820" s="31"/>
    </row>
    <row r="821">
      <c r="A821" s="9">
        <f t="shared" si="2"/>
        <v>819</v>
      </c>
      <c r="B821" s="22" t="s">
        <v>956</v>
      </c>
      <c r="C821" s="12"/>
      <c r="D821" s="11">
        <v>241520.0</v>
      </c>
      <c r="E821" s="11">
        <v>225960.0</v>
      </c>
      <c r="F821" s="11">
        <v>203200.0</v>
      </c>
      <c r="G821" s="11">
        <v>199490.0</v>
      </c>
      <c r="H821" s="11">
        <v>206540.0</v>
      </c>
      <c r="I821" s="11">
        <v>190340.0</v>
      </c>
      <c r="J821" s="11">
        <v>187990.0</v>
      </c>
      <c r="K821" s="11">
        <v>168360.0</v>
      </c>
      <c r="L821" s="11">
        <v>166030.0</v>
      </c>
      <c r="M821" s="11">
        <v>172610.0</v>
      </c>
      <c r="N821" s="11">
        <v>162330.0</v>
      </c>
      <c r="O821" s="11">
        <v>178170.0</v>
      </c>
      <c r="P821" s="11">
        <v>158030.0</v>
      </c>
      <c r="Q821" s="11">
        <v>161580.0</v>
      </c>
      <c r="R821" s="11">
        <v>159190.0</v>
      </c>
      <c r="S821" s="11">
        <v>148430.0</v>
      </c>
      <c r="T821" s="11">
        <v>1100.0</v>
      </c>
      <c r="U821" s="11">
        <v>1200.0</v>
      </c>
      <c r="V821" s="11">
        <v>1100.0</v>
      </c>
      <c r="W821" s="11">
        <v>1000.0</v>
      </c>
      <c r="X821" s="11">
        <v>2400.0</v>
      </c>
      <c r="Y821" s="12"/>
      <c r="Z821" s="12"/>
      <c r="AA821" s="11">
        <v>4100.0</v>
      </c>
      <c r="AB821" s="12"/>
      <c r="AC821" s="12"/>
      <c r="AD821" s="11">
        <v>9230.0</v>
      </c>
      <c r="AE821" s="11">
        <v>9550.0</v>
      </c>
      <c r="AF821" s="11">
        <v>2910.0</v>
      </c>
      <c r="AG821" s="11">
        <v>8680.0</v>
      </c>
      <c r="AH821" s="11">
        <v>10650.0</v>
      </c>
      <c r="AI821" s="11">
        <v>11710.0</v>
      </c>
      <c r="AJ821" s="11">
        <v>11650.0</v>
      </c>
      <c r="AK821" s="11">
        <v>6090.0</v>
      </c>
      <c r="AL821" s="11">
        <v>15310.0</v>
      </c>
      <c r="AM821" s="11">
        <v>16180.0</v>
      </c>
      <c r="AN821" s="11">
        <v>7430.0</v>
      </c>
      <c r="AO821" s="11">
        <v>5760.0</v>
      </c>
      <c r="AP821" s="11">
        <v>1610.0</v>
      </c>
      <c r="AQ821" s="11">
        <v>6110.0</v>
      </c>
      <c r="AR821" s="11">
        <v>6990.0</v>
      </c>
      <c r="AS821" s="11">
        <v>17790.0</v>
      </c>
      <c r="AT821" s="11">
        <v>13260.0</v>
      </c>
      <c r="AU821" s="11">
        <v>6600.0</v>
      </c>
      <c r="AV821" s="11">
        <v>6040.0</v>
      </c>
      <c r="AW821" s="11">
        <v>13220.0</v>
      </c>
      <c r="AX821" s="11">
        <v>-2510.0</v>
      </c>
      <c r="AY821" s="11">
        <v>-4650.0</v>
      </c>
      <c r="AZ821" s="11">
        <v>-1060.0</v>
      </c>
      <c r="BA821" s="11">
        <v>-562.0</v>
      </c>
      <c r="BB821" s="11">
        <v>-1160.0</v>
      </c>
      <c r="BC821" s="12"/>
      <c r="BD821" s="12"/>
      <c r="BE821" s="12"/>
      <c r="BF821" s="12"/>
      <c r="BG821" s="12"/>
      <c r="BH821" s="11">
        <v>18820.0</v>
      </c>
      <c r="BI821" s="11">
        <v>16650.0</v>
      </c>
      <c r="BJ821" s="11">
        <v>11460.0</v>
      </c>
      <c r="BK821" s="11">
        <v>7880.0</v>
      </c>
      <c r="BL821" s="11">
        <v>13910.0</v>
      </c>
      <c r="BM821" s="11">
        <v>5400.0</v>
      </c>
      <c r="BN821" s="11">
        <v>2520.0</v>
      </c>
      <c r="BO821" s="11">
        <v>2250.0</v>
      </c>
      <c r="BP821" s="11">
        <v>1550.0</v>
      </c>
      <c r="BQ821" s="11">
        <v>3210.0</v>
      </c>
      <c r="BR821" s="11">
        <v>13750.0</v>
      </c>
      <c r="BS821" s="11">
        <v>13630.0</v>
      </c>
      <c r="BT821" s="11">
        <v>16580.0</v>
      </c>
      <c r="BU821" s="11">
        <v>25120.0</v>
      </c>
      <c r="BV821" s="11">
        <v>9250.0</v>
      </c>
      <c r="BW821" s="11">
        <v>43190.0</v>
      </c>
      <c r="BX821" s="11">
        <v>38940.0</v>
      </c>
      <c r="BY821" s="11">
        <v>35550.0</v>
      </c>
      <c r="BZ821" s="11">
        <v>43110.0</v>
      </c>
      <c r="CA821" s="11">
        <v>30480.0</v>
      </c>
      <c r="CB821" s="11">
        <v>7130.0</v>
      </c>
      <c r="CC821" s="11">
        <v>6590.0</v>
      </c>
      <c r="CD821" s="11">
        <v>3130.0</v>
      </c>
      <c r="CE821" s="11">
        <v>3460.0</v>
      </c>
      <c r="CF821" s="11">
        <v>5760.0</v>
      </c>
      <c r="CG821" s="12"/>
      <c r="CH821" s="12"/>
      <c r="CI821" s="12"/>
      <c r="CJ821" s="12"/>
      <c r="CK821" s="12"/>
      <c r="CL821" s="11">
        <v>55270.0</v>
      </c>
      <c r="CM821" s="11">
        <v>51140.0</v>
      </c>
      <c r="CN821" s="11">
        <v>45250.0</v>
      </c>
      <c r="CO821" s="11">
        <v>50860.0</v>
      </c>
      <c r="CP821" s="11">
        <v>40880.0</v>
      </c>
      <c r="CQ821" s="11">
        <v>5180.0</v>
      </c>
      <c r="CR821" s="11">
        <v>3810.0</v>
      </c>
      <c r="CS821" s="11">
        <v>4850.0</v>
      </c>
      <c r="CT821" s="11">
        <v>8890.0</v>
      </c>
      <c r="CU821" s="11">
        <v>2610.0</v>
      </c>
      <c r="CV821" s="11">
        <v>26200.0</v>
      </c>
      <c r="CW821" s="12"/>
      <c r="CX821" s="12"/>
      <c r="CY821" s="12"/>
      <c r="CZ821" s="12"/>
      <c r="DA821" s="12"/>
      <c r="DB821" s="11">
        <v>26200.0</v>
      </c>
      <c r="DC821" s="11">
        <v>23810.0</v>
      </c>
      <c r="DD821" s="11">
        <v>23360.0</v>
      </c>
      <c r="DE821" s="11">
        <v>30630.0</v>
      </c>
      <c r="DF821" s="11">
        <v>28070.0</v>
      </c>
      <c r="DG821" s="11">
        <v>29200.0</v>
      </c>
      <c r="DH821" s="11">
        <v>30720.0</v>
      </c>
      <c r="DI821" s="11">
        <v>40210.0</v>
      </c>
      <c r="DJ821" s="11">
        <v>37550.0</v>
      </c>
      <c r="DK821" s="12"/>
      <c r="DL821" s="12"/>
      <c r="DM821" s="12"/>
      <c r="DN821" s="12"/>
      <c r="DO821" s="12"/>
      <c r="DP821" s="12"/>
      <c r="DQ821" s="11">
        <v>3410.0</v>
      </c>
      <c r="DR821" s="11">
        <v>5440.0</v>
      </c>
      <c r="DS821" s="11">
        <v>7410.0</v>
      </c>
      <c r="DT821" s="11">
        <v>9630.0</v>
      </c>
      <c r="DU821" s="13"/>
      <c r="DV821" s="12"/>
      <c r="DW821" s="12"/>
      <c r="DX821" s="13"/>
      <c r="DY821" s="13"/>
      <c r="DZ821" s="11">
        <v>27200.0</v>
      </c>
      <c r="EA821" s="11">
        <v>21950.0</v>
      </c>
      <c r="EB821" s="11">
        <v>14530.0</v>
      </c>
      <c r="EC821" s="11">
        <v>10650.0</v>
      </c>
      <c r="ED821" s="11">
        <v>3330.0</v>
      </c>
      <c r="EE821" s="14">
        <v>0.0</v>
      </c>
      <c r="EF821" s="23"/>
      <c r="EG821" s="14">
        <v>0.474</v>
      </c>
      <c r="EH821" s="14">
        <v>0.327</v>
      </c>
    </row>
    <row r="822">
      <c r="A822" s="9">
        <f t="shared" si="2"/>
        <v>820</v>
      </c>
      <c r="B822" s="10" t="s">
        <v>957</v>
      </c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3"/>
      <c r="BD822" s="13"/>
      <c r="BE822" s="13"/>
      <c r="BF822" s="13"/>
      <c r="BG822" s="13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3"/>
      <c r="CY822" s="12"/>
      <c r="CZ822" s="13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3"/>
      <c r="DV822" s="12"/>
      <c r="DW822" s="12"/>
      <c r="DX822" s="12"/>
      <c r="DY822" s="13"/>
      <c r="DZ822" s="12"/>
      <c r="EA822" s="12"/>
      <c r="EB822" s="12"/>
      <c r="EC822" s="12"/>
      <c r="ED822" s="12"/>
      <c r="EE822" s="23"/>
      <c r="EF822" s="23"/>
      <c r="EG822" s="23"/>
      <c r="EH822" s="23"/>
    </row>
    <row r="823">
      <c r="A823" s="9">
        <f t="shared" si="2"/>
        <v>821</v>
      </c>
      <c r="B823" s="10" t="s">
        <v>958</v>
      </c>
      <c r="C823" s="11">
        <v>2300000.0</v>
      </c>
      <c r="D823" s="11">
        <v>1990000.0</v>
      </c>
      <c r="E823" s="11">
        <v>1840000.0</v>
      </c>
      <c r="F823" s="11">
        <v>1500000.0</v>
      </c>
      <c r="G823" s="11">
        <v>1260000.0</v>
      </c>
      <c r="H823" s="11">
        <v>838320.0</v>
      </c>
      <c r="I823" s="11">
        <v>630240.0</v>
      </c>
      <c r="J823" s="11">
        <v>435840.0</v>
      </c>
      <c r="K823" s="11">
        <v>379210.0</v>
      </c>
      <c r="L823" s="11">
        <v>319630.0</v>
      </c>
      <c r="M823" s="11">
        <v>220710.0</v>
      </c>
      <c r="N823" s="11">
        <v>166330.0</v>
      </c>
      <c r="O823" s="11">
        <v>208300.0</v>
      </c>
      <c r="P823" s="11">
        <v>178290.0</v>
      </c>
      <c r="Q823" s="11">
        <v>149830.0</v>
      </c>
      <c r="R823" s="11">
        <v>109240.0</v>
      </c>
      <c r="S823" s="11">
        <v>86660.0</v>
      </c>
      <c r="T823" s="12"/>
      <c r="U823" s="12"/>
      <c r="V823" s="12"/>
      <c r="W823" s="12"/>
      <c r="X823" s="12"/>
      <c r="Y823" s="11">
        <v>227370.0</v>
      </c>
      <c r="Z823" s="11">
        <v>196510.0</v>
      </c>
      <c r="AA823" s="12"/>
      <c r="AB823" s="12"/>
      <c r="AC823" s="11"/>
      <c r="AD823" s="11">
        <v>231830.0</v>
      </c>
      <c r="AE823" s="11">
        <v>199100.0</v>
      </c>
      <c r="AF823" s="11">
        <v>171400.0</v>
      </c>
      <c r="AG823" s="11">
        <v>113670.0</v>
      </c>
      <c r="AH823" s="11">
        <v>80280.0</v>
      </c>
      <c r="AI823" s="11">
        <v>228180.0</v>
      </c>
      <c r="AJ823" s="11">
        <v>201620.0</v>
      </c>
      <c r="AK823" s="11">
        <v>170590.0</v>
      </c>
      <c r="AL823" s="11">
        <v>112560.0</v>
      </c>
      <c r="AM823" s="11">
        <v>80560.0</v>
      </c>
      <c r="AN823" s="11">
        <v>178610.0</v>
      </c>
      <c r="AO823" s="11">
        <v>155290.0</v>
      </c>
      <c r="AP823" s="11">
        <v>113310.0</v>
      </c>
      <c r="AQ823" s="11">
        <v>75030.0</v>
      </c>
      <c r="AR823" s="11">
        <v>52830.0</v>
      </c>
      <c r="AS823" s="11">
        <v>-41930.0</v>
      </c>
      <c r="AT823" s="11">
        <v>-116720.0</v>
      </c>
      <c r="AU823" s="11">
        <v>-68470.0</v>
      </c>
      <c r="AV823" s="11">
        <v>-108180.0</v>
      </c>
      <c r="AW823" s="11">
        <v>-89160.0</v>
      </c>
      <c r="AX823" s="11">
        <v>-734.0</v>
      </c>
      <c r="AY823" s="11">
        <v>-475.0</v>
      </c>
      <c r="AZ823" s="11">
        <v>-518.0</v>
      </c>
      <c r="BA823" s="11">
        <v>-722.0</v>
      </c>
      <c r="BB823" s="11">
        <v>-1120.0</v>
      </c>
      <c r="BC823" s="13"/>
      <c r="BD823" s="13"/>
      <c r="BE823" s="13"/>
      <c r="BF823" s="13"/>
      <c r="BG823" s="13"/>
      <c r="BH823" s="11">
        <v>38350.0</v>
      </c>
      <c r="BI823" s="11">
        <v>46620.0</v>
      </c>
      <c r="BJ823" s="11">
        <v>67570.0</v>
      </c>
      <c r="BK823" s="11">
        <v>49520.0</v>
      </c>
      <c r="BL823" s="11">
        <v>37570.0</v>
      </c>
      <c r="BM823" s="11">
        <v>56390.0</v>
      </c>
      <c r="BN823" s="11">
        <v>42840.0</v>
      </c>
      <c r="BO823" s="11">
        <v>44710.0</v>
      </c>
      <c r="BP823" s="11">
        <v>17060.0</v>
      </c>
      <c r="BQ823" s="11">
        <v>17330.0</v>
      </c>
      <c r="BR823" s="11">
        <v>1500000.0</v>
      </c>
      <c r="BS823" s="11">
        <v>1230000.0</v>
      </c>
      <c r="BT823" s="11">
        <v>918930.0</v>
      </c>
      <c r="BU823" s="11">
        <v>717680.0</v>
      </c>
      <c r="BV823" s="11">
        <v>531230.0</v>
      </c>
      <c r="BW823" s="11">
        <v>1590000.0</v>
      </c>
      <c r="BX823" s="11">
        <v>1320000.0</v>
      </c>
      <c r="BY823" s="11">
        <v>1030000.0</v>
      </c>
      <c r="BZ823" s="11">
        <v>784250.0</v>
      </c>
      <c r="CA823" s="11">
        <v>586120.0</v>
      </c>
      <c r="CB823" s="11">
        <v>6930.0</v>
      </c>
      <c r="CC823" s="11">
        <v>1430.0</v>
      </c>
      <c r="CD823" s="11">
        <v>1670.0</v>
      </c>
      <c r="CE823" s="11">
        <v>1960.0</v>
      </c>
      <c r="CF823" s="11">
        <v>2110.0</v>
      </c>
      <c r="CG823" s="11">
        <v>12020.0</v>
      </c>
      <c r="CH823" s="11">
        <v>12020.0</v>
      </c>
      <c r="CI823" s="11">
        <v>12020.0</v>
      </c>
      <c r="CJ823" s="11">
        <v>12020.0</v>
      </c>
      <c r="CK823" s="11"/>
      <c r="CL823" s="11">
        <v>1670000.0</v>
      </c>
      <c r="CM823" s="11">
        <v>1400000.0</v>
      </c>
      <c r="CN823" s="11">
        <v>1080000.0</v>
      </c>
      <c r="CO823" s="11">
        <v>817970.0</v>
      </c>
      <c r="CP823" s="11">
        <v>621280.0</v>
      </c>
      <c r="CQ823" s="11">
        <v>12500.0</v>
      </c>
      <c r="CR823" s="11">
        <v>9240.0</v>
      </c>
      <c r="CS823" s="11">
        <v>12020.0</v>
      </c>
      <c r="CT823" s="11">
        <v>12280.0</v>
      </c>
      <c r="CU823" s="11">
        <v>24020.0</v>
      </c>
      <c r="CV823" s="11">
        <v>125860.0</v>
      </c>
      <c r="CW823" s="11">
        <v>1140.0</v>
      </c>
      <c r="CX823" s="12"/>
      <c r="CY823" s="13"/>
      <c r="CZ823" s="13"/>
      <c r="DA823" s="12"/>
      <c r="DB823" s="11">
        <v>125860.0</v>
      </c>
      <c r="DC823" s="11">
        <v>85800.0</v>
      </c>
      <c r="DD823" s="11">
        <v>114850.0</v>
      </c>
      <c r="DE823" s="11">
        <v>58670.0</v>
      </c>
      <c r="DF823" s="11">
        <v>820920.0</v>
      </c>
      <c r="DG823" s="11">
        <v>739530.0</v>
      </c>
      <c r="DH823" s="11">
        <v>590050.0</v>
      </c>
      <c r="DI823" s="11">
        <v>462760.0</v>
      </c>
      <c r="DJ823" s="11">
        <v>373890.0</v>
      </c>
      <c r="DK823" s="12"/>
      <c r="DL823" s="12"/>
      <c r="DM823" s="12"/>
      <c r="DN823" s="12"/>
      <c r="DO823" s="12"/>
      <c r="DP823" s="11">
        <v>695060.0</v>
      </c>
      <c r="DQ823" s="11">
        <v>653730.0</v>
      </c>
      <c r="DR823" s="11">
        <v>475200.0</v>
      </c>
      <c r="DS823" s="11">
        <v>400480.0</v>
      </c>
      <c r="DT823" s="11">
        <v>304560.0</v>
      </c>
      <c r="DU823" s="13"/>
      <c r="DV823" s="12"/>
      <c r="DW823" s="12"/>
      <c r="DX823" s="13"/>
      <c r="DY823" s="13"/>
      <c r="DZ823" s="11">
        <v>845190.0</v>
      </c>
      <c r="EA823" s="11">
        <v>655940.0</v>
      </c>
      <c r="EB823" s="11">
        <v>489850.0</v>
      </c>
      <c r="EC823" s="11">
        <v>355200.0</v>
      </c>
      <c r="ED823" s="11">
        <v>247390.0</v>
      </c>
      <c r="EE823" s="14">
        <v>0.221</v>
      </c>
      <c r="EF823" s="14">
        <v>0.2</v>
      </c>
      <c r="EG823" s="14">
        <v>0.358</v>
      </c>
      <c r="EH823" s="14">
        <v>0.145</v>
      </c>
    </row>
    <row r="824">
      <c r="A824" s="9">
        <f t="shared" si="2"/>
        <v>822</v>
      </c>
      <c r="B824" s="22" t="s">
        <v>959</v>
      </c>
      <c r="C824" s="11">
        <v>186740.0</v>
      </c>
      <c r="D824" s="11">
        <v>166790.0</v>
      </c>
      <c r="E824" s="11">
        <v>120280.0</v>
      </c>
      <c r="F824" s="11">
        <v>251450.0</v>
      </c>
      <c r="G824" s="11">
        <v>141100.0</v>
      </c>
      <c r="H824" s="11">
        <v>108970.0</v>
      </c>
      <c r="I824" s="11">
        <v>71910.0</v>
      </c>
      <c r="J824" s="11">
        <v>66700.0</v>
      </c>
      <c r="K824" s="11">
        <v>229320.0</v>
      </c>
      <c r="L824" s="11">
        <v>123620.0</v>
      </c>
      <c r="M824" s="11">
        <v>92760.0</v>
      </c>
      <c r="N824" s="11">
        <v>66110.0</v>
      </c>
      <c r="O824" s="11">
        <v>72420.0</v>
      </c>
      <c r="P824" s="11">
        <v>65600.0</v>
      </c>
      <c r="Q824" s="11">
        <v>55540.0</v>
      </c>
      <c r="R824" s="11">
        <v>47840.0</v>
      </c>
      <c r="S824" s="11">
        <v>37760.0</v>
      </c>
      <c r="T824" s="11">
        <v>30540.0</v>
      </c>
      <c r="U824" s="11">
        <v>27860.0</v>
      </c>
      <c r="V824" s="11">
        <v>26890.0</v>
      </c>
      <c r="W824" s="11">
        <v>21220.0</v>
      </c>
      <c r="X824" s="11">
        <v>13380.0</v>
      </c>
      <c r="Y824" s="11">
        <v>-18520.0</v>
      </c>
      <c r="Z824" s="11">
        <v>169130.0</v>
      </c>
      <c r="AA824" s="11">
        <v>620.0</v>
      </c>
      <c r="AB824" s="11">
        <v>40850.0</v>
      </c>
      <c r="AC824" s="11">
        <v>49740.0</v>
      </c>
      <c r="AD824" s="11">
        <v>796640.0</v>
      </c>
      <c r="AE824" s="11">
        <v>173330.0</v>
      </c>
      <c r="AF824" s="11">
        <v>57230.0</v>
      </c>
      <c r="AG824" s="11">
        <v>7960.0</v>
      </c>
      <c r="AH824" s="11">
        <v>35330.0</v>
      </c>
      <c r="AI824" s="11">
        <v>38010.0</v>
      </c>
      <c r="AJ824" s="11">
        <v>180420.0</v>
      </c>
      <c r="AK824" s="11">
        <v>80600.0</v>
      </c>
      <c r="AL824" s="11">
        <v>56210.0</v>
      </c>
      <c r="AM824" s="11">
        <v>30980.0</v>
      </c>
      <c r="AN824" s="11">
        <v>629300.0</v>
      </c>
      <c r="AO824" s="11">
        <v>143320.0</v>
      </c>
      <c r="AP824" s="11">
        <v>12560.0</v>
      </c>
      <c r="AQ824" s="11">
        <v>-2370.0</v>
      </c>
      <c r="AR824" s="11">
        <v>229820.0</v>
      </c>
      <c r="AS824" s="11">
        <v>-29340.0</v>
      </c>
      <c r="AT824" s="11">
        <v>194060.0</v>
      </c>
      <c r="AU824" s="11">
        <v>93570.0</v>
      </c>
      <c r="AV824" s="11">
        <v>63000.0</v>
      </c>
      <c r="AW824" s="11">
        <v>40470.0</v>
      </c>
      <c r="AX824" s="11">
        <v>-2550.0</v>
      </c>
      <c r="AY824" s="11">
        <v>-10890.0</v>
      </c>
      <c r="AZ824" s="11">
        <v>-2160.0</v>
      </c>
      <c r="BA824" s="11">
        <v>-19550.0</v>
      </c>
      <c r="BB824" s="11">
        <v>-4120.0</v>
      </c>
      <c r="BC824" s="12"/>
      <c r="BD824" s="12"/>
      <c r="BE824" s="12"/>
      <c r="BF824" s="12"/>
      <c r="BG824" s="12"/>
      <c r="BH824" s="11">
        <v>1070000.0</v>
      </c>
      <c r="BI824" s="11">
        <v>767190.0</v>
      </c>
      <c r="BJ824" s="11">
        <v>201660.0</v>
      </c>
      <c r="BK824" s="11">
        <v>141050.0</v>
      </c>
      <c r="BL824" s="11">
        <v>200220.0</v>
      </c>
      <c r="BM824" s="11">
        <v>41750.0</v>
      </c>
      <c r="BN824" s="11">
        <v>55850.0</v>
      </c>
      <c r="BO824" s="11">
        <v>29970.0</v>
      </c>
      <c r="BP824" s="11">
        <v>18220.0</v>
      </c>
      <c r="BQ824" s="11">
        <v>11680.0</v>
      </c>
      <c r="BR824" s="11">
        <v>7300.0</v>
      </c>
      <c r="BS824" s="11">
        <v>7120.0</v>
      </c>
      <c r="BT824" s="11">
        <v>4370.0</v>
      </c>
      <c r="BU824" s="11">
        <v>1920.0</v>
      </c>
      <c r="BV824" s="11">
        <v>1630.0</v>
      </c>
      <c r="BW824" s="11">
        <v>1120000.0</v>
      </c>
      <c r="BX824" s="11">
        <v>870540.0</v>
      </c>
      <c r="BY824" s="11">
        <v>237020.0</v>
      </c>
      <c r="BZ824" s="11">
        <v>163050.0</v>
      </c>
      <c r="CA824" s="11">
        <v>214710.0</v>
      </c>
      <c r="CB824" s="11">
        <v>17540.0</v>
      </c>
      <c r="CC824" s="11">
        <v>5370.0</v>
      </c>
      <c r="CD824" s="11">
        <v>4210.0</v>
      </c>
      <c r="CE824" s="11">
        <v>1820.0</v>
      </c>
      <c r="CF824" s="11">
        <v>372.0</v>
      </c>
      <c r="CG824" s="11">
        <v>95230.0</v>
      </c>
      <c r="CH824" s="11">
        <v>86650.0</v>
      </c>
      <c r="CI824" s="11">
        <v>85960.0</v>
      </c>
      <c r="CJ824" s="11">
        <v>72210.0</v>
      </c>
      <c r="CK824" s="11">
        <v>12240.0</v>
      </c>
      <c r="CL824" s="11">
        <v>1490000.0</v>
      </c>
      <c r="CM824" s="11">
        <v>1310000.0</v>
      </c>
      <c r="CN824" s="11">
        <v>722650.0</v>
      </c>
      <c r="CO824" s="11">
        <v>601590.0</v>
      </c>
      <c r="CP824" s="11">
        <v>503060.0</v>
      </c>
      <c r="CQ824" s="11">
        <v>2420.0</v>
      </c>
      <c r="CR824" s="11">
        <v>4180.0</v>
      </c>
      <c r="CS824" s="11">
        <v>2260.0</v>
      </c>
      <c r="CT824" s="11">
        <v>2730.0</v>
      </c>
      <c r="CU824" s="11">
        <v>4080.0</v>
      </c>
      <c r="CV824" s="11">
        <v>17000.0</v>
      </c>
      <c r="CW824" s="11">
        <v>1240.0</v>
      </c>
      <c r="CX824" s="12"/>
      <c r="CY824" s="12"/>
      <c r="CZ824" s="12"/>
      <c r="DA824" s="12"/>
      <c r="DB824" s="11">
        <v>17000.0</v>
      </c>
      <c r="DC824" s="11">
        <v>82250.0</v>
      </c>
      <c r="DD824" s="11">
        <v>238870.0</v>
      </c>
      <c r="DE824" s="11">
        <v>227130.0</v>
      </c>
      <c r="DF824" s="11">
        <v>727680.0</v>
      </c>
      <c r="DG824" s="11">
        <v>751860.0</v>
      </c>
      <c r="DH824" s="11">
        <v>322860.0</v>
      </c>
      <c r="DI824" s="11">
        <v>260300.0</v>
      </c>
      <c r="DJ824" s="11">
        <v>265780.0</v>
      </c>
      <c r="DK824" s="12"/>
      <c r="DL824" s="12"/>
      <c r="DM824" s="11">
        <v>6440.0</v>
      </c>
      <c r="DN824" s="11">
        <v>8350.0</v>
      </c>
      <c r="DO824" s="11">
        <v>29730.0</v>
      </c>
      <c r="DP824" s="11">
        <v>648930.0</v>
      </c>
      <c r="DQ824" s="11">
        <v>609860.0</v>
      </c>
      <c r="DR824" s="11">
        <v>18860.0</v>
      </c>
      <c r="DS824" s="11">
        <v>29560.0</v>
      </c>
      <c r="DT824" s="11">
        <v>39630.0</v>
      </c>
      <c r="DU824" s="13"/>
      <c r="DV824" s="12"/>
      <c r="DW824" s="12"/>
      <c r="DX824" s="13"/>
      <c r="DY824" s="13"/>
      <c r="DZ824" s="11">
        <v>767230.0</v>
      </c>
      <c r="EA824" s="11">
        <v>560910.0</v>
      </c>
      <c r="EB824" s="11">
        <v>399790.0</v>
      </c>
      <c r="EC824" s="11">
        <v>341290.0</v>
      </c>
      <c r="ED824" s="11">
        <v>237280.0</v>
      </c>
      <c r="EE824" s="14">
        <v>0.03</v>
      </c>
      <c r="EF824" s="14">
        <v>0.344</v>
      </c>
      <c r="EG824" s="14">
        <v>0.316</v>
      </c>
      <c r="EH824" s="14">
        <v>0.144</v>
      </c>
    </row>
    <row r="825">
      <c r="A825" s="9">
        <f t="shared" si="2"/>
        <v>823</v>
      </c>
      <c r="B825" s="32" t="s">
        <v>960</v>
      </c>
      <c r="C825" s="11">
        <v>1.278E7</v>
      </c>
      <c r="D825" s="11">
        <v>1.186E7</v>
      </c>
      <c r="E825" s="11">
        <v>1.155E7</v>
      </c>
      <c r="F825" s="11">
        <v>1.133E7</v>
      </c>
      <c r="G825" s="11">
        <v>1.031E7</v>
      </c>
      <c r="H825" s="11">
        <v>9640000.0</v>
      </c>
      <c r="I825" s="11">
        <v>8680000.0</v>
      </c>
      <c r="J825" s="11">
        <v>3010000.0</v>
      </c>
      <c r="K825" s="11">
        <v>2940000.0</v>
      </c>
      <c r="L825" s="11">
        <v>2880000.0</v>
      </c>
      <c r="M825" s="11">
        <v>3000000.0</v>
      </c>
      <c r="N825" s="11">
        <v>2740000.0</v>
      </c>
      <c r="O825" s="11">
        <v>1570000.0</v>
      </c>
      <c r="P825" s="11">
        <v>1570000.0</v>
      </c>
      <c r="Q825" s="11">
        <v>1500000.0</v>
      </c>
      <c r="R825" s="11">
        <v>1600000.0</v>
      </c>
      <c r="S825" s="11">
        <v>1460000.0</v>
      </c>
      <c r="T825" s="12"/>
      <c r="U825" s="12"/>
      <c r="V825" s="12"/>
      <c r="W825" s="12"/>
      <c r="X825" s="12"/>
      <c r="Y825" s="11">
        <v>1330000.0</v>
      </c>
      <c r="Z825" s="12"/>
      <c r="AA825" s="12"/>
      <c r="AB825" s="11">
        <v>1310000.0</v>
      </c>
      <c r="AC825" s="12"/>
      <c r="AD825" s="11">
        <v>1100000.0</v>
      </c>
      <c r="AE825" s="11">
        <v>1270000.0</v>
      </c>
      <c r="AF825" s="11">
        <v>1080000.0</v>
      </c>
      <c r="AG825" s="11">
        <v>1110000.0</v>
      </c>
      <c r="AH825" s="11">
        <v>726000.0</v>
      </c>
      <c r="AI825" s="11">
        <v>2210000.0</v>
      </c>
      <c r="AJ825" s="11">
        <v>1930000.0</v>
      </c>
      <c r="AK825" s="11">
        <v>1910000.0</v>
      </c>
      <c r="AL825" s="11">
        <v>1890000.0</v>
      </c>
      <c r="AM825" s="11">
        <v>1710000.0</v>
      </c>
      <c r="AN825" s="11">
        <v>823800.0</v>
      </c>
      <c r="AO825" s="11">
        <v>883700.0</v>
      </c>
      <c r="AP825" s="11">
        <v>1230000.0</v>
      </c>
      <c r="AQ825" s="11">
        <v>732100.0</v>
      </c>
      <c r="AR825" s="11">
        <v>437600.0</v>
      </c>
      <c r="AS825" s="11">
        <v>1440000.0</v>
      </c>
      <c r="AT825" s="11">
        <v>1310000.0</v>
      </c>
      <c r="AU825" s="11">
        <v>1500000.0</v>
      </c>
      <c r="AV825" s="11">
        <v>1180000.0</v>
      </c>
      <c r="AW825" s="11">
        <v>982400.0</v>
      </c>
      <c r="AX825" s="12"/>
      <c r="AY825" s="12"/>
      <c r="AZ825" s="12"/>
      <c r="BA825" s="12"/>
      <c r="BB825" s="12"/>
      <c r="BC825" s="13"/>
      <c r="BD825" s="13"/>
      <c r="BE825" s="13"/>
      <c r="BF825" s="13"/>
      <c r="BG825" s="13"/>
      <c r="BH825" s="11">
        <v>337500.0</v>
      </c>
      <c r="BI825" s="11">
        <v>426800.0</v>
      </c>
      <c r="BJ825" s="11">
        <v>316600.0</v>
      </c>
      <c r="BK825" s="11">
        <v>433600.0</v>
      </c>
      <c r="BL825" s="11">
        <v>716400.0</v>
      </c>
      <c r="BM825" s="11">
        <v>2030000.0</v>
      </c>
      <c r="BN825" s="11">
        <v>1860000.0</v>
      </c>
      <c r="BO825" s="11">
        <v>1850000.0</v>
      </c>
      <c r="BP825" s="11">
        <v>1520000.0</v>
      </c>
      <c r="BQ825" s="11">
        <v>1370000.0</v>
      </c>
      <c r="BR825" s="11">
        <v>244700.0</v>
      </c>
      <c r="BS825" s="11">
        <v>237300.0</v>
      </c>
      <c r="BT825" s="11">
        <v>227200.0</v>
      </c>
      <c r="BU825" s="11">
        <v>205200.0</v>
      </c>
      <c r="BV825" s="11">
        <v>191000.0</v>
      </c>
      <c r="BW825" s="11">
        <v>2980000.0</v>
      </c>
      <c r="BX825" s="11">
        <v>2840000.0</v>
      </c>
      <c r="BY825" s="11">
        <v>2730000.0</v>
      </c>
      <c r="BZ825" s="11">
        <v>2480000.0</v>
      </c>
      <c r="CA825" s="11">
        <v>2620000.0</v>
      </c>
      <c r="CB825" s="11">
        <v>2640000.0</v>
      </c>
      <c r="CC825" s="11">
        <v>1780000.0</v>
      </c>
      <c r="CD825" s="11">
        <v>1710000.0</v>
      </c>
      <c r="CE825" s="11">
        <v>1720000.0</v>
      </c>
      <c r="CF825" s="11">
        <v>1750000.0</v>
      </c>
      <c r="CG825" s="11">
        <v>7870000.0</v>
      </c>
      <c r="CH825" s="11">
        <v>7360000.0</v>
      </c>
      <c r="CI825" s="11">
        <v>7400000.0</v>
      </c>
      <c r="CJ825" s="11">
        <v>6420000.0</v>
      </c>
      <c r="CK825" s="11">
        <v>6200000.0</v>
      </c>
      <c r="CL825" s="11">
        <v>1.805E7</v>
      </c>
      <c r="CM825" s="11">
        <v>1.619E7</v>
      </c>
      <c r="CN825" s="11">
        <v>1.667E7</v>
      </c>
      <c r="CO825" s="11">
        <v>1.425E7</v>
      </c>
      <c r="CP825" s="11">
        <v>1.41E7</v>
      </c>
      <c r="CQ825" s="11">
        <v>632300.0</v>
      </c>
      <c r="CR825" s="11">
        <v>634600.0</v>
      </c>
      <c r="CS825" s="11">
        <v>573900.0</v>
      </c>
      <c r="CT825" s="11">
        <v>508400.0</v>
      </c>
      <c r="CU825" s="11">
        <v>497400.0</v>
      </c>
      <c r="CV825" s="11">
        <v>2660000.0</v>
      </c>
      <c r="CW825" s="11">
        <v>208700.0</v>
      </c>
      <c r="CX825" s="11">
        <v>10500.0</v>
      </c>
      <c r="CY825" s="11">
        <v>10600.0</v>
      </c>
      <c r="CZ825" s="11">
        <v>42400.0</v>
      </c>
      <c r="DA825" s="12"/>
      <c r="DB825" s="11">
        <v>2660000.0</v>
      </c>
      <c r="DC825" s="11">
        <v>1880000.0</v>
      </c>
      <c r="DD825" s="11">
        <v>2190000.0</v>
      </c>
      <c r="DE825" s="11">
        <v>1830000.0</v>
      </c>
      <c r="DF825" s="11">
        <v>1.046E7</v>
      </c>
      <c r="DG825" s="11">
        <v>9190000.0</v>
      </c>
      <c r="DH825" s="11">
        <v>9850000.0</v>
      </c>
      <c r="DI825" s="11">
        <v>8730000.0</v>
      </c>
      <c r="DJ825" s="11">
        <v>9140000.0</v>
      </c>
      <c r="DK825" s="11">
        <v>89600.0</v>
      </c>
      <c r="DL825" s="11">
        <v>60500.0</v>
      </c>
      <c r="DM825" s="11">
        <v>58400.0</v>
      </c>
      <c r="DN825" s="11">
        <v>57600.0</v>
      </c>
      <c r="DO825" s="11">
        <v>58200.0</v>
      </c>
      <c r="DP825" s="11">
        <v>6480000.0</v>
      </c>
      <c r="DQ825" s="11">
        <v>6040000.0</v>
      </c>
      <c r="DR825" s="11">
        <v>6340000.0</v>
      </c>
      <c r="DS825" s="11">
        <v>5300000.0</v>
      </c>
      <c r="DT825" s="11">
        <v>5940000.0</v>
      </c>
      <c r="DU825" s="13"/>
      <c r="DV825" s="12"/>
      <c r="DW825" s="12"/>
      <c r="DX825" s="13"/>
      <c r="DY825" s="13"/>
      <c r="DZ825" s="11">
        <v>7570000.0</v>
      </c>
      <c r="EA825" s="11">
        <v>6970000.0</v>
      </c>
      <c r="EB825" s="11">
        <v>6800000.0</v>
      </c>
      <c r="EC825" s="11">
        <v>5510000.0</v>
      </c>
      <c r="ED825" s="11">
        <v>4950000.0</v>
      </c>
      <c r="EE825" s="14">
        <v>0.207</v>
      </c>
      <c r="EF825" s="14">
        <v>0.302</v>
      </c>
      <c r="EG825" s="14">
        <v>0.215</v>
      </c>
      <c r="EH825" s="14">
        <v>0.064</v>
      </c>
    </row>
    <row r="826">
      <c r="A826" s="9">
        <f t="shared" si="2"/>
        <v>824</v>
      </c>
      <c r="B826" s="10" t="s">
        <v>961</v>
      </c>
      <c r="C826" s="11">
        <v>3690000.0</v>
      </c>
      <c r="D826" s="11">
        <v>3450000.0</v>
      </c>
      <c r="E826" s="11">
        <v>3810000.0</v>
      </c>
      <c r="F826" s="11">
        <v>3880000.0</v>
      </c>
      <c r="G826" s="11">
        <v>3840000.0</v>
      </c>
      <c r="H826" s="11">
        <v>3640000.0</v>
      </c>
      <c r="I826" s="11">
        <v>3470000.0</v>
      </c>
      <c r="J826" s="11">
        <v>1080000.0</v>
      </c>
      <c r="K826" s="11">
        <v>1100000.0</v>
      </c>
      <c r="L826" s="11">
        <v>1110000.0</v>
      </c>
      <c r="M826" s="11">
        <v>1090000.0</v>
      </c>
      <c r="N826" s="11">
        <v>958900.0</v>
      </c>
      <c r="O826" s="11">
        <v>585900.0</v>
      </c>
      <c r="P826" s="11">
        <v>608200.0</v>
      </c>
      <c r="Q826" s="11">
        <v>637700.0</v>
      </c>
      <c r="R826" s="11">
        <v>621000.0</v>
      </c>
      <c r="S826" s="11">
        <v>580500.0</v>
      </c>
      <c r="T826" s="11">
        <v>69900.0</v>
      </c>
      <c r="U826" s="11">
        <v>72200.0</v>
      </c>
      <c r="V826" s="11">
        <v>73600.0</v>
      </c>
      <c r="W826" s="11">
        <v>64600.0</v>
      </c>
      <c r="X826" s="11">
        <v>62300.0</v>
      </c>
      <c r="Y826" s="11">
        <v>659800.0</v>
      </c>
      <c r="Z826" s="11">
        <v>522200.0</v>
      </c>
      <c r="AA826" s="11">
        <v>463900.0</v>
      </c>
      <c r="AB826" s="11">
        <v>425300.0</v>
      </c>
      <c r="AC826" s="11">
        <v>-70700.0</v>
      </c>
      <c r="AD826" s="11">
        <v>507900.0</v>
      </c>
      <c r="AE826" s="11">
        <v>467900.0</v>
      </c>
      <c r="AF826" s="11">
        <v>464000.0</v>
      </c>
      <c r="AG826" s="11">
        <v>402700.0</v>
      </c>
      <c r="AH826" s="11">
        <v>282600.0</v>
      </c>
      <c r="AI826" s="11">
        <v>571900.0</v>
      </c>
      <c r="AJ826" s="11">
        <v>562900.0</v>
      </c>
      <c r="AK826" s="11">
        <v>536500.0</v>
      </c>
      <c r="AL826" s="11">
        <v>525900.0</v>
      </c>
      <c r="AM826" s="11">
        <v>442200.0</v>
      </c>
      <c r="AN826" s="11">
        <v>408800.0</v>
      </c>
      <c r="AO826" s="11">
        <v>360300.0</v>
      </c>
      <c r="AP826" s="11">
        <v>307100.0</v>
      </c>
      <c r="AQ826" s="11">
        <v>278600.0</v>
      </c>
      <c r="AR826" s="11">
        <v>187200.0</v>
      </c>
      <c r="AS826" s="11">
        <v>394000.0</v>
      </c>
      <c r="AT826" s="11">
        <v>495500.0</v>
      </c>
      <c r="AU826" s="11">
        <v>325100.0</v>
      </c>
      <c r="AV826" s="11">
        <v>354500.0</v>
      </c>
      <c r="AW826" s="11">
        <v>331200.0</v>
      </c>
      <c r="AX826" s="11">
        <v>-105600.0</v>
      </c>
      <c r="AY826" s="11">
        <v>-95200.0</v>
      </c>
      <c r="AZ826" s="11">
        <v>-98300.0</v>
      </c>
      <c r="BA826" s="11">
        <v>-84300.0</v>
      </c>
      <c r="BB826" s="11">
        <v>-69900.0</v>
      </c>
      <c r="BC826" s="11">
        <v>-110500.0</v>
      </c>
      <c r="BD826" s="11">
        <v>-93900.0</v>
      </c>
      <c r="BE826" s="11">
        <v>-79700.0</v>
      </c>
      <c r="BF826" s="11">
        <v>-69000.0</v>
      </c>
      <c r="BG826" s="11">
        <v>-59300.0</v>
      </c>
      <c r="BH826" s="11">
        <v>40200.0</v>
      </c>
      <c r="BI826" s="11">
        <v>46300.0</v>
      </c>
      <c r="BJ826" s="11">
        <v>68200.0</v>
      </c>
      <c r="BK826" s="11">
        <v>50200.0</v>
      </c>
      <c r="BL826" s="11">
        <v>38900.0</v>
      </c>
      <c r="BM826" s="11">
        <v>477800.0</v>
      </c>
      <c r="BN826" s="11">
        <v>475200.0</v>
      </c>
      <c r="BO826" s="11">
        <v>506500.0</v>
      </c>
      <c r="BP826" s="11">
        <v>469800.0</v>
      </c>
      <c r="BQ826" s="11">
        <v>422800.0</v>
      </c>
      <c r="BR826" s="11">
        <v>544100.0</v>
      </c>
      <c r="BS826" s="11">
        <v>509800.0</v>
      </c>
      <c r="BT826" s="11">
        <v>484200.0</v>
      </c>
      <c r="BU826" s="11">
        <v>418500.0</v>
      </c>
      <c r="BV826" s="11">
        <v>418800.0</v>
      </c>
      <c r="BW826" s="11">
        <v>1120000.0</v>
      </c>
      <c r="BX826" s="11">
        <v>1090000.0</v>
      </c>
      <c r="BY826" s="11">
        <v>1140000.0</v>
      </c>
      <c r="BZ826" s="11">
        <v>1010000.0</v>
      </c>
      <c r="CA826" s="11">
        <v>938200.0</v>
      </c>
      <c r="CB826" s="11">
        <v>627000.0</v>
      </c>
      <c r="CC826" s="11">
        <v>408300.0</v>
      </c>
      <c r="CD826" s="11">
        <v>397800.0</v>
      </c>
      <c r="CE826" s="11">
        <v>361400.0</v>
      </c>
      <c r="CF826" s="11">
        <v>339600.0</v>
      </c>
      <c r="CG826" s="11">
        <v>186500.0</v>
      </c>
      <c r="CH826" s="11">
        <v>186600.0</v>
      </c>
      <c r="CI826" s="11">
        <v>200500.0</v>
      </c>
      <c r="CJ826" s="11">
        <v>195100.0</v>
      </c>
      <c r="CK826" s="11">
        <v>195100.0</v>
      </c>
      <c r="CL826" s="11">
        <v>2110000.0</v>
      </c>
      <c r="CM826" s="11">
        <v>1850000.0</v>
      </c>
      <c r="CN826" s="11">
        <v>1890000.0</v>
      </c>
      <c r="CO826" s="11">
        <v>1760000.0</v>
      </c>
      <c r="CP826" s="11">
        <v>1680000.0</v>
      </c>
      <c r="CQ826" s="11">
        <v>372400.0</v>
      </c>
      <c r="CR826" s="11">
        <v>433300.0</v>
      </c>
      <c r="CS826" s="11">
        <v>348600.0</v>
      </c>
      <c r="CT826" s="11">
        <v>361200.0</v>
      </c>
      <c r="CU826" s="11">
        <v>320100.0</v>
      </c>
      <c r="CV826" s="11">
        <v>1000000.0</v>
      </c>
      <c r="CW826" s="11">
        <v>52700.0</v>
      </c>
      <c r="CX826" s="11"/>
      <c r="CY826" s="11">
        <v>900.0</v>
      </c>
      <c r="CZ826" s="11">
        <v>52400.0</v>
      </c>
      <c r="DA826" s="11">
        <v>204100.0</v>
      </c>
      <c r="DB826" s="11">
        <v>1000000.0</v>
      </c>
      <c r="DC826" s="11">
        <v>1010000.0</v>
      </c>
      <c r="DD826" s="11">
        <v>654500.0</v>
      </c>
      <c r="DE826" s="11">
        <v>888600.0</v>
      </c>
      <c r="DF826" s="11">
        <v>2280000.0</v>
      </c>
      <c r="DG826" s="11">
        <v>2000000.0</v>
      </c>
      <c r="DH826" s="11">
        <v>1840000.0</v>
      </c>
      <c r="DI826" s="11">
        <v>1720000.0</v>
      </c>
      <c r="DJ826" s="11">
        <v>1580000.0</v>
      </c>
      <c r="DK826" s="11">
        <v>38600.0</v>
      </c>
      <c r="DL826" s="11">
        <v>36600.0</v>
      </c>
      <c r="DM826" s="11">
        <v>38100.0</v>
      </c>
      <c r="DN826" s="11">
        <v>35100.0</v>
      </c>
      <c r="DO826" s="11">
        <v>36800.0</v>
      </c>
      <c r="DP826" s="11">
        <v>980300.0</v>
      </c>
      <c r="DQ826" s="11">
        <v>740500.0</v>
      </c>
      <c r="DR826" s="11">
        <v>970500.0</v>
      </c>
      <c r="DS826" s="11">
        <v>615700.0</v>
      </c>
      <c r="DT826" s="11">
        <v>506000.0</v>
      </c>
      <c r="DU826" s="13"/>
      <c r="DV826" s="12"/>
      <c r="DW826" s="12"/>
      <c r="DX826" s="13"/>
      <c r="DY826" s="13"/>
      <c r="DZ826" s="11">
        <v>-170200.0</v>
      </c>
      <c r="EA826" s="11">
        <v>-149600.0</v>
      </c>
      <c r="EB826" s="11">
        <v>50100.0</v>
      </c>
      <c r="EC826" s="11">
        <v>37600.0</v>
      </c>
      <c r="ED826" s="11">
        <v>101200.0</v>
      </c>
      <c r="EE826" s="14">
        <v>0.058</v>
      </c>
      <c r="EF826" s="14">
        <v>0.087</v>
      </c>
      <c r="EG826" s="14">
        <v>0.129</v>
      </c>
      <c r="EH826" s="14">
        <v>-0.095</v>
      </c>
    </row>
    <row r="827">
      <c r="A827" s="9">
        <f t="shared" si="2"/>
        <v>825</v>
      </c>
      <c r="B827" s="10" t="s">
        <v>962</v>
      </c>
      <c r="C827" s="15">
        <v>293510.0</v>
      </c>
      <c r="D827" s="15">
        <v>148080.0</v>
      </c>
      <c r="E827" s="15">
        <v>343090.0</v>
      </c>
      <c r="F827" s="15">
        <v>309730.0</v>
      </c>
      <c r="G827" s="15">
        <v>266500.0</v>
      </c>
      <c r="H827" s="15">
        <v>242350.0</v>
      </c>
      <c r="I827" s="15">
        <v>209990.0</v>
      </c>
      <c r="J827" s="15">
        <v>150710.0</v>
      </c>
      <c r="K827" s="15">
        <v>135220.0</v>
      </c>
      <c r="L827" s="15">
        <v>113630.0</v>
      </c>
      <c r="M827" s="15">
        <v>104950.0</v>
      </c>
      <c r="N827" s="15">
        <v>102920.0</v>
      </c>
      <c r="O827" s="15">
        <v>117520.0</v>
      </c>
      <c r="P827" s="15">
        <v>108890.0</v>
      </c>
      <c r="Q827" s="15">
        <v>102880.0</v>
      </c>
      <c r="R827" s="15">
        <v>89970.0</v>
      </c>
      <c r="S827" s="15">
        <v>74080.0</v>
      </c>
      <c r="T827" s="15">
        <v>0.0</v>
      </c>
      <c r="U827" s="15">
        <v>0.0</v>
      </c>
      <c r="V827" s="15">
        <v>0.0</v>
      </c>
      <c r="W827" s="15">
        <v>0.0</v>
      </c>
      <c r="X827" s="15">
        <v>0.0</v>
      </c>
      <c r="Y827" s="15">
        <v>0.0</v>
      </c>
      <c r="Z827" s="15">
        <v>25340.0</v>
      </c>
      <c r="AA827" s="15">
        <v>11200.0</v>
      </c>
      <c r="AB827" s="15">
        <v>13900.0</v>
      </c>
      <c r="AC827" s="15">
        <v>23000.0</v>
      </c>
      <c r="AD827" s="15">
        <v>20940.0</v>
      </c>
      <c r="AE827" s="15">
        <v>12170.0</v>
      </c>
      <c r="AF827" s="15">
        <v>2470.0</v>
      </c>
      <c r="AG827" s="15">
        <v>1860.0</v>
      </c>
      <c r="AH827" s="15">
        <v>17090.0</v>
      </c>
      <c r="AI827" s="15">
        <v>59060.0</v>
      </c>
      <c r="AJ827" s="15">
        <v>47110.0</v>
      </c>
      <c r="AK827" s="15">
        <v>28100.0</v>
      </c>
      <c r="AL827" s="15">
        <v>33400.0</v>
      </c>
      <c r="AM827" s="15">
        <v>40490.0</v>
      </c>
      <c r="AN827" s="15">
        <v>16350.0</v>
      </c>
      <c r="AO827" s="15">
        <v>11350.0</v>
      </c>
      <c r="AP827" s="15">
        <v>-8660.0</v>
      </c>
      <c r="AQ827" s="15">
        <v>4860.0</v>
      </c>
      <c r="AR827" s="15">
        <v>19740.0</v>
      </c>
      <c r="AS827" s="15">
        <v>62420.0</v>
      </c>
      <c r="AT827" s="15">
        <v>56360.0</v>
      </c>
      <c r="AU827" s="15">
        <v>52920.0</v>
      </c>
      <c r="AV827" s="15">
        <v>31430.0</v>
      </c>
      <c r="AW827" s="15">
        <v>40300.0</v>
      </c>
      <c r="AX827" s="15">
        <v>-96000.0</v>
      </c>
      <c r="AY827" s="15">
        <v>-54350.0</v>
      </c>
      <c r="AZ827" s="15">
        <v>-80490.0</v>
      </c>
      <c r="BA827" s="15">
        <v>-75930.0</v>
      </c>
      <c r="BB827" s="15">
        <v>-14800.0</v>
      </c>
      <c r="BC827" s="16">
        <v>0.0</v>
      </c>
      <c r="BD827" s="16">
        <v>0.0</v>
      </c>
      <c r="BE827" s="16">
        <v>0.0</v>
      </c>
      <c r="BF827" s="16">
        <v>0.0</v>
      </c>
      <c r="BG827" s="16">
        <v>0.0</v>
      </c>
      <c r="BH827" s="15">
        <v>109260.0</v>
      </c>
      <c r="BI827" s="15">
        <v>122150.0</v>
      </c>
      <c r="BJ827" s="15">
        <v>103500.0</v>
      </c>
      <c r="BK827" s="15">
        <v>144430.0</v>
      </c>
      <c r="BL827" s="15">
        <v>215360.0</v>
      </c>
      <c r="BM827" s="15">
        <v>0.0</v>
      </c>
      <c r="BN827" s="15">
        <v>0.0</v>
      </c>
      <c r="BO827" s="15">
        <v>0.0</v>
      </c>
      <c r="BP827" s="15">
        <v>0.0</v>
      </c>
      <c r="BQ827" s="15">
        <v>0.0</v>
      </c>
      <c r="BR827" s="15">
        <v>8330.0</v>
      </c>
      <c r="BS827" s="15">
        <v>6770.0</v>
      </c>
      <c r="BT827" s="15">
        <v>6840.0</v>
      </c>
      <c r="BU827" s="15">
        <v>5810.0</v>
      </c>
      <c r="BV827" s="15">
        <v>6720.0</v>
      </c>
      <c r="BW827" s="15">
        <v>146640.0</v>
      </c>
      <c r="BX827" s="15">
        <v>150180.0</v>
      </c>
      <c r="BY827" s="15">
        <v>131690.0</v>
      </c>
      <c r="BZ827" s="15">
        <v>171020.0</v>
      </c>
      <c r="CA827" s="15">
        <v>234340.0</v>
      </c>
      <c r="CB827" s="15">
        <v>363900.0</v>
      </c>
      <c r="CC827" s="15">
        <v>285980.0</v>
      </c>
      <c r="CD827" s="15">
        <v>250950.0</v>
      </c>
      <c r="CE827" s="15">
        <v>186240.0</v>
      </c>
      <c r="CF827" s="15">
        <v>125470.0</v>
      </c>
      <c r="CG827" s="15">
        <v>22110.0</v>
      </c>
      <c r="CH827" s="15">
        <v>22110.0</v>
      </c>
      <c r="CI827" s="15">
        <v>22110.0</v>
      </c>
      <c r="CJ827" s="15">
        <v>22110.0</v>
      </c>
      <c r="CK827" s="15">
        <v>0.0</v>
      </c>
      <c r="CL827" s="15">
        <v>548660.0</v>
      </c>
      <c r="CM827" s="15">
        <v>473410.0</v>
      </c>
      <c r="CN827" s="15">
        <v>424350.0</v>
      </c>
      <c r="CO827" s="15">
        <v>407700.0</v>
      </c>
      <c r="CP827" s="15">
        <v>381610.0</v>
      </c>
      <c r="CQ827" s="15">
        <v>14630.0</v>
      </c>
      <c r="CR827" s="15">
        <v>9330.0</v>
      </c>
      <c r="CS827" s="15">
        <v>7790.0</v>
      </c>
      <c r="CT827" s="15">
        <v>7570.0</v>
      </c>
      <c r="CU827" s="15">
        <v>8840.0</v>
      </c>
      <c r="CV827" s="15">
        <v>182920.0</v>
      </c>
      <c r="CW827" s="15">
        <v>1340.0</v>
      </c>
      <c r="CX827" s="16">
        <v>0.0</v>
      </c>
      <c r="CY827" s="16">
        <v>0.0</v>
      </c>
      <c r="CZ827" s="16">
        <v>0.0</v>
      </c>
      <c r="DA827" s="15">
        <v>0.0</v>
      </c>
      <c r="DB827" s="15">
        <v>182920.0</v>
      </c>
      <c r="DC827" s="15">
        <v>159430.0</v>
      </c>
      <c r="DD827" s="15">
        <v>144410.0</v>
      </c>
      <c r="DE827" s="15">
        <v>123910.0</v>
      </c>
      <c r="DF827" s="15">
        <v>409300.0</v>
      </c>
      <c r="DG827" s="15">
        <v>350860.0</v>
      </c>
      <c r="DH827" s="15">
        <v>311720.0</v>
      </c>
      <c r="DI827" s="15">
        <v>288720.0</v>
      </c>
      <c r="DJ827" s="15">
        <v>267690.0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218570.0</v>
      </c>
      <c r="DQ827" s="15">
        <v>188090.0</v>
      </c>
      <c r="DR827" s="15">
        <v>164190.0</v>
      </c>
      <c r="DS827" s="15">
        <v>164130.0</v>
      </c>
      <c r="DT827" s="15">
        <v>162690.0</v>
      </c>
      <c r="DU827" s="16">
        <v>0.0</v>
      </c>
      <c r="DV827" s="15">
        <v>0.0</v>
      </c>
      <c r="DW827" s="15">
        <v>0.0</v>
      </c>
      <c r="DX827" s="15">
        <v>0.0</v>
      </c>
      <c r="DY827" s="16">
        <v>0.0</v>
      </c>
      <c r="DZ827" s="15">
        <v>123250.0</v>
      </c>
      <c r="EA827" s="15">
        <v>116040.0</v>
      </c>
      <c r="EB827" s="15">
        <v>106320.0</v>
      </c>
      <c r="EC827" s="15">
        <v>113810.0</v>
      </c>
      <c r="ED827" s="15">
        <v>113920.0</v>
      </c>
      <c r="EE827" s="17">
        <v>0.232</v>
      </c>
      <c r="EF827" s="17">
        <v>0.563</v>
      </c>
      <c r="EG827" s="17">
        <v>-1.308</v>
      </c>
      <c r="EH827" s="17">
        <v>-0.693</v>
      </c>
    </row>
    <row r="828">
      <c r="A828" s="9">
        <f t="shared" si="2"/>
        <v>826</v>
      </c>
      <c r="B828" s="25" t="s">
        <v>963</v>
      </c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3"/>
      <c r="BD828" s="13"/>
      <c r="BE828" s="13"/>
      <c r="BF828" s="13"/>
      <c r="BG828" s="13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3"/>
      <c r="CY828" s="13"/>
      <c r="CZ828" s="13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3"/>
      <c r="DV828" s="12"/>
      <c r="DW828" s="12"/>
      <c r="DX828" s="13"/>
      <c r="DY828" s="13"/>
      <c r="DZ828" s="12"/>
      <c r="EA828" s="12"/>
      <c r="EB828" s="12"/>
      <c r="EC828" s="12"/>
      <c r="ED828" s="12"/>
      <c r="EE828" s="17"/>
      <c r="EF828" s="17"/>
      <c r="EG828" s="23"/>
      <c r="EH828" s="17"/>
    </row>
    <row r="829">
      <c r="A829" s="9">
        <f t="shared" si="2"/>
        <v>827</v>
      </c>
      <c r="B829" s="22" t="s">
        <v>964</v>
      </c>
      <c r="C829" s="11">
        <v>1050000.0</v>
      </c>
      <c r="D829" s="11">
        <v>929950.0</v>
      </c>
      <c r="E829" s="11">
        <v>1080000.0</v>
      </c>
      <c r="F829" s="11">
        <v>1110000.0</v>
      </c>
      <c r="G829" s="11">
        <v>1010000.0</v>
      </c>
      <c r="H829" s="11">
        <v>964860.0</v>
      </c>
      <c r="I829" s="11">
        <v>623560.0</v>
      </c>
      <c r="J829" s="11">
        <v>704380.0</v>
      </c>
      <c r="K829" s="11">
        <v>697280.0</v>
      </c>
      <c r="L829" s="11">
        <v>618690.0</v>
      </c>
      <c r="M829" s="11">
        <v>528470.0</v>
      </c>
      <c r="N829" s="11">
        <v>399790.0</v>
      </c>
      <c r="O829" s="11">
        <v>654360.0</v>
      </c>
      <c r="P829" s="11">
        <v>605640.0</v>
      </c>
      <c r="Q829" s="11">
        <v>491700.0</v>
      </c>
      <c r="R829" s="11">
        <v>435060.0</v>
      </c>
      <c r="S829" s="11">
        <v>337490.0</v>
      </c>
      <c r="T829" s="11">
        <v>149890.0</v>
      </c>
      <c r="U829" s="11">
        <v>146020.0</v>
      </c>
      <c r="V829" s="11">
        <v>109520.0</v>
      </c>
      <c r="W829" s="11">
        <v>82470.0</v>
      </c>
      <c r="X829" s="11">
        <v>77900.0</v>
      </c>
      <c r="Y829" s="11">
        <v>-163700.0</v>
      </c>
      <c r="Z829" s="11">
        <v>-245230.0</v>
      </c>
      <c r="AA829" s="11">
        <v>-13420.0</v>
      </c>
      <c r="AB829" s="11">
        <v>-46750.0</v>
      </c>
      <c r="AC829" s="11">
        <v>-9880.0</v>
      </c>
      <c r="AD829" s="11">
        <v>-185690.0</v>
      </c>
      <c r="AE829" s="11">
        <v>-247450.0</v>
      </c>
      <c r="AF829" s="11">
        <v>121140.0</v>
      </c>
      <c r="AG829" s="11">
        <v>25670.0</v>
      </c>
      <c r="AH829" s="11">
        <v>-58920.0</v>
      </c>
      <c r="AI829" s="11">
        <v>133610.0</v>
      </c>
      <c r="AJ829" s="11">
        <v>161580.0</v>
      </c>
      <c r="AK829" s="11">
        <v>197190.0</v>
      </c>
      <c r="AL829" s="11">
        <v>156980.0</v>
      </c>
      <c r="AM829" s="11">
        <v>93050.0</v>
      </c>
      <c r="AN829" s="11">
        <v>-155540.0</v>
      </c>
      <c r="AO829" s="11">
        <v>-178460.0</v>
      </c>
      <c r="AP829" s="11">
        <v>54470.0</v>
      </c>
      <c r="AQ829" s="11">
        <v>1870.0</v>
      </c>
      <c r="AR829" s="11">
        <v>-44420.0</v>
      </c>
      <c r="AS829" s="11">
        <v>-91140.0</v>
      </c>
      <c r="AT829" s="11">
        <v>120490.0</v>
      </c>
      <c r="AU829" s="11">
        <v>91340.0</v>
      </c>
      <c r="AV829" s="11">
        <v>90150.0</v>
      </c>
      <c r="AW829" s="11">
        <v>-9290.0</v>
      </c>
      <c r="AX829" s="11">
        <v>-27980.0</v>
      </c>
      <c r="AY829" s="11">
        <v>-38000.0</v>
      </c>
      <c r="AZ829" s="11">
        <v>-34110.0</v>
      </c>
      <c r="BA829" s="11">
        <v>-38360.0</v>
      </c>
      <c r="BB829" s="11">
        <v>-17290.0</v>
      </c>
      <c r="BC829" s="12"/>
      <c r="BD829" s="12"/>
      <c r="BE829" s="12"/>
      <c r="BF829" s="12"/>
      <c r="BG829" s="12"/>
      <c r="BH829" s="11">
        <v>61140.0</v>
      </c>
      <c r="BI829" s="11">
        <v>47200.0</v>
      </c>
      <c r="BJ829" s="11">
        <v>93620.0</v>
      </c>
      <c r="BK829" s="11">
        <v>48060.0</v>
      </c>
      <c r="BL829" s="11">
        <v>119610.0</v>
      </c>
      <c r="BM829" s="11">
        <v>258370.0</v>
      </c>
      <c r="BN829" s="11">
        <v>256740.0</v>
      </c>
      <c r="BO829" s="11">
        <v>282150.0</v>
      </c>
      <c r="BP829" s="11">
        <v>244540.0</v>
      </c>
      <c r="BQ829" s="11">
        <v>272350.0</v>
      </c>
      <c r="BR829" s="11">
        <v>164150.0</v>
      </c>
      <c r="BS829" s="11">
        <v>153540.0</v>
      </c>
      <c r="BT829" s="11">
        <v>144470.0</v>
      </c>
      <c r="BU829" s="11">
        <v>136460.0</v>
      </c>
      <c r="BV829" s="11">
        <v>212450.0</v>
      </c>
      <c r="BW829" s="11">
        <v>549440.0</v>
      </c>
      <c r="BX829" s="11">
        <v>533300.0</v>
      </c>
      <c r="BY829" s="11">
        <v>869860.0</v>
      </c>
      <c r="BZ829" s="11">
        <v>812690.0</v>
      </c>
      <c r="CA829" s="11">
        <v>673410.0</v>
      </c>
      <c r="CB829" s="11">
        <v>235730.0</v>
      </c>
      <c r="CC829" s="11">
        <v>191400.0</v>
      </c>
      <c r="CD829" s="11">
        <v>192360.0</v>
      </c>
      <c r="CE829" s="11">
        <v>203710.0</v>
      </c>
      <c r="CF829" s="11">
        <v>244590.0</v>
      </c>
      <c r="CG829" s="11">
        <v>915790.0</v>
      </c>
      <c r="CH829" s="11">
        <v>956820.0</v>
      </c>
      <c r="CI829" s="11">
        <v>784240.0</v>
      </c>
      <c r="CJ829" s="11">
        <v>691710.0</v>
      </c>
      <c r="CK829" s="11">
        <v>745360.0</v>
      </c>
      <c r="CL829" s="11">
        <v>2410000.0</v>
      </c>
      <c r="CM829" s="11">
        <v>2550000.0</v>
      </c>
      <c r="CN829" s="11">
        <v>2500000.0</v>
      </c>
      <c r="CO829" s="11">
        <v>2340000.0</v>
      </c>
      <c r="CP829" s="11">
        <v>2560000.0</v>
      </c>
      <c r="CQ829" s="11">
        <v>85890.0</v>
      </c>
      <c r="CR829" s="11">
        <v>76740.0</v>
      </c>
      <c r="CS829" s="11">
        <v>85920.0</v>
      </c>
      <c r="CT829" s="11">
        <v>71930.0</v>
      </c>
      <c r="CU829" s="11">
        <v>109590.0</v>
      </c>
      <c r="CV829" s="11">
        <v>512550.0</v>
      </c>
      <c r="CW829" s="11">
        <v>15330.0</v>
      </c>
      <c r="CX829" s="11">
        <v>5490.0</v>
      </c>
      <c r="CY829" s="11">
        <v>58190.0</v>
      </c>
      <c r="CZ829" s="11">
        <v>26350.0</v>
      </c>
      <c r="DA829" s="12"/>
      <c r="DB829" s="11">
        <v>512550.0</v>
      </c>
      <c r="DC829" s="11">
        <v>496750.0</v>
      </c>
      <c r="DD829" s="11">
        <v>406020.0</v>
      </c>
      <c r="DE829" s="11">
        <v>349890.0</v>
      </c>
      <c r="DF829" s="11">
        <v>1030000.0</v>
      </c>
      <c r="DG829" s="11">
        <v>1050000.0</v>
      </c>
      <c r="DH829" s="11">
        <v>688580.0</v>
      </c>
      <c r="DI829" s="11">
        <v>632090.0</v>
      </c>
      <c r="DJ829" s="11">
        <v>747280.0</v>
      </c>
      <c r="DK829" s="11">
        <v>27260.0</v>
      </c>
      <c r="DL829" s="11">
        <v>27460.0</v>
      </c>
      <c r="DM829" s="11">
        <v>38440.0</v>
      </c>
      <c r="DN829" s="11">
        <v>58760.0</v>
      </c>
      <c r="DO829" s="11">
        <v>77490.0</v>
      </c>
      <c r="DP829" s="11">
        <v>306360.0</v>
      </c>
      <c r="DQ829" s="11">
        <v>139540.0</v>
      </c>
      <c r="DR829" s="11">
        <v>61960.0</v>
      </c>
      <c r="DS829" s="11">
        <v>75220.0</v>
      </c>
      <c r="DT829" s="11">
        <v>91790.0</v>
      </c>
      <c r="DU829" s="13"/>
      <c r="DV829" s="12"/>
      <c r="DW829" s="12"/>
      <c r="DX829" s="13"/>
      <c r="DY829" s="13"/>
      <c r="DZ829" s="11">
        <v>1380000.0</v>
      </c>
      <c r="EA829" s="11">
        <v>1500000.0</v>
      </c>
      <c r="EB829" s="11">
        <v>1820000.0</v>
      </c>
      <c r="EC829" s="11">
        <v>1710000.0</v>
      </c>
      <c r="ED829" s="11">
        <v>1810000.0</v>
      </c>
      <c r="EE829" s="14">
        <v>0.054</v>
      </c>
      <c r="EF829" s="14">
        <v>0.182</v>
      </c>
      <c r="EG829" s="14">
        <v>0.5</v>
      </c>
      <c r="EH829" s="14">
        <v>0.102</v>
      </c>
    </row>
    <row r="830">
      <c r="A830" s="9">
        <f t="shared" si="2"/>
        <v>828</v>
      </c>
      <c r="B830" s="22" t="s">
        <v>965</v>
      </c>
      <c r="C830" s="11">
        <v>65000.0</v>
      </c>
      <c r="D830" s="11">
        <v>37990.0</v>
      </c>
      <c r="E830" s="11">
        <v>23050.0</v>
      </c>
      <c r="F830" s="11">
        <v>10060.0</v>
      </c>
      <c r="G830" s="12"/>
      <c r="H830" s="11">
        <v>616.0</v>
      </c>
      <c r="I830" s="11">
        <v>1060.0</v>
      </c>
      <c r="J830" s="11">
        <v>14800.0</v>
      </c>
      <c r="K830" s="11">
        <v>4810.0</v>
      </c>
      <c r="L830" s="11">
        <v>-1270.0</v>
      </c>
      <c r="M830" s="12"/>
      <c r="N830" s="12"/>
      <c r="O830" s="11">
        <v>119700.0</v>
      </c>
      <c r="P830" s="11">
        <v>194060.0</v>
      </c>
      <c r="Q830" s="11">
        <v>114160.0</v>
      </c>
      <c r="R830" s="11">
        <v>78260.0</v>
      </c>
      <c r="S830" s="11">
        <v>42680.0</v>
      </c>
      <c r="T830" s="11">
        <v>80930.0</v>
      </c>
      <c r="U830" s="11">
        <v>115700.0</v>
      </c>
      <c r="V830" s="11">
        <v>84580.0</v>
      </c>
      <c r="W830" s="11">
        <v>62290.0</v>
      </c>
      <c r="X830" s="11">
        <v>29090.0</v>
      </c>
      <c r="Y830" s="11">
        <v>-109800.0</v>
      </c>
      <c r="Z830" s="11">
        <v>-194050.0</v>
      </c>
      <c r="AA830" s="12"/>
      <c r="AB830" s="12"/>
      <c r="AC830" s="12"/>
      <c r="AD830" s="11">
        <v>-116510.0</v>
      </c>
      <c r="AE830" s="11">
        <v>-199470.0</v>
      </c>
      <c r="AF830" s="11">
        <v>-114800.0</v>
      </c>
      <c r="AG830" s="11">
        <v>-78190.0</v>
      </c>
      <c r="AH830" s="11">
        <v>-41910.0</v>
      </c>
      <c r="AI830" s="11">
        <v>-99040.0</v>
      </c>
      <c r="AJ830" s="11">
        <v>-185650.0</v>
      </c>
      <c r="AK830" s="11">
        <v>-114160.0</v>
      </c>
      <c r="AL830" s="11">
        <v>-77640.0</v>
      </c>
      <c r="AM830" s="11">
        <v>-41620.0</v>
      </c>
      <c r="AN830" s="11">
        <v>-116510.0</v>
      </c>
      <c r="AO830" s="11">
        <v>-199470.0</v>
      </c>
      <c r="AP830" s="11">
        <v>-114800.0</v>
      </c>
      <c r="AQ830" s="11">
        <v>-78190.0</v>
      </c>
      <c r="AR830" s="11">
        <v>-41910.0</v>
      </c>
      <c r="AS830" s="11">
        <v>-82420.0</v>
      </c>
      <c r="AT830" s="11">
        <v>-152370.0</v>
      </c>
      <c r="AU830" s="11">
        <v>-85080.0</v>
      </c>
      <c r="AV830" s="11">
        <v>-58710.0</v>
      </c>
      <c r="AW830" s="11">
        <v>-24980.0</v>
      </c>
      <c r="AX830" s="11">
        <v>-698.0</v>
      </c>
      <c r="AY830" s="11">
        <v>-2340.0</v>
      </c>
      <c r="AZ830" s="11">
        <v>-9190.0</v>
      </c>
      <c r="BA830" s="11">
        <v>-2220.0</v>
      </c>
      <c r="BB830" s="11">
        <v>-1820.0</v>
      </c>
      <c r="BC830" s="12"/>
      <c r="BD830" s="12"/>
      <c r="BE830" s="12"/>
      <c r="BF830" s="12"/>
      <c r="BG830" s="12"/>
      <c r="BH830" s="11">
        <v>87820.0</v>
      </c>
      <c r="BI830" s="11">
        <v>172600.0</v>
      </c>
      <c r="BJ830" s="11">
        <v>90920.0</v>
      </c>
      <c r="BK830" s="11">
        <v>65930.0</v>
      </c>
      <c r="BL830" s="11">
        <v>126700.0</v>
      </c>
      <c r="BM830" s="11">
        <v>2960.0</v>
      </c>
      <c r="BN830" s="11">
        <v>1380.0</v>
      </c>
      <c r="BO830" s="12"/>
      <c r="BP830" s="12"/>
      <c r="BQ830" s="12"/>
      <c r="BR830" s="11">
        <v>2210.0</v>
      </c>
      <c r="BS830" s="11">
        <v>2020.0</v>
      </c>
      <c r="BT830" s="12"/>
      <c r="BU830" s="12"/>
      <c r="BV830" s="12"/>
      <c r="BW830" s="11">
        <v>97460.0</v>
      </c>
      <c r="BX830" s="11">
        <v>181120.0</v>
      </c>
      <c r="BY830" s="11">
        <v>94060.0</v>
      </c>
      <c r="BZ830" s="11">
        <v>67430.0</v>
      </c>
      <c r="CA830" s="11">
        <v>127550.0</v>
      </c>
      <c r="CB830" s="11">
        <v>33880.0</v>
      </c>
      <c r="CC830" s="11">
        <v>22270.0</v>
      </c>
      <c r="CD830" s="11">
        <v>24570.0</v>
      </c>
      <c r="CE830" s="11">
        <v>3150.0</v>
      </c>
      <c r="CF830" s="11">
        <v>1730.0</v>
      </c>
      <c r="CG830" s="12"/>
      <c r="CH830" s="12"/>
      <c r="CI830" s="12"/>
      <c r="CJ830" s="12"/>
      <c r="CK830" s="12"/>
      <c r="CL830" s="11">
        <v>132250.0</v>
      </c>
      <c r="CM830" s="11">
        <v>204290.0</v>
      </c>
      <c r="CN830" s="11">
        <v>119540.0</v>
      </c>
      <c r="CO830" s="11">
        <v>70800.0</v>
      </c>
      <c r="CP830" s="11">
        <v>129350.0</v>
      </c>
      <c r="CQ830" s="11">
        <v>4180.0</v>
      </c>
      <c r="CR830" s="11">
        <v>8570.0</v>
      </c>
      <c r="CS830" s="11">
        <v>11480.0</v>
      </c>
      <c r="CT830" s="11">
        <v>6650.0</v>
      </c>
      <c r="CU830" s="11">
        <v>2510.0</v>
      </c>
      <c r="CV830" s="11">
        <v>24590.0</v>
      </c>
      <c r="CW830" s="11">
        <v>2770.0</v>
      </c>
      <c r="CX830" s="12"/>
      <c r="CY830" s="12"/>
      <c r="CZ830" s="12"/>
      <c r="DA830" s="12"/>
      <c r="DB830" s="11">
        <v>24590.0</v>
      </c>
      <c r="DC830" s="11">
        <v>30440.0</v>
      </c>
      <c r="DD830" s="11">
        <v>18550.0</v>
      </c>
      <c r="DE830" s="11">
        <v>9760.0</v>
      </c>
      <c r="DF830" s="11">
        <v>188240.0</v>
      </c>
      <c r="DG830" s="11">
        <v>168370.0</v>
      </c>
      <c r="DH830" s="11">
        <v>31340.0</v>
      </c>
      <c r="DI830" s="11">
        <v>9760.0</v>
      </c>
      <c r="DJ830" s="11">
        <v>4820.0</v>
      </c>
      <c r="DK830" s="11">
        <v>909.0</v>
      </c>
      <c r="DL830" s="11">
        <v>909.0</v>
      </c>
      <c r="DM830" s="11">
        <v>909.0</v>
      </c>
      <c r="DN830" s="12"/>
      <c r="DO830" s="12"/>
      <c r="DP830" s="11">
        <v>150860.0</v>
      </c>
      <c r="DQ830" s="11">
        <v>124320.0</v>
      </c>
      <c r="DR830" s="12"/>
      <c r="DS830" s="12"/>
      <c r="DT830" s="12"/>
      <c r="DU830" s="11">
        <v>3910.0</v>
      </c>
      <c r="DV830" s="11">
        <v>6640.0</v>
      </c>
      <c r="DW830" s="11">
        <v>6640.0</v>
      </c>
      <c r="DX830" s="11">
        <v>6640.0</v>
      </c>
      <c r="DY830" s="11">
        <v>6640.0</v>
      </c>
      <c r="DZ830" s="11">
        <v>-55990.0</v>
      </c>
      <c r="EA830" s="11">
        <v>35920.0</v>
      </c>
      <c r="EB830" s="11">
        <v>88200.0</v>
      </c>
      <c r="EC830" s="11">
        <v>61040.0</v>
      </c>
      <c r="ED830" s="11">
        <v>124530.0</v>
      </c>
      <c r="EE830" s="14">
        <v>0.0</v>
      </c>
      <c r="EF830" s="14">
        <v>0.0</v>
      </c>
      <c r="EG830" s="14">
        <v>-0.39</v>
      </c>
      <c r="EH830" s="14">
        <v>0.057</v>
      </c>
    </row>
    <row r="831">
      <c r="A831" s="9">
        <f t="shared" si="2"/>
        <v>829</v>
      </c>
      <c r="B831" s="10" t="s">
        <v>966</v>
      </c>
      <c r="C831" s="11">
        <v>1070000.0</v>
      </c>
      <c r="D831" s="11">
        <v>978300.0</v>
      </c>
      <c r="E831" s="11">
        <v>1090000.0</v>
      </c>
      <c r="F831" s="11">
        <v>1080000.0</v>
      </c>
      <c r="G831" s="11">
        <v>1030000.0</v>
      </c>
      <c r="H831" s="11">
        <v>960590.0</v>
      </c>
      <c r="I831" s="11">
        <v>978780.0</v>
      </c>
      <c r="J831" s="11">
        <v>405570.0</v>
      </c>
      <c r="K831" s="11">
        <v>396050.0</v>
      </c>
      <c r="L831" s="11">
        <v>375410.0</v>
      </c>
      <c r="M831" s="11">
        <v>307590.0</v>
      </c>
      <c r="N831" s="11">
        <v>280320.0</v>
      </c>
      <c r="O831" s="11">
        <v>379330.0</v>
      </c>
      <c r="P831" s="11">
        <v>377760.0</v>
      </c>
      <c r="Q831" s="11">
        <v>367570.0</v>
      </c>
      <c r="R831" s="11">
        <v>397500.0</v>
      </c>
      <c r="S831" s="11">
        <v>357640.0</v>
      </c>
      <c r="T831" s="11"/>
      <c r="U831" s="11"/>
      <c r="V831" s="11"/>
      <c r="W831" s="11"/>
      <c r="X831" s="11"/>
      <c r="Y831" s="11">
        <v>16720.0</v>
      </c>
      <c r="Z831" s="11">
        <v>-50570.0</v>
      </c>
      <c r="AA831" s="11">
        <v>-36970.0</v>
      </c>
      <c r="AB831" s="12"/>
      <c r="AC831" s="11">
        <v>-83190.0</v>
      </c>
      <c r="AD831" s="11">
        <v>12950.0</v>
      </c>
      <c r="AE831" s="11">
        <v>-53400.0</v>
      </c>
      <c r="AF831" s="11">
        <v>-38560.0</v>
      </c>
      <c r="AG831" s="11">
        <v>-94270.0</v>
      </c>
      <c r="AH831" s="11">
        <v>-83430.0</v>
      </c>
      <c r="AI831" s="11">
        <v>41830.0</v>
      </c>
      <c r="AJ831" s="11">
        <v>33600.0</v>
      </c>
      <c r="AK831" s="11">
        <v>19230.0</v>
      </c>
      <c r="AL831" s="11">
        <v>-76130.0</v>
      </c>
      <c r="AM831" s="11">
        <v>-59930.0</v>
      </c>
      <c r="AN831" s="11">
        <v>9660.0</v>
      </c>
      <c r="AO831" s="11">
        <v>-54380.0</v>
      </c>
      <c r="AP831" s="11">
        <v>-37820.0</v>
      </c>
      <c r="AQ831" s="11">
        <v>-68560.0</v>
      </c>
      <c r="AR831" s="11">
        <v>-56430.0</v>
      </c>
      <c r="AS831" s="11">
        <v>329.0</v>
      </c>
      <c r="AT831" s="11">
        <v>-42990.0</v>
      </c>
      <c r="AU831" s="11">
        <v>39390.0</v>
      </c>
      <c r="AV831" s="11">
        <v>-27550.0</v>
      </c>
      <c r="AW831" s="11">
        <v>9200.0</v>
      </c>
      <c r="AX831" s="11">
        <v>-19910.0</v>
      </c>
      <c r="AY831" s="11">
        <v>-14330.0</v>
      </c>
      <c r="AZ831" s="11">
        <v>-7410.0</v>
      </c>
      <c r="BA831" s="11">
        <v>-8910.0</v>
      </c>
      <c r="BB831" s="11">
        <v>-22480.0</v>
      </c>
      <c r="BC831" s="13"/>
      <c r="BD831" s="13"/>
      <c r="BE831" s="13"/>
      <c r="BF831" s="13"/>
      <c r="BG831" s="13"/>
      <c r="BH831" s="11">
        <v>8990.0</v>
      </c>
      <c r="BI831" s="11">
        <v>11570.0</v>
      </c>
      <c r="BJ831" s="11">
        <v>19940.0</v>
      </c>
      <c r="BK831" s="11">
        <v>10270.0</v>
      </c>
      <c r="BL831" s="11">
        <v>26700.0</v>
      </c>
      <c r="BM831" s="11">
        <v>27630.0</v>
      </c>
      <c r="BN831" s="11"/>
      <c r="BO831" s="11">
        <v>1300.0</v>
      </c>
      <c r="BP831" s="11">
        <v>31430.0</v>
      </c>
      <c r="BQ831" s="11">
        <v>19600.0</v>
      </c>
      <c r="BR831" s="11">
        <v>286370.0</v>
      </c>
      <c r="BS831" s="11">
        <v>318270.0</v>
      </c>
      <c r="BT831" s="11">
        <v>262280.0</v>
      </c>
      <c r="BU831" s="11">
        <v>301890.0</v>
      </c>
      <c r="BV831" s="11">
        <v>244400.0</v>
      </c>
      <c r="BW831" s="11">
        <v>359110.0</v>
      </c>
      <c r="BX831" s="11">
        <v>366300.0</v>
      </c>
      <c r="BY831" s="11">
        <v>298000.0</v>
      </c>
      <c r="BZ831" s="11">
        <v>354310.0</v>
      </c>
      <c r="CA831" s="11">
        <v>322790.0</v>
      </c>
      <c r="CB831" s="11">
        <v>220530.0</v>
      </c>
      <c r="CC831" s="11">
        <v>93690.0</v>
      </c>
      <c r="CD831" s="11">
        <v>100490.0</v>
      </c>
      <c r="CE831" s="11">
        <v>115000.0</v>
      </c>
      <c r="CF831" s="11">
        <v>122000.0</v>
      </c>
      <c r="CG831" s="11">
        <v>9690.0</v>
      </c>
      <c r="CH831" s="11">
        <v>9690.0</v>
      </c>
      <c r="CI831" s="11">
        <v>9690.0</v>
      </c>
      <c r="CJ831" s="11">
        <v>9690.0</v>
      </c>
      <c r="CK831" s="11">
        <v>9690.0</v>
      </c>
      <c r="CL831" s="11">
        <v>637060.0</v>
      </c>
      <c r="CM831" s="11">
        <v>485400.0</v>
      </c>
      <c r="CN831" s="11">
        <v>421910.0</v>
      </c>
      <c r="CO831" s="11">
        <v>497900.0</v>
      </c>
      <c r="CP831" s="11">
        <v>456200.0</v>
      </c>
      <c r="CQ831" s="11">
        <v>59830.0</v>
      </c>
      <c r="CR831" s="11">
        <v>73410.0</v>
      </c>
      <c r="CS831" s="11">
        <v>67680.0</v>
      </c>
      <c r="CT831" s="11">
        <v>120650.0</v>
      </c>
      <c r="CU831" s="11">
        <v>55250.0</v>
      </c>
      <c r="CV831" s="11">
        <v>238110.0</v>
      </c>
      <c r="CW831" s="11">
        <v>31330.0</v>
      </c>
      <c r="CX831" s="13"/>
      <c r="CY831" s="12"/>
      <c r="CZ831" s="12"/>
      <c r="DA831" s="12"/>
      <c r="DB831" s="11">
        <v>238110.0</v>
      </c>
      <c r="DC831" s="11">
        <v>242120.0</v>
      </c>
      <c r="DD831" s="11">
        <v>178160.0</v>
      </c>
      <c r="DE831" s="11">
        <v>186710.0</v>
      </c>
      <c r="DF831" s="11">
        <v>475810.0</v>
      </c>
      <c r="DG831" s="11">
        <v>338000.0</v>
      </c>
      <c r="DH831" s="11">
        <v>224060.0</v>
      </c>
      <c r="DI831" s="11">
        <v>267010.0</v>
      </c>
      <c r="DJ831" s="11">
        <v>178630.0</v>
      </c>
      <c r="DK831" s="11"/>
      <c r="DL831" s="11"/>
      <c r="DM831" s="11"/>
      <c r="DN831" s="11"/>
      <c r="DO831" s="11"/>
      <c r="DP831" s="11">
        <v>182470.0</v>
      </c>
      <c r="DQ831" s="11">
        <v>65000.0</v>
      </c>
      <c r="DR831" s="11">
        <v>15000.0</v>
      </c>
      <c r="DS831" s="11">
        <v>40000.0</v>
      </c>
      <c r="DT831" s="11">
        <v>20000.0</v>
      </c>
      <c r="DU831" s="13"/>
      <c r="DV831" s="12"/>
      <c r="DW831" s="12"/>
      <c r="DX831" s="12"/>
      <c r="DY831" s="12"/>
      <c r="DZ831" s="11">
        <v>161250.0</v>
      </c>
      <c r="EA831" s="11">
        <v>147400.0</v>
      </c>
      <c r="EB831" s="11">
        <v>197850.0</v>
      </c>
      <c r="EC831" s="11">
        <v>230890.0</v>
      </c>
      <c r="ED831" s="11">
        <v>277570.0</v>
      </c>
      <c r="EE831" s="14">
        <v>0.207</v>
      </c>
      <c r="EF831" s="14">
        <v>0.275</v>
      </c>
      <c r="EG831" s="14">
        <v>21.0</v>
      </c>
      <c r="EH831" s="14">
        <v>5.739</v>
      </c>
    </row>
    <row r="832">
      <c r="A832" s="9">
        <f t="shared" si="2"/>
        <v>830</v>
      </c>
      <c r="B832" s="32" t="s">
        <v>967</v>
      </c>
      <c r="C832" s="11">
        <v>2.594E7</v>
      </c>
      <c r="D832" s="11">
        <v>2.401E7</v>
      </c>
      <c r="E832" s="11">
        <v>2.232E7</v>
      </c>
      <c r="F832" s="11">
        <v>2.149E7</v>
      </c>
      <c r="G832" s="11">
        <v>2.287E7</v>
      </c>
      <c r="H832" s="11">
        <v>2.122E7</v>
      </c>
      <c r="I832" s="11">
        <v>1.996E7</v>
      </c>
      <c r="J832" s="11">
        <v>1.76E7</v>
      </c>
      <c r="K832" s="11">
        <v>1.681E7</v>
      </c>
      <c r="L832" s="11">
        <v>1.68E7</v>
      </c>
      <c r="M832" s="11">
        <v>1.557E7</v>
      </c>
      <c r="N832" s="11">
        <v>1.492E7</v>
      </c>
      <c r="O832" s="11">
        <v>1.181E7</v>
      </c>
      <c r="P832" s="11">
        <v>1.103E7</v>
      </c>
      <c r="Q832" s="11">
        <v>1.187E7</v>
      </c>
      <c r="R832" s="11">
        <v>1.17E7</v>
      </c>
      <c r="S832" s="11">
        <v>1.133E7</v>
      </c>
      <c r="T832" s="11">
        <v>5600000.0</v>
      </c>
      <c r="U832" s="11">
        <v>5050000.0</v>
      </c>
      <c r="V832" s="11">
        <v>5280000.0</v>
      </c>
      <c r="W832" s="11">
        <v>5240000.0</v>
      </c>
      <c r="X832" s="11">
        <v>4800000.0</v>
      </c>
      <c r="Y832" s="11">
        <v>4770000.0</v>
      </c>
      <c r="Z832" s="11">
        <v>-2150000.0</v>
      </c>
      <c r="AA832" s="11">
        <v>-2880000.0</v>
      </c>
      <c r="AB832" s="11">
        <v>3280000.0</v>
      </c>
      <c r="AC832" s="11">
        <v>2510000.0</v>
      </c>
      <c r="AD832" s="11">
        <v>5270000.0</v>
      </c>
      <c r="AE832" s="11">
        <v>3680000.0</v>
      </c>
      <c r="AF832" s="11">
        <v>2200000.0</v>
      </c>
      <c r="AG832" s="11">
        <v>3370000.0</v>
      </c>
      <c r="AH832" s="11">
        <v>2790000.0</v>
      </c>
      <c r="AI832" s="11">
        <v>7020000.0</v>
      </c>
      <c r="AJ832" s="11">
        <v>7390000.0</v>
      </c>
      <c r="AK832" s="11">
        <v>6500000.0</v>
      </c>
      <c r="AL832" s="11">
        <v>5370000.0</v>
      </c>
      <c r="AM832" s="11">
        <v>5020000.0</v>
      </c>
      <c r="AN832" s="11">
        <v>4640000.0</v>
      </c>
      <c r="AO832" s="11">
        <v>3150000.0</v>
      </c>
      <c r="AP832" s="11">
        <v>-204100.0</v>
      </c>
      <c r="AQ832" s="11">
        <v>2740000.0</v>
      </c>
      <c r="AR832" s="11">
        <v>2410000.0</v>
      </c>
      <c r="AS832" s="11">
        <v>4840000.0</v>
      </c>
      <c r="AT832" s="11">
        <v>5520000.0</v>
      </c>
      <c r="AU832" s="11">
        <v>5620000.0</v>
      </c>
      <c r="AV832" s="11">
        <v>4850000.0</v>
      </c>
      <c r="AW832" s="11">
        <v>2770000.0</v>
      </c>
      <c r="AX832" s="11">
        <v>-1350000.0</v>
      </c>
      <c r="AY832" s="11">
        <v>-3020000.0</v>
      </c>
      <c r="AZ832" s="11">
        <v>-2160000.0</v>
      </c>
      <c r="BA832" s="11">
        <v>-1090000.0</v>
      </c>
      <c r="BB832" s="11">
        <v>-1630000.0</v>
      </c>
      <c r="BC832" s="11">
        <v>-2410000.0</v>
      </c>
      <c r="BD832" s="11">
        <v>-2310000.0</v>
      </c>
      <c r="BE832" s="11">
        <v>-2190000.0</v>
      </c>
      <c r="BF832" s="11">
        <v>-2160000.0</v>
      </c>
      <c r="BG832" s="11">
        <v>-2130000.0</v>
      </c>
      <c r="BH832" s="11">
        <v>2440000.0</v>
      </c>
      <c r="BI832" s="11">
        <v>7410000.0</v>
      </c>
      <c r="BJ832" s="11">
        <v>8030000.0</v>
      </c>
      <c r="BK832" s="11">
        <v>6040000.0</v>
      </c>
      <c r="BL832" s="11">
        <v>4450000.0</v>
      </c>
      <c r="BM832" s="11">
        <v>5540000.0</v>
      </c>
      <c r="BN832" s="11">
        <v>5780000.0</v>
      </c>
      <c r="BO832" s="11">
        <v>5260000.0</v>
      </c>
      <c r="BP832" s="11">
        <v>4770000.0</v>
      </c>
      <c r="BQ832" s="11">
        <v>4070000.0</v>
      </c>
      <c r="BR832" s="11">
        <v>3190000.0</v>
      </c>
      <c r="BS832" s="11">
        <v>3100000.0</v>
      </c>
      <c r="BT832" s="11">
        <v>4460000.0</v>
      </c>
      <c r="BU832" s="11">
        <v>3560000.0</v>
      </c>
      <c r="BV832" s="11">
        <v>3450000.0</v>
      </c>
      <c r="BW832" s="11">
        <v>1.371E7</v>
      </c>
      <c r="BX832" s="11">
        <v>2.055E7</v>
      </c>
      <c r="BY832" s="11">
        <v>1.92E7</v>
      </c>
      <c r="BZ832" s="11">
        <v>1.51E7</v>
      </c>
      <c r="CA832" s="11">
        <v>1.257E7</v>
      </c>
      <c r="CB832" s="11">
        <v>8410000.0</v>
      </c>
      <c r="CC832" s="11">
        <v>8000000.0</v>
      </c>
      <c r="CD832" s="11">
        <v>8830000.0</v>
      </c>
      <c r="CE832" s="11">
        <v>8250000.0</v>
      </c>
      <c r="CF832" s="11">
        <v>8050000.0</v>
      </c>
      <c r="CG832" s="11">
        <v>3680000.0</v>
      </c>
      <c r="CH832" s="11">
        <v>1370000.0</v>
      </c>
      <c r="CI832" s="11">
        <v>4370000.0</v>
      </c>
      <c r="CJ832" s="11">
        <v>3970000.0</v>
      </c>
      <c r="CK832" s="11">
        <v>4040000.0</v>
      </c>
      <c r="CL832" s="11">
        <v>3.929E7</v>
      </c>
      <c r="CM832" s="11">
        <v>4.391E7</v>
      </c>
      <c r="CN832" s="11">
        <v>4.498E7</v>
      </c>
      <c r="CO832" s="11">
        <v>3.881E7</v>
      </c>
      <c r="CP832" s="11">
        <v>3.557E7</v>
      </c>
      <c r="CQ832" s="11">
        <v>1410000.0</v>
      </c>
      <c r="CR832" s="11">
        <v>1210000.0</v>
      </c>
      <c r="CS832" s="11">
        <v>1410000.0</v>
      </c>
      <c r="CT832" s="11">
        <v>1350000.0</v>
      </c>
      <c r="CU832" s="11">
        <v>1340000.0</v>
      </c>
      <c r="CV832" s="11">
        <v>1.178E7</v>
      </c>
      <c r="CW832" s="11">
        <v>1620000.0</v>
      </c>
      <c r="CX832" s="11">
        <v>498900.0</v>
      </c>
      <c r="CY832" s="11">
        <v>2700000.0</v>
      </c>
      <c r="CZ832" s="11">
        <v>1300000.0</v>
      </c>
      <c r="DA832" s="12"/>
      <c r="DB832" s="11">
        <v>1.178E7</v>
      </c>
      <c r="DC832" s="11">
        <v>1.189E7</v>
      </c>
      <c r="DD832" s="11">
        <v>1.454E7</v>
      </c>
      <c r="DE832" s="11">
        <v>1.099E7</v>
      </c>
      <c r="DF832" s="11">
        <v>3.659E7</v>
      </c>
      <c r="DG832" s="11">
        <v>3.3E7</v>
      </c>
      <c r="DH832" s="11">
        <v>3.331E7</v>
      </c>
      <c r="DI832" s="11">
        <v>2.473E7</v>
      </c>
      <c r="DJ832" s="11">
        <v>2.098E7</v>
      </c>
      <c r="DK832" s="11">
        <v>2050000.0</v>
      </c>
      <c r="DL832" s="11">
        <v>2020000.0</v>
      </c>
      <c r="DM832" s="11">
        <v>5680000.0</v>
      </c>
      <c r="DN832" s="11">
        <v>5210000.0</v>
      </c>
      <c r="DO832" s="11">
        <v>3650000.0</v>
      </c>
      <c r="DP832" s="11">
        <v>1.43E7</v>
      </c>
      <c r="DQ832" s="11">
        <v>9200000.0</v>
      </c>
      <c r="DR832" s="11">
        <v>9940000.0</v>
      </c>
      <c r="DS832" s="11">
        <v>8370000.0</v>
      </c>
      <c r="DT832" s="11">
        <v>7970000.0</v>
      </c>
      <c r="DU832" s="12"/>
      <c r="DV832" s="12"/>
      <c r="DW832" s="12"/>
      <c r="DX832" s="12"/>
      <c r="DY832" s="12"/>
      <c r="DZ832" s="11">
        <v>2610000.0</v>
      </c>
      <c r="EA832" s="11">
        <v>9830000.0</v>
      </c>
      <c r="EB832" s="11">
        <v>1.159E7</v>
      </c>
      <c r="EC832" s="11">
        <v>1.401E7</v>
      </c>
      <c r="ED832" s="11">
        <v>1.457E7</v>
      </c>
      <c r="EE832" s="33">
        <v>0.019</v>
      </c>
      <c r="EF832" s="33">
        <v>0.064</v>
      </c>
      <c r="EG832" s="33">
        <v>0.182</v>
      </c>
      <c r="EH832" s="33">
        <v>0.103</v>
      </c>
    </row>
    <row r="833">
      <c r="A833" s="9">
        <f t="shared" si="2"/>
        <v>831</v>
      </c>
      <c r="B833" s="10" t="s">
        <v>968</v>
      </c>
      <c r="C833" s="15">
        <v>207880.0</v>
      </c>
      <c r="D833" s="15">
        <v>162710.0</v>
      </c>
      <c r="E833" s="15">
        <v>171400.0</v>
      </c>
      <c r="F833" s="15">
        <v>129390.0</v>
      </c>
      <c r="G833" s="15">
        <v>121310.0</v>
      </c>
      <c r="H833" s="15">
        <v>111790.0</v>
      </c>
      <c r="I833" s="15">
        <v>100310.0</v>
      </c>
      <c r="J833" s="15">
        <v>14340.0</v>
      </c>
      <c r="K833" s="15">
        <v>26840.0</v>
      </c>
      <c r="L833" s="15">
        <v>25710.0</v>
      </c>
      <c r="M833" s="15">
        <v>22280.0</v>
      </c>
      <c r="N833" s="15">
        <v>18140.0</v>
      </c>
      <c r="O833" s="15">
        <v>20270.0</v>
      </c>
      <c r="P833" s="15">
        <v>15660.0</v>
      </c>
      <c r="Q833" s="15">
        <v>13670.0</v>
      </c>
      <c r="R833" s="15">
        <v>13090.0</v>
      </c>
      <c r="S833" s="15">
        <v>13560.0</v>
      </c>
      <c r="T833" s="15"/>
      <c r="U833" s="15"/>
      <c r="V833" s="15"/>
      <c r="W833" s="15"/>
      <c r="X833" s="15"/>
      <c r="Y833" s="15">
        <v>-8640.0</v>
      </c>
      <c r="Z833" s="15">
        <v>16250.0</v>
      </c>
      <c r="AA833" s="15">
        <v>11860.0</v>
      </c>
      <c r="AB833" s="12"/>
      <c r="AC833" s="15"/>
      <c r="AD833" s="15">
        <v>-6560.0</v>
      </c>
      <c r="AE833" s="15">
        <v>13480.0</v>
      </c>
      <c r="AF833" s="15">
        <v>10630.0</v>
      </c>
      <c r="AG833" s="15">
        <v>13330.0</v>
      </c>
      <c r="AH833" s="15">
        <v>11060.0</v>
      </c>
      <c r="AI833" s="15">
        <v>2700.0</v>
      </c>
      <c r="AJ833" s="15">
        <v>18460.0</v>
      </c>
      <c r="AK833" s="15">
        <v>18510.0</v>
      </c>
      <c r="AL833" s="15">
        <v>14530.0</v>
      </c>
      <c r="AM833" s="15">
        <v>8770.0</v>
      </c>
      <c r="AN833" s="15">
        <v>-5990.0</v>
      </c>
      <c r="AO833" s="15">
        <v>20150.0</v>
      </c>
      <c r="AP833" s="15">
        <v>6600.0</v>
      </c>
      <c r="AQ833" s="15">
        <v>8060.0</v>
      </c>
      <c r="AR833" s="15">
        <v>7080.0</v>
      </c>
      <c r="AS833" s="15">
        <v>1650.0</v>
      </c>
      <c r="AT833" s="15">
        <v>18400.0</v>
      </c>
      <c r="AU833" s="15">
        <v>18480.0</v>
      </c>
      <c r="AV833" s="15">
        <v>14300.0</v>
      </c>
      <c r="AW833" s="15">
        <v>7700.0</v>
      </c>
      <c r="AX833" s="15">
        <v>-16260.0</v>
      </c>
      <c r="AY833" s="15">
        <v>-26980.0</v>
      </c>
      <c r="AZ833" s="15">
        <v>-12900.0</v>
      </c>
      <c r="BA833" s="15">
        <v>-31350.0</v>
      </c>
      <c r="BB833" s="15">
        <v>-34640.0</v>
      </c>
      <c r="BC833" s="15">
        <v>-5830.0</v>
      </c>
      <c r="BD833" s="15">
        <v>-4530.0</v>
      </c>
      <c r="BE833" s="15">
        <v>-3720.0</v>
      </c>
      <c r="BF833" s="15">
        <v>-3460.0</v>
      </c>
      <c r="BG833" s="15">
        <v>-3170.0</v>
      </c>
      <c r="BH833" s="15">
        <v>616.0</v>
      </c>
      <c r="BI833" s="15">
        <v>609.0</v>
      </c>
      <c r="BJ833" s="15">
        <v>492.0</v>
      </c>
      <c r="BK833" s="15">
        <v>38.0</v>
      </c>
      <c r="BL833" s="15">
        <v>39.0</v>
      </c>
      <c r="BM833" s="15">
        <v>19260.0</v>
      </c>
      <c r="BN833" s="15">
        <v>17290.0</v>
      </c>
      <c r="BO833" s="15">
        <v>11520.0</v>
      </c>
      <c r="BP833" s="15">
        <v>12110.0</v>
      </c>
      <c r="BQ833" s="15">
        <v>7420.0</v>
      </c>
      <c r="BR833" s="12"/>
      <c r="BS833" s="12"/>
      <c r="BT833" s="12"/>
      <c r="BU833" s="12"/>
      <c r="BV833" s="12"/>
      <c r="BW833" s="15">
        <v>35070.0</v>
      </c>
      <c r="BX833" s="15">
        <v>31040.0</v>
      </c>
      <c r="BY833" s="15">
        <v>23120.0</v>
      </c>
      <c r="BZ833" s="15">
        <v>18500.0</v>
      </c>
      <c r="CA833" s="15">
        <v>13760.0</v>
      </c>
      <c r="CB833" s="15">
        <v>248110.0</v>
      </c>
      <c r="CC833" s="15">
        <v>225680.0</v>
      </c>
      <c r="CD833" s="15">
        <v>188230.0</v>
      </c>
      <c r="CE833" s="15">
        <v>177100.0</v>
      </c>
      <c r="CF833" s="15">
        <v>225020.0</v>
      </c>
      <c r="CG833" s="15">
        <v>1840.0</v>
      </c>
      <c r="CH833" s="15">
        <v>1430.0</v>
      </c>
      <c r="CI833" s="15">
        <v>876.0</v>
      </c>
      <c r="CJ833" s="15">
        <v>680.0</v>
      </c>
      <c r="CK833" s="15">
        <v>680.0</v>
      </c>
      <c r="CL833" s="15">
        <v>403110.0</v>
      </c>
      <c r="CM833" s="15">
        <v>425200.0</v>
      </c>
      <c r="CN833" s="15">
        <v>339030.0</v>
      </c>
      <c r="CO833" s="15">
        <v>305450.0</v>
      </c>
      <c r="CP833" s="15">
        <v>269530.0</v>
      </c>
      <c r="CQ833" s="15">
        <v>19470.0</v>
      </c>
      <c r="CR833" s="15">
        <v>16220.0</v>
      </c>
      <c r="CS833" s="15">
        <v>15140.0</v>
      </c>
      <c r="CT833" s="15">
        <v>14130.0</v>
      </c>
      <c r="CU833" s="15">
        <v>12450.0</v>
      </c>
      <c r="CV833" s="15">
        <v>31660.0</v>
      </c>
      <c r="CW833" s="15"/>
      <c r="CX833" s="13"/>
      <c r="CY833" s="13"/>
      <c r="CZ833" s="13"/>
      <c r="DA833" s="12"/>
      <c r="DB833" s="15">
        <v>31660.0</v>
      </c>
      <c r="DC833" s="15">
        <v>27070.0</v>
      </c>
      <c r="DD833" s="15">
        <v>23610.0</v>
      </c>
      <c r="DE833" s="15">
        <v>23750.0</v>
      </c>
      <c r="DF833" s="15">
        <v>170610.0</v>
      </c>
      <c r="DG833" s="15">
        <v>195250.0</v>
      </c>
      <c r="DH833" s="15">
        <v>191430.0</v>
      </c>
      <c r="DI833" s="15">
        <v>166720.0</v>
      </c>
      <c r="DJ833" s="15">
        <v>135970.0</v>
      </c>
      <c r="DK833" s="15">
        <v>98670.0</v>
      </c>
      <c r="DL833" s="15">
        <v>155400.0</v>
      </c>
      <c r="DM833" s="15">
        <v>122200.0</v>
      </c>
      <c r="DN833" s="15">
        <v>105750.0</v>
      </c>
      <c r="DO833" s="15">
        <v>25940.0</v>
      </c>
      <c r="DP833" s="15">
        <v>105890.0</v>
      </c>
      <c r="DQ833" s="15">
        <v>76970.0</v>
      </c>
      <c r="DR833" s="15">
        <v>102080.0</v>
      </c>
      <c r="DS833" s="15">
        <v>88160.0</v>
      </c>
      <c r="DT833" s="15">
        <v>89240.0</v>
      </c>
      <c r="DU833" s="15">
        <v>10810.0</v>
      </c>
      <c r="DV833" s="15">
        <v>10810.0</v>
      </c>
      <c r="DW833" s="15">
        <v>10810.0</v>
      </c>
      <c r="DX833" s="15">
        <v>12230.0</v>
      </c>
      <c r="DY833" s="15">
        <v>12280.0</v>
      </c>
      <c r="DZ833" s="15">
        <v>217080.0</v>
      </c>
      <c r="EA833" s="15">
        <v>229380.0</v>
      </c>
      <c r="EB833" s="15">
        <v>147020.0</v>
      </c>
      <c r="EC833" s="15">
        <v>138730.0</v>
      </c>
      <c r="ED833" s="15">
        <v>133550.0</v>
      </c>
      <c r="EE833" s="17">
        <v>0.072</v>
      </c>
      <c r="EF833" s="17">
        <v>0.241</v>
      </c>
      <c r="EG833" s="17">
        <v>-1.0</v>
      </c>
      <c r="EH833" s="17">
        <v>-0.125</v>
      </c>
    </row>
    <row r="834">
      <c r="A834" s="9">
        <f t="shared" si="2"/>
        <v>832</v>
      </c>
      <c r="B834" s="10" t="s">
        <v>969</v>
      </c>
      <c r="C834" s="11">
        <v>6.797E7</v>
      </c>
      <c r="D834" s="11">
        <v>6.458E7</v>
      </c>
      <c r="E834" s="11">
        <v>5.981E7</v>
      </c>
      <c r="F834" s="11">
        <v>5.376E7</v>
      </c>
      <c r="G834" s="11">
        <v>4.996E7</v>
      </c>
      <c r="H834" s="11">
        <v>4.725E7</v>
      </c>
      <c r="I834" s="11">
        <v>4.054E7</v>
      </c>
      <c r="J834" s="11">
        <v>9430000.0</v>
      </c>
      <c r="K834" s="11">
        <v>8740000.0</v>
      </c>
      <c r="L834" s="11">
        <v>7420000.0</v>
      </c>
      <c r="M834" s="11">
        <v>6060000.0</v>
      </c>
      <c r="N834" s="11">
        <v>5400000.0</v>
      </c>
      <c r="O834" s="11">
        <v>1300000.0</v>
      </c>
      <c r="P834" s="11">
        <v>1300000.0</v>
      </c>
      <c r="Q834" s="11">
        <v>1200000.0</v>
      </c>
      <c r="R834" s="11">
        <v>988000.0</v>
      </c>
      <c r="S834" s="11">
        <v>817000.0</v>
      </c>
      <c r="T834" s="11">
        <v>1300000.0</v>
      </c>
      <c r="U834" s="11">
        <v>1300000.0</v>
      </c>
      <c r="V834" s="11">
        <v>1200000.0</v>
      </c>
      <c r="W834" s="11">
        <v>988000.0</v>
      </c>
      <c r="X834" s="11">
        <v>817000.0</v>
      </c>
      <c r="Y834" s="12"/>
      <c r="Z834" s="11">
        <v>7230000.0</v>
      </c>
      <c r="AA834" s="12"/>
      <c r="AB834" s="11">
        <v>5100000.0</v>
      </c>
      <c r="AC834" s="12"/>
      <c r="AD834" s="11">
        <v>7240000.0</v>
      </c>
      <c r="AE834" s="11">
        <v>5840000.0</v>
      </c>
      <c r="AF834" s="11">
        <v>5250000.0</v>
      </c>
      <c r="AG834" s="11">
        <v>4890000.0</v>
      </c>
      <c r="AH834" s="11">
        <v>4300000.0</v>
      </c>
      <c r="AI834" s="11">
        <v>9320000.0</v>
      </c>
      <c r="AJ834" s="11">
        <v>8600000.0</v>
      </c>
      <c r="AK834" s="11">
        <v>7420000.0</v>
      </c>
      <c r="AL834" s="11">
        <v>6240000.0</v>
      </c>
      <c r="AM834" s="11">
        <v>5530000.0</v>
      </c>
      <c r="AN834" s="11">
        <v>6230000.0</v>
      </c>
      <c r="AO834" s="11">
        <v>5050000.0</v>
      </c>
      <c r="AP834" s="11">
        <v>1890000.0</v>
      </c>
      <c r="AQ834" s="11">
        <v>3750000.0</v>
      </c>
      <c r="AR834" s="11">
        <v>3130000.0</v>
      </c>
      <c r="AS834" s="11">
        <v>7310000.0</v>
      </c>
      <c r="AT834" s="11">
        <v>3140000.0</v>
      </c>
      <c r="AU834" s="11">
        <v>6480000.0</v>
      </c>
      <c r="AV834" s="11">
        <v>5190000.0</v>
      </c>
      <c r="AW834" s="11">
        <v>5100000.0</v>
      </c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1">
        <v>1510000.0</v>
      </c>
      <c r="BI834" s="11">
        <v>772000.0</v>
      </c>
      <c r="BJ834" s="11">
        <v>2860000.0</v>
      </c>
      <c r="BK834" s="11">
        <v>1840000.0</v>
      </c>
      <c r="BL834" s="11">
        <v>1090000.0</v>
      </c>
      <c r="BM834" s="11">
        <v>1.143E7</v>
      </c>
      <c r="BN834" s="11">
        <v>1.192E7</v>
      </c>
      <c r="BO834" s="11">
        <v>1.026E7</v>
      </c>
      <c r="BP834" s="11">
        <v>8200000.0</v>
      </c>
      <c r="BQ834" s="11">
        <v>7250000.0</v>
      </c>
      <c r="BR834" s="11">
        <v>3620000.0</v>
      </c>
      <c r="BS834" s="11">
        <v>3000000.0</v>
      </c>
      <c r="BT834" s="11">
        <v>2880000.0</v>
      </c>
      <c r="BU834" s="11">
        <v>4670000.0</v>
      </c>
      <c r="BV834" s="11">
        <v>4820000.0</v>
      </c>
      <c r="BW834" s="11">
        <v>1.71E7</v>
      </c>
      <c r="BX834" s="11">
        <v>1.61E7</v>
      </c>
      <c r="BY834" s="11">
        <v>1.751E7</v>
      </c>
      <c r="BZ834" s="11">
        <v>1.511E7</v>
      </c>
      <c r="CA834" s="11">
        <v>1.457E7</v>
      </c>
      <c r="CB834" s="11">
        <v>7590000.0</v>
      </c>
      <c r="CC834" s="11">
        <v>6120000.0</v>
      </c>
      <c r="CD834" s="11">
        <v>5780000.0</v>
      </c>
      <c r="CE834" s="11">
        <v>5550000.0</v>
      </c>
      <c r="CF834" s="11">
        <v>5390000.0</v>
      </c>
      <c r="CG834" s="11">
        <v>1.06E7</v>
      </c>
      <c r="CH834" s="11">
        <v>1.077E7</v>
      </c>
      <c r="CI834" s="11">
        <v>1.081E7</v>
      </c>
      <c r="CJ834" s="11">
        <v>1.076E7</v>
      </c>
      <c r="CK834" s="11">
        <v>1.07E7</v>
      </c>
      <c r="CL834" s="11">
        <v>4.753E7</v>
      </c>
      <c r="CM834" s="11">
        <v>4.488E7</v>
      </c>
      <c r="CN834" s="11">
        <v>4.662E7</v>
      </c>
      <c r="CO834" s="11">
        <v>4.781E7</v>
      </c>
      <c r="CP834" s="11">
        <v>4.93E7</v>
      </c>
      <c r="CQ834" s="11">
        <v>1280000.0</v>
      </c>
      <c r="CR834" s="11">
        <v>2400000.0</v>
      </c>
      <c r="CS834" s="11">
        <v>1470000.0</v>
      </c>
      <c r="CT834" s="11">
        <v>1650000.0</v>
      </c>
      <c r="CU834" s="11">
        <v>1750000.0</v>
      </c>
      <c r="CV834" s="11">
        <v>1.397E7</v>
      </c>
      <c r="CW834" s="11">
        <v>245000.0</v>
      </c>
      <c r="CX834" s="13"/>
      <c r="CY834" s="13"/>
      <c r="CZ834" s="13"/>
      <c r="DA834" s="13"/>
      <c r="DB834" s="11">
        <v>1.397E7</v>
      </c>
      <c r="DC834" s="11">
        <v>1.44E7</v>
      </c>
      <c r="DD834" s="11">
        <v>1.291E7</v>
      </c>
      <c r="DE834" s="11">
        <v>1.254E7</v>
      </c>
      <c r="DF834" s="11">
        <v>4.436E7</v>
      </c>
      <c r="DG834" s="11">
        <v>4.343E7</v>
      </c>
      <c r="DH834" s="11">
        <v>4.74E7</v>
      </c>
      <c r="DI834" s="11">
        <v>4.62E7</v>
      </c>
      <c r="DJ834" s="11">
        <v>4.621E7</v>
      </c>
      <c r="DK834" s="11">
        <v>1800000.0</v>
      </c>
      <c r="DL834" s="11">
        <v>1300000.0</v>
      </c>
      <c r="DM834" s="11">
        <v>1400000.0</v>
      </c>
      <c r="DN834" s="11">
        <v>2600000.0</v>
      </c>
      <c r="DO834" s="11">
        <v>2400000.0</v>
      </c>
      <c r="DP834" s="11">
        <v>1.226E7</v>
      </c>
      <c r="DQ834" s="11">
        <v>1.26E7</v>
      </c>
      <c r="DR834" s="11">
        <v>1.351E7</v>
      </c>
      <c r="DS834" s="11">
        <v>1.428E7</v>
      </c>
      <c r="DT834" s="11">
        <v>1.431E7</v>
      </c>
      <c r="DU834" s="13"/>
      <c r="DV834" s="13"/>
      <c r="DW834" s="13"/>
      <c r="DX834" s="13"/>
      <c r="DY834" s="13"/>
      <c r="DZ834" s="11">
        <v>3130000.0</v>
      </c>
      <c r="EA834" s="11">
        <v>1390000.0</v>
      </c>
      <c r="EB834" s="12"/>
      <c r="EC834" s="11">
        <v>1510000.0</v>
      </c>
      <c r="ED834" s="11">
        <v>3100000.0</v>
      </c>
      <c r="EE834" s="14">
        <v>0.019</v>
      </c>
      <c r="EF834" s="14">
        <v>0.049</v>
      </c>
      <c r="EG834" s="14">
        <v>0.012</v>
      </c>
      <c r="EH834" s="14">
        <v>0.06</v>
      </c>
    </row>
    <row r="835">
      <c r="A835" s="9">
        <f t="shared" si="2"/>
        <v>833</v>
      </c>
      <c r="B835" s="10" t="s">
        <v>970</v>
      </c>
      <c r="C835" s="15"/>
      <c r="D835" s="15"/>
      <c r="E835" s="15">
        <v>355870.0</v>
      </c>
      <c r="F835" s="15">
        <v>284980.0</v>
      </c>
      <c r="G835" s="15">
        <v>145260.0</v>
      </c>
      <c r="H835" s="15">
        <v>147790.0</v>
      </c>
      <c r="I835" s="15">
        <v>174350.0</v>
      </c>
      <c r="J835" s="15">
        <v>183380.0</v>
      </c>
      <c r="K835" s="15">
        <v>239050.0</v>
      </c>
      <c r="L835" s="15">
        <v>58220.0</v>
      </c>
      <c r="M835" s="15">
        <v>54250.0</v>
      </c>
      <c r="N835" s="15">
        <v>2610.0</v>
      </c>
      <c r="O835" s="15">
        <v>45280.0</v>
      </c>
      <c r="P835" s="15">
        <v>39800.0</v>
      </c>
      <c r="Q835" s="15">
        <v>36910.0</v>
      </c>
      <c r="R835" s="15">
        <v>30930.0</v>
      </c>
      <c r="S835" s="15">
        <v>36950.0</v>
      </c>
      <c r="T835" s="15"/>
      <c r="U835" s="15"/>
      <c r="V835" s="15"/>
      <c r="W835" s="15"/>
      <c r="X835" s="15"/>
      <c r="Y835" s="15">
        <v>39970.0</v>
      </c>
      <c r="Z835" s="15">
        <v>143490.0</v>
      </c>
      <c r="AA835" s="15">
        <v>-19790.0</v>
      </c>
      <c r="AB835" s="15">
        <v>-51780.0</v>
      </c>
      <c r="AC835" s="15">
        <v>-34880.0</v>
      </c>
      <c r="AD835" s="15">
        <v>198700.0</v>
      </c>
      <c r="AE835" s="15">
        <v>137590.0</v>
      </c>
      <c r="AF835" s="15">
        <v>37680.0</v>
      </c>
      <c r="AG835" s="15">
        <v>9950.0</v>
      </c>
      <c r="AH835" s="15">
        <v>194930.0</v>
      </c>
      <c r="AI835" s="15">
        <v>49580.0</v>
      </c>
      <c r="AJ835" s="15">
        <v>165040.0</v>
      </c>
      <c r="AK835" s="15">
        <v>36340.0</v>
      </c>
      <c r="AL835" s="15">
        <v>45280.0</v>
      </c>
      <c r="AM835" s="15">
        <v>-12110.0</v>
      </c>
      <c r="AN835" s="15">
        <v>177080.0</v>
      </c>
      <c r="AO835" s="15">
        <v>126340.0</v>
      </c>
      <c r="AP835" s="15">
        <v>27310.0</v>
      </c>
      <c r="AQ835" s="15">
        <v>7990.0</v>
      </c>
      <c r="AR835" s="15">
        <v>180810.0</v>
      </c>
      <c r="AS835" s="15">
        <v>47300.0</v>
      </c>
      <c r="AT835" s="15">
        <v>-12610.0</v>
      </c>
      <c r="AU835" s="15">
        <v>58720.0</v>
      </c>
      <c r="AV835" s="15">
        <v>-14870.0</v>
      </c>
      <c r="AW835" s="15">
        <v>-26860.0</v>
      </c>
      <c r="AX835" s="15">
        <v>-43670.0</v>
      </c>
      <c r="AY835" s="15">
        <v>-43110.0</v>
      </c>
      <c r="AZ835" s="15">
        <v>-25480.0</v>
      </c>
      <c r="BA835" s="15">
        <v>-12440.0</v>
      </c>
      <c r="BB835" s="15">
        <v>-1800.0</v>
      </c>
      <c r="BC835" s="15">
        <v>-41000.0</v>
      </c>
      <c r="BD835" s="15">
        <v>-12970.0</v>
      </c>
      <c r="BE835" s="15">
        <v>-32040.0</v>
      </c>
      <c r="BF835" s="15">
        <v>-80670.0</v>
      </c>
      <c r="BG835" s="13"/>
      <c r="BH835" s="15">
        <v>110670.0</v>
      </c>
      <c r="BI835" s="15">
        <v>143830.0</v>
      </c>
      <c r="BJ835" s="15">
        <v>54860.0</v>
      </c>
      <c r="BK835" s="15">
        <v>192260.0</v>
      </c>
      <c r="BL835" s="15">
        <v>362380.0</v>
      </c>
      <c r="BM835" s="15">
        <v>121520.0</v>
      </c>
      <c r="BN835" s="15">
        <v>90130.0</v>
      </c>
      <c r="BO835" s="15">
        <v>53460.0</v>
      </c>
      <c r="BP835" s="15">
        <v>27710.0</v>
      </c>
      <c r="BQ835" s="15">
        <v>52610.0</v>
      </c>
      <c r="BR835" s="15">
        <v>202740.0</v>
      </c>
      <c r="BS835" s="15">
        <v>138330.0</v>
      </c>
      <c r="BT835" s="15">
        <v>62780.0</v>
      </c>
      <c r="BU835" s="15">
        <v>44910.0</v>
      </c>
      <c r="BV835" s="15">
        <v>33850.0</v>
      </c>
      <c r="BW835" s="15">
        <v>440830.0</v>
      </c>
      <c r="BX835" s="15">
        <v>393000.0</v>
      </c>
      <c r="BY835" s="15">
        <v>171100.0</v>
      </c>
      <c r="BZ835" s="15">
        <v>264880.0</v>
      </c>
      <c r="CA835" s="15">
        <v>453300.0</v>
      </c>
      <c r="CB835" s="15">
        <v>131090.0</v>
      </c>
      <c r="CC835" s="15">
        <v>118880.0</v>
      </c>
      <c r="CD835" s="15">
        <v>68180.0</v>
      </c>
      <c r="CE835" s="15">
        <v>33040.0</v>
      </c>
      <c r="CF835" s="15">
        <v>39850.0</v>
      </c>
      <c r="CG835" s="15"/>
      <c r="CH835" s="15"/>
      <c r="CI835" s="15"/>
      <c r="CJ835" s="15"/>
      <c r="CK835" s="15"/>
      <c r="CL835" s="15">
        <v>1420000.0</v>
      </c>
      <c r="CM835" s="15">
        <v>1200000.0</v>
      </c>
      <c r="CN835" s="15">
        <v>900880.0</v>
      </c>
      <c r="CO835" s="15">
        <v>872340.0</v>
      </c>
      <c r="CP835" s="15">
        <v>1030000.0</v>
      </c>
      <c r="CQ835" s="15">
        <v>63960.0</v>
      </c>
      <c r="CR835" s="15">
        <v>48520.0</v>
      </c>
      <c r="CS835" s="15">
        <v>62450.0</v>
      </c>
      <c r="CT835" s="15">
        <v>34330.0</v>
      </c>
      <c r="CU835" s="15">
        <v>54390.0</v>
      </c>
      <c r="CV835" s="15">
        <v>226620.0</v>
      </c>
      <c r="CW835" s="15">
        <v>56950.0</v>
      </c>
      <c r="CX835" s="15">
        <v>43330.0</v>
      </c>
      <c r="CY835" s="15">
        <v>55000.0</v>
      </c>
      <c r="CZ835" s="15">
        <v>35090.0</v>
      </c>
      <c r="DA835" s="15">
        <v>35490.0</v>
      </c>
      <c r="DB835" s="15">
        <v>226620.0</v>
      </c>
      <c r="DC835" s="15">
        <v>203150.0</v>
      </c>
      <c r="DD835" s="15">
        <v>157160.0</v>
      </c>
      <c r="DE835" s="15">
        <v>112040.0</v>
      </c>
      <c r="DF835" s="15">
        <v>535530.0</v>
      </c>
      <c r="DG835" s="15">
        <v>444770.0</v>
      </c>
      <c r="DH835" s="15">
        <v>233410.0</v>
      </c>
      <c r="DI835" s="15">
        <v>184850.0</v>
      </c>
      <c r="DJ835" s="15">
        <v>278190.0</v>
      </c>
      <c r="DK835" s="15">
        <v>560100.0</v>
      </c>
      <c r="DL835" s="15">
        <v>579520.0</v>
      </c>
      <c r="DM835" s="15">
        <v>510100.0</v>
      </c>
      <c r="DN835" s="15">
        <v>417550.0</v>
      </c>
      <c r="DO835" s="15">
        <v>434820.0</v>
      </c>
      <c r="DP835" s="15">
        <v>230190.0</v>
      </c>
      <c r="DQ835" s="15">
        <v>205930.0</v>
      </c>
      <c r="DR835" s="15">
        <v>55560.0</v>
      </c>
      <c r="DS835" s="15">
        <v>48230.0</v>
      </c>
      <c r="DT835" s="15">
        <v>59180.0</v>
      </c>
      <c r="DU835" s="13"/>
      <c r="DV835" s="12"/>
      <c r="DW835" s="12"/>
      <c r="DX835" s="15"/>
      <c r="DY835" s="15"/>
      <c r="DZ835" s="15">
        <v>880530.0</v>
      </c>
      <c r="EA835" s="15">
        <v>755860.0</v>
      </c>
      <c r="EB835" s="15">
        <v>667470.0</v>
      </c>
      <c r="EC835" s="15">
        <v>687490.0</v>
      </c>
      <c r="ED835" s="15">
        <v>752110.0</v>
      </c>
      <c r="EE835" s="17"/>
      <c r="EF835" s="17"/>
      <c r="EG835" s="17"/>
      <c r="EH835" s="17"/>
    </row>
    <row r="836">
      <c r="A836" s="9">
        <f t="shared" si="2"/>
        <v>834</v>
      </c>
      <c r="B836" s="25" t="s">
        <v>971</v>
      </c>
      <c r="C836" s="15">
        <v>592450.0</v>
      </c>
      <c r="D836" s="15">
        <v>590310.0</v>
      </c>
      <c r="E836" s="15">
        <v>557560.0</v>
      </c>
      <c r="F836" s="15">
        <v>524230.0</v>
      </c>
      <c r="G836" s="15">
        <v>469780.0</v>
      </c>
      <c r="H836" s="15">
        <v>541100.0</v>
      </c>
      <c r="I836" s="15">
        <v>539260.0</v>
      </c>
      <c r="J836" s="15">
        <v>81000.0</v>
      </c>
      <c r="K836" s="15">
        <v>78340.0</v>
      </c>
      <c r="L836" s="15">
        <v>79210.0</v>
      </c>
      <c r="M836" s="15">
        <v>70960.0</v>
      </c>
      <c r="N836" s="15">
        <v>65410.0</v>
      </c>
      <c r="O836" s="15">
        <v>73730.0</v>
      </c>
      <c r="P836" s="15">
        <v>64750.0</v>
      </c>
      <c r="Q836" s="15">
        <v>61810.0</v>
      </c>
      <c r="R836" s="15">
        <v>56740.0</v>
      </c>
      <c r="S836" s="15">
        <v>46950.0</v>
      </c>
      <c r="T836" s="15">
        <v>11470.0</v>
      </c>
      <c r="U836" s="15">
        <v>12800.0</v>
      </c>
      <c r="V836" s="15">
        <v>9470.0</v>
      </c>
      <c r="W836" s="15">
        <v>7230.0</v>
      </c>
      <c r="X836" s="15">
        <v>6990.0</v>
      </c>
      <c r="Y836" s="15">
        <v>7080.0</v>
      </c>
      <c r="Z836" s="15">
        <v>16490.0</v>
      </c>
      <c r="AA836" s="15">
        <v>-3070.0</v>
      </c>
      <c r="AB836" s="15">
        <v>-32800.0</v>
      </c>
      <c r="AC836" s="15">
        <v>21570.0</v>
      </c>
      <c r="AD836" s="15">
        <v>3640.0</v>
      </c>
      <c r="AE836" s="15">
        <v>16400.0</v>
      </c>
      <c r="AF836" s="15">
        <v>14180.0</v>
      </c>
      <c r="AG836" s="15">
        <v>-18850.0</v>
      </c>
      <c r="AH836" s="15">
        <v>21470.0</v>
      </c>
      <c r="AI836" s="15">
        <v>21880.0</v>
      </c>
      <c r="AJ836" s="15">
        <v>25560.0</v>
      </c>
      <c r="AK836" s="15">
        <v>28080.0</v>
      </c>
      <c r="AL836" s="15">
        <v>23280.0</v>
      </c>
      <c r="AM836" s="15">
        <v>25550.0</v>
      </c>
      <c r="AN836" s="15">
        <v>2120.0</v>
      </c>
      <c r="AO836" s="15">
        <v>25670.0</v>
      </c>
      <c r="AP836" s="15">
        <v>10050.0</v>
      </c>
      <c r="AQ836" s="15">
        <v>-11640.0</v>
      </c>
      <c r="AR836" s="15">
        <v>13540.0</v>
      </c>
      <c r="AS836" s="15">
        <v>16020.0</v>
      </c>
      <c r="AT836" s="15">
        <v>19780.0</v>
      </c>
      <c r="AU836" s="15">
        <v>29840.0</v>
      </c>
      <c r="AV836" s="15">
        <v>22160.0</v>
      </c>
      <c r="AW836" s="15">
        <v>26160.0</v>
      </c>
      <c r="AX836" s="15">
        <v>-44730.0</v>
      </c>
      <c r="AY836" s="15">
        <v>-33590.0</v>
      </c>
      <c r="AZ836" s="15">
        <v>-23000.0</v>
      </c>
      <c r="BA836" s="15">
        <v>-41720.0</v>
      </c>
      <c r="BB836" s="15">
        <v>-17510.0</v>
      </c>
      <c r="BC836" s="15"/>
      <c r="BD836" s="15"/>
      <c r="BE836" s="15"/>
      <c r="BF836" s="15"/>
      <c r="BG836" s="15"/>
      <c r="BH836" s="15">
        <v>1080.0</v>
      </c>
      <c r="BI836" s="15">
        <v>2900.0</v>
      </c>
      <c r="BJ836" s="15">
        <v>6000.0</v>
      </c>
      <c r="BK836" s="15">
        <v>9890.0</v>
      </c>
      <c r="BL836" s="15">
        <v>14130.0</v>
      </c>
      <c r="BM836" s="15">
        <v>71570.0</v>
      </c>
      <c r="BN836" s="15">
        <v>53880.0</v>
      </c>
      <c r="BO836" s="15">
        <v>45900.0</v>
      </c>
      <c r="BP836" s="15">
        <v>46410.0</v>
      </c>
      <c r="BQ836" s="15">
        <v>46630.0</v>
      </c>
      <c r="BR836" s="15">
        <v>54130.0</v>
      </c>
      <c r="BS836" s="15">
        <v>31820.0</v>
      </c>
      <c r="BT836" s="15">
        <v>23620.0</v>
      </c>
      <c r="BU836" s="15">
        <v>25540.0</v>
      </c>
      <c r="BV836" s="15">
        <v>25030.0</v>
      </c>
      <c r="BW836" s="15">
        <v>133040.0</v>
      </c>
      <c r="BX836" s="15">
        <v>97060.0</v>
      </c>
      <c r="BY836" s="15">
        <v>81280.0</v>
      </c>
      <c r="BZ836" s="15">
        <v>86300.0</v>
      </c>
      <c r="CA836" s="15">
        <v>93200.0</v>
      </c>
      <c r="CB836" s="15">
        <v>200030.0</v>
      </c>
      <c r="CC836" s="15">
        <v>159620.0</v>
      </c>
      <c r="CD836" s="15">
        <v>133220.0</v>
      </c>
      <c r="CE836" s="15">
        <v>120880.0</v>
      </c>
      <c r="CF836" s="15">
        <v>84470.0</v>
      </c>
      <c r="CG836" s="15">
        <v>76740.0</v>
      </c>
      <c r="CH836" s="15">
        <v>54510.0</v>
      </c>
      <c r="CI836" s="15">
        <v>54510.0</v>
      </c>
      <c r="CJ836" s="15">
        <v>49620.0</v>
      </c>
      <c r="CK836" s="15">
        <v>49620.0</v>
      </c>
      <c r="CL836" s="15">
        <v>531770.0</v>
      </c>
      <c r="CM836" s="15">
        <v>410450.0</v>
      </c>
      <c r="CN836" s="15">
        <v>367030.0</v>
      </c>
      <c r="CO836" s="15">
        <v>349110.0</v>
      </c>
      <c r="CP836" s="15">
        <v>346470.0</v>
      </c>
      <c r="CQ836" s="15">
        <v>53970.0</v>
      </c>
      <c r="CR836" s="15">
        <v>34670.0</v>
      </c>
      <c r="CS836" s="15">
        <v>24530.0</v>
      </c>
      <c r="CT836" s="15">
        <v>30900.0</v>
      </c>
      <c r="CU836" s="15">
        <v>35010.0</v>
      </c>
      <c r="CV836" s="15">
        <v>137090.0</v>
      </c>
      <c r="CW836" s="15">
        <v>52000.0</v>
      </c>
      <c r="CX836" s="15">
        <v>27000.0</v>
      </c>
      <c r="CY836" s="15">
        <v>3000.0</v>
      </c>
      <c r="CZ836" s="15">
        <v>3500.0</v>
      </c>
      <c r="DA836" s="15"/>
      <c r="DB836" s="15">
        <v>137090.0</v>
      </c>
      <c r="DC836" s="15">
        <v>88380.0</v>
      </c>
      <c r="DD836" s="15">
        <v>51450.0</v>
      </c>
      <c r="DE836" s="15">
        <v>56340.0</v>
      </c>
      <c r="DF836" s="15">
        <v>261630.0</v>
      </c>
      <c r="DG836" s="15">
        <v>157890.0</v>
      </c>
      <c r="DH836" s="15">
        <v>138880.0</v>
      </c>
      <c r="DI836" s="15">
        <v>136760.0</v>
      </c>
      <c r="DJ836" s="15">
        <v>126360.0</v>
      </c>
      <c r="DK836" s="15">
        <v>61490.0</v>
      </c>
      <c r="DL836" s="15">
        <v>66500.0</v>
      </c>
      <c r="DM836" s="15">
        <v>63600.0</v>
      </c>
      <c r="DN836" s="15">
        <v>62700.0</v>
      </c>
      <c r="DO836" s="15">
        <v>61500.0</v>
      </c>
      <c r="DP836" s="15">
        <v>90730.0</v>
      </c>
      <c r="DQ836" s="15">
        <v>41000.0</v>
      </c>
      <c r="DR836" s="15">
        <v>46030.0</v>
      </c>
      <c r="DS836" s="15">
        <v>49780.0</v>
      </c>
      <c r="DT836" s="15">
        <v>34170.0</v>
      </c>
      <c r="DU836" s="13"/>
      <c r="DV836" s="12"/>
      <c r="DW836" s="12"/>
      <c r="DX836" s="15"/>
      <c r="DY836" s="15"/>
      <c r="DZ836" s="15">
        <v>270140.0</v>
      </c>
      <c r="EA836" s="15">
        <v>252560.0</v>
      </c>
      <c r="EB836" s="15">
        <v>226610.0</v>
      </c>
      <c r="EC836" s="15">
        <v>210730.0</v>
      </c>
      <c r="ED836" s="15">
        <v>218430.0</v>
      </c>
      <c r="EE836" s="23">
        <v>0.0</v>
      </c>
      <c r="EF836" s="23">
        <v>0.108</v>
      </c>
      <c r="EG836" s="23">
        <v>1.0</v>
      </c>
      <c r="EH836" s="23">
        <v>-0.042</v>
      </c>
    </row>
    <row r="837">
      <c r="A837" s="9">
        <f t="shared" si="2"/>
        <v>835</v>
      </c>
      <c r="B837" s="22" t="s">
        <v>972</v>
      </c>
      <c r="C837" s="11">
        <v>446040.0</v>
      </c>
      <c r="D837" s="11">
        <v>347970.0</v>
      </c>
      <c r="E837" s="11">
        <v>347340.0</v>
      </c>
      <c r="F837" s="11">
        <v>343370.0</v>
      </c>
      <c r="G837" s="11">
        <v>331380.0</v>
      </c>
      <c r="H837" s="11">
        <v>301850.0</v>
      </c>
      <c r="I837" s="11">
        <v>293460.0</v>
      </c>
      <c r="J837" s="11">
        <v>174810.0</v>
      </c>
      <c r="K837" s="11">
        <v>174890.0</v>
      </c>
      <c r="L837" s="11">
        <v>162140.0</v>
      </c>
      <c r="M837" s="11">
        <v>137780.0</v>
      </c>
      <c r="N837" s="11">
        <v>135520.0</v>
      </c>
      <c r="O837" s="11">
        <v>123150.0</v>
      </c>
      <c r="P837" s="11">
        <v>110400.0</v>
      </c>
      <c r="Q837" s="11">
        <v>109370.0</v>
      </c>
      <c r="R837" s="11">
        <v>86780.0</v>
      </c>
      <c r="S837" s="11">
        <v>86490.0</v>
      </c>
      <c r="T837" s="11">
        <v>20020.0</v>
      </c>
      <c r="U837" s="11">
        <v>17070.0</v>
      </c>
      <c r="V837" s="11">
        <v>18130.0</v>
      </c>
      <c r="W837" s="11">
        <v>11400.0</v>
      </c>
      <c r="X837" s="11">
        <v>14360.0</v>
      </c>
      <c r="Y837" s="11">
        <v>48470.0</v>
      </c>
      <c r="Z837" s="12"/>
      <c r="AA837" s="11">
        <v>49410.0</v>
      </c>
      <c r="AB837" s="11">
        <v>48310.0</v>
      </c>
      <c r="AC837" s="11">
        <v>27000.0</v>
      </c>
      <c r="AD837" s="11">
        <v>28630.0</v>
      </c>
      <c r="AE837" s="11">
        <v>49550.0</v>
      </c>
      <c r="AF837" s="11">
        <v>39640.0</v>
      </c>
      <c r="AG837" s="11">
        <v>28290.0</v>
      </c>
      <c r="AH837" s="11">
        <v>-11780.0</v>
      </c>
      <c r="AI837" s="11">
        <v>65040.0</v>
      </c>
      <c r="AJ837" s="11">
        <v>78350.0</v>
      </c>
      <c r="AK837" s="11">
        <v>71910.0</v>
      </c>
      <c r="AL837" s="11">
        <v>69270.0</v>
      </c>
      <c r="AM837" s="11">
        <v>69430.0</v>
      </c>
      <c r="AN837" s="11">
        <v>31670.0</v>
      </c>
      <c r="AO837" s="11">
        <v>40520.0</v>
      </c>
      <c r="AP837" s="11">
        <v>123390.0</v>
      </c>
      <c r="AQ837" s="11">
        <v>26760.0</v>
      </c>
      <c r="AR837" s="11">
        <v>-14750.0</v>
      </c>
      <c r="AS837" s="11">
        <v>80380.0</v>
      </c>
      <c r="AT837" s="11">
        <v>61190.0</v>
      </c>
      <c r="AU837" s="11">
        <v>54780.0</v>
      </c>
      <c r="AV837" s="11">
        <v>49640.0</v>
      </c>
      <c r="AW837" s="11">
        <v>21760.0</v>
      </c>
      <c r="AX837" s="11">
        <v>-22060.0</v>
      </c>
      <c r="AY837" s="11">
        <v>-20130.0</v>
      </c>
      <c r="AZ837" s="11">
        <v>-17540.0</v>
      </c>
      <c r="BA837" s="11">
        <v>-7400.0</v>
      </c>
      <c r="BB837" s="11">
        <v>-13150.0</v>
      </c>
      <c r="BC837" s="12"/>
      <c r="BD837" s="12"/>
      <c r="BE837" s="12"/>
      <c r="BF837" s="12"/>
      <c r="BG837" s="12"/>
      <c r="BH837" s="11">
        <v>93120.0</v>
      </c>
      <c r="BI837" s="11">
        <v>113500.0</v>
      </c>
      <c r="BJ837" s="11">
        <v>76390.0</v>
      </c>
      <c r="BK837" s="11">
        <v>51280.0</v>
      </c>
      <c r="BL837" s="11">
        <v>28700.0</v>
      </c>
      <c r="BM837" s="11">
        <v>43530.0</v>
      </c>
      <c r="BN837" s="11">
        <v>43750.0</v>
      </c>
      <c r="BO837" s="11">
        <v>40260.0</v>
      </c>
      <c r="BP837" s="11">
        <v>36820.0</v>
      </c>
      <c r="BQ837" s="11">
        <v>37290.0</v>
      </c>
      <c r="BR837" s="11">
        <v>29180.0</v>
      </c>
      <c r="BS837" s="11">
        <v>33020.0</v>
      </c>
      <c r="BT837" s="11">
        <v>26080.0</v>
      </c>
      <c r="BU837" s="11">
        <v>17640.0</v>
      </c>
      <c r="BV837" s="11">
        <v>15620.0</v>
      </c>
      <c r="BW837" s="11">
        <v>172910.0</v>
      </c>
      <c r="BX837" s="11">
        <v>195420.0</v>
      </c>
      <c r="BY837" s="11">
        <v>147850.0</v>
      </c>
      <c r="BZ837" s="11">
        <v>110820.0</v>
      </c>
      <c r="CA837" s="11">
        <v>90100.0</v>
      </c>
      <c r="CB837" s="11">
        <v>117430.0</v>
      </c>
      <c r="CC837" s="11">
        <v>107890.0</v>
      </c>
      <c r="CD837" s="11">
        <v>93000.0</v>
      </c>
      <c r="CE837" s="11">
        <v>94190.0</v>
      </c>
      <c r="CF837" s="11">
        <v>86520.0</v>
      </c>
      <c r="CG837" s="11">
        <v>15710.0</v>
      </c>
      <c r="CH837" s="11">
        <v>15710.0</v>
      </c>
      <c r="CI837" s="11">
        <v>15710.0</v>
      </c>
      <c r="CJ837" s="11">
        <v>15710.0</v>
      </c>
      <c r="CK837" s="11">
        <v>15710.0</v>
      </c>
      <c r="CL837" s="11">
        <v>405920.0</v>
      </c>
      <c r="CM837" s="11">
        <v>439830.0</v>
      </c>
      <c r="CN837" s="11">
        <v>383860.0</v>
      </c>
      <c r="CO837" s="11">
        <v>255900.0</v>
      </c>
      <c r="CP837" s="11">
        <v>242380.0</v>
      </c>
      <c r="CQ837" s="11">
        <v>18610.0</v>
      </c>
      <c r="CR837" s="11">
        <v>17960.0</v>
      </c>
      <c r="CS837" s="11">
        <v>17460.0</v>
      </c>
      <c r="CT837" s="11">
        <v>18940.0</v>
      </c>
      <c r="CU837" s="11">
        <v>11660.0</v>
      </c>
      <c r="CV837" s="11">
        <v>66110.0</v>
      </c>
      <c r="CW837" s="11">
        <v>193.0</v>
      </c>
      <c r="CX837" s="12"/>
      <c r="CY837" s="13"/>
      <c r="CZ837" s="13"/>
      <c r="DA837" s="12"/>
      <c r="DB837" s="11">
        <v>66110.0</v>
      </c>
      <c r="DC837" s="11">
        <v>52760.0</v>
      </c>
      <c r="DD837" s="11">
        <v>46750.0</v>
      </c>
      <c r="DE837" s="11">
        <v>43840.0</v>
      </c>
      <c r="DF837" s="11">
        <v>291320.0</v>
      </c>
      <c r="DG837" s="11">
        <v>368830.0</v>
      </c>
      <c r="DH837" s="11">
        <v>360570.0</v>
      </c>
      <c r="DI837" s="11">
        <v>362410.0</v>
      </c>
      <c r="DJ837" s="11">
        <v>427670.0</v>
      </c>
      <c r="DK837" s="12"/>
      <c r="DL837" s="12"/>
      <c r="DM837" s="12"/>
      <c r="DN837" s="12"/>
      <c r="DO837" s="11">
        <v>74.0</v>
      </c>
      <c r="DP837" s="11">
        <v>184740.0</v>
      </c>
      <c r="DQ837" s="11">
        <v>263710.0</v>
      </c>
      <c r="DR837" s="11">
        <v>265390.0</v>
      </c>
      <c r="DS837" s="11">
        <v>274460.0</v>
      </c>
      <c r="DT837" s="11">
        <v>349860.0</v>
      </c>
      <c r="DU837" s="13"/>
      <c r="DV837" s="13"/>
      <c r="DW837" s="13"/>
      <c r="DX837" s="12"/>
      <c r="DY837" s="12"/>
      <c r="DZ837" s="11">
        <v>114600.0</v>
      </c>
      <c r="EA837" s="11">
        <v>71000.0</v>
      </c>
      <c r="EB837" s="11">
        <v>23290.0</v>
      </c>
      <c r="EC837" s="11">
        <v>-106520.0</v>
      </c>
      <c r="ED837" s="11">
        <v>-185290.0</v>
      </c>
      <c r="EE837" s="14">
        <v>0.093</v>
      </c>
      <c r="EF837" s="14">
        <v>0.256</v>
      </c>
      <c r="EG837" s="14">
        <v>0.667</v>
      </c>
      <c r="EH837" s="14">
        <v>0.367</v>
      </c>
    </row>
    <row r="838">
      <c r="A838" s="9">
        <f t="shared" si="2"/>
        <v>836</v>
      </c>
      <c r="B838" s="10" t="s">
        <v>973</v>
      </c>
      <c r="C838" s="15">
        <v>448390.0</v>
      </c>
      <c r="D838" s="15">
        <v>418940.0</v>
      </c>
      <c r="E838" s="15">
        <v>442330.0</v>
      </c>
      <c r="F838" s="15">
        <v>435830.0</v>
      </c>
      <c r="G838" s="15">
        <v>401700.0</v>
      </c>
      <c r="H838" s="15">
        <v>380120.0</v>
      </c>
      <c r="I838" s="15">
        <v>355060.0</v>
      </c>
      <c r="J838" s="15">
        <v>78890.0</v>
      </c>
      <c r="K838" s="15">
        <v>78630.0</v>
      </c>
      <c r="L838" s="15">
        <v>78130.0</v>
      </c>
      <c r="M838" s="15">
        <v>77300.0</v>
      </c>
      <c r="N838" s="15">
        <v>78380.0</v>
      </c>
      <c r="O838" s="15">
        <v>36710.0</v>
      </c>
      <c r="P838" s="15">
        <v>50260.0</v>
      </c>
      <c r="Q838" s="15">
        <v>38520.0</v>
      </c>
      <c r="R838" s="15">
        <v>34660.0</v>
      </c>
      <c r="S838" s="15">
        <v>29000.0</v>
      </c>
      <c r="T838" s="15"/>
      <c r="U838" s="15"/>
      <c r="V838" s="15"/>
      <c r="W838" s="15"/>
      <c r="X838" s="15"/>
      <c r="Y838" s="15">
        <v>44050.0</v>
      </c>
      <c r="Z838" s="15">
        <v>-9180.0</v>
      </c>
      <c r="AA838" s="15">
        <v>7620.0</v>
      </c>
      <c r="AB838" s="15">
        <v>35280.0</v>
      </c>
      <c r="AC838" s="15">
        <v>49250.0</v>
      </c>
      <c r="AD838" s="15">
        <v>34580.0</v>
      </c>
      <c r="AE838" s="15">
        <v>-12200.0</v>
      </c>
      <c r="AF838" s="15">
        <v>9120.0</v>
      </c>
      <c r="AG838" s="15">
        <v>31120.0</v>
      </c>
      <c r="AH838" s="15">
        <v>44910.0</v>
      </c>
      <c r="AI838" s="15">
        <v>60040.0</v>
      </c>
      <c r="AJ838" s="15">
        <v>46190.0</v>
      </c>
      <c r="AK838" s="15">
        <v>56630.0</v>
      </c>
      <c r="AL838" s="15">
        <v>58690.0</v>
      </c>
      <c r="AM838" s="15">
        <v>62640.0</v>
      </c>
      <c r="AN838" s="15">
        <v>24900.0</v>
      </c>
      <c r="AO838" s="15">
        <v>-8990.0</v>
      </c>
      <c r="AP838" s="15">
        <v>8620.0</v>
      </c>
      <c r="AQ838" s="15">
        <v>18340.0</v>
      </c>
      <c r="AR838" s="15">
        <v>24050.0</v>
      </c>
      <c r="AS838" s="15">
        <v>36140.0</v>
      </c>
      <c r="AT838" s="15">
        <v>45440.0</v>
      </c>
      <c r="AU838" s="15">
        <v>53550.0</v>
      </c>
      <c r="AV838" s="15">
        <v>49300.0</v>
      </c>
      <c r="AW838" s="15">
        <v>57970.0</v>
      </c>
      <c r="AX838" s="15">
        <v>-15440.0</v>
      </c>
      <c r="AY838" s="15">
        <v>-27800.0</v>
      </c>
      <c r="AZ838" s="15">
        <v>-36240.0</v>
      </c>
      <c r="BA838" s="15">
        <v>-37410.0</v>
      </c>
      <c r="BB838" s="15">
        <v>-30840.0</v>
      </c>
      <c r="BC838" s="13"/>
      <c r="BD838" s="13"/>
      <c r="BE838" s="13"/>
      <c r="BF838" s="13"/>
      <c r="BG838" s="13"/>
      <c r="BH838" s="15">
        <v>8070.0</v>
      </c>
      <c r="BI838" s="15">
        <v>6970.0</v>
      </c>
      <c r="BJ838" s="15">
        <v>8550.0</v>
      </c>
      <c r="BK838" s="15">
        <v>2290.0</v>
      </c>
      <c r="BL838" s="15">
        <v>6230.0</v>
      </c>
      <c r="BM838" s="15">
        <v>8880.0</v>
      </c>
      <c r="BN838" s="15">
        <v>9600.0</v>
      </c>
      <c r="BO838" s="15">
        <v>7210.0</v>
      </c>
      <c r="BP838" s="15">
        <v>6920.0</v>
      </c>
      <c r="BQ838" s="15">
        <v>6190.0</v>
      </c>
      <c r="BR838" s="15">
        <v>2010.0</v>
      </c>
      <c r="BS838" s="15">
        <v>2480.0</v>
      </c>
      <c r="BT838" s="15">
        <v>2290.0</v>
      </c>
      <c r="BU838" s="15">
        <v>2110.0</v>
      </c>
      <c r="BV838" s="15">
        <v>1900.0</v>
      </c>
      <c r="BW838" s="15">
        <v>24680.0</v>
      </c>
      <c r="BX838" s="15">
        <v>22050.0</v>
      </c>
      <c r="BY838" s="15">
        <v>20730.0</v>
      </c>
      <c r="BZ838" s="15">
        <v>35890.0</v>
      </c>
      <c r="CA838" s="15">
        <v>38620.0</v>
      </c>
      <c r="CB838" s="15">
        <v>284170.0</v>
      </c>
      <c r="CC838" s="15">
        <v>104160.0</v>
      </c>
      <c r="CD838" s="15">
        <v>102830.0</v>
      </c>
      <c r="CE838" s="15">
        <v>118530.0</v>
      </c>
      <c r="CF838" s="15">
        <v>102510.0</v>
      </c>
      <c r="CG838" s="15">
        <v>248670.0</v>
      </c>
      <c r="CH838" s="15">
        <v>248670.0</v>
      </c>
      <c r="CI838" s="15">
        <v>248670.0</v>
      </c>
      <c r="CJ838" s="15">
        <v>248670.0</v>
      </c>
      <c r="CK838" s="15">
        <v>248670.0</v>
      </c>
      <c r="CL838" s="15">
        <v>624750.0</v>
      </c>
      <c r="CM838" s="15">
        <v>477540.0</v>
      </c>
      <c r="CN838" s="15">
        <v>442710.0</v>
      </c>
      <c r="CO838" s="15">
        <v>471310.0</v>
      </c>
      <c r="CP838" s="15">
        <v>461030.0</v>
      </c>
      <c r="CQ838" s="15">
        <v>5630.0</v>
      </c>
      <c r="CR838" s="15">
        <v>9560.0</v>
      </c>
      <c r="CS838" s="15">
        <v>12310.0</v>
      </c>
      <c r="CT838" s="15">
        <v>11640.0</v>
      </c>
      <c r="CU838" s="15">
        <v>11050.0</v>
      </c>
      <c r="CV838" s="15">
        <v>73960.0</v>
      </c>
      <c r="CW838" s="15">
        <v>16410.0</v>
      </c>
      <c r="CX838" s="15"/>
      <c r="CY838" s="13"/>
      <c r="CZ838" s="13"/>
      <c r="DA838" s="12"/>
      <c r="DB838" s="15">
        <v>73960.0</v>
      </c>
      <c r="DC838" s="15">
        <v>82900.0</v>
      </c>
      <c r="DD838" s="15">
        <v>47330.0</v>
      </c>
      <c r="DE838" s="15">
        <v>45320.0</v>
      </c>
      <c r="DF838" s="15">
        <v>379190.0</v>
      </c>
      <c r="DG838" s="15">
        <v>212310.0</v>
      </c>
      <c r="DH838" s="15">
        <v>167760.0</v>
      </c>
      <c r="DI838" s="15">
        <v>206120.0</v>
      </c>
      <c r="DJ838" s="15">
        <v>216400.0</v>
      </c>
      <c r="DK838" s="12">
        <v>360.0</v>
      </c>
      <c r="DL838" s="12"/>
      <c r="DM838" s="15"/>
      <c r="DN838" s="12"/>
      <c r="DO838" s="13"/>
      <c r="DP838" s="15">
        <v>294580.0</v>
      </c>
      <c r="DQ838" s="15">
        <v>74120.0</v>
      </c>
      <c r="DR838" s="15">
        <v>93180.0</v>
      </c>
      <c r="DS838" s="15">
        <v>104320.0</v>
      </c>
      <c r="DT838" s="15">
        <v>123460.0</v>
      </c>
      <c r="DU838" s="13"/>
      <c r="DV838" s="12"/>
      <c r="DW838" s="15"/>
      <c r="DX838" s="15"/>
      <c r="DY838" s="15"/>
      <c r="DZ838" s="15">
        <v>245570.0</v>
      </c>
      <c r="EA838" s="15">
        <v>265240.0</v>
      </c>
      <c r="EB838" s="15">
        <v>274950.0</v>
      </c>
      <c r="EC838" s="15">
        <v>265180.0</v>
      </c>
      <c r="ED838" s="15">
        <v>244630.0</v>
      </c>
      <c r="EE838" s="17">
        <v>0.026</v>
      </c>
      <c r="EF838" s="17">
        <v>0.034</v>
      </c>
      <c r="EG838" s="17">
        <v>3.0</v>
      </c>
      <c r="EH838" s="17">
        <v>0.959</v>
      </c>
    </row>
    <row r="839">
      <c r="A839" s="9">
        <f t="shared" si="2"/>
        <v>837</v>
      </c>
      <c r="B839" s="22" t="s">
        <v>974</v>
      </c>
      <c r="C839" s="12"/>
      <c r="D839" s="12"/>
      <c r="E839" s="12"/>
      <c r="F839" s="12"/>
      <c r="G839" s="12"/>
      <c r="H839" s="12"/>
      <c r="I839" s="12"/>
      <c r="J839" s="11">
        <v>-289.0</v>
      </c>
      <c r="K839" s="11">
        <v>-89.0</v>
      </c>
      <c r="L839" s="11">
        <v>-43.0</v>
      </c>
      <c r="M839" s="11">
        <v>-16.0</v>
      </c>
      <c r="N839" s="12"/>
      <c r="O839" s="11">
        <v>40750.0</v>
      </c>
      <c r="P839" s="11">
        <v>17850.0</v>
      </c>
      <c r="Q839" s="11">
        <v>5810.0</v>
      </c>
      <c r="R839" s="11">
        <v>3390.0</v>
      </c>
      <c r="S839" s="12"/>
      <c r="T839" s="11">
        <v>30660.0</v>
      </c>
      <c r="U839" s="11">
        <v>11080.0</v>
      </c>
      <c r="V839" s="11">
        <v>3560.0</v>
      </c>
      <c r="W839" s="11">
        <v>2030.0</v>
      </c>
      <c r="X839" s="12"/>
      <c r="Y839" s="12"/>
      <c r="Z839" s="12"/>
      <c r="AA839" s="12"/>
      <c r="AB839" s="12"/>
      <c r="AC839" s="12"/>
      <c r="AD839" s="11">
        <v>-40110.0</v>
      </c>
      <c r="AE839" s="11">
        <v>-17540.0</v>
      </c>
      <c r="AF839" s="11">
        <v>-5730.0</v>
      </c>
      <c r="AG839" s="11">
        <v>-3410.0</v>
      </c>
      <c r="AH839" s="12"/>
      <c r="AI839" s="11">
        <v>-40750.0</v>
      </c>
      <c r="AJ839" s="11">
        <v>-17850.0</v>
      </c>
      <c r="AK839" s="11">
        <v>-5810.0</v>
      </c>
      <c r="AL839" s="11">
        <v>-3390.0</v>
      </c>
      <c r="AM839" s="12"/>
      <c r="AN839" s="11">
        <v>-40130.0</v>
      </c>
      <c r="AO839" s="11">
        <v>-17620.0</v>
      </c>
      <c r="AP839" s="11">
        <v>-5800.0</v>
      </c>
      <c r="AQ839" s="11">
        <v>-3430.0</v>
      </c>
      <c r="AR839" s="12"/>
      <c r="AS839" s="11">
        <v>-38750.0</v>
      </c>
      <c r="AT839" s="11">
        <v>-15270.0</v>
      </c>
      <c r="AU839" s="11">
        <v>-5780.0</v>
      </c>
      <c r="AV839" s="11">
        <v>-2370.0</v>
      </c>
      <c r="AW839" s="12"/>
      <c r="AX839" s="11">
        <v>-1420.0</v>
      </c>
      <c r="AY839" s="11">
        <v>-614.0</v>
      </c>
      <c r="AZ839" s="11">
        <v>-36.0</v>
      </c>
      <c r="BA839" s="11">
        <v>-232.0</v>
      </c>
      <c r="BB839" s="12"/>
      <c r="BC839" s="12"/>
      <c r="BD839" s="12"/>
      <c r="BE839" s="12"/>
      <c r="BF839" s="12"/>
      <c r="BG839" s="12"/>
      <c r="BH839" s="11">
        <v>50790.0</v>
      </c>
      <c r="BI839" s="11">
        <v>80910.0</v>
      </c>
      <c r="BJ839" s="11">
        <v>24580.0</v>
      </c>
      <c r="BK839" s="11">
        <v>1730.0</v>
      </c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1">
        <v>52840.0</v>
      </c>
      <c r="BX839" s="11">
        <v>82170.0</v>
      </c>
      <c r="BY839" s="11">
        <v>25690.0</v>
      </c>
      <c r="BZ839" s="11">
        <v>1810.0</v>
      </c>
      <c r="CA839" s="12"/>
      <c r="CB839" s="11">
        <v>2200.0</v>
      </c>
      <c r="CC839" s="11">
        <v>590.0</v>
      </c>
      <c r="CD839" s="11">
        <v>232.0</v>
      </c>
      <c r="CE839" s="11">
        <v>215.0</v>
      </c>
      <c r="CF839" s="12"/>
      <c r="CG839" s="12"/>
      <c r="CH839" s="12"/>
      <c r="CI839" s="12"/>
      <c r="CJ839" s="12"/>
      <c r="CK839" s="12"/>
      <c r="CL839" s="11">
        <v>55660.0</v>
      </c>
      <c r="CM839" s="11">
        <v>82910.0</v>
      </c>
      <c r="CN839" s="11">
        <v>26170.0</v>
      </c>
      <c r="CO839" s="11">
        <v>2030.0</v>
      </c>
      <c r="CP839" s="12"/>
      <c r="CQ839" s="12"/>
      <c r="CR839" s="11">
        <v>1170.0</v>
      </c>
      <c r="CS839" s="11">
        <v>1110.0</v>
      </c>
      <c r="CT839" s="11">
        <v>341.0</v>
      </c>
      <c r="CU839" s="12"/>
      <c r="CV839" s="11">
        <v>3560.0</v>
      </c>
      <c r="CW839" s="11">
        <v>504.0</v>
      </c>
      <c r="CX839" s="12"/>
      <c r="CY839" s="12"/>
      <c r="CZ839" s="12"/>
      <c r="DA839" s="12"/>
      <c r="DB839" s="11">
        <v>3560.0</v>
      </c>
      <c r="DC839" s="11">
        <v>2690.0</v>
      </c>
      <c r="DD839" s="11">
        <v>1710.0</v>
      </c>
      <c r="DE839" s="11">
        <v>920.0</v>
      </c>
      <c r="DF839" s="11">
        <v>13370.0</v>
      </c>
      <c r="DG839" s="11">
        <v>2690.0</v>
      </c>
      <c r="DH839" s="11">
        <v>1710.0</v>
      </c>
      <c r="DI839" s="11">
        <v>920.0</v>
      </c>
      <c r="DJ839" s="12"/>
      <c r="DK839" s="11">
        <v>622.0</v>
      </c>
      <c r="DL839" s="11">
        <v>146.0</v>
      </c>
      <c r="DM839" s="12"/>
      <c r="DN839" s="12"/>
      <c r="DO839" s="12"/>
      <c r="DP839" s="11">
        <v>9810.0</v>
      </c>
      <c r="DQ839" s="12"/>
      <c r="DR839" s="12"/>
      <c r="DS839" s="12"/>
      <c r="DT839" s="12"/>
      <c r="DU839" s="13"/>
      <c r="DV839" s="12"/>
      <c r="DW839" s="11">
        <v>33060.0</v>
      </c>
      <c r="DX839" s="11">
        <v>4360.0</v>
      </c>
      <c r="DY839" s="13"/>
      <c r="DZ839" s="11">
        <v>42290.0</v>
      </c>
      <c r="EA839" s="11">
        <v>80230.0</v>
      </c>
      <c r="EB839" s="11">
        <v>24460.0</v>
      </c>
      <c r="EC839" s="11">
        <v>1110.0</v>
      </c>
      <c r="ED839" s="12"/>
      <c r="EE839" s="23"/>
      <c r="EF839" s="23"/>
      <c r="EG839" s="14">
        <v>0.271</v>
      </c>
      <c r="EH839" s="14">
        <v>0.083</v>
      </c>
    </row>
    <row r="840">
      <c r="A840" s="9">
        <f t="shared" si="2"/>
        <v>838</v>
      </c>
      <c r="B840" s="25" t="s">
        <v>975</v>
      </c>
      <c r="C840" s="15">
        <v>3520000.0</v>
      </c>
      <c r="D840" s="15">
        <v>3290000.0</v>
      </c>
      <c r="E840" s="15">
        <v>2940000.0</v>
      </c>
      <c r="F840" s="15">
        <v>2760000.0</v>
      </c>
      <c r="G840" s="15">
        <v>2490000.0</v>
      </c>
      <c r="H840" s="15">
        <v>2190000.0</v>
      </c>
      <c r="I840" s="15">
        <v>1960000.0</v>
      </c>
      <c r="J840" s="15">
        <v>1090000.0</v>
      </c>
      <c r="K840" s="15">
        <v>1010000.0</v>
      </c>
      <c r="L840" s="15">
        <v>875200.0</v>
      </c>
      <c r="M840" s="15">
        <v>805550.0</v>
      </c>
      <c r="N840" s="15">
        <v>662560.0</v>
      </c>
      <c r="O840" s="15">
        <v>794250.0</v>
      </c>
      <c r="P840" s="15">
        <v>741170.0</v>
      </c>
      <c r="Q840" s="15">
        <v>655730.0</v>
      </c>
      <c r="R840" s="15">
        <v>602850.0</v>
      </c>
      <c r="S840" s="15">
        <v>519690.0</v>
      </c>
      <c r="T840" s="15">
        <v>175240.0</v>
      </c>
      <c r="U840" s="15">
        <v>159710.0</v>
      </c>
      <c r="V840" s="15">
        <v>139530.0</v>
      </c>
      <c r="W840" s="15">
        <v>128900.0</v>
      </c>
      <c r="X840" s="15">
        <v>110540.0</v>
      </c>
      <c r="Y840" s="15">
        <v>272820.0</v>
      </c>
      <c r="Z840" s="15">
        <v>260710.0</v>
      </c>
      <c r="AA840" s="15">
        <v>222980.0</v>
      </c>
      <c r="AB840" s="15">
        <v>209230.0</v>
      </c>
      <c r="AC840" s="15">
        <v>125550.0</v>
      </c>
      <c r="AD840" s="15">
        <v>320020.0</v>
      </c>
      <c r="AE840" s="15">
        <v>268580.0</v>
      </c>
      <c r="AF840" s="15">
        <v>225430.0</v>
      </c>
      <c r="AG840" s="15">
        <v>212320.0</v>
      </c>
      <c r="AH840" s="15">
        <v>127900.0</v>
      </c>
      <c r="AI840" s="15">
        <v>370150.0</v>
      </c>
      <c r="AJ840" s="15">
        <v>340600.0</v>
      </c>
      <c r="AK840" s="15">
        <v>274700.0</v>
      </c>
      <c r="AL840" s="15">
        <v>252560.0</v>
      </c>
      <c r="AM840" s="15">
        <v>194430.0</v>
      </c>
      <c r="AN840" s="15">
        <v>443750.0</v>
      </c>
      <c r="AO840" s="15">
        <v>255140.0</v>
      </c>
      <c r="AP840" s="15">
        <v>202410.0</v>
      </c>
      <c r="AQ840" s="15">
        <v>203320.0</v>
      </c>
      <c r="AR840" s="15">
        <v>124880.0</v>
      </c>
      <c r="AS840" s="15">
        <v>419360.0</v>
      </c>
      <c r="AT840" s="15">
        <v>302300.0</v>
      </c>
      <c r="AU840" s="15">
        <v>336080.0</v>
      </c>
      <c r="AV840" s="15">
        <v>275260.0</v>
      </c>
      <c r="AW840" s="15">
        <v>178140.0</v>
      </c>
      <c r="AX840" s="15">
        <v>-38960.0</v>
      </c>
      <c r="AY840" s="15">
        <v>-35590.0</v>
      </c>
      <c r="AZ840" s="15">
        <v>-38580.0</v>
      </c>
      <c r="BA840" s="15">
        <v>-31410.0</v>
      </c>
      <c r="BB840" s="15">
        <v>-55080.0</v>
      </c>
      <c r="BC840" s="15">
        <v>-122530.0</v>
      </c>
      <c r="BD840" s="15">
        <v>-112900.0</v>
      </c>
      <c r="BE840" s="15">
        <v>-101180.0</v>
      </c>
      <c r="BF840" s="15">
        <v>-91940.0</v>
      </c>
      <c r="BG840" s="15">
        <v>-83580.0</v>
      </c>
      <c r="BH840" s="15">
        <v>692350.0</v>
      </c>
      <c r="BI840" s="15">
        <v>602040.0</v>
      </c>
      <c r="BJ840" s="15">
        <v>614730.0</v>
      </c>
      <c r="BK840" s="15">
        <v>548050.0</v>
      </c>
      <c r="BL840" s="15">
        <v>497210.0</v>
      </c>
      <c r="BM840" s="15">
        <v>414460.0</v>
      </c>
      <c r="BN840" s="15">
        <v>415920.0</v>
      </c>
      <c r="BO840" s="15">
        <v>234000.0</v>
      </c>
      <c r="BP840" s="15">
        <v>208510.0</v>
      </c>
      <c r="BQ840" s="15">
        <v>158350.0</v>
      </c>
      <c r="BR840" s="15">
        <v>221810.0</v>
      </c>
      <c r="BS840" s="15">
        <v>292290.0</v>
      </c>
      <c r="BT840" s="15">
        <v>248890.0</v>
      </c>
      <c r="BU840" s="15">
        <v>253640.0</v>
      </c>
      <c r="BV840" s="15">
        <v>219100.0</v>
      </c>
      <c r="BW840" s="15">
        <v>1370000.0</v>
      </c>
      <c r="BX840" s="15">
        <v>1340000.0</v>
      </c>
      <c r="BY840" s="15">
        <v>1120000.0</v>
      </c>
      <c r="BZ840" s="15">
        <v>1030000.0</v>
      </c>
      <c r="CA840" s="15">
        <v>887020.0</v>
      </c>
      <c r="CB840" s="15">
        <v>98380.0</v>
      </c>
      <c r="CC840" s="15">
        <v>78230.0</v>
      </c>
      <c r="CD840" s="15">
        <v>82640.0</v>
      </c>
      <c r="CE840" s="15">
        <v>85490.0</v>
      </c>
      <c r="CF840" s="15">
        <v>88930.0</v>
      </c>
      <c r="CG840" s="15">
        <v>387910.0</v>
      </c>
      <c r="CH840" s="15">
        <v>342270.0</v>
      </c>
      <c r="CI840" s="15">
        <v>263770.0</v>
      </c>
      <c r="CJ840" s="15">
        <v>249980.0</v>
      </c>
      <c r="CK840" s="15">
        <v>208980.0</v>
      </c>
      <c r="CL840" s="15">
        <v>2290000.0</v>
      </c>
      <c r="CM840" s="15">
        <v>2020000.0</v>
      </c>
      <c r="CN840" s="15">
        <v>1670000.0</v>
      </c>
      <c r="CO840" s="15">
        <v>1500000.0</v>
      </c>
      <c r="CP840" s="15">
        <v>1270000.0</v>
      </c>
      <c r="CQ840" s="15">
        <v>250710.0</v>
      </c>
      <c r="CR840" s="15">
        <v>282760.0</v>
      </c>
      <c r="CS840" s="15">
        <v>281520.0</v>
      </c>
      <c r="CT840" s="15">
        <v>275070.0</v>
      </c>
      <c r="CU840" s="15">
        <v>230950.0</v>
      </c>
      <c r="CV840" s="15">
        <v>690970.0</v>
      </c>
      <c r="CW840" s="15">
        <v>10590.0</v>
      </c>
      <c r="CX840" s="15"/>
      <c r="CY840" s="15"/>
      <c r="CZ840" s="15"/>
      <c r="DA840" s="15"/>
      <c r="DB840" s="15">
        <v>690970.0</v>
      </c>
      <c r="DC840" s="15">
        <v>714880.0</v>
      </c>
      <c r="DD840" s="15">
        <v>551310.0</v>
      </c>
      <c r="DE840" s="15">
        <v>507560.0</v>
      </c>
      <c r="DF840" s="15">
        <v>845840.0</v>
      </c>
      <c r="DG840" s="15">
        <v>844310.0</v>
      </c>
      <c r="DH840" s="15">
        <v>663230.0</v>
      </c>
      <c r="DI840" s="15">
        <v>643180.0</v>
      </c>
      <c r="DJ840" s="15">
        <v>540310.0</v>
      </c>
      <c r="DK840" s="15">
        <v>63890.0</v>
      </c>
      <c r="DL840" s="15">
        <v>36240.0</v>
      </c>
      <c r="DM840" s="15">
        <v>28920.0</v>
      </c>
      <c r="DN840" s="15">
        <v>25840.0</v>
      </c>
      <c r="DO840" s="15">
        <v>23060.0</v>
      </c>
      <c r="DP840" s="15">
        <v>18900.0</v>
      </c>
      <c r="DQ840" s="15"/>
      <c r="DR840" s="15"/>
      <c r="DS840" s="15"/>
      <c r="DT840" s="12"/>
      <c r="DU840" s="13"/>
      <c r="DV840" s="12"/>
      <c r="DW840" s="12"/>
      <c r="DX840" s="13"/>
      <c r="DY840" s="13"/>
      <c r="DZ840" s="15">
        <v>1440000.0</v>
      </c>
      <c r="EA840" s="15">
        <v>1170000.0</v>
      </c>
      <c r="EB840" s="15">
        <v>1010000.0</v>
      </c>
      <c r="EC840" s="15">
        <v>856920.0</v>
      </c>
      <c r="ED840" s="15">
        <v>727760.0</v>
      </c>
      <c r="EE840" s="17">
        <v>0.079</v>
      </c>
      <c r="EF840" s="17">
        <v>0.108</v>
      </c>
      <c r="EG840" s="17">
        <v>0.882</v>
      </c>
      <c r="EH840" s="17">
        <v>0.278</v>
      </c>
    </row>
    <row r="841">
      <c r="A841" s="9">
        <f t="shared" si="2"/>
        <v>839</v>
      </c>
      <c r="B841" s="10" t="s">
        <v>976</v>
      </c>
      <c r="C841" s="11">
        <v>506820.0</v>
      </c>
      <c r="D841" s="11">
        <v>540890.0</v>
      </c>
      <c r="E841" s="11">
        <v>3.895E7</v>
      </c>
      <c r="F841" s="11">
        <v>2.681E7</v>
      </c>
      <c r="G841" s="11">
        <v>1.529E7</v>
      </c>
      <c r="H841" s="11">
        <v>9870000.0</v>
      </c>
      <c r="I841" s="11">
        <v>7870000.0</v>
      </c>
      <c r="J841" s="11">
        <v>1.091E7</v>
      </c>
      <c r="K841" s="11">
        <v>6860000.0</v>
      </c>
      <c r="L841" s="11">
        <v>4460000.0</v>
      </c>
      <c r="M841" s="11">
        <v>2600000.0</v>
      </c>
      <c r="N841" s="11">
        <v>2050000.0</v>
      </c>
      <c r="O841" s="11">
        <v>2730000.0</v>
      </c>
      <c r="P841" s="11">
        <v>1870000.0</v>
      </c>
      <c r="Q841" s="11">
        <v>1180000.0</v>
      </c>
      <c r="R841" s="11">
        <v>916530.0</v>
      </c>
      <c r="S841" s="11">
        <v>699700.0</v>
      </c>
      <c r="T841" s="12"/>
      <c r="U841" s="12"/>
      <c r="V841" s="12"/>
      <c r="W841" s="12"/>
      <c r="X841" s="12"/>
      <c r="Y841" s="12"/>
      <c r="Z841" s="12"/>
      <c r="AA841" s="11">
        <v>3270000.0</v>
      </c>
      <c r="AB841" s="11">
        <v>1770000.0</v>
      </c>
      <c r="AC841" s="11">
        <v>1390000.0</v>
      </c>
      <c r="AD841" s="11">
        <v>5730000.0</v>
      </c>
      <c r="AE841" s="11">
        <v>3080000.0</v>
      </c>
      <c r="AF841" s="11">
        <v>2290000.0</v>
      </c>
      <c r="AG841" s="11">
        <v>723120.0</v>
      </c>
      <c r="AH841" s="11">
        <v>699020.0</v>
      </c>
      <c r="AI841" s="11">
        <v>1.095E7</v>
      </c>
      <c r="AJ841" s="11">
        <v>6960000.0</v>
      </c>
      <c r="AK841" s="11">
        <v>3930000.0</v>
      </c>
      <c r="AL841" s="11">
        <v>2190000.0</v>
      </c>
      <c r="AM841" s="11">
        <v>1690000.0</v>
      </c>
      <c r="AN841" s="11">
        <v>3840000.0</v>
      </c>
      <c r="AO841" s="11">
        <v>1800000.0</v>
      </c>
      <c r="AP841" s="11">
        <v>1590000.0</v>
      </c>
      <c r="AQ841" s="11">
        <v>491170.0</v>
      </c>
      <c r="AR841" s="11">
        <v>348300.0</v>
      </c>
      <c r="AS841" s="11">
        <v>6290000.0</v>
      </c>
      <c r="AT841" s="11">
        <v>3250000.0</v>
      </c>
      <c r="AU841" s="11">
        <v>2720000.0</v>
      </c>
      <c r="AV841" s="11">
        <v>1010000.0</v>
      </c>
      <c r="AW841" s="11">
        <v>965820.0</v>
      </c>
      <c r="AX841" s="11">
        <v>-1.187E7</v>
      </c>
      <c r="AY841" s="11">
        <v>-4180000.0</v>
      </c>
      <c r="AZ841" s="11">
        <v>-1270000.0</v>
      </c>
      <c r="BA841" s="11">
        <v>-669350.0</v>
      </c>
      <c r="BB841" s="11">
        <v>-494840.0</v>
      </c>
      <c r="BC841" s="13"/>
      <c r="BD841" s="13"/>
      <c r="BE841" s="11">
        <v>-442890.0</v>
      </c>
      <c r="BF841" s="11">
        <v>-853140.0</v>
      </c>
      <c r="BG841" s="24">
        <v>-17.0</v>
      </c>
      <c r="BH841" s="11">
        <v>2570000.0</v>
      </c>
      <c r="BI841" s="11">
        <v>2900000.0</v>
      </c>
      <c r="BJ841" s="11">
        <v>3180000.0</v>
      </c>
      <c r="BK841" s="11">
        <v>803290.0</v>
      </c>
      <c r="BL841" s="11">
        <v>328230.0</v>
      </c>
      <c r="BM841" s="11">
        <v>3270000.0</v>
      </c>
      <c r="BN841" s="11">
        <v>2350000.0</v>
      </c>
      <c r="BO841" s="11">
        <v>1420000.0</v>
      </c>
      <c r="BP841" s="11">
        <v>937560.0</v>
      </c>
      <c r="BQ841" s="11">
        <v>785080.0</v>
      </c>
      <c r="BR841" s="11">
        <v>5450000.0</v>
      </c>
      <c r="BS841" s="11">
        <v>3800000.0</v>
      </c>
      <c r="BT841" s="11">
        <v>1860000.0</v>
      </c>
      <c r="BU841" s="11">
        <v>1740000.0</v>
      </c>
      <c r="BV841" s="11">
        <v>988120.0</v>
      </c>
      <c r="BW841" s="11">
        <v>1.135E7</v>
      </c>
      <c r="BX841" s="11">
        <v>9130000.0</v>
      </c>
      <c r="BY841" s="11">
        <v>6520000.0</v>
      </c>
      <c r="BZ841" s="11">
        <v>3500000.0</v>
      </c>
      <c r="CA841" s="11">
        <v>2120000.0</v>
      </c>
      <c r="CB841" s="11">
        <v>4.543E7</v>
      </c>
      <c r="CC841" s="11">
        <v>2.188E7</v>
      </c>
      <c r="CD841" s="11">
        <v>5980000.0</v>
      </c>
      <c r="CE841" s="11">
        <v>4880000.0</v>
      </c>
      <c r="CF841" s="11">
        <v>2520000.0</v>
      </c>
      <c r="CG841" s="11">
        <v>25500.0</v>
      </c>
      <c r="CH841" s="11">
        <v>16580.0</v>
      </c>
      <c r="CI841" s="11">
        <v>39350.0</v>
      </c>
      <c r="CJ841" s="11">
        <v>39350.0</v>
      </c>
      <c r="CK841" s="11">
        <v>39350.0</v>
      </c>
      <c r="CL841" s="11">
        <v>5.961E7</v>
      </c>
      <c r="CM841" s="11">
        <v>3.302E7</v>
      </c>
      <c r="CN841" s="11">
        <v>1.302E7</v>
      </c>
      <c r="CO841" s="11">
        <v>8960000.0</v>
      </c>
      <c r="CP841" s="11">
        <v>5590000.0</v>
      </c>
      <c r="CQ841" s="11">
        <v>2150000.0</v>
      </c>
      <c r="CR841" s="11">
        <v>2070000.0</v>
      </c>
      <c r="CS841" s="11">
        <v>1500000.0</v>
      </c>
      <c r="CT841" s="11">
        <v>1010000.0</v>
      </c>
      <c r="CU841" s="11">
        <v>579740.0</v>
      </c>
      <c r="CV841" s="11">
        <v>1.648E7</v>
      </c>
      <c r="CW841" s="11">
        <v>5540000.0</v>
      </c>
      <c r="CX841" s="11">
        <v>3360000.0</v>
      </c>
      <c r="CY841" s="11">
        <v>1760000.0</v>
      </c>
      <c r="CZ841" s="11">
        <v>3060000.0</v>
      </c>
      <c r="DA841" s="11">
        <v>1130000.0</v>
      </c>
      <c r="DB841" s="11">
        <v>1.648E7</v>
      </c>
      <c r="DC841" s="11">
        <v>9830000.0</v>
      </c>
      <c r="DD841" s="11">
        <v>5470000.0</v>
      </c>
      <c r="DE841" s="11">
        <v>6030000.0</v>
      </c>
      <c r="DF841" s="11">
        <v>3.028E7</v>
      </c>
      <c r="DG841" s="11">
        <v>1.647E7</v>
      </c>
      <c r="DH841" s="11">
        <v>8610000.0</v>
      </c>
      <c r="DI841" s="11">
        <v>7830000.0</v>
      </c>
      <c r="DJ841" s="11">
        <v>4090000.0</v>
      </c>
      <c r="DK841" s="11">
        <v>2560.0</v>
      </c>
      <c r="DL841" s="11">
        <v>1660.0</v>
      </c>
      <c r="DM841" s="11">
        <v>330.0</v>
      </c>
      <c r="DN841" s="11">
        <v>35760.0</v>
      </c>
      <c r="DO841" s="11">
        <v>215630.0</v>
      </c>
      <c r="DP841" s="11">
        <v>7030000.0</v>
      </c>
      <c r="DQ841" s="11">
        <v>2610000.0</v>
      </c>
      <c r="DR841" s="11">
        <v>2600000.0</v>
      </c>
      <c r="DS841" s="11">
        <v>1280000.0</v>
      </c>
      <c r="DT841" s="11">
        <v>688040.0</v>
      </c>
      <c r="DU841" s="13"/>
      <c r="DV841" s="12"/>
      <c r="DW841" s="12"/>
      <c r="DX841" s="12"/>
      <c r="DY841" s="12"/>
      <c r="DZ841" s="11">
        <v>2.71E7</v>
      </c>
      <c r="EA841" s="11">
        <v>1.518E7</v>
      </c>
      <c r="EB841" s="11">
        <v>3820000.0</v>
      </c>
      <c r="EC841" s="11">
        <v>740370.0</v>
      </c>
      <c r="ED841" s="11">
        <v>1470000.0</v>
      </c>
      <c r="EE841" s="14">
        <v>0.325</v>
      </c>
      <c r="EF841" s="14">
        <v>0.163</v>
      </c>
      <c r="EG841" s="14">
        <v>-0.875</v>
      </c>
      <c r="EH841" s="14">
        <v>-0.193</v>
      </c>
    </row>
    <row r="842">
      <c r="A842" s="9">
        <f t="shared" si="2"/>
        <v>840</v>
      </c>
      <c r="B842" s="10" t="s">
        <v>977</v>
      </c>
      <c r="C842" s="11">
        <v>8.003E7</v>
      </c>
      <c r="D842" s="11">
        <v>7.907E7</v>
      </c>
      <c r="E842" s="11">
        <v>7.215E7</v>
      </c>
      <c r="F842" s="11">
        <v>7.131E7</v>
      </c>
      <c r="G842" s="11">
        <v>6.862E7</v>
      </c>
      <c r="H842" s="11">
        <v>6.502E7</v>
      </c>
      <c r="I842" s="11">
        <v>5.907E7</v>
      </c>
      <c r="J842" s="11">
        <v>2.168E7</v>
      </c>
      <c r="K842" s="11">
        <v>2.143E7</v>
      </c>
      <c r="L842" s="11">
        <v>2.103E7</v>
      </c>
      <c r="M842" s="11">
        <v>2.098E7</v>
      </c>
      <c r="N842" s="11">
        <v>1.909E7</v>
      </c>
      <c r="O842" s="11">
        <v>1.51E7</v>
      </c>
      <c r="P842" s="11">
        <v>1.533E7</v>
      </c>
      <c r="Q842" s="11">
        <v>1.444E7</v>
      </c>
      <c r="R842" s="11">
        <v>1.516E7</v>
      </c>
      <c r="S842" s="11">
        <v>1.411E7</v>
      </c>
      <c r="T842" s="12"/>
      <c r="U842" s="12"/>
      <c r="V842" s="12"/>
      <c r="W842" s="12"/>
      <c r="X842" s="12"/>
      <c r="Y842" s="11">
        <v>6310000.0</v>
      </c>
      <c r="Z842" s="11">
        <v>4020000.0</v>
      </c>
      <c r="AA842" s="11">
        <v>-464000.0</v>
      </c>
      <c r="AB842" s="11">
        <v>5770000.0</v>
      </c>
      <c r="AC842" s="11">
        <v>4440000.0</v>
      </c>
      <c r="AD842" s="11">
        <v>5620000.0</v>
      </c>
      <c r="AE842" s="11">
        <v>3390000.0</v>
      </c>
      <c r="AF842" s="11">
        <v>5490000.0</v>
      </c>
      <c r="AG842" s="11">
        <v>5200000.0</v>
      </c>
      <c r="AH842" s="11">
        <v>4420000.0</v>
      </c>
      <c r="AI842" s="11">
        <v>8460000.0</v>
      </c>
      <c r="AJ842" s="11">
        <v>7710000.0</v>
      </c>
      <c r="AK842" s="11">
        <v>8130000.0</v>
      </c>
      <c r="AL842" s="11">
        <v>7400000.0</v>
      </c>
      <c r="AM842" s="11">
        <v>6570000.0</v>
      </c>
      <c r="AN842" s="11">
        <v>4270000.0</v>
      </c>
      <c r="AO842" s="11">
        <v>2310000.0</v>
      </c>
      <c r="AP842" s="11">
        <v>3440000.0</v>
      </c>
      <c r="AQ842" s="11">
        <v>3060000.0</v>
      </c>
      <c r="AR842" s="11">
        <v>2530000.0</v>
      </c>
      <c r="AS842" s="11">
        <v>4300000.0</v>
      </c>
      <c r="AT842" s="11">
        <v>6190000.0</v>
      </c>
      <c r="AU842" s="11">
        <v>5070000.0</v>
      </c>
      <c r="AV842" s="11">
        <v>5620000.0</v>
      </c>
      <c r="AW842" s="11">
        <v>4780000.0</v>
      </c>
      <c r="AX842" s="11">
        <v>-1480000.0</v>
      </c>
      <c r="AY842" s="11">
        <v>-1170000.0</v>
      </c>
      <c r="AZ842" s="11">
        <v>-1120000.0</v>
      </c>
      <c r="BA842" s="11">
        <v>-1170000.0</v>
      </c>
      <c r="BB842" s="11">
        <v>-1200000.0</v>
      </c>
      <c r="BC842" s="11">
        <v>-1620000.0</v>
      </c>
      <c r="BD842" s="11">
        <v>-1460000.0</v>
      </c>
      <c r="BE842" s="11">
        <v>-1290000.0</v>
      </c>
      <c r="BF842" s="11">
        <v>-1120000.0</v>
      </c>
      <c r="BG842" s="11">
        <v>-957000.0</v>
      </c>
      <c r="BH842" s="11">
        <v>876000.0</v>
      </c>
      <c r="BI842" s="11">
        <v>729000.0</v>
      </c>
      <c r="BJ842" s="11">
        <v>690000.0</v>
      </c>
      <c r="BK842" s="11">
        <v>658000.0</v>
      </c>
      <c r="BL842" s="11">
        <v>712000.0</v>
      </c>
      <c r="BM842" s="11"/>
      <c r="BN842" s="11"/>
      <c r="BO842" s="11"/>
      <c r="BP842" s="11"/>
      <c r="BQ842" s="11"/>
      <c r="BR842" s="11">
        <v>1.318E7</v>
      </c>
      <c r="BS842" s="11">
        <v>1.256E7</v>
      </c>
      <c r="BT842" s="11">
        <v>1.139E7</v>
      </c>
      <c r="BU842" s="11">
        <v>1.046E7</v>
      </c>
      <c r="BV842" s="11">
        <v>9460000.0</v>
      </c>
      <c r="BW842" s="11">
        <v>1.532E7</v>
      </c>
      <c r="BX842" s="11">
        <v>1.423E7</v>
      </c>
      <c r="BY842" s="11">
        <v>1.277E7</v>
      </c>
      <c r="BZ842" s="11">
        <v>1.2E7</v>
      </c>
      <c r="CA842" s="11">
        <v>1.056E7</v>
      </c>
      <c r="CB842" s="11">
        <v>2.256E7</v>
      </c>
      <c r="CC842" s="11">
        <v>1.843E7</v>
      </c>
      <c r="CD842" s="11">
        <v>1.972E7</v>
      </c>
      <c r="CE842" s="11">
        <v>1.995E7</v>
      </c>
      <c r="CF842" s="11">
        <v>1.958E7</v>
      </c>
      <c r="CG842" s="11">
        <v>303000.0</v>
      </c>
      <c r="CH842" s="11">
        <v>303000.0</v>
      </c>
      <c r="CI842" s="11">
        <v>1310000.0</v>
      </c>
      <c r="CJ842" s="11">
        <v>1080000.0</v>
      </c>
      <c r="CK842" s="11"/>
      <c r="CL842" s="11">
        <v>4.099E7</v>
      </c>
      <c r="CM842" s="11">
        <v>3.464E7</v>
      </c>
      <c r="CN842" s="11">
        <v>3.529E7</v>
      </c>
      <c r="CO842" s="11">
        <v>3.441E7</v>
      </c>
      <c r="CP842" s="11">
        <v>3.181E7</v>
      </c>
      <c r="CQ842" s="11">
        <v>7660000.0</v>
      </c>
      <c r="CR842" s="11">
        <v>8280000.0</v>
      </c>
      <c r="CS842" s="11">
        <v>6590000.0</v>
      </c>
      <c r="CT842" s="11">
        <v>6650000.0</v>
      </c>
      <c r="CU842" s="11">
        <v>5630000.0</v>
      </c>
      <c r="CV842" s="11">
        <v>1.518E7</v>
      </c>
      <c r="CW842" s="11">
        <v>2440000.0</v>
      </c>
      <c r="CX842" s="11">
        <v>722000.0</v>
      </c>
      <c r="CY842" s="11">
        <v>1140000.0</v>
      </c>
      <c r="CZ842" s="11">
        <v>510000.0</v>
      </c>
      <c r="DA842" s="11">
        <v>43000.0</v>
      </c>
      <c r="DB842" s="11">
        <v>1.518E7</v>
      </c>
      <c r="DC842" s="11">
        <v>1.45E7</v>
      </c>
      <c r="DD842" s="11">
        <v>1.21E7</v>
      </c>
      <c r="DE842" s="11">
        <v>1.197E7</v>
      </c>
      <c r="DF842" s="11">
        <v>3.902E7</v>
      </c>
      <c r="DG842" s="11">
        <v>3.1E7</v>
      </c>
      <c r="DH842" s="11">
        <v>2.942E7</v>
      </c>
      <c r="DI842" s="11">
        <v>2.797E7</v>
      </c>
      <c r="DJ842" s="11">
        <v>2.416E7</v>
      </c>
      <c r="DK842" s="11">
        <v>372000.0</v>
      </c>
      <c r="DL842" s="11">
        <v>256000.0</v>
      </c>
      <c r="DM842" s="11">
        <v>408000.0</v>
      </c>
      <c r="DN842" s="11">
        <v>366000.0</v>
      </c>
      <c r="DO842" s="11">
        <v>615000.0</v>
      </c>
      <c r="DP842" s="28">
        <v>2.071E7</v>
      </c>
      <c r="DQ842" s="28">
        <v>1.439E7</v>
      </c>
      <c r="DR842" s="28">
        <v>1.556E7</v>
      </c>
      <c r="DS842" s="28">
        <v>1.439E7</v>
      </c>
      <c r="DT842" s="28">
        <v>1.155E7</v>
      </c>
      <c r="DU842" s="13"/>
      <c r="DV842" s="12"/>
      <c r="DW842" s="12"/>
      <c r="DX842" s="12"/>
      <c r="DY842" s="12"/>
      <c r="DZ842" s="11">
        <v>1970000.0</v>
      </c>
      <c r="EA842" s="11">
        <v>3640000.0</v>
      </c>
      <c r="EB842" s="11">
        <v>5870000.0</v>
      </c>
      <c r="EC842" s="11">
        <v>6430000.0</v>
      </c>
      <c r="ED842" s="11">
        <v>7650000.0</v>
      </c>
      <c r="EE842" s="14">
        <v>0.099</v>
      </c>
      <c r="EF842" s="14">
        <v>0.133</v>
      </c>
      <c r="EG842" s="14">
        <v>0.341</v>
      </c>
      <c r="EH842" s="14">
        <v>0.122</v>
      </c>
    </row>
    <row r="843">
      <c r="A843" s="9">
        <f t="shared" si="2"/>
        <v>841</v>
      </c>
      <c r="B843" s="22" t="s">
        <v>978</v>
      </c>
      <c r="C843" s="11">
        <v>69110.0</v>
      </c>
      <c r="D843" s="12"/>
      <c r="E843" s="11">
        <v>165.0</v>
      </c>
      <c r="F843" s="11">
        <v>428.0</v>
      </c>
      <c r="G843" s="12"/>
      <c r="H843" s="12"/>
      <c r="I843" s="12"/>
      <c r="J843" s="12"/>
      <c r="K843" s="12"/>
      <c r="L843" s="11">
        <v>-28.0</v>
      </c>
      <c r="M843" s="11">
        <v>-32.0</v>
      </c>
      <c r="N843" s="11">
        <v>-27.0</v>
      </c>
      <c r="O843" s="11">
        <v>13050.0</v>
      </c>
      <c r="P843" s="11">
        <v>11740.0</v>
      </c>
      <c r="Q843" s="11">
        <v>21190.0</v>
      </c>
      <c r="R843" s="11">
        <v>18430.0</v>
      </c>
      <c r="S843" s="11">
        <v>18360.0</v>
      </c>
      <c r="T843" s="11">
        <v>7450.0</v>
      </c>
      <c r="U843" s="11">
        <v>6460.0</v>
      </c>
      <c r="V843" s="11">
        <v>11000.0</v>
      </c>
      <c r="W843" s="11">
        <v>8080.0</v>
      </c>
      <c r="X843" s="11">
        <v>12580.0</v>
      </c>
      <c r="Y843" s="11">
        <v>-12660.0</v>
      </c>
      <c r="Z843" s="12"/>
      <c r="AA843" s="12"/>
      <c r="AB843" s="11">
        <v>-19190.0</v>
      </c>
      <c r="AC843" s="12"/>
      <c r="AD843" s="11">
        <v>-13010.0</v>
      </c>
      <c r="AE843" s="11">
        <v>-11660.0</v>
      </c>
      <c r="AF843" s="11">
        <v>-20980.0</v>
      </c>
      <c r="AG843" s="11">
        <v>-18970.0</v>
      </c>
      <c r="AH843" s="11">
        <v>-18210.0</v>
      </c>
      <c r="AI843" s="11">
        <v>-12880.0</v>
      </c>
      <c r="AJ843" s="11">
        <v>-11310.0</v>
      </c>
      <c r="AK843" s="11">
        <v>-21190.0</v>
      </c>
      <c r="AL843" s="11">
        <v>-18430.0</v>
      </c>
      <c r="AM843" s="11">
        <v>-18360.0</v>
      </c>
      <c r="AN843" s="11">
        <v>-13010.0</v>
      </c>
      <c r="AO843" s="11">
        <v>-11660.0</v>
      </c>
      <c r="AP843" s="11">
        <v>-20980.0</v>
      </c>
      <c r="AQ843" s="11">
        <v>-18970.0</v>
      </c>
      <c r="AR843" s="11">
        <v>-18210.0</v>
      </c>
      <c r="AS843" s="11">
        <v>-11670.0</v>
      </c>
      <c r="AT843" s="11">
        <v>-12080.0</v>
      </c>
      <c r="AU843" s="11">
        <v>-16700.0</v>
      </c>
      <c r="AV843" s="11">
        <v>-18280.0</v>
      </c>
      <c r="AW843" s="11">
        <v>-15360.0</v>
      </c>
      <c r="AX843" s="12"/>
      <c r="AY843" s="12"/>
      <c r="AZ843" s="12"/>
      <c r="BA843" s="11">
        <v>-60.0</v>
      </c>
      <c r="BB843" s="11">
        <v>-29.0</v>
      </c>
      <c r="BC843" s="12"/>
      <c r="BD843" s="12"/>
      <c r="BE843" s="12"/>
      <c r="BF843" s="12"/>
      <c r="BG843" s="12"/>
      <c r="BH843" s="11">
        <v>19070.0</v>
      </c>
      <c r="BI843" s="11">
        <v>20250.0</v>
      </c>
      <c r="BJ843" s="11">
        <v>21470.0</v>
      </c>
      <c r="BK843" s="11">
        <v>26840.0</v>
      </c>
      <c r="BL843" s="11">
        <v>44380.0</v>
      </c>
      <c r="BM843" s="11">
        <v>17.0</v>
      </c>
      <c r="BN843" s="11">
        <v>39.0</v>
      </c>
      <c r="BO843" s="11">
        <v>3340.0</v>
      </c>
      <c r="BP843" s="11">
        <v>39.0</v>
      </c>
      <c r="BQ843" s="11">
        <v>145.0</v>
      </c>
      <c r="BR843" s="12"/>
      <c r="BS843" s="12"/>
      <c r="BT843" s="12"/>
      <c r="BU843" s="12"/>
      <c r="BV843" s="12"/>
      <c r="BW843" s="11">
        <v>19630.0</v>
      </c>
      <c r="BX843" s="11">
        <v>20810.0</v>
      </c>
      <c r="BY843" s="11">
        <v>25220.0</v>
      </c>
      <c r="BZ843" s="11">
        <v>27210.0</v>
      </c>
      <c r="CA843" s="11">
        <v>44880.0</v>
      </c>
      <c r="CB843" s="11">
        <v>4.0</v>
      </c>
      <c r="CC843" s="11">
        <v>19.0</v>
      </c>
      <c r="CD843" s="11">
        <v>75.0</v>
      </c>
      <c r="CE843" s="11">
        <v>103.0</v>
      </c>
      <c r="CF843" s="11">
        <v>76.0</v>
      </c>
      <c r="CG843" s="12"/>
      <c r="CH843" s="12"/>
      <c r="CI843" s="12"/>
      <c r="CJ843" s="12"/>
      <c r="CK843" s="12"/>
      <c r="CL843" s="11">
        <v>19660.0</v>
      </c>
      <c r="CM843" s="11">
        <v>20850.0</v>
      </c>
      <c r="CN843" s="11">
        <v>25330.0</v>
      </c>
      <c r="CO843" s="11">
        <v>27340.0</v>
      </c>
      <c r="CP843" s="11">
        <v>45380.0</v>
      </c>
      <c r="CQ843" s="11">
        <v>1180.0</v>
      </c>
      <c r="CR843" s="11">
        <v>671.0</v>
      </c>
      <c r="CS843" s="11">
        <v>598.0</v>
      </c>
      <c r="CT843" s="12"/>
      <c r="CU843" s="12"/>
      <c r="CV843" s="11">
        <v>4960.0</v>
      </c>
      <c r="CW843" s="12"/>
      <c r="CX843" s="12"/>
      <c r="CY843" s="12"/>
      <c r="CZ843" s="12"/>
      <c r="DA843" s="12"/>
      <c r="DB843" s="11">
        <v>4960.0</v>
      </c>
      <c r="DC843" s="11">
        <v>4490.0</v>
      </c>
      <c r="DD843" s="11">
        <v>6350.0</v>
      </c>
      <c r="DE843" s="11">
        <v>1330.0</v>
      </c>
      <c r="DF843" s="11">
        <v>13370.0</v>
      </c>
      <c r="DG843" s="11">
        <v>11420.0</v>
      </c>
      <c r="DH843" s="11">
        <v>6350.0</v>
      </c>
      <c r="DI843" s="11">
        <v>1330.0</v>
      </c>
      <c r="DJ843" s="11">
        <v>3390.0</v>
      </c>
      <c r="DK843" s="12"/>
      <c r="DL843" s="12"/>
      <c r="DM843" s="12"/>
      <c r="DN843" s="12"/>
      <c r="DO843" s="24">
        <v>400.0</v>
      </c>
      <c r="DP843" s="11">
        <v>3810.0</v>
      </c>
      <c r="DQ843" s="11">
        <v>6930.0</v>
      </c>
      <c r="DR843" s="12"/>
      <c r="DS843" s="12"/>
      <c r="DT843" s="12"/>
      <c r="DU843" s="13"/>
      <c r="DV843" s="12"/>
      <c r="DW843" s="12"/>
      <c r="DX843" s="13"/>
      <c r="DY843" s="13"/>
      <c r="DZ843" s="11">
        <v>6290.0</v>
      </c>
      <c r="EA843" s="11">
        <v>9430.0</v>
      </c>
      <c r="EB843" s="11">
        <v>18980.0</v>
      </c>
      <c r="EC843" s="11">
        <v>26020.0</v>
      </c>
      <c r="ED843" s="11">
        <v>41990.0</v>
      </c>
      <c r="EE843" s="23"/>
      <c r="EF843" s="14">
        <v>1.572</v>
      </c>
      <c r="EG843" s="14">
        <v>-0.857</v>
      </c>
      <c r="EH843" s="14">
        <v>-0.256</v>
      </c>
    </row>
    <row r="844">
      <c r="A844" s="9">
        <f t="shared" si="2"/>
        <v>842</v>
      </c>
      <c r="B844" s="10" t="s">
        <v>979</v>
      </c>
      <c r="C844" s="11">
        <v>283170.0</v>
      </c>
      <c r="D844" s="11">
        <v>237400.0</v>
      </c>
      <c r="E844" s="11">
        <v>333430.0</v>
      </c>
      <c r="F844" s="11">
        <v>158030.0</v>
      </c>
      <c r="G844" s="11">
        <v>159330.0</v>
      </c>
      <c r="H844" s="11">
        <v>167450.0</v>
      </c>
      <c r="I844" s="11">
        <v>289210.0</v>
      </c>
      <c r="J844" s="11">
        <v>182580.0</v>
      </c>
      <c r="K844" s="11">
        <v>24020.0</v>
      </c>
      <c r="L844" s="11">
        <v>27480.0</v>
      </c>
      <c r="M844" s="11">
        <v>33320.0</v>
      </c>
      <c r="N844" s="11">
        <v>187430.0</v>
      </c>
      <c r="O844" s="11">
        <v>23360.0</v>
      </c>
      <c r="P844" s="11">
        <v>24430.0</v>
      </c>
      <c r="Q844" s="11">
        <v>26190.0</v>
      </c>
      <c r="R844" s="11">
        <v>21730.0</v>
      </c>
      <c r="S844" s="11">
        <v>29840.0</v>
      </c>
      <c r="T844" s="12"/>
      <c r="U844" s="12"/>
      <c r="V844" s="12"/>
      <c r="W844" s="12"/>
      <c r="X844" s="12"/>
      <c r="Y844" s="11">
        <v>141020.0</v>
      </c>
      <c r="Z844" s="11">
        <v>-18260.0</v>
      </c>
      <c r="AA844" s="11">
        <v>13830.0</v>
      </c>
      <c r="AB844" s="11">
        <v>39070.0</v>
      </c>
      <c r="AC844" s="11">
        <v>-8920.0</v>
      </c>
      <c r="AD844" s="11">
        <v>111840.0</v>
      </c>
      <c r="AE844" s="11">
        <v>-50950.0</v>
      </c>
      <c r="AF844" s="11">
        <v>-20400.0</v>
      </c>
      <c r="AG844" s="11">
        <v>-1440.0</v>
      </c>
      <c r="AH844" s="11">
        <v>129690.0</v>
      </c>
      <c r="AI844" s="11">
        <v>227380.0</v>
      </c>
      <c r="AJ844" s="11">
        <v>64780.0</v>
      </c>
      <c r="AK844" s="11">
        <v>66620.0</v>
      </c>
      <c r="AL844" s="11">
        <v>76640.0</v>
      </c>
      <c r="AM844" s="11">
        <v>200190.0</v>
      </c>
      <c r="AN844" s="11">
        <v>111840.0</v>
      </c>
      <c r="AO844" s="11">
        <v>-50950.0</v>
      </c>
      <c r="AP844" s="11">
        <v>-20400.0</v>
      </c>
      <c r="AQ844" s="11">
        <v>-1440.0</v>
      </c>
      <c r="AR844" s="11">
        <v>129690.0</v>
      </c>
      <c r="AS844" s="11">
        <v>170880.0</v>
      </c>
      <c r="AT844" s="11">
        <v>8880.0</v>
      </c>
      <c r="AU844" s="11">
        <v>57250.0</v>
      </c>
      <c r="AV844" s="11">
        <v>52000.0</v>
      </c>
      <c r="AW844" s="11">
        <v>151030.0</v>
      </c>
      <c r="AX844" s="11">
        <v>-20020.0</v>
      </c>
      <c r="AY844" s="11">
        <v>-4020.0</v>
      </c>
      <c r="AZ844" s="12">
        <v>-437.0</v>
      </c>
      <c r="BA844" s="11">
        <v>-1920.0</v>
      </c>
      <c r="BB844" s="11">
        <v>-895530.0</v>
      </c>
      <c r="BC844" s="12"/>
      <c r="BD844" s="12"/>
      <c r="BE844" s="12"/>
      <c r="BF844" s="12"/>
      <c r="BG844" s="12"/>
      <c r="BH844" s="11">
        <v>66680.0</v>
      </c>
      <c r="BI844" s="11">
        <v>30840.0</v>
      </c>
      <c r="BJ844" s="11">
        <v>103510.0</v>
      </c>
      <c r="BK844" s="11">
        <v>17020.0</v>
      </c>
      <c r="BL844" s="11">
        <v>46410.0</v>
      </c>
      <c r="BM844" s="11">
        <v>67670.0</v>
      </c>
      <c r="BN844" s="11">
        <v>45840.0</v>
      </c>
      <c r="BO844" s="11">
        <v>27220.0</v>
      </c>
      <c r="BP844" s="11">
        <v>42470.0</v>
      </c>
      <c r="BQ844" s="11">
        <v>54610.0</v>
      </c>
      <c r="BR844" s="11">
        <v>2000.0</v>
      </c>
      <c r="BS844" s="11">
        <v>2110.0</v>
      </c>
      <c r="BT844" s="11">
        <v>2010.0</v>
      </c>
      <c r="BU844" s="11">
        <v>2580.0</v>
      </c>
      <c r="BV844" s="11">
        <v>2290.0</v>
      </c>
      <c r="BW844" s="11">
        <v>139610.0</v>
      </c>
      <c r="BX844" s="11">
        <v>82590.0</v>
      </c>
      <c r="BY844" s="11">
        <v>135210.0</v>
      </c>
      <c r="BZ844" s="11">
        <v>63970.0</v>
      </c>
      <c r="CA844" s="11">
        <v>105560.0</v>
      </c>
      <c r="CB844" s="11">
        <v>1460000.0</v>
      </c>
      <c r="CC844" s="11">
        <v>1480000.0</v>
      </c>
      <c r="CD844" s="11">
        <v>1540000.0</v>
      </c>
      <c r="CE844" s="11">
        <v>1600000.0</v>
      </c>
      <c r="CF844" s="11">
        <v>1670000.0</v>
      </c>
      <c r="CG844" s="11"/>
      <c r="CH844" s="11"/>
      <c r="CI844" s="11"/>
      <c r="CJ844" s="11"/>
      <c r="CK844" s="11"/>
      <c r="CL844" s="11">
        <v>1670000.0</v>
      </c>
      <c r="CM844" s="11">
        <v>1630000.0</v>
      </c>
      <c r="CN844" s="11">
        <v>1740000.0</v>
      </c>
      <c r="CO844" s="11">
        <v>1750000.0</v>
      </c>
      <c r="CP844" s="11">
        <v>1840000.0</v>
      </c>
      <c r="CQ844" s="11">
        <v>13550.0</v>
      </c>
      <c r="CR844" s="11">
        <v>7210.0</v>
      </c>
      <c r="CS844" s="11">
        <v>6330.0</v>
      </c>
      <c r="CT844" s="11">
        <v>7080.0</v>
      </c>
      <c r="CU844" s="11">
        <v>6830.0</v>
      </c>
      <c r="CV844" s="11">
        <v>85010.0</v>
      </c>
      <c r="CW844" s="11">
        <v>9210.0</v>
      </c>
      <c r="CX844" s="12"/>
      <c r="CY844" s="12"/>
      <c r="CZ844" s="12"/>
      <c r="DA844" s="12"/>
      <c r="DB844" s="11">
        <v>85010.0</v>
      </c>
      <c r="DC844" s="11">
        <v>79370.0</v>
      </c>
      <c r="DD844" s="11">
        <v>82010.0</v>
      </c>
      <c r="DE844" s="11">
        <v>85770.0</v>
      </c>
      <c r="DF844" s="11">
        <v>694910.0</v>
      </c>
      <c r="DG844" s="11">
        <v>712690.0</v>
      </c>
      <c r="DH844" s="11">
        <v>776700.0</v>
      </c>
      <c r="DI844" s="11">
        <v>770230.0</v>
      </c>
      <c r="DJ844" s="11">
        <v>856580.0</v>
      </c>
      <c r="DK844" s="11">
        <v>35630.0</v>
      </c>
      <c r="DL844" s="11">
        <v>42080.0</v>
      </c>
      <c r="DM844" s="11">
        <v>40130.0</v>
      </c>
      <c r="DN844" s="11">
        <v>56720.0</v>
      </c>
      <c r="DO844" s="11">
        <v>50810.0</v>
      </c>
      <c r="DP844" s="11">
        <v>599570.0</v>
      </c>
      <c r="DQ844" s="11">
        <v>632120.0</v>
      </c>
      <c r="DR844" s="11">
        <v>694040.0</v>
      </c>
      <c r="DS844" s="11">
        <v>683990.0</v>
      </c>
      <c r="DT844" s="11">
        <v>746350.0</v>
      </c>
      <c r="DU844" s="13"/>
      <c r="DV844" s="12"/>
      <c r="DW844" s="12"/>
      <c r="DX844" s="12"/>
      <c r="DY844" s="12"/>
      <c r="DZ844" s="11">
        <v>977050.0</v>
      </c>
      <c r="EA844" s="11">
        <v>912680.0</v>
      </c>
      <c r="EB844" s="11">
        <v>959410.0</v>
      </c>
      <c r="EC844" s="11">
        <v>976000.0</v>
      </c>
      <c r="ED844" s="11">
        <v>985600.0</v>
      </c>
      <c r="EE844" s="14">
        <v>0.185</v>
      </c>
      <c r="EF844" s="14">
        <v>0.403</v>
      </c>
      <c r="EG844" s="14">
        <v>-0.49</v>
      </c>
      <c r="EH844" s="14">
        <v>-0.012</v>
      </c>
    </row>
    <row r="845">
      <c r="A845" s="9">
        <f t="shared" si="2"/>
        <v>843</v>
      </c>
      <c r="B845" s="22" t="s">
        <v>980</v>
      </c>
      <c r="C845" s="11">
        <v>3500.0</v>
      </c>
      <c r="D845" s="11">
        <v>2530.0</v>
      </c>
      <c r="E845" s="12"/>
      <c r="F845" s="12"/>
      <c r="G845" s="12"/>
      <c r="H845" s="12"/>
      <c r="I845" s="12"/>
      <c r="J845" s="11">
        <v>-776.0</v>
      </c>
      <c r="K845" s="11">
        <v>-49.0</v>
      </c>
      <c r="L845" s="11">
        <v>-48.0</v>
      </c>
      <c r="M845" s="11">
        <v>-25.0</v>
      </c>
      <c r="N845" s="12"/>
      <c r="O845" s="11">
        <v>32680.0</v>
      </c>
      <c r="P845" s="11">
        <v>30700.0</v>
      </c>
      <c r="Q845" s="11">
        <v>32300.0</v>
      </c>
      <c r="R845" s="11">
        <v>27500.0</v>
      </c>
      <c r="S845" s="11">
        <v>11920.0</v>
      </c>
      <c r="T845" s="11">
        <v>24370.0</v>
      </c>
      <c r="U845" s="11">
        <v>21830.0</v>
      </c>
      <c r="V845" s="11">
        <v>22500.0</v>
      </c>
      <c r="W845" s="11">
        <v>23290.0</v>
      </c>
      <c r="X845" s="11">
        <v>10410.0</v>
      </c>
      <c r="Y845" s="12"/>
      <c r="Z845" s="11">
        <v>-23470.0</v>
      </c>
      <c r="AA845" s="12"/>
      <c r="AB845" s="12"/>
      <c r="AC845" s="12"/>
      <c r="AD845" s="11">
        <v>-32900.0</v>
      </c>
      <c r="AE845" s="11">
        <v>-23120.0</v>
      </c>
      <c r="AF845" s="11">
        <v>-29880.0</v>
      </c>
      <c r="AG845" s="11">
        <v>-25630.0</v>
      </c>
      <c r="AH845" s="11">
        <v>-12050.0</v>
      </c>
      <c r="AI845" s="11">
        <v>-32680.0</v>
      </c>
      <c r="AJ845" s="11">
        <v>-30700.0</v>
      </c>
      <c r="AK845" s="11">
        <v>-32300.0</v>
      </c>
      <c r="AL845" s="11">
        <v>-27500.0</v>
      </c>
      <c r="AM845" s="11">
        <v>-11920.0</v>
      </c>
      <c r="AN845" s="11">
        <v>-32900.0</v>
      </c>
      <c r="AO845" s="11">
        <v>-23140.0</v>
      </c>
      <c r="AP845" s="11">
        <v>-29730.0</v>
      </c>
      <c r="AQ845" s="11">
        <v>-25630.0</v>
      </c>
      <c r="AR845" s="11">
        <v>-12050.0</v>
      </c>
      <c r="AS845" s="11">
        <v>-26210.0</v>
      </c>
      <c r="AT845" s="11">
        <v>-26030.0</v>
      </c>
      <c r="AU845" s="11">
        <v>-22140.0</v>
      </c>
      <c r="AV845" s="11">
        <v>-25340.0</v>
      </c>
      <c r="AW845" s="11">
        <v>-8100.0</v>
      </c>
      <c r="AX845" s="11">
        <v>-100.0</v>
      </c>
      <c r="AY845" s="12"/>
      <c r="AZ845" s="11">
        <v>-64.0</v>
      </c>
      <c r="BA845" s="11">
        <v>-144.0</v>
      </c>
      <c r="BB845" s="12"/>
      <c r="BC845" s="12"/>
      <c r="BD845" s="12"/>
      <c r="BE845" s="12"/>
      <c r="BF845" s="12"/>
      <c r="BG845" s="12"/>
      <c r="BH845" s="11">
        <v>3890.0</v>
      </c>
      <c r="BI845" s="11">
        <v>16280.0</v>
      </c>
      <c r="BJ845" s="11">
        <v>25740.0</v>
      </c>
      <c r="BK845" s="11">
        <v>793.0</v>
      </c>
      <c r="BL845" s="11">
        <v>405.0</v>
      </c>
      <c r="BM845" s="11">
        <v>185.0</v>
      </c>
      <c r="BN845" s="11">
        <v>836.0</v>
      </c>
      <c r="BO845" s="11">
        <v>1740.0</v>
      </c>
      <c r="BP845" s="11">
        <v>3170.0</v>
      </c>
      <c r="BQ845" s="12"/>
      <c r="BR845" s="12"/>
      <c r="BS845" s="12"/>
      <c r="BT845" s="12"/>
      <c r="BU845" s="12"/>
      <c r="BV845" s="12"/>
      <c r="BW845" s="11">
        <v>4240.0</v>
      </c>
      <c r="BX845" s="11">
        <v>17320.0</v>
      </c>
      <c r="BY845" s="11">
        <v>27660.0</v>
      </c>
      <c r="BZ845" s="11">
        <v>4030.0</v>
      </c>
      <c r="CA845" s="11">
        <v>494.0</v>
      </c>
      <c r="CB845" s="11">
        <v>1150.0</v>
      </c>
      <c r="CC845" s="11">
        <v>86.0</v>
      </c>
      <c r="CD845" s="11">
        <v>135.0</v>
      </c>
      <c r="CE845" s="11">
        <v>119.0</v>
      </c>
      <c r="CF845" s="12"/>
      <c r="CG845" s="12"/>
      <c r="CH845" s="12"/>
      <c r="CI845" s="12"/>
      <c r="CJ845" s="12"/>
      <c r="CK845" s="12"/>
      <c r="CL845" s="11">
        <v>7450.0</v>
      </c>
      <c r="CM845" s="11">
        <v>19070.0</v>
      </c>
      <c r="CN845" s="11">
        <v>29060.0</v>
      </c>
      <c r="CO845" s="11">
        <v>6460.0</v>
      </c>
      <c r="CP845" s="11">
        <v>1260.0</v>
      </c>
      <c r="CQ845" s="11">
        <v>4570.0</v>
      </c>
      <c r="CR845" s="11">
        <v>3580.0</v>
      </c>
      <c r="CS845" s="12"/>
      <c r="CT845" s="12"/>
      <c r="CU845" s="12"/>
      <c r="CV845" s="11">
        <v>8490.0</v>
      </c>
      <c r="CW845" s="11">
        <v>474.0</v>
      </c>
      <c r="CX845" s="12"/>
      <c r="CY845" s="12"/>
      <c r="CZ845" s="11">
        <v>30270.0</v>
      </c>
      <c r="DA845" s="11">
        <v>3140.0</v>
      </c>
      <c r="DB845" s="11">
        <v>8490.0</v>
      </c>
      <c r="DC845" s="11">
        <v>6450.0</v>
      </c>
      <c r="DD845" s="11">
        <v>6080.0</v>
      </c>
      <c r="DE845" s="11">
        <v>36160.0</v>
      </c>
      <c r="DF845" s="11">
        <v>9200.0</v>
      </c>
      <c r="DG845" s="11">
        <v>9900.0</v>
      </c>
      <c r="DH845" s="11">
        <v>17950.0</v>
      </c>
      <c r="DI845" s="11">
        <v>36160.0</v>
      </c>
      <c r="DJ845" s="11">
        <v>5670.0</v>
      </c>
      <c r="DK845" s="12"/>
      <c r="DL845" s="12"/>
      <c r="DM845" s="12"/>
      <c r="DN845" s="12"/>
      <c r="DO845" s="12"/>
      <c r="DP845" s="11">
        <v>552.0</v>
      </c>
      <c r="DQ845" s="12"/>
      <c r="DR845" s="12"/>
      <c r="DS845" s="12"/>
      <c r="DT845" s="12"/>
      <c r="DU845" s="13"/>
      <c r="DV845" s="12"/>
      <c r="DW845" s="12"/>
      <c r="DX845" s="11">
        <v>70530.0</v>
      </c>
      <c r="DY845" s="11">
        <v>65880.0</v>
      </c>
      <c r="DZ845" s="11">
        <v>-1750.0</v>
      </c>
      <c r="EA845" s="11">
        <v>9180.0</v>
      </c>
      <c r="EB845" s="11">
        <v>11120.0</v>
      </c>
      <c r="EC845" s="11">
        <v>-29700.0</v>
      </c>
      <c r="ED845" s="11">
        <v>-4410.0</v>
      </c>
      <c r="EE845" s="23"/>
      <c r="EF845" s="23"/>
      <c r="EG845" s="14">
        <v>0.333</v>
      </c>
      <c r="EH845" s="14">
        <v>-0.248</v>
      </c>
    </row>
    <row r="846">
      <c r="A846" s="9">
        <f t="shared" si="2"/>
        <v>844</v>
      </c>
      <c r="B846" s="10" t="s">
        <v>981</v>
      </c>
      <c r="C846" s="11">
        <v>2380000.0</v>
      </c>
      <c r="D846" s="11">
        <v>2220000.0</v>
      </c>
      <c r="E846" s="11">
        <v>2310000.0</v>
      </c>
      <c r="F846" s="11">
        <v>2830000.0</v>
      </c>
      <c r="G846" s="11">
        <v>2730000.0</v>
      </c>
      <c r="H846" s="11">
        <v>2230000.0</v>
      </c>
      <c r="I846" s="11">
        <v>1890000.0</v>
      </c>
      <c r="J846" s="11">
        <v>300000.0</v>
      </c>
      <c r="K846" s="11">
        <v>740800.0</v>
      </c>
      <c r="L846" s="11">
        <v>732600.0</v>
      </c>
      <c r="M846" s="11">
        <v>396600.0</v>
      </c>
      <c r="N846" s="11">
        <v>107900.0</v>
      </c>
      <c r="O846" s="11">
        <v>227000.0</v>
      </c>
      <c r="P846" s="11">
        <v>206100.0</v>
      </c>
      <c r="Q846" s="11">
        <v>188100.0</v>
      </c>
      <c r="R846" s="11">
        <v>183600.0</v>
      </c>
      <c r="S846" s="11">
        <v>152800.0</v>
      </c>
      <c r="T846" s="12"/>
      <c r="U846" s="12"/>
      <c r="V846" s="12"/>
      <c r="W846" s="12"/>
      <c r="X846" s="12"/>
      <c r="Y846" s="11">
        <v>-4000.0</v>
      </c>
      <c r="Z846" s="11">
        <v>525200.0</v>
      </c>
      <c r="AA846" s="11">
        <v>-9100.0</v>
      </c>
      <c r="AB846" s="11">
        <v>178000.0</v>
      </c>
      <c r="AC846" s="11">
        <v>-62000.0</v>
      </c>
      <c r="AD846" s="11">
        <v>-23000.0</v>
      </c>
      <c r="AE846" s="11">
        <v>524000.0</v>
      </c>
      <c r="AF846" s="11">
        <v>510200.0</v>
      </c>
      <c r="AG846" s="11">
        <v>164900.0</v>
      </c>
      <c r="AH846" s="11">
        <v>-95400.0</v>
      </c>
      <c r="AI846" s="11">
        <v>200000.0</v>
      </c>
      <c r="AJ846" s="11">
        <v>670700.0</v>
      </c>
      <c r="AK846" s="11">
        <v>661500.0</v>
      </c>
      <c r="AL846" s="11">
        <v>308900.0</v>
      </c>
      <c r="AM846" s="11">
        <v>53800.0</v>
      </c>
      <c r="AN846" s="11">
        <v>-5000.0</v>
      </c>
      <c r="AO846" s="11">
        <v>398800.0</v>
      </c>
      <c r="AP846" s="11">
        <v>391100.0</v>
      </c>
      <c r="AQ846" s="11">
        <v>150300.0</v>
      </c>
      <c r="AR846" s="11">
        <v>-86000.0</v>
      </c>
      <c r="AS846" s="11">
        <v>159000.0</v>
      </c>
      <c r="AT846" s="11">
        <v>510500.0</v>
      </c>
      <c r="AU846" s="11">
        <v>473200.0</v>
      </c>
      <c r="AV846" s="11">
        <v>342300.0</v>
      </c>
      <c r="AW846" s="11">
        <v>29200.0</v>
      </c>
      <c r="AX846" s="11">
        <v>-163000.0</v>
      </c>
      <c r="AY846" s="11">
        <v>-214200.0</v>
      </c>
      <c r="AZ846" s="11">
        <v>-148600.0</v>
      </c>
      <c r="BA846" s="11">
        <v>-124800.0</v>
      </c>
      <c r="BB846" s="11">
        <v>-113800.0</v>
      </c>
      <c r="BC846" s="24">
        <v>-65000.0</v>
      </c>
      <c r="BD846" s="11">
        <v>-74400.0</v>
      </c>
      <c r="BE846" s="12"/>
      <c r="BF846" s="13"/>
      <c r="BG846" s="13"/>
      <c r="BH846" s="11">
        <v>181000.0</v>
      </c>
      <c r="BI846" s="11">
        <v>878400.0</v>
      </c>
      <c r="BJ846" s="11">
        <v>928000.0</v>
      </c>
      <c r="BK846" s="11">
        <v>659300.0</v>
      </c>
      <c r="BL846" s="11">
        <v>434700.0</v>
      </c>
      <c r="BM846" s="11">
        <v>164000.0</v>
      </c>
      <c r="BN846" s="11">
        <v>127600.0</v>
      </c>
      <c r="BO846" s="11">
        <v>142500.0</v>
      </c>
      <c r="BP846" s="11">
        <v>108300.0</v>
      </c>
      <c r="BQ846" s="11">
        <v>96400.0</v>
      </c>
      <c r="BR846" s="11">
        <v>265000.0</v>
      </c>
      <c r="BS846" s="11">
        <v>273000.0</v>
      </c>
      <c r="BT846" s="11">
        <v>259100.0</v>
      </c>
      <c r="BU846" s="11">
        <v>234600.0</v>
      </c>
      <c r="BV846" s="11">
        <v>222000.0</v>
      </c>
      <c r="BW846" s="11">
        <v>619000.0</v>
      </c>
      <c r="BX846" s="11">
        <v>1290000.0</v>
      </c>
      <c r="BY846" s="11">
        <v>1360000.0</v>
      </c>
      <c r="BZ846" s="11">
        <v>1020000.0</v>
      </c>
      <c r="CA846" s="11">
        <v>769100.0</v>
      </c>
      <c r="CB846" s="11">
        <v>1010000.0</v>
      </c>
      <c r="CC846" s="11">
        <v>1010000.0</v>
      </c>
      <c r="CD846" s="11">
        <v>926100.0</v>
      </c>
      <c r="CE846" s="11">
        <v>883200.0</v>
      </c>
      <c r="CF846" s="11">
        <v>862400.0</v>
      </c>
      <c r="CG846" s="11">
        <v>30000.0</v>
      </c>
      <c r="CH846" s="11">
        <v>16100.0</v>
      </c>
      <c r="CI846" s="11">
        <v>16100.0</v>
      </c>
      <c r="CJ846" s="11">
        <v>9700.0</v>
      </c>
      <c r="CK846" s="11">
        <v>9700.0</v>
      </c>
      <c r="CL846" s="11">
        <v>1840000.0</v>
      </c>
      <c r="CM846" s="11">
        <v>2510000.0</v>
      </c>
      <c r="CN846" s="11">
        <v>2450000.0</v>
      </c>
      <c r="CO846" s="11">
        <v>2030000.0</v>
      </c>
      <c r="CP846" s="11">
        <v>2180000.0</v>
      </c>
      <c r="CQ846" s="11">
        <v>127000.0</v>
      </c>
      <c r="CR846" s="11">
        <v>116100.0</v>
      </c>
      <c r="CS846" s="11">
        <v>112300.0</v>
      </c>
      <c r="CT846" s="11">
        <v>89900.0</v>
      </c>
      <c r="CU846" s="11">
        <v>73000.0</v>
      </c>
      <c r="CV846" s="11">
        <v>244000.0</v>
      </c>
      <c r="CW846" s="11">
        <v>8000.0</v>
      </c>
      <c r="CX846" s="13"/>
      <c r="CY846" s="13"/>
      <c r="CZ846" s="13"/>
      <c r="DA846" s="12"/>
      <c r="DB846" s="11">
        <v>244000.0</v>
      </c>
      <c r="DC846" s="11">
        <v>261600.0</v>
      </c>
      <c r="DD846" s="11">
        <v>270100.0</v>
      </c>
      <c r="DE846" s="11">
        <v>228800.0</v>
      </c>
      <c r="DF846" s="11">
        <v>834000.0</v>
      </c>
      <c r="DG846" s="11">
        <v>813900.0</v>
      </c>
      <c r="DH846" s="11">
        <v>844000.0</v>
      </c>
      <c r="DI846" s="11">
        <v>835500.0</v>
      </c>
      <c r="DJ846" s="11">
        <v>1160000.0</v>
      </c>
      <c r="DK846" s="11">
        <v>24000.0</v>
      </c>
      <c r="DL846" s="11">
        <v>62800.0</v>
      </c>
      <c r="DM846" s="11">
        <v>21100.0</v>
      </c>
      <c r="DN846" s="11">
        <v>19400.0</v>
      </c>
      <c r="DO846" s="24">
        <v>22000.0</v>
      </c>
      <c r="DP846" s="11">
        <v>384000.0</v>
      </c>
      <c r="DQ846" s="11">
        <v>346900.0</v>
      </c>
      <c r="DR846" s="11">
        <v>350800.0</v>
      </c>
      <c r="DS846" s="11">
        <v>374400.0</v>
      </c>
      <c r="DT846" s="11">
        <v>751800.0</v>
      </c>
      <c r="DU846" s="13"/>
      <c r="DV846" s="12"/>
      <c r="DW846" s="12"/>
      <c r="DX846" s="12"/>
      <c r="DY846" s="13"/>
      <c r="DZ846" s="11">
        <v>991000.0</v>
      </c>
      <c r="EA846" s="11">
        <v>1700000.0</v>
      </c>
      <c r="EB846" s="11">
        <v>1600000.0</v>
      </c>
      <c r="EC846" s="11">
        <v>1200000.0</v>
      </c>
      <c r="ED846" s="11">
        <v>1020000.0</v>
      </c>
      <c r="EE846" s="23">
        <v>0.099099099</v>
      </c>
      <c r="EF846" s="23">
        <v>0.716806723</v>
      </c>
      <c r="EG846" s="14">
        <v>0.097</v>
      </c>
      <c r="EH846" s="23">
        <v>-0.3745</v>
      </c>
    </row>
    <row r="847">
      <c r="A847" s="9">
        <f t="shared" si="2"/>
        <v>845</v>
      </c>
      <c r="B847" s="22" t="s">
        <v>982</v>
      </c>
      <c r="C847" s="11">
        <v>21150.0</v>
      </c>
      <c r="D847" s="12"/>
      <c r="E847" s="11">
        <v>8070.0</v>
      </c>
      <c r="F847" s="11">
        <v>2710.0</v>
      </c>
      <c r="G847" s="11">
        <v>7260.0</v>
      </c>
      <c r="H847" s="11">
        <v>13220.0</v>
      </c>
      <c r="I847" s="12"/>
      <c r="J847" s="11">
        <v>4470.0</v>
      </c>
      <c r="K847" s="11">
        <v>1040.0</v>
      </c>
      <c r="L847" s="11">
        <v>6010.0</v>
      </c>
      <c r="M847" s="11">
        <v>12300.0</v>
      </c>
      <c r="N847" s="12"/>
      <c r="O847" s="11">
        <v>51300.0</v>
      </c>
      <c r="P847" s="11">
        <v>35910.0</v>
      </c>
      <c r="Q847" s="11">
        <v>34030.0</v>
      </c>
      <c r="R847" s="11">
        <v>28160.0</v>
      </c>
      <c r="S847" s="12"/>
      <c r="T847" s="11">
        <v>37700.0</v>
      </c>
      <c r="U847" s="11">
        <v>28700.0</v>
      </c>
      <c r="V847" s="11">
        <v>24750.0</v>
      </c>
      <c r="W847" s="11">
        <v>23320.0</v>
      </c>
      <c r="X847" s="12"/>
      <c r="Y847" s="12"/>
      <c r="Z847" s="11">
        <v>-34450.0</v>
      </c>
      <c r="AA847" s="11">
        <v>-16140.0</v>
      </c>
      <c r="AB847" s="12"/>
      <c r="AC847" s="12"/>
      <c r="AD847" s="11">
        <v>-47580.0</v>
      </c>
      <c r="AE847" s="11">
        <v>-53140.0</v>
      </c>
      <c r="AF847" s="11">
        <v>-29150.0</v>
      </c>
      <c r="AG847" s="11">
        <v>-15930.0</v>
      </c>
      <c r="AH847" s="12"/>
      <c r="AI847" s="11">
        <v>-44030.0</v>
      </c>
      <c r="AJ847" s="11">
        <v>-33320.0</v>
      </c>
      <c r="AK847" s="11">
        <v>-27100.0</v>
      </c>
      <c r="AL847" s="11">
        <v>-15210.0</v>
      </c>
      <c r="AM847" s="12"/>
      <c r="AN847" s="11">
        <v>-47580.0</v>
      </c>
      <c r="AO847" s="11">
        <v>-53140.0</v>
      </c>
      <c r="AP847" s="11">
        <v>-29150.0</v>
      </c>
      <c r="AQ847" s="11">
        <v>-15930.0</v>
      </c>
      <c r="AR847" s="12"/>
      <c r="AS847" s="11">
        <v>-48280.0</v>
      </c>
      <c r="AT847" s="11">
        <v>-31830.0</v>
      </c>
      <c r="AU847" s="11">
        <v>-24290.0</v>
      </c>
      <c r="AV847" s="11">
        <v>-13950.0</v>
      </c>
      <c r="AW847" s="12"/>
      <c r="AX847" s="11">
        <v>-1850.0</v>
      </c>
      <c r="AY847" s="11">
        <v>-871.0</v>
      </c>
      <c r="AZ847" s="11">
        <v>-2540.0</v>
      </c>
      <c r="BA847" s="11">
        <v>-2890.0</v>
      </c>
      <c r="BB847" s="12"/>
      <c r="BC847" s="12"/>
      <c r="BD847" s="12"/>
      <c r="BE847" s="12"/>
      <c r="BF847" s="12"/>
      <c r="BG847" s="12"/>
      <c r="BH847" s="11">
        <v>55800.0</v>
      </c>
      <c r="BI847" s="11">
        <v>39530.0</v>
      </c>
      <c r="BJ847" s="11">
        <v>3420.0</v>
      </c>
      <c r="BK847" s="11">
        <v>1440.0</v>
      </c>
      <c r="BL847" s="12"/>
      <c r="BM847" s="12"/>
      <c r="BN847" s="11">
        <v>273.0</v>
      </c>
      <c r="BO847" s="11">
        <v>1620.0</v>
      </c>
      <c r="BP847" s="11">
        <v>1240.0</v>
      </c>
      <c r="BQ847" s="12"/>
      <c r="BR847" s="12"/>
      <c r="BS847" s="12"/>
      <c r="BT847" s="12"/>
      <c r="BU847" s="12"/>
      <c r="BV847" s="12"/>
      <c r="BW847" s="11">
        <v>56390.0</v>
      </c>
      <c r="BX847" s="11">
        <v>40030.0</v>
      </c>
      <c r="BY847" s="11">
        <v>5160.0</v>
      </c>
      <c r="BZ847" s="11">
        <v>3150.0</v>
      </c>
      <c r="CA847" s="12"/>
      <c r="CB847" s="11">
        <v>12080.0</v>
      </c>
      <c r="CC847" s="11">
        <v>8130.0</v>
      </c>
      <c r="CD847" s="11">
        <v>8240.0</v>
      </c>
      <c r="CE847" s="11">
        <v>4350.0</v>
      </c>
      <c r="CF847" s="12"/>
      <c r="CG847" s="12"/>
      <c r="CH847" s="12"/>
      <c r="CI847" s="12"/>
      <c r="CJ847" s="12"/>
      <c r="CK847" s="12"/>
      <c r="CL847" s="11">
        <v>68840.0</v>
      </c>
      <c r="CM847" s="11">
        <v>49420.0</v>
      </c>
      <c r="CN847" s="11">
        <v>14840.0</v>
      </c>
      <c r="CO847" s="11">
        <v>8490.0</v>
      </c>
      <c r="CP847" s="12"/>
      <c r="CQ847" s="11">
        <v>3500.0</v>
      </c>
      <c r="CR847" s="11">
        <v>3240.0</v>
      </c>
      <c r="CS847" s="11">
        <v>4420.0</v>
      </c>
      <c r="CT847" s="11">
        <v>2410.0</v>
      </c>
      <c r="CU847" s="12"/>
      <c r="CV847" s="11">
        <v>16870.0</v>
      </c>
      <c r="CW847" s="11">
        <v>566.0</v>
      </c>
      <c r="CX847" s="12"/>
      <c r="CY847" s="12"/>
      <c r="CZ847" s="12"/>
      <c r="DA847" s="12"/>
      <c r="DB847" s="11">
        <v>16870.0</v>
      </c>
      <c r="DC847" s="11">
        <v>8250.0</v>
      </c>
      <c r="DD847" s="11">
        <v>30520.0</v>
      </c>
      <c r="DE847" s="11">
        <v>12090.0</v>
      </c>
      <c r="DF847" s="11">
        <v>33890.0</v>
      </c>
      <c r="DG847" s="11">
        <v>30730.0</v>
      </c>
      <c r="DH847" s="11">
        <v>46070.0</v>
      </c>
      <c r="DI847" s="11">
        <v>26730.0</v>
      </c>
      <c r="DJ847" s="12"/>
      <c r="DK847" s="12"/>
      <c r="DL847" s="12"/>
      <c r="DM847" s="12"/>
      <c r="DN847" s="12"/>
      <c r="DO847" s="12"/>
      <c r="DP847" s="11">
        <v>17020.0</v>
      </c>
      <c r="DQ847" s="11">
        <v>12000.0</v>
      </c>
      <c r="DR847" s="11">
        <v>7410.0</v>
      </c>
      <c r="DS847" s="11">
        <v>5460.0</v>
      </c>
      <c r="DT847" s="12"/>
      <c r="DU847" s="13"/>
      <c r="DV847" s="12"/>
      <c r="DW847" s="11">
        <v>43.0</v>
      </c>
      <c r="DX847" s="24">
        <v>43.0</v>
      </c>
      <c r="DY847" s="13"/>
      <c r="DZ847" s="11">
        <v>34950.0</v>
      </c>
      <c r="EA847" s="11">
        <v>18690.0</v>
      </c>
      <c r="EB847" s="11">
        <v>-33690.0</v>
      </c>
      <c r="EC847" s="11">
        <v>-18250.0</v>
      </c>
      <c r="ED847" s="12"/>
      <c r="EE847" s="23"/>
      <c r="EF847" s="14">
        <v>0.823</v>
      </c>
      <c r="EG847" s="14">
        <v>-0.114</v>
      </c>
      <c r="EH847" s="14">
        <v>-0.125</v>
      </c>
    </row>
    <row r="848">
      <c r="A848" s="9">
        <f t="shared" si="2"/>
        <v>846</v>
      </c>
      <c r="B848" s="10" t="s">
        <v>983</v>
      </c>
      <c r="C848" s="15">
        <v>1.11E7</v>
      </c>
      <c r="D848" s="15">
        <v>9930000.0</v>
      </c>
      <c r="E848" s="15">
        <v>9640000.0</v>
      </c>
      <c r="F848" s="15">
        <v>1.109E7</v>
      </c>
      <c r="G848" s="15">
        <v>8020000.0</v>
      </c>
      <c r="H848" s="15">
        <v>5890000.0</v>
      </c>
      <c r="I848" s="15">
        <v>5250000.0</v>
      </c>
      <c r="J848" s="15">
        <v>4350000.0</v>
      </c>
      <c r="K848" s="15">
        <v>5410000.0</v>
      </c>
      <c r="L848" s="15">
        <v>3800000.0</v>
      </c>
      <c r="M848" s="15">
        <v>2750000.0</v>
      </c>
      <c r="N848" s="15">
        <v>2400000.0</v>
      </c>
      <c r="O848" s="15">
        <v>1890000.0</v>
      </c>
      <c r="P848" s="15">
        <v>1950000.0</v>
      </c>
      <c r="Q848" s="15">
        <v>1690000.0</v>
      </c>
      <c r="R848" s="15">
        <v>1510000.0</v>
      </c>
      <c r="S848" s="15">
        <v>1410000.0</v>
      </c>
      <c r="T848" s="15">
        <v>1190000.0</v>
      </c>
      <c r="U848" s="15">
        <v>1190000.0</v>
      </c>
      <c r="V848" s="15">
        <v>1030000.0</v>
      </c>
      <c r="W848" s="15">
        <v>913710.0</v>
      </c>
      <c r="X848" s="15">
        <v>825240.0</v>
      </c>
      <c r="Y848" s="15">
        <v>2470000.0</v>
      </c>
      <c r="Z848" s="15">
        <v>3180000.0</v>
      </c>
      <c r="AA848" s="15">
        <v>1880000.0</v>
      </c>
      <c r="AB848" s="15">
        <v>-66360.0</v>
      </c>
      <c r="AC848" s="15">
        <v>775360.0</v>
      </c>
      <c r="AD848" s="15">
        <v>2450000.0</v>
      </c>
      <c r="AE848" s="15">
        <v>3150000.0</v>
      </c>
      <c r="AF848" s="15">
        <v>1810000.0</v>
      </c>
      <c r="AG848" s="15">
        <v>960120.0</v>
      </c>
      <c r="AH848" s="15">
        <v>740850.0</v>
      </c>
      <c r="AI848" s="15">
        <v>2770000.0</v>
      </c>
      <c r="AJ848" s="15">
        <v>3550000.0</v>
      </c>
      <c r="AK848" s="15">
        <v>2220000.0</v>
      </c>
      <c r="AL848" s="15">
        <v>1410000.0</v>
      </c>
      <c r="AM848" s="15">
        <v>1140000.0</v>
      </c>
      <c r="AN848" s="15">
        <v>2190000.0</v>
      </c>
      <c r="AO848" s="15">
        <v>2380000.0</v>
      </c>
      <c r="AP848" s="15">
        <v>1700000.0</v>
      </c>
      <c r="AQ848" s="15">
        <v>914050.0</v>
      </c>
      <c r="AR848" s="15">
        <v>655580.0</v>
      </c>
      <c r="AS848" s="15">
        <v>3180000.0</v>
      </c>
      <c r="AT848" s="15">
        <v>2660000.0</v>
      </c>
      <c r="AU848" s="15">
        <v>2030000.0</v>
      </c>
      <c r="AV848" s="15">
        <v>1350000.0</v>
      </c>
      <c r="AW848" s="15">
        <v>785500.0</v>
      </c>
      <c r="AX848" s="15">
        <v>-303490.0</v>
      </c>
      <c r="AY848" s="15">
        <v>-273470.0</v>
      </c>
      <c r="AZ848" s="15">
        <v>-157420.0</v>
      </c>
      <c r="BA848" s="15">
        <v>-175330.0</v>
      </c>
      <c r="BB848" s="15">
        <v>-198270.0</v>
      </c>
      <c r="BC848" s="15">
        <v>-678350.0</v>
      </c>
      <c r="BD848" s="15">
        <v>-307610.0</v>
      </c>
      <c r="BE848" s="15">
        <v>-243500.0</v>
      </c>
      <c r="BF848" s="15">
        <v>-190400.0</v>
      </c>
      <c r="BG848" s="15">
        <v>-116060.0</v>
      </c>
      <c r="BH848" s="15">
        <v>5430000.0</v>
      </c>
      <c r="BI848" s="15">
        <v>4950000.0</v>
      </c>
      <c r="BJ848" s="15">
        <v>6040000.0</v>
      </c>
      <c r="BK848" s="15">
        <v>6830000.0</v>
      </c>
      <c r="BL848" s="15">
        <v>4080000.0</v>
      </c>
      <c r="BM848" s="15">
        <v>1460000.0</v>
      </c>
      <c r="BN848" s="15">
        <v>2180000.0</v>
      </c>
      <c r="BO848" s="15">
        <v>1670000.0</v>
      </c>
      <c r="BP848" s="15">
        <v>1260000.0</v>
      </c>
      <c r="BQ848" s="15">
        <v>1090000.0</v>
      </c>
      <c r="BR848" s="15">
        <v>1540000.0</v>
      </c>
      <c r="BS848" s="15">
        <v>1880000.0</v>
      </c>
      <c r="BT848" s="15">
        <v>1230000.0</v>
      </c>
      <c r="BU848" s="15">
        <v>971910.0</v>
      </c>
      <c r="BV848" s="15">
        <v>943350.0</v>
      </c>
      <c r="BW848" s="15">
        <v>8560000.0</v>
      </c>
      <c r="BX848" s="15">
        <v>9150000.0</v>
      </c>
      <c r="BY848" s="15">
        <v>9140000.0</v>
      </c>
      <c r="BZ848" s="15">
        <v>9210000.0</v>
      </c>
      <c r="CA848" s="15">
        <v>6270000.0</v>
      </c>
      <c r="CB848" s="15">
        <v>1060000.0</v>
      </c>
      <c r="CC848" s="15">
        <v>902550.0</v>
      </c>
      <c r="CD848" s="15">
        <v>685600.0</v>
      </c>
      <c r="CE848" s="15">
        <v>639610.0</v>
      </c>
      <c r="CF848" s="15">
        <v>621420.0</v>
      </c>
      <c r="CG848" s="15">
        <v>1480000.0</v>
      </c>
      <c r="CH848" s="15">
        <v>1480000.0</v>
      </c>
      <c r="CI848" s="15">
        <v>1390000.0</v>
      </c>
      <c r="CJ848" s="15">
        <v>1390000.0</v>
      </c>
      <c r="CK848" s="15">
        <v>1390000.0</v>
      </c>
      <c r="CL848" s="15">
        <v>1.2E7</v>
      </c>
      <c r="CM848" s="15">
        <v>1.248E7</v>
      </c>
      <c r="CN848" s="15">
        <v>1.212E7</v>
      </c>
      <c r="CO848" s="15">
        <v>1.227E7</v>
      </c>
      <c r="CP848" s="15">
        <v>9360000.0</v>
      </c>
      <c r="CQ848" s="15">
        <v>376560.0</v>
      </c>
      <c r="CR848" s="15">
        <v>510980.0</v>
      </c>
      <c r="CS848" s="15">
        <v>464640.0</v>
      </c>
      <c r="CT848" s="15">
        <v>348200.0</v>
      </c>
      <c r="CU848" s="15">
        <v>300200.0</v>
      </c>
      <c r="CV848" s="15">
        <v>2370000.0</v>
      </c>
      <c r="CW848" s="15">
        <v>0.0</v>
      </c>
      <c r="CX848" s="15">
        <v>0.0</v>
      </c>
      <c r="CY848" s="16">
        <v>0.0</v>
      </c>
      <c r="CZ848" s="16">
        <v>0.0</v>
      </c>
      <c r="DA848" s="15">
        <v>0.0</v>
      </c>
      <c r="DB848" s="15">
        <v>2370000.0</v>
      </c>
      <c r="DC848" s="15">
        <v>3150000.0</v>
      </c>
      <c r="DD848" s="15">
        <v>2950000.0</v>
      </c>
      <c r="DE848" s="15">
        <v>2420000.0</v>
      </c>
      <c r="DF848" s="15">
        <v>7330000.0</v>
      </c>
      <c r="DG848" s="15">
        <v>5980000.0</v>
      </c>
      <c r="DH848" s="15">
        <v>5310000.0</v>
      </c>
      <c r="DI848" s="15">
        <v>6380000.0</v>
      </c>
      <c r="DJ848" s="15">
        <v>4260000.0</v>
      </c>
      <c r="DK848" s="15">
        <v>256710.0</v>
      </c>
      <c r="DL848" s="15">
        <v>256300.0</v>
      </c>
      <c r="DM848" s="15">
        <v>256210.0</v>
      </c>
      <c r="DN848" s="15">
        <v>250420.0</v>
      </c>
      <c r="DO848" s="15">
        <v>170970.0</v>
      </c>
      <c r="DP848" s="15">
        <v>3870000.0</v>
      </c>
      <c r="DQ848" s="15">
        <v>1880000.0</v>
      </c>
      <c r="DR848" s="15">
        <v>1950000.0</v>
      </c>
      <c r="DS848" s="15">
        <v>3590000.0</v>
      </c>
      <c r="DT848" s="15">
        <v>1240000.0</v>
      </c>
      <c r="DU848" s="16">
        <v>0.0</v>
      </c>
      <c r="DV848" s="15">
        <v>0.0</v>
      </c>
      <c r="DW848" s="15">
        <v>0.0</v>
      </c>
      <c r="DX848" s="15">
        <v>0.0</v>
      </c>
      <c r="DY848" s="15">
        <v>0.0</v>
      </c>
      <c r="DZ848" s="15">
        <v>4670000.0</v>
      </c>
      <c r="EA848" s="15">
        <v>6500000.0</v>
      </c>
      <c r="EB848" s="15">
        <v>6820000.0</v>
      </c>
      <c r="EC848" s="15">
        <v>5890000.0</v>
      </c>
      <c r="ED848" s="15">
        <v>5100000.0</v>
      </c>
      <c r="EE848" s="17">
        <v>0.05</v>
      </c>
      <c r="EF848" s="17">
        <v>0.272</v>
      </c>
      <c r="EG848" s="17">
        <v>0.0</v>
      </c>
      <c r="EH848" s="17">
        <v>0.039</v>
      </c>
    </row>
    <row r="849">
      <c r="A849" s="9">
        <f t="shared" si="2"/>
        <v>847</v>
      </c>
      <c r="B849" s="10" t="s">
        <v>984</v>
      </c>
      <c r="C849" s="15">
        <v>438290.0</v>
      </c>
      <c r="D849" s="15">
        <v>397650.0</v>
      </c>
      <c r="E849" s="15">
        <v>404090.0</v>
      </c>
      <c r="F849" s="15">
        <v>398800.0</v>
      </c>
      <c r="G849" s="15">
        <v>385960.0</v>
      </c>
      <c r="H849" s="15">
        <v>427050.0</v>
      </c>
      <c r="I849" s="15">
        <v>405970.0</v>
      </c>
      <c r="J849" s="15">
        <v>224810.0</v>
      </c>
      <c r="K849" s="15">
        <v>210070.0</v>
      </c>
      <c r="L849" s="15">
        <v>184670.0</v>
      </c>
      <c r="M849" s="15">
        <v>212110.0</v>
      </c>
      <c r="N849" s="15">
        <v>189600.0</v>
      </c>
      <c r="O849" s="15">
        <v>161100.0</v>
      </c>
      <c r="P849" s="15">
        <v>173230.0</v>
      </c>
      <c r="Q849" s="15">
        <v>193510.0</v>
      </c>
      <c r="R849" s="15">
        <v>215380.0</v>
      </c>
      <c r="S849" s="15">
        <v>233490.0</v>
      </c>
      <c r="T849" s="15">
        <v>78560.0</v>
      </c>
      <c r="U849" s="15">
        <v>82170.0</v>
      </c>
      <c r="V849" s="15">
        <v>102790.0</v>
      </c>
      <c r="W849" s="15">
        <v>116770.0</v>
      </c>
      <c r="X849" s="15">
        <v>136140.0</v>
      </c>
      <c r="Y849" s="15">
        <v>56810.0</v>
      </c>
      <c r="Z849" s="15">
        <v>-3120.0</v>
      </c>
      <c r="AA849" s="15">
        <v>-52140.0</v>
      </c>
      <c r="AB849" s="15">
        <v>-26700.0</v>
      </c>
      <c r="AC849" s="15">
        <v>-107230.0</v>
      </c>
      <c r="AD849" s="15">
        <v>45070.0</v>
      </c>
      <c r="AE849" s="15">
        <v>-23970.0</v>
      </c>
      <c r="AF849" s="15">
        <v>-69710.0</v>
      </c>
      <c r="AG849" s="15">
        <v>-42720.0</v>
      </c>
      <c r="AH849" s="15">
        <v>-126450.0</v>
      </c>
      <c r="AI849" s="15">
        <v>102560.0</v>
      </c>
      <c r="AJ849" s="15">
        <v>75510.0</v>
      </c>
      <c r="AK849" s="15">
        <v>49030.0</v>
      </c>
      <c r="AL849" s="15">
        <v>58550.0</v>
      </c>
      <c r="AM849" s="15">
        <v>16920.0</v>
      </c>
      <c r="AN849" s="15">
        <v>43490.0</v>
      </c>
      <c r="AO849" s="15">
        <v>-26320.0</v>
      </c>
      <c r="AP849" s="15">
        <v>-70560.0</v>
      </c>
      <c r="AQ849" s="15">
        <v>-54100.0</v>
      </c>
      <c r="AR849" s="15">
        <v>-159230.0</v>
      </c>
      <c r="AS849" s="15">
        <v>131030.0</v>
      </c>
      <c r="AT849" s="15">
        <v>51460.0</v>
      </c>
      <c r="AU849" s="15">
        <v>38510.0</v>
      </c>
      <c r="AV849" s="15">
        <v>41730.0</v>
      </c>
      <c r="AW849" s="15">
        <v>-22890.0</v>
      </c>
      <c r="AX849" s="15">
        <v>-25190.0</v>
      </c>
      <c r="AY849" s="15">
        <v>-16510.0</v>
      </c>
      <c r="AZ849" s="15">
        <v>-22390.0</v>
      </c>
      <c r="BA849" s="15">
        <v>-25750.0</v>
      </c>
      <c r="BB849" s="15">
        <v>-27720.0</v>
      </c>
      <c r="BC849" s="15">
        <v>0.0</v>
      </c>
      <c r="BD849" s="15">
        <v>0.0</v>
      </c>
      <c r="BE849" s="15">
        <v>0.0</v>
      </c>
      <c r="BF849" s="15">
        <v>0.0</v>
      </c>
      <c r="BG849" s="15">
        <v>0.0</v>
      </c>
      <c r="BH849" s="15">
        <v>118080.0</v>
      </c>
      <c r="BI849" s="15">
        <v>128680.0</v>
      </c>
      <c r="BJ849" s="15">
        <v>111800.0</v>
      </c>
      <c r="BK849" s="15">
        <v>116860.0</v>
      </c>
      <c r="BL849" s="15">
        <v>102570.0</v>
      </c>
      <c r="BM849" s="15">
        <v>70490.0</v>
      </c>
      <c r="BN849" s="15">
        <v>70030.0</v>
      </c>
      <c r="BO849" s="15">
        <v>55100.0</v>
      </c>
      <c r="BP849" s="15">
        <v>99640.0</v>
      </c>
      <c r="BQ849" s="15">
        <v>88470.0</v>
      </c>
      <c r="BR849" s="15">
        <v>54980.0</v>
      </c>
      <c r="BS849" s="15">
        <v>67100.0</v>
      </c>
      <c r="BT849" s="15">
        <v>79900.0</v>
      </c>
      <c r="BU849" s="15">
        <v>79170.0</v>
      </c>
      <c r="BV849" s="15">
        <v>75900.0</v>
      </c>
      <c r="BW849" s="15">
        <v>262430.0</v>
      </c>
      <c r="BX849" s="15">
        <v>284420.0</v>
      </c>
      <c r="BY849" s="15">
        <v>263370.0</v>
      </c>
      <c r="BZ849" s="15">
        <v>314700.0</v>
      </c>
      <c r="CA849" s="15">
        <v>285860.0</v>
      </c>
      <c r="CB849" s="15">
        <v>62820.0</v>
      </c>
      <c r="CC849" s="15">
        <v>34880.0</v>
      </c>
      <c r="CD849" s="15">
        <v>40420.0</v>
      </c>
      <c r="CE849" s="15">
        <v>49480.0</v>
      </c>
      <c r="CF849" s="15">
        <v>51850.0</v>
      </c>
      <c r="CG849" s="15">
        <v>267510.0</v>
      </c>
      <c r="CH849" s="15">
        <v>267510.0</v>
      </c>
      <c r="CI849" s="15">
        <v>267510.0</v>
      </c>
      <c r="CJ849" s="15">
        <v>269760.0</v>
      </c>
      <c r="CK849" s="15">
        <v>267550.0</v>
      </c>
      <c r="CL849" s="15">
        <v>615070.0</v>
      </c>
      <c r="CM849" s="15">
        <v>623690.0</v>
      </c>
      <c r="CN849" s="15">
        <v>635960.0</v>
      </c>
      <c r="CO849" s="15">
        <v>766880.0</v>
      </c>
      <c r="CP849" s="15">
        <v>785920.0</v>
      </c>
      <c r="CQ849" s="15">
        <v>44350.0</v>
      </c>
      <c r="CR849" s="15">
        <v>31880.0</v>
      </c>
      <c r="CS849" s="15">
        <v>35440.0</v>
      </c>
      <c r="CT849" s="15">
        <v>47500.0</v>
      </c>
      <c r="CU849" s="15">
        <v>57700.0</v>
      </c>
      <c r="CV849" s="15">
        <v>99820.0</v>
      </c>
      <c r="CW849" s="15">
        <v>4690.0</v>
      </c>
      <c r="CX849" s="15">
        <v>0.0</v>
      </c>
      <c r="CY849" s="16">
        <v>0.0</v>
      </c>
      <c r="CZ849" s="16">
        <v>0.0</v>
      </c>
      <c r="DA849" s="15">
        <v>0.0</v>
      </c>
      <c r="DB849" s="15">
        <v>99820.0</v>
      </c>
      <c r="DC849" s="15">
        <v>69420.0</v>
      </c>
      <c r="DD849" s="15">
        <v>83650.0</v>
      </c>
      <c r="DE849" s="15">
        <v>157550.0</v>
      </c>
      <c r="DF849" s="15">
        <v>287410.0</v>
      </c>
      <c r="DG849" s="15">
        <v>365230.0</v>
      </c>
      <c r="DH849" s="15">
        <v>418270.0</v>
      </c>
      <c r="DI849" s="15">
        <v>496450.0</v>
      </c>
      <c r="DJ849" s="15">
        <v>480400.0</v>
      </c>
      <c r="DK849" s="15">
        <v>0.0</v>
      </c>
      <c r="DL849" s="15">
        <v>2020.0</v>
      </c>
      <c r="DM849" s="15">
        <v>2290.0</v>
      </c>
      <c r="DN849" s="15">
        <v>4050.0</v>
      </c>
      <c r="DO849" s="15">
        <v>4500.0</v>
      </c>
      <c r="DP849" s="15">
        <v>146510.0</v>
      </c>
      <c r="DQ849" s="15">
        <v>251360.0</v>
      </c>
      <c r="DR849" s="15">
        <v>299670.0</v>
      </c>
      <c r="DS849" s="15">
        <v>300860.0</v>
      </c>
      <c r="DT849" s="15">
        <v>330870.0</v>
      </c>
      <c r="DU849" s="16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327660.0</v>
      </c>
      <c r="EA849" s="15">
        <v>258460.0</v>
      </c>
      <c r="EB849" s="15">
        <v>217690.0</v>
      </c>
      <c r="EC849" s="15">
        <v>270430.0</v>
      </c>
      <c r="ED849" s="15">
        <v>305520.0</v>
      </c>
      <c r="EE849" s="17">
        <v>0.038</v>
      </c>
      <c r="EF849" s="17">
        <v>0.072</v>
      </c>
      <c r="EG849" s="17">
        <v>0.071</v>
      </c>
      <c r="EH849" s="17">
        <v>0.175</v>
      </c>
    </row>
    <row r="850">
      <c r="A850" s="9">
        <f t="shared" si="2"/>
        <v>848</v>
      </c>
      <c r="B850" s="10" t="s">
        <v>985</v>
      </c>
      <c r="C850" s="11">
        <v>3990000.0</v>
      </c>
      <c r="D850" s="11">
        <v>3650000.0</v>
      </c>
      <c r="E850" s="11">
        <v>4080000.0</v>
      </c>
      <c r="F850" s="11">
        <v>4620000.0</v>
      </c>
      <c r="G850" s="11">
        <v>3650000.0</v>
      </c>
      <c r="H850" s="11">
        <v>3170000.0</v>
      </c>
      <c r="I850" s="11">
        <v>3320000.0</v>
      </c>
      <c r="J850" s="11">
        <v>570410.0</v>
      </c>
      <c r="K850" s="11">
        <v>547930.0</v>
      </c>
      <c r="L850" s="11">
        <v>440740.0</v>
      </c>
      <c r="M850" s="11">
        <v>394690.0</v>
      </c>
      <c r="N850" s="11">
        <v>421630.0</v>
      </c>
      <c r="O850" s="11">
        <v>158950.0</v>
      </c>
      <c r="P850" s="11">
        <v>188210.0</v>
      </c>
      <c r="Q850" s="11">
        <v>170580.0</v>
      </c>
      <c r="R850" s="11">
        <v>143240.0</v>
      </c>
      <c r="S850" s="11">
        <v>149700.0</v>
      </c>
      <c r="T850" s="12"/>
      <c r="U850" s="12"/>
      <c r="V850" s="12"/>
      <c r="W850" s="12"/>
      <c r="X850" s="12"/>
      <c r="Y850" s="11">
        <v>295910.0</v>
      </c>
      <c r="Z850" s="11">
        <v>327130.0</v>
      </c>
      <c r="AA850" s="11"/>
      <c r="AB850" s="12"/>
      <c r="AC850" s="12"/>
      <c r="AD850" s="11">
        <v>295760.0</v>
      </c>
      <c r="AE850" s="11">
        <v>328380.0</v>
      </c>
      <c r="AF850" s="11">
        <v>240800.0</v>
      </c>
      <c r="AG850" s="11">
        <v>219460.0</v>
      </c>
      <c r="AH850" s="11">
        <v>238760.0</v>
      </c>
      <c r="AI850" s="11">
        <v>338330.0</v>
      </c>
      <c r="AJ850" s="11">
        <v>371490.0</v>
      </c>
      <c r="AK850" s="11">
        <v>310720.0</v>
      </c>
      <c r="AL850" s="11">
        <v>257550.0</v>
      </c>
      <c r="AM850" s="11">
        <v>269410.0</v>
      </c>
      <c r="AN850" s="11">
        <v>227720.0</v>
      </c>
      <c r="AO850" s="11">
        <v>255280.0</v>
      </c>
      <c r="AP850" s="11">
        <v>177090.0</v>
      </c>
      <c r="AQ850" s="11">
        <v>137350.0</v>
      </c>
      <c r="AR850" s="11">
        <v>147690.0</v>
      </c>
      <c r="AS850" s="11">
        <v>307840.0</v>
      </c>
      <c r="AT850" s="11">
        <v>297900.0</v>
      </c>
      <c r="AU850" s="11">
        <v>138960.0</v>
      </c>
      <c r="AV850" s="11">
        <v>189190.0</v>
      </c>
      <c r="AW850" s="11">
        <v>216020.0</v>
      </c>
      <c r="AX850" s="11">
        <v>-19420.0</v>
      </c>
      <c r="AY850" s="11">
        <v>-9750.0</v>
      </c>
      <c r="AZ850" s="11">
        <v>-15590.0</v>
      </c>
      <c r="BA850" s="11">
        <v>-22650.0</v>
      </c>
      <c r="BB850" s="11">
        <v>-4800.0</v>
      </c>
      <c r="BC850" s="11">
        <v>-27890.0</v>
      </c>
      <c r="BD850" s="11">
        <v>-88920.0</v>
      </c>
      <c r="BE850" s="11">
        <v>-15940.0</v>
      </c>
      <c r="BF850" s="11">
        <v>-14330.0</v>
      </c>
      <c r="BG850" s="11">
        <v>-57880.0</v>
      </c>
      <c r="BH850" s="11">
        <v>352420.0</v>
      </c>
      <c r="BI850" s="11">
        <v>239790.0</v>
      </c>
      <c r="BJ850" s="11">
        <v>291340.0</v>
      </c>
      <c r="BK850" s="11">
        <v>245460.0</v>
      </c>
      <c r="BL850" s="11">
        <v>163340.0</v>
      </c>
      <c r="BM850" s="11">
        <v>624100.0</v>
      </c>
      <c r="BN850" s="11">
        <v>715350.0</v>
      </c>
      <c r="BO850" s="11">
        <v>655470.0</v>
      </c>
      <c r="BP850" s="11">
        <v>481670.0</v>
      </c>
      <c r="BQ850" s="11">
        <v>481170.0</v>
      </c>
      <c r="BR850" s="12"/>
      <c r="BS850" s="12"/>
      <c r="BT850" s="12"/>
      <c r="BU850" s="12"/>
      <c r="BV850" s="12"/>
      <c r="BW850" s="11">
        <v>997890.0</v>
      </c>
      <c r="BX850" s="11">
        <v>971430.0</v>
      </c>
      <c r="BY850" s="11">
        <v>961200.0</v>
      </c>
      <c r="BZ850" s="11">
        <v>737410.0</v>
      </c>
      <c r="CA850" s="11">
        <v>656120.0</v>
      </c>
      <c r="CB850" s="11">
        <v>288600.0</v>
      </c>
      <c r="CC850" s="11">
        <v>284030.0</v>
      </c>
      <c r="CD850" s="11">
        <v>276010.0</v>
      </c>
      <c r="CE850" s="11">
        <v>272840.0</v>
      </c>
      <c r="CF850" s="11">
        <v>225930.0</v>
      </c>
      <c r="CG850" s="11">
        <v>38510.0</v>
      </c>
      <c r="CH850" s="11">
        <v>38230.0</v>
      </c>
      <c r="CI850" s="11">
        <v>39070.0</v>
      </c>
      <c r="CJ850" s="11">
        <v>31130.0</v>
      </c>
      <c r="CK850" s="11">
        <v>31130.0</v>
      </c>
      <c r="CL850" s="11">
        <v>1430000.0</v>
      </c>
      <c r="CM850" s="11">
        <v>1380000.0</v>
      </c>
      <c r="CN850" s="11">
        <v>1350000.0</v>
      </c>
      <c r="CO850" s="11">
        <v>1100000.0</v>
      </c>
      <c r="CP850" s="11">
        <v>991520.0</v>
      </c>
      <c r="CQ850" s="11">
        <v>272000.0</v>
      </c>
      <c r="CR850" s="11">
        <v>314130.0</v>
      </c>
      <c r="CS850" s="11">
        <v>285130.0</v>
      </c>
      <c r="CT850" s="11">
        <v>219410.0</v>
      </c>
      <c r="CU850" s="11">
        <v>223710.0</v>
      </c>
      <c r="CV850" s="11">
        <v>552900.0</v>
      </c>
      <c r="CW850" s="11">
        <v>54590.0</v>
      </c>
      <c r="CX850" s="11">
        <v>55340.0</v>
      </c>
      <c r="CY850" s="11">
        <v>42240.0</v>
      </c>
      <c r="CZ850" s="11">
        <v>36250.0</v>
      </c>
      <c r="DA850" s="11">
        <v>35610.0</v>
      </c>
      <c r="DB850" s="11">
        <v>552900.0</v>
      </c>
      <c r="DC850" s="11">
        <v>535820.0</v>
      </c>
      <c r="DD850" s="11">
        <v>548640.0</v>
      </c>
      <c r="DE850" s="11">
        <v>380310.0</v>
      </c>
      <c r="DF850" s="11">
        <v>706240.0</v>
      </c>
      <c r="DG850" s="11">
        <v>691430.0</v>
      </c>
      <c r="DH850" s="11">
        <v>698580.0</v>
      </c>
      <c r="DI850" s="11">
        <v>554030.0</v>
      </c>
      <c r="DJ850" s="11">
        <v>525280.0</v>
      </c>
      <c r="DK850" s="11">
        <v>84840.0</v>
      </c>
      <c r="DL850" s="11">
        <v>72120.0</v>
      </c>
      <c r="DM850" s="11">
        <v>61990.0</v>
      </c>
      <c r="DN850" s="11">
        <v>42860.0</v>
      </c>
      <c r="DO850" s="12"/>
      <c r="DP850" s="11">
        <v>72250.0</v>
      </c>
      <c r="DQ850" s="11">
        <v>84860.0</v>
      </c>
      <c r="DR850" s="11">
        <v>83060.0</v>
      </c>
      <c r="DS850" s="11">
        <v>93260.0</v>
      </c>
      <c r="DT850" s="11">
        <v>81790.0</v>
      </c>
      <c r="DU850" s="13"/>
      <c r="DV850" s="12"/>
      <c r="DW850" s="12"/>
      <c r="DX850" s="12"/>
      <c r="DY850" s="12"/>
      <c r="DZ850" s="11">
        <v>721470.0</v>
      </c>
      <c r="EA850" s="11">
        <v>686820.0</v>
      </c>
      <c r="EB850" s="11">
        <v>650670.0</v>
      </c>
      <c r="EC850" s="11">
        <v>542560.0</v>
      </c>
      <c r="ED850" s="11">
        <v>466240.0</v>
      </c>
      <c r="EE850" s="14">
        <v>0.049</v>
      </c>
      <c r="EF850" s="14">
        <v>0.175</v>
      </c>
      <c r="EG850" s="14">
        <v>-0.113</v>
      </c>
      <c r="EH850" s="14">
        <v>-0.083</v>
      </c>
    </row>
    <row r="851">
      <c r="A851" s="9">
        <f t="shared" si="2"/>
        <v>849</v>
      </c>
      <c r="B851" s="10" t="s">
        <v>986</v>
      </c>
      <c r="C851" s="11">
        <v>5000000.0</v>
      </c>
      <c r="D851" s="11">
        <v>3970000.0</v>
      </c>
      <c r="E851" s="11">
        <v>3980000.0</v>
      </c>
      <c r="F851" s="11">
        <v>3290000.0</v>
      </c>
      <c r="G851" s="11">
        <v>2650000.0</v>
      </c>
      <c r="H851" s="11">
        <v>2340000.0</v>
      </c>
      <c r="I851" s="11">
        <v>2060000.0</v>
      </c>
      <c r="J851" s="11">
        <v>2220000.0</v>
      </c>
      <c r="K851" s="11">
        <v>1820000.0</v>
      </c>
      <c r="L851" s="11">
        <v>1410000.0</v>
      </c>
      <c r="M851" s="11">
        <v>1200000.0</v>
      </c>
      <c r="N851" s="11">
        <v>997170.0</v>
      </c>
      <c r="O851" s="11">
        <v>1330000.0</v>
      </c>
      <c r="P851" s="11">
        <v>1110000.0</v>
      </c>
      <c r="Q851" s="11">
        <v>911580.0</v>
      </c>
      <c r="R851" s="11">
        <v>770170.0</v>
      </c>
      <c r="S851" s="11">
        <v>640050.0</v>
      </c>
      <c r="T851" s="11"/>
      <c r="U851" s="11"/>
      <c r="V851" s="11"/>
      <c r="W851" s="11"/>
      <c r="X851" s="11"/>
      <c r="Y851" s="11">
        <v>886410.0</v>
      </c>
      <c r="Z851" s="11">
        <v>682190.0</v>
      </c>
      <c r="AA851" s="11">
        <v>456000.0</v>
      </c>
      <c r="AB851" s="12"/>
      <c r="AC851" s="11"/>
      <c r="AD851" s="11">
        <v>897390.0</v>
      </c>
      <c r="AE851" s="11">
        <v>715250.0</v>
      </c>
      <c r="AF851" s="11">
        <v>460000.0</v>
      </c>
      <c r="AG851" s="11">
        <v>422730.0</v>
      </c>
      <c r="AH851" s="11">
        <v>368500.0</v>
      </c>
      <c r="AI851" s="11">
        <v>1050000.0</v>
      </c>
      <c r="AJ851" s="11">
        <v>826930.0</v>
      </c>
      <c r="AK851" s="11">
        <v>604140.0</v>
      </c>
      <c r="AL851" s="11">
        <v>517150.0</v>
      </c>
      <c r="AM851" s="11">
        <v>430500.0</v>
      </c>
      <c r="AN851" s="11">
        <v>645600.0</v>
      </c>
      <c r="AO851" s="11">
        <v>483800.0</v>
      </c>
      <c r="AP851" s="11">
        <v>258660.0</v>
      </c>
      <c r="AQ851" s="11">
        <v>303380.0</v>
      </c>
      <c r="AR851" s="11">
        <v>266050.0</v>
      </c>
      <c r="AS851" s="11">
        <v>651890.0</v>
      </c>
      <c r="AT851" s="11">
        <v>742780.0</v>
      </c>
      <c r="AU851" s="11">
        <v>489340.0</v>
      </c>
      <c r="AV851" s="11">
        <v>384200.0</v>
      </c>
      <c r="AW851" s="11">
        <v>298740.0</v>
      </c>
      <c r="AX851" s="11">
        <v>-283050.0</v>
      </c>
      <c r="AY851" s="11">
        <v>-225810.0</v>
      </c>
      <c r="AZ851" s="11">
        <v>-157860.0</v>
      </c>
      <c r="BA851" s="11">
        <v>-149510.0</v>
      </c>
      <c r="BB851" s="11">
        <v>-143490.0</v>
      </c>
      <c r="BC851" s="12"/>
      <c r="BD851" s="12"/>
      <c r="BE851" s="12"/>
      <c r="BF851" s="12"/>
      <c r="BG851" s="12"/>
      <c r="BH851" s="11">
        <v>1090000.0</v>
      </c>
      <c r="BI851" s="11">
        <v>881320.0</v>
      </c>
      <c r="BJ851" s="11">
        <v>990500.0</v>
      </c>
      <c r="BK851" s="11">
        <v>734850.0</v>
      </c>
      <c r="BL851" s="11">
        <v>501480.0</v>
      </c>
      <c r="BM851" s="11">
        <v>40220.0</v>
      </c>
      <c r="BN851" s="11">
        <v>35790.0</v>
      </c>
      <c r="BO851" s="11">
        <v>19170.0</v>
      </c>
      <c r="BP851" s="11">
        <v>9200.0</v>
      </c>
      <c r="BQ851" s="11">
        <v>13110.0</v>
      </c>
      <c r="BR851" s="11">
        <v>518510.0</v>
      </c>
      <c r="BS851" s="11">
        <v>404840.0</v>
      </c>
      <c r="BT851" s="11">
        <v>329560.0</v>
      </c>
      <c r="BU851" s="11">
        <v>298430.0</v>
      </c>
      <c r="BV851" s="11">
        <v>284010.0</v>
      </c>
      <c r="BW851" s="11">
        <v>1810000.0</v>
      </c>
      <c r="BX851" s="11">
        <v>1430000.0</v>
      </c>
      <c r="BY851" s="11">
        <v>1440000.0</v>
      </c>
      <c r="BZ851" s="11">
        <v>1160000.0</v>
      </c>
      <c r="CA851" s="11">
        <v>917040.0</v>
      </c>
      <c r="CB851" s="11">
        <v>1360000.0</v>
      </c>
      <c r="CC851" s="11">
        <v>567240.0</v>
      </c>
      <c r="CD851" s="11">
        <v>473640.0</v>
      </c>
      <c r="CE851" s="11">
        <v>423500.0</v>
      </c>
      <c r="CF851" s="11">
        <v>349610.0</v>
      </c>
      <c r="CG851" s="11">
        <v>24420.0</v>
      </c>
      <c r="CH851" s="11">
        <v>24240.0</v>
      </c>
      <c r="CI851" s="11">
        <v>24610.0</v>
      </c>
      <c r="CJ851" s="11">
        <v>24230.0</v>
      </c>
      <c r="CK851" s="11">
        <v>23830.0</v>
      </c>
      <c r="CL851" s="11">
        <v>3280000.0</v>
      </c>
      <c r="CM851" s="11">
        <v>2080000.0</v>
      </c>
      <c r="CN851" s="11">
        <v>2000000.0</v>
      </c>
      <c r="CO851" s="11">
        <v>1660000.0</v>
      </c>
      <c r="CP851" s="11">
        <v>1310000.0</v>
      </c>
      <c r="CQ851" s="11">
        <v>80000.0</v>
      </c>
      <c r="CR851" s="11">
        <v>95530.0</v>
      </c>
      <c r="CS851" s="11">
        <v>24650.0</v>
      </c>
      <c r="CT851" s="11">
        <v>24850.0</v>
      </c>
      <c r="CU851" s="11">
        <v>10380.0</v>
      </c>
      <c r="CV851" s="11">
        <v>620420.0</v>
      </c>
      <c r="CW851" s="11">
        <v>128500.0</v>
      </c>
      <c r="CX851" s="12"/>
      <c r="CY851" s="11"/>
      <c r="CZ851" s="13"/>
      <c r="DA851" s="12"/>
      <c r="DB851" s="11">
        <v>620420.0</v>
      </c>
      <c r="DC851" s="11">
        <v>500480.0</v>
      </c>
      <c r="DD851" s="11">
        <v>292600.0</v>
      </c>
      <c r="DE851" s="11">
        <v>241450.0</v>
      </c>
      <c r="DF851" s="11">
        <v>1330000.0</v>
      </c>
      <c r="DG851" s="11">
        <v>638740.0</v>
      </c>
      <c r="DH851" s="11">
        <v>401520.0</v>
      </c>
      <c r="DI851" s="11">
        <v>297570.0</v>
      </c>
      <c r="DJ851" s="11">
        <v>286600.0</v>
      </c>
      <c r="DK851" s="12"/>
      <c r="DL851" s="12"/>
      <c r="DM851" s="12"/>
      <c r="DN851" s="12"/>
      <c r="DO851" s="12"/>
      <c r="DP851" s="28">
        <v>611460.0</v>
      </c>
      <c r="DQ851" s="28"/>
      <c r="DR851" s="28"/>
      <c r="DS851" s="28"/>
      <c r="DT851" s="28"/>
      <c r="DU851" s="13"/>
      <c r="DV851" s="12"/>
      <c r="DW851" s="12"/>
      <c r="DX851" s="12"/>
      <c r="DY851" s="12"/>
      <c r="DZ851" s="11">
        <v>1950000.0</v>
      </c>
      <c r="EA851" s="11">
        <v>1450000.0</v>
      </c>
      <c r="EB851" s="11">
        <v>1600000.0</v>
      </c>
      <c r="EC851" s="11">
        <v>1360000.0</v>
      </c>
      <c r="ED851" s="11">
        <v>1030000.0</v>
      </c>
      <c r="EE851" s="14">
        <v>0.131</v>
      </c>
      <c r="EF851" s="14">
        <v>0.228</v>
      </c>
      <c r="EG851" s="14">
        <v>-0.043</v>
      </c>
      <c r="EH851" s="14">
        <v>0.022</v>
      </c>
    </row>
    <row r="852">
      <c r="A852" s="9">
        <f t="shared" si="2"/>
        <v>850</v>
      </c>
      <c r="B852" s="22" t="s">
        <v>987</v>
      </c>
      <c r="C852" s="11">
        <v>91020.0</v>
      </c>
      <c r="D852" s="11">
        <v>80600.0</v>
      </c>
      <c r="E852" s="11">
        <v>70520.0</v>
      </c>
      <c r="F852" s="11">
        <v>42920.0</v>
      </c>
      <c r="G852" s="11">
        <v>33080.0</v>
      </c>
      <c r="H852" s="11">
        <v>41870.0</v>
      </c>
      <c r="I852" s="11">
        <v>44020.0</v>
      </c>
      <c r="J852" s="11">
        <v>32680.0</v>
      </c>
      <c r="K852" s="11">
        <v>19440.0</v>
      </c>
      <c r="L852" s="11">
        <v>13370.0</v>
      </c>
      <c r="M852" s="11">
        <v>15800.0</v>
      </c>
      <c r="N852" s="11">
        <v>16500.0</v>
      </c>
      <c r="O852" s="11">
        <v>29360.0</v>
      </c>
      <c r="P852" s="11">
        <v>17760.0</v>
      </c>
      <c r="Q852" s="11">
        <v>15580.0</v>
      </c>
      <c r="R852" s="11">
        <v>18300.0</v>
      </c>
      <c r="S852" s="11">
        <v>19050.0</v>
      </c>
      <c r="T852" s="11">
        <v>7500.0</v>
      </c>
      <c r="U852" s="11">
        <v>3770.0</v>
      </c>
      <c r="V852" s="11">
        <v>2650.0</v>
      </c>
      <c r="W852" s="11">
        <v>3540.0</v>
      </c>
      <c r="X852" s="11">
        <v>4270.0</v>
      </c>
      <c r="Y852" s="12"/>
      <c r="Z852" s="11">
        <v>878.0</v>
      </c>
      <c r="AA852" s="12"/>
      <c r="AB852" s="12"/>
      <c r="AC852" s="11">
        <v>-6250.0</v>
      </c>
      <c r="AD852" s="11">
        <v>3690.0</v>
      </c>
      <c r="AE852" s="11">
        <v>1290.0</v>
      </c>
      <c r="AF852" s="11">
        <v>-2400.0</v>
      </c>
      <c r="AG852" s="11">
        <v>-2810.0</v>
      </c>
      <c r="AH852" s="11">
        <v>-6480.0</v>
      </c>
      <c r="AI852" s="11">
        <v>5820.0</v>
      </c>
      <c r="AJ852" s="11">
        <v>2580.0</v>
      </c>
      <c r="AK852" s="11">
        <v>-1010.0</v>
      </c>
      <c r="AL852" s="11">
        <v>-1090.0</v>
      </c>
      <c r="AM852" s="11">
        <v>-93.0</v>
      </c>
      <c r="AN852" s="11">
        <v>5340.0</v>
      </c>
      <c r="AO852" s="11">
        <v>1240.0</v>
      </c>
      <c r="AP852" s="11">
        <v>-1250.0</v>
      </c>
      <c r="AQ852" s="11">
        <v>-2670.0</v>
      </c>
      <c r="AR852" s="11">
        <v>-6010.0</v>
      </c>
      <c r="AS852" s="11">
        <v>4800.0</v>
      </c>
      <c r="AT852" s="11">
        <v>-3310.0</v>
      </c>
      <c r="AU852" s="11">
        <v>915.0</v>
      </c>
      <c r="AV852" s="11">
        <v>-400.0</v>
      </c>
      <c r="AW852" s="11">
        <v>-5090.0</v>
      </c>
      <c r="AX852" s="11">
        <v>-811.0</v>
      </c>
      <c r="AY852" s="11">
        <v>-762.0</v>
      </c>
      <c r="AZ852" s="11">
        <v>-1850.0</v>
      </c>
      <c r="BA852" s="11">
        <v>-2000.0</v>
      </c>
      <c r="BB852" s="11">
        <v>-1080.0</v>
      </c>
      <c r="BC852" s="12"/>
      <c r="BD852" s="12"/>
      <c r="BE852" s="12"/>
      <c r="BF852" s="12"/>
      <c r="BG852" s="12"/>
      <c r="BH852" s="11">
        <v>25010.0</v>
      </c>
      <c r="BI852" s="11">
        <v>42460.0</v>
      </c>
      <c r="BJ852" s="11">
        <v>36980.0</v>
      </c>
      <c r="BK852" s="11">
        <v>12800.0</v>
      </c>
      <c r="BL852" s="11">
        <v>17460.0</v>
      </c>
      <c r="BM852" s="11">
        <v>21530.0</v>
      </c>
      <c r="BN852" s="11">
        <v>17960.0</v>
      </c>
      <c r="BO852" s="11">
        <v>11710.0</v>
      </c>
      <c r="BP852" s="11">
        <v>10270.0</v>
      </c>
      <c r="BQ852" s="11">
        <v>11030.0</v>
      </c>
      <c r="BR852" s="11">
        <v>10290.0</v>
      </c>
      <c r="BS852" s="11">
        <v>6870.0</v>
      </c>
      <c r="BT852" s="11">
        <v>4630.0</v>
      </c>
      <c r="BU852" s="11">
        <v>6850.0</v>
      </c>
      <c r="BV852" s="11">
        <v>8860.0</v>
      </c>
      <c r="BW852" s="11">
        <v>58120.0</v>
      </c>
      <c r="BX852" s="11">
        <v>68230.0</v>
      </c>
      <c r="BY852" s="11">
        <v>58800.0</v>
      </c>
      <c r="BZ852" s="11">
        <v>37100.0</v>
      </c>
      <c r="CA852" s="11">
        <v>38750.0</v>
      </c>
      <c r="CB852" s="11">
        <v>5770.0</v>
      </c>
      <c r="CC852" s="11">
        <v>3630.0</v>
      </c>
      <c r="CD852" s="11">
        <v>2850.0</v>
      </c>
      <c r="CE852" s="11">
        <v>3480.0</v>
      </c>
      <c r="CF852" s="11">
        <v>6610.0</v>
      </c>
      <c r="CG852" s="11">
        <v>10540.0</v>
      </c>
      <c r="CH852" s="11">
        <v>101.0</v>
      </c>
      <c r="CI852" s="12"/>
      <c r="CJ852" s="11">
        <v>502.0</v>
      </c>
      <c r="CK852" s="11">
        <v>2270.0</v>
      </c>
      <c r="CL852" s="11">
        <v>86520.0</v>
      </c>
      <c r="CM852" s="11">
        <v>75600.0</v>
      </c>
      <c r="CN852" s="11">
        <v>66220.0</v>
      </c>
      <c r="CO852" s="11">
        <v>55000.0</v>
      </c>
      <c r="CP852" s="11">
        <v>58130.0</v>
      </c>
      <c r="CQ852" s="11">
        <v>2790.0</v>
      </c>
      <c r="CR852" s="11">
        <v>2400.0</v>
      </c>
      <c r="CS852" s="11">
        <v>2110.0</v>
      </c>
      <c r="CT852" s="11">
        <v>2950.0</v>
      </c>
      <c r="CU852" s="11">
        <v>4050.0</v>
      </c>
      <c r="CV852" s="11">
        <v>17040.0</v>
      </c>
      <c r="CW852" s="11">
        <v>1280.0</v>
      </c>
      <c r="CX852" s="12"/>
      <c r="CY852" s="12"/>
      <c r="CZ852" s="12"/>
      <c r="DA852" s="12"/>
      <c r="DB852" s="11">
        <v>17040.0</v>
      </c>
      <c r="DC852" s="11">
        <v>12140.0</v>
      </c>
      <c r="DD852" s="11">
        <v>14830.0</v>
      </c>
      <c r="DE852" s="11">
        <v>15970.0</v>
      </c>
      <c r="DF852" s="11">
        <v>19060.0</v>
      </c>
      <c r="DG852" s="11">
        <v>13240.0</v>
      </c>
      <c r="DH852" s="11">
        <v>16680.0</v>
      </c>
      <c r="DI852" s="11">
        <v>19910.0</v>
      </c>
      <c r="DJ852" s="11">
        <v>21220.0</v>
      </c>
      <c r="DK852" s="12"/>
      <c r="DL852" s="12"/>
      <c r="DM852" s="12"/>
      <c r="DN852" s="12"/>
      <c r="DO852" s="12"/>
      <c r="DP852" s="11">
        <v>2010.0</v>
      </c>
      <c r="DQ852" s="11">
        <v>69.0</v>
      </c>
      <c r="DR852" s="11">
        <v>674.0</v>
      </c>
      <c r="DS852" s="11">
        <v>2530.0</v>
      </c>
      <c r="DT852" s="11">
        <v>4330.0</v>
      </c>
      <c r="DU852" s="13"/>
      <c r="DV852" s="11">
        <v>1.0</v>
      </c>
      <c r="DW852" s="11">
        <v>1.0</v>
      </c>
      <c r="DX852" s="24">
        <v>1.0</v>
      </c>
      <c r="DY852" s="24">
        <v>1.0</v>
      </c>
      <c r="DZ852" s="11">
        <v>67470.0</v>
      </c>
      <c r="EA852" s="11">
        <v>62350.0</v>
      </c>
      <c r="EB852" s="11">
        <v>49540.0</v>
      </c>
      <c r="EC852" s="11">
        <v>35090.0</v>
      </c>
      <c r="ED852" s="11">
        <v>36910.0</v>
      </c>
      <c r="EE852" s="14">
        <v>0.022</v>
      </c>
      <c r="EF852" s="14">
        <v>0.056</v>
      </c>
      <c r="EG852" s="14">
        <v>1.0</v>
      </c>
      <c r="EH852" s="14">
        <v>0.463</v>
      </c>
    </row>
    <row r="853">
      <c r="A853" s="9">
        <f t="shared" si="2"/>
        <v>851</v>
      </c>
      <c r="B853" s="18" t="s">
        <v>988</v>
      </c>
      <c r="C853" s="19">
        <v>1.678E7</v>
      </c>
      <c r="D853" s="19">
        <v>9670000.0</v>
      </c>
      <c r="E853" s="19">
        <v>2.243E7</v>
      </c>
      <c r="F853" s="19">
        <v>2.197E7</v>
      </c>
      <c r="G853" s="19">
        <v>2.115E7</v>
      </c>
      <c r="H853" s="19">
        <v>2.029E7</v>
      </c>
      <c r="I853" s="19">
        <v>1.982E7</v>
      </c>
      <c r="J853" s="19">
        <v>6030000.0</v>
      </c>
      <c r="K853" s="19">
        <v>6030000.0</v>
      </c>
      <c r="L853" s="19">
        <v>6810000.0</v>
      </c>
      <c r="M853" s="19">
        <v>6230000.0</v>
      </c>
      <c r="N853" s="19">
        <v>6780000.0</v>
      </c>
      <c r="O853" s="19">
        <v>3030000.0</v>
      </c>
      <c r="P853" s="19">
        <v>2850000.0</v>
      </c>
      <c r="Q853" s="19">
        <v>2850000.0</v>
      </c>
      <c r="R853" s="19">
        <v>2700000.0</v>
      </c>
      <c r="S853" s="19">
        <v>2210000.0</v>
      </c>
      <c r="T853" s="20"/>
      <c r="U853" s="20"/>
      <c r="V853" s="20"/>
      <c r="W853" s="20"/>
      <c r="X853" s="20"/>
      <c r="Y853" s="19">
        <v>2980000.0</v>
      </c>
      <c r="Z853" s="19">
        <v>3140000.0</v>
      </c>
      <c r="AA853" s="19">
        <v>-225000.0</v>
      </c>
      <c r="AB853" s="20"/>
      <c r="AC853" s="19">
        <v>3580000.0</v>
      </c>
      <c r="AD853" s="19">
        <v>2960000.0</v>
      </c>
      <c r="AE853" s="19">
        <v>3160000.0</v>
      </c>
      <c r="AF853" s="19">
        <v>3270000.0</v>
      </c>
      <c r="AG853" s="19">
        <v>3450000.0</v>
      </c>
      <c r="AH853" s="19">
        <v>3480000.0</v>
      </c>
      <c r="AI853" s="19">
        <v>4220000.0</v>
      </c>
      <c r="AJ853" s="19">
        <v>4370000.0</v>
      </c>
      <c r="AK853" s="19">
        <v>5180000.0</v>
      </c>
      <c r="AL853" s="19">
        <v>4740000.0</v>
      </c>
      <c r="AM853" s="19">
        <v>5590000.0</v>
      </c>
      <c r="AN853" s="19">
        <v>2300000.0</v>
      </c>
      <c r="AO853" s="19">
        <v>2470000.0</v>
      </c>
      <c r="AP853" s="19">
        <v>3360000.0</v>
      </c>
      <c r="AQ853" s="19">
        <v>2190000.0</v>
      </c>
      <c r="AR853" s="19">
        <v>2190000.0</v>
      </c>
      <c r="AS853" s="19">
        <v>3990000.0</v>
      </c>
      <c r="AT853" s="19">
        <v>4890000.0</v>
      </c>
      <c r="AU853" s="19">
        <v>3930000.0</v>
      </c>
      <c r="AV853" s="19">
        <v>4290000.0</v>
      </c>
      <c r="AW853" s="19">
        <v>3240000.0</v>
      </c>
      <c r="AX853" s="19">
        <v>-1030000.0</v>
      </c>
      <c r="AY853" s="19">
        <v>-1980000.0</v>
      </c>
      <c r="AZ853" s="19">
        <v>-2250000.0</v>
      </c>
      <c r="BA853" s="19">
        <v>-2150000.0</v>
      </c>
      <c r="BB853" s="19">
        <v>-2140000.0</v>
      </c>
      <c r="BC853" s="19">
        <v>-372000.0</v>
      </c>
      <c r="BD853" s="19">
        <v>-332000.0</v>
      </c>
      <c r="BE853" s="19">
        <v>-274000.0</v>
      </c>
      <c r="BF853" s="19">
        <v>-222000.0</v>
      </c>
      <c r="BG853" s="19">
        <v>-180000.0</v>
      </c>
      <c r="BH853" s="19">
        <v>4070000.0</v>
      </c>
      <c r="BI853" s="19">
        <v>3690000.0</v>
      </c>
      <c r="BJ853" s="19">
        <v>3270000.0</v>
      </c>
      <c r="BK853" s="19">
        <v>3310000.0</v>
      </c>
      <c r="BL853" s="19">
        <v>3050000.0</v>
      </c>
      <c r="BM853" s="19">
        <v>1090000.0</v>
      </c>
      <c r="BN853" s="19">
        <v>568000.0</v>
      </c>
      <c r="BO853" s="19">
        <v>662000.0</v>
      </c>
      <c r="BP853" s="19">
        <v>546000.0</v>
      </c>
      <c r="BQ853" s="19">
        <v>474000.0</v>
      </c>
      <c r="BR853" s="19">
        <v>529000.0</v>
      </c>
      <c r="BS853" s="19">
        <v>461000.0</v>
      </c>
      <c r="BT853" s="19">
        <v>420000.0</v>
      </c>
      <c r="BU853" s="19">
        <v>337000.0</v>
      </c>
      <c r="BV853" s="19">
        <v>311000.0</v>
      </c>
      <c r="BW853" s="19">
        <v>5970000.0</v>
      </c>
      <c r="BX853" s="19">
        <v>5030000.0</v>
      </c>
      <c r="BY853" s="19">
        <v>4820000.0</v>
      </c>
      <c r="BZ853" s="19">
        <v>4500000.0</v>
      </c>
      <c r="CA853" s="19">
        <v>4020000.0</v>
      </c>
      <c r="CB853" s="19">
        <v>1.837E7</v>
      </c>
      <c r="CC853" s="19">
        <v>1.953E7</v>
      </c>
      <c r="CD853" s="19">
        <v>1.854E7</v>
      </c>
      <c r="CE853" s="19">
        <v>1.704E7</v>
      </c>
      <c r="CF853" s="19">
        <v>1.56E7</v>
      </c>
      <c r="CG853" s="19">
        <v>970000.0</v>
      </c>
      <c r="CH853" s="19">
        <v>970000.0</v>
      </c>
      <c r="CI853" s="19">
        <v>970000.0</v>
      </c>
      <c r="CJ853" s="19">
        <v>970000.0</v>
      </c>
      <c r="CK853" s="19">
        <v>970000.0</v>
      </c>
      <c r="CL853" s="19">
        <v>2.701E7</v>
      </c>
      <c r="CM853" s="19">
        <v>2.73E7</v>
      </c>
      <c r="CN853" s="19">
        <v>2.62E7</v>
      </c>
      <c r="CO853" s="19">
        <v>2.477E7</v>
      </c>
      <c r="CP853" s="19">
        <v>2.331E7</v>
      </c>
      <c r="CQ853" s="19">
        <v>595000.0</v>
      </c>
      <c r="CR853" s="19">
        <v>454000.0</v>
      </c>
      <c r="CS853" s="19">
        <v>347000.0</v>
      </c>
      <c r="CT853" s="19">
        <v>259000.0</v>
      </c>
      <c r="CU853" s="19">
        <v>394000.0</v>
      </c>
      <c r="CV853" s="19">
        <v>8950000.0</v>
      </c>
      <c r="CW853" s="19">
        <v>353000.0</v>
      </c>
      <c r="CX853" s="20"/>
      <c r="CY853" s="20"/>
      <c r="CZ853" s="20"/>
      <c r="DA853" s="20"/>
      <c r="DB853" s="19">
        <v>8950000.0</v>
      </c>
      <c r="DC853" s="19">
        <v>7910000.0</v>
      </c>
      <c r="DD853" s="19">
        <v>6860000.0</v>
      </c>
      <c r="DE853" s="19">
        <v>6840000.0</v>
      </c>
      <c r="DF853" s="19">
        <v>1.718E7</v>
      </c>
      <c r="DG853" s="19">
        <v>1.745E7</v>
      </c>
      <c r="DH853" s="19">
        <v>1.656E7</v>
      </c>
      <c r="DI853" s="19">
        <v>1.633E7</v>
      </c>
      <c r="DJ853" s="19">
        <v>1.596E7</v>
      </c>
      <c r="DK853" s="19">
        <v>49000.0</v>
      </c>
      <c r="DL853" s="19">
        <v>95000.0</v>
      </c>
      <c r="DM853" s="19">
        <v>136000.0</v>
      </c>
      <c r="DN853" s="19">
        <v>120000.0</v>
      </c>
      <c r="DO853" s="19">
        <v>40000.0</v>
      </c>
      <c r="DP853" s="19">
        <v>2820000.0</v>
      </c>
      <c r="DQ853" s="19">
        <v>2820000.0</v>
      </c>
      <c r="DR853" s="19">
        <v>3410000.0</v>
      </c>
      <c r="DS853" s="19">
        <v>2950000.0</v>
      </c>
      <c r="DT853" s="19">
        <v>2710000.0</v>
      </c>
      <c r="DU853" s="27"/>
      <c r="DV853" s="20"/>
      <c r="DW853" s="20"/>
      <c r="DX853" s="20"/>
      <c r="DY853" s="27"/>
      <c r="DZ853" s="19">
        <v>9830000.0</v>
      </c>
      <c r="EA853" s="19">
        <v>9850000.0</v>
      </c>
      <c r="EB853" s="19">
        <v>9640000.0</v>
      </c>
      <c r="EC853" s="19">
        <v>8440000.0</v>
      </c>
      <c r="ED853" s="19">
        <v>7360000.0</v>
      </c>
      <c r="EE853" s="21">
        <v>0.179</v>
      </c>
      <c r="EF853" s="21">
        <v>0.605</v>
      </c>
      <c r="EG853" s="21">
        <v>-0.004</v>
      </c>
      <c r="EH853" s="21">
        <v>0.167</v>
      </c>
    </row>
    <row r="854">
      <c r="A854" s="9">
        <f t="shared" si="2"/>
        <v>852</v>
      </c>
      <c r="B854" s="22" t="s">
        <v>989</v>
      </c>
      <c r="C854" s="11">
        <v>558390.0</v>
      </c>
      <c r="D854" s="11">
        <v>358500.0</v>
      </c>
      <c r="E854" s="11">
        <v>170200.0</v>
      </c>
      <c r="F854" s="11">
        <v>68430.0</v>
      </c>
      <c r="G854" s="11">
        <v>30850.0</v>
      </c>
      <c r="H854" s="12"/>
      <c r="I854" s="12"/>
      <c r="J854" s="11">
        <v>122980.0</v>
      </c>
      <c r="K854" s="11">
        <v>47890.0</v>
      </c>
      <c r="L854" s="11">
        <v>22540.0</v>
      </c>
      <c r="M854" s="12"/>
      <c r="N854" s="12"/>
      <c r="O854" s="11">
        <v>182280.0</v>
      </c>
      <c r="P854" s="11">
        <v>83730.0</v>
      </c>
      <c r="Q854" s="11">
        <v>39130.0</v>
      </c>
      <c r="R854" s="12"/>
      <c r="S854" s="12"/>
      <c r="T854" s="11">
        <v>49840.0</v>
      </c>
      <c r="U854" s="11">
        <v>24860.0</v>
      </c>
      <c r="V854" s="11">
        <v>12030.0</v>
      </c>
      <c r="W854" s="12"/>
      <c r="X854" s="12"/>
      <c r="Y854" s="11">
        <v>-60380.0</v>
      </c>
      <c r="Z854" s="11">
        <v>-35000.0</v>
      </c>
      <c r="AA854" s="11">
        <v>-17040.0</v>
      </c>
      <c r="AB854" s="12"/>
      <c r="AC854" s="12"/>
      <c r="AD854" s="11">
        <v>-56640.0</v>
      </c>
      <c r="AE854" s="11">
        <v>-33350.0</v>
      </c>
      <c r="AF854" s="11">
        <v>-16920.0</v>
      </c>
      <c r="AG854" s="12"/>
      <c r="AH854" s="12"/>
      <c r="AI854" s="11">
        <v>-53390.0</v>
      </c>
      <c r="AJ854" s="11">
        <v>-33950.0</v>
      </c>
      <c r="AK854" s="11">
        <v>-16280.0</v>
      </c>
      <c r="AL854" s="12"/>
      <c r="AM854" s="12"/>
      <c r="AN854" s="11">
        <v>-55270.0</v>
      </c>
      <c r="AO854" s="11">
        <v>-33380.0</v>
      </c>
      <c r="AP854" s="11">
        <v>-16860.0</v>
      </c>
      <c r="AQ854" s="12"/>
      <c r="AR854" s="12"/>
      <c r="AS854" s="11">
        <v>-59400.0</v>
      </c>
      <c r="AT854" s="11">
        <v>-33040.0</v>
      </c>
      <c r="AU854" s="11">
        <v>-15920.0</v>
      </c>
      <c r="AV854" s="12"/>
      <c r="AW854" s="12"/>
      <c r="AX854" s="11">
        <v>-7190.0</v>
      </c>
      <c r="AY854" s="11">
        <v>-4520.0</v>
      </c>
      <c r="AZ854" s="11">
        <v>-1880.0</v>
      </c>
      <c r="BA854" s="12"/>
      <c r="BB854" s="12"/>
      <c r="BC854" s="12"/>
      <c r="BD854" s="12"/>
      <c r="BE854" s="12"/>
      <c r="BF854" s="12"/>
      <c r="BG854" s="12"/>
      <c r="BH854" s="11">
        <v>393840.0</v>
      </c>
      <c r="BI854" s="11">
        <v>110680.0</v>
      </c>
      <c r="BJ854" s="11">
        <v>61290.0</v>
      </c>
      <c r="BK854" s="12"/>
      <c r="BL854" s="12"/>
      <c r="BM854" s="11">
        <v>41380.0</v>
      </c>
      <c r="BN854" s="11">
        <v>16620.0</v>
      </c>
      <c r="BO854" s="11">
        <v>7520.0</v>
      </c>
      <c r="BP854" s="12"/>
      <c r="BQ854" s="12"/>
      <c r="BR854" s="11">
        <v>28980.0</v>
      </c>
      <c r="BS854" s="11">
        <v>8930.0</v>
      </c>
      <c r="BT854" s="11">
        <v>2920.0</v>
      </c>
      <c r="BU854" s="12"/>
      <c r="BV854" s="12"/>
      <c r="BW854" s="11">
        <v>471460.0</v>
      </c>
      <c r="BX854" s="11">
        <v>139420.0</v>
      </c>
      <c r="BY854" s="11">
        <v>73020.0</v>
      </c>
      <c r="BZ854" s="12"/>
      <c r="CA854" s="12"/>
      <c r="CB854" s="11">
        <v>10350.0</v>
      </c>
      <c r="CC854" s="11">
        <v>5840.0</v>
      </c>
      <c r="CD854" s="11">
        <v>2060.0</v>
      </c>
      <c r="CE854" s="12"/>
      <c r="CF854" s="12"/>
      <c r="CG854" s="11">
        <v>35800.0</v>
      </c>
      <c r="CH854" s="11">
        <v>15710.0</v>
      </c>
      <c r="CI854" s="11">
        <v>2490.0</v>
      </c>
      <c r="CJ854" s="12"/>
      <c r="CK854" s="12"/>
      <c r="CL854" s="11">
        <v>560560.0</v>
      </c>
      <c r="CM854" s="11">
        <v>180250.0</v>
      </c>
      <c r="CN854" s="11">
        <v>82050.0</v>
      </c>
      <c r="CO854" s="12"/>
      <c r="CP854" s="12"/>
      <c r="CQ854" s="11">
        <v>8360.0</v>
      </c>
      <c r="CR854" s="11">
        <v>6380.0</v>
      </c>
      <c r="CS854" s="11">
        <v>3250.0</v>
      </c>
      <c r="CT854" s="12"/>
      <c r="CU854" s="12"/>
      <c r="CV854" s="11">
        <v>41880.0</v>
      </c>
      <c r="CW854" s="12"/>
      <c r="CX854" s="12"/>
      <c r="CY854" s="12"/>
      <c r="CZ854" s="12"/>
      <c r="DA854" s="12"/>
      <c r="DB854" s="11">
        <v>41880.0</v>
      </c>
      <c r="DC854" s="11">
        <v>24440.0</v>
      </c>
      <c r="DD854" s="11">
        <v>12530.0</v>
      </c>
      <c r="DE854" s="12"/>
      <c r="DF854" s="11">
        <v>53200.0</v>
      </c>
      <c r="DG854" s="11">
        <v>35130.0</v>
      </c>
      <c r="DH854" s="11">
        <v>16440.0</v>
      </c>
      <c r="DI854" s="12"/>
      <c r="DJ854" s="12"/>
      <c r="DK854" s="11">
        <v>4420.0</v>
      </c>
      <c r="DL854" s="11">
        <v>5430.0</v>
      </c>
      <c r="DM854" s="11">
        <v>230.0</v>
      </c>
      <c r="DN854" s="12"/>
      <c r="DO854" s="12"/>
      <c r="DP854" s="12"/>
      <c r="DQ854" s="12"/>
      <c r="DR854" s="12"/>
      <c r="DS854" s="12"/>
      <c r="DT854" s="12"/>
      <c r="DU854" s="13"/>
      <c r="DV854" s="11">
        <v>236930.0</v>
      </c>
      <c r="DW854" s="11">
        <v>132020.0</v>
      </c>
      <c r="DX854" s="13"/>
      <c r="DY854" s="13"/>
      <c r="DZ854" s="11">
        <v>507360.0</v>
      </c>
      <c r="EA854" s="11">
        <v>145120.0</v>
      </c>
      <c r="EB854" s="11">
        <v>65610.0</v>
      </c>
      <c r="EC854" s="12"/>
      <c r="ED854" s="12"/>
      <c r="EE854" s="14">
        <v>0.147</v>
      </c>
      <c r="EF854" s="14">
        <v>0.304</v>
      </c>
      <c r="EG854" s="14">
        <v>10.0</v>
      </c>
      <c r="EH854" s="14">
        <v>3.441</v>
      </c>
    </row>
    <row r="855">
      <c r="A855" s="9">
        <f t="shared" si="2"/>
        <v>853</v>
      </c>
      <c r="B855" s="10" t="s">
        <v>990</v>
      </c>
      <c r="C855" s="15">
        <v>1.174E7</v>
      </c>
      <c r="D855" s="15">
        <v>7170000.0</v>
      </c>
      <c r="E855" s="15">
        <v>1.374E7</v>
      </c>
      <c r="F855" s="15">
        <v>1.373E7</v>
      </c>
      <c r="G855" s="15">
        <v>1.273E7</v>
      </c>
      <c r="H855" s="15">
        <v>1.141E7</v>
      </c>
      <c r="I855" s="15">
        <v>1.169E7</v>
      </c>
      <c r="J855" s="15">
        <v>5740000.0</v>
      </c>
      <c r="K855" s="15">
        <v>5640000.0</v>
      </c>
      <c r="L855" s="15">
        <v>5230000.0</v>
      </c>
      <c r="M855" s="15">
        <v>4460000.0</v>
      </c>
      <c r="N855" s="15">
        <v>4570000.0</v>
      </c>
      <c r="O855" s="15">
        <v>1920000.0</v>
      </c>
      <c r="P855" s="15">
        <v>1740000.0</v>
      </c>
      <c r="Q855" s="15">
        <v>1740000.0</v>
      </c>
      <c r="R855" s="15">
        <v>1760000.0</v>
      </c>
      <c r="S855" s="15">
        <v>1640000.0</v>
      </c>
      <c r="T855" s="15">
        <v>0.0</v>
      </c>
      <c r="U855" s="15">
        <v>0.0</v>
      </c>
      <c r="V855" s="15">
        <v>0.0</v>
      </c>
      <c r="W855" s="15">
        <v>0.0</v>
      </c>
      <c r="X855" s="15">
        <v>0.0</v>
      </c>
      <c r="Y855" s="15">
        <v>3730000.0</v>
      </c>
      <c r="Z855" s="15">
        <v>3720000.0</v>
      </c>
      <c r="AA855" s="15">
        <v>-5000.0</v>
      </c>
      <c r="AB855" s="15">
        <v>2660000.0</v>
      </c>
      <c r="AC855" s="15">
        <v>4000.0</v>
      </c>
      <c r="AD855" s="15">
        <v>3770000.0</v>
      </c>
      <c r="AE855" s="15">
        <v>3330000.0</v>
      </c>
      <c r="AF855" s="15">
        <v>3050000.0</v>
      </c>
      <c r="AG855" s="15">
        <v>2260000.0</v>
      </c>
      <c r="AH855" s="15">
        <v>2620000.0</v>
      </c>
      <c r="AI855" s="15">
        <v>4990000.0</v>
      </c>
      <c r="AJ855" s="15">
        <v>5020000.0</v>
      </c>
      <c r="AK855" s="15">
        <v>4660000.0</v>
      </c>
      <c r="AL855" s="15">
        <v>3810000.0</v>
      </c>
      <c r="AM855" s="15">
        <v>3930000.0</v>
      </c>
      <c r="AN855" s="15">
        <v>2700000.0</v>
      </c>
      <c r="AO855" s="15">
        <v>2410000.0</v>
      </c>
      <c r="AP855" s="15">
        <v>2810000.0</v>
      </c>
      <c r="AQ855" s="15">
        <v>1670000.0</v>
      </c>
      <c r="AR855" s="15">
        <v>1970000.0</v>
      </c>
      <c r="AS855" s="15">
        <v>3040000.0</v>
      </c>
      <c r="AT855" s="15">
        <v>4700000.0</v>
      </c>
      <c r="AU855" s="15">
        <v>4540000.0</v>
      </c>
      <c r="AV855" s="15">
        <v>4040000.0</v>
      </c>
      <c r="AW855" s="15">
        <v>3450000.0</v>
      </c>
      <c r="AX855" s="15">
        <v>-1270000.0</v>
      </c>
      <c r="AY855" s="15">
        <v>-949000.0</v>
      </c>
      <c r="AZ855" s="15">
        <v>-837000.0</v>
      </c>
      <c r="BA855" s="15">
        <v>-1450000.0</v>
      </c>
      <c r="BB855" s="15">
        <v>-1530000.0</v>
      </c>
      <c r="BC855" s="15">
        <v>-2370000.0</v>
      </c>
      <c r="BD855" s="15">
        <v>-2350000.0</v>
      </c>
      <c r="BE855" s="15">
        <v>-2940000.0</v>
      </c>
      <c r="BF855" s="15">
        <v>-2910000.0</v>
      </c>
      <c r="BG855" s="15">
        <v>-2690000.0</v>
      </c>
      <c r="BH855" s="15">
        <v>4240000.0</v>
      </c>
      <c r="BI855" s="15">
        <v>4660000.0</v>
      </c>
      <c r="BJ855" s="15">
        <v>2430000.0</v>
      </c>
      <c r="BK855" s="15">
        <v>2140000.0</v>
      </c>
      <c r="BL855" s="15">
        <v>2190000.0</v>
      </c>
      <c r="BM855" s="15">
        <v>844000.0</v>
      </c>
      <c r="BN855" s="15">
        <v>726000.0</v>
      </c>
      <c r="BO855" s="15">
        <v>615000.0</v>
      </c>
      <c r="BP855" s="15">
        <v>776000.0</v>
      </c>
      <c r="BQ855" s="15">
        <v>1270000.0</v>
      </c>
      <c r="BR855" s="15">
        <v>37000.0</v>
      </c>
      <c r="BS855" s="15">
        <v>35000.0</v>
      </c>
      <c r="BT855" s="15">
        <v>37000.0</v>
      </c>
      <c r="BU855" s="15">
        <v>46000.0</v>
      </c>
      <c r="BV855" s="15">
        <v>43000.0</v>
      </c>
      <c r="BW855" s="15">
        <v>5310000.0</v>
      </c>
      <c r="BX855" s="15">
        <v>5570000.0</v>
      </c>
      <c r="BY855" s="15">
        <v>3200000.0</v>
      </c>
      <c r="BZ855" s="15">
        <v>3100000.0</v>
      </c>
      <c r="CA855" s="15">
        <v>3610000.0</v>
      </c>
      <c r="CB855" s="15">
        <v>1.503E7</v>
      </c>
      <c r="CC855" s="15">
        <v>1.515E7</v>
      </c>
      <c r="CD855" s="15">
        <v>1.552E7</v>
      </c>
      <c r="CE855" s="15">
        <v>1.59E7</v>
      </c>
      <c r="CF855" s="15">
        <v>1.573E7</v>
      </c>
      <c r="CG855" s="15">
        <v>0.0</v>
      </c>
      <c r="CH855" s="15">
        <v>0.0</v>
      </c>
      <c r="CI855" s="15">
        <v>0.0</v>
      </c>
      <c r="CJ855" s="15">
        <v>0.0</v>
      </c>
      <c r="CK855" s="15">
        <v>0.0</v>
      </c>
      <c r="CL855" s="15">
        <v>2.32E7</v>
      </c>
      <c r="CM855" s="15">
        <v>2.255E7</v>
      </c>
      <c r="CN855" s="15">
        <v>2.069E7</v>
      </c>
      <c r="CO855" s="15">
        <v>2.047E7</v>
      </c>
      <c r="CP855" s="15">
        <v>2.086E7</v>
      </c>
      <c r="CQ855" s="15">
        <v>149000.0</v>
      </c>
      <c r="CR855" s="15">
        <v>178000.0</v>
      </c>
      <c r="CS855" s="15">
        <v>171000.0</v>
      </c>
      <c r="CT855" s="15">
        <v>128000.0</v>
      </c>
      <c r="CU855" s="15">
        <v>111000.0</v>
      </c>
      <c r="CV855" s="15">
        <v>3220000.0</v>
      </c>
      <c r="CW855" s="15">
        <v>28000.0</v>
      </c>
      <c r="CX855" s="15">
        <v>0.0</v>
      </c>
      <c r="CY855" s="16">
        <v>0.0</v>
      </c>
      <c r="CZ855" s="16">
        <v>0.0</v>
      </c>
      <c r="DA855" s="15">
        <v>0.0</v>
      </c>
      <c r="DB855" s="15">
        <v>3220000.0</v>
      </c>
      <c r="DC855" s="15">
        <v>3160000.0</v>
      </c>
      <c r="DD855" s="15">
        <v>2960000.0</v>
      </c>
      <c r="DE855" s="15">
        <v>2810000.0</v>
      </c>
      <c r="DF855" s="15">
        <v>1.669E7</v>
      </c>
      <c r="DG855" s="15">
        <v>1.58E7</v>
      </c>
      <c r="DH855" s="15">
        <v>1.306E7</v>
      </c>
      <c r="DI855" s="15">
        <v>1.297E7</v>
      </c>
      <c r="DJ855" s="15">
        <v>1.245E7</v>
      </c>
      <c r="DK855" s="15">
        <v>34000.0</v>
      </c>
      <c r="DL855" s="15">
        <v>15000.0</v>
      </c>
      <c r="DM855" s="15">
        <v>0.0</v>
      </c>
      <c r="DN855" s="15">
        <v>0.0</v>
      </c>
      <c r="DO855" s="15">
        <v>0.0</v>
      </c>
      <c r="DP855" s="15">
        <v>1.273E7</v>
      </c>
      <c r="DQ855" s="15">
        <v>1.187E7</v>
      </c>
      <c r="DR855" s="15">
        <v>9340000.0</v>
      </c>
      <c r="DS855" s="15">
        <v>9430000.0</v>
      </c>
      <c r="DT855" s="15">
        <v>9250000.0</v>
      </c>
      <c r="DU855" s="16">
        <v>0.0</v>
      </c>
      <c r="DV855" s="15">
        <v>0.0</v>
      </c>
      <c r="DW855" s="15">
        <v>0.0</v>
      </c>
      <c r="DX855" s="16">
        <v>0.0</v>
      </c>
      <c r="DY855" s="16">
        <v>0.0</v>
      </c>
      <c r="DZ855" s="15">
        <v>5190000.0</v>
      </c>
      <c r="EA855" s="15">
        <v>5680000.0</v>
      </c>
      <c r="EB855" s="15">
        <v>6490000.0</v>
      </c>
      <c r="EC855" s="15">
        <v>6180000.0</v>
      </c>
      <c r="ED855" s="15">
        <v>6820000.0</v>
      </c>
      <c r="EE855" s="17">
        <v>0.577</v>
      </c>
      <c r="EF855" s="17">
        <v>0.516</v>
      </c>
      <c r="EG855" s="17">
        <v>-1.429</v>
      </c>
      <c r="EH855" s="17">
        <v>-0.345</v>
      </c>
    </row>
    <row r="856">
      <c r="A856" s="9">
        <f t="shared" si="2"/>
        <v>854</v>
      </c>
      <c r="B856" s="10" t="s">
        <v>991</v>
      </c>
      <c r="C856" s="15">
        <v>3880000.0</v>
      </c>
      <c r="D856" s="15">
        <v>3700000.0</v>
      </c>
      <c r="E856" s="15">
        <v>3760000.0</v>
      </c>
      <c r="F856" s="15">
        <v>3420000.0</v>
      </c>
      <c r="G856" s="15">
        <v>3170000.0</v>
      </c>
      <c r="H856" s="15">
        <v>2990000.0</v>
      </c>
      <c r="I856" s="15">
        <v>2930000.0</v>
      </c>
      <c r="J856" s="15">
        <v>1000000.0</v>
      </c>
      <c r="K856" s="15">
        <v>879500.0</v>
      </c>
      <c r="L856" s="15">
        <v>788500.0</v>
      </c>
      <c r="M856" s="15">
        <v>672800.0</v>
      </c>
      <c r="N856" s="15">
        <v>598700.0</v>
      </c>
      <c r="O856" s="15">
        <v>331800.0</v>
      </c>
      <c r="P856" s="15">
        <v>295400.0</v>
      </c>
      <c r="Q856" s="15">
        <v>238900.0</v>
      </c>
      <c r="R856" s="15">
        <v>294700.0</v>
      </c>
      <c r="S856" s="15">
        <v>207500.0</v>
      </c>
      <c r="T856" s="15">
        <v>15400.0</v>
      </c>
      <c r="U856" s="15">
        <v>13500.0</v>
      </c>
      <c r="V856" s="15">
        <v>10600.0</v>
      </c>
      <c r="W856" s="15">
        <v>6700.0</v>
      </c>
      <c r="X856" s="15">
        <v>7200.0</v>
      </c>
      <c r="Y856" s="12"/>
      <c r="Z856" s="15">
        <v>575400.0</v>
      </c>
      <c r="AA856" s="15">
        <v>521000.0</v>
      </c>
      <c r="AB856" s="15">
        <v>368100.0</v>
      </c>
      <c r="AC856" s="15">
        <v>380200.0</v>
      </c>
      <c r="AD856" s="15">
        <v>561300.0</v>
      </c>
      <c r="AE856" s="15">
        <v>471300.0</v>
      </c>
      <c r="AF856" s="15">
        <v>457100.0</v>
      </c>
      <c r="AG856" s="15">
        <v>367400.0</v>
      </c>
      <c r="AH856" s="15">
        <v>375300.0</v>
      </c>
      <c r="AI856" s="15">
        <v>829400.0</v>
      </c>
      <c r="AJ856" s="15">
        <v>722800.0</v>
      </c>
      <c r="AK856" s="15">
        <v>656200.0</v>
      </c>
      <c r="AL856" s="15">
        <v>474000.0</v>
      </c>
      <c r="AM856" s="15">
        <v>487600.0</v>
      </c>
      <c r="AN856" s="15">
        <v>467800.0</v>
      </c>
      <c r="AO856" s="15">
        <v>414100.0</v>
      </c>
      <c r="AP856" s="15">
        <v>324800.0</v>
      </c>
      <c r="AQ856" s="15">
        <v>285300.0</v>
      </c>
      <c r="AR856" s="15">
        <v>268300.0</v>
      </c>
      <c r="AS856" s="15">
        <v>680900.0</v>
      </c>
      <c r="AT856" s="15">
        <v>481200.0</v>
      </c>
      <c r="AU856" s="15">
        <v>446900.0</v>
      </c>
      <c r="AV856" s="15">
        <v>382300.0</v>
      </c>
      <c r="AW856" s="15">
        <v>353700.0</v>
      </c>
      <c r="AX856" s="15">
        <v>-334200.0</v>
      </c>
      <c r="AY856" s="15">
        <v>-306800.0</v>
      </c>
      <c r="AZ856" s="15">
        <v>-287400.0</v>
      </c>
      <c r="BA856" s="15">
        <v>-152300.0</v>
      </c>
      <c r="BB856" s="15">
        <v>-114700.0</v>
      </c>
      <c r="BC856" s="13">
        <v>-113300.0</v>
      </c>
      <c r="BD856" s="15">
        <v>-110200.0</v>
      </c>
      <c r="BE856" s="15">
        <v>-850900.0</v>
      </c>
      <c r="BF856" s="13"/>
      <c r="BG856" s="13"/>
      <c r="BH856" s="15">
        <v>12200.0</v>
      </c>
      <c r="BI856" s="15">
        <v>55600.0</v>
      </c>
      <c r="BJ856" s="15">
        <v>57100.0</v>
      </c>
      <c r="BK856" s="15">
        <v>36400.0</v>
      </c>
      <c r="BL856" s="15">
        <v>30600.0</v>
      </c>
      <c r="BM856" s="15">
        <v>340100.0</v>
      </c>
      <c r="BN856" s="15">
        <v>225900.0</v>
      </c>
      <c r="BO856" s="15">
        <v>185200.0</v>
      </c>
      <c r="BP856" s="15">
        <v>186500.0</v>
      </c>
      <c r="BQ856" s="15">
        <v>171400.0</v>
      </c>
      <c r="BR856" s="12">
        <v>498300.0</v>
      </c>
      <c r="BS856" s="12">
        <v>549700.0</v>
      </c>
      <c r="BT856" s="12">
        <v>525000.0</v>
      </c>
      <c r="BU856" s="12">
        <v>498900.0</v>
      </c>
      <c r="BV856" s="12">
        <v>488200.0</v>
      </c>
      <c r="BW856" s="15">
        <v>961500.0</v>
      </c>
      <c r="BX856" s="15">
        <v>930400.0</v>
      </c>
      <c r="BY856" s="15">
        <v>858200.0</v>
      </c>
      <c r="BZ856" s="15">
        <v>780000.0</v>
      </c>
      <c r="CA856" s="15">
        <v>751700.0</v>
      </c>
      <c r="CB856" s="15">
        <v>1600000.0</v>
      </c>
      <c r="CC856" s="15">
        <v>1420000.0</v>
      </c>
      <c r="CD856" s="15">
        <v>1270000.0</v>
      </c>
      <c r="CE856" s="15">
        <v>1040000.0</v>
      </c>
      <c r="CF856" s="15">
        <v>1000000.0</v>
      </c>
      <c r="CG856" s="15">
        <v>205900.0</v>
      </c>
      <c r="CH856" s="15">
        <v>135100.0</v>
      </c>
      <c r="CI856" s="15">
        <v>133000.0</v>
      </c>
      <c r="CJ856" s="15">
        <v>133900.0</v>
      </c>
      <c r="CK856" s="15">
        <v>134900.0</v>
      </c>
      <c r="CL856" s="15">
        <v>3050000.0</v>
      </c>
      <c r="CM856" s="15">
        <v>2750000.0</v>
      </c>
      <c r="CN856" s="15">
        <v>2490000.0</v>
      </c>
      <c r="CO856" s="15">
        <v>2160000.0</v>
      </c>
      <c r="CP856" s="15">
        <v>2060000.0</v>
      </c>
      <c r="CQ856" s="15">
        <v>262100.0</v>
      </c>
      <c r="CR856" s="15">
        <v>226500.0</v>
      </c>
      <c r="CS856" s="15">
        <v>234600.0</v>
      </c>
      <c r="CT856" s="15">
        <v>238000.0</v>
      </c>
      <c r="CU856" s="15">
        <v>235900.0</v>
      </c>
      <c r="CV856" s="15">
        <v>552800.0</v>
      </c>
      <c r="CW856" s="15">
        <v>8400.0</v>
      </c>
      <c r="CX856" s="13">
        <v>9600.0</v>
      </c>
      <c r="CY856" s="13">
        <v>22000.0</v>
      </c>
      <c r="CZ856" s="13">
        <v>24900.0</v>
      </c>
      <c r="DA856" s="12">
        <v>3500.0</v>
      </c>
      <c r="DB856" s="15">
        <v>552800.0</v>
      </c>
      <c r="DC856" s="15">
        <v>518700.0</v>
      </c>
      <c r="DD856" s="15">
        <v>555400.0</v>
      </c>
      <c r="DE856" s="15">
        <v>409600.0</v>
      </c>
      <c r="DF856" s="15">
        <v>3050000.0</v>
      </c>
      <c r="DG856" s="15">
        <v>3030000.0</v>
      </c>
      <c r="DH856" s="15">
        <v>3080000.0</v>
      </c>
      <c r="DI856" s="15">
        <v>757700.0</v>
      </c>
      <c r="DJ856" s="15">
        <v>698400.0</v>
      </c>
      <c r="DK856" s="15">
        <v>224600.0</v>
      </c>
      <c r="DL856" s="15">
        <v>219800.0</v>
      </c>
      <c r="DM856" s="12">
        <v>178600.0</v>
      </c>
      <c r="DN856" s="15">
        <v>155300.0</v>
      </c>
      <c r="DO856" s="13">
        <v>119800.0</v>
      </c>
      <c r="DP856" s="15">
        <v>2280000.0</v>
      </c>
      <c r="DQ856" s="15">
        <v>2340000.0</v>
      </c>
      <c r="DR856" s="15">
        <v>2370000.0</v>
      </c>
      <c r="DS856" s="15">
        <v>104600.0</v>
      </c>
      <c r="DT856" s="15">
        <v>86500.0</v>
      </c>
      <c r="DU856" s="13"/>
      <c r="DV856" s="12"/>
      <c r="DW856" s="15"/>
      <c r="DX856" s="15"/>
      <c r="DY856" s="13"/>
      <c r="DZ856" s="15">
        <v>-4600.0</v>
      </c>
      <c r="EA856" s="15">
        <v>-334800.0</v>
      </c>
      <c r="EB856" s="15">
        <v>-647200.0</v>
      </c>
      <c r="EC856" s="15">
        <v>1400000.0</v>
      </c>
      <c r="ED856" s="15">
        <v>1360000.0</v>
      </c>
      <c r="EE856" s="23">
        <v>0.118918919</v>
      </c>
      <c r="EF856" s="23">
        <v>0.108247423</v>
      </c>
      <c r="EG856" s="17">
        <v>-1.062</v>
      </c>
      <c r="EH856" s="23">
        <v>-0.2725</v>
      </c>
    </row>
    <row r="857">
      <c r="A857" s="9">
        <f t="shared" si="2"/>
        <v>855</v>
      </c>
      <c r="B857" s="22" t="s">
        <v>992</v>
      </c>
      <c r="C857" s="11">
        <v>15840.0</v>
      </c>
      <c r="D857" s="11">
        <v>35120.0</v>
      </c>
      <c r="E857" s="11">
        <v>322070.0</v>
      </c>
      <c r="F857" s="11">
        <v>63210.0</v>
      </c>
      <c r="G857" s="11">
        <v>91690.0</v>
      </c>
      <c r="H857" s="11">
        <v>83340.0</v>
      </c>
      <c r="I857" s="11">
        <v>130010.0</v>
      </c>
      <c r="J857" s="11">
        <v>316990.0</v>
      </c>
      <c r="K857" s="11">
        <v>58840.0</v>
      </c>
      <c r="L857" s="11">
        <v>87890.0</v>
      </c>
      <c r="M857" s="12"/>
      <c r="N857" s="12"/>
      <c r="O857" s="11">
        <v>146910.0</v>
      </c>
      <c r="P857" s="11">
        <v>162110.0</v>
      </c>
      <c r="Q857" s="11">
        <v>216410.0</v>
      </c>
      <c r="R857" s="11">
        <v>219140.0</v>
      </c>
      <c r="S857" s="11">
        <v>118300.0</v>
      </c>
      <c r="T857" s="11">
        <v>90070.0</v>
      </c>
      <c r="U857" s="11">
        <v>100240.0</v>
      </c>
      <c r="V857" s="11">
        <v>152220.0</v>
      </c>
      <c r="W857" s="11">
        <v>178150.0</v>
      </c>
      <c r="X857" s="11">
        <v>95190.0</v>
      </c>
      <c r="Y857" s="11">
        <v>141450.0</v>
      </c>
      <c r="Z857" s="12"/>
      <c r="AA857" s="11">
        <v>-2100.0</v>
      </c>
      <c r="AB857" s="11">
        <v>-137160.0</v>
      </c>
      <c r="AC857" s="11">
        <v>-9520.0</v>
      </c>
      <c r="AD857" s="11">
        <v>124120.0</v>
      </c>
      <c r="AE857" s="11">
        <v>-120550.0</v>
      </c>
      <c r="AF857" s="11">
        <v>-135650.0</v>
      </c>
      <c r="AG857" s="11">
        <v>-141430.0</v>
      </c>
      <c r="AH857" s="11">
        <v>-4680.0</v>
      </c>
      <c r="AI857" s="11">
        <v>173740.0</v>
      </c>
      <c r="AJ857" s="11">
        <v>-99600.0</v>
      </c>
      <c r="AK857" s="11">
        <v>-125120.0</v>
      </c>
      <c r="AL857" s="11">
        <v>-135800.0</v>
      </c>
      <c r="AM857" s="11">
        <v>11720.0</v>
      </c>
      <c r="AN857" s="11">
        <v>130130.0</v>
      </c>
      <c r="AO857" s="11">
        <v>-120550.0</v>
      </c>
      <c r="AP857" s="11">
        <v>-122990.0</v>
      </c>
      <c r="AQ857" s="11">
        <v>-141430.0</v>
      </c>
      <c r="AR857" s="11">
        <v>-4680.0</v>
      </c>
      <c r="AS857" s="11">
        <v>113810.0</v>
      </c>
      <c r="AT857" s="11">
        <v>-148610.0</v>
      </c>
      <c r="AU857" s="11">
        <v>-185390.0</v>
      </c>
      <c r="AV857" s="11">
        <v>-175630.0</v>
      </c>
      <c r="AW857" s="11">
        <v>184780.0</v>
      </c>
      <c r="AX857" s="11">
        <v>-70.0</v>
      </c>
      <c r="AY857" s="11">
        <v>-95.0</v>
      </c>
      <c r="AZ857" s="11">
        <v>-228.0</v>
      </c>
      <c r="BA857" s="11">
        <v>-231.0</v>
      </c>
      <c r="BB857" s="11">
        <v>-910.0</v>
      </c>
      <c r="BC857" s="12"/>
      <c r="BD857" s="12"/>
      <c r="BE857" s="12"/>
      <c r="BF857" s="12"/>
      <c r="BG857" s="12"/>
      <c r="BH857" s="11">
        <v>271660.0</v>
      </c>
      <c r="BI857" s="11">
        <v>160050.0</v>
      </c>
      <c r="BJ857" s="11">
        <v>310790.0</v>
      </c>
      <c r="BK857" s="11">
        <v>346500.0</v>
      </c>
      <c r="BL857" s="11">
        <v>521350.0</v>
      </c>
      <c r="BM857" s="11">
        <v>56530.0</v>
      </c>
      <c r="BN857" s="11">
        <v>5920.0</v>
      </c>
      <c r="BO857" s="11">
        <v>4830.0</v>
      </c>
      <c r="BP857" s="11">
        <v>7490.0</v>
      </c>
      <c r="BQ857" s="11">
        <v>911.0</v>
      </c>
      <c r="BR857" s="11">
        <v>4240.0</v>
      </c>
      <c r="BS857" s="11">
        <v>4680.0</v>
      </c>
      <c r="BT857" s="11">
        <v>1950.0</v>
      </c>
      <c r="BU857" s="12"/>
      <c r="BV857" s="12"/>
      <c r="BW857" s="11">
        <v>337750.0</v>
      </c>
      <c r="BX857" s="11">
        <v>173320.0</v>
      </c>
      <c r="BY857" s="11">
        <v>322000.0</v>
      </c>
      <c r="BZ857" s="11">
        <v>357870.0</v>
      </c>
      <c r="CA857" s="11">
        <v>532400.0</v>
      </c>
      <c r="CB857" s="11">
        <v>15700.0</v>
      </c>
      <c r="CC857" s="11">
        <v>15870.0</v>
      </c>
      <c r="CD857" s="11">
        <v>17690.0</v>
      </c>
      <c r="CE857" s="11">
        <v>19390.0</v>
      </c>
      <c r="CF857" s="11">
        <v>21230.0</v>
      </c>
      <c r="CG857" s="11">
        <v>44540.0</v>
      </c>
      <c r="CH857" s="11">
        <v>44540.0</v>
      </c>
      <c r="CI857" s="11">
        <v>44540.0</v>
      </c>
      <c r="CJ857" s="11">
        <v>44540.0</v>
      </c>
      <c r="CK857" s="11">
        <v>44540.0</v>
      </c>
      <c r="CL857" s="11">
        <v>421860.0</v>
      </c>
      <c r="CM857" s="11">
        <v>288650.0</v>
      </c>
      <c r="CN857" s="11">
        <v>441420.0</v>
      </c>
      <c r="CO857" s="11">
        <v>944020.0</v>
      </c>
      <c r="CP857" s="11">
        <v>1070000.0</v>
      </c>
      <c r="CQ857" s="11">
        <v>12180.0</v>
      </c>
      <c r="CR857" s="11">
        <v>17760.0</v>
      </c>
      <c r="CS857" s="11">
        <v>38760.0</v>
      </c>
      <c r="CT857" s="11">
        <v>52880.0</v>
      </c>
      <c r="CU857" s="11">
        <v>19730.0</v>
      </c>
      <c r="CV857" s="11">
        <v>65340.0</v>
      </c>
      <c r="CW857" s="11">
        <v>600.0</v>
      </c>
      <c r="CX857" s="12"/>
      <c r="CY857" s="12"/>
      <c r="CZ857" s="12"/>
      <c r="DA857" s="12"/>
      <c r="DB857" s="11">
        <v>65340.0</v>
      </c>
      <c r="DC857" s="11">
        <v>36750.0</v>
      </c>
      <c r="DD857" s="11">
        <v>105490.0</v>
      </c>
      <c r="DE857" s="11">
        <v>164640.0</v>
      </c>
      <c r="DF857" s="11">
        <v>304760.0</v>
      </c>
      <c r="DG857" s="11">
        <v>315050.0</v>
      </c>
      <c r="DH857" s="11">
        <v>373160.0</v>
      </c>
      <c r="DI857" s="11">
        <v>786620.0</v>
      </c>
      <c r="DJ857" s="11">
        <v>779720.0</v>
      </c>
      <c r="DK857" s="12"/>
      <c r="DL857" s="12"/>
      <c r="DM857" s="12"/>
      <c r="DN857" s="12"/>
      <c r="DO857" s="12"/>
      <c r="DP857" s="11">
        <v>235270.0</v>
      </c>
      <c r="DQ857" s="11">
        <v>243890.0</v>
      </c>
      <c r="DR857" s="11">
        <v>231580.0</v>
      </c>
      <c r="DS857" s="11">
        <v>85170.0</v>
      </c>
      <c r="DT857" s="11">
        <v>100960.0</v>
      </c>
      <c r="DU857" s="13"/>
      <c r="DV857" s="12"/>
      <c r="DW857" s="12"/>
      <c r="DX857" s="13"/>
      <c r="DY857" s="13"/>
      <c r="DZ857" s="11">
        <v>117100.0</v>
      </c>
      <c r="EA857" s="11">
        <v>-26410.0</v>
      </c>
      <c r="EB857" s="11">
        <v>68270.0</v>
      </c>
      <c r="EC857" s="11">
        <v>157400.0</v>
      </c>
      <c r="ED857" s="11">
        <v>285850.0</v>
      </c>
      <c r="EE857" s="14">
        <v>0.528</v>
      </c>
      <c r="EF857" s="23"/>
      <c r="EG857" s="14">
        <v>-0.066</v>
      </c>
      <c r="EH857" s="14">
        <v>0.517</v>
      </c>
    </row>
    <row r="858">
      <c r="A858" s="9">
        <f t="shared" si="2"/>
        <v>856</v>
      </c>
      <c r="B858" s="25" t="s">
        <v>993</v>
      </c>
      <c r="C858" s="15">
        <v>2.93E7</v>
      </c>
      <c r="D858" s="15">
        <v>2.608E7</v>
      </c>
      <c r="E858" s="15">
        <v>3.475E7</v>
      </c>
      <c r="F858" s="15">
        <v>3.9E7</v>
      </c>
      <c r="G858" s="15">
        <v>3.45E7</v>
      </c>
      <c r="H858" s="15">
        <v>2.917E7</v>
      </c>
      <c r="I858" s="15">
        <v>3.275E7</v>
      </c>
      <c r="J858" s="15">
        <v>5460000.0</v>
      </c>
      <c r="K858" s="15">
        <v>6480000.0</v>
      </c>
      <c r="L858" s="15">
        <v>6470000.0</v>
      </c>
      <c r="M858" s="15">
        <v>5970000.0</v>
      </c>
      <c r="N858" s="15">
        <v>7020000.0</v>
      </c>
      <c r="O858" s="15">
        <v>1190000.0</v>
      </c>
      <c r="P858" s="15">
        <v>1240000.0</v>
      </c>
      <c r="Q858" s="15">
        <v>965000.0</v>
      </c>
      <c r="R858" s="15">
        <v>932000.0</v>
      </c>
      <c r="S858" s="15">
        <v>930000.0</v>
      </c>
      <c r="T858" s="15">
        <v>111000.0</v>
      </c>
      <c r="U858" s="15">
        <v>115000.0</v>
      </c>
      <c r="V858" s="15">
        <v>106000.0</v>
      </c>
      <c r="W858" s="15">
        <v>99000.0</v>
      </c>
      <c r="X858" s="15">
        <v>102000.0</v>
      </c>
      <c r="Y858" s="15">
        <v>4300000.0</v>
      </c>
      <c r="Z858" s="15">
        <v>5330000.0</v>
      </c>
      <c r="AA858" s="15">
        <v>5440000.0</v>
      </c>
      <c r="AB858" s="15">
        <v>5160000.0</v>
      </c>
      <c r="AC858" s="15">
        <v>6210000.0</v>
      </c>
      <c r="AD858" s="15">
        <v>4050000.0</v>
      </c>
      <c r="AE858" s="15">
        <v>5310000.0</v>
      </c>
      <c r="AF858" s="15">
        <v>5490000.0</v>
      </c>
      <c r="AG858" s="15">
        <v>5230000.0</v>
      </c>
      <c r="AH858" s="15">
        <v>6210000.0</v>
      </c>
      <c r="AI858" s="15">
        <v>5580000.0</v>
      </c>
      <c r="AJ858" s="15">
        <v>6480000.0</v>
      </c>
      <c r="AK858" s="15">
        <v>6680000.0</v>
      </c>
      <c r="AL858" s="15">
        <v>6110000.0</v>
      </c>
      <c r="AM858" s="15">
        <v>7130000.0</v>
      </c>
      <c r="AN858" s="15">
        <v>3400000.0</v>
      </c>
      <c r="AO858" s="15">
        <v>4690000.0</v>
      </c>
      <c r="AP858" s="15">
        <v>4890000.0</v>
      </c>
      <c r="AQ858" s="15">
        <v>3840000.0</v>
      </c>
      <c r="AR858" s="15">
        <v>4470000.0</v>
      </c>
      <c r="AS858" s="15">
        <v>4960000.0</v>
      </c>
      <c r="AT858" s="15">
        <v>5470000.0</v>
      </c>
      <c r="AU858" s="15">
        <v>5210000.0</v>
      </c>
      <c r="AV858" s="15">
        <v>5610000.0</v>
      </c>
      <c r="AW858" s="15">
        <v>5840000.0</v>
      </c>
      <c r="AX858" s="15">
        <v>-2690000.0</v>
      </c>
      <c r="AY858" s="15">
        <v>-2110000.0</v>
      </c>
      <c r="AZ858" s="15">
        <v>-1550000.0</v>
      </c>
      <c r="BA858" s="15">
        <v>-2240000.0</v>
      </c>
      <c r="BB858" s="15">
        <v>-1440000.0</v>
      </c>
      <c r="BC858" s="15">
        <v>-1460000.0</v>
      </c>
      <c r="BD858" s="15">
        <v>-1550000.0</v>
      </c>
      <c r="BE858" s="15">
        <v>-1420000.0</v>
      </c>
      <c r="BF858" s="15">
        <v>-1400000.0</v>
      </c>
      <c r="BG858" s="15">
        <v>-1410000.0</v>
      </c>
      <c r="BH858" s="15">
        <v>1140000.0</v>
      </c>
      <c r="BI858" s="15">
        <v>1370000.0</v>
      </c>
      <c r="BJ858" s="15">
        <v>2900000.0</v>
      </c>
      <c r="BK858" s="15">
        <v>2090000.0</v>
      </c>
      <c r="BL858" s="15">
        <v>2000000.0</v>
      </c>
      <c r="BM858" s="15">
        <v>3280000.0</v>
      </c>
      <c r="BN858" s="15">
        <v>4270000.0</v>
      </c>
      <c r="BO858" s="15">
        <v>4290000.0</v>
      </c>
      <c r="BP858" s="15">
        <v>3310000.0</v>
      </c>
      <c r="BQ858" s="15">
        <v>2920000.0</v>
      </c>
      <c r="BR858" s="15">
        <v>4640000.0</v>
      </c>
      <c r="BS858" s="15">
        <v>4570000.0</v>
      </c>
      <c r="BT858" s="15">
        <v>4250000.0</v>
      </c>
      <c r="BU858" s="15">
        <v>3850000.0</v>
      </c>
      <c r="BV858" s="15">
        <v>4110000.0</v>
      </c>
      <c r="BW858" s="15">
        <v>9510000.0</v>
      </c>
      <c r="BX858" s="15">
        <v>1.057E7</v>
      </c>
      <c r="BY858" s="15">
        <v>1.174E7</v>
      </c>
      <c r="BZ858" s="15">
        <v>9600000.0</v>
      </c>
      <c r="CA858" s="15">
        <v>9790000.0</v>
      </c>
      <c r="CB858" s="15">
        <v>1.56E7</v>
      </c>
      <c r="CC858" s="15">
        <v>1.248E7</v>
      </c>
      <c r="CD858" s="15">
        <v>1.1E7</v>
      </c>
      <c r="CE858" s="15">
        <v>1.014E7</v>
      </c>
      <c r="CF858" s="15">
        <v>8990000.0</v>
      </c>
      <c r="CG858" s="15">
        <v>1890000.0</v>
      </c>
      <c r="CH858" s="15">
        <v>1810000.0</v>
      </c>
      <c r="CI858" s="15">
        <v>570000.0</v>
      </c>
      <c r="CJ858" s="15">
        <v>528000.0</v>
      </c>
      <c r="CK858" s="15">
        <v>536000.0</v>
      </c>
      <c r="CL858" s="15">
        <v>3.044E7</v>
      </c>
      <c r="CM858" s="15">
        <v>2.828E7</v>
      </c>
      <c r="CN858" s="15">
        <v>2.621E7</v>
      </c>
      <c r="CO858" s="15">
        <v>2.344E7</v>
      </c>
      <c r="CP858" s="15">
        <v>2.276E7</v>
      </c>
      <c r="CQ858" s="15">
        <v>2930000.0</v>
      </c>
      <c r="CR858" s="15">
        <v>3090000.0</v>
      </c>
      <c r="CS858" s="15">
        <v>2900000.0</v>
      </c>
      <c r="CT858" s="15">
        <v>2530000.0</v>
      </c>
      <c r="CU858" s="15">
        <v>2180000.0</v>
      </c>
      <c r="CV858" s="15">
        <v>5200000.0</v>
      </c>
      <c r="CW858" s="15">
        <v>718000.0</v>
      </c>
      <c r="CX858" s="15">
        <v>885000.0</v>
      </c>
      <c r="CY858" s="15">
        <v>68000.0</v>
      </c>
      <c r="CZ858" s="15">
        <v>594000.0</v>
      </c>
      <c r="DA858" s="15">
        <v>353000.0</v>
      </c>
      <c r="DB858" s="15">
        <v>5200000.0</v>
      </c>
      <c r="DC858" s="15">
        <v>5510000.0</v>
      </c>
      <c r="DD858" s="15">
        <v>4780000.0</v>
      </c>
      <c r="DE858" s="15">
        <v>4540000.0</v>
      </c>
      <c r="DF858" s="15">
        <v>2.226E7</v>
      </c>
      <c r="DG858" s="15">
        <v>1.788E7</v>
      </c>
      <c r="DH858" s="15">
        <v>1.726E7</v>
      </c>
      <c r="DI858" s="15">
        <v>1.737E7</v>
      </c>
      <c r="DJ858" s="15">
        <v>1.618E7</v>
      </c>
      <c r="DK858" s="15">
        <v>2380000.0</v>
      </c>
      <c r="DL858" s="15">
        <v>2200000.0</v>
      </c>
      <c r="DM858" s="15">
        <v>2080000.0</v>
      </c>
      <c r="DN858" s="15">
        <v>2290000.0</v>
      </c>
      <c r="DO858" s="15">
        <v>2330000.0</v>
      </c>
      <c r="DP858" s="15">
        <v>1.283E7</v>
      </c>
      <c r="DQ858" s="15">
        <v>8500000.0</v>
      </c>
      <c r="DR858" s="15">
        <v>8550000.0</v>
      </c>
      <c r="DS858" s="15">
        <v>8390000.0</v>
      </c>
      <c r="DT858" s="15">
        <v>7670000.0</v>
      </c>
      <c r="DU858" s="13"/>
      <c r="DV858" s="12"/>
      <c r="DW858" s="12"/>
      <c r="DX858" s="12"/>
      <c r="DY858" s="12"/>
      <c r="DZ858" s="15">
        <v>8040000.0</v>
      </c>
      <c r="EA858" s="15">
        <v>1.026E7</v>
      </c>
      <c r="EB858" s="15">
        <v>8950000.0</v>
      </c>
      <c r="EC858" s="15">
        <v>6050000.0</v>
      </c>
      <c r="ED858" s="15">
        <v>6550000.0</v>
      </c>
      <c r="EE858" s="23"/>
      <c r="EF858" s="23"/>
      <c r="EG858" s="17">
        <v>-0.032</v>
      </c>
      <c r="EH858" s="17">
        <v>-0.06</v>
      </c>
    </row>
    <row r="859">
      <c r="A859" s="9">
        <f t="shared" si="2"/>
        <v>857</v>
      </c>
      <c r="B859" s="22" t="s">
        <v>994</v>
      </c>
      <c r="C859" s="12"/>
      <c r="D859" s="12"/>
      <c r="E859" s="12"/>
      <c r="F859" s="11">
        <v>1240.0</v>
      </c>
      <c r="G859" s="12"/>
      <c r="H859" s="12"/>
      <c r="I859" s="12"/>
      <c r="J859" s="11">
        <v>-27.0</v>
      </c>
      <c r="K859" s="12"/>
      <c r="L859" s="12"/>
      <c r="M859" s="12"/>
      <c r="N859" s="12"/>
      <c r="O859" s="11">
        <v>16490.0</v>
      </c>
      <c r="P859" s="11">
        <v>8420.0</v>
      </c>
      <c r="Q859" s="12"/>
      <c r="R859" s="12"/>
      <c r="S859" s="12"/>
      <c r="T859" s="11">
        <v>12030.0</v>
      </c>
      <c r="U859" s="11">
        <v>4980.0</v>
      </c>
      <c r="V859" s="12"/>
      <c r="W859" s="12"/>
      <c r="X859" s="12"/>
      <c r="Y859" s="12"/>
      <c r="Z859" s="11">
        <v>-6080.0</v>
      </c>
      <c r="AA859" s="12"/>
      <c r="AB859" s="12"/>
      <c r="AC859" s="12"/>
      <c r="AD859" s="11">
        <v>-16310.0</v>
      </c>
      <c r="AE859" s="11">
        <v>-6030.0</v>
      </c>
      <c r="AF859" s="12"/>
      <c r="AG859" s="12"/>
      <c r="AH859" s="12"/>
      <c r="AI859" s="11">
        <v>-16490.0</v>
      </c>
      <c r="AJ859" s="11">
        <v>-7180.0</v>
      </c>
      <c r="AK859" s="12"/>
      <c r="AL859" s="12"/>
      <c r="AM859" s="12"/>
      <c r="AN859" s="11">
        <v>-16310.0</v>
      </c>
      <c r="AO859" s="11">
        <v>-6030.0</v>
      </c>
      <c r="AP859" s="12"/>
      <c r="AQ859" s="12"/>
      <c r="AR859" s="12"/>
      <c r="AS859" s="11">
        <v>-12910.0</v>
      </c>
      <c r="AT859" s="11">
        <v>-6640.0</v>
      </c>
      <c r="AU859" s="12"/>
      <c r="AV859" s="12"/>
      <c r="AW859" s="12"/>
      <c r="AX859" s="11">
        <v>-211.0</v>
      </c>
      <c r="AY859" s="11">
        <v>-37.0</v>
      </c>
      <c r="AZ859" s="12"/>
      <c r="BA859" s="12"/>
      <c r="BB859" s="12"/>
      <c r="BC859" s="12"/>
      <c r="BD859" s="12"/>
      <c r="BE859" s="12"/>
      <c r="BF859" s="12"/>
      <c r="BG859" s="12"/>
      <c r="BH859" s="11">
        <v>9810.0</v>
      </c>
      <c r="BI859" s="11">
        <v>23890.0</v>
      </c>
      <c r="BJ859" s="12"/>
      <c r="BK859" s="12"/>
      <c r="BL859" s="12"/>
      <c r="BM859" s="12"/>
      <c r="BN859" s="11">
        <v>167.0</v>
      </c>
      <c r="BO859" s="12"/>
      <c r="BP859" s="12"/>
      <c r="BQ859" s="12"/>
      <c r="BR859" s="12"/>
      <c r="BS859" s="12"/>
      <c r="BT859" s="12"/>
      <c r="BU859" s="12"/>
      <c r="BV859" s="12"/>
      <c r="BW859" s="11">
        <v>10120.0</v>
      </c>
      <c r="BX859" s="11">
        <v>24930.0</v>
      </c>
      <c r="BY859" s="12"/>
      <c r="BZ859" s="12"/>
      <c r="CA859" s="12"/>
      <c r="CB859" s="11">
        <v>3420.0</v>
      </c>
      <c r="CC859" s="11">
        <v>103.0</v>
      </c>
      <c r="CD859" s="12"/>
      <c r="CE859" s="12"/>
      <c r="CF859" s="12"/>
      <c r="CG859" s="12"/>
      <c r="CH859" s="12"/>
      <c r="CI859" s="12"/>
      <c r="CJ859" s="12"/>
      <c r="CK859" s="12"/>
      <c r="CL859" s="11">
        <v>14960.0</v>
      </c>
      <c r="CM859" s="11">
        <v>25360.0</v>
      </c>
      <c r="CN859" s="12"/>
      <c r="CO859" s="12"/>
      <c r="CP859" s="12"/>
      <c r="CQ859" s="11">
        <v>1070.0</v>
      </c>
      <c r="CR859" s="11">
        <v>631.0</v>
      </c>
      <c r="CS859" s="12"/>
      <c r="CT859" s="12"/>
      <c r="CU859" s="12"/>
      <c r="CV859" s="11">
        <v>5210.0</v>
      </c>
      <c r="CW859" s="11">
        <v>899.0</v>
      </c>
      <c r="CX859" s="12"/>
      <c r="CY859" s="12"/>
      <c r="CZ859" s="12"/>
      <c r="DA859" s="12"/>
      <c r="DB859" s="11">
        <v>5210.0</v>
      </c>
      <c r="DC859" s="11">
        <v>1960.0</v>
      </c>
      <c r="DD859" s="12"/>
      <c r="DE859" s="12"/>
      <c r="DF859" s="11">
        <v>7640.0</v>
      </c>
      <c r="DG859" s="11">
        <v>2080.0</v>
      </c>
      <c r="DH859" s="12"/>
      <c r="DI859" s="12"/>
      <c r="DJ859" s="12"/>
      <c r="DK859" s="11">
        <v>329.0</v>
      </c>
      <c r="DL859" s="11">
        <v>329.0</v>
      </c>
      <c r="DM859" s="12"/>
      <c r="DN859" s="12"/>
      <c r="DO859" s="12"/>
      <c r="DP859" s="11">
        <v>2430.0</v>
      </c>
      <c r="DQ859" s="12"/>
      <c r="DR859" s="12"/>
      <c r="DS859" s="12"/>
      <c r="DT859" s="12"/>
      <c r="DU859" s="11">
        <v>130670.0</v>
      </c>
      <c r="DV859" s="11">
        <v>130350.0</v>
      </c>
      <c r="DW859" s="12"/>
      <c r="DX859" s="13"/>
      <c r="DY859" s="13"/>
      <c r="DZ859" s="11">
        <v>7330.0</v>
      </c>
      <c r="EA859" s="11">
        <v>23280.0</v>
      </c>
      <c r="EB859" s="12"/>
      <c r="EC859" s="12"/>
      <c r="ED859" s="12"/>
      <c r="EE859" s="23"/>
      <c r="EF859" s="23"/>
      <c r="EG859" s="14">
        <v>-0.474</v>
      </c>
      <c r="EH859" s="23"/>
    </row>
    <row r="860">
      <c r="A860" s="9">
        <f t="shared" si="2"/>
        <v>858</v>
      </c>
      <c r="B860" s="10" t="s">
        <v>995</v>
      </c>
      <c r="C860" s="11">
        <v>325800.0</v>
      </c>
      <c r="D860" s="11">
        <v>318210.0</v>
      </c>
      <c r="E860" s="11">
        <v>328850.0</v>
      </c>
      <c r="F860" s="11">
        <v>342020.0</v>
      </c>
      <c r="G860" s="11">
        <v>331390.0</v>
      </c>
      <c r="H860" s="11">
        <v>322200.0</v>
      </c>
      <c r="I860" s="11">
        <v>307860.0</v>
      </c>
      <c r="J860" s="11">
        <v>76500.0</v>
      </c>
      <c r="K860" s="11">
        <v>89230.0</v>
      </c>
      <c r="L860" s="11">
        <v>83380.0</v>
      </c>
      <c r="M860" s="11">
        <v>83670.0</v>
      </c>
      <c r="N860" s="11">
        <v>74450.0</v>
      </c>
      <c r="O860" s="11">
        <v>72470.0</v>
      </c>
      <c r="P860" s="11">
        <v>77850.0</v>
      </c>
      <c r="Q860" s="11">
        <v>76750.0</v>
      </c>
      <c r="R860" s="11">
        <v>69250.0</v>
      </c>
      <c r="S860" s="11">
        <v>66690.0</v>
      </c>
      <c r="T860" s="11">
        <v>5270.0</v>
      </c>
      <c r="U860" s="11">
        <v>5950.0</v>
      </c>
      <c r="V860" s="11">
        <v>5700.0</v>
      </c>
      <c r="W860" s="11">
        <v>5550.0</v>
      </c>
      <c r="X860" s="11">
        <v>5600.0</v>
      </c>
      <c r="Y860" s="11">
        <v>-19890.0</v>
      </c>
      <c r="Z860" s="11">
        <v>-21650.0</v>
      </c>
      <c r="AA860" s="11">
        <v>3610.0</v>
      </c>
      <c r="AB860" s="11">
        <v>13960.0</v>
      </c>
      <c r="AC860" s="12"/>
      <c r="AD860" s="11">
        <v>-22270.0</v>
      </c>
      <c r="AE860" s="11">
        <v>-23330.0</v>
      </c>
      <c r="AF860" s="11">
        <v>3080.0</v>
      </c>
      <c r="AG860" s="11">
        <v>14000.0</v>
      </c>
      <c r="AH860" s="11">
        <v>7510.0</v>
      </c>
      <c r="AI860" s="11">
        <v>14250.0</v>
      </c>
      <c r="AJ860" s="11">
        <v>21610.0</v>
      </c>
      <c r="AK860" s="11">
        <v>14890.0</v>
      </c>
      <c r="AL860" s="11">
        <v>21100.0</v>
      </c>
      <c r="AM860" s="11">
        <v>14090.0</v>
      </c>
      <c r="AN860" s="11">
        <v>-16340.0</v>
      </c>
      <c r="AO860" s="11">
        <v>-19540.0</v>
      </c>
      <c r="AP860" s="11">
        <v>3000.0</v>
      </c>
      <c r="AQ860" s="11">
        <v>9480.0</v>
      </c>
      <c r="AR860" s="11">
        <v>5150.0</v>
      </c>
      <c r="AS860" s="11">
        <v>11490.0</v>
      </c>
      <c r="AT860" s="11">
        <v>11500.0</v>
      </c>
      <c r="AU860" s="11">
        <v>21030.0</v>
      </c>
      <c r="AV860" s="11">
        <v>17790.0</v>
      </c>
      <c r="AW860" s="11">
        <v>20930.0</v>
      </c>
      <c r="AX860" s="11">
        <v>-2620.0</v>
      </c>
      <c r="AY860" s="11">
        <v>-3410.0</v>
      </c>
      <c r="AZ860" s="11">
        <v>-6630.0</v>
      </c>
      <c r="BA860" s="11">
        <v>-10210.0</v>
      </c>
      <c r="BB860" s="11">
        <v>-4750.0</v>
      </c>
      <c r="BC860" s="24">
        <v>-5180.0</v>
      </c>
      <c r="BD860" s="24">
        <v>-5150.0</v>
      </c>
      <c r="BE860" s="24">
        <v>-5050.0</v>
      </c>
      <c r="BF860" s="24">
        <v>-4210.0</v>
      </c>
      <c r="BG860" s="24">
        <v>-2900.0</v>
      </c>
      <c r="BH860" s="11">
        <v>966.0</v>
      </c>
      <c r="BI860" s="11">
        <v>3180.0</v>
      </c>
      <c r="BJ860" s="11">
        <v>3040.0</v>
      </c>
      <c r="BK860" s="11">
        <v>33840.0</v>
      </c>
      <c r="BL860" s="11">
        <v>26410.0</v>
      </c>
      <c r="BM860" s="11">
        <v>55610.0</v>
      </c>
      <c r="BN860" s="11">
        <v>52390.0</v>
      </c>
      <c r="BO860" s="11">
        <v>49660.0</v>
      </c>
      <c r="BP860" s="11">
        <v>46980.0</v>
      </c>
      <c r="BQ860" s="11">
        <v>43760.0</v>
      </c>
      <c r="BR860" s="11">
        <v>43510.0</v>
      </c>
      <c r="BS860" s="11">
        <v>50990.0</v>
      </c>
      <c r="BT860" s="11">
        <v>50010.0</v>
      </c>
      <c r="BU860" s="11">
        <v>44140.0</v>
      </c>
      <c r="BV860" s="11">
        <v>43080.0</v>
      </c>
      <c r="BW860" s="11">
        <v>110980.0</v>
      </c>
      <c r="BX860" s="11">
        <v>110080.0</v>
      </c>
      <c r="BY860" s="11">
        <v>107130.0</v>
      </c>
      <c r="BZ860" s="11">
        <v>127740.0</v>
      </c>
      <c r="CA860" s="11">
        <v>120810.0</v>
      </c>
      <c r="CB860" s="11">
        <v>31980.0</v>
      </c>
      <c r="CC860" s="11">
        <v>43700.0</v>
      </c>
      <c r="CD860" s="11">
        <v>47350.0</v>
      </c>
      <c r="CE860" s="11">
        <v>47460.0</v>
      </c>
      <c r="CF860" s="11">
        <v>43190.0</v>
      </c>
      <c r="CG860" s="11">
        <v>10370.0</v>
      </c>
      <c r="CH860" s="11">
        <v>30540.0</v>
      </c>
      <c r="CI860" s="11">
        <v>58540.0</v>
      </c>
      <c r="CJ860" s="11">
        <v>10510.0</v>
      </c>
      <c r="CK860" s="11">
        <v>10510.0</v>
      </c>
      <c r="CL860" s="11">
        <v>201100.0</v>
      </c>
      <c r="CM860" s="11">
        <v>229520.0</v>
      </c>
      <c r="CN860" s="11">
        <v>256680.0</v>
      </c>
      <c r="CO860" s="11">
        <v>195560.0</v>
      </c>
      <c r="CP860" s="11">
        <v>182380.0</v>
      </c>
      <c r="CQ860" s="11">
        <v>18660.0</v>
      </c>
      <c r="CR860" s="11">
        <v>17930.0</v>
      </c>
      <c r="CS860" s="11">
        <v>19360.0</v>
      </c>
      <c r="CT860" s="11">
        <v>13890.0</v>
      </c>
      <c r="CU860" s="11">
        <v>14720.0</v>
      </c>
      <c r="CV860" s="11">
        <v>39880.0</v>
      </c>
      <c r="CW860" s="11"/>
      <c r="CX860" s="13"/>
      <c r="CY860" s="12"/>
      <c r="CZ860" s="13"/>
      <c r="DA860" s="12"/>
      <c r="DB860" s="11">
        <v>39880.0</v>
      </c>
      <c r="DC860" s="11">
        <v>42200.0</v>
      </c>
      <c r="DD860" s="11">
        <v>45430.0</v>
      </c>
      <c r="DE860" s="11">
        <v>39230.0</v>
      </c>
      <c r="DF860" s="11">
        <v>81160.0</v>
      </c>
      <c r="DG860" s="11">
        <v>90270.0</v>
      </c>
      <c r="DH860" s="11">
        <v>96600.0</v>
      </c>
      <c r="DI860" s="11">
        <v>40040.0</v>
      </c>
      <c r="DJ860" s="11">
        <v>39430.0</v>
      </c>
      <c r="DK860" s="12"/>
      <c r="DL860" s="12"/>
      <c r="DM860" s="12"/>
      <c r="DN860" s="12"/>
      <c r="DO860" s="12"/>
      <c r="DP860" s="11">
        <v>39540.0</v>
      </c>
      <c r="DQ860" s="11">
        <v>45360.0</v>
      </c>
      <c r="DR860" s="11">
        <v>49700.0</v>
      </c>
      <c r="DS860" s="11"/>
      <c r="DT860" s="11"/>
      <c r="DU860" s="13"/>
      <c r="DV860" s="12"/>
      <c r="DW860" s="12"/>
      <c r="DX860" s="11"/>
      <c r="DY860" s="11"/>
      <c r="DZ860" s="11">
        <v>119940.0</v>
      </c>
      <c r="EA860" s="11">
        <v>139250.0</v>
      </c>
      <c r="EB860" s="11">
        <v>160080.0</v>
      </c>
      <c r="EC860" s="11">
        <v>155520.0</v>
      </c>
      <c r="ED860" s="11">
        <v>142950.0</v>
      </c>
      <c r="EE860" s="23">
        <v>0.044687471</v>
      </c>
      <c r="EF860" s="23">
        <v>0.09699202</v>
      </c>
      <c r="EG860" s="14">
        <v>0.429</v>
      </c>
      <c r="EH860" s="23">
        <v>0.29475</v>
      </c>
    </row>
    <row r="861">
      <c r="A861" s="9">
        <f t="shared" si="2"/>
        <v>859</v>
      </c>
      <c r="B861" s="10" t="s">
        <v>996</v>
      </c>
      <c r="C861" s="15">
        <v>9990000.0</v>
      </c>
      <c r="D861" s="15">
        <v>4140000.0</v>
      </c>
      <c r="E861" s="15">
        <v>1.155E7</v>
      </c>
      <c r="F861" s="15">
        <v>1.079E7</v>
      </c>
      <c r="G861" s="15">
        <v>9690000.0</v>
      </c>
      <c r="H861" s="15">
        <v>8350000.0</v>
      </c>
      <c r="I861" s="15">
        <v>7250000.0</v>
      </c>
      <c r="J861" s="15">
        <v>2640000.0</v>
      </c>
      <c r="K861" s="15">
        <v>2430000.0</v>
      </c>
      <c r="L861" s="15">
        <v>2130000.0</v>
      </c>
      <c r="M861" s="15">
        <v>1870000.0</v>
      </c>
      <c r="N861" s="15">
        <v>1650000.0</v>
      </c>
      <c r="O861" s="15">
        <v>2310000.0</v>
      </c>
      <c r="P861" s="15">
        <v>2150000.0</v>
      </c>
      <c r="Q861" s="15">
        <v>2040000.0</v>
      </c>
      <c r="R861" s="15">
        <v>1670000.0</v>
      </c>
      <c r="S861" s="15">
        <v>1510000.0</v>
      </c>
      <c r="T861" s="15">
        <v>0.0</v>
      </c>
      <c r="U861" s="15">
        <v>0.0</v>
      </c>
      <c r="V861" s="15">
        <v>0.0</v>
      </c>
      <c r="W861" s="15">
        <v>0.0</v>
      </c>
      <c r="X861" s="15">
        <v>0.0</v>
      </c>
      <c r="Y861" s="15">
        <v>317970.0</v>
      </c>
      <c r="Z861" s="15">
        <v>280430.0</v>
      </c>
      <c r="AA861" s="15">
        <v>-1050.0</v>
      </c>
      <c r="AB861" s="15">
        <v>164560.0</v>
      </c>
      <c r="AC861" s="15">
        <v>132220.0</v>
      </c>
      <c r="AD861" s="15">
        <v>185100.0</v>
      </c>
      <c r="AE861" s="15">
        <v>131110.0</v>
      </c>
      <c r="AF861" s="15">
        <v>-9380.0</v>
      </c>
      <c r="AG861" s="15">
        <v>48330.0</v>
      </c>
      <c r="AH861" s="15">
        <v>6350.0</v>
      </c>
      <c r="AI861" s="15">
        <v>846760.0</v>
      </c>
      <c r="AJ861" s="15">
        <v>749520.0</v>
      </c>
      <c r="AK861" s="15">
        <v>545960.0</v>
      </c>
      <c r="AL861" s="15">
        <v>598720.0</v>
      </c>
      <c r="AM861" s="15">
        <v>543560.0</v>
      </c>
      <c r="AN861" s="15">
        <v>-4880.0</v>
      </c>
      <c r="AO861" s="15">
        <v>-17650.0</v>
      </c>
      <c r="AP861" s="15">
        <v>-97650.0</v>
      </c>
      <c r="AQ861" s="15">
        <v>-47010.0</v>
      </c>
      <c r="AR861" s="15">
        <v>-65690.0</v>
      </c>
      <c r="AS861" s="15">
        <v>469780.0</v>
      </c>
      <c r="AT861" s="15">
        <v>941590.0</v>
      </c>
      <c r="AU861" s="15">
        <v>623520.0</v>
      </c>
      <c r="AV861" s="15">
        <v>597490.0</v>
      </c>
      <c r="AW861" s="15">
        <v>300200.0</v>
      </c>
      <c r="AX861" s="15">
        <v>-365830.0</v>
      </c>
      <c r="AY861" s="15">
        <v>-275460.0</v>
      </c>
      <c r="AZ861" s="15">
        <v>-249410.0</v>
      </c>
      <c r="BA861" s="15">
        <v>-180060.0</v>
      </c>
      <c r="BB861" s="15">
        <v>-142490.0</v>
      </c>
      <c r="BC861" s="15">
        <v>0.0</v>
      </c>
      <c r="BD861" s="15">
        <v>0.0</v>
      </c>
      <c r="BE861" s="15">
        <v>0.0</v>
      </c>
      <c r="BF861" s="15">
        <v>0.0</v>
      </c>
      <c r="BG861" s="15">
        <v>0.0</v>
      </c>
      <c r="BH861" s="15">
        <v>2470000.0</v>
      </c>
      <c r="BI861" s="15">
        <v>2380000.0</v>
      </c>
      <c r="BJ861" s="15">
        <v>1830000.0</v>
      </c>
      <c r="BK861" s="15">
        <v>1530000.0</v>
      </c>
      <c r="BL861" s="15">
        <v>1300000.0</v>
      </c>
      <c r="BM861" s="15">
        <v>1030000.0</v>
      </c>
      <c r="BN861" s="15">
        <v>844520.0</v>
      </c>
      <c r="BO861" s="15">
        <v>746580.0</v>
      </c>
      <c r="BP861" s="15">
        <v>568940.0</v>
      </c>
      <c r="BQ861" s="15">
        <v>452600.0</v>
      </c>
      <c r="BR861" s="15">
        <v>16110.0</v>
      </c>
      <c r="BS861" s="15">
        <v>12580.0</v>
      </c>
      <c r="BT861" s="15">
        <v>17470.0</v>
      </c>
      <c r="BU861" s="15">
        <v>15110.0</v>
      </c>
      <c r="BV861" s="15">
        <v>14390.0</v>
      </c>
      <c r="BW861" s="15">
        <v>4190000.0</v>
      </c>
      <c r="BX861" s="15">
        <v>3850000.0</v>
      </c>
      <c r="BY861" s="15">
        <v>3150000.0</v>
      </c>
      <c r="BZ861" s="15">
        <v>2670000.0</v>
      </c>
      <c r="CA861" s="15">
        <v>2290000.0</v>
      </c>
      <c r="CB861" s="15">
        <v>2520000.0</v>
      </c>
      <c r="CC861" s="15">
        <v>946590.0</v>
      </c>
      <c r="CD861" s="15">
        <v>885940.0</v>
      </c>
      <c r="CE861" s="15">
        <v>751540.0</v>
      </c>
      <c r="CF861" s="15">
        <v>731280.0</v>
      </c>
      <c r="CG861" s="15">
        <v>2000000.0</v>
      </c>
      <c r="CH861" s="15">
        <v>1820000.0</v>
      </c>
      <c r="CI861" s="15">
        <v>1750000.0</v>
      </c>
      <c r="CJ861" s="15">
        <v>1750000.0</v>
      </c>
      <c r="CK861" s="15">
        <v>1600000.0</v>
      </c>
      <c r="CL861" s="15">
        <v>1.098E7</v>
      </c>
      <c r="CM861" s="15">
        <v>8500000.0</v>
      </c>
      <c r="CN861" s="15">
        <v>7500000.0</v>
      </c>
      <c r="CO861" s="15">
        <v>6760000.0</v>
      </c>
      <c r="CP861" s="15">
        <v>6160000.0</v>
      </c>
      <c r="CQ861" s="15">
        <v>1110000.0</v>
      </c>
      <c r="CR861" s="15">
        <v>1130000.0</v>
      </c>
      <c r="CS861" s="15">
        <v>1030000.0</v>
      </c>
      <c r="CT861" s="15">
        <v>781510.0</v>
      </c>
      <c r="CU861" s="15">
        <v>721550.0</v>
      </c>
      <c r="CV861" s="15">
        <v>4110000.0</v>
      </c>
      <c r="CW861" s="15">
        <v>121950.0</v>
      </c>
      <c r="CX861" s="16">
        <v>0.0</v>
      </c>
      <c r="CY861" s="16">
        <v>0.0</v>
      </c>
      <c r="CZ861" s="16">
        <v>0.0</v>
      </c>
      <c r="DA861" s="15">
        <v>0.0</v>
      </c>
      <c r="DB861" s="15">
        <v>4110000.0</v>
      </c>
      <c r="DC861" s="15">
        <v>3750000.0</v>
      </c>
      <c r="DD861" s="15">
        <v>3580000.0</v>
      </c>
      <c r="DE861" s="15">
        <v>2460000.0</v>
      </c>
      <c r="DF861" s="15">
        <v>9060000.0</v>
      </c>
      <c r="DG861" s="15">
        <v>6820000.0</v>
      </c>
      <c r="DH861" s="15">
        <v>5840000.0</v>
      </c>
      <c r="DI861" s="15">
        <v>5070000.0</v>
      </c>
      <c r="DJ861" s="15">
        <v>4450000.0</v>
      </c>
      <c r="DK861" s="15">
        <v>167600.0</v>
      </c>
      <c r="DL861" s="15">
        <v>137210.0</v>
      </c>
      <c r="DM861" s="15">
        <v>105270.0</v>
      </c>
      <c r="DN861" s="15">
        <v>82030.0</v>
      </c>
      <c r="DO861" s="15">
        <v>81810.0</v>
      </c>
      <c r="DP861" s="15">
        <v>4650000.0</v>
      </c>
      <c r="DQ861" s="15">
        <v>2730000.0</v>
      </c>
      <c r="DR861" s="15">
        <v>1950000.0</v>
      </c>
      <c r="DS861" s="15">
        <v>2260000.0</v>
      </c>
      <c r="DT861" s="15">
        <v>2000000.0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1150000.0</v>
      </c>
      <c r="EA861" s="15">
        <v>1100000.0</v>
      </c>
      <c r="EB861" s="15">
        <v>1180000.0</v>
      </c>
      <c r="EC861" s="15">
        <v>1130000.0</v>
      </c>
      <c r="ED861" s="15">
        <v>1240000.0</v>
      </c>
      <c r="EE861" s="17">
        <v>1.053</v>
      </c>
      <c r="EF861" s="17">
        <v>0.495</v>
      </c>
      <c r="EG861" s="17">
        <v>0.031</v>
      </c>
      <c r="EH861" s="17">
        <v>-0.065</v>
      </c>
    </row>
    <row r="862">
      <c r="A862" s="9">
        <f t="shared" si="2"/>
        <v>860</v>
      </c>
      <c r="B862" s="10" t="s">
        <v>997</v>
      </c>
      <c r="C862" s="11">
        <v>1790000.0</v>
      </c>
      <c r="D862" s="11">
        <v>1630000.0</v>
      </c>
      <c r="E862" s="11">
        <v>1700000.0</v>
      </c>
      <c r="F862" s="11">
        <v>1750000.0</v>
      </c>
      <c r="G862" s="11">
        <v>1580000.0</v>
      </c>
      <c r="H862" s="11">
        <v>1520000.0</v>
      </c>
      <c r="I862" s="11">
        <v>1530000.0</v>
      </c>
      <c r="J862" s="11">
        <v>721430.0</v>
      </c>
      <c r="K862" s="11">
        <v>702850.0</v>
      </c>
      <c r="L862" s="11">
        <v>622960.0</v>
      </c>
      <c r="M862" s="11">
        <v>607240.0</v>
      </c>
      <c r="N862" s="11">
        <v>579950.0</v>
      </c>
      <c r="O862" s="11">
        <v>575820.0</v>
      </c>
      <c r="P862" s="11">
        <v>572900.0</v>
      </c>
      <c r="Q862" s="11">
        <v>493380.0</v>
      </c>
      <c r="R862" s="11">
        <v>475960.0</v>
      </c>
      <c r="S862" s="11">
        <v>459140.0</v>
      </c>
      <c r="T862" s="11">
        <v>10800.0</v>
      </c>
      <c r="U862" s="11">
        <v>9100.0</v>
      </c>
      <c r="V862" s="11">
        <v>7900.0</v>
      </c>
      <c r="W862" s="12"/>
      <c r="X862" s="11">
        <v>8400.0</v>
      </c>
      <c r="Y862" s="11">
        <v>114650.0</v>
      </c>
      <c r="Z862" s="11">
        <v>97280.0</v>
      </c>
      <c r="AA862" s="11">
        <v>131780.0</v>
      </c>
      <c r="AB862" s="11"/>
      <c r="AC862" s="11">
        <v>120240.0</v>
      </c>
      <c r="AD862" s="11">
        <v>115170.0</v>
      </c>
      <c r="AE862" s="11">
        <v>95330.0</v>
      </c>
      <c r="AF862" s="11">
        <v>128890.0</v>
      </c>
      <c r="AG862" s="11">
        <v>130740.0</v>
      </c>
      <c r="AH862" s="11">
        <v>125040.0</v>
      </c>
      <c r="AI862" s="11">
        <v>244480.0</v>
      </c>
      <c r="AJ862" s="11">
        <v>161100.0</v>
      </c>
      <c r="AK862" s="11">
        <v>161340.0</v>
      </c>
      <c r="AL862" s="11">
        <v>160410.0</v>
      </c>
      <c r="AM862" s="11">
        <v>147330.0</v>
      </c>
      <c r="AN862" s="11">
        <v>77350.0</v>
      </c>
      <c r="AO862" s="11">
        <v>68350.0</v>
      </c>
      <c r="AP862" s="11">
        <v>80460.0</v>
      </c>
      <c r="AQ862" s="11">
        <v>85500.0</v>
      </c>
      <c r="AR862" s="11">
        <v>78850.0</v>
      </c>
      <c r="AS862" s="11">
        <v>230480.0</v>
      </c>
      <c r="AT862" s="11">
        <v>150750.0</v>
      </c>
      <c r="AU862" s="11">
        <v>115750.0</v>
      </c>
      <c r="AV862" s="11">
        <v>147990.0</v>
      </c>
      <c r="AW862" s="11">
        <v>112360.0</v>
      </c>
      <c r="AX862" s="11">
        <v>-46040.0</v>
      </c>
      <c r="AY862" s="11">
        <v>-48430.0</v>
      </c>
      <c r="AZ862" s="11">
        <v>-36340.0</v>
      </c>
      <c r="BA862" s="11">
        <v>-20300.0</v>
      </c>
      <c r="BB862" s="11">
        <v>-24680.0</v>
      </c>
      <c r="BC862" s="11">
        <v>-25090.0</v>
      </c>
      <c r="BD862" s="11">
        <v>-23510.0</v>
      </c>
      <c r="BE862" s="11">
        <v>-22010.0</v>
      </c>
      <c r="BF862" s="11">
        <v>-20660.0</v>
      </c>
      <c r="BG862" s="11">
        <v>-18140.0</v>
      </c>
      <c r="BH862" s="11">
        <v>285500.0</v>
      </c>
      <c r="BI862" s="11">
        <v>153140.0</v>
      </c>
      <c r="BJ862" s="11">
        <v>153140.0</v>
      </c>
      <c r="BK862" s="11">
        <v>167770.0</v>
      </c>
      <c r="BL862" s="11">
        <v>136650.0</v>
      </c>
      <c r="BM862" s="11">
        <v>99350.0</v>
      </c>
      <c r="BN862" s="11">
        <v>143290.0</v>
      </c>
      <c r="BO862" s="11">
        <v>154060.0</v>
      </c>
      <c r="BP862" s="11">
        <v>150850.0</v>
      </c>
      <c r="BQ862" s="11">
        <v>146550.0</v>
      </c>
      <c r="BR862" s="11">
        <v>181640.0</v>
      </c>
      <c r="BS862" s="11">
        <v>196900.0</v>
      </c>
      <c r="BT862" s="11">
        <v>184840.0</v>
      </c>
      <c r="BU862" s="11">
        <v>175110.0</v>
      </c>
      <c r="BV862" s="11">
        <v>175590.0</v>
      </c>
      <c r="BW862" s="11">
        <v>626330.0</v>
      </c>
      <c r="BX862" s="11">
        <v>541120.0</v>
      </c>
      <c r="BY862" s="11">
        <v>518220.0</v>
      </c>
      <c r="BZ862" s="11">
        <v>517420.0</v>
      </c>
      <c r="CA862" s="11">
        <v>481970.0</v>
      </c>
      <c r="CB862" s="11">
        <v>533410.0</v>
      </c>
      <c r="CC862" s="11">
        <v>200520.0</v>
      </c>
      <c r="CD862" s="11">
        <v>180880.0</v>
      </c>
      <c r="CE862" s="11">
        <v>169130.0</v>
      </c>
      <c r="CF862" s="11">
        <v>171590.0</v>
      </c>
      <c r="CG862" s="11">
        <v>161020.0</v>
      </c>
      <c r="CH862" s="11">
        <v>185870.0</v>
      </c>
      <c r="CI862" s="11">
        <v>75250.0</v>
      </c>
      <c r="CJ862" s="11">
        <v>74250.0</v>
      </c>
      <c r="CK862" s="11">
        <v>37190.0</v>
      </c>
      <c r="CL862" s="11">
        <v>1540000.0</v>
      </c>
      <c r="CM862" s="11">
        <v>1080000.0</v>
      </c>
      <c r="CN862" s="11">
        <v>907230.0</v>
      </c>
      <c r="CO862" s="11">
        <v>888860.0</v>
      </c>
      <c r="CP862" s="11">
        <v>800030.0</v>
      </c>
      <c r="CQ862" s="11">
        <v>55510.0</v>
      </c>
      <c r="CR862" s="11">
        <v>65370.0</v>
      </c>
      <c r="CS862" s="11">
        <v>62400.0</v>
      </c>
      <c r="CT862" s="11">
        <v>51280.0</v>
      </c>
      <c r="CU862" s="11">
        <v>44660.0</v>
      </c>
      <c r="CV862" s="11">
        <v>350170.0</v>
      </c>
      <c r="CW862" s="11">
        <v>139380.0</v>
      </c>
      <c r="CX862" s="11"/>
      <c r="CY862" s="13"/>
      <c r="CZ862" s="13"/>
      <c r="DA862" s="12"/>
      <c r="DB862" s="11">
        <v>350170.0</v>
      </c>
      <c r="DC862" s="11">
        <v>238640.0</v>
      </c>
      <c r="DD862" s="11">
        <v>181350.0</v>
      </c>
      <c r="DE862" s="11">
        <v>198680.0</v>
      </c>
      <c r="DF862" s="11">
        <v>821380.0</v>
      </c>
      <c r="DG862" s="11">
        <v>381580.0</v>
      </c>
      <c r="DH862" s="11">
        <v>282010.0</v>
      </c>
      <c r="DI862" s="11">
        <v>287750.0</v>
      </c>
      <c r="DJ862" s="11">
        <v>242820.0</v>
      </c>
      <c r="DK862" s="11">
        <v>26050.0</v>
      </c>
      <c r="DL862" s="11">
        <v>36060.0</v>
      </c>
      <c r="DM862" s="11">
        <v>43090.0</v>
      </c>
      <c r="DN862" s="11">
        <v>36760.0</v>
      </c>
      <c r="DO862" s="11">
        <v>31660.0</v>
      </c>
      <c r="DP862" s="11">
        <v>270160.0</v>
      </c>
      <c r="DQ862" s="11">
        <v>19.0</v>
      </c>
      <c r="DR862" s="11">
        <v>199.0</v>
      </c>
      <c r="DS862" s="11">
        <v>296.0</v>
      </c>
      <c r="DT862" s="11">
        <v>513.0</v>
      </c>
      <c r="DU862" s="11"/>
      <c r="DV862" s="11"/>
      <c r="DW862" s="11"/>
      <c r="DX862" s="11"/>
      <c r="DY862" s="12"/>
      <c r="DZ862" s="11">
        <v>700750.0</v>
      </c>
      <c r="EA862" s="11">
        <v>682510.0</v>
      </c>
      <c r="EB862" s="11">
        <v>612180.0</v>
      </c>
      <c r="EC862" s="11">
        <v>589920.0</v>
      </c>
      <c r="ED862" s="11">
        <v>547140.0</v>
      </c>
      <c r="EE862" s="14">
        <v>0.031</v>
      </c>
      <c r="EF862" s="14">
        <v>0.067</v>
      </c>
      <c r="EG862" s="14">
        <v>1.45</v>
      </c>
      <c r="EH862" s="14">
        <v>0.448</v>
      </c>
    </row>
    <row r="863">
      <c r="A863" s="9">
        <f t="shared" si="2"/>
        <v>861</v>
      </c>
      <c r="B863" s="10" t="s">
        <v>998</v>
      </c>
      <c r="C863" s="11">
        <v>2.008E7</v>
      </c>
      <c r="D863" s="11">
        <v>1.72E7</v>
      </c>
      <c r="E863" s="11">
        <v>2.533E7</v>
      </c>
      <c r="F863" s="11">
        <v>2.574E7</v>
      </c>
      <c r="G863" s="11">
        <v>2.564E7</v>
      </c>
      <c r="H863" s="11">
        <v>2.578E7</v>
      </c>
      <c r="I863" s="11">
        <v>2.708E7</v>
      </c>
      <c r="J863" s="11">
        <v>9180000.0</v>
      </c>
      <c r="K863" s="11">
        <v>9560000.0</v>
      </c>
      <c r="L863" s="11">
        <v>9470000.0</v>
      </c>
      <c r="M863" s="11">
        <v>9100000.0</v>
      </c>
      <c r="N863" s="11">
        <v>9520000.0</v>
      </c>
      <c r="O863" s="11">
        <v>7900000.0</v>
      </c>
      <c r="P863" s="11">
        <v>7950000.0</v>
      </c>
      <c r="Q863" s="11">
        <v>7820000.0</v>
      </c>
      <c r="R863" s="11">
        <v>7270000.0</v>
      </c>
      <c r="S863" s="11">
        <v>7200000.0</v>
      </c>
      <c r="T863" s="12"/>
      <c r="U863" s="11"/>
      <c r="V863" s="11"/>
      <c r="W863" s="11"/>
      <c r="X863" s="11"/>
      <c r="Y863" s="11">
        <v>778000.0</v>
      </c>
      <c r="Z863" s="11">
        <v>1320000.0</v>
      </c>
      <c r="AA863" s="11">
        <v>-176000.0</v>
      </c>
      <c r="AB863" s="11">
        <v>1110000.0</v>
      </c>
      <c r="AC863" s="11">
        <v>2040000.0</v>
      </c>
      <c r="AD863" s="11">
        <v>728000.0</v>
      </c>
      <c r="AE863" s="11">
        <v>1420000.0</v>
      </c>
      <c r="AF863" s="11">
        <v>1520000.0</v>
      </c>
      <c r="AG863" s="11">
        <v>952000.0</v>
      </c>
      <c r="AH863" s="11">
        <v>1680000.0</v>
      </c>
      <c r="AI863" s="11">
        <v>2140000.0</v>
      </c>
      <c r="AJ863" s="11">
        <v>2450000.0</v>
      </c>
      <c r="AK863" s="11">
        <v>2500000.0</v>
      </c>
      <c r="AL863" s="11">
        <v>2740000.0</v>
      </c>
      <c r="AM863" s="11">
        <v>3390000.0</v>
      </c>
      <c r="AN863" s="11">
        <v>564000.0</v>
      </c>
      <c r="AO863" s="11">
        <v>1110000.0</v>
      </c>
      <c r="AP863" s="11">
        <v>1570000.0</v>
      </c>
      <c r="AQ863" s="11">
        <v>619000.0</v>
      </c>
      <c r="AR863" s="11">
        <v>1070000.0</v>
      </c>
      <c r="AS863" s="11">
        <v>1610000.0</v>
      </c>
      <c r="AT863" s="11">
        <v>1740000.0</v>
      </c>
      <c r="AU863" s="11">
        <v>1980000.0</v>
      </c>
      <c r="AV863" s="11">
        <v>1800000.0</v>
      </c>
      <c r="AW863" s="11">
        <v>1980000.0</v>
      </c>
      <c r="AX863" s="11">
        <v>-1160000.0</v>
      </c>
      <c r="AY863" s="11">
        <v>-932000.0</v>
      </c>
      <c r="AZ863" s="11">
        <v>-760000.0</v>
      </c>
      <c r="BA863" s="11">
        <v>-912000.0</v>
      </c>
      <c r="BB863" s="11">
        <v>-1110000.0</v>
      </c>
      <c r="BC863" s="11">
        <v>-466000.0</v>
      </c>
      <c r="BD863" s="11">
        <v>-463000.0</v>
      </c>
      <c r="BE863" s="11">
        <v>-461000.0</v>
      </c>
      <c r="BF863" s="11">
        <v>-459000.0</v>
      </c>
      <c r="BG863" s="11">
        <v>-456000.0</v>
      </c>
      <c r="BH863" s="11">
        <v>722000.0</v>
      </c>
      <c r="BI863" s="11">
        <v>1200000.0</v>
      </c>
      <c r="BJ863" s="11">
        <v>1490000.0</v>
      </c>
      <c r="BK863" s="11">
        <v>1330000.0</v>
      </c>
      <c r="BL863" s="11">
        <v>1150000.0</v>
      </c>
      <c r="BM863" s="11">
        <v>556000.0</v>
      </c>
      <c r="BN863" s="11">
        <v>400000.0</v>
      </c>
      <c r="BO863" s="11">
        <v>363000.0</v>
      </c>
      <c r="BP863" s="11">
        <v>522000.0</v>
      </c>
      <c r="BQ863" s="11">
        <v>558000.0</v>
      </c>
      <c r="BR863" s="11">
        <v>5190000.0</v>
      </c>
      <c r="BS863" s="11">
        <v>5260000.0</v>
      </c>
      <c r="BT863" s="11">
        <v>5180000.0</v>
      </c>
      <c r="BU863" s="11">
        <v>5400000.0</v>
      </c>
      <c r="BV863" s="11">
        <v>5510000.0</v>
      </c>
      <c r="BW863" s="11">
        <v>6810000.0</v>
      </c>
      <c r="BX863" s="11">
        <v>7450000.0</v>
      </c>
      <c r="BY863" s="11">
        <v>7650000.0</v>
      </c>
      <c r="BZ863" s="11">
        <v>7630000.0</v>
      </c>
      <c r="CA863" s="11">
        <v>7650000.0</v>
      </c>
      <c r="CB863" s="11">
        <v>9300000.0</v>
      </c>
      <c r="CC863" s="11">
        <v>6640000.0</v>
      </c>
      <c r="CD863" s="11">
        <v>6670000.0</v>
      </c>
      <c r="CE863" s="11">
        <v>7020000.0</v>
      </c>
      <c r="CF863" s="11">
        <v>7620000.0</v>
      </c>
      <c r="CG863" s="11">
        <v>3910000.0</v>
      </c>
      <c r="CH863" s="11">
        <v>3910000.0</v>
      </c>
      <c r="CI863" s="11">
        <v>3900000.0</v>
      </c>
      <c r="CJ863" s="11">
        <v>3900000.0</v>
      </c>
      <c r="CK863" s="11">
        <v>3900000.0</v>
      </c>
      <c r="CL863" s="11">
        <v>2.258E7</v>
      </c>
      <c r="CM863" s="11">
        <v>1.986E7</v>
      </c>
      <c r="CN863" s="11">
        <v>2.025E7</v>
      </c>
      <c r="CO863" s="11">
        <v>2.116E7</v>
      </c>
      <c r="CP863" s="11">
        <v>2.187E7</v>
      </c>
      <c r="CQ863" s="11">
        <v>2660000.0</v>
      </c>
      <c r="CR863" s="11">
        <v>2640000.0</v>
      </c>
      <c r="CS863" s="11">
        <v>2330000.0</v>
      </c>
      <c r="CT863" s="11">
        <v>2180000.0</v>
      </c>
      <c r="CU863" s="11">
        <v>2340000.0</v>
      </c>
      <c r="CV863" s="11">
        <v>5750000.0</v>
      </c>
      <c r="CW863" s="11">
        <v>331000.0</v>
      </c>
      <c r="CX863" s="12"/>
      <c r="CY863" s="13"/>
      <c r="CZ863" s="13"/>
      <c r="DA863" s="12"/>
      <c r="DB863" s="11">
        <v>5750000.0</v>
      </c>
      <c r="DC863" s="11">
        <v>5230000.0</v>
      </c>
      <c r="DD863" s="11">
        <v>5180000.0</v>
      </c>
      <c r="DE863" s="11">
        <v>5650000.0</v>
      </c>
      <c r="DF863" s="11">
        <v>1.621E7</v>
      </c>
      <c r="DG863" s="11">
        <v>1.343E7</v>
      </c>
      <c r="DH863" s="11">
        <v>1.451E7</v>
      </c>
      <c r="DI863" s="11">
        <v>1.684E7</v>
      </c>
      <c r="DJ863" s="11">
        <v>1.761E7</v>
      </c>
      <c r="DK863" s="12"/>
      <c r="DL863" s="12"/>
      <c r="DM863" s="12"/>
      <c r="DN863" s="12"/>
      <c r="DO863" s="12"/>
      <c r="DP863" s="11">
        <v>6540000.0</v>
      </c>
      <c r="DQ863" s="11">
        <v>4710000.0</v>
      </c>
      <c r="DR863" s="11">
        <v>5860000.0</v>
      </c>
      <c r="DS863" s="11">
        <v>6560000.0</v>
      </c>
      <c r="DT863" s="11">
        <v>7000000.0</v>
      </c>
      <c r="DU863" s="13"/>
      <c r="DV863" s="12"/>
      <c r="DW863" s="12"/>
      <c r="DX863" s="12"/>
      <c r="DY863" s="12"/>
      <c r="DZ863" s="11">
        <v>6380000.0</v>
      </c>
      <c r="EA863" s="11">
        <v>6440000.0</v>
      </c>
      <c r="EB863" s="11">
        <v>5750000.0</v>
      </c>
      <c r="EC863" s="11">
        <v>4320000.0</v>
      </c>
      <c r="ED863" s="11">
        <v>4250000.0</v>
      </c>
      <c r="EE863" s="14">
        <v>0.142</v>
      </c>
      <c r="EF863" s="14">
        <v>0.196</v>
      </c>
      <c r="EG863" s="14">
        <v>0.0</v>
      </c>
      <c r="EH863" s="14"/>
    </row>
    <row r="864">
      <c r="A864" s="9">
        <f t="shared" si="2"/>
        <v>862</v>
      </c>
      <c r="B864" s="25" t="s">
        <v>999</v>
      </c>
      <c r="C864" s="12"/>
      <c r="D864" s="12"/>
      <c r="E864" s="12">
        <v>0.0</v>
      </c>
      <c r="F864" s="12">
        <v>0.0</v>
      </c>
      <c r="G864" s="12">
        <v>0.0</v>
      </c>
      <c r="H864" s="12">
        <v>0.0</v>
      </c>
      <c r="I864" s="12">
        <v>0.0</v>
      </c>
      <c r="J864" s="12">
        <v>0.0</v>
      </c>
      <c r="K864" s="12">
        <v>0.0</v>
      </c>
      <c r="L864" s="12">
        <v>0.0</v>
      </c>
      <c r="M864" s="12">
        <v>0.0</v>
      </c>
      <c r="N864" s="12">
        <v>0.0</v>
      </c>
      <c r="O864" s="12">
        <v>11720.0</v>
      </c>
      <c r="P864" s="12">
        <v>11400.0</v>
      </c>
      <c r="Q864" s="12">
        <v>11040.0</v>
      </c>
      <c r="R864" s="12">
        <v>9880.0</v>
      </c>
      <c r="S864" s="12">
        <v>9900.0</v>
      </c>
      <c r="T864" s="12">
        <v>0.0</v>
      </c>
      <c r="U864" s="15">
        <v>0.0</v>
      </c>
      <c r="V864" s="15">
        <v>0.0</v>
      </c>
      <c r="W864" s="15">
        <v>0.0</v>
      </c>
      <c r="X864" s="15">
        <v>0.0</v>
      </c>
      <c r="Y864" s="12">
        <v>-11920.0</v>
      </c>
      <c r="Z864" s="12">
        <v>-12220.0</v>
      </c>
      <c r="AA864" s="12">
        <v>-10620.0</v>
      </c>
      <c r="AB864" s="12">
        <v>-81250.0</v>
      </c>
      <c r="AC864" s="12">
        <v>-15530.0</v>
      </c>
      <c r="AD864" s="12">
        <v>-8550.0</v>
      </c>
      <c r="AE864" s="12">
        <v>-6780.0</v>
      </c>
      <c r="AF864" s="12">
        <v>-7890.0</v>
      </c>
      <c r="AG864" s="12">
        <v>-78300.0</v>
      </c>
      <c r="AH864" s="12">
        <v>-17890.0</v>
      </c>
      <c r="AI864" s="12">
        <v>-11720.0</v>
      </c>
      <c r="AJ864" s="12">
        <v>-11400.0</v>
      </c>
      <c r="AK864" s="12">
        <v>-11040.0</v>
      </c>
      <c r="AL864" s="12">
        <v>-9880.0</v>
      </c>
      <c r="AM864" s="12">
        <v>-9900.0</v>
      </c>
      <c r="AN864" s="12">
        <v>-5870.0</v>
      </c>
      <c r="AO864" s="12">
        <v>-7520.0</v>
      </c>
      <c r="AP864" s="12">
        <v>-8430.0</v>
      </c>
      <c r="AQ864" s="12">
        <v>-73990.0</v>
      </c>
      <c r="AR864" s="12">
        <v>-21530.0</v>
      </c>
      <c r="AS864" s="12">
        <v>-4260.0</v>
      </c>
      <c r="AT864" s="12">
        <v>-5110.0</v>
      </c>
      <c r="AU864" s="12">
        <v>-5130.0</v>
      </c>
      <c r="AV864" s="12">
        <v>-5880.0</v>
      </c>
      <c r="AW864" s="12">
        <v>-4700.0</v>
      </c>
      <c r="AX864" s="12">
        <v>-4760.0</v>
      </c>
      <c r="AY864" s="12">
        <v>-2880.0</v>
      </c>
      <c r="AZ864" s="12">
        <v>-1860.0</v>
      </c>
      <c r="BA864" s="12">
        <v>-1800.0</v>
      </c>
      <c r="BB864" s="12">
        <v>-4130.0</v>
      </c>
      <c r="BC864" s="16">
        <v>0.0</v>
      </c>
      <c r="BD864" s="12">
        <v>0.0</v>
      </c>
      <c r="BE864" s="16">
        <v>0.0</v>
      </c>
      <c r="BF864" s="16">
        <v>0.0</v>
      </c>
      <c r="BG864" s="16">
        <v>0.0</v>
      </c>
      <c r="BH864" s="12">
        <v>93830.0</v>
      </c>
      <c r="BI864" s="12">
        <v>177800.0</v>
      </c>
      <c r="BJ864" s="12">
        <v>200970.0</v>
      </c>
      <c r="BK864" s="12">
        <v>186490.0</v>
      </c>
      <c r="BL864" s="12">
        <v>105160.0</v>
      </c>
      <c r="BM864" s="12">
        <v>0.0</v>
      </c>
      <c r="BN864" s="12">
        <v>0.0</v>
      </c>
      <c r="BO864" s="12">
        <v>0.0</v>
      </c>
      <c r="BP864" s="12">
        <v>0.0</v>
      </c>
      <c r="BQ864" s="12">
        <v>0.0</v>
      </c>
      <c r="BR864" s="15">
        <v>0.0</v>
      </c>
      <c r="BS864" s="15">
        <v>0.0</v>
      </c>
      <c r="BT864" s="15">
        <v>0.0</v>
      </c>
      <c r="BU864" s="15">
        <v>0.0</v>
      </c>
      <c r="BV864" s="15">
        <v>0.0</v>
      </c>
      <c r="BW864" s="12">
        <v>94290.0</v>
      </c>
      <c r="BX864" s="12">
        <v>178750.0</v>
      </c>
      <c r="BY864" s="12">
        <v>201530.0</v>
      </c>
      <c r="BZ864" s="12">
        <v>187580.0</v>
      </c>
      <c r="CA864" s="12">
        <v>105820.0</v>
      </c>
      <c r="CB864" s="12">
        <v>1010.0</v>
      </c>
      <c r="CC864" s="12">
        <v>0.0</v>
      </c>
      <c r="CD864" s="12">
        <v>0.0</v>
      </c>
      <c r="CE864" s="12">
        <v>0.0</v>
      </c>
      <c r="CF864" s="12">
        <v>0.0</v>
      </c>
      <c r="CG864" s="12">
        <v>0.0</v>
      </c>
      <c r="CH864" s="12">
        <v>0.0</v>
      </c>
      <c r="CI864" s="12">
        <v>0.0</v>
      </c>
      <c r="CJ864" s="12">
        <v>0.0</v>
      </c>
      <c r="CK864" s="12">
        <v>0.0</v>
      </c>
      <c r="CL864" s="12">
        <v>285430.0</v>
      </c>
      <c r="CM864" s="12">
        <v>297140.0</v>
      </c>
      <c r="CN864" s="12">
        <v>278770.0</v>
      </c>
      <c r="CO864" s="12">
        <v>237690.0</v>
      </c>
      <c r="CP864" s="12">
        <v>222620.0</v>
      </c>
      <c r="CQ864" s="12">
        <v>0.0</v>
      </c>
      <c r="CR864" s="12">
        <v>0.0</v>
      </c>
      <c r="CS864" s="12">
        <v>0.0</v>
      </c>
      <c r="CT864" s="12">
        <v>0.0</v>
      </c>
      <c r="CU864" s="12">
        <v>0.0</v>
      </c>
      <c r="CV864" s="12">
        <v>1110.0</v>
      </c>
      <c r="CW864" s="12">
        <v>0.0</v>
      </c>
      <c r="CX864" s="16">
        <v>0.0</v>
      </c>
      <c r="CY864" s="16">
        <v>0.0</v>
      </c>
      <c r="CZ864" s="16">
        <v>0.0</v>
      </c>
      <c r="DA864" s="15">
        <v>0.0</v>
      </c>
      <c r="DB864" s="12">
        <v>1110.0</v>
      </c>
      <c r="DC864" s="12">
        <v>2130.0</v>
      </c>
      <c r="DD864" s="12">
        <v>1170.0</v>
      </c>
      <c r="DE864" s="12">
        <v>0.0</v>
      </c>
      <c r="DF864" s="12">
        <v>6310.0</v>
      </c>
      <c r="DG864" s="12">
        <v>5020.0</v>
      </c>
      <c r="DH864" s="12">
        <v>2820.0</v>
      </c>
      <c r="DI864" s="12">
        <v>1770.0</v>
      </c>
      <c r="DJ864" s="12">
        <v>8500.0</v>
      </c>
      <c r="DK864" s="12">
        <v>179020.0</v>
      </c>
      <c r="DL864" s="12">
        <v>113350.0</v>
      </c>
      <c r="DM864" s="12">
        <v>75390.0</v>
      </c>
      <c r="DN864" s="12">
        <v>50040.0</v>
      </c>
      <c r="DO864" s="12">
        <v>43390.0</v>
      </c>
      <c r="DP864" s="12">
        <v>0.0</v>
      </c>
      <c r="DQ864" s="12">
        <v>0.0</v>
      </c>
      <c r="DR864" s="12">
        <v>0.0</v>
      </c>
      <c r="DS864" s="12">
        <v>0.0</v>
      </c>
      <c r="DT864" s="12">
        <v>0.0</v>
      </c>
      <c r="DU864" s="16">
        <v>0.0</v>
      </c>
      <c r="DV864" s="12">
        <v>0.0</v>
      </c>
      <c r="DW864" s="12">
        <v>0.0</v>
      </c>
      <c r="DX864" s="16">
        <v>0.0</v>
      </c>
      <c r="DY864" s="16">
        <v>0.0</v>
      </c>
      <c r="DZ864" s="12">
        <v>279120.0</v>
      </c>
      <c r="EA864" s="12">
        <v>292120.0</v>
      </c>
      <c r="EB864" s="12">
        <v>275950.0</v>
      </c>
      <c r="EC864" s="12">
        <v>235910.0</v>
      </c>
      <c r="ED864" s="12">
        <v>214120.0</v>
      </c>
      <c r="EE864" s="23"/>
      <c r="EF864" s="23"/>
      <c r="EG864" s="23"/>
      <c r="EH864" s="23"/>
    </row>
    <row r="865">
      <c r="A865" s="9">
        <f t="shared" si="2"/>
        <v>863</v>
      </c>
      <c r="B865" s="10" t="s">
        <v>1000</v>
      </c>
      <c r="C865" s="15">
        <v>661650.0</v>
      </c>
      <c r="D865" s="15">
        <v>650370.0</v>
      </c>
      <c r="E865" s="15">
        <v>811640.0</v>
      </c>
      <c r="F865" s="15">
        <v>793500.0</v>
      </c>
      <c r="G865" s="15">
        <v>736920.0</v>
      </c>
      <c r="H865" s="15">
        <v>763400.0</v>
      </c>
      <c r="I865" s="15">
        <v>621780.0</v>
      </c>
      <c r="J865" s="15">
        <v>61720.0</v>
      </c>
      <c r="K865" s="15">
        <v>42240.0</v>
      </c>
      <c r="L865" s="15">
        <v>90800.0</v>
      </c>
      <c r="M865" s="15">
        <v>127570.0</v>
      </c>
      <c r="N865" s="15">
        <v>20740.0</v>
      </c>
      <c r="O865" s="15">
        <v>3490.0</v>
      </c>
      <c r="P865" s="15">
        <v>3610.0</v>
      </c>
      <c r="Q865" s="15">
        <v>4650.0</v>
      </c>
      <c r="R865" s="15">
        <v>5460.0</v>
      </c>
      <c r="S865" s="15">
        <v>5160.0</v>
      </c>
      <c r="T865" s="15">
        <v>0.0</v>
      </c>
      <c r="U865" s="15">
        <v>0.0</v>
      </c>
      <c r="V865" s="15">
        <v>0.0</v>
      </c>
      <c r="W865" s="15">
        <v>0.0</v>
      </c>
      <c r="X865" s="15">
        <v>0.0</v>
      </c>
      <c r="Y865" s="15">
        <v>31090.0</v>
      </c>
      <c r="Z865" s="15">
        <v>-4040.0</v>
      </c>
      <c r="AA865" s="15">
        <v>87700.0</v>
      </c>
      <c r="AB865" s="15">
        <v>119720.0</v>
      </c>
      <c r="AC865" s="15">
        <v>14180.0</v>
      </c>
      <c r="AD865" s="15">
        <v>35560.0</v>
      </c>
      <c r="AE865" s="15">
        <v>34760.0</v>
      </c>
      <c r="AF865" s="15">
        <v>71690.0</v>
      </c>
      <c r="AG865" s="15">
        <v>72340.0</v>
      </c>
      <c r="AH865" s="15">
        <v>-5610.0</v>
      </c>
      <c r="AI865" s="15">
        <v>240350.0</v>
      </c>
      <c r="AJ865" s="15">
        <v>239110.0</v>
      </c>
      <c r="AK865" s="15">
        <v>256740.0</v>
      </c>
      <c r="AL865" s="15">
        <v>267250.0</v>
      </c>
      <c r="AM865" s="15">
        <v>188680.0</v>
      </c>
      <c r="AN865" s="15">
        <v>24440.0</v>
      </c>
      <c r="AO865" s="15">
        <v>-50630.0</v>
      </c>
      <c r="AP865" s="15">
        <v>49670.0</v>
      </c>
      <c r="AQ865" s="15">
        <v>53880.0</v>
      </c>
      <c r="AR865" s="15">
        <v>-1410.0</v>
      </c>
      <c r="AS865" s="15">
        <v>316800.0</v>
      </c>
      <c r="AT865" s="15">
        <v>128160.0</v>
      </c>
      <c r="AU865" s="15">
        <v>288650.0</v>
      </c>
      <c r="AV865" s="15">
        <v>275670.0</v>
      </c>
      <c r="AW865" s="15">
        <v>226460.0</v>
      </c>
      <c r="AX865" s="15">
        <v>-248380.0</v>
      </c>
      <c r="AY865" s="15">
        <v>-226330.0</v>
      </c>
      <c r="AZ865" s="15">
        <v>-256370.0</v>
      </c>
      <c r="BA865" s="15">
        <v>-212120.0</v>
      </c>
      <c r="BB865" s="15">
        <v>-193390.0</v>
      </c>
      <c r="BC865" s="15">
        <v>-30190.0</v>
      </c>
      <c r="BD865" s="15">
        <v>-29580.0</v>
      </c>
      <c r="BE865" s="15">
        <v>-29540.0</v>
      </c>
      <c r="BF865" s="15">
        <v>-29750.0</v>
      </c>
      <c r="BG865" s="15">
        <v>0.0</v>
      </c>
      <c r="BH865" s="15">
        <v>391530.0</v>
      </c>
      <c r="BI865" s="15">
        <v>319530.0</v>
      </c>
      <c r="BJ865" s="15">
        <v>381220.0</v>
      </c>
      <c r="BK865" s="15">
        <v>316930.0</v>
      </c>
      <c r="BL865" s="15">
        <v>244990.0</v>
      </c>
      <c r="BM865" s="15">
        <v>83000.0</v>
      </c>
      <c r="BN865" s="15">
        <v>208600.0</v>
      </c>
      <c r="BO865" s="15">
        <v>117210.0</v>
      </c>
      <c r="BP865" s="15">
        <v>155140.0</v>
      </c>
      <c r="BQ865" s="15">
        <v>115810.0</v>
      </c>
      <c r="BR865" s="15">
        <v>2710.0</v>
      </c>
      <c r="BS865" s="15">
        <v>1870.0</v>
      </c>
      <c r="BT865" s="15">
        <v>2130.0</v>
      </c>
      <c r="BU865" s="15">
        <v>1240.0</v>
      </c>
      <c r="BV865" s="15">
        <v>0.0</v>
      </c>
      <c r="BW865" s="15">
        <v>494220.0</v>
      </c>
      <c r="BX865" s="15">
        <v>545870.0</v>
      </c>
      <c r="BY865" s="15">
        <v>518090.0</v>
      </c>
      <c r="BZ865" s="15">
        <v>508620.0</v>
      </c>
      <c r="CA865" s="15">
        <v>395710.0</v>
      </c>
      <c r="CB865" s="15">
        <v>313120.0</v>
      </c>
      <c r="CC865" s="15">
        <v>323990.0</v>
      </c>
      <c r="CD865" s="15">
        <v>317900.0</v>
      </c>
      <c r="CE865" s="15">
        <v>328470.0</v>
      </c>
      <c r="CF865" s="15">
        <v>394160.0</v>
      </c>
      <c r="CG865" s="15">
        <v>536380.0</v>
      </c>
      <c r="CH865" s="15">
        <v>556420.0</v>
      </c>
      <c r="CI865" s="15">
        <v>547450.0</v>
      </c>
      <c r="CJ865" s="15">
        <v>563400.0</v>
      </c>
      <c r="CK865" s="15">
        <v>662820.0</v>
      </c>
      <c r="CL865" s="15">
        <v>1900000.0</v>
      </c>
      <c r="CM865" s="15">
        <v>2040000.0</v>
      </c>
      <c r="CN865" s="15">
        <v>1990000.0</v>
      </c>
      <c r="CO865" s="15">
        <v>1940000.0</v>
      </c>
      <c r="CP865" s="15">
        <v>2050000.0</v>
      </c>
      <c r="CQ865" s="15">
        <v>151710.0</v>
      </c>
      <c r="CR865" s="15">
        <v>216850.0</v>
      </c>
      <c r="CS865" s="15">
        <v>140930.0</v>
      </c>
      <c r="CT865" s="15">
        <v>170350.0</v>
      </c>
      <c r="CU865" s="15">
        <v>113950.0</v>
      </c>
      <c r="CV865" s="15">
        <v>545790.0</v>
      </c>
      <c r="CW865" s="15">
        <v>0.0</v>
      </c>
      <c r="CX865" s="15">
        <v>4950.0</v>
      </c>
      <c r="CY865" s="16">
        <v>0.0</v>
      </c>
      <c r="CZ865" s="16">
        <v>0.0</v>
      </c>
      <c r="DA865" s="15">
        <v>0.0</v>
      </c>
      <c r="DB865" s="15">
        <v>545790.0</v>
      </c>
      <c r="DC865" s="15">
        <v>609240.0</v>
      </c>
      <c r="DD865" s="15">
        <v>538170.0</v>
      </c>
      <c r="DE865" s="15">
        <v>541320.0</v>
      </c>
      <c r="DF865" s="15">
        <v>1380000.0</v>
      </c>
      <c r="DG865" s="15">
        <v>1480000.0</v>
      </c>
      <c r="DH865" s="15">
        <v>1370000.0</v>
      </c>
      <c r="DI865" s="15">
        <v>1330000.0</v>
      </c>
      <c r="DJ865" s="15">
        <v>1300000.0</v>
      </c>
      <c r="DK865" s="15">
        <v>31830.0</v>
      </c>
      <c r="DL865" s="15">
        <v>24610.0</v>
      </c>
      <c r="DM865" s="15">
        <v>20310.0</v>
      </c>
      <c r="DN865" s="15">
        <v>23000.0</v>
      </c>
      <c r="DO865" s="15">
        <v>21320.0</v>
      </c>
      <c r="DP865" s="15">
        <v>643700.0</v>
      </c>
      <c r="DQ865" s="15">
        <v>642560.0</v>
      </c>
      <c r="DR865" s="15">
        <v>646400.0</v>
      </c>
      <c r="DS865" s="15">
        <v>647720.0</v>
      </c>
      <c r="DT865" s="15">
        <v>645670.0</v>
      </c>
      <c r="DU865" s="16">
        <v>0.0</v>
      </c>
      <c r="DV865" s="15">
        <v>0.0</v>
      </c>
      <c r="DW865" s="15">
        <v>0.0</v>
      </c>
      <c r="DX865" s="16">
        <v>0.0</v>
      </c>
      <c r="DY865" s="16">
        <v>0.0</v>
      </c>
      <c r="DZ865" s="15">
        <v>528430.0</v>
      </c>
      <c r="EA865" s="15">
        <v>563880.0</v>
      </c>
      <c r="EB865" s="15">
        <v>620400.0</v>
      </c>
      <c r="EC865" s="15">
        <v>612630.0</v>
      </c>
      <c r="ED865" s="15">
        <v>751620.0</v>
      </c>
      <c r="EE865" s="17">
        <v>0.143</v>
      </c>
      <c r="EF865" s="17">
        <v>0.43</v>
      </c>
      <c r="EG865" s="17">
        <v>-5.42</v>
      </c>
      <c r="EH865" s="17">
        <v>-1.001</v>
      </c>
    </row>
    <row r="866">
      <c r="A866" s="9">
        <f t="shared" si="2"/>
        <v>864</v>
      </c>
      <c r="B866" s="10" t="s">
        <v>1001</v>
      </c>
      <c r="C866" s="15">
        <v>1.772E7</v>
      </c>
      <c r="D866" s="15">
        <v>1.307E7</v>
      </c>
      <c r="E866" s="15">
        <v>2.097E7</v>
      </c>
      <c r="F866" s="15">
        <v>2.076E7</v>
      </c>
      <c r="G866" s="15">
        <v>2.045E7</v>
      </c>
      <c r="H866" s="15">
        <v>1.707E7</v>
      </c>
      <c r="I866" s="15">
        <v>1.448E7</v>
      </c>
      <c r="J866" s="15">
        <v>2980000.0</v>
      </c>
      <c r="K866" s="15">
        <v>3450000.0</v>
      </c>
      <c r="L866" s="15">
        <v>3580000.0</v>
      </c>
      <c r="M866" s="15">
        <v>2460000.0</v>
      </c>
      <c r="N866" s="15">
        <v>1990000.0</v>
      </c>
      <c r="O866" s="15">
        <v>938000.0</v>
      </c>
      <c r="P866" s="15">
        <v>927000.0</v>
      </c>
      <c r="Q866" s="15">
        <v>921000.0</v>
      </c>
      <c r="R866" s="15">
        <v>704000.0</v>
      </c>
      <c r="S866" s="15">
        <v>596000.0</v>
      </c>
      <c r="T866" s="15">
        <v>0.0</v>
      </c>
      <c r="U866" s="15">
        <v>0.0</v>
      </c>
      <c r="V866" s="15">
        <v>0.0</v>
      </c>
      <c r="W866" s="15">
        <v>0.0</v>
      </c>
      <c r="X866" s="15">
        <v>0.0</v>
      </c>
      <c r="Y866" s="15">
        <v>1800000.0</v>
      </c>
      <c r="Z866" s="15">
        <v>2370000.0</v>
      </c>
      <c r="AA866" s="15">
        <v>-159000.0</v>
      </c>
      <c r="AB866" s="15">
        <v>1350000.0</v>
      </c>
      <c r="AC866" s="15">
        <v>1380000.0</v>
      </c>
      <c r="AD866" s="15">
        <v>1600000.0</v>
      </c>
      <c r="AE866" s="15">
        <v>2350000.0</v>
      </c>
      <c r="AF866" s="15">
        <v>2980000.0</v>
      </c>
      <c r="AG866" s="15">
        <v>1180000.0</v>
      </c>
      <c r="AH866" s="15">
        <v>1260000.0</v>
      </c>
      <c r="AI866" s="15">
        <v>2340000.0</v>
      </c>
      <c r="AJ866" s="15">
        <v>2810000.0</v>
      </c>
      <c r="AK866" s="15">
        <v>2940000.0</v>
      </c>
      <c r="AL866" s="15">
        <v>1920000.0</v>
      </c>
      <c r="AM866" s="15">
        <v>1520000.0</v>
      </c>
      <c r="AN866" s="15">
        <v>1270000.0</v>
      </c>
      <c r="AO866" s="15">
        <v>1910000.0</v>
      </c>
      <c r="AP866" s="15">
        <v>1460000.0</v>
      </c>
      <c r="AQ866" s="15">
        <v>780000.0</v>
      </c>
      <c r="AR866" s="15">
        <v>859000.0</v>
      </c>
      <c r="AS866" s="15">
        <v>1690000.0</v>
      </c>
      <c r="AT866" s="15">
        <v>2360000.0</v>
      </c>
      <c r="AU866" s="15">
        <v>2230000.0</v>
      </c>
      <c r="AV866" s="15">
        <v>1580000.0</v>
      </c>
      <c r="AW866" s="15">
        <v>1430000.0</v>
      </c>
      <c r="AX866" s="15">
        <v>-653000.0</v>
      </c>
      <c r="AY866" s="15">
        <v>-556000.0</v>
      </c>
      <c r="AZ866" s="15">
        <v>-240000.0</v>
      </c>
      <c r="BA866" s="15">
        <v>-279000.0</v>
      </c>
      <c r="BB866" s="15">
        <v>-426000.0</v>
      </c>
      <c r="BC866" s="15">
        <v>-612000.0</v>
      </c>
      <c r="BD866" s="15">
        <v>-543000.0</v>
      </c>
      <c r="BE866" s="15">
        <v>-482000.0</v>
      </c>
      <c r="BF866" s="15">
        <v>-374000.0</v>
      </c>
      <c r="BG866" s="15">
        <v>-253000.0</v>
      </c>
      <c r="BH866" s="15">
        <v>225000.0</v>
      </c>
      <c r="BI866" s="15">
        <v>316000.0</v>
      </c>
      <c r="BJ866" s="15">
        <v>383000.0</v>
      </c>
      <c r="BK866" s="15">
        <v>858000.0</v>
      </c>
      <c r="BL866" s="15">
        <v>96000.0</v>
      </c>
      <c r="BM866" s="15">
        <v>2400000.0</v>
      </c>
      <c r="BN866" s="15">
        <v>2130000.0</v>
      </c>
      <c r="BO866" s="15">
        <v>1970000.0</v>
      </c>
      <c r="BP866" s="15">
        <v>1700000.0</v>
      </c>
      <c r="BQ866" s="15">
        <v>1100000.0</v>
      </c>
      <c r="BR866" s="15">
        <v>0.0</v>
      </c>
      <c r="BS866" s="15">
        <v>0.0</v>
      </c>
      <c r="BT866" s="15">
        <v>0.0</v>
      </c>
      <c r="BU866" s="15">
        <v>0.0</v>
      </c>
      <c r="BV866" s="15">
        <v>0.0</v>
      </c>
      <c r="BW866" s="15">
        <v>3130000.0</v>
      </c>
      <c r="BX866" s="15">
        <v>2710000.0</v>
      </c>
      <c r="BY866" s="15">
        <v>2740000.0</v>
      </c>
      <c r="BZ866" s="15">
        <v>3370000.0</v>
      </c>
      <c r="CA866" s="15">
        <v>1380000.0</v>
      </c>
      <c r="CB866" s="15">
        <v>2790000.0</v>
      </c>
      <c r="CC866" s="15">
        <v>1960000.0</v>
      </c>
      <c r="CD866" s="15">
        <v>1790000.0</v>
      </c>
      <c r="CE866" s="15">
        <v>2340000.0</v>
      </c>
      <c r="CF866" s="15">
        <v>1030000.0</v>
      </c>
      <c r="CG866" s="15">
        <v>9050000.0</v>
      </c>
      <c r="CH866" s="15">
        <v>9040000.0</v>
      </c>
      <c r="CI866" s="15">
        <v>9210000.0</v>
      </c>
      <c r="CJ866" s="15">
        <v>7600000.0</v>
      </c>
      <c r="CK866" s="15">
        <v>943000.0</v>
      </c>
      <c r="CL866" s="15">
        <v>2.505E7</v>
      </c>
      <c r="CM866" s="15">
        <v>2.37E7</v>
      </c>
      <c r="CN866" s="15">
        <v>2.385E7</v>
      </c>
      <c r="CO866" s="15">
        <v>2.414E7</v>
      </c>
      <c r="CP866" s="15">
        <v>6080000.0</v>
      </c>
      <c r="CQ866" s="15">
        <v>720000.0</v>
      </c>
      <c r="CR866" s="15">
        <v>767000.0</v>
      </c>
      <c r="CS866" s="15">
        <v>783000.0</v>
      </c>
      <c r="CT866" s="15">
        <v>687000.0</v>
      </c>
      <c r="CU866" s="15">
        <v>593000.0</v>
      </c>
      <c r="CV866" s="15">
        <v>6680000.0</v>
      </c>
      <c r="CW866" s="15">
        <v>130000.0</v>
      </c>
      <c r="CX866" s="15">
        <v>0.0</v>
      </c>
      <c r="CY866" s="16">
        <v>0.0</v>
      </c>
      <c r="CZ866" s="16">
        <v>0.0</v>
      </c>
      <c r="DA866" s="15">
        <v>0.0</v>
      </c>
      <c r="DB866" s="15">
        <v>6680000.0</v>
      </c>
      <c r="DC866" s="15">
        <v>6440000.0</v>
      </c>
      <c r="DD866" s="15">
        <v>5810000.0</v>
      </c>
      <c r="DE866" s="15">
        <v>5150000.0</v>
      </c>
      <c r="DF866" s="15">
        <v>2.435E7</v>
      </c>
      <c r="DG866" s="15">
        <v>2.147E7</v>
      </c>
      <c r="DH866" s="15">
        <v>2.026E7</v>
      </c>
      <c r="DI866" s="15">
        <v>1.878E7</v>
      </c>
      <c r="DJ866" s="15">
        <v>9670000.0</v>
      </c>
      <c r="DK866" s="15">
        <v>577000.0</v>
      </c>
      <c r="DL866" s="15">
        <v>732000.0</v>
      </c>
      <c r="DM866" s="15">
        <v>734000.0</v>
      </c>
      <c r="DN866" s="15">
        <v>728000.0</v>
      </c>
      <c r="DO866" s="15">
        <v>165000.0</v>
      </c>
      <c r="DP866" s="15">
        <v>1.085E7</v>
      </c>
      <c r="DQ866" s="15">
        <v>8510000.0</v>
      </c>
      <c r="DR866" s="15">
        <v>7840000.0</v>
      </c>
      <c r="DS866" s="15">
        <v>8200000.0</v>
      </c>
      <c r="DT866" s="15">
        <v>3810000.0</v>
      </c>
      <c r="DU866" s="16">
        <v>0.0</v>
      </c>
      <c r="DV866" s="15">
        <v>0.0</v>
      </c>
      <c r="DW866" s="15">
        <v>0.0</v>
      </c>
      <c r="DX866" s="16">
        <v>0.0</v>
      </c>
      <c r="DY866" s="16">
        <v>0.0</v>
      </c>
      <c r="DZ866" s="15">
        <v>703000.0</v>
      </c>
      <c r="EA866" s="15">
        <v>2230000.0</v>
      </c>
      <c r="EB866" s="15">
        <v>3580000.0</v>
      </c>
      <c r="EC866" s="15">
        <v>5360000.0</v>
      </c>
      <c r="ED866" s="15">
        <v>-3590000.0</v>
      </c>
      <c r="EE866" s="17">
        <v>0.748</v>
      </c>
      <c r="EF866" s="17">
        <v>0.548</v>
      </c>
      <c r="EG866" s="17">
        <v>-0.675</v>
      </c>
      <c r="EH866" s="17">
        <v>-0.155</v>
      </c>
    </row>
    <row r="867">
      <c r="A867" s="9">
        <f t="shared" si="2"/>
        <v>865</v>
      </c>
      <c r="B867" s="10" t="s">
        <v>1002</v>
      </c>
      <c r="C867" s="11">
        <v>6800000.0</v>
      </c>
      <c r="D867" s="11">
        <v>6500000.0</v>
      </c>
      <c r="E867" s="11">
        <v>6710000.0</v>
      </c>
      <c r="F867" s="11">
        <v>6650000.0</v>
      </c>
      <c r="G867" s="11">
        <v>7640000.0</v>
      </c>
      <c r="H867" s="11">
        <v>7360000.0</v>
      </c>
      <c r="I867" s="11">
        <v>7140000.0</v>
      </c>
      <c r="J867" s="11">
        <v>2360000.0</v>
      </c>
      <c r="K867" s="11">
        <v>2310000.0</v>
      </c>
      <c r="L867" s="11">
        <v>2590000.0</v>
      </c>
      <c r="M867" s="11">
        <v>2430000.0</v>
      </c>
      <c r="N867" s="11">
        <v>2220000.0</v>
      </c>
      <c r="O867" s="11">
        <v>1260000.0</v>
      </c>
      <c r="P867" s="11">
        <v>1230000.0</v>
      </c>
      <c r="Q867" s="11">
        <v>1390000.0</v>
      </c>
      <c r="R867" s="11">
        <v>1330000.0</v>
      </c>
      <c r="S867" s="11">
        <v>1290000.0</v>
      </c>
      <c r="T867" s="11"/>
      <c r="U867" s="11"/>
      <c r="V867" s="11"/>
      <c r="W867" s="11"/>
      <c r="X867" s="11"/>
      <c r="Y867" s="11">
        <v>1090000.0</v>
      </c>
      <c r="Z867" s="12"/>
      <c r="AA867" s="11">
        <v>-6000.0</v>
      </c>
      <c r="AB867" s="11">
        <v>-17000.0</v>
      </c>
      <c r="AC867" s="11">
        <v>-12000.0</v>
      </c>
      <c r="AD867" s="11">
        <v>914000.0</v>
      </c>
      <c r="AE867" s="11">
        <v>907000.0</v>
      </c>
      <c r="AF867" s="11">
        <v>884000.0</v>
      </c>
      <c r="AG867" s="11">
        <v>832000.0</v>
      </c>
      <c r="AH867" s="11">
        <v>689000.0</v>
      </c>
      <c r="AI867" s="11">
        <v>1270000.0</v>
      </c>
      <c r="AJ867" s="11">
        <v>1250000.0</v>
      </c>
      <c r="AK867" s="11">
        <v>1350000.0</v>
      </c>
      <c r="AL867" s="11">
        <v>1260000.0</v>
      </c>
      <c r="AM867" s="11">
        <v>1080000.0</v>
      </c>
      <c r="AN867" s="11">
        <v>635000.0</v>
      </c>
      <c r="AO867" s="11">
        <v>630000.0</v>
      </c>
      <c r="AP867" s="11">
        <v>528000.0</v>
      </c>
      <c r="AQ867" s="11">
        <v>487000.0</v>
      </c>
      <c r="AR867" s="11">
        <v>352000.0</v>
      </c>
      <c r="AS867" s="11">
        <v>833000.0</v>
      </c>
      <c r="AT867" s="11">
        <v>1030000.0</v>
      </c>
      <c r="AU867" s="11">
        <v>751000.0</v>
      </c>
      <c r="AV867" s="11">
        <v>789000.0</v>
      </c>
      <c r="AW867" s="11">
        <v>699000.0</v>
      </c>
      <c r="AX867" s="11">
        <v>-162000.0</v>
      </c>
      <c r="AY867" s="11">
        <v>-219000.0</v>
      </c>
      <c r="AZ867" s="11">
        <v>-173000.0</v>
      </c>
      <c r="BA867" s="11">
        <v>-180000.0</v>
      </c>
      <c r="BB867" s="11">
        <v>-201000.0</v>
      </c>
      <c r="BC867" s="24">
        <v>-144000.0</v>
      </c>
      <c r="BD867" s="24">
        <v>-134000.0</v>
      </c>
      <c r="BE867" s="11">
        <v>-129000.0</v>
      </c>
      <c r="BF867" s="24">
        <v>-128000.0</v>
      </c>
      <c r="BG867" s="24">
        <v>-126000.0</v>
      </c>
      <c r="BH867" s="11">
        <v>697000.0</v>
      </c>
      <c r="BI867" s="11">
        <v>552000.0</v>
      </c>
      <c r="BJ867" s="11">
        <v>1300000.0</v>
      </c>
      <c r="BK867" s="11">
        <v>1190000.0</v>
      </c>
      <c r="BL867" s="11">
        <v>1720000.0</v>
      </c>
      <c r="BM867" s="11">
        <v>999000.0</v>
      </c>
      <c r="BN867" s="11">
        <v>992000.0</v>
      </c>
      <c r="BO867" s="11">
        <v>1070000.0</v>
      </c>
      <c r="BP867" s="11">
        <v>917000.0</v>
      </c>
      <c r="BQ867" s="11">
        <v>853000.0</v>
      </c>
      <c r="BR867" s="11">
        <v>754000.0</v>
      </c>
      <c r="BS867" s="11">
        <v>798000.0</v>
      </c>
      <c r="BT867" s="11">
        <v>784000.0</v>
      </c>
      <c r="BU867" s="11">
        <v>712000.0</v>
      </c>
      <c r="BV867" s="11">
        <v>687000.0</v>
      </c>
      <c r="BW867" s="11">
        <v>2710000.0</v>
      </c>
      <c r="BX867" s="11">
        <v>2770000.0</v>
      </c>
      <c r="BY867" s="11">
        <v>3260000.0</v>
      </c>
      <c r="BZ867" s="11">
        <v>2930000.0</v>
      </c>
      <c r="CA867" s="11">
        <v>3330000.0</v>
      </c>
      <c r="CB867" s="11">
        <v>1050000.0</v>
      </c>
      <c r="CC867" s="11">
        <v>885000.0</v>
      </c>
      <c r="CD867" s="11">
        <v>1130000.0</v>
      </c>
      <c r="CE867" s="11">
        <v>1060000.0</v>
      </c>
      <c r="CF867" s="11">
        <v>1030000.0</v>
      </c>
      <c r="CG867" s="11">
        <v>509000.0</v>
      </c>
      <c r="CH867" s="11">
        <v>511000.0</v>
      </c>
      <c r="CI867" s="11">
        <v>841000.0</v>
      </c>
      <c r="CJ867" s="11">
        <v>832000.0</v>
      </c>
      <c r="CK867" s="11">
        <v>839000.0</v>
      </c>
      <c r="CL867" s="11">
        <v>5030000.0</v>
      </c>
      <c r="CM867" s="11">
        <v>5390000.0</v>
      </c>
      <c r="CN867" s="11">
        <v>5530000.0</v>
      </c>
      <c r="CO867" s="11">
        <v>5140000.0</v>
      </c>
      <c r="CP867" s="11">
        <v>5660000.0</v>
      </c>
      <c r="CQ867" s="11">
        <v>697000.0</v>
      </c>
      <c r="CR867" s="11">
        <v>736000.0</v>
      </c>
      <c r="CS867" s="11">
        <v>824000.0</v>
      </c>
      <c r="CT867" s="11">
        <v>800000.0</v>
      </c>
      <c r="CU867" s="11">
        <v>749000.0</v>
      </c>
      <c r="CV867" s="11">
        <v>1550000.0</v>
      </c>
      <c r="CW867" s="11">
        <v>38000.0</v>
      </c>
      <c r="CX867" s="13"/>
      <c r="CY867" s="12"/>
      <c r="CZ867" s="13"/>
      <c r="DA867" s="12"/>
      <c r="DB867" s="11">
        <v>1550000.0</v>
      </c>
      <c r="DC867" s="11">
        <v>1680000.0</v>
      </c>
      <c r="DD867" s="11">
        <v>1670000.0</v>
      </c>
      <c r="DE867" s="11">
        <v>1460000.0</v>
      </c>
      <c r="DF867" s="11">
        <v>5080000.0</v>
      </c>
      <c r="DG867" s="11">
        <v>5320000.0</v>
      </c>
      <c r="DH867" s="11">
        <v>5350000.0</v>
      </c>
      <c r="DI867" s="11">
        <v>5240000.0</v>
      </c>
      <c r="DJ867" s="11">
        <v>5610000.0</v>
      </c>
      <c r="DK867" s="11">
        <v>11000.0</v>
      </c>
      <c r="DL867" s="11">
        <v>12000.0</v>
      </c>
      <c r="DM867" s="11">
        <v>13000.0</v>
      </c>
      <c r="DN867" s="11">
        <v>18000.0</v>
      </c>
      <c r="DO867" s="11">
        <v>48000.0</v>
      </c>
      <c r="DP867" s="11">
        <v>2930000.0</v>
      </c>
      <c r="DQ867" s="11">
        <v>2970000.0</v>
      </c>
      <c r="DR867" s="11">
        <v>2970000.0</v>
      </c>
      <c r="DS867" s="11">
        <v>3000000.0</v>
      </c>
      <c r="DT867" s="11">
        <v>2400000.0</v>
      </c>
      <c r="DU867" s="12"/>
      <c r="DV867" s="12"/>
      <c r="DW867" s="12"/>
      <c r="DX867" s="13"/>
      <c r="DY867" s="13"/>
      <c r="DZ867" s="11">
        <v>-235000.0</v>
      </c>
      <c r="EA867" s="11">
        <v>-111000.0</v>
      </c>
      <c r="EB867" s="11">
        <v>-53000.0</v>
      </c>
      <c r="EC867" s="11">
        <v>-298000.0</v>
      </c>
      <c r="ED867" s="11">
        <v>-135000.0</v>
      </c>
      <c r="EE867" s="23">
        <v>0.078461538</v>
      </c>
      <c r="EF867" s="23">
        <v>0.079411765</v>
      </c>
      <c r="EG867" s="14">
        <v>0.278</v>
      </c>
      <c r="EH867" s="23">
        <v>0.09375</v>
      </c>
    </row>
    <row r="868">
      <c r="A868" s="9">
        <f t="shared" si="2"/>
        <v>866</v>
      </c>
      <c r="B868" s="22" t="s">
        <v>1003</v>
      </c>
      <c r="C868" s="11">
        <v>1150000.0</v>
      </c>
      <c r="D868" s="11">
        <v>1070000.0</v>
      </c>
      <c r="E868" s="11">
        <v>937840.0</v>
      </c>
      <c r="F868" s="11">
        <v>858290.0</v>
      </c>
      <c r="G868" s="11">
        <v>790250.0</v>
      </c>
      <c r="H868" s="11">
        <v>694630.0</v>
      </c>
      <c r="I868" s="11">
        <v>623210.0</v>
      </c>
      <c r="J868" s="11">
        <v>629170.0</v>
      </c>
      <c r="K868" s="11">
        <v>574890.0</v>
      </c>
      <c r="L868" s="11">
        <v>522030.0</v>
      </c>
      <c r="M868" s="11">
        <v>463800.0</v>
      </c>
      <c r="N868" s="11">
        <v>399980.0</v>
      </c>
      <c r="O868" s="11">
        <v>407960.0</v>
      </c>
      <c r="P868" s="11">
        <v>366420.0</v>
      </c>
      <c r="Q868" s="11">
        <v>338250.0</v>
      </c>
      <c r="R868" s="11">
        <v>313030.0</v>
      </c>
      <c r="S868" s="11">
        <v>299340.0</v>
      </c>
      <c r="T868" s="11">
        <v>93300.0</v>
      </c>
      <c r="U868" s="11">
        <v>76970.0</v>
      </c>
      <c r="V868" s="11">
        <v>61950.0</v>
      </c>
      <c r="W868" s="11">
        <v>59360.0</v>
      </c>
      <c r="X868" s="11">
        <v>53520.0</v>
      </c>
      <c r="Y868" s="12"/>
      <c r="Z868" s="11">
        <v>208040.0</v>
      </c>
      <c r="AA868" s="12"/>
      <c r="AB868" s="11">
        <v>270300.0</v>
      </c>
      <c r="AC868" s="11">
        <v>120250.0</v>
      </c>
      <c r="AD868" s="11">
        <v>234170.0</v>
      </c>
      <c r="AE868" s="11">
        <v>213780.0</v>
      </c>
      <c r="AF868" s="11">
        <v>185800.0</v>
      </c>
      <c r="AG868" s="11">
        <v>418340.0</v>
      </c>
      <c r="AH868" s="11">
        <v>116350.0</v>
      </c>
      <c r="AI868" s="11">
        <v>245700.0</v>
      </c>
      <c r="AJ868" s="11">
        <v>229600.0</v>
      </c>
      <c r="AK868" s="11">
        <v>203850.0</v>
      </c>
      <c r="AL868" s="11">
        <v>167590.0</v>
      </c>
      <c r="AM868" s="11">
        <v>116330.0</v>
      </c>
      <c r="AN868" s="11">
        <v>196220.0</v>
      </c>
      <c r="AO868" s="11">
        <v>193540.0</v>
      </c>
      <c r="AP868" s="11">
        <v>124790.0</v>
      </c>
      <c r="AQ868" s="11">
        <v>300670.0</v>
      </c>
      <c r="AR868" s="11">
        <v>83300.0</v>
      </c>
      <c r="AS868" s="11">
        <v>221640.0</v>
      </c>
      <c r="AT868" s="11">
        <v>239530.0</v>
      </c>
      <c r="AU868" s="11">
        <v>56060.0</v>
      </c>
      <c r="AV868" s="11">
        <v>419130.0</v>
      </c>
      <c r="AW868" s="11">
        <v>114210.0</v>
      </c>
      <c r="AX868" s="11">
        <v>-72490.0</v>
      </c>
      <c r="AY868" s="11">
        <v>-22680.0</v>
      </c>
      <c r="AZ868" s="11">
        <v>-46760.0</v>
      </c>
      <c r="BA868" s="11">
        <v>-24350.0</v>
      </c>
      <c r="BB868" s="11">
        <v>-54590.0</v>
      </c>
      <c r="BC868" s="12"/>
      <c r="BD868" s="12"/>
      <c r="BE868" s="12"/>
      <c r="BF868" s="12"/>
      <c r="BG868" s="12"/>
      <c r="BH868" s="11">
        <v>687690.0</v>
      </c>
      <c r="BI868" s="11">
        <v>552490.0</v>
      </c>
      <c r="BJ868" s="11">
        <v>315300.0</v>
      </c>
      <c r="BK868" s="11">
        <v>308050.0</v>
      </c>
      <c r="BL868" s="11">
        <v>132320.0</v>
      </c>
      <c r="BM868" s="11">
        <v>166840.0</v>
      </c>
      <c r="BN868" s="11">
        <v>120430.0</v>
      </c>
      <c r="BO868" s="11">
        <v>135270.0</v>
      </c>
      <c r="BP868" s="11">
        <v>109550.0</v>
      </c>
      <c r="BQ868" s="11">
        <v>88480.0</v>
      </c>
      <c r="BR868" s="11">
        <v>115870.0</v>
      </c>
      <c r="BS868" s="11">
        <v>93750.0</v>
      </c>
      <c r="BT868" s="11">
        <v>92260.0</v>
      </c>
      <c r="BU868" s="11">
        <v>72540.0</v>
      </c>
      <c r="BV868" s="11">
        <v>62040.0</v>
      </c>
      <c r="BW868" s="11">
        <v>996060.0</v>
      </c>
      <c r="BX868" s="11">
        <v>785100.0</v>
      </c>
      <c r="BY868" s="11">
        <v>559700.0</v>
      </c>
      <c r="BZ868" s="11">
        <v>507230.0</v>
      </c>
      <c r="CA868" s="11">
        <v>299140.0</v>
      </c>
      <c r="CB868" s="11">
        <v>239060.0</v>
      </c>
      <c r="CC868" s="11">
        <v>165970.0</v>
      </c>
      <c r="CD868" s="11">
        <v>164100.0</v>
      </c>
      <c r="CE868" s="11">
        <v>136000.0</v>
      </c>
      <c r="CF868" s="11">
        <v>132470.0</v>
      </c>
      <c r="CG868" s="11">
        <v>22350.0</v>
      </c>
      <c r="CH868" s="11">
        <v>23300.0</v>
      </c>
      <c r="CI868" s="11">
        <v>20620.0</v>
      </c>
      <c r="CJ868" s="11">
        <v>19780.0</v>
      </c>
      <c r="CK868" s="11">
        <v>20390.0</v>
      </c>
      <c r="CL868" s="11">
        <v>1400000.0</v>
      </c>
      <c r="CM868" s="11">
        <v>1150000.0</v>
      </c>
      <c r="CN868" s="11">
        <v>905440.0</v>
      </c>
      <c r="CO868" s="11">
        <v>820530.0</v>
      </c>
      <c r="CP868" s="11">
        <v>601740.0</v>
      </c>
      <c r="CQ868" s="11">
        <v>54550.0</v>
      </c>
      <c r="CR868" s="11">
        <v>40390.0</v>
      </c>
      <c r="CS868" s="11">
        <v>33780.0</v>
      </c>
      <c r="CT868" s="11">
        <v>34340.0</v>
      </c>
      <c r="CU868" s="11">
        <v>25870.0</v>
      </c>
      <c r="CV868" s="11">
        <v>172220.0</v>
      </c>
      <c r="CW868" s="11">
        <v>4650.0</v>
      </c>
      <c r="CX868" s="12"/>
      <c r="CY868" s="12"/>
      <c r="CZ868" s="12"/>
      <c r="DA868" s="12"/>
      <c r="DB868" s="11">
        <v>172220.0</v>
      </c>
      <c r="DC868" s="11">
        <v>147610.0</v>
      </c>
      <c r="DD868" s="11">
        <v>129650.0</v>
      </c>
      <c r="DE868" s="11">
        <v>220370.0</v>
      </c>
      <c r="DF868" s="11">
        <v>228250.0</v>
      </c>
      <c r="DG868" s="11">
        <v>185750.0</v>
      </c>
      <c r="DH868" s="11">
        <v>181410.0</v>
      </c>
      <c r="DI868" s="11">
        <v>260290.0</v>
      </c>
      <c r="DJ868" s="11">
        <v>326020.0</v>
      </c>
      <c r="DK868" s="11">
        <v>6480.0</v>
      </c>
      <c r="DL868" s="11">
        <v>1350.0</v>
      </c>
      <c r="DM868" s="11">
        <v>1380.0</v>
      </c>
      <c r="DN868" s="11">
        <v>347.0</v>
      </c>
      <c r="DO868" s="12"/>
      <c r="DP868" s="11">
        <v>15830.0</v>
      </c>
      <c r="DQ868" s="12"/>
      <c r="DR868" s="12"/>
      <c r="DS868" s="12"/>
      <c r="DT868" s="11">
        <v>185070.0</v>
      </c>
      <c r="DU868" s="13"/>
      <c r="DV868" s="12"/>
      <c r="DW868" s="12"/>
      <c r="DX868" s="13"/>
      <c r="DY868" s="13"/>
      <c r="DZ868" s="11">
        <v>1170000.0</v>
      </c>
      <c r="EA868" s="11">
        <v>969070.0</v>
      </c>
      <c r="EB868" s="11">
        <v>724030.0</v>
      </c>
      <c r="EC868" s="11">
        <v>560240.0</v>
      </c>
      <c r="ED868" s="11">
        <v>275420.0</v>
      </c>
      <c r="EE868" s="14">
        <v>0.037</v>
      </c>
      <c r="EF868" s="14">
        <v>0.035</v>
      </c>
      <c r="EG868" s="14">
        <v>0.049</v>
      </c>
      <c r="EH868" s="14">
        <v>0.051</v>
      </c>
    </row>
    <row r="869">
      <c r="A869" s="9">
        <f t="shared" si="2"/>
        <v>867</v>
      </c>
      <c r="B869" s="25" t="s">
        <v>1004</v>
      </c>
      <c r="C869" s="15">
        <v>4550000.0</v>
      </c>
      <c r="D869" s="15">
        <v>4270000.0</v>
      </c>
      <c r="E869" s="15">
        <v>4500000.0</v>
      </c>
      <c r="F869" s="15">
        <v>4510000.0</v>
      </c>
      <c r="G869" s="15">
        <v>4880000.0</v>
      </c>
      <c r="H869" s="15">
        <v>5460000.0</v>
      </c>
      <c r="I869" s="15">
        <v>5700000.0</v>
      </c>
      <c r="J869" s="15">
        <v>1940000.0</v>
      </c>
      <c r="K869" s="15">
        <v>1770000.0</v>
      </c>
      <c r="L869" s="15">
        <v>1840000.0</v>
      </c>
      <c r="M869" s="15">
        <v>2590000.0</v>
      </c>
      <c r="N869" s="15">
        <v>2800000.0</v>
      </c>
      <c r="O869" s="15">
        <v>1860000.0</v>
      </c>
      <c r="P869" s="15">
        <v>1890000.0</v>
      </c>
      <c r="Q869" s="15">
        <v>2070000.0</v>
      </c>
      <c r="R869" s="15">
        <v>1900000.0</v>
      </c>
      <c r="S869" s="15">
        <v>2070000.0</v>
      </c>
      <c r="T869" s="15">
        <v>197230.0</v>
      </c>
      <c r="U869" s="15">
        <v>205370.0</v>
      </c>
      <c r="V869" s="15">
        <v>225250.0</v>
      </c>
      <c r="W869" s="15">
        <v>215300.0</v>
      </c>
      <c r="X869" s="15">
        <v>217820.0</v>
      </c>
      <c r="Y869" s="15">
        <v>23720.0</v>
      </c>
      <c r="Z869" s="15">
        <v>-249030.0</v>
      </c>
      <c r="AA869" s="15">
        <v>-16220.0</v>
      </c>
      <c r="AB869" s="15">
        <v>491080.0</v>
      </c>
      <c r="AC869" s="15">
        <v>-282660.0</v>
      </c>
      <c r="AD869" s="15">
        <v>-158290.0</v>
      </c>
      <c r="AE869" s="15">
        <v>-417100.0</v>
      </c>
      <c r="AF869" s="15">
        <v>-501250.0</v>
      </c>
      <c r="AG869" s="15">
        <v>409740.0</v>
      </c>
      <c r="AH869" s="15">
        <v>463920.0</v>
      </c>
      <c r="AI869" s="15">
        <v>324800.0</v>
      </c>
      <c r="AJ869" s="15">
        <v>156080.0</v>
      </c>
      <c r="AK869" s="15">
        <v>42290.0</v>
      </c>
      <c r="AL869" s="15">
        <v>946740.0</v>
      </c>
      <c r="AM869" s="15">
        <v>990580.0</v>
      </c>
      <c r="AN869" s="15">
        <v>-213510.0</v>
      </c>
      <c r="AO869" s="15">
        <v>-533300.0</v>
      </c>
      <c r="AP869" s="15">
        <v>-1050000.0</v>
      </c>
      <c r="AQ869" s="15">
        <v>316650.0</v>
      </c>
      <c r="AR869" s="15">
        <v>366240.0</v>
      </c>
      <c r="AS869" s="15">
        <v>180980.0</v>
      </c>
      <c r="AT869" s="15">
        <v>-27320.0</v>
      </c>
      <c r="AU869" s="15">
        <v>-27610.0</v>
      </c>
      <c r="AV869" s="15">
        <v>594510.0</v>
      </c>
      <c r="AW869" s="15">
        <v>734560.0</v>
      </c>
      <c r="AX869" s="15">
        <v>-116350.0</v>
      </c>
      <c r="AY869" s="15">
        <v>-152410.0</v>
      </c>
      <c r="AZ869" s="15">
        <v>-297160.0</v>
      </c>
      <c r="BA869" s="15">
        <v>-262190.0</v>
      </c>
      <c r="BB869" s="15">
        <v>-254180.0</v>
      </c>
      <c r="BC869" s="12"/>
      <c r="BD869" s="12"/>
      <c r="BE869" s="15">
        <v>-311970.0</v>
      </c>
      <c r="BF869" s="15">
        <v>-518530.0</v>
      </c>
      <c r="BG869" s="15">
        <v>-515070.0</v>
      </c>
      <c r="BH869" s="15">
        <v>630030.0</v>
      </c>
      <c r="BI869" s="15">
        <v>594480.0</v>
      </c>
      <c r="BJ869" s="15">
        <v>1080000.0</v>
      </c>
      <c r="BK869" s="15">
        <v>869530.0</v>
      </c>
      <c r="BL869" s="15">
        <v>892810.0</v>
      </c>
      <c r="BM869" s="15">
        <v>936360.0</v>
      </c>
      <c r="BN869" s="15">
        <v>970080.0</v>
      </c>
      <c r="BO869" s="15">
        <v>1120000.0</v>
      </c>
      <c r="BP869" s="15">
        <v>1120000.0</v>
      </c>
      <c r="BQ869" s="15">
        <v>1150000.0</v>
      </c>
      <c r="BR869" s="15">
        <v>495500.0</v>
      </c>
      <c r="BS869" s="15">
        <v>542890.0</v>
      </c>
      <c r="BT869" s="15">
        <v>600700.0</v>
      </c>
      <c r="BU869" s="15">
        <v>613800.0</v>
      </c>
      <c r="BV869" s="15">
        <v>587520.0</v>
      </c>
      <c r="BW869" s="15">
        <v>2250000.0</v>
      </c>
      <c r="BX869" s="15">
        <v>2350000.0</v>
      </c>
      <c r="BY869" s="15">
        <v>3100000.0</v>
      </c>
      <c r="BZ869" s="15">
        <v>2940000.0</v>
      </c>
      <c r="CA869" s="15">
        <v>3000000.0</v>
      </c>
      <c r="CB869" s="15">
        <v>853330.0</v>
      </c>
      <c r="CC869" s="15">
        <v>657600.0</v>
      </c>
      <c r="CD869" s="15">
        <v>785290.0</v>
      </c>
      <c r="CE869" s="15">
        <v>773970.0</v>
      </c>
      <c r="CF869" s="15">
        <v>741150.0</v>
      </c>
      <c r="CG869" s="15">
        <v>1390000.0</v>
      </c>
      <c r="CH869" s="15">
        <v>1390000.0</v>
      </c>
      <c r="CI869" s="15">
        <v>1400000.0</v>
      </c>
      <c r="CJ869" s="15">
        <v>1390000.0</v>
      </c>
      <c r="CK869" s="15">
        <v>1380000.0</v>
      </c>
      <c r="CL869" s="15">
        <v>5330000.0</v>
      </c>
      <c r="CM869" s="15">
        <v>5240000.0</v>
      </c>
      <c r="CN869" s="15">
        <v>6230000.0</v>
      </c>
      <c r="CO869" s="15">
        <v>6490000.0</v>
      </c>
      <c r="CP869" s="15">
        <v>6540000.0</v>
      </c>
      <c r="CQ869" s="15">
        <v>459360.0</v>
      </c>
      <c r="CR869" s="15">
        <v>537970.0</v>
      </c>
      <c r="CS869" s="15">
        <v>572170.0</v>
      </c>
      <c r="CT869" s="15">
        <v>664860.0</v>
      </c>
      <c r="CU869" s="15">
        <v>651680.0</v>
      </c>
      <c r="CV869" s="15">
        <v>1280000.0</v>
      </c>
      <c r="CW869" s="15">
        <v>74070.0</v>
      </c>
      <c r="CX869" s="15">
        <v>4180.0</v>
      </c>
      <c r="CY869" s="12"/>
      <c r="CZ869" s="15">
        <v>192170.0</v>
      </c>
      <c r="DA869" s="15">
        <v>16910.0</v>
      </c>
      <c r="DB869" s="15">
        <v>1280000.0</v>
      </c>
      <c r="DC869" s="15">
        <v>1260000.0</v>
      </c>
      <c r="DD869" s="15">
        <v>1620000.0</v>
      </c>
      <c r="DE869" s="15">
        <v>1510000.0</v>
      </c>
      <c r="DF869" s="15">
        <v>4830000.0</v>
      </c>
      <c r="DG869" s="15">
        <v>4580000.0</v>
      </c>
      <c r="DH869" s="15">
        <v>4980000.0</v>
      </c>
      <c r="DI869" s="15">
        <v>4090000.0</v>
      </c>
      <c r="DJ869" s="15">
        <v>3900000.0</v>
      </c>
      <c r="DK869" s="15">
        <v>715.0</v>
      </c>
      <c r="DL869" s="15">
        <v>1610.0</v>
      </c>
      <c r="DM869" s="15">
        <v>115.0</v>
      </c>
      <c r="DN869" s="12"/>
      <c r="DO869" s="12"/>
      <c r="DP869" s="15">
        <v>3120000.0</v>
      </c>
      <c r="DQ869" s="15">
        <v>2850000.0</v>
      </c>
      <c r="DR869" s="15">
        <v>2870000.0</v>
      </c>
      <c r="DS869" s="15">
        <v>2130000.0</v>
      </c>
      <c r="DT869" s="15">
        <v>1780000.0</v>
      </c>
      <c r="DU869" s="12"/>
      <c r="DV869" s="12"/>
      <c r="DW869" s="12"/>
      <c r="DX869" s="12"/>
      <c r="DY869" s="12"/>
      <c r="DZ869" s="15">
        <v>491710.0</v>
      </c>
      <c r="EA869" s="15">
        <v>656800.0</v>
      </c>
      <c r="EB869" s="15">
        <v>1250000.0</v>
      </c>
      <c r="EC869" s="15">
        <v>2410000.0</v>
      </c>
      <c r="ED869" s="15">
        <v>2630000.0</v>
      </c>
      <c r="EE869" s="17">
        <v>0.084</v>
      </c>
      <c r="EF869" s="17">
        <v>0.136</v>
      </c>
      <c r="EG869" s="17">
        <v>0.235</v>
      </c>
      <c r="EH869" s="17">
        <v>2.624</v>
      </c>
    </row>
    <row r="870">
      <c r="A870" s="9">
        <f t="shared" si="2"/>
        <v>868</v>
      </c>
      <c r="B870" s="10" t="s">
        <v>1005</v>
      </c>
      <c r="C870" s="11">
        <v>2180000.0</v>
      </c>
      <c r="D870" s="11">
        <v>2180000.0</v>
      </c>
      <c r="E870" s="11">
        <v>2200000.0</v>
      </c>
      <c r="F870" s="11">
        <v>2220000.0</v>
      </c>
      <c r="G870" s="11">
        <v>2050000.0</v>
      </c>
      <c r="H870" s="11">
        <v>1940000.0</v>
      </c>
      <c r="I870" s="11">
        <v>1880000.0</v>
      </c>
      <c r="J870" s="11">
        <v>325100.0</v>
      </c>
      <c r="K870" s="11">
        <v>347800.0</v>
      </c>
      <c r="L870" s="11">
        <v>325900.0</v>
      </c>
      <c r="M870" s="11">
        <v>323900.0</v>
      </c>
      <c r="N870" s="11">
        <v>376900.0</v>
      </c>
      <c r="O870" s="11">
        <v>216800.0</v>
      </c>
      <c r="P870" s="11">
        <v>220800.0</v>
      </c>
      <c r="Q870" s="11">
        <v>206800.0</v>
      </c>
      <c r="R870" s="11">
        <v>185100.0</v>
      </c>
      <c r="S870" s="11">
        <v>162700.0</v>
      </c>
      <c r="T870" s="12"/>
      <c r="U870" s="12"/>
      <c r="V870" s="12"/>
      <c r="W870" s="12"/>
      <c r="X870" s="12"/>
      <c r="Y870" s="12"/>
      <c r="Z870" s="12"/>
      <c r="AA870" s="11"/>
      <c r="AB870" s="12"/>
      <c r="AC870" s="11">
        <v>179800.0</v>
      </c>
      <c r="AD870" s="11">
        <v>107800.0</v>
      </c>
      <c r="AE870" s="11">
        <v>147700.0</v>
      </c>
      <c r="AF870" s="11">
        <v>125200.0</v>
      </c>
      <c r="AG870" s="11">
        <v>130500.0</v>
      </c>
      <c r="AH870" s="11">
        <v>177800.0</v>
      </c>
      <c r="AI870" s="11">
        <v>300700.0</v>
      </c>
      <c r="AJ870" s="11">
        <v>218700.0</v>
      </c>
      <c r="AK870" s="11">
        <v>217200.0</v>
      </c>
      <c r="AL870" s="11">
        <v>233900.0</v>
      </c>
      <c r="AM870" s="11">
        <v>295000.0</v>
      </c>
      <c r="AN870" s="11">
        <v>82700.0</v>
      </c>
      <c r="AO870" s="11">
        <v>109000.0</v>
      </c>
      <c r="AP870" s="11">
        <v>231000.0</v>
      </c>
      <c r="AQ870" s="11">
        <v>81400.0</v>
      </c>
      <c r="AR870" s="11">
        <v>103000.0</v>
      </c>
      <c r="AS870" s="11">
        <v>308700.0</v>
      </c>
      <c r="AT870" s="11">
        <v>305000.0</v>
      </c>
      <c r="AU870" s="11">
        <v>224900.0</v>
      </c>
      <c r="AV870" s="11">
        <v>157800.0</v>
      </c>
      <c r="AW870" s="11">
        <v>245300.0</v>
      </c>
      <c r="AX870" s="11">
        <v>-310300.0</v>
      </c>
      <c r="AY870" s="11">
        <v>-401200.0</v>
      </c>
      <c r="AZ870" s="11">
        <v>-307200.0</v>
      </c>
      <c r="BA870" s="11">
        <v>-179400.0</v>
      </c>
      <c r="BB870" s="11">
        <v>-67800.0</v>
      </c>
      <c r="BC870" s="11">
        <v>-37200.0</v>
      </c>
      <c r="BD870" s="11">
        <v>-35400.0</v>
      </c>
      <c r="BE870" s="11">
        <v>-33800.0</v>
      </c>
      <c r="BF870" s="11">
        <v>-32200.0</v>
      </c>
      <c r="BG870" s="11">
        <v>-30800.0</v>
      </c>
      <c r="BH870" s="11">
        <v>28400.0</v>
      </c>
      <c r="BI870" s="11">
        <v>19600.0</v>
      </c>
      <c r="BJ870" s="11">
        <v>19800.0</v>
      </c>
      <c r="BK870" s="11">
        <v>13900.0</v>
      </c>
      <c r="BL870" s="11">
        <v>25500.0</v>
      </c>
      <c r="BM870" s="11">
        <v>218700.0</v>
      </c>
      <c r="BN870" s="11">
        <v>250500.0</v>
      </c>
      <c r="BO870" s="11">
        <v>197200.0</v>
      </c>
      <c r="BP870" s="11">
        <v>212900.0</v>
      </c>
      <c r="BQ870" s="11">
        <v>229400.0</v>
      </c>
      <c r="BR870" s="12"/>
      <c r="BS870" s="12"/>
      <c r="BT870" s="12"/>
      <c r="BU870" s="12"/>
      <c r="BV870" s="12"/>
      <c r="BW870" s="11">
        <v>289600.0</v>
      </c>
      <c r="BX870" s="11">
        <v>318400.0</v>
      </c>
      <c r="BY870" s="11">
        <v>266000.0</v>
      </c>
      <c r="BZ870" s="11">
        <v>274200.0</v>
      </c>
      <c r="CA870" s="11">
        <v>277900.0</v>
      </c>
      <c r="CB870" s="11">
        <v>1850000.0</v>
      </c>
      <c r="CC870" s="11">
        <v>1370000.0</v>
      </c>
      <c r="CD870" s="11">
        <v>1170000.0</v>
      </c>
      <c r="CE870" s="11">
        <v>949200.0</v>
      </c>
      <c r="CF870" s="11">
        <v>860300.0</v>
      </c>
      <c r="CG870" s="11">
        <v>327800.0</v>
      </c>
      <c r="CH870" s="11">
        <v>327800.0</v>
      </c>
      <c r="CI870" s="11">
        <v>327800.0</v>
      </c>
      <c r="CJ870" s="11">
        <v>323700.0</v>
      </c>
      <c r="CK870" s="11">
        <v>241600.0</v>
      </c>
      <c r="CL870" s="11">
        <v>2980000.0</v>
      </c>
      <c r="CM870" s="11">
        <v>2510000.0</v>
      </c>
      <c r="CN870" s="11">
        <v>2330000.0</v>
      </c>
      <c r="CO870" s="11">
        <v>2180000.0</v>
      </c>
      <c r="CP870" s="11">
        <v>1670000.0</v>
      </c>
      <c r="CQ870" s="11">
        <v>235700.0</v>
      </c>
      <c r="CR870" s="11">
        <v>246800.0</v>
      </c>
      <c r="CS870" s="11">
        <v>175100.0</v>
      </c>
      <c r="CT870" s="11">
        <v>170500.0</v>
      </c>
      <c r="CU870" s="11">
        <v>164900.0</v>
      </c>
      <c r="CV870" s="11">
        <v>436700.0</v>
      </c>
      <c r="CW870" s="11">
        <v>66600.0</v>
      </c>
      <c r="CX870" s="12"/>
      <c r="CY870" s="12"/>
      <c r="CZ870" s="12"/>
      <c r="DA870" s="12"/>
      <c r="DB870" s="11">
        <v>436700.0</v>
      </c>
      <c r="DC870" s="11">
        <v>370800.0</v>
      </c>
      <c r="DD870" s="11">
        <v>286300.0</v>
      </c>
      <c r="DE870" s="11">
        <v>277600.0</v>
      </c>
      <c r="DF870" s="11">
        <v>2170000.0</v>
      </c>
      <c r="DG870" s="11">
        <v>1750000.0</v>
      </c>
      <c r="DH870" s="11">
        <v>1660000.0</v>
      </c>
      <c r="DI870" s="11">
        <v>1680000.0</v>
      </c>
      <c r="DJ870" s="11">
        <v>1220000.0</v>
      </c>
      <c r="DK870" s="11">
        <v>76200.0</v>
      </c>
      <c r="DL870" s="11">
        <v>94000.0</v>
      </c>
      <c r="DM870" s="11">
        <v>94100.0</v>
      </c>
      <c r="DN870" s="11">
        <v>113600.0</v>
      </c>
      <c r="DO870" s="11">
        <v>66400.0</v>
      </c>
      <c r="DP870" s="11">
        <v>1110000.0</v>
      </c>
      <c r="DQ870" s="11">
        <v>814300.0</v>
      </c>
      <c r="DR870" s="11">
        <v>826300.0</v>
      </c>
      <c r="DS870" s="11">
        <v>707100.0</v>
      </c>
      <c r="DT870" s="11">
        <v>407900.0</v>
      </c>
      <c r="DU870" s="13"/>
      <c r="DV870" s="12"/>
      <c r="DW870" s="12"/>
      <c r="DX870" s="12"/>
      <c r="DY870" s="12"/>
      <c r="DZ870" s="11">
        <v>805700.0</v>
      </c>
      <c r="EA870" s="11">
        <v>755300.0</v>
      </c>
      <c r="EB870" s="11">
        <v>677200.0</v>
      </c>
      <c r="EC870" s="11">
        <v>494900.0</v>
      </c>
      <c r="ED870" s="11">
        <v>450600.0</v>
      </c>
      <c r="EE870" s="14">
        <v>0.014</v>
      </c>
      <c r="EF870" s="14">
        <v>0.028</v>
      </c>
      <c r="EG870" s="14">
        <v>0.041</v>
      </c>
      <c r="EH870" s="14">
        <v>0.013</v>
      </c>
    </row>
    <row r="871">
      <c r="A871" s="9">
        <f t="shared" si="2"/>
        <v>869</v>
      </c>
      <c r="B871" s="10" t="s">
        <v>1006</v>
      </c>
      <c r="C871" s="15">
        <v>2280000.0</v>
      </c>
      <c r="D871" s="15">
        <v>2240000.0</v>
      </c>
      <c r="E871" s="15">
        <v>2210000.0</v>
      </c>
      <c r="F871" s="15">
        <v>2340000.0</v>
      </c>
      <c r="G871" s="15">
        <v>2120000.0</v>
      </c>
      <c r="H871" s="15">
        <v>2060000.0</v>
      </c>
      <c r="I871" s="15">
        <v>2120000.0</v>
      </c>
      <c r="J871" s="15">
        <v>417970.0</v>
      </c>
      <c r="K871" s="15">
        <v>359030.0</v>
      </c>
      <c r="L871" s="15">
        <v>445220.0</v>
      </c>
      <c r="M871" s="15">
        <v>233580.0</v>
      </c>
      <c r="N871" s="15">
        <v>392850.0</v>
      </c>
      <c r="O871" s="15">
        <v>382150.0</v>
      </c>
      <c r="P871" s="15">
        <v>518460.0</v>
      </c>
      <c r="Q871" s="15">
        <v>502330.0</v>
      </c>
      <c r="R871" s="15">
        <v>0.0</v>
      </c>
      <c r="S871" s="15">
        <v>203360.0</v>
      </c>
      <c r="T871" s="15">
        <v>13270.0</v>
      </c>
      <c r="U871" s="15">
        <v>114060.0</v>
      </c>
      <c r="V871" s="15">
        <v>92160.0</v>
      </c>
      <c r="W871" s="15">
        <v>0.0</v>
      </c>
      <c r="X871" s="15">
        <v>189220.0</v>
      </c>
      <c r="Y871" s="15">
        <v>181780.0</v>
      </c>
      <c r="Z871" s="15">
        <v>-819170.0</v>
      </c>
      <c r="AA871" s="15">
        <v>-29850.0</v>
      </c>
      <c r="AB871" s="15">
        <v>-7820.0</v>
      </c>
      <c r="AC871" s="15">
        <v>176620.0</v>
      </c>
      <c r="AD871" s="15">
        <v>102170.0</v>
      </c>
      <c r="AE871" s="15">
        <v>-1200000.0</v>
      </c>
      <c r="AF871" s="15">
        <v>-134990.0</v>
      </c>
      <c r="AG871" s="15">
        <v>171580.0</v>
      </c>
      <c r="AH871" s="15">
        <v>126600.0</v>
      </c>
      <c r="AI871" s="15">
        <v>534740.0</v>
      </c>
      <c r="AJ871" s="15">
        <v>409580.0</v>
      </c>
      <c r="AK871" s="15">
        <v>151870.0</v>
      </c>
      <c r="AL871" s="15">
        <v>336130.0</v>
      </c>
      <c r="AM871" s="15">
        <v>288940.0</v>
      </c>
      <c r="AN871" s="15">
        <v>110130.0</v>
      </c>
      <c r="AO871" s="15">
        <v>-1130000.0</v>
      </c>
      <c r="AP871" s="15">
        <v>75280.0</v>
      </c>
      <c r="AQ871" s="15">
        <v>139910.0</v>
      </c>
      <c r="AR871" s="15">
        <v>142840.0</v>
      </c>
      <c r="AS871" s="15">
        <v>420630.0</v>
      </c>
      <c r="AT871" s="15">
        <v>180160.0</v>
      </c>
      <c r="AU871" s="15">
        <v>136290.0</v>
      </c>
      <c r="AV871" s="15">
        <v>133290.0</v>
      </c>
      <c r="AW871" s="15">
        <v>100190.0</v>
      </c>
      <c r="AX871" s="15">
        <v>-416650.0</v>
      </c>
      <c r="AY871" s="15">
        <v>-267010.0</v>
      </c>
      <c r="AZ871" s="15">
        <v>-93460.0</v>
      </c>
      <c r="BA871" s="15">
        <v>-133820.0</v>
      </c>
      <c r="BB871" s="15">
        <v>-80410.0</v>
      </c>
      <c r="BC871" s="15">
        <v>-2650.0</v>
      </c>
      <c r="BD871" s="15">
        <v>-84250.0</v>
      </c>
      <c r="BE871" s="15">
        <v>-61010.0</v>
      </c>
      <c r="BF871" s="15">
        <v>-54190.0</v>
      </c>
      <c r="BG871" s="15">
        <v>-53560.0</v>
      </c>
      <c r="BH871" s="15">
        <v>77810.0</v>
      </c>
      <c r="BI871" s="15">
        <v>35510.0</v>
      </c>
      <c r="BJ871" s="15">
        <v>31320.0</v>
      </c>
      <c r="BK871" s="15">
        <v>54040.0</v>
      </c>
      <c r="BL871" s="15">
        <v>106690.0</v>
      </c>
      <c r="BM871" s="15">
        <v>462940.0</v>
      </c>
      <c r="BN871" s="15">
        <v>478030.0</v>
      </c>
      <c r="BO871" s="15">
        <v>620210.0</v>
      </c>
      <c r="BP871" s="15">
        <v>542050.0</v>
      </c>
      <c r="BQ871" s="15">
        <v>647130.0</v>
      </c>
      <c r="BR871" s="15">
        <v>80400.0</v>
      </c>
      <c r="BS871" s="15">
        <v>96970.0</v>
      </c>
      <c r="BT871" s="15">
        <v>230540.0</v>
      </c>
      <c r="BU871" s="15">
        <v>130890.0</v>
      </c>
      <c r="BV871" s="15">
        <v>144290.0</v>
      </c>
      <c r="BW871" s="15">
        <v>1640000.0</v>
      </c>
      <c r="BX871" s="15">
        <v>926010.0</v>
      </c>
      <c r="BY871" s="15">
        <v>950990.0</v>
      </c>
      <c r="BZ871" s="15">
        <v>893540.0</v>
      </c>
      <c r="CA871" s="15">
        <v>1070000.0</v>
      </c>
      <c r="CB871" s="15">
        <v>1210000.0</v>
      </c>
      <c r="CC871" s="15">
        <v>990210.0</v>
      </c>
      <c r="CD871" s="15">
        <v>1260000.0</v>
      </c>
      <c r="CE871" s="15">
        <v>482780.0</v>
      </c>
      <c r="CF871" s="15">
        <v>486450.0</v>
      </c>
      <c r="CG871" s="15">
        <v>1890000.0</v>
      </c>
      <c r="CH871" s="15">
        <v>1990000.0</v>
      </c>
      <c r="CI871" s="15">
        <v>2970000.0</v>
      </c>
      <c r="CJ871" s="15">
        <v>938060.0</v>
      </c>
      <c r="CK871" s="15">
        <v>964700.0</v>
      </c>
      <c r="CL871" s="15">
        <v>6690000.0</v>
      </c>
      <c r="CM871" s="15">
        <v>6910000.0</v>
      </c>
      <c r="CN871" s="15">
        <v>7990000.0</v>
      </c>
      <c r="CO871" s="15">
        <v>3430000.0</v>
      </c>
      <c r="CP871" s="15">
        <v>3610000.0</v>
      </c>
      <c r="CQ871" s="15">
        <v>198400.0</v>
      </c>
      <c r="CR871" s="15">
        <v>203500.0</v>
      </c>
      <c r="CS871" s="15">
        <v>278150.0</v>
      </c>
      <c r="CT871" s="15">
        <v>642360.0</v>
      </c>
      <c r="CU871" s="15">
        <v>838340.0</v>
      </c>
      <c r="CV871" s="15">
        <v>1290000.0</v>
      </c>
      <c r="CW871" s="15">
        <v>51870.0</v>
      </c>
      <c r="CX871" s="15">
        <v>0.0</v>
      </c>
      <c r="CY871" s="16">
        <v>0.0</v>
      </c>
      <c r="CZ871" s="15">
        <v>24000.0</v>
      </c>
      <c r="DA871" s="15">
        <v>0.0</v>
      </c>
      <c r="DB871" s="15">
        <v>1290000.0</v>
      </c>
      <c r="DC871" s="15">
        <v>1200000.0</v>
      </c>
      <c r="DD871" s="15">
        <v>1040000.0</v>
      </c>
      <c r="DE871" s="15">
        <v>1050000.0</v>
      </c>
      <c r="DF871" s="15">
        <v>5700000.0</v>
      </c>
      <c r="DG871" s="15">
        <v>6000000.0</v>
      </c>
      <c r="DH871" s="15">
        <v>5690000.0</v>
      </c>
      <c r="DI871" s="15">
        <v>2280000.0</v>
      </c>
      <c r="DJ871" s="15">
        <v>2500000.0</v>
      </c>
      <c r="DK871" s="15">
        <v>3890.0</v>
      </c>
      <c r="DL871" s="15">
        <v>1370.0</v>
      </c>
      <c r="DM871" s="15">
        <v>21300.0</v>
      </c>
      <c r="DN871" s="15">
        <v>81670.0</v>
      </c>
      <c r="DO871" s="15">
        <v>34630.0</v>
      </c>
      <c r="DP871" s="15">
        <v>4070000.0</v>
      </c>
      <c r="DQ871" s="15">
        <v>4260000.0</v>
      </c>
      <c r="DR871" s="15">
        <v>3690000.0</v>
      </c>
      <c r="DS871" s="15">
        <v>811470.0</v>
      </c>
      <c r="DT871" s="15">
        <v>983610.0</v>
      </c>
      <c r="DU871" s="16">
        <v>0.0</v>
      </c>
      <c r="DV871" s="15">
        <v>0.0</v>
      </c>
      <c r="DW871" s="15">
        <v>0.0</v>
      </c>
      <c r="DX871" s="15">
        <v>0.0</v>
      </c>
      <c r="DY871" s="15">
        <v>0.0</v>
      </c>
      <c r="DZ871" s="15">
        <v>986830.0</v>
      </c>
      <c r="EA871" s="15">
        <v>909620.0</v>
      </c>
      <c r="EB871" s="15">
        <v>2300000.0</v>
      </c>
      <c r="EC871" s="15">
        <v>1160000.0</v>
      </c>
      <c r="ED871" s="15">
        <v>1110000.0</v>
      </c>
      <c r="EE871" s="17">
        <v>0.031</v>
      </c>
      <c r="EF871" s="17">
        <v>0.096</v>
      </c>
      <c r="EG871" s="17">
        <v>0.184</v>
      </c>
      <c r="EH871" s="17">
        <v>0.165</v>
      </c>
    </row>
    <row r="872">
      <c r="A872" s="9">
        <f t="shared" si="2"/>
        <v>870</v>
      </c>
      <c r="B872" s="25" t="s">
        <v>1007</v>
      </c>
      <c r="C872" s="15">
        <v>54840.0</v>
      </c>
      <c r="D872" s="15">
        <v>40360.0</v>
      </c>
      <c r="E872" s="15">
        <v>29370.0</v>
      </c>
      <c r="F872" s="15">
        <v>21220.0</v>
      </c>
      <c r="G872" s="15">
        <v>18170.0</v>
      </c>
      <c r="H872" s="15">
        <v>14040.0</v>
      </c>
      <c r="I872" s="15">
        <v>9800.0</v>
      </c>
      <c r="J872" s="15">
        <v>15330.0</v>
      </c>
      <c r="K872" s="15">
        <v>10310.0</v>
      </c>
      <c r="L872" s="15">
        <v>7640.0</v>
      </c>
      <c r="M872" s="15">
        <v>4520.0</v>
      </c>
      <c r="N872" s="15">
        <v>545.0</v>
      </c>
      <c r="O872" s="15">
        <v>37110.0</v>
      </c>
      <c r="P872" s="15">
        <v>29820.0</v>
      </c>
      <c r="Q872" s="15">
        <v>30270.0</v>
      </c>
      <c r="R872" s="15">
        <v>26430.0</v>
      </c>
      <c r="S872" s="15">
        <v>40000.0</v>
      </c>
      <c r="T872" s="15">
        <v>14030.0</v>
      </c>
      <c r="U872" s="15">
        <v>10660.0</v>
      </c>
      <c r="V872" s="15">
        <v>10820.0</v>
      </c>
      <c r="W872" s="15">
        <v>9670.0</v>
      </c>
      <c r="X872" s="15">
        <v>13500.0</v>
      </c>
      <c r="Y872" s="15">
        <v>-29890.0</v>
      </c>
      <c r="Z872" s="15">
        <v>-17690.0</v>
      </c>
      <c r="AA872" s="15">
        <v>-22720.0</v>
      </c>
      <c r="AB872" s="15">
        <v>-23730.0</v>
      </c>
      <c r="AC872" s="12"/>
      <c r="AD872" s="15">
        <v>-37180.0</v>
      </c>
      <c r="AE872" s="15">
        <v>-20210.0</v>
      </c>
      <c r="AF872" s="15">
        <v>-30930.0</v>
      </c>
      <c r="AG872" s="15">
        <v>-31070.0</v>
      </c>
      <c r="AH872" s="15">
        <v>-43730.0</v>
      </c>
      <c r="AI872" s="15">
        <v>-18630.0</v>
      </c>
      <c r="AJ872" s="15">
        <v>-17610.0</v>
      </c>
      <c r="AK872" s="15">
        <v>-20580.0</v>
      </c>
      <c r="AL872" s="15">
        <v>-19680.0</v>
      </c>
      <c r="AM872" s="15">
        <v>-35950.0</v>
      </c>
      <c r="AN872" s="15">
        <v>-37180.0</v>
      </c>
      <c r="AO872" s="15">
        <v>-20210.0</v>
      </c>
      <c r="AP872" s="15">
        <v>-30930.0</v>
      </c>
      <c r="AQ872" s="15">
        <v>-31070.0</v>
      </c>
      <c r="AR872" s="15">
        <v>-43730.0</v>
      </c>
      <c r="AS872" s="15">
        <v>-20710.0</v>
      </c>
      <c r="AT872" s="15">
        <v>-19430.0</v>
      </c>
      <c r="AU872" s="15">
        <v>-21060.0</v>
      </c>
      <c r="AV872" s="15">
        <v>-24310.0</v>
      </c>
      <c r="AW872" s="15">
        <v>-36170.0</v>
      </c>
      <c r="AX872" s="15">
        <v>-296.0</v>
      </c>
      <c r="AY872" s="15">
        <v>-580.0</v>
      </c>
      <c r="AZ872" s="15">
        <v>-849.0</v>
      </c>
      <c r="BA872" s="15">
        <v>-209.0</v>
      </c>
      <c r="BB872" s="15">
        <v>-1650.0</v>
      </c>
      <c r="BC872" s="12"/>
      <c r="BD872" s="12"/>
      <c r="BE872" s="12"/>
      <c r="BF872" s="12"/>
      <c r="BG872" s="12"/>
      <c r="BH872" s="15">
        <v>6250.0</v>
      </c>
      <c r="BI872" s="15">
        <v>18220.0</v>
      </c>
      <c r="BJ872" s="15">
        <v>1270.0</v>
      </c>
      <c r="BK872" s="15">
        <v>11050.0</v>
      </c>
      <c r="BL872" s="15">
        <v>21690.0</v>
      </c>
      <c r="BM872" s="15">
        <v>5930.0</v>
      </c>
      <c r="BN872" s="15">
        <v>2720.0</v>
      </c>
      <c r="BO872" s="15">
        <v>3790.0</v>
      </c>
      <c r="BP872" s="15">
        <v>3590.0</v>
      </c>
      <c r="BQ872" s="15">
        <v>2350.0</v>
      </c>
      <c r="BR872" s="15">
        <v>8150.0</v>
      </c>
      <c r="BS872" s="15">
        <v>8220.0</v>
      </c>
      <c r="BT872" s="15">
        <v>9830.0</v>
      </c>
      <c r="BU872" s="15">
        <v>8480.0</v>
      </c>
      <c r="BV872" s="15">
        <v>9060.0</v>
      </c>
      <c r="BW872" s="15">
        <v>21720.0</v>
      </c>
      <c r="BX872" s="15">
        <v>30130.0</v>
      </c>
      <c r="BY872" s="15">
        <v>16060.0</v>
      </c>
      <c r="BZ872" s="15">
        <v>24190.0</v>
      </c>
      <c r="CA872" s="15">
        <v>34320.0</v>
      </c>
      <c r="CB872" s="15">
        <v>17830.0</v>
      </c>
      <c r="CC872" s="15">
        <v>14510.0</v>
      </c>
      <c r="CD872" s="15">
        <v>16020.0</v>
      </c>
      <c r="CE872" s="15">
        <v>17340.0</v>
      </c>
      <c r="CF872" s="15">
        <v>18450.0</v>
      </c>
      <c r="CG872" s="15">
        <v>6760.0</v>
      </c>
      <c r="CH872" s="12"/>
      <c r="CI872" s="12"/>
      <c r="CJ872" s="12"/>
      <c r="CK872" s="12"/>
      <c r="CL872" s="15">
        <v>72720.0</v>
      </c>
      <c r="CM872" s="15">
        <v>46570.0</v>
      </c>
      <c r="CN872" s="15">
        <v>36910.0</v>
      </c>
      <c r="CO872" s="15">
        <v>45980.0</v>
      </c>
      <c r="CP872" s="15">
        <v>71200.0</v>
      </c>
      <c r="CQ872" s="15">
        <v>3380.0</v>
      </c>
      <c r="CR872" s="15">
        <v>1690.0</v>
      </c>
      <c r="CS872" s="15">
        <v>3800.0</v>
      </c>
      <c r="CT872" s="15">
        <v>1390.0</v>
      </c>
      <c r="CU872" s="15">
        <v>2010.0</v>
      </c>
      <c r="CV872" s="15">
        <v>21090.0</v>
      </c>
      <c r="CW872" s="15">
        <v>913.0</v>
      </c>
      <c r="CX872" s="12"/>
      <c r="CY872" s="12"/>
      <c r="CZ872" s="12"/>
      <c r="DA872" s="12"/>
      <c r="DB872" s="15">
        <v>21090.0</v>
      </c>
      <c r="DC872" s="15">
        <v>11320.0</v>
      </c>
      <c r="DD872" s="15">
        <v>22000.0</v>
      </c>
      <c r="DE872" s="15">
        <v>15250.0</v>
      </c>
      <c r="DF872" s="15">
        <v>49160.0</v>
      </c>
      <c r="DG872" s="15">
        <v>33630.0</v>
      </c>
      <c r="DH872" s="15">
        <v>87560.0</v>
      </c>
      <c r="DI872" s="15">
        <v>76170.0</v>
      </c>
      <c r="DJ872" s="15">
        <v>73220.0</v>
      </c>
      <c r="DK872" s="15">
        <v>1560.0</v>
      </c>
      <c r="DL872" s="15">
        <v>1560.0</v>
      </c>
      <c r="DM872" s="15">
        <v>1560.0</v>
      </c>
      <c r="DN872" s="15">
        <v>1560.0</v>
      </c>
      <c r="DO872" s="15">
        <v>16560.0</v>
      </c>
      <c r="DP872" s="15">
        <v>23120.0</v>
      </c>
      <c r="DQ872" s="15">
        <v>19120.0</v>
      </c>
      <c r="DR872" s="15">
        <v>62230.0</v>
      </c>
      <c r="DS872" s="15">
        <v>57750.0</v>
      </c>
      <c r="DT872" s="15">
        <v>57040.0</v>
      </c>
      <c r="DU872" s="13"/>
      <c r="DV872" s="12"/>
      <c r="DW872" s="12"/>
      <c r="DX872" s="13"/>
      <c r="DY872" s="13"/>
      <c r="DZ872" s="15">
        <v>23560.0</v>
      </c>
      <c r="EA872" s="15">
        <v>12940.0</v>
      </c>
      <c r="EB872" s="15">
        <v>-50650.0</v>
      </c>
      <c r="EC872" s="15">
        <v>-30180.0</v>
      </c>
      <c r="ED872" s="15">
        <v>-2020.0</v>
      </c>
      <c r="EE872" s="17">
        <v>0.114</v>
      </c>
      <c r="EF872" s="17">
        <v>0.262</v>
      </c>
      <c r="EG872" s="17">
        <v>-0.667</v>
      </c>
      <c r="EH872" s="17">
        <v>-0.825</v>
      </c>
    </row>
    <row r="873">
      <c r="A873" s="9">
        <f t="shared" si="2"/>
        <v>871</v>
      </c>
      <c r="B873" s="22" t="s">
        <v>1008</v>
      </c>
      <c r="C873" s="12"/>
      <c r="D873" s="12"/>
      <c r="E873" s="12"/>
      <c r="F873" s="12"/>
      <c r="G873" s="12"/>
      <c r="H873" s="12"/>
      <c r="I873" s="12"/>
      <c r="J873" s="11">
        <v>-1370.0</v>
      </c>
      <c r="K873" s="11">
        <v>-630.0</v>
      </c>
      <c r="L873" s="11">
        <v>-2.0</v>
      </c>
      <c r="M873" s="12"/>
      <c r="N873" s="12"/>
      <c r="O873" s="11">
        <v>44520.0</v>
      </c>
      <c r="P873" s="11">
        <v>30590.0</v>
      </c>
      <c r="Q873" s="11">
        <v>31580.0</v>
      </c>
      <c r="R873" s="11">
        <v>11360.0</v>
      </c>
      <c r="S873" s="11">
        <v>4300.0</v>
      </c>
      <c r="T873" s="11">
        <v>35060.0</v>
      </c>
      <c r="U873" s="11">
        <v>23830.0</v>
      </c>
      <c r="V873" s="11">
        <v>20380.0</v>
      </c>
      <c r="W873" s="11">
        <v>8550.0</v>
      </c>
      <c r="X873" s="11">
        <v>4040.0</v>
      </c>
      <c r="Y873" s="12"/>
      <c r="Z873" s="12"/>
      <c r="AA873" s="11">
        <v>-31790.0</v>
      </c>
      <c r="AB873" s="11">
        <v>-11520.0</v>
      </c>
      <c r="AC873" s="12"/>
      <c r="AD873" s="11">
        <v>-46390.0</v>
      </c>
      <c r="AE873" s="11">
        <v>-30660.0</v>
      </c>
      <c r="AF873" s="11">
        <v>-31290.0</v>
      </c>
      <c r="AG873" s="11">
        <v>-12650.0</v>
      </c>
      <c r="AH873" s="11">
        <v>-4470.0</v>
      </c>
      <c r="AI873" s="11">
        <v>-44520.0</v>
      </c>
      <c r="AJ873" s="11">
        <v>-30590.0</v>
      </c>
      <c r="AK873" s="11">
        <v>-31580.0</v>
      </c>
      <c r="AL873" s="11">
        <v>-11360.0</v>
      </c>
      <c r="AM873" s="11">
        <v>-4300.0</v>
      </c>
      <c r="AN873" s="11">
        <v>-46390.0</v>
      </c>
      <c r="AO873" s="11">
        <v>-30660.0</v>
      </c>
      <c r="AP873" s="11">
        <v>-31290.0</v>
      </c>
      <c r="AQ873" s="11">
        <v>-12650.0</v>
      </c>
      <c r="AR873" s="11">
        <v>-4470.0</v>
      </c>
      <c r="AS873" s="11">
        <v>-33630.0</v>
      </c>
      <c r="AT873" s="11">
        <v>-19240.0</v>
      </c>
      <c r="AU873" s="11">
        <v>-12950.0</v>
      </c>
      <c r="AV873" s="11">
        <v>-4130.0</v>
      </c>
      <c r="AW873" s="11">
        <v>-1570.0</v>
      </c>
      <c r="AX873" s="11">
        <v>-3700.0</v>
      </c>
      <c r="AY873" s="11">
        <v>-7950.0</v>
      </c>
      <c r="AZ873" s="11">
        <v>-2800.0</v>
      </c>
      <c r="BA873" s="12"/>
      <c r="BB873" s="12"/>
      <c r="BC873" s="12"/>
      <c r="BD873" s="12"/>
      <c r="BE873" s="12"/>
      <c r="BF873" s="12"/>
      <c r="BG873" s="12"/>
      <c r="BH873" s="11">
        <v>61410.0</v>
      </c>
      <c r="BI873" s="11">
        <v>34070.0</v>
      </c>
      <c r="BJ873" s="11">
        <v>60980.0</v>
      </c>
      <c r="BK873" s="11">
        <v>27500.0</v>
      </c>
      <c r="BL873" s="12"/>
      <c r="BM873" s="11">
        <v>19.0</v>
      </c>
      <c r="BN873" s="11">
        <v>37.0</v>
      </c>
      <c r="BO873" s="11">
        <v>106.0</v>
      </c>
      <c r="BP873" s="12"/>
      <c r="BQ873" s="12"/>
      <c r="BR873" s="12"/>
      <c r="BS873" s="12"/>
      <c r="BT873" s="12"/>
      <c r="BU873" s="12"/>
      <c r="BV873" s="12"/>
      <c r="BW873" s="11">
        <v>63060.0</v>
      </c>
      <c r="BX873" s="11">
        <v>35130.0</v>
      </c>
      <c r="BY873" s="11">
        <v>61360.0</v>
      </c>
      <c r="BZ873" s="11">
        <v>27500.0</v>
      </c>
      <c r="CA873" s="12"/>
      <c r="CB873" s="11">
        <v>9130.0</v>
      </c>
      <c r="CC873" s="11">
        <v>6860.0</v>
      </c>
      <c r="CD873" s="11">
        <v>1380.0</v>
      </c>
      <c r="CE873" s="12"/>
      <c r="CF873" s="12"/>
      <c r="CG873" s="12"/>
      <c r="CH873" s="12"/>
      <c r="CI873" s="12"/>
      <c r="CJ873" s="12"/>
      <c r="CK873" s="12"/>
      <c r="CL873" s="11">
        <v>73450.0</v>
      </c>
      <c r="CM873" s="11">
        <v>42750.0</v>
      </c>
      <c r="CN873" s="11">
        <v>63490.0</v>
      </c>
      <c r="CO873" s="11">
        <v>27500.0</v>
      </c>
      <c r="CP873" s="12"/>
      <c r="CQ873" s="11">
        <v>3370.0</v>
      </c>
      <c r="CR873" s="11">
        <v>5380.0</v>
      </c>
      <c r="CS873" s="11">
        <v>3470.0</v>
      </c>
      <c r="CT873" s="12"/>
      <c r="CU873" s="12"/>
      <c r="CV873" s="11">
        <v>7770.0</v>
      </c>
      <c r="CW873" s="11">
        <v>1510.0</v>
      </c>
      <c r="CX873" s="12"/>
      <c r="CY873" s="12"/>
      <c r="CZ873" s="24">
        <v>320.0</v>
      </c>
      <c r="DA873" s="11">
        <v>3570.0</v>
      </c>
      <c r="DB873" s="11">
        <v>7770.0</v>
      </c>
      <c r="DC873" s="11">
        <v>5620.0</v>
      </c>
      <c r="DD873" s="11">
        <v>3610.0</v>
      </c>
      <c r="DE873" s="11">
        <v>3220.0</v>
      </c>
      <c r="DF873" s="11">
        <v>21790.0</v>
      </c>
      <c r="DG873" s="11">
        <v>6360.0</v>
      </c>
      <c r="DH873" s="11">
        <v>3660.0</v>
      </c>
      <c r="DI873" s="11">
        <v>3220.0</v>
      </c>
      <c r="DJ873" s="11">
        <v>4130.0</v>
      </c>
      <c r="DK873" s="11">
        <v>1000.0</v>
      </c>
      <c r="DL873" s="11">
        <v>500.0</v>
      </c>
      <c r="DM873" s="11">
        <v>500.0</v>
      </c>
      <c r="DN873" s="12"/>
      <c r="DO873" s="12"/>
      <c r="DP873" s="11">
        <v>14020.0</v>
      </c>
      <c r="DQ873" s="12"/>
      <c r="DR873" s="12"/>
      <c r="DS873" s="12"/>
      <c r="DT873" s="12"/>
      <c r="DU873" s="13"/>
      <c r="DV873" s="12"/>
      <c r="DW873" s="12"/>
      <c r="DX873" s="13"/>
      <c r="DY873" s="13"/>
      <c r="DZ873" s="11">
        <v>51650.0</v>
      </c>
      <c r="EA873" s="11">
        <v>36400.0</v>
      </c>
      <c r="EB873" s="11">
        <v>59830.0</v>
      </c>
      <c r="EC873" s="11">
        <v>24280.0</v>
      </c>
      <c r="ED873" s="11">
        <v>-4130.0</v>
      </c>
      <c r="EE873" s="23"/>
      <c r="EF873" s="23"/>
      <c r="EG873" s="14">
        <v>-0.185</v>
      </c>
      <c r="EH873" s="14">
        <v>-0.166</v>
      </c>
    </row>
    <row r="874">
      <c r="A874" s="9">
        <f t="shared" si="2"/>
        <v>872</v>
      </c>
      <c r="B874" s="25" t="s">
        <v>1009</v>
      </c>
      <c r="C874" s="15">
        <v>697420.0</v>
      </c>
      <c r="D874" s="15">
        <v>635790.0</v>
      </c>
      <c r="E874" s="15">
        <v>684020.0</v>
      </c>
      <c r="F874" s="15">
        <v>497000.0</v>
      </c>
      <c r="G874" s="15">
        <v>281940.0</v>
      </c>
      <c r="H874" s="15">
        <v>252970.0</v>
      </c>
      <c r="I874" s="15">
        <v>228620.0</v>
      </c>
      <c r="J874" s="15">
        <v>160310.0</v>
      </c>
      <c r="K874" s="15">
        <v>115140.0</v>
      </c>
      <c r="L874" s="15">
        <v>73140.0</v>
      </c>
      <c r="M874" s="15">
        <v>69870.0</v>
      </c>
      <c r="N874" s="15">
        <v>58870.0</v>
      </c>
      <c r="O874" s="15">
        <v>59350.0</v>
      </c>
      <c r="P874" s="15">
        <v>44590.0</v>
      </c>
      <c r="Q874" s="15">
        <v>30350.0</v>
      </c>
      <c r="R874" s="15">
        <v>28730.0</v>
      </c>
      <c r="S874" s="15">
        <v>25990.0</v>
      </c>
      <c r="T874" s="15"/>
      <c r="U874" s="15"/>
      <c r="V874" s="15"/>
      <c r="W874" s="15"/>
      <c r="X874" s="15"/>
      <c r="Y874" s="15">
        <v>97760.0</v>
      </c>
      <c r="Z874" s="15">
        <v>70440.0</v>
      </c>
      <c r="AA874" s="15">
        <v>56.0</v>
      </c>
      <c r="AB874" s="15">
        <v>-863.0</v>
      </c>
      <c r="AC874" s="15">
        <v>31150.0</v>
      </c>
      <c r="AD874" s="15">
        <v>91800.0</v>
      </c>
      <c r="AE874" s="15">
        <v>89390.0</v>
      </c>
      <c r="AF874" s="15">
        <v>48670.0</v>
      </c>
      <c r="AG874" s="15">
        <v>32100.0</v>
      </c>
      <c r="AH874" s="15">
        <v>31850.0</v>
      </c>
      <c r="AI874" s="15">
        <v>116920.0</v>
      </c>
      <c r="AJ874" s="15">
        <v>83410.0</v>
      </c>
      <c r="AK874" s="15">
        <v>49540.0</v>
      </c>
      <c r="AL874" s="15">
        <v>41430.0</v>
      </c>
      <c r="AM874" s="15">
        <v>37760.0</v>
      </c>
      <c r="AN874" s="15">
        <v>66070.0</v>
      </c>
      <c r="AO874" s="15">
        <v>27610.0</v>
      </c>
      <c r="AP874" s="15">
        <v>28360.0</v>
      </c>
      <c r="AQ874" s="15">
        <v>18040.0</v>
      </c>
      <c r="AR874" s="15">
        <v>14660.0</v>
      </c>
      <c r="AS874" s="15">
        <v>81500.0</v>
      </c>
      <c r="AT874" s="15">
        <v>58460.0</v>
      </c>
      <c r="AU874" s="15">
        <v>35860.0</v>
      </c>
      <c r="AV874" s="15">
        <v>35600.0</v>
      </c>
      <c r="AW874" s="15">
        <v>12550.0</v>
      </c>
      <c r="AX874" s="15">
        <v>-17940.0</v>
      </c>
      <c r="AY874" s="15">
        <v>-10450.0</v>
      </c>
      <c r="AZ874" s="15">
        <v>-9260.0</v>
      </c>
      <c r="BA874" s="15">
        <v>-6180.0</v>
      </c>
      <c r="BB874" s="15">
        <v>-5470.0</v>
      </c>
      <c r="BC874" s="13"/>
      <c r="BD874" s="13"/>
      <c r="BE874" s="13"/>
      <c r="BF874" s="13"/>
      <c r="BG874" s="13"/>
      <c r="BH874" s="15">
        <v>27390.0</v>
      </c>
      <c r="BI874" s="15">
        <v>61620.0</v>
      </c>
      <c r="BJ874" s="15">
        <v>32820.0</v>
      </c>
      <c r="BK874" s="15">
        <v>25920.0</v>
      </c>
      <c r="BL874" s="15">
        <v>8390.0</v>
      </c>
      <c r="BM874" s="15">
        <v>28020.0</v>
      </c>
      <c r="BN874" s="15">
        <v>24730.0</v>
      </c>
      <c r="BO874" s="15">
        <v>10960.0</v>
      </c>
      <c r="BP874" s="15">
        <v>15660.0</v>
      </c>
      <c r="BQ874" s="15">
        <v>9480.0</v>
      </c>
      <c r="BR874" s="15">
        <v>67770.0</v>
      </c>
      <c r="BS874" s="15">
        <v>44270.0</v>
      </c>
      <c r="BT874" s="15">
        <v>23840.0</v>
      </c>
      <c r="BU874" s="15">
        <v>20430.0</v>
      </c>
      <c r="BV874" s="15">
        <v>20390.0</v>
      </c>
      <c r="BW874" s="15">
        <v>127650.0</v>
      </c>
      <c r="BX874" s="15">
        <v>133910.0</v>
      </c>
      <c r="BY874" s="15">
        <v>70080.0</v>
      </c>
      <c r="BZ874" s="15">
        <v>64710.0</v>
      </c>
      <c r="CA874" s="15">
        <v>40260.0</v>
      </c>
      <c r="CB874" s="15">
        <v>65760.0</v>
      </c>
      <c r="CC874" s="15">
        <v>40850.0</v>
      </c>
      <c r="CD874" s="15">
        <v>24120.0</v>
      </c>
      <c r="CE874" s="15">
        <v>17810.0</v>
      </c>
      <c r="CF874" s="15">
        <v>14950.0</v>
      </c>
      <c r="CG874" s="15">
        <v>51400.0</v>
      </c>
      <c r="CH874" s="15">
        <v>32230.0</v>
      </c>
      <c r="CI874" s="15">
        <v>12690.0</v>
      </c>
      <c r="CJ874" s="15">
        <v>12470.0</v>
      </c>
      <c r="CK874" s="15">
        <v>12670.0</v>
      </c>
      <c r="CL874" s="15">
        <v>451310.0</v>
      </c>
      <c r="CM874" s="15">
        <v>365770.0</v>
      </c>
      <c r="CN874" s="15">
        <v>223660.0</v>
      </c>
      <c r="CO874" s="15">
        <v>222330.0</v>
      </c>
      <c r="CP874" s="15">
        <v>189130.0</v>
      </c>
      <c r="CQ874" s="15">
        <v>21170.0</v>
      </c>
      <c r="CR874" s="15">
        <v>24350.0</v>
      </c>
      <c r="CS874" s="15">
        <v>12720.0</v>
      </c>
      <c r="CT874" s="15">
        <v>16160.0</v>
      </c>
      <c r="CU874" s="15">
        <v>9150.0</v>
      </c>
      <c r="CV874" s="15">
        <v>75330.0</v>
      </c>
      <c r="CW874" s="15"/>
      <c r="CX874" s="15"/>
      <c r="CY874" s="15"/>
      <c r="CZ874" s="15"/>
      <c r="DA874" s="15"/>
      <c r="DB874" s="15">
        <v>75330.0</v>
      </c>
      <c r="DC874" s="15">
        <v>65390.0</v>
      </c>
      <c r="DD874" s="15">
        <v>39190.0</v>
      </c>
      <c r="DE874" s="15">
        <v>47830.0</v>
      </c>
      <c r="DF874" s="15">
        <v>240960.0</v>
      </c>
      <c r="DG874" s="15">
        <v>225900.0</v>
      </c>
      <c r="DH874" s="15">
        <v>171430.0</v>
      </c>
      <c r="DI874" s="15">
        <v>202300.0</v>
      </c>
      <c r="DJ874" s="15">
        <v>200400.0</v>
      </c>
      <c r="DK874" s="15"/>
      <c r="DL874" s="15"/>
      <c r="DM874" s="15"/>
      <c r="DN874" s="15"/>
      <c r="DO874" s="15"/>
      <c r="DP874" s="15">
        <v>113630.0</v>
      </c>
      <c r="DQ874" s="15">
        <v>108490.0</v>
      </c>
      <c r="DR874" s="15">
        <v>53400.0</v>
      </c>
      <c r="DS874" s="15">
        <v>63090.0</v>
      </c>
      <c r="DT874" s="15">
        <v>72000.0</v>
      </c>
      <c r="DU874" s="13"/>
      <c r="DV874" s="12"/>
      <c r="DW874" s="12"/>
      <c r="DX874" s="13"/>
      <c r="DY874" s="13"/>
      <c r="DZ874" s="15">
        <v>204240.0</v>
      </c>
      <c r="EA874" s="15">
        <v>134370.0</v>
      </c>
      <c r="EB874" s="15">
        <v>47300.0</v>
      </c>
      <c r="EC874" s="15">
        <v>15350.0</v>
      </c>
      <c r="ED874" s="15">
        <v>-26860.0</v>
      </c>
      <c r="EE874" s="17">
        <v>0.022</v>
      </c>
      <c r="EF874" s="17">
        <v>0.149</v>
      </c>
      <c r="EG874" s="17">
        <v>0.153</v>
      </c>
      <c r="EH874" s="17">
        <v>0.201</v>
      </c>
    </row>
    <row r="875">
      <c r="A875" s="9">
        <f t="shared" si="2"/>
        <v>873</v>
      </c>
      <c r="B875" s="10" t="s">
        <v>1010</v>
      </c>
      <c r="C875" s="15">
        <v>2.168E7</v>
      </c>
      <c r="D875" s="15">
        <v>1.905E7</v>
      </c>
      <c r="E875" s="15">
        <v>2.108E7</v>
      </c>
      <c r="F875" s="15">
        <v>2.103E7</v>
      </c>
      <c r="G875" s="15">
        <v>2.282E7</v>
      </c>
      <c r="H875" s="15">
        <v>2.462E7</v>
      </c>
      <c r="I875" s="15">
        <v>2.541E7</v>
      </c>
      <c r="J875" s="15">
        <v>1.112E7</v>
      </c>
      <c r="K875" s="15">
        <v>1.079E7</v>
      </c>
      <c r="L875" s="15">
        <v>1.062E7</v>
      </c>
      <c r="M875" s="15">
        <v>1.02E7</v>
      </c>
      <c r="N875" s="15">
        <v>9790000.0</v>
      </c>
      <c r="O875" s="15">
        <v>2300000.0</v>
      </c>
      <c r="P875" s="15">
        <v>2200000.0</v>
      </c>
      <c r="Q875" s="15">
        <v>2230000.0</v>
      </c>
      <c r="R875" s="15">
        <v>2380000.0</v>
      </c>
      <c r="S875" s="15">
        <v>2430000.0</v>
      </c>
      <c r="T875" s="15"/>
      <c r="U875" s="15"/>
      <c r="V875" s="15"/>
      <c r="W875" s="15"/>
      <c r="X875" s="15"/>
      <c r="Y875" s="15">
        <v>8840000.0</v>
      </c>
      <c r="Z875" s="15">
        <v>8380000.0</v>
      </c>
      <c r="AA875" s="15">
        <v>9160000.0</v>
      </c>
      <c r="AB875" s="15">
        <v>7510000.0</v>
      </c>
      <c r="AC875" s="15">
        <v>7200000.0</v>
      </c>
      <c r="AD875" s="15">
        <v>8020000.0</v>
      </c>
      <c r="AE875" s="15">
        <v>7820000.0</v>
      </c>
      <c r="AF875" s="15">
        <v>8570000.0</v>
      </c>
      <c r="AG875" s="15">
        <v>6870000.0</v>
      </c>
      <c r="AH875" s="15">
        <v>6560000.0</v>
      </c>
      <c r="AI875" s="15">
        <v>1.043E7</v>
      </c>
      <c r="AJ875" s="15">
        <v>1.007E7</v>
      </c>
      <c r="AK875" s="15">
        <v>9750000.0</v>
      </c>
      <c r="AL875" s="15">
        <v>9340000.0</v>
      </c>
      <c r="AM875" s="15">
        <v>8910000.0</v>
      </c>
      <c r="AN875" s="15">
        <v>6030000.0</v>
      </c>
      <c r="AO875" s="15">
        <v>5920000.0</v>
      </c>
      <c r="AP875" s="15">
        <v>5190000.0</v>
      </c>
      <c r="AQ875" s="15">
        <v>4690000.0</v>
      </c>
      <c r="AR875" s="15">
        <v>4530000.0</v>
      </c>
      <c r="AS875" s="15">
        <v>8120000.0</v>
      </c>
      <c r="AT875" s="15">
        <v>6970000.0</v>
      </c>
      <c r="AU875" s="15">
        <v>5550000.0</v>
      </c>
      <c r="AV875" s="15">
        <v>6060000.0</v>
      </c>
      <c r="AW875" s="15">
        <v>6540000.0</v>
      </c>
      <c r="AX875" s="15">
        <v>-2390000.0</v>
      </c>
      <c r="AY875" s="15">
        <v>-2740000.0</v>
      </c>
      <c r="AZ875" s="15">
        <v>-1850000.0</v>
      </c>
      <c r="BA875" s="15">
        <v>-1820000.0</v>
      </c>
      <c r="BB875" s="15">
        <v>-1810000.0</v>
      </c>
      <c r="BC875" s="13">
        <v>-3580000.0</v>
      </c>
      <c r="BD875" s="13">
        <v>-3260000.0</v>
      </c>
      <c r="BE875" s="13">
        <v>-3090000.0</v>
      </c>
      <c r="BF875" s="13">
        <v>-3060000.0</v>
      </c>
      <c r="BG875" s="13">
        <v>-3230000.0</v>
      </c>
      <c r="BH875" s="15">
        <v>898500.0</v>
      </c>
      <c r="BI875" s="15">
        <v>866000.0</v>
      </c>
      <c r="BJ875" s="15">
        <v>2460000.0</v>
      </c>
      <c r="BK875" s="15">
        <v>1220000.0</v>
      </c>
      <c r="BL875" s="15">
        <v>7690000.0</v>
      </c>
      <c r="BM875" s="15">
        <v>2220000.0</v>
      </c>
      <c r="BN875" s="15">
        <v>2440000.0</v>
      </c>
      <c r="BO875" s="15">
        <v>1980000.0</v>
      </c>
      <c r="BP875" s="15">
        <v>1470000.0</v>
      </c>
      <c r="BQ875" s="15">
        <v>1300000.0</v>
      </c>
      <c r="BR875" s="12">
        <v>50200.0</v>
      </c>
      <c r="BS875" s="12">
        <v>51100.0</v>
      </c>
      <c r="BT875" s="12">
        <v>58800.0</v>
      </c>
      <c r="BU875" s="12">
        <v>58900.0</v>
      </c>
      <c r="BV875" s="12">
        <v>100100.0</v>
      </c>
      <c r="BW875" s="15">
        <v>3560000.0</v>
      </c>
      <c r="BX875" s="15">
        <v>4050000.0</v>
      </c>
      <c r="BY875" s="15">
        <v>5330000.0</v>
      </c>
      <c r="BZ875" s="15">
        <v>4850000.0</v>
      </c>
      <c r="CA875" s="15">
        <v>9640000.0</v>
      </c>
      <c r="CB875" s="15">
        <v>3.742E7</v>
      </c>
      <c r="CC875" s="15">
        <v>2.284E7</v>
      </c>
      <c r="CD875" s="15">
        <v>2.245E7</v>
      </c>
      <c r="CE875" s="15">
        <v>2.126E7</v>
      </c>
      <c r="CF875" s="15">
        <v>2.312E7</v>
      </c>
      <c r="CG875" s="15">
        <v>2680000.0</v>
      </c>
      <c r="CH875" s="15">
        <v>2330000.0</v>
      </c>
      <c r="CI875" s="15">
        <v>2380000.0</v>
      </c>
      <c r="CJ875" s="15">
        <v>2340000.0</v>
      </c>
      <c r="CK875" s="15">
        <v>2520000.0</v>
      </c>
      <c r="CL875" s="15">
        <v>4.751E7</v>
      </c>
      <c r="CM875" s="15">
        <v>3.281E7</v>
      </c>
      <c r="CN875" s="15">
        <v>3.38E7</v>
      </c>
      <c r="CO875" s="15">
        <v>3.102E7</v>
      </c>
      <c r="CP875" s="15">
        <v>3.794E7</v>
      </c>
      <c r="CQ875" s="15">
        <v>988200.0</v>
      </c>
      <c r="CR875" s="15">
        <v>1210000.0</v>
      </c>
      <c r="CS875" s="15">
        <v>924800.0</v>
      </c>
      <c r="CT875" s="15">
        <v>756000.0</v>
      </c>
      <c r="CU875" s="15">
        <v>874700.0</v>
      </c>
      <c r="CV875" s="15">
        <v>3620000.0</v>
      </c>
      <c r="CW875" s="15">
        <v>621000.0</v>
      </c>
      <c r="CX875" s="13"/>
      <c r="CY875" s="15"/>
      <c r="CZ875" s="13"/>
      <c r="DA875" s="12"/>
      <c r="DB875" s="15">
        <v>3620000.0</v>
      </c>
      <c r="DC875" s="15">
        <v>2970000.0</v>
      </c>
      <c r="DD875" s="15">
        <v>2890000.0</v>
      </c>
      <c r="DE875" s="15">
        <v>3470000.0</v>
      </c>
      <c r="DF875" s="15">
        <v>5.572E7</v>
      </c>
      <c r="DG875" s="15">
        <v>3.907E7</v>
      </c>
      <c r="DH875" s="15">
        <v>3.707E7</v>
      </c>
      <c r="DI875" s="15">
        <v>3.323E7</v>
      </c>
      <c r="DJ875" s="15">
        <v>3.085E7</v>
      </c>
      <c r="DK875" s="12">
        <v>1470000.0</v>
      </c>
      <c r="DL875" s="12">
        <v>1210000.0</v>
      </c>
      <c r="DM875" s="12">
        <v>1250000.0</v>
      </c>
      <c r="DN875" s="12">
        <v>730100.0</v>
      </c>
      <c r="DO875" s="15">
        <v>938500.0</v>
      </c>
      <c r="DP875" s="15">
        <v>4.688E7</v>
      </c>
      <c r="DQ875" s="15">
        <v>3.108E7</v>
      </c>
      <c r="DR875" s="15">
        <v>2.954E7</v>
      </c>
      <c r="DS875" s="15">
        <v>2.588E7</v>
      </c>
      <c r="DT875" s="15">
        <v>2.412E7</v>
      </c>
      <c r="DU875" s="13"/>
      <c r="DV875" s="12"/>
      <c r="DW875" s="12"/>
      <c r="DX875" s="13"/>
      <c r="DY875" s="13"/>
      <c r="DZ875" s="15">
        <v>-8210000.0</v>
      </c>
      <c r="EA875" s="15">
        <v>-6260000.0</v>
      </c>
      <c r="EB875" s="15">
        <v>-3270000.0</v>
      </c>
      <c r="EC875" s="15">
        <v>-2200000.0</v>
      </c>
      <c r="ED875" s="15">
        <v>7090000.0</v>
      </c>
      <c r="EE875" s="23">
        <v>0.066666667</v>
      </c>
      <c r="EF875" s="23">
        <v>0.106549815</v>
      </c>
      <c r="EG875" s="17">
        <v>-0.108</v>
      </c>
      <c r="EH875" s="23">
        <v>-0.053</v>
      </c>
    </row>
    <row r="876">
      <c r="A876" s="9">
        <f t="shared" si="2"/>
        <v>874</v>
      </c>
      <c r="B876" s="25" t="s">
        <v>1011</v>
      </c>
      <c r="C876" s="15">
        <v>400690.0</v>
      </c>
      <c r="D876" s="15">
        <v>349610.0</v>
      </c>
      <c r="E876" s="15">
        <v>466380.0</v>
      </c>
      <c r="F876" s="15">
        <v>332730.0</v>
      </c>
      <c r="G876" s="15">
        <v>228630.0</v>
      </c>
      <c r="H876" s="15">
        <v>221600.0</v>
      </c>
      <c r="I876" s="15">
        <v>214390.0</v>
      </c>
      <c r="J876" s="15">
        <v>109640.0</v>
      </c>
      <c r="K876" s="15">
        <v>88770.0</v>
      </c>
      <c r="L876" s="15">
        <v>63370.0</v>
      </c>
      <c r="M876" s="15">
        <v>60860.0</v>
      </c>
      <c r="N876" s="15">
        <v>50940.0</v>
      </c>
      <c r="O876" s="15">
        <v>43870.0</v>
      </c>
      <c r="P876" s="15">
        <v>31300.0</v>
      </c>
      <c r="Q876" s="15">
        <v>29460.0</v>
      </c>
      <c r="R876" s="15">
        <v>38850.0</v>
      </c>
      <c r="S876" s="15">
        <v>19920.0</v>
      </c>
      <c r="T876" s="15">
        <v>5570.0</v>
      </c>
      <c r="U876" s="15">
        <v>4930.0</v>
      </c>
      <c r="V876" s="15">
        <v>3550.0</v>
      </c>
      <c r="W876" s="15">
        <v>3510.0</v>
      </c>
      <c r="X876" s="15">
        <v>3030.0</v>
      </c>
      <c r="Y876" s="15">
        <v>33260.0</v>
      </c>
      <c r="Z876" s="15">
        <v>55980.0</v>
      </c>
      <c r="AA876" s="12"/>
      <c r="AB876" s="15">
        <v>19080.0</v>
      </c>
      <c r="AC876" s="15">
        <v>17300.0</v>
      </c>
      <c r="AD876" s="15">
        <v>26750.0</v>
      </c>
      <c r="AE876" s="15">
        <v>52510.0</v>
      </c>
      <c r="AF876" s="15">
        <v>31290.0</v>
      </c>
      <c r="AG876" s="15">
        <v>18520.0</v>
      </c>
      <c r="AH876" s="15">
        <v>12130.0</v>
      </c>
      <c r="AI876" s="15">
        <v>73560.0</v>
      </c>
      <c r="AJ876" s="15">
        <v>62560.0</v>
      </c>
      <c r="AK876" s="15">
        <v>36750.0</v>
      </c>
      <c r="AL876" s="15">
        <v>25460.0</v>
      </c>
      <c r="AM876" s="15">
        <v>34300.0</v>
      </c>
      <c r="AN876" s="15">
        <v>21350.0</v>
      </c>
      <c r="AO876" s="15">
        <v>39650.0</v>
      </c>
      <c r="AP876" s="15">
        <v>19570.0</v>
      </c>
      <c r="AQ876" s="15">
        <v>10210.0</v>
      </c>
      <c r="AR876" s="15">
        <v>5530.0</v>
      </c>
      <c r="AS876" s="15">
        <v>55890.0</v>
      </c>
      <c r="AT876" s="15">
        <v>49400.0</v>
      </c>
      <c r="AU876" s="15">
        <v>26230.0</v>
      </c>
      <c r="AV876" s="15">
        <v>30750.0</v>
      </c>
      <c r="AW876" s="15">
        <v>25250.0</v>
      </c>
      <c r="AX876" s="15">
        <v>-14060.0</v>
      </c>
      <c r="AY876" s="15">
        <v>-5310.0</v>
      </c>
      <c r="AZ876" s="15">
        <v>-4140.0</v>
      </c>
      <c r="BA876" s="15">
        <v>-3820.0</v>
      </c>
      <c r="BB876" s="15">
        <v>-3480.0</v>
      </c>
      <c r="BC876" s="13"/>
      <c r="BD876" s="13"/>
      <c r="BE876" s="13"/>
      <c r="BF876" s="15">
        <v>-79950.0</v>
      </c>
      <c r="BG876" s="15">
        <v>-44000.0</v>
      </c>
      <c r="BH876" s="15">
        <v>5830.0</v>
      </c>
      <c r="BI876" s="15">
        <v>8430.0</v>
      </c>
      <c r="BJ876" s="15">
        <v>4040.0</v>
      </c>
      <c r="BK876" s="15">
        <v>73.0</v>
      </c>
      <c r="BL876" s="15">
        <v>1170.0</v>
      </c>
      <c r="BM876" s="15">
        <v>13410.0</v>
      </c>
      <c r="BN876" s="15">
        <v>5520.0</v>
      </c>
      <c r="BO876" s="15">
        <v>3500.0</v>
      </c>
      <c r="BP876" s="15">
        <v>2970.0</v>
      </c>
      <c r="BQ876" s="15">
        <v>2650.0</v>
      </c>
      <c r="BR876" s="15">
        <v>30660.0</v>
      </c>
      <c r="BS876" s="15">
        <v>20470.0</v>
      </c>
      <c r="BT876" s="15">
        <v>11680.0</v>
      </c>
      <c r="BU876" s="15">
        <v>13270.0</v>
      </c>
      <c r="BV876" s="15">
        <v>11540.0</v>
      </c>
      <c r="BW876" s="15">
        <v>54360.0</v>
      </c>
      <c r="BX876" s="15">
        <v>37190.0</v>
      </c>
      <c r="BY876" s="15">
        <v>21650.0</v>
      </c>
      <c r="BZ876" s="15">
        <v>18090.0</v>
      </c>
      <c r="CA876" s="15">
        <v>27220.0</v>
      </c>
      <c r="CB876" s="15">
        <v>33640.0</v>
      </c>
      <c r="CC876" s="15">
        <v>22270.0</v>
      </c>
      <c r="CD876" s="15">
        <v>14830.0</v>
      </c>
      <c r="CE876" s="15">
        <v>13830.0</v>
      </c>
      <c r="CF876" s="15">
        <v>13230.0</v>
      </c>
      <c r="CG876" s="15">
        <v>74030.0</v>
      </c>
      <c r="CH876" s="15">
        <v>65790.0</v>
      </c>
      <c r="CI876" s="15">
        <v>29590.0</v>
      </c>
      <c r="CJ876" s="15">
        <v>29590.0</v>
      </c>
      <c r="CK876" s="15">
        <v>29590.0</v>
      </c>
      <c r="CL876" s="15">
        <v>251880.0</v>
      </c>
      <c r="CM876" s="15">
        <v>180890.0</v>
      </c>
      <c r="CN876" s="15">
        <v>89390.0</v>
      </c>
      <c r="CO876" s="15">
        <v>82530.0</v>
      </c>
      <c r="CP876" s="15">
        <v>89680.0</v>
      </c>
      <c r="CQ876" s="15">
        <v>17970.0</v>
      </c>
      <c r="CR876" s="15">
        <v>17270.0</v>
      </c>
      <c r="CS876" s="15">
        <v>11010.0</v>
      </c>
      <c r="CT876" s="15">
        <v>13110.0</v>
      </c>
      <c r="CU876" s="15">
        <v>14810.0</v>
      </c>
      <c r="CV876" s="15">
        <v>68550.0</v>
      </c>
      <c r="CW876" s="15"/>
      <c r="CX876" s="15"/>
      <c r="CY876" s="15"/>
      <c r="CZ876" s="15"/>
      <c r="DA876" s="15"/>
      <c r="DB876" s="15">
        <v>68550.0</v>
      </c>
      <c r="DC876" s="15">
        <v>50910.0</v>
      </c>
      <c r="DD876" s="15">
        <v>36890.0</v>
      </c>
      <c r="DE876" s="15">
        <v>44380.0</v>
      </c>
      <c r="DF876" s="15">
        <v>179570.0</v>
      </c>
      <c r="DG876" s="15">
        <v>128370.0</v>
      </c>
      <c r="DH876" s="15">
        <v>77630.0</v>
      </c>
      <c r="DI876" s="15">
        <v>90910.0</v>
      </c>
      <c r="DJ876" s="15">
        <v>131930.0</v>
      </c>
      <c r="DK876" s="15"/>
      <c r="DL876" s="15"/>
      <c r="DM876" s="15"/>
      <c r="DN876" s="15"/>
      <c r="DO876" s="15"/>
      <c r="DP876" s="15">
        <v>105020.0</v>
      </c>
      <c r="DQ876" s="15">
        <v>70090.0</v>
      </c>
      <c r="DR876" s="15">
        <v>30790.0</v>
      </c>
      <c r="DS876" s="15">
        <v>44340.0</v>
      </c>
      <c r="DT876" s="15">
        <v>60490.0</v>
      </c>
      <c r="DU876" s="13"/>
      <c r="DV876" s="12"/>
      <c r="DW876" s="12"/>
      <c r="DX876" s="13"/>
      <c r="DY876" s="13"/>
      <c r="DZ876" s="15">
        <v>72320.0</v>
      </c>
      <c r="EA876" s="15">
        <v>52520.0</v>
      </c>
      <c r="EB876" s="15">
        <v>11760.0</v>
      </c>
      <c r="EC876" s="15">
        <v>-8380.0</v>
      </c>
      <c r="ED876" s="15">
        <v>-42250.0</v>
      </c>
      <c r="EE876" s="17">
        <v>0.033</v>
      </c>
      <c r="EF876" s="17">
        <v>0.111</v>
      </c>
      <c r="EG876" s="17">
        <v>-0.08</v>
      </c>
      <c r="EH876" s="17">
        <v>0.108</v>
      </c>
    </row>
    <row r="877">
      <c r="A877" s="9">
        <f t="shared" si="2"/>
        <v>875</v>
      </c>
      <c r="B877" s="10" t="s">
        <v>1012</v>
      </c>
      <c r="C877" s="15">
        <v>5640000.0</v>
      </c>
      <c r="D877" s="15">
        <v>5130000.0</v>
      </c>
      <c r="E877" s="15">
        <v>5270000.0</v>
      </c>
      <c r="F877" s="15">
        <v>5350000.0</v>
      </c>
      <c r="G877" s="15">
        <v>3980000.0</v>
      </c>
      <c r="H877" s="15">
        <v>3410000.0</v>
      </c>
      <c r="I877" s="15">
        <v>2170000.0</v>
      </c>
      <c r="J877" s="15">
        <v>2250000.0</v>
      </c>
      <c r="K877" s="15">
        <v>2620000.0</v>
      </c>
      <c r="L877" s="15">
        <v>1940000.0</v>
      </c>
      <c r="M877" s="15">
        <v>1610000.0</v>
      </c>
      <c r="N877" s="15">
        <v>1080000.0</v>
      </c>
      <c r="O877" s="15">
        <v>1550000.0</v>
      </c>
      <c r="P877" s="15">
        <v>1510000.0</v>
      </c>
      <c r="Q877" s="15">
        <v>981400.0</v>
      </c>
      <c r="R877" s="15">
        <v>1050000.0</v>
      </c>
      <c r="S877" s="15">
        <v>674270.0</v>
      </c>
      <c r="T877" s="15">
        <v>877800.0</v>
      </c>
      <c r="U877" s="15">
        <v>826300.0</v>
      </c>
      <c r="V877" s="15">
        <v>529300.0</v>
      </c>
      <c r="W877" s="15">
        <v>545290.0</v>
      </c>
      <c r="X877" s="15">
        <v>372600.0</v>
      </c>
      <c r="Y877" s="15">
        <v>641700.0</v>
      </c>
      <c r="Z877" s="15">
        <v>701700.0</v>
      </c>
      <c r="AA877" s="15">
        <v>915900.0</v>
      </c>
      <c r="AB877" s="15">
        <v>231940.0</v>
      </c>
      <c r="AC877" s="15">
        <v>-50570.0</v>
      </c>
      <c r="AD877" s="15">
        <v>150400.0</v>
      </c>
      <c r="AE877" s="15">
        <v>204500.0</v>
      </c>
      <c r="AF877" s="15">
        <v>737300.0</v>
      </c>
      <c r="AG877" s="15">
        <v>89790.0</v>
      </c>
      <c r="AH877" s="15">
        <v>281290.0</v>
      </c>
      <c r="AI877" s="15">
        <v>1910000.0</v>
      </c>
      <c r="AJ877" s="15">
        <v>1990000.0</v>
      </c>
      <c r="AK877" s="15">
        <v>1570000.0</v>
      </c>
      <c r="AL877" s="15">
        <v>1030000.0</v>
      </c>
      <c r="AM877" s="15">
        <v>684370.0</v>
      </c>
      <c r="AN877" s="15">
        <v>570600.0</v>
      </c>
      <c r="AO877" s="15">
        <v>355900.0</v>
      </c>
      <c r="AP877" s="15">
        <v>255400.0</v>
      </c>
      <c r="AQ877" s="15">
        <v>170590.0</v>
      </c>
      <c r="AR877" s="15">
        <v>324130.0</v>
      </c>
      <c r="AS877" s="15">
        <v>1540000.0</v>
      </c>
      <c r="AT877" s="15">
        <v>1670000.0</v>
      </c>
      <c r="AU877" s="15">
        <v>1420000.0</v>
      </c>
      <c r="AV877" s="15">
        <v>1060000.0</v>
      </c>
      <c r="AW877" s="15">
        <v>744480.0</v>
      </c>
      <c r="AX877" s="15">
        <v>-139100.0</v>
      </c>
      <c r="AY877" s="15">
        <v>-247500.0</v>
      </c>
      <c r="AZ877" s="15">
        <v>-213900.0</v>
      </c>
      <c r="BA877" s="15">
        <v>-85530.0</v>
      </c>
      <c r="BB877" s="15">
        <v>-104950.0</v>
      </c>
      <c r="BC877" s="15">
        <v>-350100.0</v>
      </c>
      <c r="BD877" s="15">
        <v>-344400.0</v>
      </c>
      <c r="BE877" s="15">
        <v>-337500.0</v>
      </c>
      <c r="BF877" s="15">
        <v>-315430.0</v>
      </c>
      <c r="BG877" s="15">
        <v>-291090.0</v>
      </c>
      <c r="BH877" s="15">
        <v>403000.0</v>
      </c>
      <c r="BI877" s="15">
        <v>430900.0</v>
      </c>
      <c r="BJ877" s="15">
        <v>2200000.0</v>
      </c>
      <c r="BK877" s="15">
        <v>1300000.0</v>
      </c>
      <c r="BL877" s="15">
        <v>2450000.0</v>
      </c>
      <c r="BM877" s="15">
        <v>934000.0</v>
      </c>
      <c r="BN877" s="15">
        <v>880600.0</v>
      </c>
      <c r="BO877" s="15">
        <v>563700.0</v>
      </c>
      <c r="BP877" s="15">
        <v>478370.0</v>
      </c>
      <c r="BQ877" s="15">
        <v>290180.0</v>
      </c>
      <c r="BR877" s="15">
        <v>685700.0</v>
      </c>
      <c r="BS877" s="15">
        <v>711700.0</v>
      </c>
      <c r="BT877" s="15">
        <v>476200.0</v>
      </c>
      <c r="BU877" s="15">
        <v>417200.0</v>
      </c>
      <c r="BV877" s="15">
        <v>306820.0</v>
      </c>
      <c r="BW877" s="15">
        <v>2220000.0</v>
      </c>
      <c r="BX877" s="15">
        <v>2210000.0</v>
      </c>
      <c r="BY877" s="15">
        <v>3360000.0</v>
      </c>
      <c r="BZ877" s="15">
        <v>2310000.0</v>
      </c>
      <c r="CA877" s="15">
        <v>3100000.0</v>
      </c>
      <c r="CB877" s="15">
        <v>995600.0</v>
      </c>
      <c r="CC877" s="15">
        <v>996700.0</v>
      </c>
      <c r="CD877" s="15">
        <v>767900.0</v>
      </c>
      <c r="CE877" s="15">
        <v>683340.0</v>
      </c>
      <c r="CF877" s="15">
        <v>609400.0</v>
      </c>
      <c r="CG877" s="15">
        <v>6660000.0</v>
      </c>
      <c r="CH877" s="15">
        <v>6660000.0</v>
      </c>
      <c r="CI877" s="15">
        <v>2300000.0</v>
      </c>
      <c r="CJ877" s="15">
        <v>2300000.0</v>
      </c>
      <c r="CK877" s="15">
        <v>1010000.0</v>
      </c>
      <c r="CL877" s="15">
        <v>1.743E7</v>
      </c>
      <c r="CM877" s="15">
        <v>1.835E7</v>
      </c>
      <c r="CN877" s="15">
        <v>8260000.0</v>
      </c>
      <c r="CO877" s="15">
        <v>7690000.0</v>
      </c>
      <c r="CP877" s="15">
        <v>5540000.0</v>
      </c>
      <c r="CQ877" s="15">
        <v>246800.0</v>
      </c>
      <c r="CR877" s="15">
        <v>226400.0</v>
      </c>
      <c r="CS877" s="15">
        <v>144100.0</v>
      </c>
      <c r="CT877" s="15">
        <v>149230.0</v>
      </c>
      <c r="CU877" s="15">
        <v>79310.0</v>
      </c>
      <c r="CV877" s="15">
        <v>1640000.0</v>
      </c>
      <c r="CW877" s="15">
        <v>44500.0</v>
      </c>
      <c r="CX877" s="15">
        <v>0.0</v>
      </c>
      <c r="CY877" s="16">
        <v>0.0</v>
      </c>
      <c r="CZ877" s="16">
        <v>0.0</v>
      </c>
      <c r="DA877" s="15">
        <v>0.0</v>
      </c>
      <c r="DB877" s="15">
        <v>1640000.0</v>
      </c>
      <c r="DC877" s="15">
        <v>2370000.0</v>
      </c>
      <c r="DD877" s="15">
        <v>2020000.0</v>
      </c>
      <c r="DE877" s="15">
        <v>704450.0</v>
      </c>
      <c r="DF877" s="15">
        <v>1.184E7</v>
      </c>
      <c r="DG877" s="15">
        <v>1.306E7</v>
      </c>
      <c r="DH877" s="15">
        <v>4980000.0</v>
      </c>
      <c r="DI877" s="15">
        <v>4420000.0</v>
      </c>
      <c r="DJ877" s="15">
        <v>3390000.0</v>
      </c>
      <c r="DK877" s="15">
        <v>0.0</v>
      </c>
      <c r="DL877" s="15">
        <v>0.0</v>
      </c>
      <c r="DM877" s="15">
        <v>0.0</v>
      </c>
      <c r="DN877" s="15">
        <v>107460.0</v>
      </c>
      <c r="DO877" s="15">
        <v>118550.0</v>
      </c>
      <c r="DP877" s="15">
        <v>442030.0</v>
      </c>
      <c r="DQ877" s="15">
        <v>1.344E7</v>
      </c>
      <c r="DR877" s="15">
        <v>1.26E7</v>
      </c>
      <c r="DS877" s="15">
        <v>1.059E7</v>
      </c>
      <c r="DT877" s="15">
        <v>1.293E7</v>
      </c>
      <c r="DU877" s="16">
        <v>0.0</v>
      </c>
      <c r="DV877" s="15">
        <v>0.0</v>
      </c>
      <c r="DW877" s="15">
        <v>0.0</v>
      </c>
      <c r="DX877" s="15">
        <v>0.0</v>
      </c>
      <c r="DY877" s="15">
        <v>0.0</v>
      </c>
      <c r="DZ877" s="15">
        <v>5590000.0</v>
      </c>
      <c r="EA877" s="15">
        <v>5290000.0</v>
      </c>
      <c r="EB877" s="15">
        <v>3280000.0</v>
      </c>
      <c r="EC877" s="15">
        <v>3270000.0</v>
      </c>
      <c r="ED877" s="15">
        <v>2150000.0</v>
      </c>
      <c r="EE877" s="17">
        <v>0.08</v>
      </c>
      <c r="EF877" s="17">
        <v>0.126</v>
      </c>
      <c r="EG877" s="17">
        <v>0.081</v>
      </c>
      <c r="EH877" s="17">
        <v>0.04</v>
      </c>
    </row>
    <row r="878">
      <c r="A878" s="9">
        <f t="shared" si="2"/>
        <v>876</v>
      </c>
      <c r="B878" s="32" t="s">
        <v>1013</v>
      </c>
      <c r="C878" s="11">
        <v>2.4733E8</v>
      </c>
      <c r="D878" s="11">
        <v>2.349E8</v>
      </c>
      <c r="E878" s="11">
        <v>2.3105E8</v>
      </c>
      <c r="F878" s="11">
        <v>2.1432E8</v>
      </c>
      <c r="G878" s="11">
        <v>2.0836E8</v>
      </c>
      <c r="H878" s="11">
        <v>1.9853E8</v>
      </c>
      <c r="I878" s="11">
        <v>1.9088E8</v>
      </c>
      <c r="J878" s="11">
        <v>1.14E7</v>
      </c>
      <c r="K878" s="11">
        <v>1.076E7</v>
      </c>
      <c r="L878" s="11">
        <v>1.039E7</v>
      </c>
      <c r="M878" s="11">
        <v>1.069E7</v>
      </c>
      <c r="N878" s="11">
        <v>1.094E7</v>
      </c>
      <c r="O878" s="11">
        <v>8390000.0</v>
      </c>
      <c r="P878" s="11">
        <v>7680000.0</v>
      </c>
      <c r="Q878" s="11">
        <v>7470000.0</v>
      </c>
      <c r="R878" s="11">
        <v>7330000.0</v>
      </c>
      <c r="S878" s="11">
        <v>7090000.0</v>
      </c>
      <c r="T878" s="11">
        <v>96000.0</v>
      </c>
      <c r="U878" s="11">
        <v>71000.0</v>
      </c>
      <c r="V878" s="11">
        <v>125000.0</v>
      </c>
      <c r="W878" s="11">
        <v>341000.0</v>
      </c>
      <c r="X878" s="11">
        <v>392000.0</v>
      </c>
      <c r="Y878" s="11">
        <v>1040000.0</v>
      </c>
      <c r="Z878" s="11">
        <v>886000.0</v>
      </c>
      <c r="AA878" s="11">
        <v>494000.0</v>
      </c>
      <c r="AB878" s="11">
        <v>3100000.0</v>
      </c>
      <c r="AC878" s="12"/>
      <c r="AD878" s="11">
        <v>1140000.0</v>
      </c>
      <c r="AE878" s="11">
        <v>610000.0</v>
      </c>
      <c r="AF878" s="11">
        <v>239000.0</v>
      </c>
      <c r="AG878" s="11">
        <v>6890000.0</v>
      </c>
      <c r="AH878" s="11">
        <v>3250000.0</v>
      </c>
      <c r="AI878" s="11">
        <v>3930000.0</v>
      </c>
      <c r="AJ878" s="11">
        <v>4030000.0</v>
      </c>
      <c r="AK878" s="11">
        <v>3870000.0</v>
      </c>
      <c r="AL878" s="11">
        <v>4270000.0</v>
      </c>
      <c r="AM878" s="11">
        <v>4740000.0</v>
      </c>
      <c r="AN878" s="11">
        <v>906000.0</v>
      </c>
      <c r="AO878" s="11">
        <v>33000.0</v>
      </c>
      <c r="AP878" s="11">
        <v>62000.0</v>
      </c>
      <c r="AQ878" s="11">
        <v>5190000.0</v>
      </c>
      <c r="AR878" s="11">
        <v>2290000.0</v>
      </c>
      <c r="AS878" s="11">
        <v>4750000.0</v>
      </c>
      <c r="AT878" s="11">
        <v>4040000.0</v>
      </c>
      <c r="AU878" s="11">
        <v>4350000.0</v>
      </c>
      <c r="AV878" s="11">
        <v>4740000.0</v>
      </c>
      <c r="AW878" s="11">
        <v>3670000.0</v>
      </c>
      <c r="AX878" s="12"/>
      <c r="AY878" s="12"/>
      <c r="AZ878" s="12"/>
      <c r="BA878" s="12"/>
      <c r="BB878" s="12"/>
      <c r="BC878" s="13"/>
      <c r="BD878" s="13"/>
      <c r="BE878" s="13"/>
      <c r="BF878" s="13"/>
      <c r="BG878" s="13"/>
      <c r="BH878" s="11">
        <v>4020000.0</v>
      </c>
      <c r="BI878" s="11">
        <v>2980000.0</v>
      </c>
      <c r="BJ878" s="11">
        <v>2670000.0</v>
      </c>
      <c r="BK878" s="11">
        <v>2980000.0</v>
      </c>
      <c r="BL878" s="11">
        <v>4050000.0</v>
      </c>
      <c r="BM878" s="11">
        <v>1.995E7</v>
      </c>
      <c r="BN878" s="11">
        <v>1.825E7</v>
      </c>
      <c r="BO878" s="11">
        <v>1.771E7</v>
      </c>
      <c r="BP878" s="11">
        <v>1.822E7</v>
      </c>
      <c r="BQ878" s="11">
        <v>1.798E7</v>
      </c>
      <c r="BR878" s="11">
        <v>1.673E7</v>
      </c>
      <c r="BS878" s="11">
        <v>1.671E7</v>
      </c>
      <c r="BT878" s="11">
        <v>1.631E7</v>
      </c>
      <c r="BU878" s="11">
        <v>1.528E7</v>
      </c>
      <c r="BV878" s="11">
        <v>1.534E7</v>
      </c>
      <c r="BW878" s="11">
        <v>4.222E7</v>
      </c>
      <c r="BX878" s="11">
        <v>3.847E7</v>
      </c>
      <c r="BY878" s="11">
        <v>3.714E7</v>
      </c>
      <c r="BZ878" s="11">
        <v>3.695E7</v>
      </c>
      <c r="CA878" s="11">
        <v>3.844E7</v>
      </c>
      <c r="CB878" s="11">
        <v>4250000.0</v>
      </c>
      <c r="CC878" s="11">
        <v>2550000.0</v>
      </c>
      <c r="CD878" s="11">
        <v>2460000.0</v>
      </c>
      <c r="CE878" s="11">
        <v>2290000.0</v>
      </c>
      <c r="CF878" s="11">
        <v>2280000.0</v>
      </c>
      <c r="CG878" s="11">
        <v>9360000.0</v>
      </c>
      <c r="CH878" s="11">
        <v>9360000.0</v>
      </c>
      <c r="CI878" s="11">
        <v>1.092E7</v>
      </c>
      <c r="CJ878" s="11">
        <v>1.059E7</v>
      </c>
      <c r="CK878" s="11">
        <v>9790000.0</v>
      </c>
      <c r="CL878" s="11">
        <v>6.125E7</v>
      </c>
      <c r="CM878" s="11">
        <v>5.967E7</v>
      </c>
      <c r="CN878" s="11">
        <v>6.038E7</v>
      </c>
      <c r="CO878" s="11">
        <v>6.097E7</v>
      </c>
      <c r="CP878" s="11">
        <v>5.652E7</v>
      </c>
      <c r="CQ878" s="11">
        <v>3.72E7</v>
      </c>
      <c r="CR878" s="11">
        <v>3.385E7</v>
      </c>
      <c r="CS878" s="11">
        <v>3.218E7</v>
      </c>
      <c r="CT878" s="11">
        <v>3.102E7</v>
      </c>
      <c r="CU878" s="11">
        <v>2.859E7</v>
      </c>
      <c r="CV878" s="11">
        <v>4.262E7</v>
      </c>
      <c r="CW878" s="11">
        <v>354000.0</v>
      </c>
      <c r="CX878" s="13"/>
      <c r="CY878" s="13"/>
      <c r="CZ878" s="11">
        <v>183000.0</v>
      </c>
      <c r="DA878" s="11">
        <v>7000.0</v>
      </c>
      <c r="DB878" s="11">
        <v>4.262E7</v>
      </c>
      <c r="DC878" s="11">
        <v>3.763E7</v>
      </c>
      <c r="DD878" s="11">
        <v>3.669E7</v>
      </c>
      <c r="DE878" s="11">
        <v>3.561E7</v>
      </c>
      <c r="DF878" s="11">
        <v>5.454E7</v>
      </c>
      <c r="DG878" s="11">
        <v>4.999E7</v>
      </c>
      <c r="DH878" s="11">
        <v>4.887E7</v>
      </c>
      <c r="DI878" s="11">
        <v>4.837E7</v>
      </c>
      <c r="DJ878" s="11">
        <v>4.611E7</v>
      </c>
      <c r="DK878" s="12"/>
      <c r="DL878" s="11">
        <v>3510000.0</v>
      </c>
      <c r="DM878" s="11">
        <v>3730000.0</v>
      </c>
      <c r="DN878" s="11">
        <v>5360000.0</v>
      </c>
      <c r="DO878" s="12"/>
      <c r="DP878" s="11">
        <v>8000000.0</v>
      </c>
      <c r="DQ878" s="11">
        <v>7270000.0</v>
      </c>
      <c r="DR878" s="11">
        <v>6750000.0</v>
      </c>
      <c r="DS878" s="11">
        <v>7310000.0</v>
      </c>
      <c r="DT878" s="11">
        <v>6500000.0</v>
      </c>
      <c r="DU878" s="13"/>
      <c r="DV878" s="12"/>
      <c r="DW878" s="12"/>
      <c r="DX878" s="13"/>
      <c r="DY878" s="13"/>
      <c r="DZ878" s="11">
        <v>5090000.0</v>
      </c>
      <c r="EA878" s="11">
        <v>8090000.0</v>
      </c>
      <c r="EB878" s="11">
        <v>9800000.0</v>
      </c>
      <c r="EC878" s="11">
        <v>1.11E7</v>
      </c>
      <c r="ED878" s="11">
        <v>8920000.0</v>
      </c>
      <c r="EE878" s="14">
        <v>0.045</v>
      </c>
      <c r="EF878" s="14">
        <v>0.065</v>
      </c>
      <c r="EG878" s="14">
        <v>0.041</v>
      </c>
      <c r="EH878" s="14">
        <v>0.053</v>
      </c>
    </row>
    <row r="879">
      <c r="A879" s="9">
        <f t="shared" si="2"/>
        <v>877</v>
      </c>
      <c r="B879" s="22" t="s">
        <v>1014</v>
      </c>
      <c r="C879" s="11">
        <v>32850.0</v>
      </c>
      <c r="D879" s="11">
        <v>29030.0</v>
      </c>
      <c r="E879" s="11">
        <v>34510.0</v>
      </c>
      <c r="F879" s="11">
        <v>28270.0</v>
      </c>
      <c r="G879" s="11">
        <v>32100.0</v>
      </c>
      <c r="H879" s="11">
        <v>21770.0</v>
      </c>
      <c r="I879" s="12"/>
      <c r="J879" s="12"/>
      <c r="K879" s="12"/>
      <c r="L879" s="12"/>
      <c r="M879" s="12"/>
      <c r="N879" s="11">
        <v>-728.0</v>
      </c>
      <c r="O879" s="11">
        <v>95060.0</v>
      </c>
      <c r="P879" s="11">
        <v>120690.0</v>
      </c>
      <c r="Q879" s="11">
        <v>116240.0</v>
      </c>
      <c r="R879" s="11">
        <v>110400.0</v>
      </c>
      <c r="S879" s="11">
        <v>54130.0</v>
      </c>
      <c r="T879" s="11">
        <v>80140.0</v>
      </c>
      <c r="U879" s="11">
        <v>95960.0</v>
      </c>
      <c r="V879" s="11">
        <v>89460.0</v>
      </c>
      <c r="W879" s="11">
        <v>81990.0</v>
      </c>
      <c r="X879" s="11">
        <v>38100.0</v>
      </c>
      <c r="Y879" s="11">
        <v>-71880.0</v>
      </c>
      <c r="Z879" s="12"/>
      <c r="AA879" s="12"/>
      <c r="AB879" s="12"/>
      <c r="AC879" s="11">
        <v>-55000.0</v>
      </c>
      <c r="AD879" s="11">
        <v>-70280.0</v>
      </c>
      <c r="AE879" s="11">
        <v>-98940.0</v>
      </c>
      <c r="AF879" s="11">
        <v>-89380.0</v>
      </c>
      <c r="AG879" s="11">
        <v>-91580.0</v>
      </c>
      <c r="AH879" s="11">
        <v>-54780.0</v>
      </c>
      <c r="AI879" s="11">
        <v>-60550.0</v>
      </c>
      <c r="AJ879" s="11">
        <v>-92420.0</v>
      </c>
      <c r="AK879" s="11">
        <v>-84140.0</v>
      </c>
      <c r="AL879" s="11">
        <v>-88630.0</v>
      </c>
      <c r="AM879" s="11">
        <v>-54130.0</v>
      </c>
      <c r="AN879" s="11">
        <v>-70280.0</v>
      </c>
      <c r="AO879" s="11">
        <v>-98940.0</v>
      </c>
      <c r="AP879" s="11">
        <v>-89380.0</v>
      </c>
      <c r="AQ879" s="11">
        <v>-91580.0</v>
      </c>
      <c r="AR879" s="11">
        <v>-54780.0</v>
      </c>
      <c r="AS879" s="11">
        <v>-72730.0</v>
      </c>
      <c r="AT879" s="11">
        <v>-62850.0</v>
      </c>
      <c r="AU879" s="11">
        <v>-75520.0</v>
      </c>
      <c r="AV879" s="11">
        <v>43920.0</v>
      </c>
      <c r="AW879" s="11">
        <v>-40840.0</v>
      </c>
      <c r="AX879" s="11">
        <v>-1000.0</v>
      </c>
      <c r="AY879" s="11">
        <v>-1940.0</v>
      </c>
      <c r="AZ879" s="11">
        <v>-4680.0</v>
      </c>
      <c r="BA879" s="11">
        <v>-21490.0</v>
      </c>
      <c r="BB879" s="11">
        <v>-4360.0</v>
      </c>
      <c r="BC879" s="12"/>
      <c r="BD879" s="12"/>
      <c r="BE879" s="12"/>
      <c r="BF879" s="12"/>
      <c r="BG879" s="12"/>
      <c r="BH879" s="11">
        <v>94820.0</v>
      </c>
      <c r="BI879" s="11">
        <v>85820.0</v>
      </c>
      <c r="BJ879" s="11">
        <v>149980.0</v>
      </c>
      <c r="BK879" s="11">
        <v>193240.0</v>
      </c>
      <c r="BL879" s="11">
        <v>205080.0</v>
      </c>
      <c r="BM879" s="11">
        <v>1790.0</v>
      </c>
      <c r="BN879" s="12"/>
      <c r="BO879" s="12"/>
      <c r="BP879" s="12"/>
      <c r="BQ879" s="12"/>
      <c r="BR879" s="12"/>
      <c r="BS879" s="12"/>
      <c r="BT879" s="12"/>
      <c r="BU879" s="12"/>
      <c r="BV879" s="12"/>
      <c r="BW879" s="11">
        <v>100190.0</v>
      </c>
      <c r="BX879" s="11">
        <v>92670.0</v>
      </c>
      <c r="BY879" s="11">
        <v>155080.0</v>
      </c>
      <c r="BZ879" s="11">
        <v>198370.0</v>
      </c>
      <c r="CA879" s="11">
        <v>207610.0</v>
      </c>
      <c r="CB879" s="11">
        <v>30850.0</v>
      </c>
      <c r="CC879" s="11">
        <v>26290.0</v>
      </c>
      <c r="CD879" s="11">
        <v>32930.0</v>
      </c>
      <c r="CE879" s="11">
        <v>36130.0</v>
      </c>
      <c r="CF879" s="11">
        <v>7750.0</v>
      </c>
      <c r="CG879" s="12"/>
      <c r="CH879" s="12"/>
      <c r="CI879" s="12"/>
      <c r="CJ879" s="12"/>
      <c r="CK879" s="12"/>
      <c r="CL879" s="11">
        <v>132440.0</v>
      </c>
      <c r="CM879" s="11">
        <v>120470.0</v>
      </c>
      <c r="CN879" s="11">
        <v>189520.0</v>
      </c>
      <c r="CO879" s="11">
        <v>272650.0</v>
      </c>
      <c r="CP879" s="11">
        <v>216900.0</v>
      </c>
      <c r="CQ879" s="11">
        <v>4860.0</v>
      </c>
      <c r="CR879" s="11">
        <v>6420.0</v>
      </c>
      <c r="CS879" s="11">
        <v>7030.0</v>
      </c>
      <c r="CT879" s="11">
        <v>7590.0</v>
      </c>
      <c r="CU879" s="12"/>
      <c r="CV879" s="11">
        <v>45990.0</v>
      </c>
      <c r="CW879" s="11">
        <v>4460.0</v>
      </c>
      <c r="CX879" s="12"/>
      <c r="CY879" s="12"/>
      <c r="CZ879" s="12"/>
      <c r="DA879" s="12"/>
      <c r="DB879" s="11">
        <v>45990.0</v>
      </c>
      <c r="DC879" s="11">
        <v>42040.0</v>
      </c>
      <c r="DD879" s="11">
        <v>31630.0</v>
      </c>
      <c r="DE879" s="11">
        <v>30460.0</v>
      </c>
      <c r="DF879" s="11">
        <v>180760.0</v>
      </c>
      <c r="DG879" s="11">
        <v>168520.0</v>
      </c>
      <c r="DH879" s="11">
        <v>128820.0</v>
      </c>
      <c r="DI879" s="11">
        <v>140020.0</v>
      </c>
      <c r="DJ879" s="11">
        <v>11510.0</v>
      </c>
      <c r="DK879" s="11">
        <v>1400.0</v>
      </c>
      <c r="DL879" s="11">
        <v>1510.0</v>
      </c>
      <c r="DM879" s="11">
        <v>1510.0</v>
      </c>
      <c r="DN879" s="11">
        <v>38150.0</v>
      </c>
      <c r="DO879" s="11">
        <v>1540.0</v>
      </c>
      <c r="DP879" s="11">
        <v>40320.0</v>
      </c>
      <c r="DQ879" s="12"/>
      <c r="DR879" s="12"/>
      <c r="DS879" s="12"/>
      <c r="DT879" s="12"/>
      <c r="DU879" s="13"/>
      <c r="DV879" s="12"/>
      <c r="DW879" s="12"/>
      <c r="DX879" s="13"/>
      <c r="DY879" s="13"/>
      <c r="DZ879" s="11">
        <v>-48320.0</v>
      </c>
      <c r="EA879" s="11">
        <v>-48050.0</v>
      </c>
      <c r="EB879" s="11">
        <v>60700.0</v>
      </c>
      <c r="EC879" s="11">
        <v>132630.0</v>
      </c>
      <c r="ED879" s="11">
        <v>205390.0</v>
      </c>
      <c r="EE879" s="14">
        <v>0.746</v>
      </c>
      <c r="EF879" s="14">
        <v>1.233</v>
      </c>
      <c r="EG879" s="14">
        <v>-0.077</v>
      </c>
      <c r="EH879" s="14">
        <v>0.078</v>
      </c>
    </row>
    <row r="880">
      <c r="A880" s="9">
        <f t="shared" si="2"/>
        <v>878</v>
      </c>
      <c r="B880" s="10" t="s">
        <v>1015</v>
      </c>
      <c r="C880" s="12"/>
      <c r="D880" s="12"/>
      <c r="E880" s="15">
        <v>249170.0</v>
      </c>
      <c r="F880" s="15">
        <v>240320.0</v>
      </c>
      <c r="G880" s="15">
        <v>230730.0</v>
      </c>
      <c r="H880" s="15">
        <v>217030.0</v>
      </c>
      <c r="I880" s="15">
        <v>202250.0</v>
      </c>
      <c r="J880" s="15">
        <v>112000.0</v>
      </c>
      <c r="K880" s="15">
        <v>108640.0</v>
      </c>
      <c r="L880" s="15">
        <v>103390.0</v>
      </c>
      <c r="M880" s="15">
        <v>96960.0</v>
      </c>
      <c r="N880" s="15">
        <v>87340.0</v>
      </c>
      <c r="O880" s="15">
        <v>69310.0</v>
      </c>
      <c r="P880" s="15">
        <v>65800.0</v>
      </c>
      <c r="Q880" s="15">
        <v>62720.0</v>
      </c>
      <c r="R880" s="15">
        <v>57730.0</v>
      </c>
      <c r="S880" s="15">
        <v>54780.0</v>
      </c>
      <c r="T880" s="15">
        <v>0.0</v>
      </c>
      <c r="U880" s="15">
        <v>0.0</v>
      </c>
      <c r="V880" s="15">
        <v>0.0</v>
      </c>
      <c r="W880" s="15">
        <v>0.0</v>
      </c>
      <c r="X880" s="15">
        <v>0.0</v>
      </c>
      <c r="Y880" s="15">
        <v>42390.0</v>
      </c>
      <c r="Z880" s="15">
        <v>0.0</v>
      </c>
      <c r="AA880" s="15">
        <v>0.0</v>
      </c>
      <c r="AB880" s="15">
        <v>0.0</v>
      </c>
      <c r="AC880" s="15">
        <v>0.0</v>
      </c>
      <c r="AD880" s="15">
        <v>39580.0</v>
      </c>
      <c r="AE880" s="15">
        <v>42650.0</v>
      </c>
      <c r="AF880" s="15">
        <v>39700.0</v>
      </c>
      <c r="AG880" s="15">
        <v>37930.0</v>
      </c>
      <c r="AH880" s="15">
        <v>31880.0</v>
      </c>
      <c r="AI880" s="15">
        <v>57560.0</v>
      </c>
      <c r="AJ880" s="15">
        <v>57460.0</v>
      </c>
      <c r="AK880" s="15">
        <v>55800.0</v>
      </c>
      <c r="AL880" s="15">
        <v>54060.0</v>
      </c>
      <c r="AM880" s="15">
        <v>48500.0</v>
      </c>
      <c r="AN880" s="15">
        <v>31820.0</v>
      </c>
      <c r="AO880" s="15">
        <v>34100.0</v>
      </c>
      <c r="AP880" s="15">
        <v>25540.0</v>
      </c>
      <c r="AQ880" s="15">
        <v>24570.0</v>
      </c>
      <c r="AR880" s="15">
        <v>20660.0</v>
      </c>
      <c r="AS880" s="15">
        <v>63250.0</v>
      </c>
      <c r="AT880" s="15">
        <v>58760.0</v>
      </c>
      <c r="AU880" s="15">
        <v>49450.0</v>
      </c>
      <c r="AV880" s="15">
        <v>43730.0</v>
      </c>
      <c r="AW880" s="15">
        <v>38240.0</v>
      </c>
      <c r="AX880" s="15">
        <v>-125370.0</v>
      </c>
      <c r="AY880" s="15">
        <v>-137070.0</v>
      </c>
      <c r="AZ880" s="15">
        <v>-49990.0</v>
      </c>
      <c r="BA880" s="15">
        <v>-26120.0</v>
      </c>
      <c r="BB880" s="15">
        <v>-37680.0</v>
      </c>
      <c r="BC880" s="16">
        <v>0.0</v>
      </c>
      <c r="BD880" s="16">
        <v>0.0</v>
      </c>
      <c r="BE880" s="16">
        <v>0.0</v>
      </c>
      <c r="BF880" s="16">
        <v>0.0</v>
      </c>
      <c r="BG880" s="16">
        <v>0.0</v>
      </c>
      <c r="BH880" s="15">
        <v>60540.0</v>
      </c>
      <c r="BI880" s="15">
        <v>30460.0</v>
      </c>
      <c r="BJ880" s="15">
        <v>29150.0</v>
      </c>
      <c r="BK880" s="15">
        <v>26380.0</v>
      </c>
      <c r="BL880" s="15">
        <v>21160.0</v>
      </c>
      <c r="BM880" s="15">
        <v>5640.0</v>
      </c>
      <c r="BN880" s="15">
        <v>7020.0</v>
      </c>
      <c r="BO880" s="15">
        <v>8930.0</v>
      </c>
      <c r="BP880" s="15">
        <v>5440.0</v>
      </c>
      <c r="BQ880" s="15">
        <v>4340.0</v>
      </c>
      <c r="BR880" s="15">
        <v>6740.0</v>
      </c>
      <c r="BS880" s="15">
        <v>3690.0</v>
      </c>
      <c r="BT880" s="15">
        <v>3340.0</v>
      </c>
      <c r="BU880" s="15">
        <v>3100.0</v>
      </c>
      <c r="BV880" s="15">
        <v>2880.0</v>
      </c>
      <c r="BW880" s="15">
        <v>79160.0</v>
      </c>
      <c r="BX880" s="15">
        <v>46680.0</v>
      </c>
      <c r="BY880" s="15">
        <v>46030.0</v>
      </c>
      <c r="BZ880" s="15">
        <v>39410.0</v>
      </c>
      <c r="CA880" s="15">
        <v>31790.0</v>
      </c>
      <c r="CB880" s="15">
        <v>501480.0</v>
      </c>
      <c r="CC880" s="15">
        <v>374320.0</v>
      </c>
      <c r="CD880" s="15">
        <v>250710.0</v>
      </c>
      <c r="CE880" s="15">
        <v>214900.0</v>
      </c>
      <c r="CF880" s="15">
        <v>203150.0</v>
      </c>
      <c r="CG880" s="15">
        <v>25110.0</v>
      </c>
      <c r="CH880" s="15">
        <v>25110.0</v>
      </c>
      <c r="CI880" s="15">
        <v>25110.0</v>
      </c>
      <c r="CJ880" s="15">
        <v>25110.0</v>
      </c>
      <c r="CK880" s="15">
        <v>25110.0</v>
      </c>
      <c r="CL880" s="15">
        <v>616650.0</v>
      </c>
      <c r="CM880" s="15">
        <v>457080.0</v>
      </c>
      <c r="CN880" s="15">
        <v>334200.0</v>
      </c>
      <c r="CO880" s="15">
        <v>299000.0</v>
      </c>
      <c r="CP880" s="15">
        <v>274850.0</v>
      </c>
      <c r="CQ880" s="15">
        <v>24570.0</v>
      </c>
      <c r="CR880" s="15">
        <v>28330.0</v>
      </c>
      <c r="CS880" s="15">
        <v>14010.0</v>
      </c>
      <c r="CT880" s="15">
        <v>11330.0</v>
      </c>
      <c r="CU880" s="15">
        <v>8150.0</v>
      </c>
      <c r="CV880" s="15">
        <v>79470.0</v>
      </c>
      <c r="CW880" s="15">
        <v>0.0</v>
      </c>
      <c r="CX880" s="16">
        <v>0.0</v>
      </c>
      <c r="CY880" s="16">
        <v>0.0</v>
      </c>
      <c r="CZ880" s="16">
        <v>0.0</v>
      </c>
      <c r="DA880" s="15">
        <v>0.0</v>
      </c>
      <c r="DB880" s="15">
        <v>79470.0</v>
      </c>
      <c r="DC880" s="15">
        <v>59450.0</v>
      </c>
      <c r="DD880" s="15">
        <v>39410.0</v>
      </c>
      <c r="DE880" s="15">
        <v>35120.0</v>
      </c>
      <c r="DF880" s="15">
        <v>275450.0</v>
      </c>
      <c r="DG880" s="15">
        <v>155900.0</v>
      </c>
      <c r="DH880" s="15">
        <v>67720.0</v>
      </c>
      <c r="DI880" s="15">
        <v>65150.0</v>
      </c>
      <c r="DJ880" s="15">
        <v>70930.0</v>
      </c>
      <c r="DK880" s="15">
        <v>0.0</v>
      </c>
      <c r="DL880" s="15">
        <v>0.0</v>
      </c>
      <c r="DM880" s="15">
        <v>0.0</v>
      </c>
      <c r="DN880" s="15">
        <v>0.0</v>
      </c>
      <c r="DO880" s="15">
        <v>0.0</v>
      </c>
      <c r="DP880" s="15">
        <v>190210.0</v>
      </c>
      <c r="DQ880" s="15">
        <v>94500.0</v>
      </c>
      <c r="DR880" s="15">
        <v>26200.0</v>
      </c>
      <c r="DS880" s="15">
        <v>26200.0</v>
      </c>
      <c r="DT880" s="15">
        <v>0.0</v>
      </c>
      <c r="DU880" s="16">
        <v>0.0</v>
      </c>
      <c r="DV880" s="15">
        <v>0.0</v>
      </c>
      <c r="DW880" s="15">
        <v>0.0</v>
      </c>
      <c r="DX880" s="15">
        <v>0.0</v>
      </c>
      <c r="DY880" s="15">
        <v>0.0</v>
      </c>
      <c r="DZ880" s="15">
        <v>341200.0</v>
      </c>
      <c r="EA880" s="15">
        <v>301180.0</v>
      </c>
      <c r="EB880" s="15">
        <v>266470.0</v>
      </c>
      <c r="EC880" s="15">
        <v>233850.0</v>
      </c>
      <c r="ED880" s="15">
        <v>203920.0</v>
      </c>
      <c r="EE880" s="23"/>
      <c r="EF880" s="23"/>
      <c r="EG880" s="23"/>
      <c r="EH880" s="23"/>
    </row>
    <row r="881">
      <c r="A881" s="9">
        <f t="shared" si="2"/>
        <v>879</v>
      </c>
      <c r="B881" s="32" t="s">
        <v>1016</v>
      </c>
      <c r="C881" s="11">
        <v>2300000.0</v>
      </c>
      <c r="D881" s="11">
        <v>2610000.0</v>
      </c>
      <c r="E881" s="11">
        <v>3510000.0</v>
      </c>
      <c r="F881" s="11">
        <v>3450000.0</v>
      </c>
      <c r="G881" s="11">
        <v>3460000.0</v>
      </c>
      <c r="H881" s="11">
        <v>3180000.0</v>
      </c>
      <c r="I881" s="11">
        <v>2780000.0</v>
      </c>
      <c r="J881" s="11">
        <v>813140.0</v>
      </c>
      <c r="K881" s="11">
        <v>835750.0</v>
      </c>
      <c r="L881" s="11">
        <v>897180.0</v>
      </c>
      <c r="M881" s="11">
        <v>944260.0</v>
      </c>
      <c r="N881" s="11">
        <v>863780.0</v>
      </c>
      <c r="O881" s="11">
        <v>404640.0</v>
      </c>
      <c r="P881" s="11">
        <v>403930.0</v>
      </c>
      <c r="Q881" s="11">
        <v>417110.0</v>
      </c>
      <c r="R881" s="11">
        <v>357270.0</v>
      </c>
      <c r="S881" s="11">
        <v>287820.0</v>
      </c>
      <c r="T881" s="12"/>
      <c r="U881" s="12"/>
      <c r="V881" s="12"/>
      <c r="W881" s="12"/>
      <c r="X881" s="12"/>
      <c r="Y881" s="12"/>
      <c r="Z881" s="12"/>
      <c r="AA881" s="12"/>
      <c r="AB881" s="11">
        <v>571690.0</v>
      </c>
      <c r="AC881" s="11">
        <v>557870.0</v>
      </c>
      <c r="AD881" s="12"/>
      <c r="AE881" s="11">
        <v>355060.0</v>
      </c>
      <c r="AF881" s="11">
        <v>410420.0</v>
      </c>
      <c r="AG881" s="11">
        <v>513800.0</v>
      </c>
      <c r="AH881" s="11">
        <v>539730.0</v>
      </c>
      <c r="AI881" s="11">
        <v>487360.0</v>
      </c>
      <c r="AJ881" s="11">
        <v>515650.0</v>
      </c>
      <c r="AK881" s="11">
        <v>582960.0</v>
      </c>
      <c r="AL881" s="11">
        <v>676250.0</v>
      </c>
      <c r="AM881" s="11">
        <v>640200.0</v>
      </c>
      <c r="AN881" s="12"/>
      <c r="AO881" s="11">
        <v>258610.0</v>
      </c>
      <c r="AP881" s="11">
        <v>320370.0</v>
      </c>
      <c r="AQ881" s="11">
        <v>324910.0</v>
      </c>
      <c r="AR881" s="11">
        <v>336320.0</v>
      </c>
      <c r="AS881" s="11">
        <v>346640.0</v>
      </c>
      <c r="AT881" s="11">
        <v>289930.0</v>
      </c>
      <c r="AU881" s="11">
        <v>511380.0</v>
      </c>
      <c r="AV881" s="11">
        <v>443780.0</v>
      </c>
      <c r="AW881" s="11">
        <v>368700.0</v>
      </c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1">
        <v>187280.0</v>
      </c>
      <c r="BI881" s="11">
        <v>67410.0</v>
      </c>
      <c r="BJ881" s="11">
        <v>70490.0</v>
      </c>
      <c r="BK881" s="11">
        <v>66980.0</v>
      </c>
      <c r="BL881" s="11">
        <v>60430.0</v>
      </c>
      <c r="BM881" s="11">
        <v>498870.0</v>
      </c>
      <c r="BN881" s="11">
        <v>506720.0</v>
      </c>
      <c r="BO881" s="11">
        <v>504000.0</v>
      </c>
      <c r="BP881" s="11">
        <v>495280.0</v>
      </c>
      <c r="BQ881" s="11">
        <v>444740.0</v>
      </c>
      <c r="BR881" s="12"/>
      <c r="BS881" s="12"/>
      <c r="BT881" s="12"/>
      <c r="BU881" s="12"/>
      <c r="BV881" s="12"/>
      <c r="BW881" s="11">
        <v>731510.0</v>
      </c>
      <c r="BX881" s="11">
        <v>659980.0</v>
      </c>
      <c r="BY881" s="11">
        <v>627240.0</v>
      </c>
      <c r="BZ881" s="11">
        <v>587130.0</v>
      </c>
      <c r="CA881" s="11">
        <v>527770.0</v>
      </c>
      <c r="CB881" s="11">
        <v>177320.0</v>
      </c>
      <c r="CC881" s="11">
        <v>90430.0</v>
      </c>
      <c r="CD881" s="11">
        <v>123540.0</v>
      </c>
      <c r="CE881" s="11">
        <v>103070.0</v>
      </c>
      <c r="CF881" s="11">
        <v>83630.0</v>
      </c>
      <c r="CG881" s="11">
        <v>2710000.0</v>
      </c>
      <c r="CH881" s="11">
        <v>4060000.0</v>
      </c>
      <c r="CI881" s="11">
        <v>4280000.0</v>
      </c>
      <c r="CJ881" s="11">
        <v>3850000.0</v>
      </c>
      <c r="CK881" s="11">
        <v>3370000.0</v>
      </c>
      <c r="CL881" s="11">
        <v>4150000.0</v>
      </c>
      <c r="CM881" s="11">
        <v>5940000.0</v>
      </c>
      <c r="CN881" s="11">
        <v>5870000.0</v>
      </c>
      <c r="CO881" s="11">
        <v>5340000.0</v>
      </c>
      <c r="CP881" s="11">
        <v>4550000.0</v>
      </c>
      <c r="CQ881" s="11">
        <v>39610.0</v>
      </c>
      <c r="CR881" s="11">
        <v>31060.0</v>
      </c>
      <c r="CS881" s="11">
        <v>34630.0</v>
      </c>
      <c r="CT881" s="11">
        <v>28470.0</v>
      </c>
      <c r="CU881" s="11">
        <v>21970.0</v>
      </c>
      <c r="CV881" s="11">
        <v>541820.0</v>
      </c>
      <c r="CW881" s="11">
        <v>23320.0</v>
      </c>
      <c r="CX881" s="13"/>
      <c r="CY881" s="13"/>
      <c r="CZ881" s="13"/>
      <c r="DA881" s="12"/>
      <c r="DB881" s="11">
        <v>541820.0</v>
      </c>
      <c r="DC881" s="11">
        <v>502760.0</v>
      </c>
      <c r="DD881" s="11">
        <v>531430.0</v>
      </c>
      <c r="DE881" s="11">
        <v>448950.0</v>
      </c>
      <c r="DF881" s="11">
        <v>2650000.0</v>
      </c>
      <c r="DG881" s="11">
        <v>2850000.0</v>
      </c>
      <c r="DH881" s="11">
        <v>2800000.0</v>
      </c>
      <c r="DI881" s="11">
        <v>2580000.0</v>
      </c>
      <c r="DJ881" s="11">
        <v>2110000.0</v>
      </c>
      <c r="DK881" s="12"/>
      <c r="DL881" s="11">
        <v>69700.0</v>
      </c>
      <c r="DM881" s="11">
        <v>100680.0</v>
      </c>
      <c r="DN881" s="11">
        <v>78980.0</v>
      </c>
      <c r="DO881" s="11">
        <v>63290.0</v>
      </c>
      <c r="DP881" s="11">
        <v>1800000.0</v>
      </c>
      <c r="DQ881" s="11">
        <v>1970000.0</v>
      </c>
      <c r="DR881" s="11">
        <v>1850000.0</v>
      </c>
      <c r="DS881" s="11">
        <v>1680000.0</v>
      </c>
      <c r="DT881" s="11">
        <v>1260000.0</v>
      </c>
      <c r="DU881" s="13"/>
      <c r="DV881" s="12"/>
      <c r="DW881" s="12"/>
      <c r="DX881" s="13"/>
      <c r="DY881" s="13"/>
      <c r="DZ881" s="11">
        <v>1500000.0</v>
      </c>
      <c r="EA881" s="11">
        <v>3090000.0</v>
      </c>
      <c r="EB881" s="11">
        <v>3070000.0</v>
      </c>
      <c r="EC881" s="11">
        <v>2760000.0</v>
      </c>
      <c r="ED881" s="11">
        <v>2440000.0</v>
      </c>
      <c r="EE881" s="14">
        <v>0.165</v>
      </c>
      <c r="EF881" s="14">
        <v>0.343</v>
      </c>
      <c r="EG881" s="14">
        <v>-0.407</v>
      </c>
      <c r="EH881" s="14">
        <v>-0.088</v>
      </c>
    </row>
    <row r="882">
      <c r="A882" s="9">
        <f t="shared" si="2"/>
        <v>880</v>
      </c>
      <c r="B882" s="10" t="s">
        <v>1017</v>
      </c>
      <c r="C882" s="11">
        <v>3590000.0</v>
      </c>
      <c r="D882" s="11">
        <v>3390000.0</v>
      </c>
      <c r="E882" s="11">
        <v>3240000.0</v>
      </c>
      <c r="F882" s="11">
        <v>3020000.0</v>
      </c>
      <c r="G882" s="11">
        <v>2540000.0</v>
      </c>
      <c r="H882" s="11">
        <v>2290000.0</v>
      </c>
      <c r="I882" s="11">
        <v>1890000.0</v>
      </c>
      <c r="J882" s="11">
        <v>568720.0</v>
      </c>
      <c r="K882" s="11">
        <v>527530.0</v>
      </c>
      <c r="L882" s="11">
        <v>417500.0</v>
      </c>
      <c r="M882" s="11">
        <v>360990.0</v>
      </c>
      <c r="N882" s="11">
        <v>306160.0</v>
      </c>
      <c r="O882" s="11">
        <v>339990.0</v>
      </c>
      <c r="P882" s="11">
        <v>309300.0</v>
      </c>
      <c r="Q882" s="11">
        <v>287490.0</v>
      </c>
      <c r="R882" s="11">
        <v>234100.0</v>
      </c>
      <c r="S882" s="11">
        <v>226320.0</v>
      </c>
      <c r="T882" s="11"/>
      <c r="U882" s="11"/>
      <c r="V882" s="11"/>
      <c r="W882" s="11"/>
      <c r="X882" s="11"/>
      <c r="Y882" s="11">
        <v>240180.0</v>
      </c>
      <c r="Z882" s="11">
        <v>214880.0</v>
      </c>
      <c r="AA882" s="11">
        <v>128020.0</v>
      </c>
      <c r="AB882" s="11">
        <v>110510.0</v>
      </c>
      <c r="AC882" s="11">
        <v>77380.0</v>
      </c>
      <c r="AD882" s="11">
        <v>304990.0</v>
      </c>
      <c r="AE882" s="11">
        <v>263850.0</v>
      </c>
      <c r="AF882" s="11">
        <v>229730.0</v>
      </c>
      <c r="AG882" s="11">
        <v>151780.0</v>
      </c>
      <c r="AH882" s="11">
        <v>101420.0</v>
      </c>
      <c r="AI882" s="11">
        <v>251790.0</v>
      </c>
      <c r="AJ882" s="11">
        <v>239550.0</v>
      </c>
      <c r="AK882" s="11">
        <v>135330.0</v>
      </c>
      <c r="AL882" s="11">
        <v>115590.0</v>
      </c>
      <c r="AM882" s="11">
        <v>83920.0</v>
      </c>
      <c r="AN882" s="11">
        <v>236830.0</v>
      </c>
      <c r="AO882" s="11">
        <v>209520.0</v>
      </c>
      <c r="AP882" s="11">
        <v>141140.0</v>
      </c>
      <c r="AQ882" s="11">
        <v>102870.0</v>
      </c>
      <c r="AR882" s="11">
        <v>65660.0</v>
      </c>
      <c r="AS882" s="11">
        <v>57830.0</v>
      </c>
      <c r="AT882" s="11">
        <v>-7910.0</v>
      </c>
      <c r="AU882" s="11">
        <v>70510.0</v>
      </c>
      <c r="AV882" s="11">
        <v>115950.0</v>
      </c>
      <c r="AW882" s="11">
        <v>1150.0</v>
      </c>
      <c r="AX882" s="11">
        <v>-24710.0</v>
      </c>
      <c r="AY882" s="11">
        <v>-27170.0</v>
      </c>
      <c r="AZ882" s="11">
        <v>-2540.0</v>
      </c>
      <c r="BA882" s="11">
        <v>-4470.0</v>
      </c>
      <c r="BB882" s="11">
        <v>-1490.0</v>
      </c>
      <c r="BC882" s="24">
        <v>-73120.0</v>
      </c>
      <c r="BD882" s="24">
        <v>-67720.0</v>
      </c>
      <c r="BE882" s="24">
        <v>-51900.0</v>
      </c>
      <c r="BF882" s="24">
        <v>-49090.0</v>
      </c>
      <c r="BG882" s="24">
        <v>-48870.0</v>
      </c>
      <c r="BH882" s="11">
        <v>530960.0</v>
      </c>
      <c r="BI882" s="11">
        <v>511020.0</v>
      </c>
      <c r="BJ882" s="11">
        <v>605880.0</v>
      </c>
      <c r="BK882" s="11">
        <v>382890.0</v>
      </c>
      <c r="BL882" s="11">
        <v>288430.0</v>
      </c>
      <c r="BM882" s="11">
        <v>65830.0</v>
      </c>
      <c r="BN882" s="11">
        <v>52980.0</v>
      </c>
      <c r="BO882" s="11">
        <v>53360.0</v>
      </c>
      <c r="BP882" s="11">
        <v>42490.0</v>
      </c>
      <c r="BQ882" s="11">
        <v>23310.0</v>
      </c>
      <c r="BR882" s="11">
        <v>2370000.0</v>
      </c>
      <c r="BS882" s="11">
        <v>2130000.0</v>
      </c>
      <c r="BT882" s="11">
        <v>1830000.0</v>
      </c>
      <c r="BU882" s="11">
        <v>1760000.0</v>
      </c>
      <c r="BV882" s="11">
        <v>1760000.0</v>
      </c>
      <c r="BW882" s="11">
        <v>2960000.0</v>
      </c>
      <c r="BX882" s="11">
        <v>2700000.0</v>
      </c>
      <c r="BY882" s="11">
        <v>2490000.0</v>
      </c>
      <c r="BZ882" s="11">
        <v>2180000.0</v>
      </c>
      <c r="CA882" s="11">
        <v>2080000.0</v>
      </c>
      <c r="CB882" s="11">
        <v>90690.0</v>
      </c>
      <c r="CC882" s="11">
        <v>58170.0</v>
      </c>
      <c r="CD882" s="11">
        <v>26440.0</v>
      </c>
      <c r="CE882" s="11">
        <v>28040.0</v>
      </c>
      <c r="CF882" s="11">
        <v>28230.0</v>
      </c>
      <c r="CG882" s="11">
        <v>6010.0</v>
      </c>
      <c r="CH882" s="11">
        <v>6010.0</v>
      </c>
      <c r="CI882" s="11">
        <v>6010.0</v>
      </c>
      <c r="CJ882" s="11">
        <v>6010.0</v>
      </c>
      <c r="CK882" s="11">
        <v>6010.0</v>
      </c>
      <c r="CL882" s="11">
        <v>3360000.0</v>
      </c>
      <c r="CM882" s="11">
        <v>3010000.0</v>
      </c>
      <c r="CN882" s="11">
        <v>2790000.0</v>
      </c>
      <c r="CO882" s="11">
        <v>2540000.0</v>
      </c>
      <c r="CP882" s="11">
        <v>2430000.0</v>
      </c>
      <c r="CQ882" s="11">
        <v>103670.0</v>
      </c>
      <c r="CR882" s="11">
        <v>62200.0</v>
      </c>
      <c r="CS882" s="11">
        <v>48480.0</v>
      </c>
      <c r="CT882" s="11">
        <v>50620.0</v>
      </c>
      <c r="CU882" s="11">
        <v>46780.0</v>
      </c>
      <c r="CV882" s="11">
        <v>776920.0</v>
      </c>
      <c r="CW882" s="11">
        <v>155920.0</v>
      </c>
      <c r="CX882" s="24">
        <v>116820.0</v>
      </c>
      <c r="CY882" s="11">
        <v>112340.0</v>
      </c>
      <c r="CZ882" s="24">
        <v>114490.0</v>
      </c>
      <c r="DA882" s="11">
        <v>88610.0</v>
      </c>
      <c r="DB882" s="11">
        <v>776920.0</v>
      </c>
      <c r="DC882" s="11">
        <v>422110.0</v>
      </c>
      <c r="DD882" s="11">
        <v>371410.0</v>
      </c>
      <c r="DE882" s="11">
        <v>351870.0</v>
      </c>
      <c r="DF882" s="11">
        <v>1580000.0</v>
      </c>
      <c r="DG882" s="11">
        <v>1440000.0</v>
      </c>
      <c r="DH882" s="11">
        <v>1380000.0</v>
      </c>
      <c r="DI882" s="11">
        <v>1220000.0</v>
      </c>
      <c r="DJ882" s="11">
        <v>1170000.0</v>
      </c>
      <c r="DK882" s="11">
        <v>27360.0</v>
      </c>
      <c r="DL882" s="11">
        <v>23810.0</v>
      </c>
      <c r="DM882" s="11"/>
      <c r="DN882" s="11">
        <v>30160.0</v>
      </c>
      <c r="DO882" s="11">
        <v>25910.0</v>
      </c>
      <c r="DP882" s="28">
        <v>778950.0</v>
      </c>
      <c r="DQ882" s="28">
        <v>1000000.0</v>
      </c>
      <c r="DR882" s="28">
        <v>1000000.0</v>
      </c>
      <c r="DS882" s="28">
        <v>856650.0</v>
      </c>
      <c r="DT882" s="28">
        <v>855520.0</v>
      </c>
      <c r="DU882" s="13"/>
      <c r="DV882" s="12"/>
      <c r="DW882" s="12"/>
      <c r="DX882" s="13"/>
      <c r="DY882" s="13"/>
      <c r="DZ882" s="11">
        <v>1780000.0</v>
      </c>
      <c r="EA882" s="11">
        <v>1580000.0</v>
      </c>
      <c r="EB882" s="11">
        <v>1410000.0</v>
      </c>
      <c r="EC882" s="11">
        <v>1320000.0</v>
      </c>
      <c r="ED882" s="11">
        <v>1260000.0</v>
      </c>
      <c r="EE882" s="23">
        <v>0.253687316</v>
      </c>
      <c r="EF882" s="23">
        <v>0.295264624</v>
      </c>
      <c r="EG882" s="14">
        <v>0.578</v>
      </c>
      <c r="EH882" s="23">
        <v>0.104</v>
      </c>
    </row>
    <row r="883">
      <c r="A883" s="9">
        <f t="shared" si="2"/>
        <v>881</v>
      </c>
      <c r="B883" s="22" t="s">
        <v>1018</v>
      </c>
      <c r="C883" s="12"/>
      <c r="D883" s="12"/>
      <c r="E883" s="12"/>
      <c r="F883" s="12"/>
      <c r="G883" s="12"/>
      <c r="H883" s="12"/>
      <c r="I883" s="12"/>
      <c r="J883" s="11">
        <v>-112.0</v>
      </c>
      <c r="K883" s="11">
        <v>-96.0</v>
      </c>
      <c r="L883" s="11">
        <v>-77.0</v>
      </c>
      <c r="M883" s="11">
        <v>0.0</v>
      </c>
      <c r="N883" s="12"/>
      <c r="O883" s="11">
        <v>94860.0</v>
      </c>
      <c r="P883" s="11">
        <v>40360.0</v>
      </c>
      <c r="Q883" s="11">
        <v>31810.0</v>
      </c>
      <c r="R883" s="11">
        <v>24980.0</v>
      </c>
      <c r="S883" s="11">
        <v>3170.0</v>
      </c>
      <c r="T883" s="11">
        <v>72320.0</v>
      </c>
      <c r="U883" s="11">
        <v>25390.0</v>
      </c>
      <c r="V883" s="11">
        <v>24390.0</v>
      </c>
      <c r="W883" s="11">
        <v>15930.0</v>
      </c>
      <c r="X883" s="11">
        <v>2430.0</v>
      </c>
      <c r="Y883" s="12"/>
      <c r="Z883" s="11">
        <v>-40680.0</v>
      </c>
      <c r="AA883" s="11">
        <v>-32060.0</v>
      </c>
      <c r="AB883" s="11">
        <v>-25220.0</v>
      </c>
      <c r="AC883" s="11">
        <v>-62.0</v>
      </c>
      <c r="AD883" s="11">
        <v>-83950.0</v>
      </c>
      <c r="AE883" s="11">
        <v>-32810.0</v>
      </c>
      <c r="AF883" s="11">
        <v>-31150.0</v>
      </c>
      <c r="AG883" s="11">
        <v>-26390.0</v>
      </c>
      <c r="AH883" s="11">
        <v>-6840.0</v>
      </c>
      <c r="AI883" s="11">
        <v>-94860.0</v>
      </c>
      <c r="AJ883" s="11">
        <v>-40360.0</v>
      </c>
      <c r="AK883" s="11">
        <v>-31810.0</v>
      </c>
      <c r="AL883" s="11">
        <v>-24980.0</v>
      </c>
      <c r="AM883" s="11">
        <v>-3170.0</v>
      </c>
      <c r="AN883" s="11">
        <v>-83950.0</v>
      </c>
      <c r="AO883" s="11">
        <v>-32810.0</v>
      </c>
      <c r="AP883" s="11">
        <v>-31150.0</v>
      </c>
      <c r="AQ883" s="11">
        <v>-26390.0</v>
      </c>
      <c r="AR883" s="11">
        <v>-6840.0</v>
      </c>
      <c r="AS883" s="11">
        <v>-41620.0</v>
      </c>
      <c r="AT883" s="11">
        <v>-25510.0</v>
      </c>
      <c r="AU883" s="11">
        <v>-22320.0</v>
      </c>
      <c r="AV883" s="11">
        <v>-17610.0</v>
      </c>
      <c r="AW883" s="11">
        <v>-3140.0</v>
      </c>
      <c r="AX883" s="11">
        <v>-172.0</v>
      </c>
      <c r="AY883" s="11">
        <v>-22.0</v>
      </c>
      <c r="AZ883" s="11">
        <v>-125.0</v>
      </c>
      <c r="BA883" s="11">
        <v>-3.0</v>
      </c>
      <c r="BB883" s="12"/>
      <c r="BC883" s="12"/>
      <c r="BD883" s="12"/>
      <c r="BE883" s="12"/>
      <c r="BF883" s="12"/>
      <c r="BG883" s="12"/>
      <c r="BH883" s="11">
        <v>439050.0</v>
      </c>
      <c r="BI883" s="11">
        <v>483720.0</v>
      </c>
      <c r="BJ883" s="11">
        <v>191530.0</v>
      </c>
      <c r="BK883" s="11">
        <v>40500.0</v>
      </c>
      <c r="BL883" s="11">
        <v>306.0</v>
      </c>
      <c r="BM883" s="12"/>
      <c r="BN883" s="12"/>
      <c r="BO883" s="12"/>
      <c r="BP883" s="12"/>
      <c r="BQ883" s="11">
        <v>7.0</v>
      </c>
      <c r="BR883" s="12"/>
      <c r="BS883" s="12"/>
      <c r="BT883" s="12"/>
      <c r="BU883" s="12"/>
      <c r="BV883" s="12"/>
      <c r="BW883" s="11">
        <v>440200.0</v>
      </c>
      <c r="BX883" s="11">
        <v>485200.0</v>
      </c>
      <c r="BY883" s="11">
        <v>192010.0</v>
      </c>
      <c r="BZ883" s="11">
        <v>41210.0</v>
      </c>
      <c r="CA883" s="11">
        <v>364.0</v>
      </c>
      <c r="CB883" s="11">
        <v>1860.0</v>
      </c>
      <c r="CC883" s="11">
        <v>227.0</v>
      </c>
      <c r="CD883" s="11">
        <v>301.0</v>
      </c>
      <c r="CE883" s="11">
        <v>3.0</v>
      </c>
      <c r="CF883" s="12"/>
      <c r="CG883" s="12"/>
      <c r="CH883" s="12"/>
      <c r="CI883" s="12"/>
      <c r="CJ883" s="12"/>
      <c r="CK883" s="12"/>
      <c r="CL883" s="11">
        <v>442060.0</v>
      </c>
      <c r="CM883" s="11">
        <v>485430.0</v>
      </c>
      <c r="CN883" s="11">
        <v>192310.0</v>
      </c>
      <c r="CO883" s="11">
        <v>41210.0</v>
      </c>
      <c r="CP883" s="11">
        <v>364.0</v>
      </c>
      <c r="CQ883" s="11">
        <v>1180.0</v>
      </c>
      <c r="CR883" s="11">
        <v>2490.0</v>
      </c>
      <c r="CS883" s="11">
        <v>1930.0</v>
      </c>
      <c r="CT883" s="11">
        <v>762.0</v>
      </c>
      <c r="CU883" s="11">
        <v>102.0</v>
      </c>
      <c r="CV883" s="11">
        <v>25130.0</v>
      </c>
      <c r="CW883" s="11">
        <v>315.0</v>
      </c>
      <c r="CX883" s="12"/>
      <c r="CY883" s="12"/>
      <c r="CZ883" s="12"/>
      <c r="DA883" s="11">
        <v>49100.0</v>
      </c>
      <c r="DB883" s="11">
        <v>25130.0</v>
      </c>
      <c r="DC883" s="11">
        <v>8440.0</v>
      </c>
      <c r="DD883" s="11">
        <v>10050.0</v>
      </c>
      <c r="DE883" s="11">
        <v>4800.0</v>
      </c>
      <c r="DF883" s="11">
        <v>25490.0</v>
      </c>
      <c r="DG883" s="11">
        <v>8440.0</v>
      </c>
      <c r="DH883" s="11">
        <v>10050.0</v>
      </c>
      <c r="DI883" s="11">
        <v>4800.0</v>
      </c>
      <c r="DJ883" s="11">
        <v>49280.0</v>
      </c>
      <c r="DK883" s="12"/>
      <c r="DL883" s="12"/>
      <c r="DM883" s="12"/>
      <c r="DN883" s="12"/>
      <c r="DO883" s="12"/>
      <c r="DP883" s="11">
        <v>361.0</v>
      </c>
      <c r="DQ883" s="12"/>
      <c r="DR883" s="12"/>
      <c r="DS883" s="12"/>
      <c r="DT883" s="12"/>
      <c r="DU883" s="13"/>
      <c r="DV883" s="12"/>
      <c r="DW883" s="12"/>
      <c r="DX883" s="13"/>
      <c r="DY883" s="13"/>
      <c r="DZ883" s="11">
        <v>416570.0</v>
      </c>
      <c r="EA883" s="11">
        <v>476980.0</v>
      </c>
      <c r="EB883" s="11">
        <v>182260.0</v>
      </c>
      <c r="EC883" s="11">
        <v>36410.0</v>
      </c>
      <c r="ED883" s="11">
        <v>-48910.0</v>
      </c>
      <c r="EE883" s="23"/>
      <c r="EF883" s="23"/>
      <c r="EG883" s="14">
        <v>-0.298</v>
      </c>
      <c r="EH883" s="14">
        <v>-0.127</v>
      </c>
    </row>
    <row r="884">
      <c r="A884" s="9">
        <f t="shared" si="2"/>
        <v>882</v>
      </c>
      <c r="B884" s="10" t="s">
        <v>1019</v>
      </c>
      <c r="C884" s="15">
        <v>2.712E7</v>
      </c>
      <c r="D884" s="15">
        <v>2.621E7</v>
      </c>
      <c r="E884" s="15">
        <v>2.587E7</v>
      </c>
      <c r="F884" s="15">
        <v>2.594E7</v>
      </c>
      <c r="G884" s="15">
        <v>2.59E7</v>
      </c>
      <c r="H884" s="15">
        <v>2.592E7</v>
      </c>
      <c r="I884" s="15">
        <v>2.964E7</v>
      </c>
      <c r="J884" s="15">
        <v>1.008E7</v>
      </c>
      <c r="K884" s="15">
        <v>1.003E7</v>
      </c>
      <c r="L884" s="15">
        <v>1.008E7</v>
      </c>
      <c r="M884" s="15">
        <v>1.012E7</v>
      </c>
      <c r="N884" s="15">
        <v>1.131E7</v>
      </c>
      <c r="O884" s="15">
        <v>5850000.0</v>
      </c>
      <c r="P884" s="15">
        <v>6160000.0</v>
      </c>
      <c r="Q884" s="15">
        <v>5680000.0</v>
      </c>
      <c r="R884" s="15">
        <v>6160000.0</v>
      </c>
      <c r="S884" s="15">
        <v>7110000.0</v>
      </c>
      <c r="T884" s="15">
        <v>351000.0</v>
      </c>
      <c r="U884" s="15">
        <v>362000.0</v>
      </c>
      <c r="V884" s="15">
        <v>366000.0</v>
      </c>
      <c r="W884" s="15">
        <v>376000.0</v>
      </c>
      <c r="X884" s="15">
        <v>409000.0</v>
      </c>
      <c r="Y884" s="15">
        <v>3920000.0</v>
      </c>
      <c r="Z884" s="15">
        <v>4050000.0</v>
      </c>
      <c r="AA884" s="15">
        <v>-1110000.0</v>
      </c>
      <c r="AB884" s="15">
        <v>2490000.0</v>
      </c>
      <c r="AC884" s="15">
        <v>8980000.0</v>
      </c>
      <c r="AD884" s="15">
        <v>3450000.0</v>
      </c>
      <c r="AE884" s="15">
        <v>3620000.0</v>
      </c>
      <c r="AF884" s="15">
        <v>3160000.0</v>
      </c>
      <c r="AG884" s="15">
        <v>1500000.0</v>
      </c>
      <c r="AH884" s="15">
        <v>7880000.0</v>
      </c>
      <c r="AI884" s="15">
        <v>5270000.0</v>
      </c>
      <c r="AJ884" s="15">
        <v>4690000.0</v>
      </c>
      <c r="AK884" s="15">
        <v>5210000.0</v>
      </c>
      <c r="AL884" s="15">
        <v>4780000.0</v>
      </c>
      <c r="AM884" s="15">
        <v>5100000.0</v>
      </c>
      <c r="AN884" s="15">
        <v>3870000.0</v>
      </c>
      <c r="AO884" s="15">
        <v>3380000.0</v>
      </c>
      <c r="AP884" s="15">
        <v>2830000.0</v>
      </c>
      <c r="AQ884" s="15">
        <v>1660000.0</v>
      </c>
      <c r="AR884" s="15">
        <v>7270000.0</v>
      </c>
      <c r="AS884" s="15">
        <v>3970000.0</v>
      </c>
      <c r="AT884" s="15">
        <v>3950000.0</v>
      </c>
      <c r="AU884" s="15">
        <v>2590000.0</v>
      </c>
      <c r="AV884" s="15">
        <v>2840000.0</v>
      </c>
      <c r="AW884" s="15">
        <v>3730000.0</v>
      </c>
      <c r="AX884" s="15">
        <v>-925000.0</v>
      </c>
      <c r="AY884" s="15">
        <v>-1100000.0</v>
      </c>
      <c r="AZ884" s="15">
        <v>-1010000.0</v>
      </c>
      <c r="BA884" s="15">
        <v>-1220000.0</v>
      </c>
      <c r="BB884" s="15">
        <v>-1510000.0</v>
      </c>
      <c r="BC884" s="13">
        <v>-1540000.0</v>
      </c>
      <c r="BD884" s="13">
        <v>-1360000.0</v>
      </c>
      <c r="BE884" s="15">
        <v>-1200000.0</v>
      </c>
      <c r="BF884" s="13">
        <v>-1090000.0</v>
      </c>
      <c r="BG884" s="13">
        <v>-1010000.0</v>
      </c>
      <c r="BH884" s="15">
        <v>1290000.0</v>
      </c>
      <c r="BI884" s="15">
        <v>1100000.0</v>
      </c>
      <c r="BJ884" s="15">
        <v>761000.0</v>
      </c>
      <c r="BK884" s="15">
        <v>1740000.0</v>
      </c>
      <c r="BL884" s="15">
        <v>1870000.0</v>
      </c>
      <c r="BM884" s="15">
        <v>2930000.0</v>
      </c>
      <c r="BN884" s="15">
        <v>3010000.0</v>
      </c>
      <c r="BO884" s="15">
        <v>3530000.0</v>
      </c>
      <c r="BP884" s="15">
        <v>3470000.0</v>
      </c>
      <c r="BQ884" s="15">
        <v>3850000.0</v>
      </c>
      <c r="BR884" s="12">
        <v>2550000.0</v>
      </c>
      <c r="BS884" s="12">
        <v>2590000.0</v>
      </c>
      <c r="BT884" s="12">
        <v>2560000.0</v>
      </c>
      <c r="BU884" s="12">
        <v>2470000.0</v>
      </c>
      <c r="BV884" s="12">
        <v>2610000.0</v>
      </c>
      <c r="BW884" s="15">
        <v>7630000.0</v>
      </c>
      <c r="BX884" s="15">
        <v>7600000.0</v>
      </c>
      <c r="BY884" s="15">
        <v>7520000.0</v>
      </c>
      <c r="BZ884" s="15">
        <v>8480000.0</v>
      </c>
      <c r="CA884" s="15">
        <v>8960000.0</v>
      </c>
      <c r="CB884" s="15">
        <v>9300000.0</v>
      </c>
      <c r="CC884" s="15">
        <v>8480000.0</v>
      </c>
      <c r="CD884" s="15">
        <v>8680000.0</v>
      </c>
      <c r="CE884" s="15">
        <v>8230000.0</v>
      </c>
      <c r="CF884" s="15">
        <v>8360000.0</v>
      </c>
      <c r="CG884" s="15">
        <v>2.085E7</v>
      </c>
      <c r="CH884" s="15">
        <v>2.073E7</v>
      </c>
      <c r="CI884" s="15">
        <v>2.109E7</v>
      </c>
      <c r="CJ884" s="15">
        <v>2.028E7</v>
      </c>
      <c r="CK884" s="15">
        <v>2.066E7</v>
      </c>
      <c r="CL884" s="15">
        <v>6.455E7</v>
      </c>
      <c r="CM884" s="15">
        <v>6.273E7</v>
      </c>
      <c r="CN884" s="15">
        <v>6.296E7</v>
      </c>
      <c r="CO884" s="15">
        <v>6.154E7</v>
      </c>
      <c r="CP884" s="15">
        <v>6.284E7</v>
      </c>
      <c r="CQ884" s="15">
        <v>5850000.0</v>
      </c>
      <c r="CR884" s="15">
        <v>5790000.0</v>
      </c>
      <c r="CS884" s="15">
        <v>5710000.0</v>
      </c>
      <c r="CT884" s="15">
        <v>5320000.0</v>
      </c>
      <c r="CU884" s="15">
        <v>4890000.0</v>
      </c>
      <c r="CV884" s="15">
        <v>1.532E7</v>
      </c>
      <c r="CW884" s="15">
        <v>2820000.0</v>
      </c>
      <c r="CX884" s="13">
        <v>3190000.0</v>
      </c>
      <c r="CY884" s="15">
        <v>3520000.0</v>
      </c>
      <c r="CZ884" s="13">
        <v>2530000.0</v>
      </c>
      <c r="DA884" s="12">
        <v>236000.0</v>
      </c>
      <c r="DB884" s="15">
        <v>1.532E7</v>
      </c>
      <c r="DC884" s="15">
        <v>1.674E7</v>
      </c>
      <c r="DD884" s="15">
        <v>1.579E7</v>
      </c>
      <c r="DE884" s="15">
        <v>1.442E7</v>
      </c>
      <c r="DF884" s="15">
        <v>3.72E7</v>
      </c>
      <c r="DG884" s="15">
        <v>3.702E7</v>
      </c>
      <c r="DH884" s="15">
        <v>3.688E7</v>
      </c>
      <c r="DI884" s="15">
        <v>3.632E7</v>
      </c>
      <c r="DJ884" s="15">
        <v>3.474E7</v>
      </c>
      <c r="DK884" s="15">
        <v>7210000.0</v>
      </c>
      <c r="DL884" s="15">
        <v>7120000.0</v>
      </c>
      <c r="DM884" s="15">
        <v>6190000.0</v>
      </c>
      <c r="DN884" s="12">
        <v>5590000.0</v>
      </c>
      <c r="DO884" s="13">
        <v>5390000.0</v>
      </c>
      <c r="DP884" s="15">
        <v>1.461E7</v>
      </c>
      <c r="DQ884" s="15">
        <v>1.253E7</v>
      </c>
      <c r="DR884" s="15">
        <v>1.297E7</v>
      </c>
      <c r="DS884" s="15">
        <v>1.322E7</v>
      </c>
      <c r="DT884" s="15">
        <v>1.456E7</v>
      </c>
      <c r="DU884" s="15"/>
      <c r="DV884" s="15"/>
      <c r="DW884" s="15"/>
      <c r="DX884" s="13"/>
      <c r="DY884" s="13"/>
      <c r="DZ884" s="15">
        <v>2.728E7</v>
      </c>
      <c r="EA884" s="15">
        <v>2.564E7</v>
      </c>
      <c r="EB884" s="15">
        <v>2.599E7</v>
      </c>
      <c r="EC884" s="15">
        <v>2.516E7</v>
      </c>
      <c r="ED884" s="15">
        <v>2.801E7</v>
      </c>
      <c r="EE884" s="23">
        <v>0.022128958</v>
      </c>
      <c r="EF884" s="23">
        <v>0.046460177</v>
      </c>
      <c r="EG884" s="17">
        <v>0.125</v>
      </c>
      <c r="EH884" s="23">
        <v>0.0635</v>
      </c>
    </row>
    <row r="885">
      <c r="A885" s="9">
        <f t="shared" si="2"/>
        <v>883</v>
      </c>
      <c r="B885" s="32" t="s">
        <v>1020</v>
      </c>
      <c r="C885" s="11">
        <v>1750000.0</v>
      </c>
      <c r="D885" s="11">
        <v>1690000.0</v>
      </c>
      <c r="E885" s="11">
        <v>1770000.0</v>
      </c>
      <c r="F885" s="11">
        <v>1750000.0</v>
      </c>
      <c r="G885" s="11">
        <v>1500000.0</v>
      </c>
      <c r="H885" s="11">
        <v>1550000.0</v>
      </c>
      <c r="I885" s="11">
        <v>1390000.0</v>
      </c>
      <c r="J885" s="11">
        <v>686240.0</v>
      </c>
      <c r="K885" s="11">
        <v>697790.0</v>
      </c>
      <c r="L885" s="11">
        <v>614550.0</v>
      </c>
      <c r="M885" s="11">
        <v>645030.0</v>
      </c>
      <c r="N885" s="11">
        <v>557430.0</v>
      </c>
      <c r="O885" s="11">
        <v>677770.0</v>
      </c>
      <c r="P885" s="11">
        <v>718530.0</v>
      </c>
      <c r="Q885" s="11">
        <v>604730.0</v>
      </c>
      <c r="R885" s="11">
        <v>577040.0</v>
      </c>
      <c r="S885" s="11">
        <v>518490.0</v>
      </c>
      <c r="T885" s="11">
        <v>254650.0</v>
      </c>
      <c r="U885" s="11">
        <v>268620.0</v>
      </c>
      <c r="V885" s="11">
        <v>203350.0</v>
      </c>
      <c r="W885" s="11">
        <v>188140.0</v>
      </c>
      <c r="X885" s="11">
        <v>184740.0</v>
      </c>
      <c r="Y885" s="12"/>
      <c r="Z885" s="12"/>
      <c r="AA885" s="12"/>
      <c r="AB885" s="11">
        <v>54440.0</v>
      </c>
      <c r="AC885" s="11">
        <v>30080.0</v>
      </c>
      <c r="AD885" s="12"/>
      <c r="AE885" s="11">
        <v>13140.0</v>
      </c>
      <c r="AF885" s="12"/>
      <c r="AG885" s="12"/>
      <c r="AH885" s="11">
        <v>570.0</v>
      </c>
      <c r="AI885" s="11">
        <v>238110.0</v>
      </c>
      <c r="AJ885" s="11">
        <v>171610.0</v>
      </c>
      <c r="AK885" s="11">
        <v>167150.0</v>
      </c>
      <c r="AL885" s="11">
        <v>240380.0</v>
      </c>
      <c r="AM885" s="11">
        <v>199950.0</v>
      </c>
      <c r="AN885" s="12"/>
      <c r="AO885" s="12"/>
      <c r="AP885" s="12"/>
      <c r="AQ885" s="12"/>
      <c r="AR885" s="12"/>
      <c r="AS885" s="11">
        <v>70600.0</v>
      </c>
      <c r="AT885" s="11">
        <v>67890.0</v>
      </c>
      <c r="AU885" s="11">
        <v>279420.0</v>
      </c>
      <c r="AV885" s="11">
        <v>269000.0</v>
      </c>
      <c r="AW885" s="11">
        <v>211580.0</v>
      </c>
      <c r="AX885" s="12"/>
      <c r="AY885" s="12"/>
      <c r="AZ885" s="12"/>
      <c r="BA885" s="12"/>
      <c r="BB885" s="12"/>
      <c r="BC885" s="13"/>
      <c r="BD885" s="13"/>
      <c r="BE885" s="13"/>
      <c r="BF885" s="13"/>
      <c r="BG885" s="13"/>
      <c r="BH885" s="11">
        <v>137540.0</v>
      </c>
      <c r="BI885" s="11">
        <v>184800.0</v>
      </c>
      <c r="BJ885" s="11">
        <v>130990.0</v>
      </c>
      <c r="BK885" s="11">
        <v>96610.0</v>
      </c>
      <c r="BL885" s="11">
        <v>116870.0</v>
      </c>
      <c r="BM885" s="11">
        <v>555730.0</v>
      </c>
      <c r="BN885" s="11">
        <v>531720.0</v>
      </c>
      <c r="BO885" s="11">
        <v>492560.0</v>
      </c>
      <c r="BP885" s="11">
        <v>405170.0</v>
      </c>
      <c r="BQ885" s="11">
        <v>327850.0</v>
      </c>
      <c r="BR885" s="12"/>
      <c r="BS885" s="12"/>
      <c r="BT885" s="12"/>
      <c r="BU885" s="12"/>
      <c r="BV885" s="12"/>
      <c r="BW885" s="11">
        <v>841260.0</v>
      </c>
      <c r="BX885" s="11">
        <v>858970.0</v>
      </c>
      <c r="BY885" s="11">
        <v>857110.0</v>
      </c>
      <c r="BZ885" s="11">
        <v>604330.0</v>
      </c>
      <c r="CA885" s="11">
        <v>538350.0</v>
      </c>
      <c r="CB885" s="11">
        <v>186360.0</v>
      </c>
      <c r="CC885" s="11">
        <v>121910.0</v>
      </c>
      <c r="CD885" s="11">
        <v>135420.0</v>
      </c>
      <c r="CE885" s="11">
        <v>148810.0</v>
      </c>
      <c r="CF885" s="11">
        <v>125620.0</v>
      </c>
      <c r="CG885" s="11">
        <v>1360000.0</v>
      </c>
      <c r="CH885" s="11">
        <v>1370000.0</v>
      </c>
      <c r="CI885" s="11">
        <v>1290000.0</v>
      </c>
      <c r="CJ885" s="11">
        <v>1920000.0</v>
      </c>
      <c r="CK885" s="11">
        <v>1220000.0</v>
      </c>
      <c r="CL885" s="11">
        <v>3210000.0</v>
      </c>
      <c r="CM885" s="11">
        <v>3180000.0</v>
      </c>
      <c r="CN885" s="11">
        <v>4230000.0</v>
      </c>
      <c r="CO885" s="11">
        <v>3830000.0</v>
      </c>
      <c r="CP885" s="11">
        <v>2680000.0</v>
      </c>
      <c r="CQ885" s="11">
        <v>104010.0</v>
      </c>
      <c r="CR885" s="11">
        <v>73170.0</v>
      </c>
      <c r="CS885" s="11">
        <v>85750.0</v>
      </c>
      <c r="CT885" s="11">
        <v>126140.0</v>
      </c>
      <c r="CU885" s="11">
        <v>60000.0</v>
      </c>
      <c r="CV885" s="11">
        <v>1210000.0</v>
      </c>
      <c r="CW885" s="11">
        <v>23140.0</v>
      </c>
      <c r="CX885" s="13"/>
      <c r="CY885" s="12"/>
      <c r="CZ885" s="13"/>
      <c r="DA885" s="12"/>
      <c r="DB885" s="11">
        <v>1210000.0</v>
      </c>
      <c r="DC885" s="11">
        <v>797730.0</v>
      </c>
      <c r="DD885" s="11">
        <v>889630.0</v>
      </c>
      <c r="DE885" s="11">
        <v>667080.0</v>
      </c>
      <c r="DF885" s="11">
        <v>1920000.0</v>
      </c>
      <c r="DG885" s="11">
        <v>1600000.0</v>
      </c>
      <c r="DH885" s="11">
        <v>2640000.0</v>
      </c>
      <c r="DI885" s="11">
        <v>2170000.0</v>
      </c>
      <c r="DJ885" s="11">
        <v>1260000.0</v>
      </c>
      <c r="DK885" s="11">
        <v>43890.0</v>
      </c>
      <c r="DL885" s="11">
        <v>46140.0</v>
      </c>
      <c r="DM885" s="11">
        <v>98840.0</v>
      </c>
      <c r="DN885" s="11">
        <v>195780.0</v>
      </c>
      <c r="DO885" s="11">
        <v>303640.0</v>
      </c>
      <c r="DP885" s="11">
        <v>646210.0</v>
      </c>
      <c r="DQ885" s="11">
        <v>648310.0</v>
      </c>
      <c r="DR885" s="11">
        <v>909070.0</v>
      </c>
      <c r="DS885" s="11">
        <v>1300000.0</v>
      </c>
      <c r="DT885" s="11">
        <v>612970.0</v>
      </c>
      <c r="DU885" s="13"/>
      <c r="DV885" s="12"/>
      <c r="DW885" s="12"/>
      <c r="DX885" s="12"/>
      <c r="DY885" s="13"/>
      <c r="DZ885" s="11">
        <v>1290000.0</v>
      </c>
      <c r="EA885" s="11">
        <v>1550000.0</v>
      </c>
      <c r="EB885" s="11">
        <v>1120000.0</v>
      </c>
      <c r="EC885" s="11">
        <v>1230000.0</v>
      </c>
      <c r="ED885" s="11">
        <v>1410000.0</v>
      </c>
      <c r="EE885" s="14">
        <v>0.065</v>
      </c>
      <c r="EF885" s="14">
        <v>0.103</v>
      </c>
      <c r="EG885" s="14">
        <v>-0.4</v>
      </c>
      <c r="EH885" s="14">
        <v>-0.098</v>
      </c>
    </row>
    <row r="886">
      <c r="A886" s="9">
        <f t="shared" si="2"/>
        <v>884</v>
      </c>
      <c r="B886" s="32" t="s">
        <v>1021</v>
      </c>
      <c r="C886" s="11">
        <v>3.154E7</v>
      </c>
      <c r="D886" s="11">
        <v>2.782E7</v>
      </c>
      <c r="E886" s="11">
        <v>2.891E7</v>
      </c>
      <c r="F886" s="11">
        <v>3.056E7</v>
      </c>
      <c r="G886" s="11">
        <v>2.995E7</v>
      </c>
      <c r="H886" s="11">
        <v>2.971E7</v>
      </c>
      <c r="I886" s="11">
        <v>2.883E7</v>
      </c>
      <c r="J886" s="11">
        <v>1.789E7</v>
      </c>
      <c r="K886" s="11">
        <v>1.973E7</v>
      </c>
      <c r="L886" s="11">
        <v>1.91E7</v>
      </c>
      <c r="M886" s="11">
        <v>1.848E7</v>
      </c>
      <c r="N886" s="11">
        <v>1.787E7</v>
      </c>
      <c r="O886" s="11">
        <v>1.227E7</v>
      </c>
      <c r="P886" s="11">
        <v>1.263E7</v>
      </c>
      <c r="Q886" s="11">
        <v>1.246E7</v>
      </c>
      <c r="R886" s="11">
        <v>1.19E7</v>
      </c>
      <c r="S886" s="11">
        <v>1.169E7</v>
      </c>
      <c r="T886" s="11">
        <v>2330000.0</v>
      </c>
      <c r="U886" s="11">
        <v>2330000.0</v>
      </c>
      <c r="V886" s="11">
        <v>2260000.0</v>
      </c>
      <c r="W886" s="11">
        <v>2190000.0</v>
      </c>
      <c r="X886" s="11">
        <v>2220000.0</v>
      </c>
      <c r="Y886" s="11">
        <v>4780000.0</v>
      </c>
      <c r="Z886" s="11">
        <v>6310000.0</v>
      </c>
      <c r="AA886" s="12"/>
      <c r="AB886" s="12"/>
      <c r="AC886" s="12"/>
      <c r="AD886" s="11">
        <v>4060000.0</v>
      </c>
      <c r="AE886" s="11">
        <v>5200000.0</v>
      </c>
      <c r="AF886" s="11">
        <v>5680000.0</v>
      </c>
      <c r="AG886" s="11">
        <v>4600000.0</v>
      </c>
      <c r="AH886" s="11">
        <v>4340000.0</v>
      </c>
      <c r="AI886" s="11">
        <v>8280000.0</v>
      </c>
      <c r="AJ886" s="11">
        <v>9760000.0</v>
      </c>
      <c r="AK886" s="11">
        <v>9290000.0</v>
      </c>
      <c r="AL886" s="11">
        <v>9490000.0</v>
      </c>
      <c r="AM886" s="11">
        <v>8930000.0</v>
      </c>
      <c r="AN886" s="11">
        <v>4790000.0</v>
      </c>
      <c r="AO886" s="11">
        <v>4630000.0</v>
      </c>
      <c r="AP886" s="11">
        <v>3100000.0</v>
      </c>
      <c r="AQ886" s="11">
        <v>4030000.0</v>
      </c>
      <c r="AR886" s="11">
        <v>3540000.0</v>
      </c>
      <c r="AS886" s="11">
        <v>7230000.0</v>
      </c>
      <c r="AT886" s="11">
        <v>7010000.0</v>
      </c>
      <c r="AU886" s="11">
        <v>4680000.0</v>
      </c>
      <c r="AV886" s="11">
        <v>6880000.0</v>
      </c>
      <c r="AW886" s="11">
        <v>5220000.0</v>
      </c>
      <c r="AX886" s="12"/>
      <c r="AY886" s="12"/>
      <c r="AZ886" s="12"/>
      <c r="BA886" s="12"/>
      <c r="BB886" s="12"/>
      <c r="BC886" s="13"/>
      <c r="BD886" s="13"/>
      <c r="BE886" s="12"/>
      <c r="BF886" s="13"/>
      <c r="BG886" s="13"/>
      <c r="BH886" s="11">
        <v>1.095E7</v>
      </c>
      <c r="BI886" s="11">
        <v>9850000.0</v>
      </c>
      <c r="BJ886" s="11">
        <v>1.123E7</v>
      </c>
      <c r="BK886" s="11">
        <v>1.371E7</v>
      </c>
      <c r="BL886" s="11">
        <v>1.263E7</v>
      </c>
      <c r="BM886" s="11">
        <v>4650000.0</v>
      </c>
      <c r="BN886" s="11">
        <v>6220000.0</v>
      </c>
      <c r="BO886" s="11">
        <v>5990000.0</v>
      </c>
      <c r="BP886" s="11">
        <v>5590000.0</v>
      </c>
      <c r="BQ886" s="11">
        <v>5560000.0</v>
      </c>
      <c r="BR886" s="11">
        <v>4230000.0</v>
      </c>
      <c r="BS886" s="11">
        <v>3750000.0</v>
      </c>
      <c r="BT886" s="11">
        <v>3580000.0</v>
      </c>
      <c r="BU886" s="11">
        <v>3340000.0</v>
      </c>
      <c r="BV886" s="11">
        <v>3470000.0</v>
      </c>
      <c r="BW886" s="11">
        <v>2.203E7</v>
      </c>
      <c r="BX886" s="11">
        <v>2.197E7</v>
      </c>
      <c r="BY886" s="11">
        <v>2.298E7</v>
      </c>
      <c r="BZ886" s="11">
        <v>2.487E7</v>
      </c>
      <c r="CA886" s="11">
        <v>2.36E7</v>
      </c>
      <c r="CB886" s="11">
        <v>5760000.0</v>
      </c>
      <c r="CC886" s="11">
        <v>4680000.0</v>
      </c>
      <c r="CD886" s="11">
        <v>4600000.0</v>
      </c>
      <c r="CE886" s="11">
        <v>4360000.0</v>
      </c>
      <c r="CF886" s="11">
        <v>4840000.0</v>
      </c>
      <c r="CG886" s="11">
        <v>3.984E7</v>
      </c>
      <c r="CH886" s="11">
        <v>3.996E7</v>
      </c>
      <c r="CI886" s="11">
        <v>3.954E7</v>
      </c>
      <c r="CJ886" s="11">
        <v>3.852E7</v>
      </c>
      <c r="CK886" s="11">
        <v>4.15E7</v>
      </c>
      <c r="CL886" s="11">
        <v>9.069E7</v>
      </c>
      <c r="CM886" s="11">
        <v>8.969E7</v>
      </c>
      <c r="CN886" s="11">
        <v>9.139E7</v>
      </c>
      <c r="CO886" s="11">
        <v>9.986E7</v>
      </c>
      <c r="CP886" s="11">
        <v>9.964E7</v>
      </c>
      <c r="CQ886" s="11">
        <v>2000000.0</v>
      </c>
      <c r="CR886" s="11">
        <v>1950000.0</v>
      </c>
      <c r="CS886" s="11">
        <v>1630000.0</v>
      </c>
      <c r="CT886" s="11">
        <v>1560000.0</v>
      </c>
      <c r="CU886" s="11">
        <v>1710000.0</v>
      </c>
      <c r="CV886" s="11">
        <v>1.037E7</v>
      </c>
      <c r="CW886" s="11">
        <v>171000.0</v>
      </c>
      <c r="CX886" s="13"/>
      <c r="CY886" s="13"/>
      <c r="CZ886" s="13"/>
      <c r="DA886" s="12"/>
      <c r="DB886" s="11">
        <v>1.037E7</v>
      </c>
      <c r="DC886" s="11">
        <v>8470000.0</v>
      </c>
      <c r="DD886" s="11">
        <v>1.008E7</v>
      </c>
      <c r="DE886" s="11">
        <v>1.426E7</v>
      </c>
      <c r="DF886" s="11">
        <v>3.982E7</v>
      </c>
      <c r="DG886" s="11">
        <v>3.948E7</v>
      </c>
      <c r="DH886" s="11">
        <v>4.057E7</v>
      </c>
      <c r="DI886" s="11">
        <v>4.953E7</v>
      </c>
      <c r="DJ886" s="11">
        <v>4.758E7</v>
      </c>
      <c r="DK886" s="11">
        <v>480000.0</v>
      </c>
      <c r="DL886" s="11">
        <v>44000.0</v>
      </c>
      <c r="DM886" s="11">
        <v>44000.0</v>
      </c>
      <c r="DN886" s="11">
        <v>737000.0</v>
      </c>
      <c r="DO886" s="11">
        <v>636000.0</v>
      </c>
      <c r="DP886" s="11">
        <v>2.28E7</v>
      </c>
      <c r="DQ886" s="11">
        <v>2.449E7</v>
      </c>
      <c r="DR886" s="11">
        <v>2.37E7</v>
      </c>
      <c r="DS886" s="11">
        <v>2.592E7</v>
      </c>
      <c r="DT886" s="11">
        <v>3.011E7</v>
      </c>
      <c r="DU886" s="13"/>
      <c r="DV886" s="12"/>
      <c r="DW886" s="12"/>
      <c r="DX886" s="12"/>
      <c r="DY886" s="12"/>
      <c r="DZ886" s="11">
        <v>5.074E7</v>
      </c>
      <c r="EA886" s="11">
        <v>5.009E7</v>
      </c>
      <c r="EB886" s="11">
        <v>5.072E7</v>
      </c>
      <c r="EC886" s="11">
        <v>5.021E7</v>
      </c>
      <c r="ED886" s="11">
        <v>5.206E7</v>
      </c>
      <c r="EE886" s="14">
        <v>0.148</v>
      </c>
      <c r="EF886" s="14">
        <v>0.2</v>
      </c>
      <c r="EG886" s="14">
        <v>-0.147</v>
      </c>
      <c r="EH886" s="14">
        <v>-0.003</v>
      </c>
    </row>
    <row r="887">
      <c r="A887" s="9">
        <f t="shared" si="2"/>
        <v>885</v>
      </c>
      <c r="B887" s="10" t="s">
        <v>1022</v>
      </c>
      <c r="C887" s="11">
        <v>5690000.0</v>
      </c>
      <c r="D887" s="11">
        <v>5440000.0</v>
      </c>
      <c r="E887" s="11">
        <v>5340000.0</v>
      </c>
      <c r="F887" s="11">
        <v>4530000.0</v>
      </c>
      <c r="G887" s="11">
        <v>4440000.0</v>
      </c>
      <c r="H887" s="11">
        <v>4130000.0</v>
      </c>
      <c r="I887" s="11">
        <v>4010000.0</v>
      </c>
      <c r="J887" s="11">
        <v>677360.0</v>
      </c>
      <c r="K887" s="11">
        <v>581490.0</v>
      </c>
      <c r="L887" s="11">
        <v>588450.0</v>
      </c>
      <c r="M887" s="11">
        <v>557550.0</v>
      </c>
      <c r="N887" s="11">
        <v>476130.0</v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>
        <v>494420.0</v>
      </c>
      <c r="Z887" s="11">
        <v>401720.0</v>
      </c>
      <c r="AA887" s="11">
        <v>9300.0</v>
      </c>
      <c r="AB887" s="11">
        <v>409120.0</v>
      </c>
      <c r="AC887" s="11">
        <v>-15400.0</v>
      </c>
      <c r="AD887" s="11">
        <v>398450.0</v>
      </c>
      <c r="AE887" s="11">
        <v>316870.0</v>
      </c>
      <c r="AF887" s="11">
        <v>350030.0</v>
      </c>
      <c r="AG887" s="11">
        <v>326230.0</v>
      </c>
      <c r="AH887" s="11">
        <v>247050.0</v>
      </c>
      <c r="AI887" s="11">
        <v>737240.0</v>
      </c>
      <c r="AJ887" s="11">
        <v>625530.0</v>
      </c>
      <c r="AK887" s="11">
        <v>622230.0</v>
      </c>
      <c r="AL887" s="11">
        <v>622040.0</v>
      </c>
      <c r="AM887" s="11">
        <v>546920.0</v>
      </c>
      <c r="AN887" s="11">
        <v>335170.0</v>
      </c>
      <c r="AO887" s="11">
        <v>269390.0</v>
      </c>
      <c r="AP887" s="11">
        <v>284990.0</v>
      </c>
      <c r="AQ887" s="11">
        <v>233100.0</v>
      </c>
      <c r="AR887" s="11">
        <v>176390.0</v>
      </c>
      <c r="AS887" s="11">
        <v>542280.0</v>
      </c>
      <c r="AT887" s="11">
        <v>499880.0</v>
      </c>
      <c r="AU887" s="11">
        <v>448010.0</v>
      </c>
      <c r="AV887" s="11">
        <v>462210.0</v>
      </c>
      <c r="AW887" s="11">
        <v>661830.0</v>
      </c>
      <c r="AX887" s="11">
        <v>-576070.0</v>
      </c>
      <c r="AY887" s="11">
        <v>-568230.0</v>
      </c>
      <c r="AZ887" s="11">
        <v>-341380.0</v>
      </c>
      <c r="BA887" s="11">
        <v>-388180.0</v>
      </c>
      <c r="BB887" s="11">
        <v>-536830.0</v>
      </c>
      <c r="BC887" s="11">
        <v>-160260.0</v>
      </c>
      <c r="BD887" s="11">
        <v>-154570.0</v>
      </c>
      <c r="BE887" s="11">
        <v>-150730.0</v>
      </c>
      <c r="BF887" s="11">
        <v>-147160.0</v>
      </c>
      <c r="BG887" s="11">
        <v>-142840.0</v>
      </c>
      <c r="BH887" s="11">
        <v>66460.0</v>
      </c>
      <c r="BI887" s="11">
        <v>53950.0</v>
      </c>
      <c r="BJ887" s="11">
        <v>34600.0</v>
      </c>
      <c r="BK887" s="11">
        <v>46110.0</v>
      </c>
      <c r="BL887" s="11">
        <v>83900.0</v>
      </c>
      <c r="BM887" s="11">
        <v>836610.0</v>
      </c>
      <c r="BN887" s="11">
        <v>722950.0</v>
      </c>
      <c r="BO887" s="11">
        <v>727030.0</v>
      </c>
      <c r="BP887" s="11">
        <v>630240.0</v>
      </c>
      <c r="BQ887" s="11">
        <v>582480.0</v>
      </c>
      <c r="BR887" s="11">
        <v>278410.0</v>
      </c>
      <c r="BS887" s="11">
        <v>287310.0</v>
      </c>
      <c r="BT887" s="11">
        <v>226580.0</v>
      </c>
      <c r="BU887" s="11">
        <v>238270.0</v>
      </c>
      <c r="BV887" s="11">
        <v>240550.0</v>
      </c>
      <c r="BW887" s="11">
        <v>1300000.0</v>
      </c>
      <c r="BX887" s="11">
        <v>1180000.0</v>
      </c>
      <c r="BY887" s="11">
        <v>1070000.0</v>
      </c>
      <c r="BZ887" s="11">
        <v>977480.0</v>
      </c>
      <c r="CA887" s="11">
        <v>991300.0</v>
      </c>
      <c r="CB887" s="11">
        <v>5030000.0</v>
      </c>
      <c r="CC887" s="11">
        <v>4580000.0</v>
      </c>
      <c r="CD887" s="11">
        <v>4080000.0</v>
      </c>
      <c r="CE887" s="11">
        <v>3930000.0</v>
      </c>
      <c r="CF887" s="11">
        <v>3900000.0</v>
      </c>
      <c r="CG887" s="11">
        <v>681360.0</v>
      </c>
      <c r="CH887" s="11">
        <v>664920.0</v>
      </c>
      <c r="CI887" s="11">
        <v>631790.0</v>
      </c>
      <c r="CJ887" s="11">
        <v>631790.0</v>
      </c>
      <c r="CK887" s="11">
        <v>635200.0</v>
      </c>
      <c r="CL887" s="11">
        <v>7680000.0</v>
      </c>
      <c r="CM887" s="11">
        <v>6990000.0</v>
      </c>
      <c r="CN887" s="11">
        <v>6330000.0</v>
      </c>
      <c r="CO887" s="11">
        <v>6280000.0</v>
      </c>
      <c r="CP887" s="11">
        <v>6570000.0</v>
      </c>
      <c r="CQ887" s="11">
        <v>283180.0</v>
      </c>
      <c r="CR887" s="11">
        <v>358510.0</v>
      </c>
      <c r="CS887" s="11">
        <v>312330.0</v>
      </c>
      <c r="CT887" s="11">
        <v>279960.0</v>
      </c>
      <c r="CU887" s="11">
        <v>286060.0</v>
      </c>
      <c r="CV887" s="11">
        <v>866430.0</v>
      </c>
      <c r="CW887" s="11">
        <v>31660.0</v>
      </c>
      <c r="CX887" s="13"/>
      <c r="CY887" s="13"/>
      <c r="CZ887" s="13"/>
      <c r="DA887" s="12"/>
      <c r="DB887" s="11">
        <v>866430.0</v>
      </c>
      <c r="DC887" s="11">
        <v>986050.0</v>
      </c>
      <c r="DD887" s="11">
        <v>812860.0</v>
      </c>
      <c r="DE887" s="11">
        <v>669660.0</v>
      </c>
      <c r="DF887" s="11">
        <v>4840000.0</v>
      </c>
      <c r="DG887" s="11">
        <v>4420000.0</v>
      </c>
      <c r="DH887" s="11">
        <v>3910000.0</v>
      </c>
      <c r="DI887" s="11">
        <v>3970000.0</v>
      </c>
      <c r="DJ887" s="11">
        <v>4040000.0</v>
      </c>
      <c r="DK887" s="11">
        <v>148660.0</v>
      </c>
      <c r="DL887" s="11">
        <v>138620.0</v>
      </c>
      <c r="DM887" s="11">
        <v>137610.0</v>
      </c>
      <c r="DN887" s="11">
        <v>125870.0</v>
      </c>
      <c r="DO887" s="11">
        <v>119700.0</v>
      </c>
      <c r="DP887" s="11">
        <v>2310000.0</v>
      </c>
      <c r="DQ887" s="11">
        <v>1860000.0</v>
      </c>
      <c r="DR887" s="11">
        <v>1570000.0</v>
      </c>
      <c r="DS887" s="11">
        <v>1750000.0</v>
      </c>
      <c r="DT887" s="11">
        <v>1560000.0</v>
      </c>
      <c r="DU887" s="12"/>
      <c r="DV887" s="12"/>
      <c r="DW887" s="12"/>
      <c r="DX887" s="11">
        <v>15000.0</v>
      </c>
      <c r="DY887" s="11">
        <v>15000.0</v>
      </c>
      <c r="DZ887" s="11">
        <v>2850000.0</v>
      </c>
      <c r="EA887" s="11">
        <v>2570000.0</v>
      </c>
      <c r="EB887" s="11">
        <v>2430000.0</v>
      </c>
      <c r="EC887" s="11">
        <v>2320000.0</v>
      </c>
      <c r="ED887" s="11">
        <v>2400000.0</v>
      </c>
      <c r="EE887" s="23">
        <v>0.0</v>
      </c>
      <c r="EF887" s="23">
        <v>0.0</v>
      </c>
      <c r="EG887" s="14">
        <v>-0.409</v>
      </c>
      <c r="EH887" s="23">
        <v>0.01875</v>
      </c>
    </row>
    <row r="888">
      <c r="A888" s="9">
        <f t="shared" si="2"/>
        <v>886</v>
      </c>
      <c r="B888" s="22" t="s">
        <v>1023</v>
      </c>
      <c r="C888" s="11">
        <v>1110000.0</v>
      </c>
      <c r="D888" s="11">
        <v>903500.0</v>
      </c>
      <c r="E888" s="11">
        <v>860970.0</v>
      </c>
      <c r="F888" s="11">
        <v>704590.0</v>
      </c>
      <c r="G888" s="11">
        <v>436150.0</v>
      </c>
      <c r="H888" s="11">
        <v>421580.0</v>
      </c>
      <c r="I888" s="11">
        <v>359060.0</v>
      </c>
      <c r="J888" s="11">
        <v>222510.0</v>
      </c>
      <c r="K888" s="11">
        <v>176730.0</v>
      </c>
      <c r="L888" s="11">
        <v>128220.0</v>
      </c>
      <c r="M888" s="11">
        <v>114000.0</v>
      </c>
      <c r="N888" s="11">
        <v>86870.0</v>
      </c>
      <c r="O888" s="11">
        <v>95250.0</v>
      </c>
      <c r="P888" s="11">
        <v>75680.0</v>
      </c>
      <c r="Q888" s="11">
        <v>63360.0</v>
      </c>
      <c r="R888" s="11">
        <v>61510.0</v>
      </c>
      <c r="S888" s="11">
        <v>57000.0</v>
      </c>
      <c r="T888" s="12"/>
      <c r="U888" s="12"/>
      <c r="V888" s="12"/>
      <c r="W888" s="12"/>
      <c r="X888" s="12"/>
      <c r="Y888" s="12"/>
      <c r="Z888" s="12"/>
      <c r="AA888" s="12"/>
      <c r="AB888" s="11">
        <v>41760.0</v>
      </c>
      <c r="AC888" s="11">
        <v>20560.0</v>
      </c>
      <c r="AD888" s="11">
        <v>124830.0</v>
      </c>
      <c r="AE888" s="11">
        <v>93950.0</v>
      </c>
      <c r="AF888" s="11">
        <v>56950.0</v>
      </c>
      <c r="AG888" s="11">
        <v>21960.0</v>
      </c>
      <c r="AH888" s="11">
        <v>-7830.0</v>
      </c>
      <c r="AI888" s="11">
        <v>150450.0</v>
      </c>
      <c r="AJ888" s="11">
        <v>139850.0</v>
      </c>
      <c r="AK888" s="11">
        <v>111330.0</v>
      </c>
      <c r="AL888" s="11">
        <v>110600.0</v>
      </c>
      <c r="AM888" s="11">
        <v>99400.0</v>
      </c>
      <c r="AN888" s="11">
        <v>100160.0</v>
      </c>
      <c r="AO888" s="11">
        <v>72890.0</v>
      </c>
      <c r="AP888" s="11">
        <v>39030.0</v>
      </c>
      <c r="AQ888" s="11">
        <v>13430.0</v>
      </c>
      <c r="AR888" s="11">
        <v>-8670.0</v>
      </c>
      <c r="AS888" s="11">
        <v>210900.0</v>
      </c>
      <c r="AT888" s="11">
        <v>156580.0</v>
      </c>
      <c r="AU888" s="11">
        <v>97390.0</v>
      </c>
      <c r="AV888" s="11">
        <v>91730.0</v>
      </c>
      <c r="AW888" s="11">
        <v>85870.0</v>
      </c>
      <c r="AX888" s="11">
        <v>-17910.0</v>
      </c>
      <c r="AY888" s="11">
        <v>-16020.0</v>
      </c>
      <c r="AZ888" s="11">
        <v>-12290.0</v>
      </c>
      <c r="BA888" s="11">
        <v>-13540.0</v>
      </c>
      <c r="BB888" s="11">
        <v>-6470.0</v>
      </c>
      <c r="BC888" s="12"/>
      <c r="BD888" s="12"/>
      <c r="BE888" s="12"/>
      <c r="BF888" s="12"/>
      <c r="BG888" s="12"/>
      <c r="BH888" s="11">
        <v>131920.0</v>
      </c>
      <c r="BI888" s="11">
        <v>23280.0</v>
      </c>
      <c r="BJ888" s="11">
        <v>26490.0</v>
      </c>
      <c r="BK888" s="11">
        <v>37410.0</v>
      </c>
      <c r="BL888" s="11">
        <v>17740.0</v>
      </c>
      <c r="BM888" s="11">
        <v>155660.0</v>
      </c>
      <c r="BN888" s="11">
        <v>133450.0</v>
      </c>
      <c r="BO888" s="11">
        <v>83080.0</v>
      </c>
      <c r="BP888" s="11">
        <v>79770.0</v>
      </c>
      <c r="BQ888" s="11">
        <v>65090.0</v>
      </c>
      <c r="BR888" s="12"/>
      <c r="BS888" s="12"/>
      <c r="BT888" s="12"/>
      <c r="BU888" s="12"/>
      <c r="BV888" s="12"/>
      <c r="BW888" s="11">
        <v>317030.0</v>
      </c>
      <c r="BX888" s="11">
        <v>178110.0</v>
      </c>
      <c r="BY888" s="11">
        <v>129970.0</v>
      </c>
      <c r="BZ888" s="11">
        <v>133250.0</v>
      </c>
      <c r="CA888" s="11">
        <v>94720.0</v>
      </c>
      <c r="CB888" s="11">
        <v>99440.0</v>
      </c>
      <c r="CC888" s="11">
        <v>52260.0</v>
      </c>
      <c r="CD888" s="11">
        <v>48740.0</v>
      </c>
      <c r="CE888" s="11">
        <v>43810.0</v>
      </c>
      <c r="CF888" s="11">
        <v>37510.0</v>
      </c>
      <c r="CG888" s="11">
        <v>662400.0</v>
      </c>
      <c r="CH888" s="11">
        <v>660980.0</v>
      </c>
      <c r="CI888" s="11">
        <v>660980.0</v>
      </c>
      <c r="CJ888" s="11">
        <v>660980.0</v>
      </c>
      <c r="CK888" s="11">
        <v>660980.0</v>
      </c>
      <c r="CL888" s="11">
        <v>1140000.0</v>
      </c>
      <c r="CM888" s="11">
        <v>967930.0</v>
      </c>
      <c r="CN888" s="11">
        <v>950720.0</v>
      </c>
      <c r="CO888" s="11">
        <v>979110.0</v>
      </c>
      <c r="CP888" s="11">
        <v>984040.0</v>
      </c>
      <c r="CQ888" s="11">
        <v>22400.0</v>
      </c>
      <c r="CR888" s="11">
        <v>16740.0</v>
      </c>
      <c r="CS888" s="11">
        <v>16670.0</v>
      </c>
      <c r="CT888" s="11">
        <v>10910.0</v>
      </c>
      <c r="CU888" s="11">
        <v>8730.0</v>
      </c>
      <c r="CV888" s="11">
        <v>343000.0</v>
      </c>
      <c r="CW888" s="11">
        <v>10980.0</v>
      </c>
      <c r="CX888" s="12"/>
      <c r="CY888" s="12"/>
      <c r="CZ888" s="12"/>
      <c r="DA888" s="12"/>
      <c r="DB888" s="11">
        <v>343000.0</v>
      </c>
      <c r="DC888" s="11">
        <v>257030.0</v>
      </c>
      <c r="DD888" s="11">
        <v>192710.0</v>
      </c>
      <c r="DE888" s="11">
        <v>168600.0</v>
      </c>
      <c r="DF888" s="11">
        <v>416790.0</v>
      </c>
      <c r="DG888" s="11">
        <v>378230.0</v>
      </c>
      <c r="DH888" s="11">
        <v>447190.0</v>
      </c>
      <c r="DI888" s="11">
        <v>368400.0</v>
      </c>
      <c r="DJ888" s="11">
        <v>570570.0</v>
      </c>
      <c r="DK888" s="12"/>
      <c r="DL888" s="12"/>
      <c r="DM888" s="12"/>
      <c r="DN888" s="12"/>
      <c r="DO888" s="12"/>
      <c r="DP888" s="11">
        <v>45210.0</v>
      </c>
      <c r="DQ888" s="11">
        <v>104210.0</v>
      </c>
      <c r="DR888" s="11">
        <v>231710.0</v>
      </c>
      <c r="DS888" s="11">
        <v>179790.0</v>
      </c>
      <c r="DT888" s="11">
        <v>408160.0</v>
      </c>
      <c r="DU888" s="13"/>
      <c r="DV888" s="12"/>
      <c r="DW888" s="12"/>
      <c r="DX888" s="13"/>
      <c r="DY888" s="13"/>
      <c r="DZ888" s="11">
        <v>726280.0</v>
      </c>
      <c r="EA888" s="11">
        <v>589700.0</v>
      </c>
      <c r="EB888" s="11">
        <v>503530.0</v>
      </c>
      <c r="EC888" s="11">
        <v>610710.0</v>
      </c>
      <c r="ED888" s="11">
        <v>413470.0</v>
      </c>
      <c r="EE888" s="14">
        <v>0.023</v>
      </c>
      <c r="EF888" s="14">
        <v>0.063</v>
      </c>
      <c r="EG888" s="14">
        <v>0.659</v>
      </c>
      <c r="EH888" s="14">
        <v>0.215</v>
      </c>
    </row>
    <row r="889">
      <c r="A889" s="9">
        <f t="shared" si="2"/>
        <v>887</v>
      </c>
      <c r="B889" s="22" t="s">
        <v>1024</v>
      </c>
      <c r="C889" s="11">
        <v>21510.0</v>
      </c>
      <c r="D889" s="11">
        <v>48420.0</v>
      </c>
      <c r="E889" s="11">
        <v>4920.0</v>
      </c>
      <c r="F889" s="11">
        <v>1620.0</v>
      </c>
      <c r="G889" s="11">
        <v>23250.0</v>
      </c>
      <c r="H889" s="12"/>
      <c r="I889" s="12"/>
      <c r="J889" s="11">
        <v>652.0</v>
      </c>
      <c r="K889" s="11">
        <v>-1760.0</v>
      </c>
      <c r="L889" s="11">
        <v>18250.0</v>
      </c>
      <c r="M889" s="11">
        <v>-58.0</v>
      </c>
      <c r="N889" s="11">
        <v>-64.0</v>
      </c>
      <c r="O889" s="11">
        <v>46900.0</v>
      </c>
      <c r="P889" s="11">
        <v>26830.0</v>
      </c>
      <c r="Q889" s="11">
        <v>15870.0</v>
      </c>
      <c r="R889" s="11">
        <v>20950.0</v>
      </c>
      <c r="S889" s="11">
        <v>32710.0</v>
      </c>
      <c r="T889" s="11">
        <v>32300.0</v>
      </c>
      <c r="U889" s="11">
        <v>17040.0</v>
      </c>
      <c r="V889" s="11">
        <v>7240.0</v>
      </c>
      <c r="W889" s="11">
        <v>13400.0</v>
      </c>
      <c r="X889" s="11">
        <v>23820.0</v>
      </c>
      <c r="Y889" s="11">
        <v>-18610.0</v>
      </c>
      <c r="Z889" s="11">
        <v>-38290.0</v>
      </c>
      <c r="AA889" s="12"/>
      <c r="AB889" s="12"/>
      <c r="AC889" s="12"/>
      <c r="AD889" s="11">
        <v>-16820.0</v>
      </c>
      <c r="AE889" s="11">
        <v>-40070.0</v>
      </c>
      <c r="AF889" s="11">
        <v>2670.0</v>
      </c>
      <c r="AG889" s="11">
        <v>-20860.0</v>
      </c>
      <c r="AH889" s="11">
        <v>-32690.0</v>
      </c>
      <c r="AI889" s="11">
        <v>-46170.0</v>
      </c>
      <c r="AJ889" s="11">
        <v>-28530.0</v>
      </c>
      <c r="AK889" s="11">
        <v>2470.0</v>
      </c>
      <c r="AL889" s="11">
        <v>-20950.0</v>
      </c>
      <c r="AM889" s="11">
        <v>-32710.0</v>
      </c>
      <c r="AN889" s="11">
        <v>-16820.0</v>
      </c>
      <c r="AO889" s="11">
        <v>-40070.0</v>
      </c>
      <c r="AP889" s="11">
        <v>2670.0</v>
      </c>
      <c r="AQ889" s="11">
        <v>-20860.0</v>
      </c>
      <c r="AR889" s="11">
        <v>-32690.0</v>
      </c>
      <c r="AS889" s="11">
        <v>-29420.0</v>
      </c>
      <c r="AT889" s="11">
        <v>-21300.0</v>
      </c>
      <c r="AU889" s="11">
        <v>3490.0</v>
      </c>
      <c r="AV889" s="11">
        <v>-17860.0</v>
      </c>
      <c r="AW889" s="11">
        <v>-28070.0</v>
      </c>
      <c r="AX889" s="11">
        <v>-217.0</v>
      </c>
      <c r="AY889" s="12"/>
      <c r="AZ889" s="11">
        <v>-51.0</v>
      </c>
      <c r="BA889" s="11">
        <v>-4.0</v>
      </c>
      <c r="BB889" s="11">
        <v>-15.0</v>
      </c>
      <c r="BC889" s="12"/>
      <c r="BD889" s="12"/>
      <c r="BE889" s="12"/>
      <c r="BF889" s="12"/>
      <c r="BG889" s="12"/>
      <c r="BH889" s="11">
        <v>74490.0</v>
      </c>
      <c r="BI889" s="11">
        <v>102740.0</v>
      </c>
      <c r="BJ889" s="11">
        <v>53570.0</v>
      </c>
      <c r="BK889" s="11">
        <v>45920.0</v>
      </c>
      <c r="BL889" s="11">
        <v>63780.0</v>
      </c>
      <c r="BM889" s="11">
        <v>5960.0</v>
      </c>
      <c r="BN889" s="12"/>
      <c r="BO889" s="12"/>
      <c r="BP889" s="12"/>
      <c r="BQ889" s="12"/>
      <c r="BR889" s="12"/>
      <c r="BS889" s="12"/>
      <c r="BT889" s="12"/>
      <c r="BU889" s="12"/>
      <c r="BV889" s="12"/>
      <c r="BW889" s="11">
        <v>82200.0</v>
      </c>
      <c r="BX889" s="11">
        <v>104330.0</v>
      </c>
      <c r="BY889" s="11">
        <v>55320.0</v>
      </c>
      <c r="BZ889" s="11">
        <v>46750.0</v>
      </c>
      <c r="CA889" s="11">
        <v>64280.0</v>
      </c>
      <c r="CB889" s="11">
        <v>204.0</v>
      </c>
      <c r="CC889" s="11">
        <v>32.0</v>
      </c>
      <c r="CD889" s="11">
        <v>50.0</v>
      </c>
      <c r="CE889" s="11">
        <v>49.0</v>
      </c>
      <c r="CF889" s="11">
        <v>68.0</v>
      </c>
      <c r="CG889" s="12"/>
      <c r="CH889" s="12"/>
      <c r="CI889" s="12"/>
      <c r="CJ889" s="12"/>
      <c r="CK889" s="12"/>
      <c r="CL889" s="11">
        <v>82660.0</v>
      </c>
      <c r="CM889" s="11">
        <v>104660.0</v>
      </c>
      <c r="CN889" s="11">
        <v>55700.0</v>
      </c>
      <c r="CO889" s="11">
        <v>47160.0</v>
      </c>
      <c r="CP889" s="11">
        <v>64750.0</v>
      </c>
      <c r="CQ889" s="11">
        <v>4790.0</v>
      </c>
      <c r="CR889" s="11">
        <v>3640.0</v>
      </c>
      <c r="CS889" s="11">
        <v>585.0</v>
      </c>
      <c r="CT889" s="12"/>
      <c r="CU889" s="11">
        <v>863.0</v>
      </c>
      <c r="CV889" s="11">
        <v>14300.0</v>
      </c>
      <c r="CW889" s="12"/>
      <c r="CX889" s="12"/>
      <c r="CY889" s="12"/>
      <c r="CZ889" s="12"/>
      <c r="DA889" s="12"/>
      <c r="DB889" s="11">
        <v>14300.0</v>
      </c>
      <c r="DC889" s="11">
        <v>7890.0</v>
      </c>
      <c r="DD889" s="11">
        <v>4870.0</v>
      </c>
      <c r="DE889" s="11">
        <v>5510.0</v>
      </c>
      <c r="DF889" s="11">
        <v>34730.0</v>
      </c>
      <c r="DG889" s="11">
        <v>54200.0</v>
      </c>
      <c r="DH889" s="11">
        <v>4870.0</v>
      </c>
      <c r="DI889" s="11">
        <v>5510.0</v>
      </c>
      <c r="DJ889" s="11">
        <v>4960.0</v>
      </c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3"/>
      <c r="DV889" s="12"/>
      <c r="DW889" s="12"/>
      <c r="DX889" s="13"/>
      <c r="DY889" s="13"/>
      <c r="DZ889" s="11">
        <v>47930.0</v>
      </c>
      <c r="EA889" s="11">
        <v>50460.0</v>
      </c>
      <c r="EB889" s="11">
        <v>50840.0</v>
      </c>
      <c r="EC889" s="11">
        <v>41650.0</v>
      </c>
      <c r="ED889" s="11">
        <v>59790.0</v>
      </c>
      <c r="EE889" s="14">
        <v>2.105</v>
      </c>
      <c r="EF889" s="23"/>
      <c r="EG889" s="14">
        <v>0.714</v>
      </c>
      <c r="EH889" s="14">
        <v>0.3</v>
      </c>
    </row>
    <row r="890">
      <c r="A890" s="9">
        <f t="shared" si="2"/>
        <v>888</v>
      </c>
      <c r="B890" s="25" t="s">
        <v>1025</v>
      </c>
      <c r="C890" s="15">
        <v>2490000.0</v>
      </c>
      <c r="D890" s="15">
        <v>2270000.0</v>
      </c>
      <c r="E890" s="15">
        <v>4360000.0</v>
      </c>
      <c r="F890" s="15">
        <v>5810000.0</v>
      </c>
      <c r="G890" s="15">
        <v>3970000.0</v>
      </c>
      <c r="H890" s="15">
        <v>2650000.0</v>
      </c>
      <c r="I890" s="15">
        <v>2850000.0</v>
      </c>
      <c r="J890" s="15">
        <v>944560.0</v>
      </c>
      <c r="K890" s="15">
        <v>1750000.0</v>
      </c>
      <c r="L890" s="15">
        <v>1330000.0</v>
      </c>
      <c r="M890" s="15">
        <v>614690.0</v>
      </c>
      <c r="N890" s="15">
        <v>641760.0</v>
      </c>
      <c r="O890" s="15">
        <v>760610.0</v>
      </c>
      <c r="P890" s="15">
        <v>680270.0</v>
      </c>
      <c r="Q890" s="15">
        <v>712130.0</v>
      </c>
      <c r="R890" s="15">
        <v>620820.0</v>
      </c>
      <c r="S890" s="15">
        <v>421150.0</v>
      </c>
      <c r="T890" s="12"/>
      <c r="U890" s="12"/>
      <c r="V890" s="12"/>
      <c r="W890" s="12"/>
      <c r="X890" s="12"/>
      <c r="Y890" s="15">
        <v>250300.0</v>
      </c>
      <c r="Z890" s="12"/>
      <c r="AA890" s="12"/>
      <c r="AB890" s="15">
        <v>36930.0</v>
      </c>
      <c r="AC890" s="15">
        <v>303770.0</v>
      </c>
      <c r="AD890" s="15">
        <v>91050.0</v>
      </c>
      <c r="AE890" s="15">
        <v>958470.0</v>
      </c>
      <c r="AF890" s="15">
        <v>512570.0</v>
      </c>
      <c r="AG890" s="15">
        <v>-76100.0</v>
      </c>
      <c r="AH890" s="15">
        <v>206630.0</v>
      </c>
      <c r="AI890" s="15">
        <v>641660.0</v>
      </c>
      <c r="AJ890" s="15">
        <v>1390000.0</v>
      </c>
      <c r="AK890" s="15">
        <v>919890.0</v>
      </c>
      <c r="AL890" s="15">
        <v>296780.0</v>
      </c>
      <c r="AM890" s="15">
        <v>470430.0</v>
      </c>
      <c r="AN890" s="15">
        <v>116460.0</v>
      </c>
      <c r="AO890" s="15">
        <v>737480.0</v>
      </c>
      <c r="AP890" s="15">
        <v>410350.0</v>
      </c>
      <c r="AQ890" s="15">
        <v>-16620.0</v>
      </c>
      <c r="AR890" s="15">
        <v>256660.0</v>
      </c>
      <c r="AS890" s="15">
        <v>530960.0</v>
      </c>
      <c r="AT890" s="15">
        <v>1150000.0</v>
      </c>
      <c r="AU890" s="15">
        <v>910810.0</v>
      </c>
      <c r="AV890" s="15">
        <v>221220.0</v>
      </c>
      <c r="AW890" s="15">
        <v>274650.0</v>
      </c>
      <c r="AX890" s="15">
        <v>-429730.0</v>
      </c>
      <c r="AY890" s="15">
        <v>-316880.0</v>
      </c>
      <c r="AZ890" s="15">
        <v>-133920.0</v>
      </c>
      <c r="BA890" s="15">
        <v>-132420.0</v>
      </c>
      <c r="BB890" s="15">
        <v>-543760.0</v>
      </c>
      <c r="BC890" s="15">
        <v>-143140.0</v>
      </c>
      <c r="BD890" s="15">
        <v>-136970.0</v>
      </c>
      <c r="BE890" s="15">
        <v>-131740.0</v>
      </c>
      <c r="BF890" s="15">
        <v>-130900.0</v>
      </c>
      <c r="BG890" s="15">
        <v>-124380.0</v>
      </c>
      <c r="BH890" s="15">
        <v>544720.0</v>
      </c>
      <c r="BI890" s="15">
        <v>432970.0</v>
      </c>
      <c r="BJ890" s="15">
        <v>470460.0</v>
      </c>
      <c r="BK890" s="15">
        <v>300250.0</v>
      </c>
      <c r="BL890" s="15">
        <v>354130.0</v>
      </c>
      <c r="BM890" s="15">
        <v>633750.0</v>
      </c>
      <c r="BN890" s="15">
        <v>702800.0</v>
      </c>
      <c r="BO890" s="15">
        <v>672380.0</v>
      </c>
      <c r="BP890" s="15">
        <v>669990.0</v>
      </c>
      <c r="BQ890" s="15">
        <v>700590.0</v>
      </c>
      <c r="BR890" s="15">
        <v>364450.0</v>
      </c>
      <c r="BS890" s="15">
        <v>529870.0</v>
      </c>
      <c r="BT890" s="15">
        <v>381480.0</v>
      </c>
      <c r="BU890" s="15">
        <v>377270.0</v>
      </c>
      <c r="BV890" s="15">
        <v>351770.0</v>
      </c>
      <c r="BW890" s="15">
        <v>1600000.0</v>
      </c>
      <c r="BX890" s="15">
        <v>1710000.0</v>
      </c>
      <c r="BY890" s="15">
        <v>1560000.0</v>
      </c>
      <c r="BZ890" s="15">
        <v>1380000.0</v>
      </c>
      <c r="CA890" s="15">
        <v>1430000.0</v>
      </c>
      <c r="CB890" s="15">
        <v>4640000.0</v>
      </c>
      <c r="CC890" s="15">
        <v>4130000.0</v>
      </c>
      <c r="CD890" s="15">
        <v>3760000.0</v>
      </c>
      <c r="CE890" s="15">
        <v>4180000.0</v>
      </c>
      <c r="CF890" s="15">
        <v>4390000.0</v>
      </c>
      <c r="CG890" s="12"/>
      <c r="CH890" s="12"/>
      <c r="CI890" s="12"/>
      <c r="CJ890" s="12"/>
      <c r="CK890" s="12"/>
      <c r="CL890" s="15">
        <v>6740000.0</v>
      </c>
      <c r="CM890" s="15">
        <v>6290000.0</v>
      </c>
      <c r="CN890" s="15">
        <v>5780000.0</v>
      </c>
      <c r="CO890" s="15">
        <v>6110000.0</v>
      </c>
      <c r="CP890" s="15">
        <v>6390000.0</v>
      </c>
      <c r="CQ890" s="15">
        <v>640280.0</v>
      </c>
      <c r="CR890" s="15">
        <v>843260.0</v>
      </c>
      <c r="CS890" s="15">
        <v>785370.0</v>
      </c>
      <c r="CT890" s="15">
        <v>701660.0</v>
      </c>
      <c r="CU890" s="15">
        <v>706550.0</v>
      </c>
      <c r="CV890" s="15">
        <v>840610.0</v>
      </c>
      <c r="CW890" s="12"/>
      <c r="CX890" s="12"/>
      <c r="CY890" s="12"/>
      <c r="CZ890" s="12"/>
      <c r="DA890" s="12"/>
      <c r="DB890" s="15">
        <v>840610.0</v>
      </c>
      <c r="DC890" s="15">
        <v>1430000.0</v>
      </c>
      <c r="DD890" s="15">
        <v>937140.0</v>
      </c>
      <c r="DE890" s="15">
        <v>813930.0</v>
      </c>
      <c r="DF890" s="15">
        <v>4620000.0</v>
      </c>
      <c r="DG890" s="15">
        <v>3830000.0</v>
      </c>
      <c r="DH890" s="15">
        <v>3590000.0</v>
      </c>
      <c r="DI890" s="15">
        <v>3690000.0</v>
      </c>
      <c r="DJ890" s="15">
        <v>3650000.0</v>
      </c>
      <c r="DK890" s="15">
        <v>307990.0</v>
      </c>
      <c r="DL890" s="15">
        <v>309360.0</v>
      </c>
      <c r="DM890" s="15">
        <v>277260.0</v>
      </c>
      <c r="DN890" s="15">
        <v>318220.0</v>
      </c>
      <c r="DO890" s="15">
        <v>363830.0</v>
      </c>
      <c r="DP890" s="15">
        <v>3060000.0</v>
      </c>
      <c r="DQ890" s="15">
        <v>1730000.0</v>
      </c>
      <c r="DR890" s="15">
        <v>2060000.0</v>
      </c>
      <c r="DS890" s="15">
        <v>2280000.0</v>
      </c>
      <c r="DT890" s="15">
        <v>2230000.0</v>
      </c>
      <c r="DU890" s="12"/>
      <c r="DV890" s="12"/>
      <c r="DW890" s="12"/>
      <c r="DX890" s="12"/>
      <c r="DY890" s="12"/>
      <c r="DZ890" s="15">
        <v>1730000.0</v>
      </c>
      <c r="EA890" s="15">
        <v>2060000.0</v>
      </c>
      <c r="EB890" s="15">
        <v>1880000.0</v>
      </c>
      <c r="EC890" s="15">
        <v>2140000.0</v>
      </c>
      <c r="ED890" s="15">
        <v>2390000.0</v>
      </c>
      <c r="EE890" s="17">
        <v>0.242</v>
      </c>
      <c r="EF890" s="17">
        <v>0.478</v>
      </c>
      <c r="EG890" s="17">
        <v>0.25</v>
      </c>
      <c r="EH890" s="17">
        <v>0.2</v>
      </c>
    </row>
    <row r="891">
      <c r="A891" s="9">
        <f t="shared" si="2"/>
        <v>889</v>
      </c>
      <c r="B891" s="22" t="s">
        <v>1026</v>
      </c>
      <c r="C891" s="11">
        <v>216600.0</v>
      </c>
      <c r="D891" s="11">
        <v>41840.0</v>
      </c>
      <c r="E891" s="11">
        <v>22380.0</v>
      </c>
      <c r="F891" s="11">
        <v>21910.0</v>
      </c>
      <c r="G891" s="11">
        <v>2580.0</v>
      </c>
      <c r="H891" s="11">
        <v>56990.0</v>
      </c>
      <c r="I891" s="11">
        <v>20480.0</v>
      </c>
      <c r="J891" s="11">
        <v>902.0</v>
      </c>
      <c r="K891" s="11">
        <v>14800.0</v>
      </c>
      <c r="L891" s="11">
        <v>-13420.0</v>
      </c>
      <c r="M891" s="11">
        <v>16090.0</v>
      </c>
      <c r="N891" s="11">
        <v>-8720.0</v>
      </c>
      <c r="O891" s="11">
        <v>113980.0</v>
      </c>
      <c r="P891" s="11">
        <v>113360.0</v>
      </c>
      <c r="Q891" s="11">
        <v>108630.0</v>
      </c>
      <c r="R891" s="11">
        <v>99650.0</v>
      </c>
      <c r="S891" s="11">
        <v>113770.0</v>
      </c>
      <c r="T891" s="11">
        <v>83740.0</v>
      </c>
      <c r="U891" s="11">
        <v>85080.0</v>
      </c>
      <c r="V891" s="11">
        <v>78120.0</v>
      </c>
      <c r="W891" s="11">
        <v>68730.0</v>
      </c>
      <c r="X891" s="11">
        <v>77590.0</v>
      </c>
      <c r="Y891" s="11">
        <v>-122360.0</v>
      </c>
      <c r="Z891" s="11">
        <v>-84950.0</v>
      </c>
      <c r="AA891" s="11">
        <v>-122220.0</v>
      </c>
      <c r="AB891" s="11">
        <v>-130020.0</v>
      </c>
      <c r="AC891" s="11">
        <v>-140910.0</v>
      </c>
      <c r="AD891" s="11">
        <v>-138090.0</v>
      </c>
      <c r="AE891" s="11">
        <v>-87480.0</v>
      </c>
      <c r="AF891" s="11">
        <v>-121660.0</v>
      </c>
      <c r="AG891" s="11">
        <v>-130080.0</v>
      </c>
      <c r="AH891" s="11">
        <v>-124680.0</v>
      </c>
      <c r="AI891" s="11">
        <v>-110090.0</v>
      </c>
      <c r="AJ891" s="11">
        <v>-95140.0</v>
      </c>
      <c r="AK891" s="11">
        <v>-117990.0</v>
      </c>
      <c r="AL891" s="11">
        <v>-80550.0</v>
      </c>
      <c r="AM891" s="11">
        <v>-120530.0</v>
      </c>
      <c r="AN891" s="11">
        <v>-125570.0</v>
      </c>
      <c r="AO891" s="11">
        <v>-45540.0</v>
      </c>
      <c r="AP891" s="11">
        <v>-101860.0</v>
      </c>
      <c r="AQ891" s="11">
        <v>-5670.0</v>
      </c>
      <c r="AR891" s="11">
        <v>-119370.0</v>
      </c>
      <c r="AS891" s="11">
        <v>-80810.0</v>
      </c>
      <c r="AT891" s="11">
        <v>-96810.0</v>
      </c>
      <c r="AU891" s="11">
        <v>-126590.0</v>
      </c>
      <c r="AV891" s="11">
        <v>-120920.0</v>
      </c>
      <c r="AW891" s="11">
        <v>-121710.0</v>
      </c>
      <c r="AX891" s="11">
        <v>-390.0</v>
      </c>
      <c r="AY891" s="11">
        <v>-259.0</v>
      </c>
      <c r="AZ891" s="11">
        <v>-412.0</v>
      </c>
      <c r="BA891" s="11">
        <v>-1270.0</v>
      </c>
      <c r="BB891" s="11">
        <v>-2720.0</v>
      </c>
      <c r="BC891" s="12"/>
      <c r="BD891" s="12"/>
      <c r="BE891" s="12"/>
      <c r="BF891" s="12"/>
      <c r="BG891" s="12"/>
      <c r="BH891" s="11">
        <v>71860.0</v>
      </c>
      <c r="BI891" s="11">
        <v>51450.0</v>
      </c>
      <c r="BJ891" s="11">
        <v>59660.0</v>
      </c>
      <c r="BK891" s="11">
        <v>108700.0</v>
      </c>
      <c r="BL891" s="11">
        <v>144140.0</v>
      </c>
      <c r="BM891" s="11">
        <v>5790.0</v>
      </c>
      <c r="BN891" s="11">
        <v>67830.0</v>
      </c>
      <c r="BO891" s="11">
        <v>4550.0</v>
      </c>
      <c r="BP891" s="11">
        <v>5440.0</v>
      </c>
      <c r="BQ891" s="11">
        <v>5170.0</v>
      </c>
      <c r="BR891" s="12"/>
      <c r="BS891" s="12"/>
      <c r="BT891" s="12"/>
      <c r="BU891" s="12"/>
      <c r="BV891" s="12"/>
      <c r="BW891" s="11">
        <v>89090.0</v>
      </c>
      <c r="BX891" s="11">
        <v>136800.0</v>
      </c>
      <c r="BY891" s="11">
        <v>82930.0</v>
      </c>
      <c r="BZ891" s="11">
        <v>119290.0</v>
      </c>
      <c r="CA891" s="11">
        <v>159450.0</v>
      </c>
      <c r="CB891" s="11">
        <v>1180.0</v>
      </c>
      <c r="CC891" s="11">
        <v>1470.0</v>
      </c>
      <c r="CD891" s="11">
        <v>2360.0</v>
      </c>
      <c r="CE891" s="11">
        <v>4110.0</v>
      </c>
      <c r="CF891" s="11">
        <v>5730.0</v>
      </c>
      <c r="CG891" s="11">
        <v>191600.0</v>
      </c>
      <c r="CH891" s="11">
        <v>181980.0</v>
      </c>
      <c r="CI891" s="11">
        <v>175290.0</v>
      </c>
      <c r="CJ891" s="11">
        <v>180570.0</v>
      </c>
      <c r="CK891" s="11">
        <v>175070.0</v>
      </c>
      <c r="CL891" s="11">
        <v>1020000.0</v>
      </c>
      <c r="CM891" s="11">
        <v>1010000.0</v>
      </c>
      <c r="CN891" s="11">
        <v>956800.0</v>
      </c>
      <c r="CO891" s="11">
        <v>1010000.0</v>
      </c>
      <c r="CP891" s="11">
        <v>1020000.0</v>
      </c>
      <c r="CQ891" s="11">
        <v>18610.0</v>
      </c>
      <c r="CR891" s="11">
        <v>25610.0</v>
      </c>
      <c r="CS891" s="11">
        <v>28430.0</v>
      </c>
      <c r="CT891" s="11">
        <v>36470.0</v>
      </c>
      <c r="CU891" s="11">
        <v>36770.0</v>
      </c>
      <c r="CV891" s="11">
        <v>63310.0</v>
      </c>
      <c r="CW891" s="11">
        <v>19960.0</v>
      </c>
      <c r="CX891" s="12"/>
      <c r="CY891" s="12"/>
      <c r="CZ891" s="12"/>
      <c r="DA891" s="12"/>
      <c r="DB891" s="11">
        <v>63310.0</v>
      </c>
      <c r="DC891" s="11">
        <v>32690.0</v>
      </c>
      <c r="DD891" s="11">
        <v>48000.0</v>
      </c>
      <c r="DE891" s="11">
        <v>39500.0</v>
      </c>
      <c r="DF891" s="11">
        <v>337000.0</v>
      </c>
      <c r="DG891" s="11">
        <v>274760.0</v>
      </c>
      <c r="DH891" s="11">
        <v>283090.0</v>
      </c>
      <c r="DI891" s="11">
        <v>296640.0</v>
      </c>
      <c r="DJ891" s="11">
        <v>408570.0</v>
      </c>
      <c r="DK891" s="11">
        <v>3300.0</v>
      </c>
      <c r="DL891" s="11">
        <v>4100.0</v>
      </c>
      <c r="DM891" s="11">
        <v>3570.0</v>
      </c>
      <c r="DN891" s="11">
        <v>2640.0</v>
      </c>
      <c r="DO891" s="11">
        <v>6080.0</v>
      </c>
      <c r="DP891" s="11">
        <v>95870.0</v>
      </c>
      <c r="DQ891" s="11">
        <v>80390.0</v>
      </c>
      <c r="DR891" s="12"/>
      <c r="DS891" s="12"/>
      <c r="DT891" s="12"/>
      <c r="DU891" s="13"/>
      <c r="DV891" s="12"/>
      <c r="DW891" s="12"/>
      <c r="DX891" s="13"/>
      <c r="DY891" s="13"/>
      <c r="DZ891" s="11">
        <v>685500.0</v>
      </c>
      <c r="EA891" s="11">
        <v>739000.0</v>
      </c>
      <c r="EB891" s="11">
        <v>673710.0</v>
      </c>
      <c r="EC891" s="11">
        <v>709320.0</v>
      </c>
      <c r="ED891" s="11">
        <v>609360.0</v>
      </c>
      <c r="EE891" s="14">
        <v>0.82</v>
      </c>
      <c r="EF891" s="14">
        <v>2.225</v>
      </c>
      <c r="EG891" s="14">
        <v>0.176</v>
      </c>
      <c r="EH891" s="14">
        <v>0.25</v>
      </c>
    </row>
    <row r="892">
      <c r="A892" s="9">
        <f t="shared" si="2"/>
        <v>890</v>
      </c>
      <c r="B892" s="10" t="s">
        <v>1027</v>
      </c>
      <c r="C892" s="12">
        <v>238430.0</v>
      </c>
      <c r="D892" s="12">
        <v>158600.0</v>
      </c>
      <c r="E892" s="12">
        <v>230210.0</v>
      </c>
      <c r="F892" s="12">
        <v>227570.0</v>
      </c>
      <c r="G892" s="12">
        <v>61040.0</v>
      </c>
      <c r="H892" s="12">
        <v>5220.0</v>
      </c>
      <c r="I892" s="12">
        <v>0.0</v>
      </c>
      <c r="J892" s="12">
        <v>47710.0</v>
      </c>
      <c r="K892" s="12">
        <v>38100.0</v>
      </c>
      <c r="L892" s="12">
        <v>-3300.0</v>
      </c>
      <c r="M892" s="12">
        <v>0.0</v>
      </c>
      <c r="N892" s="12">
        <v>-1010.0</v>
      </c>
      <c r="O892" s="12">
        <v>18180.0</v>
      </c>
      <c r="P892" s="12">
        <v>14010.0</v>
      </c>
      <c r="Q892" s="12">
        <v>12590.0</v>
      </c>
      <c r="R892" s="12">
        <v>7450.0</v>
      </c>
      <c r="S892" s="12">
        <v>1320.0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15">
        <v>0.0</v>
      </c>
      <c r="Z892" s="15">
        <v>0.0</v>
      </c>
      <c r="AA892" s="15">
        <v>0.0</v>
      </c>
      <c r="AB892" s="12">
        <v>0.0</v>
      </c>
      <c r="AC892" s="12">
        <v>0.0</v>
      </c>
      <c r="AD892" s="15">
        <v>30100.0</v>
      </c>
      <c r="AE892" s="15">
        <v>25190.0</v>
      </c>
      <c r="AF892" s="15">
        <v>-15420.0</v>
      </c>
      <c r="AG892" s="12">
        <v>-7520.0</v>
      </c>
      <c r="AH892" s="12">
        <v>-2340.0</v>
      </c>
      <c r="AI892" s="15">
        <v>49560.0</v>
      </c>
      <c r="AJ892" s="15">
        <v>37010.0</v>
      </c>
      <c r="AK892" s="15">
        <v>-12330.0</v>
      </c>
      <c r="AL892" s="12">
        <v>-7050.0</v>
      </c>
      <c r="AM892" s="12">
        <v>-2260.0</v>
      </c>
      <c r="AN892" s="15">
        <v>24930.0</v>
      </c>
      <c r="AO892" s="15">
        <v>25070.0</v>
      </c>
      <c r="AP892" s="15">
        <v>-15390.0</v>
      </c>
      <c r="AQ892" s="12">
        <v>-7520.0</v>
      </c>
      <c r="AR892" s="12">
        <v>-2340.0</v>
      </c>
      <c r="AS892" s="15">
        <v>42380.0</v>
      </c>
      <c r="AT892" s="15">
        <v>36040.0</v>
      </c>
      <c r="AU892" s="15">
        <v>-8750.0</v>
      </c>
      <c r="AV892" s="12">
        <v>-3860.0</v>
      </c>
      <c r="AW892" s="12">
        <v>-1920.0</v>
      </c>
      <c r="AX892" s="15">
        <v>-45720.0</v>
      </c>
      <c r="AY892" s="15">
        <v>-48140.0</v>
      </c>
      <c r="AZ892" s="15">
        <v>-75040.0</v>
      </c>
      <c r="BA892" s="12">
        <v>-16720.0</v>
      </c>
      <c r="BB892" s="12">
        <v>-4850.0</v>
      </c>
      <c r="BC892" s="12">
        <v>0.0</v>
      </c>
      <c r="BD892" s="12">
        <v>0.0</v>
      </c>
      <c r="BE892" s="12">
        <v>-5410.0</v>
      </c>
      <c r="BF892" s="12">
        <v>0.0</v>
      </c>
      <c r="BG892" s="12">
        <v>0.0</v>
      </c>
      <c r="BH892" s="12">
        <v>5530.0</v>
      </c>
      <c r="BI892" s="12">
        <v>6950.0</v>
      </c>
      <c r="BJ892" s="12">
        <v>11130.0</v>
      </c>
      <c r="BK892" s="12">
        <v>60430.0</v>
      </c>
      <c r="BL892" s="12">
        <v>0.0</v>
      </c>
      <c r="BM892" s="12">
        <v>19260.0</v>
      </c>
      <c r="BN892" s="12">
        <v>10730.0</v>
      </c>
      <c r="BO892" s="12">
        <v>7170.0</v>
      </c>
      <c r="BP892" s="12">
        <v>0.0</v>
      </c>
      <c r="BQ892" s="12">
        <v>0.0</v>
      </c>
      <c r="BR892" s="12">
        <v>15260.0</v>
      </c>
      <c r="BS892" s="12">
        <v>14190.0</v>
      </c>
      <c r="BT892" s="12">
        <v>10060.0</v>
      </c>
      <c r="BU892" s="12">
        <v>1520.0</v>
      </c>
      <c r="BV892" s="12">
        <v>0.0</v>
      </c>
      <c r="BW892" s="12">
        <v>44320.0</v>
      </c>
      <c r="BX892" s="12">
        <v>35020.0</v>
      </c>
      <c r="BY892" s="12">
        <v>29460.0</v>
      </c>
      <c r="BZ892" s="12">
        <v>63260.0</v>
      </c>
      <c r="CA892" s="12">
        <v>1250.0</v>
      </c>
      <c r="CB892" s="12">
        <v>178200.0</v>
      </c>
      <c r="CC892" s="12">
        <v>149210.0</v>
      </c>
      <c r="CD892" s="12">
        <v>115450.0</v>
      </c>
      <c r="CE892" s="12">
        <v>46430.0</v>
      </c>
      <c r="CF892" s="12">
        <v>13960.0</v>
      </c>
      <c r="CG892" s="12">
        <v>0.0</v>
      </c>
      <c r="CH892" s="12">
        <v>0.0</v>
      </c>
      <c r="CI892" s="12">
        <v>0.0</v>
      </c>
      <c r="CJ892" s="12">
        <v>0.0</v>
      </c>
      <c r="CK892" s="12">
        <v>0.0</v>
      </c>
      <c r="CL892" s="12">
        <v>252670.0</v>
      </c>
      <c r="CM892" s="12">
        <v>210540.0</v>
      </c>
      <c r="CN892" s="12">
        <v>148100.0</v>
      </c>
      <c r="CO892" s="12">
        <v>119210.0</v>
      </c>
      <c r="CP892" s="12">
        <v>20350.0</v>
      </c>
      <c r="CQ892" s="12">
        <v>10660.0</v>
      </c>
      <c r="CR892" s="12">
        <v>16390.0</v>
      </c>
      <c r="CS892" s="12">
        <v>19530.0</v>
      </c>
      <c r="CT892" s="12">
        <v>8960.0</v>
      </c>
      <c r="CU892" s="12">
        <v>0.0</v>
      </c>
      <c r="CV892" s="12">
        <v>26410.0</v>
      </c>
      <c r="CW892" s="12">
        <v>0.0</v>
      </c>
      <c r="CX892" s="12">
        <v>0.0</v>
      </c>
      <c r="CY892" s="12">
        <v>0.0</v>
      </c>
      <c r="CZ892" s="12">
        <v>0.0</v>
      </c>
      <c r="DA892" s="12">
        <v>0.0</v>
      </c>
      <c r="DB892" s="12">
        <v>26410.0</v>
      </c>
      <c r="DC892" s="12">
        <v>29850.0</v>
      </c>
      <c r="DD892" s="12">
        <v>22420.0</v>
      </c>
      <c r="DE892" s="12">
        <v>15360.0</v>
      </c>
      <c r="DF892" s="12">
        <v>82580.0</v>
      </c>
      <c r="DG892" s="12">
        <v>69430.0</v>
      </c>
      <c r="DH892" s="12">
        <v>34700.0</v>
      </c>
      <c r="DI892" s="12">
        <v>35420.0</v>
      </c>
      <c r="DJ892" s="12">
        <v>13690.0</v>
      </c>
      <c r="DK892" s="12">
        <v>0.0</v>
      </c>
      <c r="DL892" s="12">
        <v>0.0</v>
      </c>
      <c r="DM892" s="12">
        <v>0.0</v>
      </c>
      <c r="DN892" s="12">
        <v>5200.0</v>
      </c>
      <c r="DO892" s="12">
        <v>0.0</v>
      </c>
      <c r="DP892" s="12">
        <v>9610.0</v>
      </c>
      <c r="DQ892" s="12">
        <v>4470.0</v>
      </c>
      <c r="DR892" s="12">
        <v>0.0</v>
      </c>
      <c r="DS892" s="12">
        <v>10630.0</v>
      </c>
      <c r="DT892" s="12">
        <v>10680.0</v>
      </c>
      <c r="DU892" s="12">
        <v>0.0</v>
      </c>
      <c r="DV892" s="12">
        <v>0.0</v>
      </c>
      <c r="DW892" s="12">
        <v>0.0</v>
      </c>
      <c r="DX892" s="12">
        <v>88770.0</v>
      </c>
      <c r="DY892" s="12">
        <v>0.0</v>
      </c>
      <c r="DZ892" s="15">
        <v>170080.0</v>
      </c>
      <c r="EA892" s="12">
        <v>141110.0</v>
      </c>
      <c r="EB892" s="12">
        <v>113400.0</v>
      </c>
      <c r="EC892" s="12">
        <v>83790.0</v>
      </c>
      <c r="ED892" s="12">
        <v>6660.0</v>
      </c>
      <c r="EE892" s="31">
        <v>0.129</v>
      </c>
      <c r="EF892" s="31">
        <v>0.127</v>
      </c>
      <c r="EG892" s="31">
        <v>0.25</v>
      </c>
      <c r="EH892" s="31">
        <v>-0.246</v>
      </c>
    </row>
    <row r="893">
      <c r="A893" s="9">
        <f t="shared" si="2"/>
        <v>891</v>
      </c>
      <c r="B893" s="10" t="s">
        <v>1028</v>
      </c>
      <c r="C893" s="11">
        <v>699260.0</v>
      </c>
      <c r="D893" s="11">
        <v>637010.0</v>
      </c>
      <c r="E893" s="11">
        <v>748590.0</v>
      </c>
      <c r="F893" s="11">
        <v>742350.0</v>
      </c>
      <c r="G893" s="11">
        <v>700970.0</v>
      </c>
      <c r="H893" s="11">
        <v>692850.0</v>
      </c>
      <c r="I893" s="11">
        <v>711250.0</v>
      </c>
      <c r="J893" s="11">
        <v>200560.0</v>
      </c>
      <c r="K893" s="11">
        <v>195920.0</v>
      </c>
      <c r="L893" s="11">
        <v>177350.0</v>
      </c>
      <c r="M893" s="11">
        <v>189710.0</v>
      </c>
      <c r="N893" s="11">
        <v>171690.0</v>
      </c>
      <c r="O893" s="11">
        <v>174310.0</v>
      </c>
      <c r="P893" s="11">
        <v>167160.0</v>
      </c>
      <c r="Q893" s="11">
        <v>154700.0</v>
      </c>
      <c r="R893" s="11">
        <v>158800.0</v>
      </c>
      <c r="S893" s="11">
        <v>142500.0</v>
      </c>
      <c r="T893" s="11">
        <v>3050.0</v>
      </c>
      <c r="U893" s="11">
        <v>3310.0</v>
      </c>
      <c r="V893" s="11">
        <v>2270.0</v>
      </c>
      <c r="W893" s="11">
        <v>2700.0</v>
      </c>
      <c r="X893" s="11">
        <v>2520.0</v>
      </c>
      <c r="Y893" s="11">
        <v>24490.0</v>
      </c>
      <c r="Z893" s="11">
        <v>27020.0</v>
      </c>
      <c r="AA893" s="11">
        <v>4760.0</v>
      </c>
      <c r="AB893" s="11">
        <v>30410.0</v>
      </c>
      <c r="AC893" s="11">
        <v>32250.0</v>
      </c>
      <c r="AD893" s="11">
        <v>10440.0</v>
      </c>
      <c r="AE893" s="11">
        <v>14270.0</v>
      </c>
      <c r="AF893" s="11">
        <v>-226.0</v>
      </c>
      <c r="AG893" s="11">
        <v>26540.0</v>
      </c>
      <c r="AH893" s="11">
        <v>25730.0</v>
      </c>
      <c r="AI893" s="11">
        <v>64780.0</v>
      </c>
      <c r="AJ893" s="11">
        <v>63170.0</v>
      </c>
      <c r="AK893" s="11">
        <v>54040.0</v>
      </c>
      <c r="AL893" s="11">
        <v>63820.0</v>
      </c>
      <c r="AM893" s="11">
        <v>62470.0</v>
      </c>
      <c r="AN893" s="11">
        <v>6060.0</v>
      </c>
      <c r="AO893" s="11">
        <v>6840.0</v>
      </c>
      <c r="AP893" s="11">
        <v>-2180.0</v>
      </c>
      <c r="AQ893" s="11">
        <v>16400.0</v>
      </c>
      <c r="AR893" s="11">
        <v>16080.0</v>
      </c>
      <c r="AS893" s="11">
        <v>59110.0</v>
      </c>
      <c r="AT893" s="11">
        <v>41660.0</v>
      </c>
      <c r="AU893" s="11">
        <v>55240.0</v>
      </c>
      <c r="AV893" s="11">
        <v>30260.0</v>
      </c>
      <c r="AW893" s="11">
        <v>50620.0</v>
      </c>
      <c r="AX893" s="11">
        <v>-22920.0</v>
      </c>
      <c r="AY893" s="11">
        <v>-21130.0</v>
      </c>
      <c r="AZ893" s="11">
        <v>-20570.0</v>
      </c>
      <c r="BA893" s="11">
        <v>-9790.0</v>
      </c>
      <c r="BB893" s="11">
        <v>-15970.0</v>
      </c>
      <c r="BC893" s="12"/>
      <c r="BD893" s="12"/>
      <c r="BE893" s="12"/>
      <c r="BF893" s="12"/>
      <c r="BG893" s="12"/>
      <c r="BH893" s="11">
        <v>15020.0</v>
      </c>
      <c r="BI893" s="11">
        <v>25540.0</v>
      </c>
      <c r="BJ893" s="11">
        <v>27540.0</v>
      </c>
      <c r="BK893" s="11">
        <v>19150.0</v>
      </c>
      <c r="BL893" s="11">
        <v>10560.0</v>
      </c>
      <c r="BM893" s="11">
        <v>136000.0</v>
      </c>
      <c r="BN893" s="11">
        <v>148320.0</v>
      </c>
      <c r="BO893" s="11">
        <v>138080.0</v>
      </c>
      <c r="BP893" s="11">
        <v>130850.0</v>
      </c>
      <c r="BQ893" s="11">
        <v>133230.0</v>
      </c>
      <c r="BR893" s="11">
        <v>13410.0</v>
      </c>
      <c r="BS893" s="11">
        <v>13050.0</v>
      </c>
      <c r="BT893" s="11">
        <v>10500.0</v>
      </c>
      <c r="BU893" s="11">
        <v>10020.0</v>
      </c>
      <c r="BV893" s="11">
        <v>10840.0</v>
      </c>
      <c r="BW893" s="11">
        <v>179160.0</v>
      </c>
      <c r="BX893" s="11">
        <v>202790.0</v>
      </c>
      <c r="BY893" s="11">
        <v>195010.0</v>
      </c>
      <c r="BZ893" s="11">
        <v>182650.0</v>
      </c>
      <c r="CA893" s="11">
        <v>171470.0</v>
      </c>
      <c r="CB893" s="11">
        <v>144420.0</v>
      </c>
      <c r="CC893" s="11">
        <v>93900.0</v>
      </c>
      <c r="CD893" s="11">
        <v>87140.0</v>
      </c>
      <c r="CE893" s="11">
        <v>73150.0</v>
      </c>
      <c r="CF893" s="11">
        <v>79260.0</v>
      </c>
      <c r="CG893" s="11">
        <v>282410.0</v>
      </c>
      <c r="CH893" s="11">
        <v>279260.0</v>
      </c>
      <c r="CI893" s="11">
        <v>203440.0</v>
      </c>
      <c r="CJ893" s="11">
        <v>169940.0</v>
      </c>
      <c r="CK893" s="11">
        <v>166410.0</v>
      </c>
      <c r="CL893" s="11">
        <v>719880.0</v>
      </c>
      <c r="CM893" s="11">
        <v>694040.0</v>
      </c>
      <c r="CN893" s="11">
        <v>554440.0</v>
      </c>
      <c r="CO893" s="11">
        <v>469430.0</v>
      </c>
      <c r="CP893" s="11">
        <v>471730.0</v>
      </c>
      <c r="CQ893" s="11">
        <v>15030.0</v>
      </c>
      <c r="CR893" s="11">
        <v>13860.0</v>
      </c>
      <c r="CS893" s="11">
        <v>10360.0</v>
      </c>
      <c r="CT893" s="11">
        <v>6810.0</v>
      </c>
      <c r="CU893" s="11">
        <v>10530.0</v>
      </c>
      <c r="CV893" s="11">
        <v>109240.0</v>
      </c>
      <c r="CW893" s="11">
        <v>10130.0</v>
      </c>
      <c r="CX893" s="13"/>
      <c r="CY893" s="11"/>
      <c r="CZ893" s="11"/>
      <c r="DA893" s="11"/>
      <c r="DB893" s="11">
        <v>109240.0</v>
      </c>
      <c r="DC893" s="11">
        <v>100470.0</v>
      </c>
      <c r="DD893" s="11">
        <v>90230.0</v>
      </c>
      <c r="DE893" s="11">
        <v>77710.0</v>
      </c>
      <c r="DF893" s="11">
        <v>433860.0</v>
      </c>
      <c r="DG893" s="11">
        <v>422960.0</v>
      </c>
      <c r="DH893" s="11">
        <v>283650.0</v>
      </c>
      <c r="DI893" s="11">
        <v>198680.0</v>
      </c>
      <c r="DJ893" s="11">
        <v>226720.0</v>
      </c>
      <c r="DK893" s="11"/>
      <c r="DL893" s="11"/>
      <c r="DM893" s="12"/>
      <c r="DN893" s="12"/>
      <c r="DO893" s="12"/>
      <c r="DP893" s="11">
        <v>297910.0</v>
      </c>
      <c r="DQ893" s="11">
        <v>292860.0</v>
      </c>
      <c r="DR893" s="11">
        <v>173260.0</v>
      </c>
      <c r="DS893" s="11">
        <v>95600.0</v>
      </c>
      <c r="DT893" s="11">
        <v>106270.0</v>
      </c>
      <c r="DU893" s="12"/>
      <c r="DV893" s="12"/>
      <c r="DW893" s="12"/>
      <c r="DX893" s="12"/>
      <c r="DY893" s="12"/>
      <c r="DZ893" s="11">
        <v>285820.0</v>
      </c>
      <c r="EA893" s="11">
        <v>270900.0</v>
      </c>
      <c r="EB893" s="11">
        <v>270620.0</v>
      </c>
      <c r="EC893" s="11">
        <v>270580.0</v>
      </c>
      <c r="ED893" s="11">
        <v>244820.0</v>
      </c>
      <c r="EE893" s="23">
        <v>0.03453635</v>
      </c>
      <c r="EF893" s="23">
        <v>0.138718073</v>
      </c>
      <c r="EG893" s="14">
        <v>-0.263</v>
      </c>
      <c r="EH893" s="23">
        <v>-0.624</v>
      </c>
    </row>
    <row r="894">
      <c r="A894" s="9">
        <f t="shared" si="2"/>
        <v>892</v>
      </c>
      <c r="B894" s="32" t="s">
        <v>1029</v>
      </c>
      <c r="C894" s="11">
        <v>6020000.0</v>
      </c>
      <c r="D894" s="11">
        <v>6170000.0</v>
      </c>
      <c r="E894" s="11">
        <v>7160000.0</v>
      </c>
      <c r="F894" s="11">
        <v>7310000.0</v>
      </c>
      <c r="G894" s="11">
        <v>5840000.0</v>
      </c>
      <c r="H894" s="11">
        <v>4840000.0</v>
      </c>
      <c r="I894" s="11">
        <v>4600000.0</v>
      </c>
      <c r="J894" s="11">
        <v>95660.0</v>
      </c>
      <c r="K894" s="11">
        <v>65830.0</v>
      </c>
      <c r="L894" s="11">
        <v>157010.0</v>
      </c>
      <c r="M894" s="11">
        <v>157890.0</v>
      </c>
      <c r="N894" s="11">
        <v>119990.0</v>
      </c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1">
        <v>97780.0</v>
      </c>
      <c r="Z894" s="11">
        <v>64520.0</v>
      </c>
      <c r="AA894" s="11">
        <v>155310.0</v>
      </c>
      <c r="AB894" s="11">
        <v>152890.0</v>
      </c>
      <c r="AC894" s="11">
        <v>75530.0</v>
      </c>
      <c r="AD894" s="11">
        <v>80820.0</v>
      </c>
      <c r="AE894" s="11">
        <v>43190.0</v>
      </c>
      <c r="AF894" s="11">
        <v>135220.0</v>
      </c>
      <c r="AG894" s="11">
        <v>145520.0</v>
      </c>
      <c r="AH894" s="11">
        <v>71120.0</v>
      </c>
      <c r="AI894" s="11">
        <v>227170.0</v>
      </c>
      <c r="AJ894" s="11">
        <v>198490.0</v>
      </c>
      <c r="AK894" s="11">
        <v>272720.0</v>
      </c>
      <c r="AL894" s="11">
        <v>263930.0</v>
      </c>
      <c r="AM894" s="11">
        <v>222830.0</v>
      </c>
      <c r="AN894" s="11">
        <v>55900.0</v>
      </c>
      <c r="AO894" s="11">
        <v>24180.0</v>
      </c>
      <c r="AP894" s="11">
        <v>110210.0</v>
      </c>
      <c r="AQ894" s="11">
        <v>77880.0</v>
      </c>
      <c r="AR894" s="11">
        <v>31410.0</v>
      </c>
      <c r="AS894" s="11">
        <v>115850.0</v>
      </c>
      <c r="AT894" s="11">
        <v>164840.0</v>
      </c>
      <c r="AU894" s="11">
        <v>162270.0</v>
      </c>
      <c r="AV894" s="11">
        <v>66700.0</v>
      </c>
      <c r="AW894" s="11">
        <v>157460.0</v>
      </c>
      <c r="AX894" s="12"/>
      <c r="AY894" s="12"/>
      <c r="AZ894" s="12"/>
      <c r="BA894" s="12"/>
      <c r="BB894" s="12"/>
      <c r="BC894" s="13"/>
      <c r="BD894" s="13"/>
      <c r="BE894" s="13"/>
      <c r="BF894" s="13"/>
      <c r="BG894" s="13"/>
      <c r="BH894" s="11">
        <v>698340.0</v>
      </c>
      <c r="BI894" s="11">
        <v>698290.0</v>
      </c>
      <c r="BJ894" s="11">
        <v>750430.0</v>
      </c>
      <c r="BK894" s="11">
        <v>640790.0</v>
      </c>
      <c r="BL894" s="11">
        <v>599120.0</v>
      </c>
      <c r="BM894" s="11">
        <v>892300.0</v>
      </c>
      <c r="BN894" s="11">
        <v>760710.0</v>
      </c>
      <c r="BO894" s="11">
        <v>660780.0</v>
      </c>
      <c r="BP894" s="11">
        <v>606760.0</v>
      </c>
      <c r="BQ894" s="11">
        <v>428640.0</v>
      </c>
      <c r="BR894" s="11">
        <v>44960.0</v>
      </c>
      <c r="BS894" s="11">
        <v>40820.0</v>
      </c>
      <c r="BT894" s="11">
        <v>40950.0</v>
      </c>
      <c r="BU894" s="11">
        <v>59000.0</v>
      </c>
      <c r="BV894" s="11">
        <v>50750.0</v>
      </c>
      <c r="BW894" s="11">
        <v>1670000.0</v>
      </c>
      <c r="BX894" s="11">
        <v>1550000.0</v>
      </c>
      <c r="BY894" s="11">
        <v>1480000.0</v>
      </c>
      <c r="BZ894" s="11">
        <v>1320000.0</v>
      </c>
      <c r="CA894" s="11">
        <v>1100000.0</v>
      </c>
      <c r="CB894" s="11">
        <v>188880.0</v>
      </c>
      <c r="CC894" s="11">
        <v>150750.0</v>
      </c>
      <c r="CD894" s="11">
        <v>158640.0</v>
      </c>
      <c r="CE894" s="11">
        <v>172520.0</v>
      </c>
      <c r="CF894" s="11">
        <v>174750.0</v>
      </c>
      <c r="CG894" s="11">
        <v>1020000.0</v>
      </c>
      <c r="CH894" s="11">
        <v>1020000.0</v>
      </c>
      <c r="CI894" s="11">
        <v>1010000.0</v>
      </c>
      <c r="CJ894" s="11">
        <v>742050.0</v>
      </c>
      <c r="CK894" s="11">
        <v>621390.0</v>
      </c>
      <c r="CL894" s="11">
        <v>3090000.0</v>
      </c>
      <c r="CM894" s="11">
        <v>2980000.0</v>
      </c>
      <c r="CN894" s="11">
        <v>2960000.0</v>
      </c>
      <c r="CO894" s="11">
        <v>2440000.0</v>
      </c>
      <c r="CP894" s="11">
        <v>2110000.0</v>
      </c>
      <c r="CQ894" s="11">
        <v>88420.0</v>
      </c>
      <c r="CR894" s="11">
        <v>72080.0</v>
      </c>
      <c r="CS894" s="11">
        <v>74300.0</v>
      </c>
      <c r="CT894" s="11">
        <v>95640.0</v>
      </c>
      <c r="CU894" s="11">
        <v>86480.0</v>
      </c>
      <c r="CV894" s="11">
        <v>910150.0</v>
      </c>
      <c r="CW894" s="11">
        <v>13210.0</v>
      </c>
      <c r="CX894" s="12"/>
      <c r="CY894" s="12"/>
      <c r="CZ894" s="12"/>
      <c r="DA894" s="12"/>
      <c r="DB894" s="11">
        <v>910150.0</v>
      </c>
      <c r="DC894" s="11">
        <v>898890.0</v>
      </c>
      <c r="DD894" s="11">
        <v>892300.0</v>
      </c>
      <c r="DE894" s="11">
        <v>1090000.0</v>
      </c>
      <c r="DF894" s="11">
        <v>1690000.0</v>
      </c>
      <c r="DG894" s="11">
        <v>1690000.0</v>
      </c>
      <c r="DH894" s="11">
        <v>1680000.0</v>
      </c>
      <c r="DI894" s="11">
        <v>1340000.0</v>
      </c>
      <c r="DJ894" s="11">
        <v>1040000.0</v>
      </c>
      <c r="DK894" s="11">
        <v>10670.0</v>
      </c>
      <c r="DL894" s="11">
        <v>3160.0</v>
      </c>
      <c r="DM894" s="11">
        <v>17290.0</v>
      </c>
      <c r="DN894" s="11">
        <v>7760.0</v>
      </c>
      <c r="DO894" s="11">
        <v>3830.0</v>
      </c>
      <c r="DP894" s="11">
        <v>724540.0</v>
      </c>
      <c r="DQ894" s="11">
        <v>728610.0</v>
      </c>
      <c r="DR894" s="11">
        <v>737290.0</v>
      </c>
      <c r="DS894" s="11">
        <v>214690.0</v>
      </c>
      <c r="DT894" s="11">
        <v>238300.0</v>
      </c>
      <c r="DU894" s="13"/>
      <c r="DV894" s="12"/>
      <c r="DW894" s="12"/>
      <c r="DX894" s="13"/>
      <c r="DY894" s="13"/>
      <c r="DZ894" s="11">
        <v>1400000.0</v>
      </c>
      <c r="EA894" s="11">
        <v>1290000.0</v>
      </c>
      <c r="EB894" s="11">
        <v>1280000.0</v>
      </c>
      <c r="EC894" s="11">
        <v>1100000.0</v>
      </c>
      <c r="ED894" s="11">
        <v>1070000.0</v>
      </c>
      <c r="EE894" s="14">
        <v>0.379</v>
      </c>
      <c r="EF894" s="14">
        <v>0.515</v>
      </c>
      <c r="EG894" s="14">
        <v>0.597</v>
      </c>
      <c r="EH894" s="14">
        <v>0.187</v>
      </c>
    </row>
    <row r="895">
      <c r="A895" s="9">
        <f t="shared" si="2"/>
        <v>893</v>
      </c>
      <c r="B895" s="10" t="s">
        <v>1030</v>
      </c>
      <c r="C895" s="15">
        <v>1.039E7</v>
      </c>
      <c r="D895" s="15">
        <v>6520000.0</v>
      </c>
      <c r="E895" s="15">
        <v>1.29E7</v>
      </c>
      <c r="F895" s="15">
        <v>1.176E7</v>
      </c>
      <c r="G895" s="15">
        <v>1.08E7</v>
      </c>
      <c r="H895" s="15">
        <v>9460000.0</v>
      </c>
      <c r="I895" s="15">
        <v>9190000.0</v>
      </c>
      <c r="J895" s="15">
        <v>3990000.0</v>
      </c>
      <c r="K895" s="15">
        <v>3670000.0</v>
      </c>
      <c r="L895" s="15">
        <v>3610000.0</v>
      </c>
      <c r="M895" s="15">
        <v>3110000.0</v>
      </c>
      <c r="N895" s="15">
        <v>2740000.0</v>
      </c>
      <c r="O895" s="15">
        <v>2480000.0</v>
      </c>
      <c r="P895" s="15">
        <v>2340000.0</v>
      </c>
      <c r="Q895" s="15">
        <v>2030000.0</v>
      </c>
      <c r="R895" s="15">
        <v>1830000.0</v>
      </c>
      <c r="S895" s="15">
        <v>1650000.0</v>
      </c>
      <c r="T895" s="15">
        <v>0.0</v>
      </c>
      <c r="U895" s="15">
        <v>0.0</v>
      </c>
      <c r="V895" s="15">
        <v>0.0</v>
      </c>
      <c r="W895" s="15">
        <v>0.0</v>
      </c>
      <c r="X895" s="15">
        <v>0.0</v>
      </c>
      <c r="Y895" s="15">
        <v>1220000.0</v>
      </c>
      <c r="Z895" s="15">
        <v>0.0</v>
      </c>
      <c r="AA895" s="15">
        <v>40630.0</v>
      </c>
      <c r="AB895" s="15">
        <v>1500000.0</v>
      </c>
      <c r="AC895" s="15">
        <v>-395210.0</v>
      </c>
      <c r="AD895" s="15">
        <v>2850000.0</v>
      </c>
      <c r="AE895" s="15">
        <v>634010.0</v>
      </c>
      <c r="AF895" s="15">
        <v>960790.0</v>
      </c>
      <c r="AG895" s="15">
        <v>1260000.0</v>
      </c>
      <c r="AH895" s="15">
        <v>-1050000.0</v>
      </c>
      <c r="AI895" s="15">
        <v>2890000.0</v>
      </c>
      <c r="AJ895" s="15">
        <v>2510000.0</v>
      </c>
      <c r="AK895" s="15">
        <v>2570000.0</v>
      </c>
      <c r="AL895" s="15">
        <v>2130000.0</v>
      </c>
      <c r="AM895" s="15">
        <v>1910000.0</v>
      </c>
      <c r="AN895" s="15">
        <v>2050000.0</v>
      </c>
      <c r="AO895" s="15">
        <v>445450.0</v>
      </c>
      <c r="AP895" s="15">
        <v>1930000.0</v>
      </c>
      <c r="AQ895" s="15">
        <v>1100000.0</v>
      </c>
      <c r="AR895" s="15">
        <v>-447720.0</v>
      </c>
      <c r="AS895" s="15">
        <v>1910000.0</v>
      </c>
      <c r="AT895" s="15">
        <v>2050000.0</v>
      </c>
      <c r="AU895" s="15">
        <v>2510000.0</v>
      </c>
      <c r="AV895" s="15">
        <v>2080000.0</v>
      </c>
      <c r="AW895" s="15">
        <v>1160000.0</v>
      </c>
      <c r="AX895" s="15">
        <v>-739010.0</v>
      </c>
      <c r="AY895" s="15">
        <v>-1490000.0</v>
      </c>
      <c r="AZ895" s="15">
        <v>-1860000.0</v>
      </c>
      <c r="BA895" s="15">
        <v>-2260000.0</v>
      </c>
      <c r="BB895" s="15">
        <v>-1470000.0</v>
      </c>
      <c r="BC895" s="15">
        <v>-271290.0</v>
      </c>
      <c r="BD895" s="15">
        <v>-260590.0</v>
      </c>
      <c r="BE895" s="15">
        <v>-252010.0</v>
      </c>
      <c r="BF895" s="15">
        <v>0.0</v>
      </c>
      <c r="BG895" s="15">
        <v>0.0</v>
      </c>
      <c r="BH895" s="15">
        <v>2330000.0</v>
      </c>
      <c r="BI895" s="15">
        <v>1530000.0</v>
      </c>
      <c r="BJ895" s="15">
        <v>1500000.0</v>
      </c>
      <c r="BK895" s="15">
        <v>1450000.0</v>
      </c>
      <c r="BL895" s="15">
        <v>1670000.0</v>
      </c>
      <c r="BM895" s="15">
        <v>1370000.0</v>
      </c>
      <c r="BN895" s="15">
        <v>685640.0</v>
      </c>
      <c r="BO895" s="15">
        <v>584820.0</v>
      </c>
      <c r="BP895" s="15">
        <v>542920.0</v>
      </c>
      <c r="BQ895" s="15">
        <v>496550.0</v>
      </c>
      <c r="BR895" s="15">
        <v>102890.0</v>
      </c>
      <c r="BS895" s="15">
        <v>110830.0</v>
      </c>
      <c r="BT895" s="15">
        <v>102290.0</v>
      </c>
      <c r="BU895" s="15">
        <v>97730.0</v>
      </c>
      <c r="BV895" s="15">
        <v>104200.0</v>
      </c>
      <c r="BW895" s="15">
        <v>4010000.0</v>
      </c>
      <c r="BX895" s="15">
        <v>2530000.0</v>
      </c>
      <c r="BY895" s="15">
        <v>2380000.0</v>
      </c>
      <c r="BZ895" s="15">
        <v>2230000.0</v>
      </c>
      <c r="CA895" s="15">
        <v>2410000.0</v>
      </c>
      <c r="CB895" s="15">
        <v>2.268E7</v>
      </c>
      <c r="CC895" s="15">
        <v>2.073E7</v>
      </c>
      <c r="CD895" s="15">
        <v>1.964E7</v>
      </c>
      <c r="CE895" s="15">
        <v>1.843E7</v>
      </c>
      <c r="CF895" s="15">
        <v>1.537E7</v>
      </c>
      <c r="CG895" s="15">
        <v>2080000.0</v>
      </c>
      <c r="CH895" s="15">
        <v>1820000.0</v>
      </c>
      <c r="CI895" s="15">
        <v>1810000.0</v>
      </c>
      <c r="CJ895" s="15">
        <v>1820000.0</v>
      </c>
      <c r="CK895" s="15">
        <v>1430000.0</v>
      </c>
      <c r="CL895" s="15">
        <v>3.527E7</v>
      </c>
      <c r="CM895" s="15">
        <v>3.104E7</v>
      </c>
      <c r="CN895" s="15">
        <v>3.005E7</v>
      </c>
      <c r="CO895" s="15">
        <v>2.891E7</v>
      </c>
      <c r="CP895" s="15">
        <v>2.571E7</v>
      </c>
      <c r="CQ895" s="15">
        <v>235440.0</v>
      </c>
      <c r="CR895" s="15">
        <v>302580.0</v>
      </c>
      <c r="CS895" s="15">
        <v>255030.0</v>
      </c>
      <c r="CT895" s="15">
        <v>250480.0</v>
      </c>
      <c r="CU895" s="15">
        <v>182030.0</v>
      </c>
      <c r="CV895" s="15">
        <v>3190000.0</v>
      </c>
      <c r="CW895" s="15">
        <v>67470.0</v>
      </c>
      <c r="CX895" s="15">
        <v>0.0</v>
      </c>
      <c r="CY895" s="15">
        <v>0.0</v>
      </c>
      <c r="CZ895" s="15">
        <v>0.0</v>
      </c>
      <c r="DA895" s="15">
        <v>0.0</v>
      </c>
      <c r="DB895" s="15">
        <v>3190000.0</v>
      </c>
      <c r="DC895" s="15">
        <v>2950000.0</v>
      </c>
      <c r="DD895" s="15">
        <v>3140000.0</v>
      </c>
      <c r="DE895" s="15">
        <v>2290000.0</v>
      </c>
      <c r="DF895" s="15">
        <v>2.25E7</v>
      </c>
      <c r="DG895" s="15">
        <v>2.047E7</v>
      </c>
      <c r="DH895" s="15">
        <v>1.836E7</v>
      </c>
      <c r="DI895" s="15">
        <v>1.888E7</v>
      </c>
      <c r="DJ895" s="15">
        <v>1.794E7</v>
      </c>
      <c r="DK895" s="15">
        <v>822370.0</v>
      </c>
      <c r="DL895" s="15">
        <v>732870.0</v>
      </c>
      <c r="DM895" s="15">
        <v>1030000.0</v>
      </c>
      <c r="DN895" s="15">
        <v>1220000.0</v>
      </c>
      <c r="DO895" s="15">
        <v>1490000.0</v>
      </c>
      <c r="DP895" s="15">
        <v>1.551E7</v>
      </c>
      <c r="DQ895" s="15">
        <v>1.509E7</v>
      </c>
      <c r="DR895" s="15">
        <v>1.275E7</v>
      </c>
      <c r="DS895" s="15">
        <v>1.298E7</v>
      </c>
      <c r="DT895" s="15">
        <v>1.238E7</v>
      </c>
      <c r="DU895" s="16">
        <v>0.0</v>
      </c>
      <c r="DV895" s="15">
        <v>0.0</v>
      </c>
      <c r="DW895" s="15">
        <v>0.0</v>
      </c>
      <c r="DX895" s="16">
        <v>0.0</v>
      </c>
      <c r="DY895" s="16">
        <v>0.0</v>
      </c>
      <c r="DZ895" s="15">
        <v>7730000.0</v>
      </c>
      <c r="EA895" s="15">
        <v>6510000.0</v>
      </c>
      <c r="EB895" s="15">
        <v>7580000.0</v>
      </c>
      <c r="EC895" s="15">
        <v>6220000.0</v>
      </c>
      <c r="ED895" s="15">
        <v>5120000.0</v>
      </c>
      <c r="EE895" s="17">
        <v>0.594</v>
      </c>
      <c r="EF895" s="17">
        <v>0.553</v>
      </c>
      <c r="EG895" s="17">
        <v>5.686</v>
      </c>
      <c r="EH895" s="17">
        <v>4.442</v>
      </c>
    </row>
    <row r="896">
      <c r="A896" s="9">
        <f t="shared" si="2"/>
        <v>894</v>
      </c>
      <c r="B896" s="22" t="s">
        <v>1031</v>
      </c>
      <c r="C896" s="11">
        <v>132960.0</v>
      </c>
      <c r="D896" s="11">
        <v>66730.0</v>
      </c>
      <c r="E896" s="11">
        <v>64190.0</v>
      </c>
      <c r="F896" s="11">
        <v>60120.0</v>
      </c>
      <c r="G896" s="11">
        <v>157740.0</v>
      </c>
      <c r="H896" s="11">
        <v>91880.0</v>
      </c>
      <c r="I896" s="11">
        <v>100850.0</v>
      </c>
      <c r="J896" s="12"/>
      <c r="K896" s="12"/>
      <c r="L896" s="12"/>
      <c r="M896" s="12"/>
      <c r="N896" s="12"/>
      <c r="O896" s="11">
        <v>229070.0</v>
      </c>
      <c r="P896" s="11">
        <v>222130.0</v>
      </c>
      <c r="Q896" s="11">
        <v>172660.0</v>
      </c>
      <c r="R896" s="11">
        <v>144310.0</v>
      </c>
      <c r="S896" s="11">
        <v>117840.0</v>
      </c>
      <c r="T896" s="11">
        <v>183010.0</v>
      </c>
      <c r="U896" s="11">
        <v>190830.0</v>
      </c>
      <c r="V896" s="11">
        <v>147230.0</v>
      </c>
      <c r="W896" s="11">
        <v>122090.0</v>
      </c>
      <c r="X896" s="11">
        <v>98270.0</v>
      </c>
      <c r="Y896" s="11">
        <v>-157090.0</v>
      </c>
      <c r="Z896" s="12"/>
      <c r="AA896" s="12"/>
      <c r="AB896" s="12"/>
      <c r="AC896" s="12"/>
      <c r="AD896" s="11">
        <v>-151810.0</v>
      </c>
      <c r="AE896" s="11">
        <v>-171450.0</v>
      </c>
      <c r="AF896" s="11">
        <v>-19630.0</v>
      </c>
      <c r="AG896" s="11">
        <v>-58530.0</v>
      </c>
      <c r="AH896" s="11">
        <v>-20140.0</v>
      </c>
      <c r="AI896" s="11">
        <v>-164890.0</v>
      </c>
      <c r="AJ896" s="11">
        <v>-162010.0</v>
      </c>
      <c r="AK896" s="11">
        <v>-14920.0</v>
      </c>
      <c r="AL896" s="11">
        <v>-52430.0</v>
      </c>
      <c r="AM896" s="11">
        <v>-16980.0</v>
      </c>
      <c r="AN896" s="11">
        <v>-151810.0</v>
      </c>
      <c r="AO896" s="11">
        <v>-171450.0</v>
      </c>
      <c r="AP896" s="11">
        <v>-19630.0</v>
      </c>
      <c r="AQ896" s="11">
        <v>-58530.0</v>
      </c>
      <c r="AR896" s="11">
        <v>-20140.0</v>
      </c>
      <c r="AS896" s="11">
        <v>-137150.0</v>
      </c>
      <c r="AT896" s="11">
        <v>-153230.0</v>
      </c>
      <c r="AU896" s="11">
        <v>14410.0</v>
      </c>
      <c r="AV896" s="11">
        <v>-43680.0</v>
      </c>
      <c r="AW896" s="11">
        <v>-13660.0</v>
      </c>
      <c r="AX896" s="11">
        <v>-4290.0</v>
      </c>
      <c r="AY896" s="11">
        <v>-24950.0</v>
      </c>
      <c r="AZ896" s="11">
        <v>-29400.0</v>
      </c>
      <c r="BA896" s="11">
        <v>-11380.0</v>
      </c>
      <c r="BB896" s="11">
        <v>-9200.0</v>
      </c>
      <c r="BC896" s="12"/>
      <c r="BD896" s="12"/>
      <c r="BE896" s="12"/>
      <c r="BF896" s="12"/>
      <c r="BG896" s="12"/>
      <c r="BH896" s="11">
        <v>215760.0</v>
      </c>
      <c r="BI896" s="11">
        <v>232860.0</v>
      </c>
      <c r="BJ896" s="11">
        <v>305120.0</v>
      </c>
      <c r="BK896" s="11">
        <v>277000.0</v>
      </c>
      <c r="BL896" s="11">
        <v>339050.0</v>
      </c>
      <c r="BM896" s="11">
        <v>12740.0</v>
      </c>
      <c r="BN896" s="11">
        <v>29580.0</v>
      </c>
      <c r="BO896" s="11">
        <v>13640.0</v>
      </c>
      <c r="BP896" s="11">
        <v>2760.0</v>
      </c>
      <c r="BQ896" s="11">
        <v>1220.0</v>
      </c>
      <c r="BR896" s="12"/>
      <c r="BS896" s="12"/>
      <c r="BT896" s="12"/>
      <c r="BU896" s="12"/>
      <c r="BV896" s="12"/>
      <c r="BW896" s="11">
        <v>239790.0</v>
      </c>
      <c r="BX896" s="11">
        <v>269120.0</v>
      </c>
      <c r="BY896" s="11">
        <v>322300.0</v>
      </c>
      <c r="BZ896" s="11">
        <v>283950.0</v>
      </c>
      <c r="CA896" s="11">
        <v>342380.0</v>
      </c>
      <c r="CB896" s="11">
        <v>68410.0</v>
      </c>
      <c r="CC896" s="11">
        <v>56710.0</v>
      </c>
      <c r="CD896" s="11">
        <v>49980.0</v>
      </c>
      <c r="CE896" s="11">
        <v>17960.0</v>
      </c>
      <c r="CF896" s="11">
        <v>14840.0</v>
      </c>
      <c r="CG896" s="12"/>
      <c r="CH896" s="12"/>
      <c r="CI896" s="12"/>
      <c r="CJ896" s="12"/>
      <c r="CK896" s="12"/>
      <c r="CL896" s="11">
        <v>312500.0</v>
      </c>
      <c r="CM896" s="11">
        <v>332130.0</v>
      </c>
      <c r="CN896" s="11">
        <v>373880.0</v>
      </c>
      <c r="CO896" s="11">
        <v>311260.0</v>
      </c>
      <c r="CP896" s="11">
        <v>359270.0</v>
      </c>
      <c r="CQ896" s="11">
        <v>4310.0</v>
      </c>
      <c r="CR896" s="11">
        <v>4010.0</v>
      </c>
      <c r="CS896" s="11">
        <v>2450.0</v>
      </c>
      <c r="CT896" s="11">
        <v>4000.0</v>
      </c>
      <c r="CU896" s="11">
        <v>2970.0</v>
      </c>
      <c r="CV896" s="11">
        <v>45170.0</v>
      </c>
      <c r="CW896" s="11">
        <v>3020.0</v>
      </c>
      <c r="CX896" s="12"/>
      <c r="CY896" s="12"/>
      <c r="CZ896" s="12"/>
      <c r="DA896" s="12"/>
      <c r="DB896" s="11">
        <v>45170.0</v>
      </c>
      <c r="DC896" s="11">
        <v>59940.0</v>
      </c>
      <c r="DD896" s="11">
        <v>49760.0</v>
      </c>
      <c r="DE896" s="11">
        <v>27300.0</v>
      </c>
      <c r="DF896" s="11">
        <v>81870.0</v>
      </c>
      <c r="DG896" s="11">
        <v>89250.0</v>
      </c>
      <c r="DH896" s="11">
        <v>74650.0</v>
      </c>
      <c r="DI896" s="11">
        <v>42510.0</v>
      </c>
      <c r="DJ896" s="11">
        <v>45930.0</v>
      </c>
      <c r="DK896" s="12"/>
      <c r="DL896" s="12"/>
      <c r="DM896" s="12"/>
      <c r="DN896" s="11">
        <v>7990.0</v>
      </c>
      <c r="DO896" s="12"/>
      <c r="DP896" s="11">
        <v>27550.0</v>
      </c>
      <c r="DQ896" s="12"/>
      <c r="DR896" s="12"/>
      <c r="DS896" s="12"/>
      <c r="DT896" s="12"/>
      <c r="DU896" s="13"/>
      <c r="DV896" s="12"/>
      <c r="DW896" s="12"/>
      <c r="DX896" s="13"/>
      <c r="DY896" s="13"/>
      <c r="DZ896" s="11">
        <v>230630.0</v>
      </c>
      <c r="EA896" s="11">
        <v>242880.0</v>
      </c>
      <c r="EB896" s="11">
        <v>299240.0</v>
      </c>
      <c r="EC896" s="11">
        <v>268750.0</v>
      </c>
      <c r="ED896" s="11">
        <v>313340.0</v>
      </c>
      <c r="EE896" s="14">
        <v>1.037</v>
      </c>
      <c r="EF896" s="23"/>
      <c r="EG896" s="14">
        <v>-0.022</v>
      </c>
      <c r="EH896" s="14">
        <v>0.138</v>
      </c>
    </row>
    <row r="897">
      <c r="A897" s="9">
        <f t="shared" si="2"/>
        <v>895</v>
      </c>
      <c r="B897" s="10" t="s">
        <v>1032</v>
      </c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3"/>
      <c r="BD897" s="13"/>
      <c r="BE897" s="13"/>
      <c r="BF897" s="13"/>
      <c r="BG897" s="13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3"/>
      <c r="CY897" s="13"/>
      <c r="CZ897" s="13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3"/>
      <c r="DV897" s="12"/>
      <c r="DW897" s="12"/>
      <c r="DX897" s="12"/>
      <c r="DY897" s="12"/>
      <c r="DZ897" s="12"/>
      <c r="EA897" s="12"/>
      <c r="EB897" s="12"/>
      <c r="EC897" s="12"/>
      <c r="ED897" s="12"/>
      <c r="EE897" s="23"/>
      <c r="EF897" s="23"/>
      <c r="EG897" s="23"/>
      <c r="EH897" s="23"/>
    </row>
    <row r="898">
      <c r="A898" s="9">
        <f t="shared" si="2"/>
        <v>896</v>
      </c>
      <c r="B898" s="10" t="s">
        <v>1033</v>
      </c>
      <c r="C898" s="15">
        <v>400260.0</v>
      </c>
      <c r="D898" s="15">
        <v>384410.0</v>
      </c>
      <c r="E898" s="15">
        <v>362750.0</v>
      </c>
      <c r="F898" s="15">
        <v>376090.0</v>
      </c>
      <c r="G898" s="15">
        <v>347450.0</v>
      </c>
      <c r="H898" s="15">
        <v>318260.0</v>
      </c>
      <c r="I898" s="15">
        <v>327600.0</v>
      </c>
      <c r="J898" s="15">
        <v>76530.0</v>
      </c>
      <c r="K898" s="15">
        <v>83600.0</v>
      </c>
      <c r="L898" s="15">
        <v>76020.0</v>
      </c>
      <c r="M898" s="15">
        <v>65280.0</v>
      </c>
      <c r="N898" s="15">
        <v>58070.0</v>
      </c>
      <c r="O898" s="15">
        <v>29290.0</v>
      </c>
      <c r="P898" s="15">
        <v>33450.0</v>
      </c>
      <c r="Q898" s="15">
        <v>33110.0</v>
      </c>
      <c r="R898" s="15">
        <v>26690.0</v>
      </c>
      <c r="S898" s="15">
        <v>24680.0</v>
      </c>
      <c r="T898" s="15"/>
      <c r="U898" s="15"/>
      <c r="V898" s="15"/>
      <c r="W898" s="15">
        <v>916.0</v>
      </c>
      <c r="X898" s="15">
        <v>748.0</v>
      </c>
      <c r="Y898" s="12"/>
      <c r="Z898" s="12"/>
      <c r="AA898" s="12"/>
      <c r="AB898" s="15"/>
      <c r="AC898" s="15">
        <v>32850.0</v>
      </c>
      <c r="AD898" s="15">
        <v>45940.0</v>
      </c>
      <c r="AE898" s="15">
        <v>48980.0</v>
      </c>
      <c r="AF898" s="15">
        <v>52760.0</v>
      </c>
      <c r="AG898" s="15">
        <v>44720.0</v>
      </c>
      <c r="AH898" s="15">
        <v>38420.0</v>
      </c>
      <c r="AI898" s="15">
        <v>58810.0</v>
      </c>
      <c r="AJ898" s="15">
        <v>61510.0</v>
      </c>
      <c r="AK898" s="15">
        <v>54220.0</v>
      </c>
      <c r="AL898" s="15">
        <v>49840.0</v>
      </c>
      <c r="AM898" s="15">
        <v>45780.0</v>
      </c>
      <c r="AN898" s="15">
        <v>38540.0</v>
      </c>
      <c r="AO898" s="15">
        <v>36580.0</v>
      </c>
      <c r="AP898" s="15">
        <v>40830.0</v>
      </c>
      <c r="AQ898" s="15">
        <v>30230.0</v>
      </c>
      <c r="AR898" s="15">
        <v>25320.0</v>
      </c>
      <c r="AS898" s="15">
        <v>19720.0</v>
      </c>
      <c r="AT898" s="15">
        <v>33480.0</v>
      </c>
      <c r="AU898" s="15">
        <v>33470.0</v>
      </c>
      <c r="AV898" s="15">
        <v>19720.0</v>
      </c>
      <c r="AW898" s="15">
        <v>18660.0</v>
      </c>
      <c r="AX898" s="15">
        <v>-16730.0</v>
      </c>
      <c r="AY898" s="15">
        <v>-31050.0</v>
      </c>
      <c r="AZ898" s="15">
        <v>-21060.0</v>
      </c>
      <c r="BA898" s="15">
        <v>-17920.0</v>
      </c>
      <c r="BB898" s="15">
        <v>-30530.0</v>
      </c>
      <c r="BC898" s="13">
        <v>-6860.0</v>
      </c>
      <c r="BD898" s="13">
        <v>-5500.0</v>
      </c>
      <c r="BE898" s="13">
        <v>-17380.0</v>
      </c>
      <c r="BF898" s="13">
        <v>-2070.0</v>
      </c>
      <c r="BG898" s="13">
        <v>-1090.0</v>
      </c>
      <c r="BH898" s="15">
        <v>3310.0</v>
      </c>
      <c r="BI898" s="15">
        <v>5030.0</v>
      </c>
      <c r="BJ898" s="15">
        <v>3080.0</v>
      </c>
      <c r="BK898" s="15">
        <v>1570.0</v>
      </c>
      <c r="BL898" s="15">
        <v>747.0</v>
      </c>
      <c r="BM898" s="15">
        <v>41920.0</v>
      </c>
      <c r="BN898" s="15">
        <v>39510.0</v>
      </c>
      <c r="BO898" s="15">
        <v>36330.0</v>
      </c>
      <c r="BP898" s="15">
        <v>28790.0</v>
      </c>
      <c r="BQ898" s="15">
        <v>30670.0</v>
      </c>
      <c r="BR898" s="12">
        <v>136930.0</v>
      </c>
      <c r="BS898" s="12">
        <v>108770.0</v>
      </c>
      <c r="BT898" s="15">
        <v>93150.0</v>
      </c>
      <c r="BU898" s="12">
        <v>78860.0</v>
      </c>
      <c r="BV898" s="12">
        <v>58700.0</v>
      </c>
      <c r="BW898" s="15">
        <v>184210.0</v>
      </c>
      <c r="BX898" s="15">
        <v>154620.0</v>
      </c>
      <c r="BY898" s="15">
        <v>134740.0</v>
      </c>
      <c r="BZ898" s="15">
        <v>110900.0</v>
      </c>
      <c r="CA898" s="15">
        <v>91180.0</v>
      </c>
      <c r="CB898" s="15">
        <v>134910.0</v>
      </c>
      <c r="CC898" s="15">
        <v>120790.0</v>
      </c>
      <c r="CD898" s="15">
        <v>103050.0</v>
      </c>
      <c r="CE898" s="15">
        <v>92790.0</v>
      </c>
      <c r="CF898" s="15">
        <v>83550.0</v>
      </c>
      <c r="CG898" s="15"/>
      <c r="CH898" s="15"/>
      <c r="CI898" s="15">
        <v>1500.0</v>
      </c>
      <c r="CJ898" s="15">
        <v>1500.0</v>
      </c>
      <c r="CK898" s="15"/>
      <c r="CL898" s="15">
        <v>333000.0</v>
      </c>
      <c r="CM898" s="15">
        <v>287020.0</v>
      </c>
      <c r="CN898" s="15">
        <v>249830.0</v>
      </c>
      <c r="CO898" s="15">
        <v>237730.0</v>
      </c>
      <c r="CP898" s="15">
        <v>208530.0</v>
      </c>
      <c r="CQ898" s="15">
        <v>29510.0</v>
      </c>
      <c r="CR898" s="15">
        <v>25360.0</v>
      </c>
      <c r="CS898" s="15">
        <v>30040.0</v>
      </c>
      <c r="CT898" s="15">
        <v>23690.0</v>
      </c>
      <c r="CU898" s="15">
        <v>23230.0</v>
      </c>
      <c r="CV898" s="15">
        <v>39300.0</v>
      </c>
      <c r="CW898" s="15">
        <v>2240.0</v>
      </c>
      <c r="CX898" s="13"/>
      <c r="CY898" s="15"/>
      <c r="CZ898" s="13"/>
      <c r="DA898" s="12"/>
      <c r="DB898" s="15">
        <v>39300.0</v>
      </c>
      <c r="DC898" s="15">
        <v>37460.0</v>
      </c>
      <c r="DD898" s="15">
        <v>41580.0</v>
      </c>
      <c r="DE898" s="15">
        <v>37000.0</v>
      </c>
      <c r="DF898" s="15">
        <v>101950.0</v>
      </c>
      <c r="DG898" s="15">
        <v>85580.0</v>
      </c>
      <c r="DH898" s="15">
        <v>81100.0</v>
      </c>
      <c r="DI898" s="15">
        <v>91440.0</v>
      </c>
      <c r="DJ898" s="15">
        <v>92370.0</v>
      </c>
      <c r="DK898" s="12"/>
      <c r="DL898" s="12"/>
      <c r="DM898" s="15"/>
      <c r="DN898" s="12">
        <v>18930.0</v>
      </c>
      <c r="DO898" s="15">
        <v>18560.0</v>
      </c>
      <c r="DP898" s="15">
        <v>44930.0</v>
      </c>
      <c r="DQ898" s="15">
        <v>31630.0</v>
      </c>
      <c r="DR898" s="15">
        <v>24180.0</v>
      </c>
      <c r="DS898" s="12">
        <v>31640.0</v>
      </c>
      <c r="DT898" s="12">
        <v>30120.0</v>
      </c>
      <c r="DU898" s="13">
        <v>4.0</v>
      </c>
      <c r="DV898" s="12">
        <v>4.0</v>
      </c>
      <c r="DW898" s="12">
        <v>4.0</v>
      </c>
      <c r="DX898" s="13">
        <v>4.0</v>
      </c>
      <c r="DY898" s="13">
        <v>4.0</v>
      </c>
      <c r="DZ898" s="15">
        <v>231040.0</v>
      </c>
      <c r="EA898" s="15">
        <v>201440.0</v>
      </c>
      <c r="EB898" s="15">
        <v>168730.0</v>
      </c>
      <c r="EC898" s="15">
        <v>146290.0</v>
      </c>
      <c r="ED898" s="15">
        <v>116160.0</v>
      </c>
      <c r="EE898" s="23">
        <v>0.052860227</v>
      </c>
      <c r="EF898" s="23">
        <v>0.06218458</v>
      </c>
      <c r="EG898" s="17">
        <v>0.125</v>
      </c>
      <c r="EH898" s="23">
        <v>0.16375</v>
      </c>
    </row>
    <row r="899">
      <c r="A899" s="9">
        <f t="shared" si="2"/>
        <v>897</v>
      </c>
      <c r="B899" s="22" t="s">
        <v>1034</v>
      </c>
      <c r="C899" s="12"/>
      <c r="D899" s="12"/>
      <c r="E899" s="12"/>
      <c r="F899" s="12"/>
      <c r="G899" s="12"/>
      <c r="H899" s="12"/>
      <c r="I899" s="12"/>
      <c r="J899" s="11">
        <v>-1840.0</v>
      </c>
      <c r="K899" s="11">
        <v>-875.0</v>
      </c>
      <c r="L899" s="11">
        <v>-376.0</v>
      </c>
      <c r="M899" s="11">
        <v>-6.0</v>
      </c>
      <c r="N899" s="12"/>
      <c r="O899" s="11">
        <v>81130.0</v>
      </c>
      <c r="P899" s="11">
        <v>59090.0</v>
      </c>
      <c r="Q899" s="11">
        <v>35350.0</v>
      </c>
      <c r="R899" s="11">
        <v>9260.0</v>
      </c>
      <c r="S899" s="12"/>
      <c r="T899" s="11">
        <v>57370.0</v>
      </c>
      <c r="U899" s="11">
        <v>41340.0</v>
      </c>
      <c r="V899" s="11">
        <v>27900.0</v>
      </c>
      <c r="W899" s="11">
        <v>5780.0</v>
      </c>
      <c r="X899" s="12"/>
      <c r="Y899" s="12"/>
      <c r="Z899" s="12"/>
      <c r="AA899" s="12"/>
      <c r="AB899" s="12"/>
      <c r="AC899" s="12"/>
      <c r="AD899" s="11">
        <v>-76770.0</v>
      </c>
      <c r="AE899" s="11">
        <v>-57520.0</v>
      </c>
      <c r="AF899" s="11">
        <v>-35490.0</v>
      </c>
      <c r="AG899" s="11">
        <v>-9430.0</v>
      </c>
      <c r="AH899" s="12"/>
      <c r="AI899" s="11">
        <v>-81130.0</v>
      </c>
      <c r="AJ899" s="11">
        <v>-59090.0</v>
      </c>
      <c r="AK899" s="11">
        <v>-35350.0</v>
      </c>
      <c r="AL899" s="11">
        <v>-9260.0</v>
      </c>
      <c r="AM899" s="12"/>
      <c r="AN899" s="11">
        <v>-76770.0</v>
      </c>
      <c r="AO899" s="11">
        <v>-57520.0</v>
      </c>
      <c r="AP899" s="11">
        <v>-35490.0</v>
      </c>
      <c r="AQ899" s="11">
        <v>-9430.0</v>
      </c>
      <c r="AR899" s="12"/>
      <c r="AS899" s="11">
        <v>-57100.0</v>
      </c>
      <c r="AT899" s="11">
        <v>-41890.0</v>
      </c>
      <c r="AU899" s="11">
        <v>-22260.0</v>
      </c>
      <c r="AV899" s="11">
        <v>-6530.0</v>
      </c>
      <c r="AW899" s="12"/>
      <c r="AX899" s="11">
        <v>-3060.0</v>
      </c>
      <c r="AY899" s="11">
        <v>-7670.0</v>
      </c>
      <c r="AZ899" s="11">
        <v>-2200.0</v>
      </c>
      <c r="BA899" s="11">
        <v>-139.0</v>
      </c>
      <c r="BB899" s="12"/>
      <c r="BC899" s="12"/>
      <c r="BD899" s="12"/>
      <c r="BE899" s="12"/>
      <c r="BF899" s="12"/>
      <c r="BG899" s="12"/>
      <c r="BH899" s="11">
        <v>145730.0</v>
      </c>
      <c r="BI899" s="11">
        <v>142570.0</v>
      </c>
      <c r="BJ899" s="11">
        <v>51570.0</v>
      </c>
      <c r="BK899" s="11">
        <v>4540.0</v>
      </c>
      <c r="BL899" s="12"/>
      <c r="BM899" s="12"/>
      <c r="BN899" s="12"/>
      <c r="BO899" s="12"/>
      <c r="BP899" s="11">
        <v>6250.0</v>
      </c>
      <c r="BQ899" s="12"/>
      <c r="BR899" s="12"/>
      <c r="BS899" s="12"/>
      <c r="BT899" s="12"/>
      <c r="BU899" s="12"/>
      <c r="BV899" s="12"/>
      <c r="BW899" s="11">
        <v>149840.0</v>
      </c>
      <c r="BX899" s="11">
        <v>145320.0</v>
      </c>
      <c r="BY899" s="11">
        <v>52500.0</v>
      </c>
      <c r="BZ899" s="11">
        <v>10830.0</v>
      </c>
      <c r="CA899" s="12"/>
      <c r="CB899" s="11">
        <v>9890.0</v>
      </c>
      <c r="CC899" s="11">
        <v>3070.0</v>
      </c>
      <c r="CD899" s="11">
        <v>1740.0</v>
      </c>
      <c r="CE899" s="11">
        <v>508.0</v>
      </c>
      <c r="CF899" s="12"/>
      <c r="CG899" s="12"/>
      <c r="CH899" s="12"/>
      <c r="CI899" s="12"/>
      <c r="CJ899" s="12"/>
      <c r="CK899" s="12"/>
      <c r="CL899" s="11">
        <v>161510.0</v>
      </c>
      <c r="CM899" s="11">
        <v>157310.0</v>
      </c>
      <c r="CN899" s="11">
        <v>54460.0</v>
      </c>
      <c r="CO899" s="11">
        <v>11340.0</v>
      </c>
      <c r="CP899" s="12"/>
      <c r="CQ899" s="11">
        <v>2810.0</v>
      </c>
      <c r="CR899" s="11">
        <v>3490.0</v>
      </c>
      <c r="CS899" s="11">
        <v>167.0</v>
      </c>
      <c r="CT899" s="11">
        <v>1670.0</v>
      </c>
      <c r="CU899" s="12"/>
      <c r="CV899" s="11">
        <v>14120.0</v>
      </c>
      <c r="CW899" s="12"/>
      <c r="CX899" s="12"/>
      <c r="CY899" s="12"/>
      <c r="CZ899" s="12"/>
      <c r="DA899" s="12"/>
      <c r="DB899" s="11">
        <v>14120.0</v>
      </c>
      <c r="DC899" s="11">
        <v>10420.0</v>
      </c>
      <c r="DD899" s="11">
        <v>4140.0</v>
      </c>
      <c r="DE899" s="11">
        <v>2300.0</v>
      </c>
      <c r="DF899" s="11">
        <v>20320.0</v>
      </c>
      <c r="DG899" s="11">
        <v>11670.0</v>
      </c>
      <c r="DH899" s="11">
        <v>4140.0</v>
      </c>
      <c r="DI899" s="11">
        <v>2300.0</v>
      </c>
      <c r="DJ899" s="12"/>
      <c r="DK899" s="11">
        <v>1780.0</v>
      </c>
      <c r="DL899" s="11">
        <v>8920.0</v>
      </c>
      <c r="DM899" s="11">
        <v>218.0</v>
      </c>
      <c r="DN899" s="12"/>
      <c r="DO899" s="12"/>
      <c r="DP899" s="12"/>
      <c r="DQ899" s="12"/>
      <c r="DR899" s="12"/>
      <c r="DS899" s="12"/>
      <c r="DT899" s="12"/>
      <c r="DU899" s="13"/>
      <c r="DV899" s="12"/>
      <c r="DW899" s="11">
        <v>92440.0</v>
      </c>
      <c r="DX899" s="11">
        <v>17920.0</v>
      </c>
      <c r="DY899" s="13"/>
      <c r="DZ899" s="11">
        <v>141190.0</v>
      </c>
      <c r="EA899" s="11">
        <v>145650.0</v>
      </c>
      <c r="EB899" s="11">
        <v>50320.0</v>
      </c>
      <c r="EC899" s="11">
        <v>9040.0</v>
      </c>
      <c r="ED899" s="12"/>
      <c r="EE899" s="23"/>
      <c r="EF899" s="23"/>
      <c r="EG899" s="14">
        <v>0.111</v>
      </c>
      <c r="EH899" s="14">
        <v>0.062</v>
      </c>
    </row>
    <row r="900">
      <c r="A900" s="9">
        <f t="shared" si="2"/>
        <v>898</v>
      </c>
      <c r="B900" s="22" t="s">
        <v>1035</v>
      </c>
      <c r="C900" s="11">
        <v>9500.0</v>
      </c>
      <c r="D900" s="11">
        <v>9500.0</v>
      </c>
      <c r="E900" s="11">
        <v>13290.0</v>
      </c>
      <c r="F900" s="12"/>
      <c r="G900" s="12"/>
      <c r="H900" s="12"/>
      <c r="I900" s="12"/>
      <c r="J900" s="12"/>
      <c r="K900" s="11">
        <v>-2050.0</v>
      </c>
      <c r="L900" s="11">
        <v>-679.0</v>
      </c>
      <c r="M900" s="11">
        <v>-243.0</v>
      </c>
      <c r="N900" s="12"/>
      <c r="O900" s="11">
        <v>68210.0</v>
      </c>
      <c r="P900" s="11">
        <v>76050.0</v>
      </c>
      <c r="Q900" s="11">
        <v>31010.0</v>
      </c>
      <c r="R900" s="11">
        <v>19820.0</v>
      </c>
      <c r="S900" s="12"/>
      <c r="T900" s="11">
        <v>24880.0</v>
      </c>
      <c r="U900" s="11">
        <v>33620.0</v>
      </c>
      <c r="V900" s="11">
        <v>22360.0</v>
      </c>
      <c r="W900" s="11">
        <v>14040.0</v>
      </c>
      <c r="X900" s="12"/>
      <c r="Y900" s="12"/>
      <c r="Z900" s="11">
        <v>-79620.0</v>
      </c>
      <c r="AA900" s="11">
        <v>-32150.0</v>
      </c>
      <c r="AB900" s="12"/>
      <c r="AC900" s="12"/>
      <c r="AD900" s="11">
        <v>-54750.0</v>
      </c>
      <c r="AE900" s="11">
        <v>-83340.0</v>
      </c>
      <c r="AF900" s="11">
        <v>-31040.0</v>
      </c>
      <c r="AG900" s="11">
        <v>-19790.0</v>
      </c>
      <c r="AH900" s="12"/>
      <c r="AI900" s="11">
        <v>-54920.0</v>
      </c>
      <c r="AJ900" s="11">
        <v>-76050.0</v>
      </c>
      <c r="AK900" s="11">
        <v>-31010.0</v>
      </c>
      <c r="AL900" s="11">
        <v>-19820.0</v>
      </c>
      <c r="AM900" s="12"/>
      <c r="AN900" s="11">
        <v>-54750.0</v>
      </c>
      <c r="AO900" s="11">
        <v>-82870.0</v>
      </c>
      <c r="AP900" s="11">
        <v>-31040.0</v>
      </c>
      <c r="AQ900" s="11">
        <v>-19490.0</v>
      </c>
      <c r="AR900" s="12"/>
      <c r="AS900" s="11">
        <v>20040.0</v>
      </c>
      <c r="AT900" s="11">
        <v>-58890.0</v>
      </c>
      <c r="AU900" s="11">
        <v>-18060.0</v>
      </c>
      <c r="AV900" s="11">
        <v>-14370.0</v>
      </c>
      <c r="AW900" s="12"/>
      <c r="AX900" s="11">
        <v>-8980.0</v>
      </c>
      <c r="AY900" s="11">
        <v>-11260.0</v>
      </c>
      <c r="AZ900" s="11">
        <v>-10540.0</v>
      </c>
      <c r="BA900" s="11">
        <v>-2590.0</v>
      </c>
      <c r="BB900" s="12"/>
      <c r="BC900" s="12"/>
      <c r="BD900" s="12"/>
      <c r="BE900" s="12"/>
      <c r="BF900" s="12"/>
      <c r="BG900" s="12"/>
      <c r="BH900" s="11">
        <v>227230.0</v>
      </c>
      <c r="BI900" s="11">
        <v>68080.0</v>
      </c>
      <c r="BJ900" s="11">
        <v>8550.0</v>
      </c>
      <c r="BK900" s="11">
        <v>17480.0</v>
      </c>
      <c r="BL900" s="12"/>
      <c r="BM900" s="11">
        <v>37110.0</v>
      </c>
      <c r="BN900" s="12"/>
      <c r="BO900" s="12"/>
      <c r="BP900" s="12"/>
      <c r="BQ900" s="12"/>
      <c r="BR900" s="12"/>
      <c r="BS900" s="12"/>
      <c r="BT900" s="12"/>
      <c r="BU900" s="12"/>
      <c r="BV900" s="12"/>
      <c r="BW900" s="11">
        <v>268980.0</v>
      </c>
      <c r="BX900" s="11">
        <v>74650.0</v>
      </c>
      <c r="BY900" s="11">
        <v>11480.0</v>
      </c>
      <c r="BZ900" s="11">
        <v>19090.0</v>
      </c>
      <c r="CA900" s="12"/>
      <c r="CB900" s="11">
        <v>52860.0</v>
      </c>
      <c r="CC900" s="11">
        <v>22010.0</v>
      </c>
      <c r="CD900" s="11">
        <v>14260.0</v>
      </c>
      <c r="CE900" s="11">
        <v>3020.0</v>
      </c>
      <c r="CF900" s="12"/>
      <c r="CG900" s="12"/>
      <c r="CH900" s="12"/>
      <c r="CI900" s="12"/>
      <c r="CJ900" s="12"/>
      <c r="CK900" s="12"/>
      <c r="CL900" s="11">
        <v>323890.0</v>
      </c>
      <c r="CM900" s="11">
        <v>96890.0</v>
      </c>
      <c r="CN900" s="11">
        <v>25850.0</v>
      </c>
      <c r="CO900" s="11">
        <v>22550.0</v>
      </c>
      <c r="CP900" s="12"/>
      <c r="CQ900" s="11">
        <v>3760.0</v>
      </c>
      <c r="CR900" s="11">
        <v>3040.0</v>
      </c>
      <c r="CS900" s="11">
        <v>7060.0</v>
      </c>
      <c r="CT900" s="11">
        <v>1470.0</v>
      </c>
      <c r="CU900" s="12"/>
      <c r="CV900" s="11">
        <v>49200.0</v>
      </c>
      <c r="CW900" s="11">
        <v>1650.0</v>
      </c>
      <c r="CX900" s="12"/>
      <c r="CY900" s="11">
        <v>1440.0</v>
      </c>
      <c r="CZ900" s="12"/>
      <c r="DA900" s="12"/>
      <c r="DB900" s="11">
        <v>49200.0</v>
      </c>
      <c r="DC900" s="11">
        <v>15500.0</v>
      </c>
      <c r="DD900" s="11">
        <v>21400.0</v>
      </c>
      <c r="DE900" s="11">
        <v>6040.0</v>
      </c>
      <c r="DF900" s="11">
        <v>133090.0</v>
      </c>
      <c r="DG900" s="11">
        <v>15840.0</v>
      </c>
      <c r="DH900" s="11">
        <v>21880.0</v>
      </c>
      <c r="DI900" s="11">
        <v>6860.0</v>
      </c>
      <c r="DJ900" s="12"/>
      <c r="DK900" s="11">
        <v>123.0</v>
      </c>
      <c r="DL900" s="11">
        <v>123.0</v>
      </c>
      <c r="DM900" s="11">
        <v>123.0</v>
      </c>
      <c r="DN900" s="11">
        <v>445.0</v>
      </c>
      <c r="DO900" s="12"/>
      <c r="DP900" s="11">
        <v>21500.0</v>
      </c>
      <c r="DQ900" s="11">
        <v>7.0</v>
      </c>
      <c r="DR900" s="11">
        <v>34.0</v>
      </c>
      <c r="DS900" s="11">
        <v>5.0</v>
      </c>
      <c r="DT900" s="12"/>
      <c r="DU900" s="13"/>
      <c r="DV900" s="12"/>
      <c r="DW900" s="11">
        <v>51340.0</v>
      </c>
      <c r="DX900" s="11">
        <v>32830.0</v>
      </c>
      <c r="DY900" s="13"/>
      <c r="DZ900" s="11">
        <v>190800.0</v>
      </c>
      <c r="EA900" s="11">
        <v>81060.0</v>
      </c>
      <c r="EB900" s="11">
        <v>3970.0</v>
      </c>
      <c r="EC900" s="11">
        <v>15690.0</v>
      </c>
      <c r="ED900" s="12"/>
      <c r="EE900" s="14">
        <v>0.526</v>
      </c>
      <c r="EF900" s="14">
        <v>0.947</v>
      </c>
      <c r="EG900" s="14">
        <v>-0.5</v>
      </c>
      <c r="EH900" s="14">
        <v>0.198</v>
      </c>
    </row>
    <row r="901">
      <c r="A901" s="9">
        <f t="shared" si="2"/>
        <v>899</v>
      </c>
      <c r="B901" s="25" t="s">
        <v>1036</v>
      </c>
      <c r="C901" s="15">
        <v>9660000.0</v>
      </c>
      <c r="D901" s="15">
        <v>9190000.0</v>
      </c>
      <c r="E901" s="15">
        <v>9970000.0</v>
      </c>
      <c r="F901" s="15">
        <v>9980000.0</v>
      </c>
      <c r="G901" s="15">
        <v>9490000.0</v>
      </c>
      <c r="H901" s="15">
        <v>8960000.0</v>
      </c>
      <c r="I901" s="15">
        <v>8070000.0</v>
      </c>
      <c r="J901" s="15">
        <v>2760000.0</v>
      </c>
      <c r="K901" s="15">
        <v>2890000.0</v>
      </c>
      <c r="L901" s="15">
        <v>3030000.0</v>
      </c>
      <c r="M901" s="15">
        <v>2850000.0</v>
      </c>
      <c r="N901" s="15">
        <v>2460000.0</v>
      </c>
      <c r="O901" s="15">
        <v>1840000.0</v>
      </c>
      <c r="P901" s="15">
        <v>1710000.0</v>
      </c>
      <c r="Q901" s="15">
        <v>1630000.0</v>
      </c>
      <c r="R901" s="15">
        <v>1560000.0</v>
      </c>
      <c r="S901" s="15">
        <v>1420000.0</v>
      </c>
      <c r="T901" s="15"/>
      <c r="U901" s="15"/>
      <c r="V901" s="15"/>
      <c r="W901" s="15"/>
      <c r="X901" s="15"/>
      <c r="Y901" s="15">
        <v>767320.0</v>
      </c>
      <c r="Z901" s="15">
        <v>1100000.0</v>
      </c>
      <c r="AA901" s="15">
        <v>1350000.0</v>
      </c>
      <c r="AB901" s="15">
        <v>1270000.0</v>
      </c>
      <c r="AC901" s="15">
        <v>-210280.0</v>
      </c>
      <c r="AD901" s="15">
        <v>749550.0</v>
      </c>
      <c r="AE901" s="15">
        <v>1050000.0</v>
      </c>
      <c r="AF901" s="15">
        <v>1320000.0</v>
      </c>
      <c r="AG901" s="15">
        <v>1240000.0</v>
      </c>
      <c r="AH901" s="15">
        <v>748860.0</v>
      </c>
      <c r="AI901" s="15">
        <v>1550000.0</v>
      </c>
      <c r="AJ901" s="15">
        <v>1750000.0</v>
      </c>
      <c r="AK901" s="15">
        <v>1850000.0</v>
      </c>
      <c r="AL901" s="15">
        <v>1790000.0</v>
      </c>
      <c r="AM901" s="15">
        <v>1400000.0</v>
      </c>
      <c r="AN901" s="15">
        <v>744210.0</v>
      </c>
      <c r="AO901" s="15">
        <v>857810.0</v>
      </c>
      <c r="AP901" s="15">
        <v>971590.0</v>
      </c>
      <c r="AQ901" s="15">
        <v>930240.0</v>
      </c>
      <c r="AR901" s="15">
        <v>615110.0</v>
      </c>
      <c r="AS901" s="15">
        <v>1420000.0</v>
      </c>
      <c r="AT901" s="15">
        <v>1180000.0</v>
      </c>
      <c r="AU901" s="15">
        <v>1190000.0</v>
      </c>
      <c r="AV901" s="15">
        <v>1330000.0</v>
      </c>
      <c r="AW901" s="15">
        <v>911870.0</v>
      </c>
      <c r="AX901" s="15">
        <v>-545460.0</v>
      </c>
      <c r="AY901" s="15">
        <v>-794110.0</v>
      </c>
      <c r="AZ901" s="15">
        <v>-906000.0</v>
      </c>
      <c r="BA901" s="15">
        <v>-672130.0</v>
      </c>
      <c r="BB901" s="15">
        <v>-503660.0</v>
      </c>
      <c r="BC901" s="13"/>
      <c r="BD901" s="13"/>
      <c r="BE901" s="13"/>
      <c r="BF901" s="13"/>
      <c r="BG901" s="13"/>
      <c r="BH901" s="15">
        <v>134790.0</v>
      </c>
      <c r="BI901" s="15">
        <v>119050.0</v>
      </c>
      <c r="BJ901" s="15">
        <v>84880.0</v>
      </c>
      <c r="BK901" s="15">
        <v>121670.0</v>
      </c>
      <c r="BL901" s="15">
        <v>81690.0</v>
      </c>
      <c r="BM901" s="15">
        <v>1530000.0</v>
      </c>
      <c r="BN901" s="15">
        <v>1610000.0</v>
      </c>
      <c r="BO901" s="15">
        <v>1560000.0</v>
      </c>
      <c r="BP901" s="15">
        <v>1380000.0</v>
      </c>
      <c r="BQ901" s="15">
        <v>1260000.0</v>
      </c>
      <c r="BR901" s="15">
        <v>2280000.0</v>
      </c>
      <c r="BS901" s="15">
        <v>2290000.0</v>
      </c>
      <c r="BT901" s="15">
        <v>1950000.0</v>
      </c>
      <c r="BU901" s="15">
        <v>1680000.0</v>
      </c>
      <c r="BV901" s="15">
        <v>1610000.0</v>
      </c>
      <c r="BW901" s="15">
        <v>4430000.0</v>
      </c>
      <c r="BX901" s="15">
        <v>4510000.0</v>
      </c>
      <c r="BY901" s="15">
        <v>4070000.0</v>
      </c>
      <c r="BZ901" s="15">
        <v>3470000.0</v>
      </c>
      <c r="CA901" s="15">
        <v>3250000.0</v>
      </c>
      <c r="CB901" s="15">
        <v>5020000.0</v>
      </c>
      <c r="CC901" s="15">
        <v>4700000.0</v>
      </c>
      <c r="CD901" s="15">
        <v>4270000.0</v>
      </c>
      <c r="CE901" s="15">
        <v>3370000.0</v>
      </c>
      <c r="CF901" s="15">
        <v>3150000.0</v>
      </c>
      <c r="CG901" s="15">
        <v>2570000.0</v>
      </c>
      <c r="CH901" s="15">
        <v>2520000.0</v>
      </c>
      <c r="CI901" s="15">
        <v>2470000.0</v>
      </c>
      <c r="CJ901" s="15">
        <v>2270000.0</v>
      </c>
      <c r="CK901" s="15">
        <v>2290000.0</v>
      </c>
      <c r="CL901" s="15">
        <v>1.339E7</v>
      </c>
      <c r="CM901" s="15">
        <v>1.31E7</v>
      </c>
      <c r="CN901" s="15">
        <v>1.209E7</v>
      </c>
      <c r="CO901" s="15">
        <v>1.023E7</v>
      </c>
      <c r="CP901" s="15">
        <v>9930000.0</v>
      </c>
      <c r="CQ901" s="15">
        <v>824960.0</v>
      </c>
      <c r="CR901" s="15">
        <v>811880.0</v>
      </c>
      <c r="CS901" s="15">
        <v>810030.0</v>
      </c>
      <c r="CT901" s="15">
        <v>741680.0</v>
      </c>
      <c r="CU901" s="15">
        <v>711000.0</v>
      </c>
      <c r="CV901" s="15">
        <v>2710000.0</v>
      </c>
      <c r="CW901" s="15">
        <v>805820.0</v>
      </c>
      <c r="CX901" s="15">
        <v>1350000.0</v>
      </c>
      <c r="CY901" s="15">
        <v>1150000.0</v>
      </c>
      <c r="CZ901" s="15"/>
      <c r="DA901" s="15"/>
      <c r="DB901" s="15">
        <v>2710000.0</v>
      </c>
      <c r="DC901" s="15">
        <v>3270000.0</v>
      </c>
      <c r="DD901" s="15">
        <v>2660000.0</v>
      </c>
      <c r="DE901" s="15">
        <v>2720000.0</v>
      </c>
      <c r="DF901" s="15">
        <v>5260000.0</v>
      </c>
      <c r="DG901" s="15">
        <v>5660000.0</v>
      </c>
      <c r="DH901" s="15">
        <v>5000000.0</v>
      </c>
      <c r="DI901" s="15">
        <v>4420000.0</v>
      </c>
      <c r="DJ901" s="15">
        <v>5050000.0</v>
      </c>
      <c r="DK901" s="15"/>
      <c r="DL901" s="15"/>
      <c r="DM901" s="15"/>
      <c r="DN901" s="15"/>
      <c r="DO901" s="15"/>
      <c r="DP901" s="15">
        <v>1750000.0</v>
      </c>
      <c r="DQ901" s="15">
        <v>1520000.0</v>
      </c>
      <c r="DR901" s="15">
        <v>1560000.0</v>
      </c>
      <c r="DS901" s="15">
        <v>1130000.0</v>
      </c>
      <c r="DT901" s="15">
        <v>1190000.0</v>
      </c>
      <c r="DU901" s="13"/>
      <c r="DV901" s="12"/>
      <c r="DW901" s="12"/>
      <c r="DX901" s="13"/>
      <c r="DY901" s="13"/>
      <c r="DZ901" s="15">
        <v>8120000.0</v>
      </c>
      <c r="EA901" s="15">
        <v>7430000.0</v>
      </c>
      <c r="EB901" s="15">
        <v>7060000.0</v>
      </c>
      <c r="EC901" s="15">
        <v>5780000.0</v>
      </c>
      <c r="ED901" s="15">
        <v>4850000.0</v>
      </c>
      <c r="EE901" s="17">
        <v>0.048</v>
      </c>
      <c r="EF901" s="17">
        <v>0.097</v>
      </c>
      <c r="EG901" s="17">
        <v>5.111</v>
      </c>
      <c r="EH901" s="17">
        <v>1.295</v>
      </c>
    </row>
    <row r="902">
      <c r="A902" s="9">
        <f t="shared" si="2"/>
        <v>900</v>
      </c>
      <c r="B902" s="10" t="s">
        <v>1037</v>
      </c>
      <c r="C902" s="11">
        <v>2680000.0</v>
      </c>
      <c r="D902" s="11">
        <v>2470000.0</v>
      </c>
      <c r="E902" s="11">
        <v>2500000.0</v>
      </c>
      <c r="F902" s="11">
        <v>2290000.0</v>
      </c>
      <c r="G902" s="11">
        <v>1960000.0</v>
      </c>
      <c r="H902" s="11">
        <v>1690000.0</v>
      </c>
      <c r="I902" s="11">
        <v>1420000.0</v>
      </c>
      <c r="J902" s="11">
        <v>494560.0</v>
      </c>
      <c r="K902" s="11">
        <v>448750.0</v>
      </c>
      <c r="L902" s="11">
        <v>397200.0</v>
      </c>
      <c r="M902" s="11">
        <v>336370.0</v>
      </c>
      <c r="N902" s="11">
        <v>304460.0</v>
      </c>
      <c r="O902" s="11">
        <v>302340.0</v>
      </c>
      <c r="P902" s="11">
        <v>280610.0</v>
      </c>
      <c r="Q902" s="11">
        <v>254610.0</v>
      </c>
      <c r="R902" s="11">
        <v>220410.0</v>
      </c>
      <c r="S902" s="11">
        <v>188300.0</v>
      </c>
      <c r="T902" s="11"/>
      <c r="U902" s="11"/>
      <c r="V902" s="11"/>
      <c r="W902" s="11"/>
      <c r="X902" s="11"/>
      <c r="Y902" s="11">
        <v>187090.0</v>
      </c>
      <c r="Z902" s="11">
        <v>161460.0</v>
      </c>
      <c r="AA902" s="11">
        <v>138660.0</v>
      </c>
      <c r="AB902" s="11">
        <v>108740.0</v>
      </c>
      <c r="AC902" s="11">
        <v>103950.0</v>
      </c>
      <c r="AD902" s="11">
        <v>166030.0</v>
      </c>
      <c r="AE902" s="11">
        <v>141290.0</v>
      </c>
      <c r="AF902" s="11">
        <v>120320.0</v>
      </c>
      <c r="AG902" s="11">
        <v>91790.0</v>
      </c>
      <c r="AH902" s="11">
        <v>86930.0</v>
      </c>
      <c r="AI902" s="11">
        <v>205460.0</v>
      </c>
      <c r="AJ902" s="11">
        <v>174070.0</v>
      </c>
      <c r="AK902" s="11">
        <v>145610.0</v>
      </c>
      <c r="AL902" s="11">
        <v>122170.0</v>
      </c>
      <c r="AM902" s="11">
        <v>120140.0</v>
      </c>
      <c r="AN902" s="11">
        <v>127590.0</v>
      </c>
      <c r="AO902" s="11">
        <v>107660.0</v>
      </c>
      <c r="AP902" s="11">
        <v>72080.0</v>
      </c>
      <c r="AQ902" s="11">
        <v>56610.0</v>
      </c>
      <c r="AR902" s="11">
        <v>51760.0</v>
      </c>
      <c r="AS902" s="11">
        <v>65630.0</v>
      </c>
      <c r="AT902" s="11">
        <v>-2590.0</v>
      </c>
      <c r="AU902" s="11">
        <v>-52530.0</v>
      </c>
      <c r="AV902" s="11">
        <v>34200.0</v>
      </c>
      <c r="AW902" s="11">
        <v>-82370.0</v>
      </c>
      <c r="AX902" s="11">
        <v>-4530.0</v>
      </c>
      <c r="AY902" s="11">
        <v>-8140.0</v>
      </c>
      <c r="AZ902" s="11">
        <v>-8800.0</v>
      </c>
      <c r="BA902" s="11">
        <v>-13110.0</v>
      </c>
      <c r="BB902" s="11">
        <v>-3660.0</v>
      </c>
      <c r="BC902" s="13"/>
      <c r="BD902" s="13"/>
      <c r="BE902" s="24">
        <v>-3660.0</v>
      </c>
      <c r="BF902" s="24">
        <v>-4880.0</v>
      </c>
      <c r="BG902" s="24">
        <v>-4880.0</v>
      </c>
      <c r="BH902" s="11">
        <v>6080.0</v>
      </c>
      <c r="BI902" s="11">
        <v>21530.0</v>
      </c>
      <c r="BJ902" s="11">
        <v>151700.0</v>
      </c>
      <c r="BK902" s="11">
        <v>34440.0</v>
      </c>
      <c r="BL902" s="11">
        <v>13100.0</v>
      </c>
      <c r="BM902" s="11"/>
      <c r="BN902" s="11"/>
      <c r="BO902" s="11"/>
      <c r="BP902" s="11"/>
      <c r="BQ902" s="11"/>
      <c r="BR902" s="11">
        <v>1770000.0</v>
      </c>
      <c r="BS902" s="11">
        <v>1670000.0</v>
      </c>
      <c r="BT902" s="11">
        <v>1410000.0</v>
      </c>
      <c r="BU902" s="11">
        <v>1220000.0</v>
      </c>
      <c r="BV902" s="11">
        <v>1110000.0</v>
      </c>
      <c r="BW902" s="11">
        <v>1930000.0</v>
      </c>
      <c r="BX902" s="11">
        <v>1870000.0</v>
      </c>
      <c r="BY902" s="11">
        <v>1740000.0</v>
      </c>
      <c r="BZ902" s="11">
        <v>1400000.0</v>
      </c>
      <c r="CA902" s="11">
        <v>1250000.0</v>
      </c>
      <c r="CB902" s="11">
        <v>40530.0</v>
      </c>
      <c r="CC902" s="11">
        <v>29400.0</v>
      </c>
      <c r="CD902" s="11">
        <v>26820.0</v>
      </c>
      <c r="CE902" s="11">
        <v>22300.0</v>
      </c>
      <c r="CF902" s="11">
        <v>12900.0</v>
      </c>
      <c r="CG902" s="11">
        <v>16400.0</v>
      </c>
      <c r="CH902" s="11">
        <v>16400.0</v>
      </c>
      <c r="CI902" s="11"/>
      <c r="CJ902" s="11"/>
      <c r="CK902" s="11"/>
      <c r="CL902" s="11">
        <v>2120000.0</v>
      </c>
      <c r="CM902" s="11">
        <v>2030000.0</v>
      </c>
      <c r="CN902" s="11">
        <v>1870000.0</v>
      </c>
      <c r="CO902" s="11">
        <v>1550000.0</v>
      </c>
      <c r="CP902" s="11">
        <v>1420000.0</v>
      </c>
      <c r="CQ902" s="11">
        <v>125030.0</v>
      </c>
      <c r="CR902" s="11">
        <v>131510.0</v>
      </c>
      <c r="CS902" s="11">
        <v>117230.0</v>
      </c>
      <c r="CT902" s="11">
        <v>103210.0</v>
      </c>
      <c r="CU902" s="11">
        <v>86880.0</v>
      </c>
      <c r="CV902" s="11">
        <v>309810.0</v>
      </c>
      <c r="CW902" s="11">
        <v>142380.0</v>
      </c>
      <c r="CX902" s="11">
        <v>153170.0</v>
      </c>
      <c r="CY902" s="11">
        <v>168200.0</v>
      </c>
      <c r="CZ902" s="11">
        <v>152900.0</v>
      </c>
      <c r="DA902" s="11">
        <v>123650.0</v>
      </c>
      <c r="DB902" s="11">
        <v>309810.0</v>
      </c>
      <c r="DC902" s="11">
        <v>336040.0</v>
      </c>
      <c r="DD902" s="11">
        <v>333350.0</v>
      </c>
      <c r="DE902" s="11">
        <v>285790.0</v>
      </c>
      <c r="DF902" s="11">
        <v>1110000.0</v>
      </c>
      <c r="DG902" s="11">
        <v>1170000.0</v>
      </c>
      <c r="DH902" s="11">
        <v>1120000.0</v>
      </c>
      <c r="DI902" s="11">
        <v>900420.0</v>
      </c>
      <c r="DJ902" s="11">
        <v>818990.0</v>
      </c>
      <c r="DK902" s="11">
        <v>37890.0</v>
      </c>
      <c r="DL902" s="11">
        <v>35870.0</v>
      </c>
      <c r="DM902" s="11">
        <v>20530.0</v>
      </c>
      <c r="DN902" s="11">
        <v>28020.0</v>
      </c>
      <c r="DO902" s="11">
        <v>36970.0</v>
      </c>
      <c r="DP902" s="11">
        <v>644380.0</v>
      </c>
      <c r="DQ902" s="11">
        <v>680190.0</v>
      </c>
      <c r="DR902" s="11">
        <v>652590.0</v>
      </c>
      <c r="DS902" s="11">
        <v>485380.0</v>
      </c>
      <c r="DT902" s="11">
        <v>489220.0</v>
      </c>
      <c r="DU902" s="13"/>
      <c r="DV902" s="12"/>
      <c r="DW902" s="12"/>
      <c r="DX902" s="24">
        <v>48160.0</v>
      </c>
      <c r="DY902" s="24">
        <v>48160.0</v>
      </c>
      <c r="DZ902" s="11">
        <v>1000000.0</v>
      </c>
      <c r="EA902" s="11">
        <v>855300.0</v>
      </c>
      <c r="EB902" s="11">
        <v>747300.0</v>
      </c>
      <c r="EC902" s="11">
        <v>654170.0</v>
      </c>
      <c r="ED902" s="11">
        <v>596570.0</v>
      </c>
      <c r="EE902" s="14">
        <v>0.137651822</v>
      </c>
      <c r="EF902" s="14">
        <v>0.22761194</v>
      </c>
      <c r="EG902" s="14">
        <v>0.329</v>
      </c>
      <c r="EH902" s="14">
        <v>0.227</v>
      </c>
    </row>
    <row r="903">
      <c r="A903" s="9">
        <f t="shared" si="2"/>
        <v>901</v>
      </c>
      <c r="B903" s="10" t="s">
        <v>1038</v>
      </c>
      <c r="C903" s="11">
        <v>1560000.0</v>
      </c>
      <c r="D903" s="11">
        <v>1350000.0</v>
      </c>
      <c r="E903" s="11">
        <v>1730000.0</v>
      </c>
      <c r="F903" s="11">
        <v>1760000.0</v>
      </c>
      <c r="G903" s="11">
        <v>1670000.0</v>
      </c>
      <c r="H903" s="11">
        <v>1500000.0</v>
      </c>
      <c r="I903" s="11">
        <v>1640000.0</v>
      </c>
      <c r="J903" s="11">
        <v>665000.0</v>
      </c>
      <c r="K903" s="11">
        <v>613690.0</v>
      </c>
      <c r="L903" s="11">
        <v>651880.0</v>
      </c>
      <c r="M903" s="11">
        <v>607740.0</v>
      </c>
      <c r="N903" s="11">
        <v>609050.0</v>
      </c>
      <c r="O903" s="11">
        <v>366000.0</v>
      </c>
      <c r="P903" s="11">
        <v>373330.0</v>
      </c>
      <c r="Q903" s="11">
        <v>378050.0</v>
      </c>
      <c r="R903" s="11">
        <v>346110.0</v>
      </c>
      <c r="S903" s="11">
        <v>659820.0</v>
      </c>
      <c r="T903" s="12"/>
      <c r="U903" s="12"/>
      <c r="V903" s="12"/>
      <c r="W903" s="12"/>
      <c r="X903" s="12"/>
      <c r="Y903" s="11">
        <v>276000.0</v>
      </c>
      <c r="Z903" s="11">
        <v>-635.0</v>
      </c>
      <c r="AA903" s="11">
        <v>9030.0</v>
      </c>
      <c r="AB903" s="11">
        <v>11400.0</v>
      </c>
      <c r="AC903" s="11">
        <v>-34910.0</v>
      </c>
      <c r="AD903" s="11">
        <v>140000.0</v>
      </c>
      <c r="AE903" s="11">
        <v>114080.0</v>
      </c>
      <c r="AF903" s="11">
        <v>204270.0</v>
      </c>
      <c r="AG903" s="11">
        <v>197780.0</v>
      </c>
      <c r="AH903" s="11">
        <v>-178970.0</v>
      </c>
      <c r="AI903" s="11">
        <v>553000.0</v>
      </c>
      <c r="AJ903" s="11">
        <v>502330.0</v>
      </c>
      <c r="AK903" s="11">
        <v>515940.0</v>
      </c>
      <c r="AL903" s="11">
        <v>498140.0</v>
      </c>
      <c r="AM903" s="11">
        <v>265900.0</v>
      </c>
      <c r="AN903" s="11">
        <v>101000.0</v>
      </c>
      <c r="AO903" s="11">
        <v>68080.0</v>
      </c>
      <c r="AP903" s="11">
        <v>434180.0</v>
      </c>
      <c r="AQ903" s="11">
        <v>132070.0</v>
      </c>
      <c r="AR903" s="11">
        <v>-108540.0</v>
      </c>
      <c r="AS903" s="11">
        <v>467000.0</v>
      </c>
      <c r="AT903" s="11">
        <v>473160.0</v>
      </c>
      <c r="AU903" s="11">
        <v>464110.0</v>
      </c>
      <c r="AV903" s="11">
        <v>559800.0</v>
      </c>
      <c r="AW903" s="11">
        <v>380430.0</v>
      </c>
      <c r="AX903" s="11">
        <v>-260000.0</v>
      </c>
      <c r="AY903" s="11">
        <v>-177160.0</v>
      </c>
      <c r="AZ903" s="11">
        <v>-214220.0</v>
      </c>
      <c r="BA903" s="11">
        <v>-314680.0</v>
      </c>
      <c r="BB903" s="11">
        <v>-194150.0</v>
      </c>
      <c r="BC903" s="11">
        <v>-344000.0</v>
      </c>
      <c r="BD903" s="11">
        <v>-378360.0</v>
      </c>
      <c r="BE903" s="11">
        <v>-452950.0</v>
      </c>
      <c r="BF903" s="11">
        <v>-396090.0</v>
      </c>
      <c r="BG903" s="11">
        <v>-341560.0</v>
      </c>
      <c r="BH903" s="11">
        <v>358000.0</v>
      </c>
      <c r="BI903" s="11">
        <v>611870.0</v>
      </c>
      <c r="BJ903" s="11">
        <v>56140.0</v>
      </c>
      <c r="BK903" s="11">
        <v>61190.0</v>
      </c>
      <c r="BL903" s="11">
        <v>41340.0</v>
      </c>
      <c r="BM903" s="11">
        <v>97000.0</v>
      </c>
      <c r="BN903" s="11">
        <v>95160.0</v>
      </c>
      <c r="BO903" s="11">
        <v>146620.0</v>
      </c>
      <c r="BP903" s="11">
        <v>124850.0</v>
      </c>
      <c r="BQ903" s="11">
        <v>95600.0</v>
      </c>
      <c r="BR903" s="11">
        <v>31000.0</v>
      </c>
      <c r="BS903" s="11">
        <v>29260.0</v>
      </c>
      <c r="BT903" s="11">
        <v>33060.0</v>
      </c>
      <c r="BU903" s="11">
        <v>31460.0</v>
      </c>
      <c r="BV903" s="11">
        <v>29490.0</v>
      </c>
      <c r="BW903" s="11">
        <v>529000.0</v>
      </c>
      <c r="BX903" s="11">
        <v>1420000.0</v>
      </c>
      <c r="BY903" s="11">
        <v>307650.0</v>
      </c>
      <c r="BZ903" s="11">
        <v>244670.0</v>
      </c>
      <c r="CA903" s="11">
        <v>216570.0</v>
      </c>
      <c r="CB903" s="11">
        <v>3540000.0</v>
      </c>
      <c r="CC903" s="11">
        <v>3140000.0</v>
      </c>
      <c r="CD903" s="11">
        <v>3200000.0</v>
      </c>
      <c r="CE903" s="11">
        <v>4350000.0</v>
      </c>
      <c r="CF903" s="11">
        <v>4120000.0</v>
      </c>
      <c r="CG903" s="11">
        <v>2040000.0</v>
      </c>
      <c r="CH903" s="11">
        <v>2040000.0</v>
      </c>
      <c r="CI903" s="11">
        <v>2050000.0</v>
      </c>
      <c r="CJ903" s="11">
        <v>2020000.0</v>
      </c>
      <c r="CK903" s="11">
        <v>2020000.0</v>
      </c>
      <c r="CL903" s="11">
        <v>7030000.0</v>
      </c>
      <c r="CM903" s="11">
        <v>7510000.0</v>
      </c>
      <c r="CN903" s="11">
        <v>8100000.0</v>
      </c>
      <c r="CO903" s="11">
        <v>7800000.0</v>
      </c>
      <c r="CP903" s="11">
        <v>7540000.0</v>
      </c>
      <c r="CQ903" s="11">
        <v>67000.0</v>
      </c>
      <c r="CR903" s="11">
        <v>38180.0</v>
      </c>
      <c r="CS903" s="11">
        <v>58880.0</v>
      </c>
      <c r="CT903" s="11">
        <v>69570.0</v>
      </c>
      <c r="CU903" s="11">
        <v>56690.0</v>
      </c>
      <c r="CV903" s="11">
        <v>230000.0</v>
      </c>
      <c r="CW903" s="11">
        <v>20000.0</v>
      </c>
      <c r="CX903" s="12"/>
      <c r="CY903" s="12"/>
      <c r="CZ903" s="12"/>
      <c r="DA903" s="12"/>
      <c r="DB903" s="11">
        <v>230000.0</v>
      </c>
      <c r="DC903" s="11">
        <v>837980.0</v>
      </c>
      <c r="DD903" s="11">
        <v>255970.0</v>
      </c>
      <c r="DE903" s="11">
        <v>251010.0</v>
      </c>
      <c r="DF903" s="11">
        <v>4220000.0</v>
      </c>
      <c r="DG903" s="11">
        <v>4390000.0</v>
      </c>
      <c r="DH903" s="11">
        <v>4750000.0</v>
      </c>
      <c r="DI903" s="11">
        <v>4650000.0</v>
      </c>
      <c r="DJ903" s="11">
        <v>4340000.0</v>
      </c>
      <c r="DK903" s="11">
        <v>11000.0</v>
      </c>
      <c r="DL903" s="11">
        <v>22900.0</v>
      </c>
      <c r="DM903" s="11">
        <v>31130.0</v>
      </c>
      <c r="DN903" s="11">
        <v>39620.0</v>
      </c>
      <c r="DO903" s="11">
        <v>10080.0</v>
      </c>
      <c r="DP903" s="11">
        <v>2970000.0</v>
      </c>
      <c r="DQ903" s="11">
        <v>2650000.0</v>
      </c>
      <c r="DR903" s="11">
        <v>2990000.0</v>
      </c>
      <c r="DS903" s="11">
        <v>3040000.0</v>
      </c>
      <c r="DT903" s="11">
        <v>2750000.0</v>
      </c>
      <c r="DU903" s="13"/>
      <c r="DV903" s="12"/>
      <c r="DW903" s="12"/>
      <c r="DX903" s="12"/>
      <c r="DY903" s="12"/>
      <c r="DZ903" s="11">
        <v>2800000.0</v>
      </c>
      <c r="EA903" s="11">
        <v>2960000.0</v>
      </c>
      <c r="EB903" s="11">
        <v>3150000.0</v>
      </c>
      <c r="EC903" s="11">
        <v>2950000.0</v>
      </c>
      <c r="ED903" s="11">
        <v>3030000.0</v>
      </c>
      <c r="EE903" s="14">
        <v>0.007</v>
      </c>
      <c r="EF903" s="14">
        <v>0.019</v>
      </c>
      <c r="EG903" s="14">
        <v>-1.25</v>
      </c>
      <c r="EH903" s="14">
        <v>-0.327</v>
      </c>
    </row>
    <row r="904">
      <c r="A904" s="9">
        <f t="shared" si="2"/>
        <v>902</v>
      </c>
      <c r="B904" s="10" t="s">
        <v>1039</v>
      </c>
      <c r="C904" s="11">
        <v>2640000.0</v>
      </c>
      <c r="D904" s="11">
        <v>2440000.0</v>
      </c>
      <c r="E904" s="11">
        <v>2960000.0</v>
      </c>
      <c r="F904" s="11">
        <v>2720000.0</v>
      </c>
      <c r="G904" s="11">
        <v>2340000.0</v>
      </c>
      <c r="H904" s="11">
        <v>2270000.0</v>
      </c>
      <c r="I904" s="11">
        <v>1830000.0</v>
      </c>
      <c r="J904" s="11">
        <v>1080000.0</v>
      </c>
      <c r="K904" s="11">
        <v>1040000.0</v>
      </c>
      <c r="L904" s="11">
        <v>941840.0</v>
      </c>
      <c r="M904" s="11">
        <v>927480.0</v>
      </c>
      <c r="N904" s="11">
        <v>729110.0</v>
      </c>
      <c r="O904" s="11">
        <v>571010.0</v>
      </c>
      <c r="P904" s="11">
        <v>574140.0</v>
      </c>
      <c r="Q904" s="11">
        <v>497320.0</v>
      </c>
      <c r="R904" s="11">
        <v>470730.0</v>
      </c>
      <c r="S904" s="11">
        <v>390250.0</v>
      </c>
      <c r="T904" s="11">
        <v>41200.0</v>
      </c>
      <c r="U904" s="11">
        <v>35300.0</v>
      </c>
      <c r="V904" s="11">
        <v>29100.0</v>
      </c>
      <c r="W904" s="11">
        <v>26300.0</v>
      </c>
      <c r="X904" s="11">
        <v>22400.0</v>
      </c>
      <c r="Y904" s="11">
        <v>514040.0</v>
      </c>
      <c r="Z904" s="11">
        <v>446040.0</v>
      </c>
      <c r="AA904" s="11">
        <v>-77900.0</v>
      </c>
      <c r="AB904" s="11">
        <v>446190.0</v>
      </c>
      <c r="AC904" s="11">
        <v>302610.0</v>
      </c>
      <c r="AD904" s="11">
        <v>462620.0</v>
      </c>
      <c r="AE904" s="11">
        <v>423510.0</v>
      </c>
      <c r="AF904" s="11">
        <v>383530.0</v>
      </c>
      <c r="AG904" s="11">
        <v>421310.0</v>
      </c>
      <c r="AH904" s="11">
        <v>281170.0</v>
      </c>
      <c r="AI904" s="11">
        <v>611540.0</v>
      </c>
      <c r="AJ904" s="11">
        <v>562540.0</v>
      </c>
      <c r="AK904" s="11">
        <v>514300.0</v>
      </c>
      <c r="AL904" s="11">
        <v>512850.0</v>
      </c>
      <c r="AM904" s="11">
        <v>391760.0</v>
      </c>
      <c r="AN904" s="11">
        <v>352240.0</v>
      </c>
      <c r="AO904" s="11">
        <v>317150.0</v>
      </c>
      <c r="AP904" s="11">
        <v>298130.0</v>
      </c>
      <c r="AQ904" s="11">
        <v>284220.0</v>
      </c>
      <c r="AR904" s="11">
        <v>191610.0</v>
      </c>
      <c r="AS904" s="11">
        <v>377430.0</v>
      </c>
      <c r="AT904" s="11">
        <v>368910.0</v>
      </c>
      <c r="AU904" s="11">
        <v>304460.0</v>
      </c>
      <c r="AV904" s="11">
        <v>287800.0</v>
      </c>
      <c r="AW904" s="11">
        <v>249590.0</v>
      </c>
      <c r="AX904" s="11">
        <v>-46610.0</v>
      </c>
      <c r="AY904" s="11">
        <v>-41440.0</v>
      </c>
      <c r="AZ904" s="11">
        <v>-54490.0</v>
      </c>
      <c r="BA904" s="11">
        <v>-24820.0</v>
      </c>
      <c r="BB904" s="11">
        <v>-22360.0</v>
      </c>
      <c r="BC904" s="12"/>
      <c r="BD904" s="12"/>
      <c r="BE904" s="12"/>
      <c r="BF904" s="12"/>
      <c r="BG904" s="12"/>
      <c r="BH904" s="11">
        <v>94500.0</v>
      </c>
      <c r="BI904" s="11">
        <v>71700.0</v>
      </c>
      <c r="BJ904" s="11">
        <v>89650.0</v>
      </c>
      <c r="BK904" s="11">
        <v>68490.0</v>
      </c>
      <c r="BL904" s="11">
        <v>55530.0</v>
      </c>
      <c r="BM904" s="11">
        <v>470290.0</v>
      </c>
      <c r="BN904" s="11">
        <v>398660.0</v>
      </c>
      <c r="BO904" s="11">
        <v>328420.0</v>
      </c>
      <c r="BP904" s="11">
        <v>325870.0</v>
      </c>
      <c r="BQ904" s="11">
        <v>282530.0</v>
      </c>
      <c r="BR904" s="11">
        <v>585700.0</v>
      </c>
      <c r="BS904" s="11">
        <v>521810.0</v>
      </c>
      <c r="BT904" s="11">
        <v>424640.0</v>
      </c>
      <c r="BU904" s="11">
        <v>368240.0</v>
      </c>
      <c r="BV904" s="11">
        <v>354150.0</v>
      </c>
      <c r="BW904" s="11">
        <v>1210000.0</v>
      </c>
      <c r="BX904" s="11">
        <v>1060000.0</v>
      </c>
      <c r="BY904" s="11">
        <v>931890.0</v>
      </c>
      <c r="BZ904" s="11">
        <v>811700.0</v>
      </c>
      <c r="CA904" s="11">
        <v>795160.0</v>
      </c>
      <c r="CB904" s="11">
        <v>448800.0</v>
      </c>
      <c r="CC904" s="11">
        <v>314570.0</v>
      </c>
      <c r="CD904" s="11">
        <v>281920.0</v>
      </c>
      <c r="CE904" s="11">
        <v>221570.0</v>
      </c>
      <c r="CF904" s="11">
        <v>199750.0</v>
      </c>
      <c r="CG904" s="11">
        <v>1850000.0</v>
      </c>
      <c r="CH904" s="11">
        <v>1740000.0</v>
      </c>
      <c r="CI904" s="11">
        <v>1260000.0</v>
      </c>
      <c r="CJ904" s="11">
        <v>1090000.0</v>
      </c>
      <c r="CK904" s="11">
        <v>983340.0</v>
      </c>
      <c r="CL904" s="11">
        <v>5000000.0</v>
      </c>
      <c r="CM904" s="11">
        <v>4550000.0</v>
      </c>
      <c r="CN904" s="11">
        <v>3340000.0</v>
      </c>
      <c r="CO904" s="11">
        <v>2920000.0</v>
      </c>
      <c r="CP904" s="11">
        <v>2760000.0</v>
      </c>
      <c r="CQ904" s="11">
        <v>173690.0</v>
      </c>
      <c r="CR904" s="11">
        <v>188300.0</v>
      </c>
      <c r="CS904" s="11">
        <v>146330.0</v>
      </c>
      <c r="CT904" s="11">
        <v>146920.0</v>
      </c>
      <c r="CU904" s="11">
        <v>157760.0</v>
      </c>
      <c r="CV904" s="11">
        <v>593140.0</v>
      </c>
      <c r="CW904" s="11">
        <v>21830.0</v>
      </c>
      <c r="CX904" s="13"/>
      <c r="CY904" s="13"/>
      <c r="CZ904" s="12"/>
      <c r="DA904" s="13"/>
      <c r="DB904" s="11">
        <v>593140.0</v>
      </c>
      <c r="DC904" s="11">
        <v>558950.0</v>
      </c>
      <c r="DD904" s="11">
        <v>473650.0</v>
      </c>
      <c r="DE904" s="11">
        <v>488410.0</v>
      </c>
      <c r="DF904" s="11">
        <v>3060000.0</v>
      </c>
      <c r="DG904" s="11">
        <v>2880000.0</v>
      </c>
      <c r="DH904" s="11">
        <v>1980000.0</v>
      </c>
      <c r="DI904" s="11">
        <v>1650000.0</v>
      </c>
      <c r="DJ904" s="11">
        <v>1590000.0</v>
      </c>
      <c r="DK904" s="11">
        <v>1830.0</v>
      </c>
      <c r="DL904" s="12"/>
      <c r="DM904" s="12"/>
      <c r="DN904" s="12"/>
      <c r="DO904" s="12"/>
      <c r="DP904" s="11">
        <v>1950000.0</v>
      </c>
      <c r="DQ904" s="11">
        <v>1890000.0</v>
      </c>
      <c r="DR904" s="11">
        <v>1020000.0</v>
      </c>
      <c r="DS904" s="11">
        <v>726240.0</v>
      </c>
      <c r="DT904" s="11">
        <v>734000.0</v>
      </c>
      <c r="DU904" s="13"/>
      <c r="DV904" s="13"/>
      <c r="DW904" s="13"/>
      <c r="DX904" s="13"/>
      <c r="DY904" s="13"/>
      <c r="DZ904" s="11">
        <v>1950000.0</v>
      </c>
      <c r="EA904" s="11">
        <v>1670000.0</v>
      </c>
      <c r="EB904" s="11">
        <v>1360000.0</v>
      </c>
      <c r="EC904" s="11">
        <v>1270000.0</v>
      </c>
      <c r="ED904" s="11">
        <v>1170000.0</v>
      </c>
      <c r="EE904" s="14">
        <v>0.045</v>
      </c>
      <c r="EF904" s="14">
        <v>0.091</v>
      </c>
      <c r="EG904" s="14">
        <v>0.341</v>
      </c>
      <c r="EH904" s="14">
        <v>0.16</v>
      </c>
    </row>
    <row r="905">
      <c r="A905" s="9">
        <f t="shared" si="2"/>
        <v>903</v>
      </c>
      <c r="B905" s="10" t="s">
        <v>1040</v>
      </c>
      <c r="C905" s="11">
        <v>5020000.0</v>
      </c>
      <c r="D905" s="11">
        <v>4780000.0</v>
      </c>
      <c r="E905" s="11">
        <v>5070000.0</v>
      </c>
      <c r="F905" s="11">
        <v>5270000.0</v>
      </c>
      <c r="G905" s="11">
        <v>5360000.0</v>
      </c>
      <c r="H905" s="11">
        <v>5200000.0</v>
      </c>
      <c r="I905" s="11">
        <v>4910000.0</v>
      </c>
      <c r="J905" s="11">
        <v>1870000.0</v>
      </c>
      <c r="K905" s="11">
        <v>2020000.0</v>
      </c>
      <c r="L905" s="11">
        <v>2130000.0</v>
      </c>
      <c r="M905" s="11">
        <v>2030000.0</v>
      </c>
      <c r="N905" s="11">
        <v>1970000.0</v>
      </c>
      <c r="O905" s="11">
        <v>1300000.0</v>
      </c>
      <c r="P905" s="11">
        <v>1350000.0</v>
      </c>
      <c r="Q905" s="11">
        <v>1390000.0</v>
      </c>
      <c r="R905" s="11">
        <v>1310000.0</v>
      </c>
      <c r="S905" s="11">
        <v>1250000.0</v>
      </c>
      <c r="T905" s="11"/>
      <c r="U905" s="11"/>
      <c r="V905" s="11"/>
      <c r="W905" s="11"/>
      <c r="X905" s="11"/>
      <c r="Y905" s="11">
        <v>513290.0</v>
      </c>
      <c r="Z905" s="11">
        <v>566190.0</v>
      </c>
      <c r="AA905" s="12"/>
      <c r="AB905" s="11">
        <v>707990.0</v>
      </c>
      <c r="AC905" s="11">
        <v>-8490.0</v>
      </c>
      <c r="AD905" s="11">
        <v>358370.0</v>
      </c>
      <c r="AE905" s="11">
        <v>417050.0</v>
      </c>
      <c r="AF905" s="11">
        <v>605740.0</v>
      </c>
      <c r="AG905" s="11">
        <v>581770.0</v>
      </c>
      <c r="AH905" s="11">
        <v>572120.0</v>
      </c>
      <c r="AI905" s="11">
        <v>1020000.0</v>
      </c>
      <c r="AJ905" s="11">
        <v>796540.0</v>
      </c>
      <c r="AK905" s="11">
        <v>857300.0</v>
      </c>
      <c r="AL905" s="11">
        <v>838480.0</v>
      </c>
      <c r="AM905" s="11">
        <v>835360.0</v>
      </c>
      <c r="AN905" s="11">
        <v>272280.0</v>
      </c>
      <c r="AO905" s="11">
        <v>318950.0</v>
      </c>
      <c r="AP905" s="11">
        <v>388980.0</v>
      </c>
      <c r="AQ905" s="11">
        <v>375840.0</v>
      </c>
      <c r="AR905" s="11">
        <v>361010.0</v>
      </c>
      <c r="AS905" s="11">
        <v>816190.0</v>
      </c>
      <c r="AT905" s="11">
        <v>444260.0</v>
      </c>
      <c r="AU905" s="11">
        <v>523610.0</v>
      </c>
      <c r="AV905" s="11">
        <v>564420.0</v>
      </c>
      <c r="AW905" s="11">
        <v>504050.0</v>
      </c>
      <c r="AX905" s="11">
        <v>-178550.0</v>
      </c>
      <c r="AY905" s="11">
        <v>-145390.0</v>
      </c>
      <c r="AZ905" s="11">
        <v>-127830.0</v>
      </c>
      <c r="BA905" s="11">
        <v>-114460.0</v>
      </c>
      <c r="BB905" s="11">
        <v>-123920.0</v>
      </c>
      <c r="BC905" s="12"/>
      <c r="BD905" s="11">
        <v>-317.0</v>
      </c>
      <c r="BE905" s="11">
        <v>-408.0</v>
      </c>
      <c r="BF905" s="11">
        <v>-415.0</v>
      </c>
      <c r="BG905" s="11">
        <v>-492.0</v>
      </c>
      <c r="BH905" s="11">
        <v>409960.0</v>
      </c>
      <c r="BI905" s="11">
        <v>245890.0</v>
      </c>
      <c r="BJ905" s="11">
        <v>425900.0</v>
      </c>
      <c r="BK905" s="11">
        <v>298810.0</v>
      </c>
      <c r="BL905" s="11">
        <v>409390.0</v>
      </c>
      <c r="BM905" s="11">
        <v>30440.0</v>
      </c>
      <c r="BN905" s="11">
        <v>62260.0</v>
      </c>
      <c r="BO905" s="11">
        <v>29970.0</v>
      </c>
      <c r="BP905" s="11">
        <v>29040.0</v>
      </c>
      <c r="BQ905" s="11">
        <v>10720.0</v>
      </c>
      <c r="BR905" s="11">
        <v>1100000.0</v>
      </c>
      <c r="BS905" s="11">
        <v>1110000.0</v>
      </c>
      <c r="BT905" s="11">
        <v>1120000.0</v>
      </c>
      <c r="BU905" s="11">
        <v>1130000.0</v>
      </c>
      <c r="BV905" s="11">
        <v>1000000.0</v>
      </c>
      <c r="BW905" s="11">
        <v>1600000.0</v>
      </c>
      <c r="BX905" s="11">
        <v>1520000.0</v>
      </c>
      <c r="BY905" s="11">
        <v>1680000.0</v>
      </c>
      <c r="BZ905" s="11">
        <v>1540000.0</v>
      </c>
      <c r="CA905" s="11">
        <v>1510000.0</v>
      </c>
      <c r="CB905" s="11">
        <v>2040000.0</v>
      </c>
      <c r="CC905" s="11">
        <v>439080.0</v>
      </c>
      <c r="CD905" s="11">
        <v>420020.0</v>
      </c>
      <c r="CE905" s="11">
        <v>413160.0</v>
      </c>
      <c r="CF905" s="11">
        <v>378510.0</v>
      </c>
      <c r="CG905" s="11">
        <v>94290.0</v>
      </c>
      <c r="CH905" s="11">
        <v>112070.0</v>
      </c>
      <c r="CI905" s="11">
        <v>119070.0</v>
      </c>
      <c r="CJ905" s="11">
        <v>119070.0</v>
      </c>
      <c r="CK905" s="11">
        <v>94290.0</v>
      </c>
      <c r="CL905" s="11">
        <v>3840000.0</v>
      </c>
      <c r="CM905" s="11">
        <v>2130000.0</v>
      </c>
      <c r="CN905" s="11">
        <v>2300000.0</v>
      </c>
      <c r="CO905" s="11">
        <v>2150000.0</v>
      </c>
      <c r="CP905" s="11">
        <v>2110000.0</v>
      </c>
      <c r="CQ905" s="11">
        <v>476300.0</v>
      </c>
      <c r="CR905" s="11">
        <v>485000.0</v>
      </c>
      <c r="CS905" s="11">
        <v>483000.0</v>
      </c>
      <c r="CT905" s="11">
        <v>517270.0</v>
      </c>
      <c r="CU905" s="11">
        <v>457700.0</v>
      </c>
      <c r="CV905" s="11">
        <v>1200000.0</v>
      </c>
      <c r="CW905" s="11">
        <v>306800.0</v>
      </c>
      <c r="CX905" s="12"/>
      <c r="CY905" s="13"/>
      <c r="CZ905" s="13"/>
      <c r="DA905" s="12"/>
      <c r="DB905" s="11">
        <v>1200000.0</v>
      </c>
      <c r="DC905" s="11">
        <v>932550.0</v>
      </c>
      <c r="DD905" s="11">
        <v>957950.0</v>
      </c>
      <c r="DE905" s="11">
        <v>1020000.0</v>
      </c>
      <c r="DF905" s="11">
        <v>5280000.0</v>
      </c>
      <c r="DG905" s="11">
        <v>3750000.0</v>
      </c>
      <c r="DH905" s="11">
        <v>3810000.0</v>
      </c>
      <c r="DI905" s="11">
        <v>3850000.0</v>
      </c>
      <c r="DJ905" s="11">
        <v>3830000.0</v>
      </c>
      <c r="DK905" s="12"/>
      <c r="DL905" s="12"/>
      <c r="DM905" s="12"/>
      <c r="DN905" s="12"/>
      <c r="DO905" s="12"/>
      <c r="DP905" s="11">
        <v>4000000.0</v>
      </c>
      <c r="DQ905" s="11">
        <v>2680000.0</v>
      </c>
      <c r="DR905" s="11">
        <v>2700000.0</v>
      </c>
      <c r="DS905" s="11">
        <v>2720000.0</v>
      </c>
      <c r="DT905" s="11">
        <v>2740000.0</v>
      </c>
      <c r="DU905" s="13"/>
      <c r="DV905" s="12"/>
      <c r="DW905" s="12"/>
      <c r="DX905" s="11"/>
      <c r="DY905" s="11"/>
      <c r="DZ905" s="11">
        <v>-1450000.0</v>
      </c>
      <c r="EA905" s="11">
        <v>-1630000.0</v>
      </c>
      <c r="EB905" s="11">
        <v>-1510000.0</v>
      </c>
      <c r="EC905" s="11">
        <v>-1700000.0</v>
      </c>
      <c r="ED905" s="11">
        <v>-1720000.0</v>
      </c>
      <c r="EE905" s="14">
        <v>0.126</v>
      </c>
      <c r="EF905" s="14">
        <v>0.038</v>
      </c>
      <c r="EG905" s="14">
        <v>-4.071</v>
      </c>
      <c r="EH905" s="14">
        <v>-0.973</v>
      </c>
    </row>
    <row r="906">
      <c r="A906" s="9">
        <f t="shared" si="2"/>
        <v>904</v>
      </c>
      <c r="B906" s="22" t="s">
        <v>1041</v>
      </c>
      <c r="C906" s="11">
        <v>10670.0</v>
      </c>
      <c r="D906" s="12"/>
      <c r="E906" s="12"/>
      <c r="F906" s="12"/>
      <c r="G906" s="12"/>
      <c r="H906" s="12"/>
      <c r="I906" s="12"/>
      <c r="J906" s="11">
        <v>-324.0</v>
      </c>
      <c r="K906" s="12"/>
      <c r="L906" s="12"/>
      <c r="M906" s="12"/>
      <c r="N906" s="12"/>
      <c r="O906" s="11">
        <v>54420.0</v>
      </c>
      <c r="P906" s="11">
        <v>2920.0</v>
      </c>
      <c r="Q906" s="12"/>
      <c r="R906" s="12"/>
      <c r="S906" s="12"/>
      <c r="T906" s="11">
        <v>42990.0</v>
      </c>
      <c r="U906" s="11">
        <v>2330.0</v>
      </c>
      <c r="V906" s="12"/>
      <c r="W906" s="12"/>
      <c r="X906" s="12"/>
      <c r="Y906" s="12"/>
      <c r="Z906" s="11">
        <v>-17410.0</v>
      </c>
      <c r="AA906" s="12"/>
      <c r="AB906" s="12"/>
      <c r="AC906" s="12"/>
      <c r="AD906" s="11">
        <v>-52530.0</v>
      </c>
      <c r="AE906" s="11">
        <v>-17350.0</v>
      </c>
      <c r="AF906" s="12"/>
      <c r="AG906" s="12"/>
      <c r="AH906" s="12"/>
      <c r="AI906" s="11">
        <v>-54420.0</v>
      </c>
      <c r="AJ906" s="11">
        <v>-2920.0</v>
      </c>
      <c r="AK906" s="12"/>
      <c r="AL906" s="12"/>
      <c r="AM906" s="12"/>
      <c r="AN906" s="11">
        <v>-52550.0</v>
      </c>
      <c r="AO906" s="11">
        <v>-17350.0</v>
      </c>
      <c r="AP906" s="12"/>
      <c r="AQ906" s="12"/>
      <c r="AR906" s="12"/>
      <c r="AS906" s="11">
        <v>-39310.0</v>
      </c>
      <c r="AT906" s="11">
        <v>-373.0</v>
      </c>
      <c r="AU906" s="12"/>
      <c r="AV906" s="12"/>
      <c r="AW906" s="12"/>
      <c r="AX906" s="11">
        <v>-281.0</v>
      </c>
      <c r="AY906" s="11">
        <v>-7500.0</v>
      </c>
      <c r="AZ906" s="12"/>
      <c r="BA906" s="12"/>
      <c r="BB906" s="12"/>
      <c r="BC906" s="12"/>
      <c r="BD906" s="12"/>
      <c r="BE906" s="12"/>
      <c r="BF906" s="12"/>
      <c r="BG906" s="12"/>
      <c r="BH906" s="11">
        <v>116660.0</v>
      </c>
      <c r="BI906" s="11">
        <v>51960.0</v>
      </c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1">
        <v>119360.0</v>
      </c>
      <c r="BX906" s="11">
        <v>51980.0</v>
      </c>
      <c r="BY906" s="12"/>
      <c r="BZ906" s="12"/>
      <c r="CA906" s="12"/>
      <c r="CB906" s="11">
        <v>3730.0</v>
      </c>
      <c r="CC906" s="12"/>
      <c r="CD906" s="12"/>
      <c r="CE906" s="12"/>
      <c r="CF906" s="12"/>
      <c r="CG906" s="12"/>
      <c r="CH906" s="12"/>
      <c r="CI906" s="12"/>
      <c r="CJ906" s="12"/>
      <c r="CK906" s="12"/>
      <c r="CL906" s="11">
        <v>146710.0</v>
      </c>
      <c r="CM906" s="11">
        <v>51980.0</v>
      </c>
      <c r="CN906" s="12"/>
      <c r="CO906" s="12"/>
      <c r="CP906" s="12"/>
      <c r="CQ906" s="11">
        <v>3350.0</v>
      </c>
      <c r="CR906" s="11">
        <v>269.0</v>
      </c>
      <c r="CS906" s="12"/>
      <c r="CT906" s="12"/>
      <c r="CU906" s="12"/>
      <c r="CV906" s="11">
        <v>13080.0</v>
      </c>
      <c r="CW906" s="11">
        <v>397.0</v>
      </c>
      <c r="CX906" s="12"/>
      <c r="CY906" s="12"/>
      <c r="CZ906" s="12"/>
      <c r="DA906" s="12"/>
      <c r="DB906" s="11">
        <v>13080.0</v>
      </c>
      <c r="DC906" s="11">
        <v>2450.0</v>
      </c>
      <c r="DD906" s="12"/>
      <c r="DE906" s="12"/>
      <c r="DF906" s="11">
        <v>16360.0</v>
      </c>
      <c r="DG906" s="11">
        <v>2450.0</v>
      </c>
      <c r="DH906" s="12"/>
      <c r="DI906" s="12"/>
      <c r="DJ906" s="12"/>
      <c r="DK906" s="11">
        <v>23290.0</v>
      </c>
      <c r="DL906" s="12"/>
      <c r="DM906" s="12"/>
      <c r="DN906" s="12"/>
      <c r="DO906" s="12"/>
      <c r="DP906" s="11">
        <v>3250.0</v>
      </c>
      <c r="DQ906" s="12"/>
      <c r="DR906" s="12"/>
      <c r="DS906" s="12"/>
      <c r="DT906" s="12"/>
      <c r="DU906" s="13"/>
      <c r="DV906" s="11">
        <v>66840.0</v>
      </c>
      <c r="DW906" s="12"/>
      <c r="DX906" s="13"/>
      <c r="DY906" s="13"/>
      <c r="DZ906" s="11">
        <v>130350.0</v>
      </c>
      <c r="EA906" s="11">
        <v>49530.0</v>
      </c>
      <c r="EB906" s="12"/>
      <c r="EC906" s="12"/>
      <c r="ED906" s="12"/>
      <c r="EE906" s="23"/>
      <c r="EF906" s="23"/>
      <c r="EG906" s="14">
        <v>-0.069</v>
      </c>
      <c r="EH906" s="14">
        <v>-0.118</v>
      </c>
    </row>
    <row r="907">
      <c r="A907" s="9">
        <f t="shared" si="2"/>
        <v>905</v>
      </c>
      <c r="B907" s="22" t="s">
        <v>1042</v>
      </c>
      <c r="C907" s="12"/>
      <c r="D907" s="12"/>
      <c r="E907" s="12"/>
      <c r="F907" s="12"/>
      <c r="G907" s="12"/>
      <c r="H907" s="12"/>
      <c r="I907" s="12"/>
      <c r="J907" s="11">
        <v>-236.0</v>
      </c>
      <c r="K907" s="11">
        <v>-10.0</v>
      </c>
      <c r="L907" s="11">
        <v>-8.0</v>
      </c>
      <c r="M907" s="12"/>
      <c r="N907" s="12"/>
      <c r="O907" s="11">
        <v>58040.0</v>
      </c>
      <c r="P907" s="11">
        <v>24070.0</v>
      </c>
      <c r="Q907" s="11">
        <v>8780.0</v>
      </c>
      <c r="R907" s="12"/>
      <c r="S907" s="12"/>
      <c r="T907" s="11">
        <v>42340.0</v>
      </c>
      <c r="U907" s="11">
        <v>17100.0</v>
      </c>
      <c r="V907" s="11">
        <v>6150.0</v>
      </c>
      <c r="W907" s="12"/>
      <c r="X907" s="12"/>
      <c r="Y907" s="12"/>
      <c r="Z907" s="12"/>
      <c r="AA907" s="12"/>
      <c r="AB907" s="12"/>
      <c r="AC907" s="12"/>
      <c r="AD907" s="11">
        <v>-55680.0</v>
      </c>
      <c r="AE907" s="11">
        <v>-23370.0</v>
      </c>
      <c r="AF907" s="11">
        <v>-8610.0</v>
      </c>
      <c r="AG907" s="12"/>
      <c r="AH907" s="12"/>
      <c r="AI907" s="11">
        <v>-58040.0</v>
      </c>
      <c r="AJ907" s="11">
        <v>-24070.0</v>
      </c>
      <c r="AK907" s="11">
        <v>-8780.0</v>
      </c>
      <c r="AL907" s="12"/>
      <c r="AM907" s="12"/>
      <c r="AN907" s="11">
        <v>-55230.0</v>
      </c>
      <c r="AO907" s="11">
        <v>-23190.0</v>
      </c>
      <c r="AP907" s="11">
        <v>-8090.0</v>
      </c>
      <c r="AQ907" s="12"/>
      <c r="AR907" s="12"/>
      <c r="AS907" s="11">
        <v>-51150.0</v>
      </c>
      <c r="AT907" s="11">
        <v>-21050.0</v>
      </c>
      <c r="AU907" s="11">
        <v>-8050.0</v>
      </c>
      <c r="AV907" s="12"/>
      <c r="AW907" s="12"/>
      <c r="AX907" s="11">
        <v>-413.0</v>
      </c>
      <c r="AY907" s="11">
        <v>-5.0</v>
      </c>
      <c r="AZ907" s="11">
        <v>-36.0</v>
      </c>
      <c r="BA907" s="12"/>
      <c r="BB907" s="12"/>
      <c r="BC907" s="12"/>
      <c r="BD907" s="12"/>
      <c r="BE907" s="12"/>
      <c r="BF907" s="12"/>
      <c r="BG907" s="12"/>
      <c r="BH907" s="11">
        <v>119820.0</v>
      </c>
      <c r="BI907" s="11">
        <v>85980.0</v>
      </c>
      <c r="BJ907" s="11">
        <v>26910.0</v>
      </c>
      <c r="BK907" s="12"/>
      <c r="BL907" s="12"/>
      <c r="BM907" s="11">
        <v>836.0</v>
      </c>
      <c r="BN907" s="11">
        <v>677.0</v>
      </c>
      <c r="BO907" s="11">
        <v>543.0</v>
      </c>
      <c r="BP907" s="12"/>
      <c r="BQ907" s="12"/>
      <c r="BR907" s="12"/>
      <c r="BS907" s="12"/>
      <c r="BT907" s="12"/>
      <c r="BU907" s="12"/>
      <c r="BV907" s="12"/>
      <c r="BW907" s="11">
        <v>122500.0</v>
      </c>
      <c r="BX907" s="11">
        <v>88050.0</v>
      </c>
      <c r="BY907" s="11">
        <v>27560.0</v>
      </c>
      <c r="BZ907" s="12"/>
      <c r="CA907" s="12"/>
      <c r="CB907" s="11">
        <v>929.0</v>
      </c>
      <c r="CC907" s="11">
        <v>30.0</v>
      </c>
      <c r="CD907" s="11">
        <v>35.0</v>
      </c>
      <c r="CE907" s="12"/>
      <c r="CF907" s="12"/>
      <c r="CG907" s="12"/>
      <c r="CH907" s="12"/>
      <c r="CI907" s="12"/>
      <c r="CJ907" s="12"/>
      <c r="CK907" s="12"/>
      <c r="CL907" s="11">
        <v>123430.0</v>
      </c>
      <c r="CM907" s="11">
        <v>88080.0</v>
      </c>
      <c r="CN907" s="11">
        <v>27590.0</v>
      </c>
      <c r="CO907" s="12"/>
      <c r="CP907" s="12"/>
      <c r="CQ907" s="12"/>
      <c r="CR907" s="12"/>
      <c r="CS907" s="12"/>
      <c r="CT907" s="12"/>
      <c r="CU907" s="12"/>
      <c r="CV907" s="11">
        <v>8330.0</v>
      </c>
      <c r="CW907" s="11">
        <v>330.0</v>
      </c>
      <c r="CX907" s="12"/>
      <c r="CY907" s="12"/>
      <c r="CZ907" s="12"/>
      <c r="DA907" s="12"/>
      <c r="DB907" s="11">
        <v>8330.0</v>
      </c>
      <c r="DC907" s="11">
        <v>4530.0</v>
      </c>
      <c r="DD907" s="11">
        <v>1610.0</v>
      </c>
      <c r="DE907" s="12"/>
      <c r="DF907" s="11">
        <v>8510.0</v>
      </c>
      <c r="DG907" s="11">
        <v>4530.0</v>
      </c>
      <c r="DH907" s="11">
        <v>1610.0</v>
      </c>
      <c r="DI907" s="12"/>
      <c r="DJ907" s="12"/>
      <c r="DK907" s="12"/>
      <c r="DL907" s="12"/>
      <c r="DM907" s="12"/>
      <c r="DN907" s="12"/>
      <c r="DO907" s="12"/>
      <c r="DP907" s="11">
        <v>184.0</v>
      </c>
      <c r="DQ907" s="12"/>
      <c r="DR907" s="12"/>
      <c r="DS907" s="12"/>
      <c r="DT907" s="12"/>
      <c r="DU907" s="13"/>
      <c r="DV907" s="11">
        <v>138760.0</v>
      </c>
      <c r="DW907" s="11">
        <v>59100.0</v>
      </c>
      <c r="DX907" s="13"/>
      <c r="DY907" s="13"/>
      <c r="DZ907" s="11">
        <v>114920.0</v>
      </c>
      <c r="EA907" s="11">
        <v>83550.0</v>
      </c>
      <c r="EB907" s="11">
        <v>25990.0</v>
      </c>
      <c r="EC907" s="12"/>
      <c r="ED907" s="12"/>
      <c r="EE907" s="23"/>
      <c r="EF907" s="23"/>
      <c r="EG907" s="14">
        <v>-0.128</v>
      </c>
      <c r="EH907" s="14">
        <v>-0.088</v>
      </c>
    </row>
    <row r="908">
      <c r="A908" s="9">
        <f t="shared" si="2"/>
        <v>906</v>
      </c>
      <c r="B908" s="10" t="s">
        <v>1043</v>
      </c>
      <c r="C908" s="15">
        <v>5530000.0</v>
      </c>
      <c r="D908" s="15">
        <v>5530000.0</v>
      </c>
      <c r="E908" s="15">
        <v>5350000.0</v>
      </c>
      <c r="F908" s="15">
        <v>5300000.0</v>
      </c>
      <c r="G908" s="15">
        <v>4830000.0</v>
      </c>
      <c r="H908" s="15">
        <v>4410000.0</v>
      </c>
      <c r="I908" s="15">
        <v>4300000.0</v>
      </c>
      <c r="J908" s="15">
        <v>2140000.0</v>
      </c>
      <c r="K908" s="15">
        <v>2100000.0</v>
      </c>
      <c r="L908" s="15">
        <v>2030000.0</v>
      </c>
      <c r="M908" s="15">
        <v>1830000.0</v>
      </c>
      <c r="N908" s="15">
        <v>1730000.0</v>
      </c>
      <c r="O908" s="15">
        <v>1170000.0</v>
      </c>
      <c r="P908" s="15">
        <v>1160000.0</v>
      </c>
      <c r="Q908" s="15">
        <v>1240000.0</v>
      </c>
      <c r="R908" s="15">
        <v>1170000.0</v>
      </c>
      <c r="S908" s="15">
        <v>1120000.0</v>
      </c>
      <c r="T908" s="15">
        <v>67300.0</v>
      </c>
      <c r="U908" s="15">
        <v>69400.0</v>
      </c>
      <c r="V908" s="15">
        <v>66100.0</v>
      </c>
      <c r="W908" s="15">
        <v>61000.0</v>
      </c>
      <c r="X908" s="15">
        <v>60800.0</v>
      </c>
      <c r="Y908" s="15">
        <v>955400.0</v>
      </c>
      <c r="Z908" s="15">
        <v>-39100.0</v>
      </c>
      <c r="AA908" s="15">
        <v>685100.0</v>
      </c>
      <c r="AB908" s="15">
        <v>636700.0</v>
      </c>
      <c r="AC908" s="15">
        <v>-64000.0</v>
      </c>
      <c r="AD908" s="15">
        <v>819200.0</v>
      </c>
      <c r="AE908" s="15">
        <v>741300.0</v>
      </c>
      <c r="AF908" s="15">
        <v>594800.0</v>
      </c>
      <c r="AG908" s="15">
        <v>589200.0</v>
      </c>
      <c r="AH908" s="15">
        <v>496200.0</v>
      </c>
      <c r="AI908" s="15">
        <v>1140000.0</v>
      </c>
      <c r="AJ908" s="15">
        <v>1080000.0</v>
      </c>
      <c r="AK908" s="15">
        <v>911600.0</v>
      </c>
      <c r="AL908" s="15">
        <v>767500.0</v>
      </c>
      <c r="AM908" s="15">
        <v>716300.0</v>
      </c>
      <c r="AN908" s="15">
        <v>702700.0</v>
      </c>
      <c r="AO908" s="15">
        <v>933400.0</v>
      </c>
      <c r="AP908" s="15">
        <v>477400.0</v>
      </c>
      <c r="AQ908" s="15">
        <v>472300.0</v>
      </c>
      <c r="AR908" s="15">
        <v>401600.0</v>
      </c>
      <c r="AS908" s="15">
        <v>946800.0</v>
      </c>
      <c r="AT908" s="15">
        <v>821200.0</v>
      </c>
      <c r="AU908" s="15">
        <v>815300.0</v>
      </c>
      <c r="AV908" s="15">
        <v>658100.0</v>
      </c>
      <c r="AW908" s="15">
        <v>590000.0</v>
      </c>
      <c r="AX908" s="15">
        <v>-173700.0</v>
      </c>
      <c r="AY908" s="15">
        <v>-169100.0</v>
      </c>
      <c r="AZ908" s="15">
        <v>-182400.0</v>
      </c>
      <c r="BA908" s="15">
        <v>-153800.0</v>
      </c>
      <c r="BB908" s="15">
        <v>-128400.0</v>
      </c>
      <c r="BC908" s="15">
        <v>-302200.0</v>
      </c>
      <c r="BD908" s="15">
        <v>-273400.0</v>
      </c>
      <c r="BE908" s="15">
        <v>-237600.0</v>
      </c>
      <c r="BF908" s="15">
        <v>-217800.0</v>
      </c>
      <c r="BG908" s="15">
        <v>-204900.0</v>
      </c>
      <c r="BH908" s="15">
        <v>155400.0</v>
      </c>
      <c r="BI908" s="15">
        <v>96600.0</v>
      </c>
      <c r="BJ908" s="15">
        <v>186800.0</v>
      </c>
      <c r="BK908" s="15">
        <v>118400.0</v>
      </c>
      <c r="BL908" s="15">
        <v>112600.0</v>
      </c>
      <c r="BM908" s="15">
        <v>502900.0</v>
      </c>
      <c r="BN908" s="15">
        <v>518100.0</v>
      </c>
      <c r="BO908" s="15">
        <v>555100.0</v>
      </c>
      <c r="BP908" s="15">
        <v>465200.0</v>
      </c>
      <c r="BQ908" s="15">
        <v>455200.0</v>
      </c>
      <c r="BR908" s="12">
        <v>801200.0</v>
      </c>
      <c r="BS908" s="12">
        <v>786300.0</v>
      </c>
      <c r="BT908" s="12">
        <v>793300.0</v>
      </c>
      <c r="BU908" s="12">
        <v>756300.0</v>
      </c>
      <c r="BV908" s="12">
        <v>710800.0</v>
      </c>
      <c r="BW908" s="15">
        <v>1550000.0</v>
      </c>
      <c r="BX908" s="15">
        <v>1480000.0</v>
      </c>
      <c r="BY908" s="15">
        <v>1620000.0</v>
      </c>
      <c r="BZ908" s="15">
        <v>1420000.0</v>
      </c>
      <c r="CA908" s="15">
        <v>1360000.0</v>
      </c>
      <c r="CB908" s="15">
        <v>1030000.0</v>
      </c>
      <c r="CC908" s="15">
        <v>985100.0</v>
      </c>
      <c r="CD908" s="15">
        <v>809100.0</v>
      </c>
      <c r="CE908" s="15">
        <v>669400.0</v>
      </c>
      <c r="CF908" s="15">
        <v>618400.0</v>
      </c>
      <c r="CG908" s="15">
        <v>4510000.0</v>
      </c>
      <c r="CH908" s="15">
        <v>4530000.0</v>
      </c>
      <c r="CI908" s="15">
        <v>4490000.0</v>
      </c>
      <c r="CJ908" s="15">
        <v>1770000.0</v>
      </c>
      <c r="CK908" s="15">
        <v>1760000.0</v>
      </c>
      <c r="CL908" s="15">
        <v>1.036E7</v>
      </c>
      <c r="CM908" s="15">
        <v>1.026E7</v>
      </c>
      <c r="CN908" s="15">
        <v>1.039E7</v>
      </c>
      <c r="CO908" s="15">
        <v>4640000.0</v>
      </c>
      <c r="CP908" s="15">
        <v>4470000.0</v>
      </c>
      <c r="CQ908" s="15">
        <v>846900.0</v>
      </c>
      <c r="CR908" s="15">
        <v>710000.0</v>
      </c>
      <c r="CS908" s="15">
        <v>639900.0</v>
      </c>
      <c r="CT908" s="15">
        <v>450800.0</v>
      </c>
      <c r="CU908" s="15">
        <v>411900.0</v>
      </c>
      <c r="CV908" s="15">
        <v>2150000.0</v>
      </c>
      <c r="CW908" s="12">
        <v>600700.0</v>
      </c>
      <c r="CX908" s="13">
        <v>560000.0</v>
      </c>
      <c r="CY908" s="13">
        <v>257600.0</v>
      </c>
      <c r="CZ908" s="13">
        <v>390300.0</v>
      </c>
      <c r="DA908" s="12">
        <v>139500.0</v>
      </c>
      <c r="DB908" s="15">
        <v>2150000.0</v>
      </c>
      <c r="DC908" s="15">
        <v>2000000.0</v>
      </c>
      <c r="DD908" s="15">
        <v>1950000.0</v>
      </c>
      <c r="DE908" s="15">
        <v>1420000.0</v>
      </c>
      <c r="DF908" s="15">
        <v>6910000.0</v>
      </c>
      <c r="DG908" s="15">
        <v>7070000.0</v>
      </c>
      <c r="DH908" s="15">
        <v>7810000.0</v>
      </c>
      <c r="DI908" s="15">
        <v>3000000.0</v>
      </c>
      <c r="DJ908" s="15">
        <v>2790000.0</v>
      </c>
      <c r="DK908" s="15">
        <v>310400.0</v>
      </c>
      <c r="DL908" s="15">
        <v>288000.0</v>
      </c>
      <c r="DM908" s="15">
        <v>290600.0</v>
      </c>
      <c r="DN908" s="12">
        <v>250800.0</v>
      </c>
      <c r="DO908" s="15">
        <v>263200.0</v>
      </c>
      <c r="DP908" s="15">
        <v>3630000.0</v>
      </c>
      <c r="DQ908" s="15">
        <v>4050000.0</v>
      </c>
      <c r="DR908" s="15">
        <v>4440000.0</v>
      </c>
      <c r="DS908" s="15">
        <v>1050000.0</v>
      </c>
      <c r="DT908" s="15">
        <v>1050000.0</v>
      </c>
      <c r="DU908" s="15"/>
      <c r="DV908" s="15"/>
      <c r="DW908" s="15"/>
      <c r="DX908" s="15"/>
      <c r="DY908" s="15"/>
      <c r="DZ908" s="15">
        <v>3440000.0</v>
      </c>
      <c r="EA908" s="15">
        <v>3170000.0</v>
      </c>
      <c r="EB908" s="15">
        <v>2560000.0</v>
      </c>
      <c r="EC908" s="15">
        <v>1630000.0</v>
      </c>
      <c r="ED908" s="15">
        <v>1670000.0</v>
      </c>
      <c r="EE908" s="23">
        <v>0.012658228</v>
      </c>
      <c r="EF908" s="23">
        <v>0.036166365</v>
      </c>
      <c r="EG908" s="17">
        <v>0.278</v>
      </c>
      <c r="EH908" s="23">
        <v>0.11475</v>
      </c>
    </row>
    <row r="909">
      <c r="A909" s="9">
        <f t="shared" si="2"/>
        <v>907</v>
      </c>
      <c r="B909" s="10" t="s">
        <v>1044</v>
      </c>
      <c r="C909" s="15">
        <v>5330000.0</v>
      </c>
      <c r="D909" s="15">
        <v>3360000.0</v>
      </c>
      <c r="E909" s="15">
        <v>5750000.0</v>
      </c>
      <c r="F909" s="15">
        <v>5180000.0</v>
      </c>
      <c r="G909" s="15">
        <v>5300000.0</v>
      </c>
      <c r="H909" s="15">
        <v>4510000.0</v>
      </c>
      <c r="I909" s="15">
        <v>3970000.0</v>
      </c>
      <c r="J909" s="15">
        <v>1470000.0</v>
      </c>
      <c r="K909" s="15">
        <v>1310000.0</v>
      </c>
      <c r="L909" s="15">
        <v>1220000.0</v>
      </c>
      <c r="M909" s="15">
        <v>874450.0</v>
      </c>
      <c r="N909" s="15">
        <v>704850.0</v>
      </c>
      <c r="O909" s="15">
        <v>617980.0</v>
      </c>
      <c r="P909" s="15">
        <v>528480.0</v>
      </c>
      <c r="Q909" s="15">
        <v>499930.0</v>
      </c>
      <c r="R909" s="15">
        <v>472440.0</v>
      </c>
      <c r="S909" s="15">
        <v>551890.0</v>
      </c>
      <c r="T909" s="15">
        <v>57530.0</v>
      </c>
      <c r="U909" s="15">
        <v>23010.0</v>
      </c>
      <c r="V909" s="15">
        <v>31220.0</v>
      </c>
      <c r="W909" s="15">
        <v>0.0</v>
      </c>
      <c r="X909" s="15">
        <v>0.0</v>
      </c>
      <c r="Y909" s="15">
        <v>767750.0</v>
      </c>
      <c r="Z909" s="15">
        <v>-3460.0</v>
      </c>
      <c r="AA909" s="15">
        <v>619930.0</v>
      </c>
      <c r="AB909" s="15">
        <v>336900.0</v>
      </c>
      <c r="AC909" s="15">
        <v>90290.0</v>
      </c>
      <c r="AD909" s="15">
        <v>403260.0</v>
      </c>
      <c r="AE909" s="15">
        <v>338830.0</v>
      </c>
      <c r="AF909" s="15">
        <v>316350.0</v>
      </c>
      <c r="AG909" s="15">
        <v>74950.0</v>
      </c>
      <c r="AH909" s="15">
        <v>-59750.0</v>
      </c>
      <c r="AI909" s="15">
        <v>1400000.0</v>
      </c>
      <c r="AJ909" s="15">
        <v>1240000.0</v>
      </c>
      <c r="AK909" s="15">
        <v>1220000.0</v>
      </c>
      <c r="AL909" s="15">
        <v>890780.0</v>
      </c>
      <c r="AM909" s="15">
        <v>568780.0</v>
      </c>
      <c r="AN909" s="15">
        <v>373820.0</v>
      </c>
      <c r="AO909" s="15">
        <v>339990.0</v>
      </c>
      <c r="AP909" s="15">
        <v>348180.0</v>
      </c>
      <c r="AQ909" s="15">
        <v>175550.0</v>
      </c>
      <c r="AR909" s="15">
        <v>105700.0</v>
      </c>
      <c r="AS909" s="15">
        <v>808730.0</v>
      </c>
      <c r="AT909" s="15">
        <v>1050000.0</v>
      </c>
      <c r="AU909" s="15">
        <v>1130000.0</v>
      </c>
      <c r="AV909" s="15">
        <v>1160000.0</v>
      </c>
      <c r="AW909" s="15">
        <v>521780.0</v>
      </c>
      <c r="AX909" s="15">
        <v>-450690.0</v>
      </c>
      <c r="AY909" s="15">
        <v>-666930.0</v>
      </c>
      <c r="AZ909" s="15">
        <v>-516740.0</v>
      </c>
      <c r="BA909" s="15">
        <v>-538710.0</v>
      </c>
      <c r="BB909" s="15">
        <v>-1340000.0</v>
      </c>
      <c r="BC909" s="15">
        <v>-301510.0</v>
      </c>
      <c r="BD909" s="15">
        <v>-271290.0</v>
      </c>
      <c r="BE909" s="15">
        <v>-824110.0</v>
      </c>
      <c r="BF909" s="15">
        <v>-384800.0</v>
      </c>
      <c r="BG909" s="15">
        <v>-62820.0</v>
      </c>
      <c r="BH909" s="15">
        <v>1480000.0</v>
      </c>
      <c r="BI909" s="15">
        <v>1610000.0</v>
      </c>
      <c r="BJ909" s="15">
        <v>1550000.0</v>
      </c>
      <c r="BK909" s="15">
        <v>1950000.0</v>
      </c>
      <c r="BL909" s="15">
        <v>2650000.0</v>
      </c>
      <c r="BM909" s="15">
        <v>284770.0</v>
      </c>
      <c r="BN909" s="15">
        <v>329480.0</v>
      </c>
      <c r="BO909" s="15">
        <v>178920.0</v>
      </c>
      <c r="BP909" s="15">
        <v>226550.0</v>
      </c>
      <c r="BQ909" s="15">
        <v>272870.0</v>
      </c>
      <c r="BR909" s="15">
        <v>43960.0</v>
      </c>
      <c r="BS909" s="15">
        <v>41090.0</v>
      </c>
      <c r="BT909" s="15">
        <v>34990.0</v>
      </c>
      <c r="BU909" s="15">
        <v>32600.0</v>
      </c>
      <c r="BV909" s="15">
        <v>33070.0</v>
      </c>
      <c r="BW909" s="15">
        <v>1890000.0</v>
      </c>
      <c r="BX909" s="15">
        <v>2080000.0</v>
      </c>
      <c r="BY909" s="15">
        <v>1840000.0</v>
      </c>
      <c r="BZ909" s="15">
        <v>2280000.0</v>
      </c>
      <c r="CA909" s="15">
        <v>3020000.0</v>
      </c>
      <c r="CB909" s="15">
        <v>5880000.0</v>
      </c>
      <c r="CC909" s="15">
        <v>5840000.0</v>
      </c>
      <c r="CD909" s="15">
        <v>5730000.0</v>
      </c>
      <c r="CE909" s="15">
        <v>5690000.0</v>
      </c>
      <c r="CF909" s="15">
        <v>5790000.0</v>
      </c>
      <c r="CG909" s="15">
        <v>95620.0</v>
      </c>
      <c r="CH909" s="15">
        <v>81380.0</v>
      </c>
      <c r="CI909" s="15">
        <v>81910.0</v>
      </c>
      <c r="CJ909" s="15">
        <v>81920.0</v>
      </c>
      <c r="CK909" s="15">
        <v>81920.0</v>
      </c>
      <c r="CL909" s="15">
        <v>9490000.0</v>
      </c>
      <c r="CM909" s="15">
        <v>9120000.0</v>
      </c>
      <c r="CN909" s="15">
        <v>8890000.0</v>
      </c>
      <c r="CO909" s="15">
        <v>9340000.0</v>
      </c>
      <c r="CP909" s="15">
        <v>1.041E7</v>
      </c>
      <c r="CQ909" s="15">
        <v>21880.0</v>
      </c>
      <c r="CR909" s="15">
        <v>25000.0</v>
      </c>
      <c r="CS909" s="15">
        <v>16040.0</v>
      </c>
      <c r="CT909" s="15">
        <v>17430.0</v>
      </c>
      <c r="CU909" s="15">
        <v>15590.0</v>
      </c>
      <c r="CV909" s="15">
        <v>1530000.0</v>
      </c>
      <c r="CW909" s="15">
        <v>33150.0</v>
      </c>
      <c r="CX909" s="16">
        <v>0.0</v>
      </c>
      <c r="CY909" s="16">
        <v>0.0</v>
      </c>
      <c r="CZ909" s="16">
        <v>0.0</v>
      </c>
      <c r="DA909" s="15">
        <v>0.0</v>
      </c>
      <c r="DB909" s="15">
        <v>1530000.0</v>
      </c>
      <c r="DC909" s="15">
        <v>2150000.0</v>
      </c>
      <c r="DD909" s="15">
        <v>1680000.0</v>
      </c>
      <c r="DE909" s="15">
        <v>1480000.0</v>
      </c>
      <c r="DF909" s="15">
        <v>6350000.0</v>
      </c>
      <c r="DG909" s="15">
        <v>6150000.0</v>
      </c>
      <c r="DH909" s="15">
        <v>5560000.0</v>
      </c>
      <c r="DI909" s="15">
        <v>5520000.0</v>
      </c>
      <c r="DJ909" s="15">
        <v>5480000.0</v>
      </c>
      <c r="DK909" s="15">
        <v>569060.0</v>
      </c>
      <c r="DL909" s="15">
        <v>0.0</v>
      </c>
      <c r="DM909" s="15">
        <v>0.0</v>
      </c>
      <c r="DN909" s="15">
        <v>0.0</v>
      </c>
      <c r="DO909" s="15">
        <v>0.0</v>
      </c>
      <c r="DP909" s="15">
        <v>4740000.0</v>
      </c>
      <c r="DQ909" s="15">
        <v>3920000.0</v>
      </c>
      <c r="DR909" s="15">
        <v>3770000.0</v>
      </c>
      <c r="DS909" s="15">
        <v>3930000.0</v>
      </c>
      <c r="DT909" s="15">
        <v>4130000.0</v>
      </c>
      <c r="DU909" s="16">
        <v>0.0</v>
      </c>
      <c r="DV909" s="15">
        <v>0.0</v>
      </c>
      <c r="DW909" s="15">
        <v>0.0</v>
      </c>
      <c r="DX909" s="16">
        <v>0.0</v>
      </c>
      <c r="DY909" s="16">
        <v>0.0</v>
      </c>
      <c r="DZ909" s="15">
        <v>2440000.0</v>
      </c>
      <c r="EA909" s="15">
        <v>2300000.0</v>
      </c>
      <c r="EB909" s="15">
        <v>2890000.0</v>
      </c>
      <c r="EC909" s="15">
        <v>3340000.0</v>
      </c>
      <c r="ED909" s="15">
        <v>4340000.0</v>
      </c>
      <c r="EE909" s="17">
        <v>0.545</v>
      </c>
      <c r="EF909" s="17">
        <v>0.386</v>
      </c>
      <c r="EG909" s="17">
        <v>-0.767</v>
      </c>
      <c r="EH909" s="17">
        <v>-0.388</v>
      </c>
    </row>
    <row r="910">
      <c r="A910" s="9">
        <f t="shared" si="2"/>
        <v>908</v>
      </c>
      <c r="B910" s="25" t="s">
        <v>1045</v>
      </c>
      <c r="C910" s="15">
        <v>2380000.0</v>
      </c>
      <c r="D910" s="15">
        <v>2250000.0</v>
      </c>
      <c r="E910" s="15">
        <v>2490000.0</v>
      </c>
      <c r="F910" s="15">
        <v>2570000.0</v>
      </c>
      <c r="G910" s="15">
        <v>2380000.0</v>
      </c>
      <c r="H910" s="15">
        <v>2280000.0</v>
      </c>
      <c r="I910" s="15">
        <v>2260000.0</v>
      </c>
      <c r="J910" s="15">
        <v>910700.0</v>
      </c>
      <c r="K910" s="15">
        <v>929900.0</v>
      </c>
      <c r="L910" s="15">
        <v>873000.0</v>
      </c>
      <c r="M910" s="15">
        <v>864200.0</v>
      </c>
      <c r="N910" s="15">
        <v>874200.0</v>
      </c>
      <c r="O910" s="15">
        <v>717300.0</v>
      </c>
      <c r="P910" s="15">
        <v>716200.0</v>
      </c>
      <c r="Q910" s="15">
        <v>688400.0</v>
      </c>
      <c r="R910" s="15">
        <v>660900.0</v>
      </c>
      <c r="S910" s="15">
        <v>662700.0</v>
      </c>
      <c r="T910" s="15">
        <v>74000.0</v>
      </c>
      <c r="U910" s="15">
        <v>76900.0</v>
      </c>
      <c r="V910" s="15">
        <v>73100.0</v>
      </c>
      <c r="W910" s="15">
        <v>73100.0</v>
      </c>
      <c r="X910" s="15">
        <v>77100.0</v>
      </c>
      <c r="Y910" s="15">
        <v>-3300.0</v>
      </c>
      <c r="Z910" s="15">
        <v>203800.0</v>
      </c>
      <c r="AA910" s="15">
        <v>-5300.0</v>
      </c>
      <c r="AB910" s="15">
        <v>192000.0</v>
      </c>
      <c r="AC910" s="15">
        <v>212200.0</v>
      </c>
      <c r="AD910" s="15">
        <v>-13400.0</v>
      </c>
      <c r="AE910" s="15">
        <v>195100.0</v>
      </c>
      <c r="AF910" s="15">
        <v>168100.0</v>
      </c>
      <c r="AG910" s="15">
        <v>177600.0</v>
      </c>
      <c r="AH910" s="15">
        <v>196600.0</v>
      </c>
      <c r="AI910" s="15">
        <v>272900.0</v>
      </c>
      <c r="AJ910" s="15">
        <v>285800.0</v>
      </c>
      <c r="AK910" s="15">
        <v>251500.0</v>
      </c>
      <c r="AL910" s="15">
        <v>262200.0</v>
      </c>
      <c r="AM910" s="15">
        <v>264500.0</v>
      </c>
      <c r="AN910" s="15">
        <v>-9100.0</v>
      </c>
      <c r="AO910" s="15">
        <v>160500.0</v>
      </c>
      <c r="AP910" s="15">
        <v>128100.0</v>
      </c>
      <c r="AQ910" s="15">
        <v>123900.0</v>
      </c>
      <c r="AR910" s="15">
        <v>136700.0</v>
      </c>
      <c r="AS910" s="15">
        <v>221800.0</v>
      </c>
      <c r="AT910" s="15">
        <v>216400.0</v>
      </c>
      <c r="AU910" s="15">
        <v>166500.0</v>
      </c>
      <c r="AV910" s="15">
        <v>202100.0</v>
      </c>
      <c r="AW910" s="15">
        <v>210400.0</v>
      </c>
      <c r="AX910" s="15">
        <v>-69000.0</v>
      </c>
      <c r="AY910" s="15">
        <v>-90600.0</v>
      </c>
      <c r="AZ910" s="15">
        <v>-70600.0</v>
      </c>
      <c r="BA910" s="15">
        <v>-87300.0</v>
      </c>
      <c r="BB910" s="15">
        <v>-85100.0</v>
      </c>
      <c r="BC910" s="15">
        <v>-36400.0</v>
      </c>
      <c r="BD910" s="15">
        <v>-45600.0</v>
      </c>
      <c r="BE910" s="15">
        <v>-42400.0</v>
      </c>
      <c r="BF910" s="15">
        <v>-39400.0</v>
      </c>
      <c r="BG910" s="15">
        <v>-34900.0</v>
      </c>
      <c r="BH910" s="15">
        <v>461000.0</v>
      </c>
      <c r="BI910" s="15">
        <v>168000.0</v>
      </c>
      <c r="BJ910" s="15">
        <v>212500.0</v>
      </c>
      <c r="BK910" s="15">
        <v>104800.0</v>
      </c>
      <c r="BL910" s="15">
        <v>92400.0</v>
      </c>
      <c r="BM910" s="15">
        <v>199500.0</v>
      </c>
      <c r="BN910" s="15">
        <v>252300.0</v>
      </c>
      <c r="BO910" s="15">
        <v>219300.0</v>
      </c>
      <c r="BP910" s="15">
        <v>186600.0</v>
      </c>
      <c r="BQ910" s="15">
        <v>211000.0</v>
      </c>
      <c r="BR910" s="15">
        <v>197300.0</v>
      </c>
      <c r="BS910" s="15">
        <v>184200.0</v>
      </c>
      <c r="BT910" s="15">
        <v>162400.0</v>
      </c>
      <c r="BU910" s="15">
        <v>152400.0</v>
      </c>
      <c r="BV910" s="15">
        <v>128200.0</v>
      </c>
      <c r="BW910" s="15">
        <v>917100.0</v>
      </c>
      <c r="BX910" s="15">
        <v>661300.0</v>
      </c>
      <c r="BY910" s="15">
        <v>645400.0</v>
      </c>
      <c r="BZ910" s="15">
        <v>491900.0</v>
      </c>
      <c r="CA910" s="15">
        <v>480500.0</v>
      </c>
      <c r="CB910" s="15">
        <v>524700.0</v>
      </c>
      <c r="CC910" s="15">
        <v>348600.0</v>
      </c>
      <c r="CD910" s="15">
        <v>331400.0</v>
      </c>
      <c r="CE910" s="15">
        <v>314600.0</v>
      </c>
      <c r="CF910" s="15">
        <v>280100.0</v>
      </c>
      <c r="CG910" s="15">
        <v>346000.0</v>
      </c>
      <c r="CH910" s="15">
        <v>303800.0</v>
      </c>
      <c r="CI910" s="15">
        <v>304100.0</v>
      </c>
      <c r="CJ910" s="15">
        <v>304500.0</v>
      </c>
      <c r="CK910" s="15">
        <v>305300.0</v>
      </c>
      <c r="CL910" s="15">
        <v>2050000.0</v>
      </c>
      <c r="CM910" s="15">
        <v>1570000.0</v>
      </c>
      <c r="CN910" s="15">
        <v>1480000.0</v>
      </c>
      <c r="CO910" s="15">
        <v>1310000.0</v>
      </c>
      <c r="CP910" s="15">
        <v>1240000.0</v>
      </c>
      <c r="CQ910" s="15">
        <v>128800.0</v>
      </c>
      <c r="CR910" s="15">
        <v>177700.0</v>
      </c>
      <c r="CS910" s="15">
        <v>171400.0</v>
      </c>
      <c r="CT910" s="15">
        <v>148400.0</v>
      </c>
      <c r="CU910" s="15">
        <v>165600.0</v>
      </c>
      <c r="CV910" s="15">
        <v>513300.0</v>
      </c>
      <c r="CW910" s="15">
        <v>51400.0</v>
      </c>
      <c r="CX910" s="15"/>
      <c r="CY910" s="15"/>
      <c r="CZ910" s="15"/>
      <c r="DA910" s="15"/>
      <c r="DB910" s="15">
        <v>513300.0</v>
      </c>
      <c r="DC910" s="15">
        <v>446100.0</v>
      </c>
      <c r="DD910" s="15">
        <v>413800.0</v>
      </c>
      <c r="DE910" s="15">
        <v>385700.0</v>
      </c>
      <c r="DF910" s="15">
        <v>1360000.0</v>
      </c>
      <c r="DG910" s="15">
        <v>829500.0</v>
      </c>
      <c r="DH910" s="15">
        <v>784200.0</v>
      </c>
      <c r="DI910" s="15">
        <v>694000.0</v>
      </c>
      <c r="DJ910" s="15">
        <v>683500.0</v>
      </c>
      <c r="DK910" s="15">
        <v>12200.0</v>
      </c>
      <c r="DL910" s="15">
        <v>90000.0</v>
      </c>
      <c r="DM910" s="15">
        <v>31800.0</v>
      </c>
      <c r="DN910" s="15">
        <v>16200.0</v>
      </c>
      <c r="DO910" s="15"/>
      <c r="DP910" s="15">
        <v>718700.0</v>
      </c>
      <c r="DQ910" s="15">
        <v>281900.0</v>
      </c>
      <c r="DR910" s="15">
        <v>275000.0</v>
      </c>
      <c r="DS910" s="15">
        <v>199900.0</v>
      </c>
      <c r="DT910" s="15">
        <v>221900.0</v>
      </c>
      <c r="DU910" s="13"/>
      <c r="DV910" s="12"/>
      <c r="DW910" s="12"/>
      <c r="DX910" s="13"/>
      <c r="DY910" s="13"/>
      <c r="DZ910" s="15">
        <v>643000.0</v>
      </c>
      <c r="EA910" s="15">
        <v>719200.0</v>
      </c>
      <c r="EB910" s="15">
        <v>664600.0</v>
      </c>
      <c r="EC910" s="15">
        <v>587500.0</v>
      </c>
      <c r="ED910" s="15">
        <v>524400.0</v>
      </c>
      <c r="EE910" s="17">
        <v>0.013</v>
      </c>
      <c r="EF910" s="17">
        <v>0.029</v>
      </c>
      <c r="EG910" s="17">
        <v>2.1</v>
      </c>
      <c r="EH910" s="17">
        <v>0.565</v>
      </c>
    </row>
    <row r="911">
      <c r="A911" s="9">
        <f t="shared" si="2"/>
        <v>909</v>
      </c>
      <c r="B911" s="10" t="s">
        <v>1046</v>
      </c>
      <c r="C911" s="11">
        <v>4500000.0</v>
      </c>
      <c r="D911" s="11">
        <v>4370000.0</v>
      </c>
      <c r="E911" s="11">
        <v>4740000.0</v>
      </c>
      <c r="F911" s="11">
        <v>4240000.0</v>
      </c>
      <c r="G911" s="11">
        <v>3970000.0</v>
      </c>
      <c r="H911" s="11">
        <v>3820000.0</v>
      </c>
      <c r="I911" s="11">
        <v>3540000.0</v>
      </c>
      <c r="J911" s="11">
        <v>1170000.0</v>
      </c>
      <c r="K911" s="11">
        <v>958560.0</v>
      </c>
      <c r="L911" s="11">
        <v>963260.0</v>
      </c>
      <c r="M911" s="11">
        <v>900140.0</v>
      </c>
      <c r="N911" s="11">
        <v>715000.0</v>
      </c>
      <c r="O911" s="11">
        <v>302700.0</v>
      </c>
      <c r="P911" s="11">
        <v>280550.0</v>
      </c>
      <c r="Q911" s="11">
        <v>262130.0</v>
      </c>
      <c r="R911" s="11">
        <v>248010.0</v>
      </c>
      <c r="S911" s="11">
        <v>218230.0</v>
      </c>
      <c r="T911" s="11"/>
      <c r="U911" s="11"/>
      <c r="V911" s="11"/>
      <c r="W911" s="11"/>
      <c r="X911" s="11"/>
      <c r="Y911" s="11">
        <v>884900.0</v>
      </c>
      <c r="Z911" s="11">
        <v>665470.0</v>
      </c>
      <c r="AA911" s="11">
        <v>681020.0</v>
      </c>
      <c r="AB911" s="11">
        <v>673180.0</v>
      </c>
      <c r="AC911" s="11">
        <v>-8460.0</v>
      </c>
      <c r="AD911" s="11">
        <v>748300.0</v>
      </c>
      <c r="AE911" s="11">
        <v>576080.0</v>
      </c>
      <c r="AF911" s="11">
        <v>618930.0</v>
      </c>
      <c r="AG911" s="11">
        <v>607030.0</v>
      </c>
      <c r="AH911" s="11">
        <v>413800.0</v>
      </c>
      <c r="AI911" s="11">
        <v>1270000.0</v>
      </c>
      <c r="AJ911" s="11">
        <v>1040000.0</v>
      </c>
      <c r="AK911" s="11">
        <v>995500.0</v>
      </c>
      <c r="AL911" s="11">
        <v>963080.0</v>
      </c>
      <c r="AM911" s="11">
        <v>758230.0</v>
      </c>
      <c r="AN911" s="11">
        <v>611000.0</v>
      </c>
      <c r="AO911" s="11">
        <v>469190.0</v>
      </c>
      <c r="AP911" s="11">
        <v>711310.0</v>
      </c>
      <c r="AQ911" s="11">
        <v>423610.0</v>
      </c>
      <c r="AR911" s="11">
        <v>287540.0</v>
      </c>
      <c r="AS911" s="11">
        <v>966100.0</v>
      </c>
      <c r="AT911" s="11">
        <v>705150.0</v>
      </c>
      <c r="AU911" s="11">
        <v>657880.0</v>
      </c>
      <c r="AV911" s="11">
        <v>678650.0</v>
      </c>
      <c r="AW911" s="11">
        <v>573150.0</v>
      </c>
      <c r="AX911" s="11">
        <v>-393500.0</v>
      </c>
      <c r="AY911" s="11">
        <v>-375950.0</v>
      </c>
      <c r="AZ911" s="11">
        <v>-410330.0</v>
      </c>
      <c r="BA911" s="11">
        <v>-387270.0</v>
      </c>
      <c r="BB911" s="11">
        <v>-318230.0</v>
      </c>
      <c r="BC911" s="24">
        <v>-129800.0</v>
      </c>
      <c r="BD911" s="24">
        <v>-116440.0</v>
      </c>
      <c r="BE911" s="24">
        <v>-108850.0</v>
      </c>
      <c r="BF911" s="24">
        <v>-105040.0</v>
      </c>
      <c r="BG911" s="24">
        <v>-107460.0</v>
      </c>
      <c r="BH911" s="11">
        <v>21000.0</v>
      </c>
      <c r="BI911" s="11">
        <v>44890.0</v>
      </c>
      <c r="BJ911" s="11">
        <v>1450000.0</v>
      </c>
      <c r="BK911" s="11">
        <v>50040.0</v>
      </c>
      <c r="BL911" s="11">
        <v>168410.0</v>
      </c>
      <c r="BM911" s="11">
        <v>573700.0</v>
      </c>
      <c r="BN911" s="11">
        <v>523280.0</v>
      </c>
      <c r="BO911" s="11">
        <v>487240.0</v>
      </c>
      <c r="BP911" s="11">
        <v>457910.0</v>
      </c>
      <c r="BQ911" s="11">
        <v>410920.0</v>
      </c>
      <c r="BR911" s="11">
        <v>690800.0</v>
      </c>
      <c r="BS911" s="11">
        <v>663040.0</v>
      </c>
      <c r="BT911" s="11">
        <v>600590.0</v>
      </c>
      <c r="BU911" s="11">
        <v>521620.0</v>
      </c>
      <c r="BV911" s="11">
        <v>469140.0</v>
      </c>
      <c r="BW911" s="11">
        <v>1430000.0</v>
      </c>
      <c r="BX911" s="11">
        <v>1370000.0</v>
      </c>
      <c r="BY911" s="11">
        <v>2630000.0</v>
      </c>
      <c r="BZ911" s="11">
        <v>1090000.0</v>
      </c>
      <c r="CA911" s="11">
        <v>1080000.0</v>
      </c>
      <c r="CB911" s="11">
        <v>5690000.0</v>
      </c>
      <c r="CC911" s="11">
        <v>5160000.0</v>
      </c>
      <c r="CD911" s="11">
        <v>3590000.0</v>
      </c>
      <c r="CE911" s="11">
        <v>3420000.0</v>
      </c>
      <c r="CF911" s="11">
        <v>3160000.0</v>
      </c>
      <c r="CG911" s="11">
        <v>2400000.0</v>
      </c>
      <c r="CH911" s="11">
        <v>2400000.0</v>
      </c>
      <c r="CI911" s="11">
        <v>2160000.0</v>
      </c>
      <c r="CJ911" s="11">
        <v>2160000.0</v>
      </c>
      <c r="CK911" s="11">
        <v>2070000.0</v>
      </c>
      <c r="CL911" s="11">
        <v>1.042E7</v>
      </c>
      <c r="CM911" s="11">
        <v>9720000.0</v>
      </c>
      <c r="CN911" s="11">
        <v>9170000.0</v>
      </c>
      <c r="CO911" s="11">
        <v>7560000.0</v>
      </c>
      <c r="CP911" s="11">
        <v>7250000.0</v>
      </c>
      <c r="CQ911" s="11">
        <v>229600.0</v>
      </c>
      <c r="CR911" s="11">
        <v>210810.0</v>
      </c>
      <c r="CS911" s="11">
        <v>183640.0</v>
      </c>
      <c r="CT911" s="11">
        <v>178600.0</v>
      </c>
      <c r="CU911" s="11">
        <v>164720.0</v>
      </c>
      <c r="CV911" s="11">
        <v>838500.0</v>
      </c>
      <c r="CW911" s="11">
        <v>52700.0</v>
      </c>
      <c r="CX911" s="13"/>
      <c r="CY911" s="13"/>
      <c r="CZ911" s="13"/>
      <c r="DA911" s="11">
        <v>10240.0</v>
      </c>
      <c r="DB911" s="11">
        <v>838500.0</v>
      </c>
      <c r="DC911" s="11">
        <v>786750.0</v>
      </c>
      <c r="DD911" s="11">
        <v>694220.0</v>
      </c>
      <c r="DE911" s="11">
        <v>546590.0</v>
      </c>
      <c r="DF911" s="11">
        <v>5070000.0</v>
      </c>
      <c r="DG911" s="11">
        <v>4770000.0</v>
      </c>
      <c r="DH911" s="11">
        <v>4490000.0</v>
      </c>
      <c r="DI911" s="11">
        <v>3420000.0</v>
      </c>
      <c r="DJ911" s="11">
        <v>3190000.0</v>
      </c>
      <c r="DK911" s="11"/>
      <c r="DL911" s="11"/>
      <c r="DM911" s="11"/>
      <c r="DN911" s="11"/>
      <c r="DO911" s="11"/>
      <c r="DP911" s="11">
        <v>2870000.0</v>
      </c>
      <c r="DQ911" s="11">
        <v>2730000.0</v>
      </c>
      <c r="DR911" s="11">
        <v>2730000.0</v>
      </c>
      <c r="DS911" s="11">
        <v>1510000.0</v>
      </c>
      <c r="DT911" s="11">
        <v>1550000.0</v>
      </c>
      <c r="DU911" s="13"/>
      <c r="DV911" s="12"/>
      <c r="DW911" s="12"/>
      <c r="DX911" s="12"/>
      <c r="DY911" s="12"/>
      <c r="DZ911" s="11">
        <v>5350000.0</v>
      </c>
      <c r="EA911" s="11">
        <v>4950000.0</v>
      </c>
      <c r="EB911" s="11">
        <v>4680000.0</v>
      </c>
      <c r="EC911" s="11">
        <v>4140000.0</v>
      </c>
      <c r="ED911" s="11">
        <v>4060000.0</v>
      </c>
      <c r="EE911" s="23">
        <v>0.118993135</v>
      </c>
      <c r="EF911" s="23">
        <v>0.231111111</v>
      </c>
      <c r="EG911" s="14">
        <v>0.156</v>
      </c>
      <c r="EH911" s="23">
        <v>0.01875</v>
      </c>
    </row>
    <row r="912">
      <c r="A912" s="9">
        <f t="shared" si="2"/>
        <v>910</v>
      </c>
      <c r="B912" s="22" t="s">
        <v>1047</v>
      </c>
      <c r="C912" s="11">
        <v>101700.0</v>
      </c>
      <c r="D912" s="11">
        <v>63650.0</v>
      </c>
      <c r="E912" s="11">
        <v>63040.0</v>
      </c>
      <c r="F912" s="11">
        <v>27860.0</v>
      </c>
      <c r="G912" s="11">
        <v>11750.0</v>
      </c>
      <c r="H912" s="11">
        <v>174760.0</v>
      </c>
      <c r="I912" s="12"/>
      <c r="J912" s="11">
        <v>35060.0</v>
      </c>
      <c r="K912" s="11">
        <v>7380.0</v>
      </c>
      <c r="L912" s="11">
        <v>-5480.0</v>
      </c>
      <c r="M912" s="11">
        <v>125070.0</v>
      </c>
      <c r="N912" s="11">
        <v>-67440.0</v>
      </c>
      <c r="O912" s="11">
        <v>81570.0</v>
      </c>
      <c r="P912" s="11">
        <v>88450.0</v>
      </c>
      <c r="Q912" s="11">
        <v>89080.0</v>
      </c>
      <c r="R912" s="11">
        <v>60750.0</v>
      </c>
      <c r="S912" s="11">
        <v>65520.0</v>
      </c>
      <c r="T912" s="11">
        <v>6900.0</v>
      </c>
      <c r="U912" s="11">
        <v>8740.0</v>
      </c>
      <c r="V912" s="11">
        <v>14120.0</v>
      </c>
      <c r="W912" s="11">
        <v>14220.0</v>
      </c>
      <c r="X912" s="11">
        <v>27460.0</v>
      </c>
      <c r="Y912" s="11">
        <v>-42980.0</v>
      </c>
      <c r="Z912" s="11">
        <v>-81830.0</v>
      </c>
      <c r="AA912" s="11">
        <v>-90670.0</v>
      </c>
      <c r="AB912" s="11">
        <v>141220.0</v>
      </c>
      <c r="AC912" s="11">
        <v>-346490.0</v>
      </c>
      <c r="AD912" s="11">
        <v>-51900.0</v>
      </c>
      <c r="AE912" s="11">
        <v>-86740.0</v>
      </c>
      <c r="AF912" s="11">
        <v>-117280.0</v>
      </c>
      <c r="AG912" s="11">
        <v>125660.0</v>
      </c>
      <c r="AH912" s="11">
        <v>-369230.0</v>
      </c>
      <c r="AI912" s="11">
        <v>-43730.0</v>
      </c>
      <c r="AJ912" s="11">
        <v>-79370.0</v>
      </c>
      <c r="AK912" s="11">
        <v>-92760.0</v>
      </c>
      <c r="AL912" s="11">
        <v>68990.0</v>
      </c>
      <c r="AM912" s="11">
        <v>-188130.0</v>
      </c>
      <c r="AN912" s="11">
        <v>-51900.0</v>
      </c>
      <c r="AO912" s="11">
        <v>-86980.0</v>
      </c>
      <c r="AP912" s="11">
        <v>-117330.0</v>
      </c>
      <c r="AQ912" s="11">
        <v>125660.0</v>
      </c>
      <c r="AR912" s="11">
        <v>-368450.0</v>
      </c>
      <c r="AS912" s="11">
        <v>-86810.0</v>
      </c>
      <c r="AT912" s="11">
        <v>-37730.0</v>
      </c>
      <c r="AU912" s="11">
        <v>-64780.0</v>
      </c>
      <c r="AV912" s="11">
        <v>-78090.0</v>
      </c>
      <c r="AW912" s="11">
        <v>-58060.0</v>
      </c>
      <c r="AX912" s="11">
        <v>-2570.0</v>
      </c>
      <c r="AY912" s="11">
        <v>-354.0</v>
      </c>
      <c r="AZ912" s="12"/>
      <c r="BA912" s="11">
        <v>-1140.0</v>
      </c>
      <c r="BB912" s="11">
        <v>-10290.0</v>
      </c>
      <c r="BC912" s="12"/>
      <c r="BD912" s="12"/>
      <c r="BE912" s="12"/>
      <c r="BF912" s="12"/>
      <c r="BG912" s="12"/>
      <c r="BH912" s="11">
        <v>50200.0</v>
      </c>
      <c r="BI912" s="11">
        <v>71680.0</v>
      </c>
      <c r="BJ912" s="11">
        <v>48360.0</v>
      </c>
      <c r="BK912" s="11">
        <v>23250.0</v>
      </c>
      <c r="BL912" s="11">
        <v>59070.0</v>
      </c>
      <c r="BM912" s="11">
        <v>3510.0</v>
      </c>
      <c r="BN912" s="11">
        <v>4020.0</v>
      </c>
      <c r="BO912" s="11">
        <v>2790.0</v>
      </c>
      <c r="BP912" s="11">
        <v>30860.0</v>
      </c>
      <c r="BQ912" s="11">
        <v>23.0</v>
      </c>
      <c r="BR912" s="11">
        <v>4160.0</v>
      </c>
      <c r="BS912" s="11">
        <v>3600.0</v>
      </c>
      <c r="BT912" s="11">
        <v>2660.0</v>
      </c>
      <c r="BU912" s="11">
        <v>2330.0</v>
      </c>
      <c r="BV912" s="12"/>
      <c r="BW912" s="11">
        <v>60760.0</v>
      </c>
      <c r="BX912" s="11">
        <v>81850.0</v>
      </c>
      <c r="BY912" s="11">
        <v>56810.0</v>
      </c>
      <c r="BZ912" s="11">
        <v>77180.0</v>
      </c>
      <c r="CA912" s="11">
        <v>63120.0</v>
      </c>
      <c r="CB912" s="11">
        <v>26780.0</v>
      </c>
      <c r="CC912" s="11">
        <v>25600.0</v>
      </c>
      <c r="CD912" s="11">
        <v>26920.0</v>
      </c>
      <c r="CE912" s="11">
        <v>28930.0</v>
      </c>
      <c r="CF912" s="11">
        <v>48750.0</v>
      </c>
      <c r="CG912" s="12"/>
      <c r="CH912" s="12"/>
      <c r="CI912" s="12"/>
      <c r="CJ912" s="12"/>
      <c r="CK912" s="12"/>
      <c r="CL912" s="11">
        <v>93730.0</v>
      </c>
      <c r="CM912" s="11">
        <v>107710.0</v>
      </c>
      <c r="CN912" s="11">
        <v>84580.0</v>
      </c>
      <c r="CO912" s="11">
        <v>107060.0</v>
      </c>
      <c r="CP912" s="11">
        <v>126410.0</v>
      </c>
      <c r="CQ912" s="11">
        <v>4790.0</v>
      </c>
      <c r="CR912" s="11">
        <v>5380.0</v>
      </c>
      <c r="CS912" s="11">
        <v>6980.0</v>
      </c>
      <c r="CT912" s="11">
        <v>3260.0</v>
      </c>
      <c r="CU912" s="11">
        <v>15600.0</v>
      </c>
      <c r="CV912" s="11">
        <v>65620.0</v>
      </c>
      <c r="CW912" s="11">
        <v>5030.0</v>
      </c>
      <c r="CX912" s="11">
        <v>11300.0</v>
      </c>
      <c r="CY912" s="11">
        <v>52750.0</v>
      </c>
      <c r="CZ912" s="11">
        <v>71340.0</v>
      </c>
      <c r="DA912" s="11">
        <v>74580.0</v>
      </c>
      <c r="DB912" s="11">
        <v>65620.0</v>
      </c>
      <c r="DC912" s="11">
        <v>75240.0</v>
      </c>
      <c r="DD912" s="11">
        <v>87600.0</v>
      </c>
      <c r="DE912" s="11">
        <v>92050.0</v>
      </c>
      <c r="DF912" s="11">
        <v>284250.0</v>
      </c>
      <c r="DG912" s="11">
        <v>282790.0</v>
      </c>
      <c r="DH912" s="11">
        <v>299310.0</v>
      </c>
      <c r="DI912" s="11">
        <v>290660.0</v>
      </c>
      <c r="DJ912" s="11">
        <v>476740.0</v>
      </c>
      <c r="DK912" s="12"/>
      <c r="DL912" s="12"/>
      <c r="DM912" s="12"/>
      <c r="DN912" s="12"/>
      <c r="DO912" s="12"/>
      <c r="DP912" s="11">
        <v>123650.0</v>
      </c>
      <c r="DQ912" s="11">
        <v>98390.0</v>
      </c>
      <c r="DR912" s="11">
        <v>111280.0</v>
      </c>
      <c r="DS912" s="11">
        <v>86000.0</v>
      </c>
      <c r="DT912" s="11">
        <v>139510.0</v>
      </c>
      <c r="DU912" s="13"/>
      <c r="DV912" s="12"/>
      <c r="DW912" s="12"/>
      <c r="DX912" s="13"/>
      <c r="DY912" s="13"/>
      <c r="DZ912" s="11">
        <v>-190530.0</v>
      </c>
      <c r="EA912" s="11">
        <v>-175080.0</v>
      </c>
      <c r="EB912" s="11">
        <v>-214730.0</v>
      </c>
      <c r="EC912" s="11">
        <v>-183590.0</v>
      </c>
      <c r="ED912" s="11">
        <v>-350330.0</v>
      </c>
      <c r="EE912" s="14">
        <v>0.044</v>
      </c>
      <c r="EF912" s="14">
        <v>0.526</v>
      </c>
      <c r="EG912" s="14">
        <v>0.0</v>
      </c>
      <c r="EH912" s="14">
        <v>0.177</v>
      </c>
    </row>
    <row r="913">
      <c r="A913" s="9">
        <f t="shared" si="2"/>
        <v>911</v>
      </c>
      <c r="B913" s="22" t="s">
        <v>1048</v>
      </c>
      <c r="C913" s="11">
        <v>66000.0</v>
      </c>
      <c r="D913" s="11">
        <v>22570.0</v>
      </c>
      <c r="E913" s="12"/>
      <c r="F913" s="11">
        <v>10640.0</v>
      </c>
      <c r="G913" s="11">
        <v>4580.0</v>
      </c>
      <c r="H913" s="11">
        <v>674.0</v>
      </c>
      <c r="I913" s="12"/>
      <c r="J913" s="11">
        <v>-700.0</v>
      </c>
      <c r="K913" s="12"/>
      <c r="L913" s="12"/>
      <c r="M913" s="12"/>
      <c r="N913" s="12"/>
      <c r="O913" s="11">
        <v>72540.0</v>
      </c>
      <c r="P913" s="11">
        <v>65150.0</v>
      </c>
      <c r="Q913" s="11">
        <v>34170.0</v>
      </c>
      <c r="R913" s="11">
        <v>15000.0</v>
      </c>
      <c r="S913" s="11">
        <v>4610.0</v>
      </c>
      <c r="T913" s="11">
        <v>53760.0</v>
      </c>
      <c r="U913" s="11">
        <v>52990.0</v>
      </c>
      <c r="V913" s="11">
        <v>29010.0</v>
      </c>
      <c r="W913" s="11">
        <v>11260.0</v>
      </c>
      <c r="X913" s="11">
        <v>2920.0</v>
      </c>
      <c r="Y913" s="11">
        <v>-76240.0</v>
      </c>
      <c r="Z913" s="12"/>
      <c r="AA913" s="12"/>
      <c r="AB913" s="12"/>
      <c r="AC913" s="12"/>
      <c r="AD913" s="11">
        <v>-73700.0</v>
      </c>
      <c r="AE913" s="11">
        <v>-51450.0</v>
      </c>
      <c r="AF913" s="11">
        <v>-29080.0</v>
      </c>
      <c r="AG913" s="11">
        <v>-14070.0</v>
      </c>
      <c r="AH913" s="11">
        <v>-4610.0</v>
      </c>
      <c r="AI913" s="11">
        <v>-72540.0</v>
      </c>
      <c r="AJ913" s="11">
        <v>-54510.0</v>
      </c>
      <c r="AK913" s="11">
        <v>-29590.0</v>
      </c>
      <c r="AL913" s="11">
        <v>-14330.0</v>
      </c>
      <c r="AM913" s="11">
        <v>-4610.0</v>
      </c>
      <c r="AN913" s="11">
        <v>-73700.0</v>
      </c>
      <c r="AO913" s="11">
        <v>-51450.0</v>
      </c>
      <c r="AP913" s="11">
        <v>-29080.0</v>
      </c>
      <c r="AQ913" s="11">
        <v>-14070.0</v>
      </c>
      <c r="AR913" s="11">
        <v>-4610.0</v>
      </c>
      <c r="AS913" s="11">
        <v>-64490.0</v>
      </c>
      <c r="AT913" s="11">
        <v>-52730.0</v>
      </c>
      <c r="AU913" s="11">
        <v>-28250.0</v>
      </c>
      <c r="AV913" s="11">
        <v>-2290.0</v>
      </c>
      <c r="AW913" s="11">
        <v>-4180.0</v>
      </c>
      <c r="AX913" s="11">
        <v>-11.0</v>
      </c>
      <c r="AY913" s="11">
        <v>-140.0</v>
      </c>
      <c r="AZ913" s="11">
        <v>-27.0</v>
      </c>
      <c r="BA913" s="11">
        <v>-31.0</v>
      </c>
      <c r="BB913" s="12"/>
      <c r="BC913" s="12"/>
      <c r="BD913" s="12"/>
      <c r="BE913" s="12"/>
      <c r="BF913" s="12"/>
      <c r="BG913" s="12"/>
      <c r="BH913" s="11">
        <v>76940.0</v>
      </c>
      <c r="BI913" s="11">
        <v>136250.0</v>
      </c>
      <c r="BJ913" s="11">
        <v>59500.0</v>
      </c>
      <c r="BK913" s="11">
        <v>30910.0</v>
      </c>
      <c r="BL913" s="11">
        <v>43810.0</v>
      </c>
      <c r="BM913" s="12"/>
      <c r="BN913" s="12"/>
      <c r="BO913" s="11">
        <v>786.0</v>
      </c>
      <c r="BP913" s="12"/>
      <c r="BQ913" s="12"/>
      <c r="BR913" s="12"/>
      <c r="BS913" s="12"/>
      <c r="BT913" s="12"/>
      <c r="BU913" s="12"/>
      <c r="BV913" s="12"/>
      <c r="BW913" s="11">
        <v>78330.0</v>
      </c>
      <c r="BX913" s="11">
        <v>139500.0</v>
      </c>
      <c r="BY913" s="11">
        <v>63860.0</v>
      </c>
      <c r="BZ913" s="11">
        <v>31540.0</v>
      </c>
      <c r="CA913" s="11">
        <v>43890.0</v>
      </c>
      <c r="CB913" s="11">
        <v>769.0</v>
      </c>
      <c r="CC913" s="11">
        <v>146.0</v>
      </c>
      <c r="CD913" s="11">
        <v>28.0</v>
      </c>
      <c r="CE913" s="11">
        <v>27.0</v>
      </c>
      <c r="CF913" s="12"/>
      <c r="CG913" s="12"/>
      <c r="CH913" s="12"/>
      <c r="CI913" s="12"/>
      <c r="CJ913" s="12"/>
      <c r="CK913" s="12"/>
      <c r="CL913" s="11">
        <v>79170.0</v>
      </c>
      <c r="CM913" s="11">
        <v>139930.0</v>
      </c>
      <c r="CN913" s="11">
        <v>66870.0</v>
      </c>
      <c r="CO913" s="11">
        <v>42050.0</v>
      </c>
      <c r="CP913" s="11">
        <v>43890.0</v>
      </c>
      <c r="CQ913" s="11">
        <v>3770.0</v>
      </c>
      <c r="CR913" s="11">
        <v>3290.0</v>
      </c>
      <c r="CS913" s="11">
        <v>2460.0</v>
      </c>
      <c r="CT913" s="11">
        <v>1530.0</v>
      </c>
      <c r="CU913" s="11">
        <v>637.0</v>
      </c>
      <c r="CV913" s="11">
        <v>10660.0</v>
      </c>
      <c r="CW913" s="11">
        <v>700.0</v>
      </c>
      <c r="CX913" s="12"/>
      <c r="CY913" s="12"/>
      <c r="CZ913" s="12"/>
      <c r="DA913" s="12"/>
      <c r="DB913" s="11">
        <v>10660.0</v>
      </c>
      <c r="DC913" s="11">
        <v>9540.0</v>
      </c>
      <c r="DD913" s="11">
        <v>7820.0</v>
      </c>
      <c r="DE913" s="11">
        <v>3900.0</v>
      </c>
      <c r="DF913" s="11">
        <v>10660.0</v>
      </c>
      <c r="DG913" s="11">
        <v>9550.0</v>
      </c>
      <c r="DH913" s="11">
        <v>14570.0</v>
      </c>
      <c r="DI913" s="11">
        <v>12490.0</v>
      </c>
      <c r="DJ913" s="11">
        <v>835.0</v>
      </c>
      <c r="DK913" s="12"/>
      <c r="DL913" s="12"/>
      <c r="DM913" s="11">
        <v>2980.0</v>
      </c>
      <c r="DN913" s="11">
        <v>10420.0</v>
      </c>
      <c r="DO913" s="12"/>
      <c r="DP913" s="12"/>
      <c r="DQ913" s="12"/>
      <c r="DR913" s="12"/>
      <c r="DS913" s="12"/>
      <c r="DT913" s="12"/>
      <c r="DU913" s="13"/>
      <c r="DV913" s="12"/>
      <c r="DW913" s="11">
        <v>109330.0</v>
      </c>
      <c r="DX913" s="11">
        <v>59000.0</v>
      </c>
      <c r="DY913" s="11">
        <v>59000.0</v>
      </c>
      <c r="DZ913" s="11">
        <v>68510.0</v>
      </c>
      <c r="EA913" s="11">
        <v>130380.0</v>
      </c>
      <c r="EB913" s="11">
        <v>52290.0</v>
      </c>
      <c r="EC913" s="11">
        <v>29560.0</v>
      </c>
      <c r="ED913" s="11">
        <v>43050.0</v>
      </c>
      <c r="EE913" s="14">
        <v>0.376</v>
      </c>
      <c r="EF913" s="14">
        <v>0.664</v>
      </c>
      <c r="EG913" s="14">
        <v>0.44</v>
      </c>
      <c r="EH913" s="14">
        <v>-0.075</v>
      </c>
    </row>
    <row r="914">
      <c r="A914" s="9">
        <f t="shared" si="2"/>
        <v>912</v>
      </c>
      <c r="B914" s="22" t="s">
        <v>1049</v>
      </c>
      <c r="C914" s="12"/>
      <c r="D914" s="12"/>
      <c r="E914" s="12"/>
      <c r="F914" s="12"/>
      <c r="G914" s="12"/>
      <c r="H914" s="12"/>
      <c r="I914" s="12"/>
      <c r="J914" s="11">
        <v>-24.0</v>
      </c>
      <c r="K914" s="11">
        <v>-26.0</v>
      </c>
      <c r="L914" s="11">
        <v>-28.0</v>
      </c>
      <c r="M914" s="11">
        <v>-14.0</v>
      </c>
      <c r="N914" s="11">
        <v>-27.0</v>
      </c>
      <c r="O914" s="11">
        <v>14010.0</v>
      </c>
      <c r="P914" s="11">
        <v>15560.0</v>
      </c>
      <c r="Q914" s="11">
        <v>13000.0</v>
      </c>
      <c r="R914" s="11">
        <v>10870.0</v>
      </c>
      <c r="S914" s="11">
        <v>8800.0</v>
      </c>
      <c r="T914" s="11">
        <v>6060.0</v>
      </c>
      <c r="U914" s="11">
        <v>5630.0</v>
      </c>
      <c r="V914" s="11">
        <v>4220.0</v>
      </c>
      <c r="W914" s="11">
        <v>3520.0</v>
      </c>
      <c r="X914" s="11">
        <v>3020.0</v>
      </c>
      <c r="Y914" s="12"/>
      <c r="Z914" s="12"/>
      <c r="AA914" s="12"/>
      <c r="AB914" s="12"/>
      <c r="AC914" s="12"/>
      <c r="AD914" s="11">
        <v>-12930.0</v>
      </c>
      <c r="AE914" s="11">
        <v>-14670.0</v>
      </c>
      <c r="AF914" s="11">
        <v>-12910.0</v>
      </c>
      <c r="AG914" s="11">
        <v>-10860.0</v>
      </c>
      <c r="AH914" s="11">
        <v>-8840.0</v>
      </c>
      <c r="AI914" s="11">
        <v>-14010.0</v>
      </c>
      <c r="AJ914" s="11">
        <v>-15560.0</v>
      </c>
      <c r="AK914" s="11">
        <v>-13000.0</v>
      </c>
      <c r="AL914" s="11">
        <v>-10870.0</v>
      </c>
      <c r="AM914" s="11">
        <v>-8800.0</v>
      </c>
      <c r="AN914" s="11">
        <v>-12940.0</v>
      </c>
      <c r="AO914" s="11">
        <v>-14680.0</v>
      </c>
      <c r="AP914" s="11">
        <v>-11160.0</v>
      </c>
      <c r="AQ914" s="11">
        <v>-10870.0</v>
      </c>
      <c r="AR914" s="11">
        <v>-8850.0</v>
      </c>
      <c r="AS914" s="11">
        <v>-9120.0</v>
      </c>
      <c r="AT914" s="11">
        <v>-9110.0</v>
      </c>
      <c r="AU914" s="11">
        <v>-6920.0</v>
      </c>
      <c r="AV914" s="11">
        <v>-6550.0</v>
      </c>
      <c r="AW914" s="11">
        <v>-7150.0</v>
      </c>
      <c r="AX914" s="11">
        <v>-11.0</v>
      </c>
      <c r="AY914" s="11">
        <v>-10.0</v>
      </c>
      <c r="AZ914" s="12"/>
      <c r="BA914" s="11">
        <v>-84.0</v>
      </c>
      <c r="BB914" s="11">
        <v>-2.0</v>
      </c>
      <c r="BC914" s="12"/>
      <c r="BD914" s="12"/>
      <c r="BE914" s="12"/>
      <c r="BF914" s="12"/>
      <c r="BG914" s="12"/>
      <c r="BH914" s="11">
        <v>63790.0</v>
      </c>
      <c r="BI914" s="11">
        <v>62310.0</v>
      </c>
      <c r="BJ914" s="11">
        <v>27990.0</v>
      </c>
      <c r="BK914" s="11">
        <v>24120.0</v>
      </c>
      <c r="BL914" s="11">
        <v>22080.0</v>
      </c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1">
        <v>64300.0</v>
      </c>
      <c r="BX914" s="11">
        <v>62760.0</v>
      </c>
      <c r="BY914" s="11">
        <v>28330.0</v>
      </c>
      <c r="BZ914" s="11">
        <v>24700.0</v>
      </c>
      <c r="CA914" s="11">
        <v>22730.0</v>
      </c>
      <c r="CB914" s="11">
        <v>41.0</v>
      </c>
      <c r="CC914" s="11">
        <v>53.0</v>
      </c>
      <c r="CD914" s="11">
        <v>63.0</v>
      </c>
      <c r="CE914" s="11">
        <v>91.0</v>
      </c>
      <c r="CF914" s="11">
        <v>20.0</v>
      </c>
      <c r="CG914" s="11">
        <v>9600.0</v>
      </c>
      <c r="CH914" s="11">
        <v>9600.0</v>
      </c>
      <c r="CI914" s="11">
        <v>9600.0</v>
      </c>
      <c r="CJ914" s="11">
        <v>9600.0</v>
      </c>
      <c r="CK914" s="11">
        <v>9600.0</v>
      </c>
      <c r="CL914" s="11">
        <v>79210.0</v>
      </c>
      <c r="CM914" s="11">
        <v>77220.0</v>
      </c>
      <c r="CN914" s="11">
        <v>43420.0</v>
      </c>
      <c r="CO914" s="11">
        <v>39810.0</v>
      </c>
      <c r="CP914" s="11">
        <v>37910.0</v>
      </c>
      <c r="CQ914" s="11">
        <v>451.0</v>
      </c>
      <c r="CR914" s="11">
        <v>617.0</v>
      </c>
      <c r="CS914" s="12"/>
      <c r="CT914" s="12"/>
      <c r="CU914" s="12"/>
      <c r="CV914" s="11">
        <v>2230.0</v>
      </c>
      <c r="CW914" s="11">
        <v>217.0</v>
      </c>
      <c r="CX914" s="12"/>
      <c r="CY914" s="12"/>
      <c r="CZ914" s="12"/>
      <c r="DA914" s="12"/>
      <c r="DB914" s="11">
        <v>2230.0</v>
      </c>
      <c r="DC914" s="11">
        <v>2190.0</v>
      </c>
      <c r="DD914" s="11">
        <v>2880.0</v>
      </c>
      <c r="DE914" s="11">
        <v>1630.0</v>
      </c>
      <c r="DF914" s="11">
        <v>4310.0</v>
      </c>
      <c r="DG914" s="11">
        <v>4120.0</v>
      </c>
      <c r="DH914" s="11">
        <v>4780.0</v>
      </c>
      <c r="DI914" s="11">
        <v>5280.0</v>
      </c>
      <c r="DJ914" s="11">
        <v>5150.0</v>
      </c>
      <c r="DK914" s="12"/>
      <c r="DL914" s="12"/>
      <c r="DM914" s="11">
        <v>617.0</v>
      </c>
      <c r="DN914" s="11">
        <v>618.0</v>
      </c>
      <c r="DO914" s="24">
        <v>650.0</v>
      </c>
      <c r="DP914" s="11">
        <v>183.0</v>
      </c>
      <c r="DQ914" s="12"/>
      <c r="DR914" s="12"/>
      <c r="DS914" s="12"/>
      <c r="DT914" s="12"/>
      <c r="DU914" s="13"/>
      <c r="DV914" s="12"/>
      <c r="DW914" s="12"/>
      <c r="DX914" s="13"/>
      <c r="DY914" s="24">
        <v>2.0</v>
      </c>
      <c r="DZ914" s="11">
        <v>74890.0</v>
      </c>
      <c r="EA914" s="11">
        <v>73110.0</v>
      </c>
      <c r="EB914" s="11">
        <v>38640.0</v>
      </c>
      <c r="EC914" s="11">
        <v>34530.0</v>
      </c>
      <c r="ED914" s="11">
        <v>32750.0</v>
      </c>
      <c r="EE914" s="23"/>
      <c r="EF914" s="23"/>
      <c r="EG914" s="14">
        <v>0.0</v>
      </c>
      <c r="EH914" s="14">
        <v>0.323</v>
      </c>
    </row>
    <row r="915">
      <c r="A915" s="9">
        <f t="shared" si="2"/>
        <v>913</v>
      </c>
      <c r="B915" s="10" t="s">
        <v>1050</v>
      </c>
      <c r="C915" s="11">
        <v>1280000.0</v>
      </c>
      <c r="D915" s="11">
        <v>1160000.0</v>
      </c>
      <c r="E915" s="11">
        <v>1260000.0</v>
      </c>
      <c r="F915" s="11">
        <v>1200000.0</v>
      </c>
      <c r="G915" s="11">
        <v>1130000.0</v>
      </c>
      <c r="H915" s="11">
        <v>1020000.0</v>
      </c>
      <c r="I915" s="11">
        <v>943650.0</v>
      </c>
      <c r="J915" s="11">
        <v>476660.0</v>
      </c>
      <c r="K915" s="11">
        <v>465230.0</v>
      </c>
      <c r="L915" s="11">
        <v>435570.0</v>
      </c>
      <c r="M915" s="11">
        <v>396890.0</v>
      </c>
      <c r="N915" s="11">
        <v>385700.0</v>
      </c>
      <c r="O915" s="11">
        <v>366980.0</v>
      </c>
      <c r="P915" s="11">
        <v>334690.0</v>
      </c>
      <c r="Q915" s="11">
        <v>302630.0</v>
      </c>
      <c r="R915" s="11">
        <v>279510.0</v>
      </c>
      <c r="S915" s="11">
        <v>264410.0</v>
      </c>
      <c r="T915" s="11"/>
      <c r="U915" s="11"/>
      <c r="V915" s="11"/>
      <c r="W915" s="11"/>
      <c r="X915" s="11"/>
      <c r="Y915" s="11">
        <v>101700.0</v>
      </c>
      <c r="Z915" s="11">
        <v>126740.0</v>
      </c>
      <c r="AA915" s="11">
        <v>127300.0</v>
      </c>
      <c r="AB915" s="11">
        <v>116380.0</v>
      </c>
      <c r="AC915" s="11">
        <v>120590.0</v>
      </c>
      <c r="AD915" s="11">
        <v>74270.0</v>
      </c>
      <c r="AE915" s="11">
        <v>100360.0</v>
      </c>
      <c r="AF915" s="11">
        <v>103450.0</v>
      </c>
      <c r="AG915" s="11">
        <v>97240.0</v>
      </c>
      <c r="AH915" s="11">
        <v>105420.0</v>
      </c>
      <c r="AI915" s="11">
        <v>174670.0</v>
      </c>
      <c r="AJ915" s="11">
        <v>186070.0</v>
      </c>
      <c r="AK915" s="11">
        <v>182280.0</v>
      </c>
      <c r="AL915" s="11">
        <v>162010.0</v>
      </c>
      <c r="AM915" s="11">
        <v>161060.0</v>
      </c>
      <c r="AN915" s="11">
        <v>58020.0</v>
      </c>
      <c r="AO915" s="11">
        <v>79750.0</v>
      </c>
      <c r="AP915" s="11">
        <v>63940.0</v>
      </c>
      <c r="AQ915" s="11">
        <v>61530.0</v>
      </c>
      <c r="AR915" s="11">
        <v>66810.0</v>
      </c>
      <c r="AS915" s="11">
        <v>121330.0</v>
      </c>
      <c r="AT915" s="11">
        <v>152890.0</v>
      </c>
      <c r="AU915" s="11">
        <v>121240.0</v>
      </c>
      <c r="AV915" s="11">
        <v>129940.0</v>
      </c>
      <c r="AW915" s="11">
        <v>126500.0</v>
      </c>
      <c r="AX915" s="11">
        <v>-55920.0</v>
      </c>
      <c r="AY915" s="11">
        <v>-44470.0</v>
      </c>
      <c r="AZ915" s="11">
        <v>-39120.0</v>
      </c>
      <c r="BA915" s="11">
        <v>-34640.0</v>
      </c>
      <c r="BB915" s="11">
        <v>-36830.0</v>
      </c>
      <c r="BC915" s="11">
        <v>-29720.0</v>
      </c>
      <c r="BD915" s="11">
        <v>-26810.0</v>
      </c>
      <c r="BE915" s="11">
        <v>-23970.0</v>
      </c>
      <c r="BF915" s="11">
        <v>-22520.0</v>
      </c>
      <c r="BG915" s="11">
        <v>-19690.0</v>
      </c>
      <c r="BH915" s="11">
        <v>345480.0</v>
      </c>
      <c r="BI915" s="11">
        <v>6210.0</v>
      </c>
      <c r="BJ915" s="11">
        <v>1910.0</v>
      </c>
      <c r="BK915" s="11">
        <v>9000.0</v>
      </c>
      <c r="BL915" s="11">
        <v>7990.0</v>
      </c>
      <c r="BM915" s="11">
        <v>38800.0</v>
      </c>
      <c r="BN915" s="11">
        <v>34370.0</v>
      </c>
      <c r="BO915" s="11">
        <v>31870.0</v>
      </c>
      <c r="BP915" s="11">
        <v>29320.0</v>
      </c>
      <c r="BQ915" s="11">
        <v>16370.0</v>
      </c>
      <c r="BR915" s="11">
        <v>187440.0</v>
      </c>
      <c r="BS915" s="11">
        <v>171040.0</v>
      </c>
      <c r="BT915" s="11">
        <v>152370.0</v>
      </c>
      <c r="BU915" s="11">
        <v>142600.0</v>
      </c>
      <c r="BV915" s="11">
        <v>129040.0</v>
      </c>
      <c r="BW915" s="11">
        <v>596020.0</v>
      </c>
      <c r="BX915" s="11">
        <v>239910.0</v>
      </c>
      <c r="BY915" s="11">
        <v>207260.0</v>
      </c>
      <c r="BZ915" s="11">
        <v>199230.0</v>
      </c>
      <c r="CA915" s="11">
        <v>170080.0</v>
      </c>
      <c r="CB915" s="11">
        <v>724940.0</v>
      </c>
      <c r="CC915" s="11">
        <v>440580.0</v>
      </c>
      <c r="CD915" s="11">
        <v>416670.0</v>
      </c>
      <c r="CE915" s="11">
        <v>394630.0</v>
      </c>
      <c r="CF915" s="11">
        <v>351580.0</v>
      </c>
      <c r="CG915" s="11">
        <v>671840.0</v>
      </c>
      <c r="CH915" s="11">
        <v>565500.0</v>
      </c>
      <c r="CI915" s="11">
        <v>522890.0</v>
      </c>
      <c r="CJ915" s="11">
        <v>501740.0</v>
      </c>
      <c r="CK915" s="11">
        <v>400130.0</v>
      </c>
      <c r="CL915" s="11">
        <v>2050000.0</v>
      </c>
      <c r="CM915" s="11">
        <v>1350000.0</v>
      </c>
      <c r="CN915" s="11">
        <v>1250000.0</v>
      </c>
      <c r="CO915" s="11">
        <v>1190000.0</v>
      </c>
      <c r="CP915" s="11">
        <v>999440.0</v>
      </c>
      <c r="CQ915" s="11">
        <v>99500.0</v>
      </c>
      <c r="CR915" s="11">
        <v>103600.0</v>
      </c>
      <c r="CS915" s="11">
        <v>84570.0</v>
      </c>
      <c r="CT915" s="11">
        <v>79490.0</v>
      </c>
      <c r="CU915" s="11">
        <v>69890.0</v>
      </c>
      <c r="CV915" s="11">
        <v>254940.0</v>
      </c>
      <c r="CW915" s="11">
        <v>30180.0</v>
      </c>
      <c r="CX915" s="12"/>
      <c r="CY915" s="13"/>
      <c r="CZ915" s="13"/>
      <c r="DA915" s="12"/>
      <c r="DB915" s="11">
        <v>254940.0</v>
      </c>
      <c r="DC915" s="11">
        <v>218450.0</v>
      </c>
      <c r="DD915" s="11">
        <v>194010.0</v>
      </c>
      <c r="DE915" s="11">
        <v>185890.0</v>
      </c>
      <c r="DF915" s="11">
        <v>1320000.0</v>
      </c>
      <c r="DG915" s="11">
        <v>652230.0</v>
      </c>
      <c r="DH915" s="11">
        <v>622890.0</v>
      </c>
      <c r="DI915" s="11">
        <v>604010.0</v>
      </c>
      <c r="DJ915" s="11">
        <v>463240.0</v>
      </c>
      <c r="DK915" s="12"/>
      <c r="DL915" s="12"/>
      <c r="DM915" s="11"/>
      <c r="DN915" s="11"/>
      <c r="DO915" s="11"/>
      <c r="DP915" s="11">
        <v>1040000.0</v>
      </c>
      <c r="DQ915" s="11">
        <v>375770.0</v>
      </c>
      <c r="DR915" s="11">
        <v>375290.0</v>
      </c>
      <c r="DS915" s="11">
        <v>395500.0</v>
      </c>
      <c r="DT915" s="11">
        <v>269050.0</v>
      </c>
      <c r="DU915" s="24">
        <v>33.0</v>
      </c>
      <c r="DV915" s="11">
        <v>33.0</v>
      </c>
      <c r="DW915" s="11">
        <v>33.0</v>
      </c>
      <c r="DX915" s="11">
        <v>33.0</v>
      </c>
      <c r="DY915" s="11">
        <v>49.0</v>
      </c>
      <c r="DZ915" s="11">
        <v>734440.0</v>
      </c>
      <c r="EA915" s="11">
        <v>699510.0</v>
      </c>
      <c r="EB915" s="11">
        <v>628480.0</v>
      </c>
      <c r="EC915" s="11">
        <v>581250.0</v>
      </c>
      <c r="ED915" s="11">
        <v>536200.0</v>
      </c>
      <c r="EE915" s="14">
        <v>0.043</v>
      </c>
      <c r="EF915" s="14">
        <v>0.039</v>
      </c>
      <c r="EG915" s="14">
        <v>1.714</v>
      </c>
      <c r="EH915" s="14">
        <v>0.236</v>
      </c>
    </row>
    <row r="916">
      <c r="A916" s="9">
        <f t="shared" si="2"/>
        <v>914</v>
      </c>
      <c r="B916" s="10" t="s">
        <v>1051</v>
      </c>
      <c r="C916" s="15">
        <v>4770000.0</v>
      </c>
      <c r="D916" s="15">
        <v>4310000.0</v>
      </c>
      <c r="E916" s="15">
        <v>4200000.0</v>
      </c>
      <c r="F916" s="15">
        <v>3810000.0</v>
      </c>
      <c r="G916" s="15">
        <v>3370000.0</v>
      </c>
      <c r="H916" s="15">
        <v>3040000.0</v>
      </c>
      <c r="I916" s="15">
        <v>2680000.0</v>
      </c>
      <c r="J916" s="15">
        <v>2520000.0</v>
      </c>
      <c r="K916" s="15">
        <v>2300000.0</v>
      </c>
      <c r="L916" s="15">
        <v>2140000.0</v>
      </c>
      <c r="M916" s="15">
        <v>1940000.0</v>
      </c>
      <c r="N916" s="15">
        <v>1590000.0</v>
      </c>
      <c r="O916" s="15">
        <v>1100000.0</v>
      </c>
      <c r="P916" s="15">
        <v>985160.0</v>
      </c>
      <c r="Q916" s="15">
        <v>903490.0</v>
      </c>
      <c r="R916" s="15">
        <v>772430.0</v>
      </c>
      <c r="S916" s="15">
        <v>660620.0</v>
      </c>
      <c r="T916" s="15"/>
      <c r="U916" s="15"/>
      <c r="V916" s="15"/>
      <c r="W916" s="15"/>
      <c r="X916" s="15"/>
      <c r="Y916" s="15">
        <v>1400000.0</v>
      </c>
      <c r="Z916" s="15">
        <v>1290000.0</v>
      </c>
      <c r="AA916" s="15">
        <v>1190000.0</v>
      </c>
      <c r="AB916" s="15">
        <v>1090000.0</v>
      </c>
      <c r="AC916" s="15">
        <v>-197230.0</v>
      </c>
      <c r="AD916" s="15">
        <v>1420000.0</v>
      </c>
      <c r="AE916" s="15">
        <v>1290000.0</v>
      </c>
      <c r="AF916" s="15">
        <v>1200000.0</v>
      </c>
      <c r="AG916" s="15">
        <v>1080000.0</v>
      </c>
      <c r="AH916" s="15">
        <v>891550.0</v>
      </c>
      <c r="AI916" s="15">
        <v>1470000.0</v>
      </c>
      <c r="AJ916" s="15">
        <v>1370000.0</v>
      </c>
      <c r="AK916" s="15">
        <v>1280000.0</v>
      </c>
      <c r="AL916" s="15">
        <v>1200000.0</v>
      </c>
      <c r="AM916" s="15">
        <v>962780.0</v>
      </c>
      <c r="AN916" s="15">
        <v>1110000.0</v>
      </c>
      <c r="AO916" s="15">
        <v>993000.0</v>
      </c>
      <c r="AP916" s="15">
        <v>820680.0</v>
      </c>
      <c r="AQ916" s="15">
        <v>712690.0</v>
      </c>
      <c r="AR916" s="15">
        <v>546730.0</v>
      </c>
      <c r="AS916" s="15">
        <v>1110000.0</v>
      </c>
      <c r="AT916" s="15">
        <v>1160000.0</v>
      </c>
      <c r="AU916" s="15">
        <v>987730.0</v>
      </c>
      <c r="AV916" s="15">
        <v>701360.0</v>
      </c>
      <c r="AW916" s="15">
        <v>522720.0</v>
      </c>
      <c r="AX916" s="15">
        <v>-111660.0</v>
      </c>
      <c r="AY916" s="15">
        <v>-86740.0</v>
      </c>
      <c r="AZ916" s="15">
        <v>-94330.0</v>
      </c>
      <c r="BA916" s="15">
        <v>-105340.0</v>
      </c>
      <c r="BB916" s="15">
        <v>-42890.0</v>
      </c>
      <c r="BC916" s="15"/>
      <c r="BD916" s="15"/>
      <c r="BE916" s="15"/>
      <c r="BF916" s="15"/>
      <c r="BG916" s="15"/>
      <c r="BH916" s="15">
        <v>1330000.0</v>
      </c>
      <c r="BI916" s="15">
        <v>958160.0</v>
      </c>
      <c r="BJ916" s="15">
        <v>1200000.0</v>
      </c>
      <c r="BK916" s="15">
        <v>598140.0</v>
      </c>
      <c r="BL916" s="15">
        <v>2920000.0</v>
      </c>
      <c r="BM916" s="15">
        <v>540330.0</v>
      </c>
      <c r="BN916" s="15">
        <v>484560.0</v>
      </c>
      <c r="BO916" s="15">
        <v>449480.0</v>
      </c>
      <c r="BP916" s="15">
        <v>573050.0</v>
      </c>
      <c r="BQ916" s="15">
        <v>477960.0</v>
      </c>
      <c r="BR916" s="15">
        <v>360730.0</v>
      </c>
      <c r="BS916" s="15">
        <v>277710.0</v>
      </c>
      <c r="BT916" s="15">
        <v>255750.0</v>
      </c>
      <c r="BU916" s="15">
        <v>161970.0</v>
      </c>
      <c r="BV916" s="15">
        <v>156120.0</v>
      </c>
      <c r="BW916" s="15">
        <v>2320000.0</v>
      </c>
      <c r="BX916" s="15">
        <v>1800000.0</v>
      </c>
      <c r="BY916" s="15">
        <v>2090000.0</v>
      </c>
      <c r="BZ916" s="15">
        <v>1430000.0</v>
      </c>
      <c r="CA916" s="15">
        <v>3600000.0</v>
      </c>
      <c r="CB916" s="15">
        <v>329980.0</v>
      </c>
      <c r="CC916" s="15">
        <v>243050.0</v>
      </c>
      <c r="CD916" s="15">
        <v>230280.0</v>
      </c>
      <c r="CE916" s="15">
        <v>173340.0</v>
      </c>
      <c r="CF916" s="15">
        <v>97350.0</v>
      </c>
      <c r="CG916" s="15">
        <v>1330000.0</v>
      </c>
      <c r="CH916" s="15">
        <v>1330000.0</v>
      </c>
      <c r="CI916" s="15">
        <v>1330000.0</v>
      </c>
      <c r="CJ916" s="15">
        <v>1330000.0</v>
      </c>
      <c r="CK916" s="15">
        <v>1280000.0</v>
      </c>
      <c r="CL916" s="15">
        <v>5280000.0</v>
      </c>
      <c r="CM916" s="15">
        <v>4650000.0</v>
      </c>
      <c r="CN916" s="15">
        <v>4910000.0</v>
      </c>
      <c r="CO916" s="15">
        <v>4320000.0</v>
      </c>
      <c r="CP916" s="15">
        <v>5750000.0</v>
      </c>
      <c r="CQ916" s="15">
        <v>274050.0</v>
      </c>
      <c r="CR916" s="15">
        <v>237060.0</v>
      </c>
      <c r="CS916" s="15">
        <v>239910.0</v>
      </c>
      <c r="CT916" s="15">
        <v>193270.0</v>
      </c>
      <c r="CU916" s="15">
        <v>144760.0</v>
      </c>
      <c r="CV916" s="15">
        <v>661100.0</v>
      </c>
      <c r="CW916" s="15">
        <v>3660.0</v>
      </c>
      <c r="CX916" s="13">
        <v>11700.0</v>
      </c>
      <c r="CY916" s="13">
        <v>6000.0</v>
      </c>
      <c r="CZ916" s="13"/>
      <c r="DA916" s="12"/>
      <c r="DB916" s="15">
        <v>661100.0</v>
      </c>
      <c r="DC916" s="15">
        <v>601150.0</v>
      </c>
      <c r="DD916" s="15">
        <v>560350.0</v>
      </c>
      <c r="DE916" s="15">
        <v>470590.0</v>
      </c>
      <c r="DF916" s="15">
        <v>1110000.0</v>
      </c>
      <c r="DG916" s="15">
        <v>1040000.0</v>
      </c>
      <c r="DH916" s="15">
        <v>1020000.0</v>
      </c>
      <c r="DI916" s="15">
        <v>994330.0</v>
      </c>
      <c r="DJ916" s="15">
        <v>936250.0</v>
      </c>
      <c r="DK916" s="15">
        <v>12910.0</v>
      </c>
      <c r="DL916" s="15"/>
      <c r="DM916" s="15">
        <v>2370.0</v>
      </c>
      <c r="DN916" s="15">
        <v>2390.0</v>
      </c>
      <c r="DO916" s="15">
        <v>15350.0</v>
      </c>
      <c r="DP916" s="15">
        <v>24800.0</v>
      </c>
      <c r="DQ916" s="15"/>
      <c r="DR916" s="15"/>
      <c r="DS916" s="15"/>
      <c r="DT916" s="15"/>
      <c r="DU916" s="15"/>
      <c r="DV916" s="15"/>
      <c r="DW916" s="12"/>
      <c r="DX916" s="15"/>
      <c r="DY916" s="15"/>
      <c r="DZ916" s="15">
        <v>4170000.0</v>
      </c>
      <c r="EA916" s="15">
        <v>3610000.0</v>
      </c>
      <c r="EB916" s="15">
        <v>3900000.0</v>
      </c>
      <c r="EC916" s="15">
        <v>3330000.0</v>
      </c>
      <c r="ED916" s="15">
        <v>4810000.0</v>
      </c>
      <c r="EE916" s="23">
        <v>0.085846868</v>
      </c>
      <c r="EF916" s="23">
        <v>0.157232704</v>
      </c>
      <c r="EG916" s="17">
        <v>0.083</v>
      </c>
      <c r="EH916" s="23">
        <v>0.012</v>
      </c>
    </row>
    <row r="917">
      <c r="A917" s="9">
        <f t="shared" si="2"/>
        <v>915</v>
      </c>
      <c r="B917" s="22" t="s">
        <v>1052</v>
      </c>
      <c r="C917" s="11">
        <v>28480.0</v>
      </c>
      <c r="D917" s="11">
        <v>28050.0</v>
      </c>
      <c r="E917" s="11">
        <v>23870.0</v>
      </c>
      <c r="F917" s="11">
        <v>75590.0</v>
      </c>
      <c r="G917" s="11">
        <v>138880.0</v>
      </c>
      <c r="H917" s="11">
        <v>109620.0</v>
      </c>
      <c r="I917" s="11">
        <v>89650.0</v>
      </c>
      <c r="J917" s="12"/>
      <c r="K917" s="12"/>
      <c r="L917" s="12"/>
      <c r="M917" s="12"/>
      <c r="N917" s="12"/>
      <c r="O917" s="11">
        <v>281600.0</v>
      </c>
      <c r="P917" s="11">
        <v>198040.0</v>
      </c>
      <c r="Q917" s="11">
        <v>206760.0</v>
      </c>
      <c r="R917" s="11">
        <v>175220.0</v>
      </c>
      <c r="S917" s="11">
        <v>165430.0</v>
      </c>
      <c r="T917" s="11">
        <v>144540.0</v>
      </c>
      <c r="U917" s="11">
        <v>124000.0</v>
      </c>
      <c r="V917" s="11">
        <v>149230.0</v>
      </c>
      <c r="W917" s="11">
        <v>119880.0</v>
      </c>
      <c r="X917" s="11">
        <v>126030.0</v>
      </c>
      <c r="Y917" s="11">
        <v>-298090.0</v>
      </c>
      <c r="Z917" s="11">
        <v>-181330.0</v>
      </c>
      <c r="AA917" s="11">
        <v>-92550.0</v>
      </c>
      <c r="AB917" s="11">
        <v>-23530.0</v>
      </c>
      <c r="AC917" s="12"/>
      <c r="AD917" s="11">
        <v>-290060.0</v>
      </c>
      <c r="AE917" s="11">
        <v>-176060.0</v>
      </c>
      <c r="AF917" s="11">
        <v>-88100.0</v>
      </c>
      <c r="AG917" s="11">
        <v>-21000.0</v>
      </c>
      <c r="AH917" s="11">
        <v>-83310.0</v>
      </c>
      <c r="AI917" s="11">
        <v>-257730.0</v>
      </c>
      <c r="AJ917" s="11">
        <v>-152450.0</v>
      </c>
      <c r="AK917" s="11">
        <v>-67880.0</v>
      </c>
      <c r="AL917" s="11">
        <v>-65610.0</v>
      </c>
      <c r="AM917" s="11">
        <v>-75780.0</v>
      </c>
      <c r="AN917" s="11">
        <v>-290060.0</v>
      </c>
      <c r="AO917" s="11">
        <v>-176060.0</v>
      </c>
      <c r="AP917" s="11">
        <v>-88100.0</v>
      </c>
      <c r="AQ917" s="11">
        <v>-21000.0</v>
      </c>
      <c r="AR917" s="11">
        <v>-83310.0</v>
      </c>
      <c r="AS917" s="11">
        <v>-204800.0</v>
      </c>
      <c r="AT917" s="11">
        <v>-155590.0</v>
      </c>
      <c r="AU917" s="11">
        <v>-30360.0</v>
      </c>
      <c r="AV917" s="11">
        <v>7890.0</v>
      </c>
      <c r="AW917" s="11">
        <v>-71570.0</v>
      </c>
      <c r="AX917" s="11">
        <v>-1780.0</v>
      </c>
      <c r="AY917" s="11">
        <v>-9020.0</v>
      </c>
      <c r="AZ917" s="11">
        <v>-17130.0</v>
      </c>
      <c r="BA917" s="11">
        <v>-5610.0</v>
      </c>
      <c r="BB917" s="11">
        <v>-4070.0</v>
      </c>
      <c r="BC917" s="12"/>
      <c r="BD917" s="12"/>
      <c r="BE917" s="12"/>
      <c r="BF917" s="12"/>
      <c r="BG917" s="12"/>
      <c r="BH917" s="11">
        <v>521640.0</v>
      </c>
      <c r="BI917" s="11">
        <v>422410.0</v>
      </c>
      <c r="BJ917" s="11">
        <v>345080.0</v>
      </c>
      <c r="BK917" s="11">
        <v>353150.0</v>
      </c>
      <c r="BL917" s="11">
        <v>350040.0</v>
      </c>
      <c r="BM917" s="11">
        <v>8010.0</v>
      </c>
      <c r="BN917" s="11">
        <v>11370.0</v>
      </c>
      <c r="BO917" s="11">
        <v>15050.0</v>
      </c>
      <c r="BP917" s="11">
        <v>70240.0</v>
      </c>
      <c r="BQ917" s="11">
        <v>21190.0</v>
      </c>
      <c r="BR917" s="12"/>
      <c r="BS917" s="12"/>
      <c r="BT917" s="12"/>
      <c r="BU917" s="12"/>
      <c r="BV917" s="12"/>
      <c r="BW917" s="11">
        <v>539130.0</v>
      </c>
      <c r="BX917" s="11">
        <v>441420.0</v>
      </c>
      <c r="BY917" s="11">
        <v>366930.0</v>
      </c>
      <c r="BZ917" s="11">
        <v>428000.0</v>
      </c>
      <c r="CA917" s="11">
        <v>374710.0</v>
      </c>
      <c r="CB917" s="11">
        <v>11500.0</v>
      </c>
      <c r="CC917" s="11">
        <v>20940.0</v>
      </c>
      <c r="CD917" s="11">
        <v>29920.0</v>
      </c>
      <c r="CE917" s="11">
        <v>20850.0</v>
      </c>
      <c r="CF917" s="11">
        <v>21900.0</v>
      </c>
      <c r="CG917" s="12"/>
      <c r="CH917" s="12"/>
      <c r="CI917" s="12"/>
      <c r="CJ917" s="12"/>
      <c r="CK917" s="12"/>
      <c r="CL917" s="11">
        <v>618370.0</v>
      </c>
      <c r="CM917" s="11">
        <v>531560.0</v>
      </c>
      <c r="CN917" s="11">
        <v>459430.0</v>
      </c>
      <c r="CO917" s="11">
        <v>477740.0</v>
      </c>
      <c r="CP917" s="11">
        <v>421040.0</v>
      </c>
      <c r="CQ917" s="11">
        <v>14140.0</v>
      </c>
      <c r="CR917" s="11">
        <v>9350.0</v>
      </c>
      <c r="CS917" s="11">
        <v>11460.0</v>
      </c>
      <c r="CT917" s="11">
        <v>3630.0</v>
      </c>
      <c r="CU917" s="11">
        <v>4050.0</v>
      </c>
      <c r="CV917" s="11">
        <v>106100.0</v>
      </c>
      <c r="CW917" s="11">
        <v>5450.0</v>
      </c>
      <c r="CX917" s="12"/>
      <c r="CY917" s="12"/>
      <c r="CZ917" s="12"/>
      <c r="DA917" s="12"/>
      <c r="DB917" s="11">
        <v>106100.0</v>
      </c>
      <c r="DC917" s="11">
        <v>51510.0</v>
      </c>
      <c r="DD917" s="11">
        <v>44490.0</v>
      </c>
      <c r="DE917" s="11">
        <v>70680.0</v>
      </c>
      <c r="DF917" s="11">
        <v>163910.0</v>
      </c>
      <c r="DG917" s="11">
        <v>70560.0</v>
      </c>
      <c r="DH917" s="11">
        <v>85280.0</v>
      </c>
      <c r="DI917" s="11">
        <v>105830.0</v>
      </c>
      <c r="DJ917" s="11">
        <v>51060.0</v>
      </c>
      <c r="DK917" s="11">
        <v>25320.0</v>
      </c>
      <c r="DL917" s="11">
        <v>64900.0</v>
      </c>
      <c r="DM917" s="11">
        <v>57840.0</v>
      </c>
      <c r="DN917" s="11">
        <v>21760.0</v>
      </c>
      <c r="DO917" s="11">
        <v>20660.0</v>
      </c>
      <c r="DP917" s="11">
        <v>34310.0</v>
      </c>
      <c r="DQ917" s="12"/>
      <c r="DR917" s="12"/>
      <c r="DS917" s="12"/>
      <c r="DT917" s="12"/>
      <c r="DU917" s="13"/>
      <c r="DV917" s="12"/>
      <c r="DW917" s="12"/>
      <c r="DX917" s="13"/>
      <c r="DY917" s="13"/>
      <c r="DZ917" s="11">
        <v>454460.0</v>
      </c>
      <c r="EA917" s="11">
        <v>461010.0</v>
      </c>
      <c r="EB917" s="11">
        <v>374150.0</v>
      </c>
      <c r="EC917" s="11">
        <v>371910.0</v>
      </c>
      <c r="ED917" s="11">
        <v>369980.0</v>
      </c>
      <c r="EE917" s="14">
        <v>0.258</v>
      </c>
      <c r="EF917" s="14">
        <v>1.229</v>
      </c>
      <c r="EG917" s="14">
        <v>-0.231</v>
      </c>
      <c r="EH917" s="14">
        <v>-0.089</v>
      </c>
    </row>
    <row r="918">
      <c r="A918" s="9">
        <f t="shared" si="2"/>
        <v>916</v>
      </c>
      <c r="B918" s="10" t="s">
        <v>1053</v>
      </c>
      <c r="C918" s="11">
        <v>218900.0</v>
      </c>
      <c r="D918" s="11">
        <v>185300.0</v>
      </c>
      <c r="E918" s="11">
        <v>224780.0</v>
      </c>
      <c r="F918" s="11">
        <v>242110.0</v>
      </c>
      <c r="G918" s="11">
        <v>213110.0</v>
      </c>
      <c r="H918" s="11">
        <v>173200.0</v>
      </c>
      <c r="I918" s="11">
        <v>386740.0</v>
      </c>
      <c r="J918" s="11">
        <v>40460.0</v>
      </c>
      <c r="K918" s="11">
        <v>44050.0</v>
      </c>
      <c r="L918" s="11">
        <v>39100.0</v>
      </c>
      <c r="M918" s="11">
        <v>31860.0</v>
      </c>
      <c r="N918" s="11">
        <v>69510.0</v>
      </c>
      <c r="O918" s="11">
        <v>38330.0</v>
      </c>
      <c r="P918" s="11">
        <v>38550.0</v>
      </c>
      <c r="Q918" s="11">
        <v>37110.0</v>
      </c>
      <c r="R918" s="11">
        <v>39910.0</v>
      </c>
      <c r="S918" s="11">
        <v>59500.0</v>
      </c>
      <c r="T918" s="11">
        <v>2710.0</v>
      </c>
      <c r="U918" s="11">
        <v>2840.0</v>
      </c>
      <c r="V918" s="11">
        <v>2560.0</v>
      </c>
      <c r="W918" s="11">
        <v>2940.0</v>
      </c>
      <c r="X918" s="11">
        <v>5830.0</v>
      </c>
      <c r="Y918" s="11">
        <v>-720.0</v>
      </c>
      <c r="Z918" s="11">
        <v>-5940.0</v>
      </c>
      <c r="AA918" s="11">
        <v>383.0</v>
      </c>
      <c r="AB918" s="11">
        <v>-9580.0</v>
      </c>
      <c r="AC918" s="11">
        <v>-1680.0</v>
      </c>
      <c r="AD918" s="11">
        <v>-5730.0</v>
      </c>
      <c r="AE918" s="11">
        <v>-12260.0</v>
      </c>
      <c r="AF918" s="11">
        <v>-7550.0</v>
      </c>
      <c r="AG918" s="11">
        <v>-18000.0</v>
      </c>
      <c r="AH918" s="11">
        <v>-4510.0</v>
      </c>
      <c r="AI918" s="11">
        <v>6830.0</v>
      </c>
      <c r="AJ918" s="11">
        <v>10490.0</v>
      </c>
      <c r="AK918" s="11">
        <v>4840.0</v>
      </c>
      <c r="AL918" s="11">
        <v>-3340.0</v>
      </c>
      <c r="AM918" s="11">
        <v>22090.0</v>
      </c>
      <c r="AN918" s="11">
        <v>-8490.0</v>
      </c>
      <c r="AO918" s="11">
        <v>-13180.0</v>
      </c>
      <c r="AP918" s="11">
        <v>-7070.0</v>
      </c>
      <c r="AQ918" s="11">
        <v>-23190.0</v>
      </c>
      <c r="AR918" s="11">
        <v>-4030.0</v>
      </c>
      <c r="AS918" s="11">
        <v>3240.0</v>
      </c>
      <c r="AT918" s="11">
        <v>1000.0</v>
      </c>
      <c r="AU918" s="11">
        <v>9080.0</v>
      </c>
      <c r="AV918" s="11">
        <v>-18640.0</v>
      </c>
      <c r="AW918" s="11">
        <v>9040.0</v>
      </c>
      <c r="AX918" s="11">
        <v>-1790.0</v>
      </c>
      <c r="AY918" s="11">
        <v>-1220.0</v>
      </c>
      <c r="AZ918" s="11">
        <v>-1090.0</v>
      </c>
      <c r="BA918" s="11">
        <v>-1250.0</v>
      </c>
      <c r="BB918" s="11">
        <v>-2600.0</v>
      </c>
      <c r="BC918" s="13"/>
      <c r="BD918" s="13"/>
      <c r="BE918" s="13"/>
      <c r="BF918" s="13"/>
      <c r="BG918" s="13"/>
      <c r="BH918" s="11">
        <v>23580.0</v>
      </c>
      <c r="BI918" s="11">
        <v>24510.0</v>
      </c>
      <c r="BJ918" s="11">
        <v>5370.0</v>
      </c>
      <c r="BK918" s="11">
        <v>5310.0</v>
      </c>
      <c r="BL918" s="11">
        <v>8580.0</v>
      </c>
      <c r="BM918" s="11">
        <v>36270.0</v>
      </c>
      <c r="BN918" s="11">
        <v>47820.0</v>
      </c>
      <c r="BO918" s="11">
        <v>48580.0</v>
      </c>
      <c r="BP918" s="11">
        <v>34060.0</v>
      </c>
      <c r="BQ918" s="11">
        <v>67030.0</v>
      </c>
      <c r="BR918" s="11">
        <v>58730.0</v>
      </c>
      <c r="BS918" s="11">
        <v>58020.0</v>
      </c>
      <c r="BT918" s="11">
        <v>54360.0</v>
      </c>
      <c r="BU918" s="11">
        <v>69490.0</v>
      </c>
      <c r="BV918" s="11">
        <v>119270.0</v>
      </c>
      <c r="BW918" s="11">
        <v>123420.0</v>
      </c>
      <c r="BX918" s="11">
        <v>131990.0</v>
      </c>
      <c r="BY918" s="11">
        <v>110320.0</v>
      </c>
      <c r="BZ918" s="11">
        <v>160130.0</v>
      </c>
      <c r="CA918" s="11">
        <v>202700.0</v>
      </c>
      <c r="CB918" s="11">
        <v>21620.0</v>
      </c>
      <c r="CC918" s="11">
        <v>20250.0</v>
      </c>
      <c r="CD918" s="11">
        <v>22040.0</v>
      </c>
      <c r="CE918" s="11">
        <v>21840.0</v>
      </c>
      <c r="CF918" s="11">
        <v>41990.0</v>
      </c>
      <c r="CG918" s="11">
        <v>32640.0</v>
      </c>
      <c r="CH918" s="11">
        <v>36300.0</v>
      </c>
      <c r="CI918" s="11">
        <v>43570.0</v>
      </c>
      <c r="CJ918" s="11">
        <v>39670.0</v>
      </c>
      <c r="CK918" s="11">
        <v>80090.0</v>
      </c>
      <c r="CL918" s="11">
        <v>195400.0</v>
      </c>
      <c r="CM918" s="11">
        <v>217250.0</v>
      </c>
      <c r="CN918" s="11">
        <v>225190.0</v>
      </c>
      <c r="CO918" s="11">
        <v>326950.0</v>
      </c>
      <c r="CP918" s="11">
        <v>406660.0</v>
      </c>
      <c r="CQ918" s="11">
        <v>30200.0</v>
      </c>
      <c r="CR918" s="11">
        <v>38270.0</v>
      </c>
      <c r="CS918" s="11">
        <v>36720.0</v>
      </c>
      <c r="CT918" s="11">
        <v>35900.0</v>
      </c>
      <c r="CU918" s="11">
        <v>61950.0</v>
      </c>
      <c r="CV918" s="11">
        <v>68080.0</v>
      </c>
      <c r="CW918" s="11">
        <v>920.0</v>
      </c>
      <c r="CX918" s="12"/>
      <c r="CY918" s="12"/>
      <c r="CZ918" s="12"/>
      <c r="DA918" s="11">
        <v>1800.0</v>
      </c>
      <c r="DB918" s="11">
        <v>68080.0</v>
      </c>
      <c r="DC918" s="11">
        <v>72950.0</v>
      </c>
      <c r="DD918" s="11">
        <v>79430.0</v>
      </c>
      <c r="DE918" s="11">
        <v>98500.0</v>
      </c>
      <c r="DF918" s="11">
        <v>115850.0</v>
      </c>
      <c r="DG918" s="11">
        <v>129250.0</v>
      </c>
      <c r="DH918" s="11">
        <v>154340.0</v>
      </c>
      <c r="DI918" s="11">
        <v>229330.0</v>
      </c>
      <c r="DJ918" s="11">
        <v>276360.0</v>
      </c>
      <c r="DK918" s="12"/>
      <c r="DL918" s="12"/>
      <c r="DM918" s="12">
        <v>14930.0</v>
      </c>
      <c r="DN918" s="12"/>
      <c r="DO918" s="11">
        <v>5750.0</v>
      </c>
      <c r="DP918" s="28">
        <v>40150.0</v>
      </c>
      <c r="DQ918" s="28">
        <v>49880.0</v>
      </c>
      <c r="DR918" s="28">
        <v>66350.0</v>
      </c>
      <c r="DS918" s="28">
        <v>79750.0</v>
      </c>
      <c r="DT918" s="28">
        <v>142750.0</v>
      </c>
      <c r="DU918" s="13"/>
      <c r="DV918" s="12"/>
      <c r="DW918" s="12"/>
      <c r="DX918" s="13"/>
      <c r="DY918" s="13"/>
      <c r="DZ918" s="11">
        <v>79550.0</v>
      </c>
      <c r="EA918" s="11">
        <v>88000.0</v>
      </c>
      <c r="EB918" s="11">
        <v>70850.0</v>
      </c>
      <c r="EC918" s="11">
        <v>72470.0</v>
      </c>
      <c r="ED918" s="11">
        <v>107010.0</v>
      </c>
      <c r="EE918" s="23">
        <v>0.0</v>
      </c>
      <c r="EF918" s="23">
        <v>0.0</v>
      </c>
      <c r="EG918" s="14">
        <v>5.0</v>
      </c>
      <c r="EH918" s="23">
        <v>1.75</v>
      </c>
    </row>
    <row r="919">
      <c r="A919" s="9">
        <f t="shared" si="2"/>
        <v>917</v>
      </c>
      <c r="B919" s="25" t="s">
        <v>1054</v>
      </c>
      <c r="C919" s="15">
        <v>2.087E7</v>
      </c>
      <c r="D919" s="15">
        <v>2.05E7</v>
      </c>
      <c r="E919" s="15">
        <v>1.98E7</v>
      </c>
      <c r="F919" s="15">
        <v>1.963E7</v>
      </c>
      <c r="G919" s="15">
        <v>1.949E7</v>
      </c>
      <c r="H919" s="15">
        <v>1.934E7</v>
      </c>
      <c r="I919" s="15">
        <v>1.885E7</v>
      </c>
      <c r="J919" s="15">
        <v>1.271E7</v>
      </c>
      <c r="K919" s="15">
        <v>1.211E7</v>
      </c>
      <c r="L919" s="15">
        <v>1.2E7</v>
      </c>
      <c r="M919" s="15">
        <v>1.162E7</v>
      </c>
      <c r="N919" s="15">
        <v>1.111E7</v>
      </c>
      <c r="O919" s="15">
        <v>2150000.0</v>
      </c>
      <c r="P919" s="15">
        <v>2640000.0</v>
      </c>
      <c r="Q919" s="15">
        <v>2270000.0</v>
      </c>
      <c r="R919" s="15">
        <v>2560000.0</v>
      </c>
      <c r="S919" s="15">
        <v>2580000.0</v>
      </c>
      <c r="T919" s="15">
        <v>168000.0</v>
      </c>
      <c r="U919" s="15">
        <v>252000.0</v>
      </c>
      <c r="V919" s="15">
        <v>241000.0</v>
      </c>
      <c r="W919" s="15">
        <v>203000.0</v>
      </c>
      <c r="X919" s="15">
        <v>186000.0</v>
      </c>
      <c r="Y919" s="15">
        <v>284000.0</v>
      </c>
      <c r="Z919" s="15">
        <v>-384000.0</v>
      </c>
      <c r="AA919" s="15">
        <v>275000.0</v>
      </c>
      <c r="AB919" s="15">
        <v>2.178E7</v>
      </c>
      <c r="AC919" s="15">
        <v>-390000.0</v>
      </c>
      <c r="AD919" s="15">
        <v>766000.0</v>
      </c>
      <c r="AE919" s="15">
        <v>9340000.0</v>
      </c>
      <c r="AF919" s="15">
        <v>9830000.0</v>
      </c>
      <c r="AG919" s="15">
        <v>2.185E7</v>
      </c>
      <c r="AH919" s="15">
        <v>8080000.0</v>
      </c>
      <c r="AI919" s="15">
        <v>1.079E7</v>
      </c>
      <c r="AJ919" s="15">
        <v>9690000.0</v>
      </c>
      <c r="AK919" s="15">
        <v>9950000.0</v>
      </c>
      <c r="AL919" s="15">
        <v>9260000.0</v>
      </c>
      <c r="AM919" s="15">
        <v>8720000.0</v>
      </c>
      <c r="AN919" s="15">
        <v>-1300000.0</v>
      </c>
      <c r="AO919" s="15">
        <v>6960000.0</v>
      </c>
      <c r="AP919" s="15">
        <v>1.021E7</v>
      </c>
      <c r="AQ919" s="15">
        <v>1.422E7</v>
      </c>
      <c r="AR919" s="15">
        <v>5230000.0</v>
      </c>
      <c r="AS919" s="15">
        <v>7840000.0</v>
      </c>
      <c r="AT919" s="15">
        <v>8390000.0</v>
      </c>
      <c r="AU919" s="15">
        <v>4900000.0</v>
      </c>
      <c r="AV919" s="15">
        <v>3790000.0</v>
      </c>
      <c r="AW919" s="15">
        <v>5810000.0</v>
      </c>
      <c r="AX919" s="15">
        <v>-246000.0</v>
      </c>
      <c r="AY919" s="15">
        <v>-238000.0</v>
      </c>
      <c r="AZ919" s="15">
        <v>-199000.0</v>
      </c>
      <c r="BA919" s="15">
        <v>-189000.0</v>
      </c>
      <c r="BB919" s="15">
        <v>-229000.0</v>
      </c>
      <c r="BC919" s="15">
        <v>-6070000.0</v>
      </c>
      <c r="BD919" s="15">
        <v>-5420000.0</v>
      </c>
      <c r="BE919" s="15">
        <v>-4810000.0</v>
      </c>
      <c r="BF919" s="15">
        <v>-4510000.0</v>
      </c>
      <c r="BG919" s="15">
        <v>-4180000.0</v>
      </c>
      <c r="BH919" s="15">
        <v>2120000.0</v>
      </c>
      <c r="BI919" s="15">
        <v>1390000.0</v>
      </c>
      <c r="BJ919" s="15">
        <v>1280000.0</v>
      </c>
      <c r="BK919" s="15">
        <v>4570000.0</v>
      </c>
      <c r="BL919" s="15">
        <v>2370000.0</v>
      </c>
      <c r="BM919" s="15">
        <v>268000.0</v>
      </c>
      <c r="BN919" s="15">
        <v>309000.0</v>
      </c>
      <c r="BO919" s="15">
        <v>603000.0</v>
      </c>
      <c r="BP919" s="15">
        <v>151000.0</v>
      </c>
      <c r="BQ919" s="15">
        <v>124000.0</v>
      </c>
      <c r="BR919" s="15">
        <v>2290000.0</v>
      </c>
      <c r="BS919" s="15">
        <v>2330000.0</v>
      </c>
      <c r="BT919" s="15">
        <v>2230000.0</v>
      </c>
      <c r="BU919" s="15">
        <v>2050000.0</v>
      </c>
      <c r="BV919" s="15">
        <v>2030000.0</v>
      </c>
      <c r="BW919" s="15">
        <v>4820000.0</v>
      </c>
      <c r="BX919" s="15">
        <v>4300000.0</v>
      </c>
      <c r="BY919" s="15">
        <v>4340000.0</v>
      </c>
      <c r="BZ919" s="15">
        <v>7260000.0</v>
      </c>
      <c r="CA919" s="15">
        <v>4910000.0</v>
      </c>
      <c r="CB919" s="15">
        <v>2000000.0</v>
      </c>
      <c r="CC919" s="15">
        <v>1940000.0</v>
      </c>
      <c r="CD919" s="15">
        <v>1910000.0</v>
      </c>
      <c r="CE919" s="15">
        <v>1960000.0</v>
      </c>
      <c r="CF919" s="15">
        <v>1980000.0</v>
      </c>
      <c r="CG919" s="15">
        <v>5180000.0</v>
      </c>
      <c r="CH919" s="15">
        <v>5200000.0</v>
      </c>
      <c r="CI919" s="15">
        <v>5310000.0</v>
      </c>
      <c r="CJ919" s="15">
        <v>5290000.0</v>
      </c>
      <c r="CK919" s="15">
        <v>5290000.0</v>
      </c>
      <c r="CL919" s="15">
        <v>4.927E7</v>
      </c>
      <c r="CM919" s="15">
        <v>5.546E7</v>
      </c>
      <c r="CN919" s="15">
        <v>4.32E7</v>
      </c>
      <c r="CO919" s="15">
        <v>4.593E7</v>
      </c>
      <c r="CP919" s="15">
        <v>3.146E7</v>
      </c>
      <c r="CQ919" s="15">
        <v>325000.0</v>
      </c>
      <c r="CR919" s="15">
        <v>399000.0</v>
      </c>
      <c r="CS919" s="15">
        <v>374000.0</v>
      </c>
      <c r="CT919" s="15">
        <v>425000.0</v>
      </c>
      <c r="CU919" s="15">
        <v>400000.0</v>
      </c>
      <c r="CV919" s="15">
        <v>8170000.0</v>
      </c>
      <c r="CW919" s="15"/>
      <c r="CX919" s="15">
        <v>1.27E7</v>
      </c>
      <c r="CY919" s="15"/>
      <c r="CZ919" s="15"/>
      <c r="DA919" s="15"/>
      <c r="DB919" s="15">
        <v>8170000.0</v>
      </c>
      <c r="DC919" s="15">
        <v>2.119E7</v>
      </c>
      <c r="DD919" s="15">
        <v>6790000.0</v>
      </c>
      <c r="DE919" s="15">
        <v>7380000.0</v>
      </c>
      <c r="DF919" s="15">
        <v>4.291E7</v>
      </c>
      <c r="DG919" s="15">
        <v>4.063E7</v>
      </c>
      <c r="DH919" s="15">
        <v>2.778E7</v>
      </c>
      <c r="DI919" s="15">
        <v>3.312E7</v>
      </c>
      <c r="DJ919" s="15">
        <v>2.855E7</v>
      </c>
      <c r="DK919" s="15">
        <v>2.362E7</v>
      </c>
      <c r="DL919" s="15">
        <v>3.054E7</v>
      </c>
      <c r="DM919" s="15">
        <v>1.799E7</v>
      </c>
      <c r="DN919" s="15">
        <v>1.896E7</v>
      </c>
      <c r="DO919" s="15">
        <v>6720000.0</v>
      </c>
      <c r="DP919" s="15">
        <v>2.704E7</v>
      </c>
      <c r="DQ919" s="15">
        <v>1.19E7</v>
      </c>
      <c r="DR919" s="15">
        <v>1.303E7</v>
      </c>
      <c r="DS919" s="15">
        <v>1.388E7</v>
      </c>
      <c r="DT919" s="15">
        <v>1.284E7</v>
      </c>
      <c r="DU919" s="13"/>
      <c r="DV919" s="12"/>
      <c r="DW919" s="12"/>
      <c r="DX919" s="13"/>
      <c r="DY919" s="13"/>
      <c r="DZ919" s="15">
        <v>6220000.0</v>
      </c>
      <c r="EA919" s="15">
        <v>1.479E7</v>
      </c>
      <c r="EB919" s="15">
        <v>1.538E7</v>
      </c>
      <c r="EC919" s="15">
        <v>1.277E7</v>
      </c>
      <c r="ED919" s="15">
        <v>2880000.0</v>
      </c>
      <c r="EE919" s="17">
        <v>0.029</v>
      </c>
      <c r="EF919" s="17">
        <v>0.055</v>
      </c>
      <c r="EG919" s="17">
        <v>0.028</v>
      </c>
      <c r="EH919" s="17">
        <v>0.044</v>
      </c>
    </row>
    <row r="920">
      <c r="A920" s="9">
        <f t="shared" si="2"/>
        <v>918</v>
      </c>
      <c r="B920" s="10" t="s">
        <v>1055</v>
      </c>
      <c r="C920" s="11">
        <v>2810000.0</v>
      </c>
      <c r="D920" s="11">
        <v>2410000.0</v>
      </c>
      <c r="E920" s="11">
        <v>2460000.0</v>
      </c>
      <c r="F920" s="11">
        <v>2030000.0</v>
      </c>
      <c r="G920" s="11">
        <v>1320000.0</v>
      </c>
      <c r="H920" s="11">
        <v>551990.0</v>
      </c>
      <c r="I920" s="11">
        <v>133920.0</v>
      </c>
      <c r="J920" s="11">
        <v>1210000.0</v>
      </c>
      <c r="K920" s="11">
        <v>925630.0</v>
      </c>
      <c r="L920" s="11">
        <v>667670.0</v>
      </c>
      <c r="M920" s="11">
        <v>308540.0</v>
      </c>
      <c r="N920" s="11">
        <v>101620.0</v>
      </c>
      <c r="O920" s="11">
        <v>747680.0</v>
      </c>
      <c r="P920" s="11">
        <v>470350.0</v>
      </c>
      <c r="Q920" s="11">
        <v>329040.0</v>
      </c>
      <c r="R920" s="11">
        <v>164750.0</v>
      </c>
      <c r="S920" s="11">
        <v>96720.0</v>
      </c>
      <c r="T920" s="11">
        <v>158470.0</v>
      </c>
      <c r="U920" s="11">
        <v>114950.0</v>
      </c>
      <c r="V920" s="11">
        <v>51670.0</v>
      </c>
      <c r="W920" s="11">
        <v>31340.0</v>
      </c>
      <c r="X920" s="11">
        <v>23250.0</v>
      </c>
      <c r="Y920" s="11">
        <v>462260.0</v>
      </c>
      <c r="Z920" s="11">
        <v>448750.0</v>
      </c>
      <c r="AA920" s="11">
        <v>334230.0</v>
      </c>
      <c r="AB920" s="11">
        <v>138040.0</v>
      </c>
      <c r="AC920" s="11"/>
      <c r="AD920" s="11">
        <v>559770.0</v>
      </c>
      <c r="AE920" s="11">
        <v>519800.0</v>
      </c>
      <c r="AF920" s="11">
        <v>379400.0</v>
      </c>
      <c r="AG920" s="11">
        <v>146620.0</v>
      </c>
      <c r="AH920" s="11">
        <v>13410.0</v>
      </c>
      <c r="AI920" s="11">
        <v>516080.0</v>
      </c>
      <c r="AJ920" s="11">
        <v>491740.0</v>
      </c>
      <c r="AK920" s="11">
        <v>351110.0</v>
      </c>
      <c r="AL920" s="11">
        <v>152180.0</v>
      </c>
      <c r="AM920" s="11">
        <v>11540.0</v>
      </c>
      <c r="AN920" s="11">
        <v>429950.0</v>
      </c>
      <c r="AO920" s="11">
        <v>425540.0</v>
      </c>
      <c r="AP920" s="11">
        <v>319650.0</v>
      </c>
      <c r="AQ920" s="11">
        <v>144960.0</v>
      </c>
      <c r="AR920" s="11">
        <v>13690.0</v>
      </c>
      <c r="AS920" s="11">
        <v>788570.0</v>
      </c>
      <c r="AT920" s="11">
        <v>503480.0</v>
      </c>
      <c r="AU920" s="11">
        <v>430650.0</v>
      </c>
      <c r="AV920" s="11">
        <v>217870.0</v>
      </c>
      <c r="AW920" s="11">
        <v>57190.0</v>
      </c>
      <c r="AX920" s="11">
        <v>-26990.0</v>
      </c>
      <c r="AY920" s="11">
        <v>-36700.0</v>
      </c>
      <c r="AZ920" s="11">
        <v>-35430.0</v>
      </c>
      <c r="BA920" s="11">
        <v>-7010.0</v>
      </c>
      <c r="BB920" s="11">
        <v>-13510.0</v>
      </c>
      <c r="BC920" s="11">
        <v>-126970.0</v>
      </c>
      <c r="BD920" s="11"/>
      <c r="BE920" s="11"/>
      <c r="BF920" s="11"/>
      <c r="BG920" s="11"/>
      <c r="BH920" s="11">
        <v>2140000.0</v>
      </c>
      <c r="BI920" s="11">
        <v>1640000.0</v>
      </c>
      <c r="BJ920" s="11">
        <v>1090000.0</v>
      </c>
      <c r="BK920" s="11">
        <v>651340.0</v>
      </c>
      <c r="BL920" s="11">
        <v>469500.0</v>
      </c>
      <c r="BM920" s="11">
        <v>75060.0</v>
      </c>
      <c r="BN920" s="11">
        <v>127550.0</v>
      </c>
      <c r="BO920" s="11">
        <v>56890.0</v>
      </c>
      <c r="BP920" s="11">
        <v>43960.0</v>
      </c>
      <c r="BQ920" s="11">
        <v>24970.0</v>
      </c>
      <c r="BR920" s="11"/>
      <c r="BS920" s="11"/>
      <c r="BT920" s="11"/>
      <c r="BU920" s="11"/>
      <c r="BV920" s="11"/>
      <c r="BW920" s="11">
        <v>2260000.0</v>
      </c>
      <c r="BX920" s="11">
        <v>1830000.0</v>
      </c>
      <c r="BY920" s="11">
        <v>1180000.0</v>
      </c>
      <c r="BZ920" s="11">
        <v>715610.0</v>
      </c>
      <c r="CA920" s="11">
        <v>501420.0</v>
      </c>
      <c r="CB920" s="11">
        <v>77080.0</v>
      </c>
      <c r="CC920" s="11">
        <v>56440.0</v>
      </c>
      <c r="CD920" s="11">
        <v>39760.0</v>
      </c>
      <c r="CE920" s="11">
        <v>13930.0</v>
      </c>
      <c r="CF920" s="11">
        <v>16260.0</v>
      </c>
      <c r="CG920" s="11">
        <v>626010.0</v>
      </c>
      <c r="CH920" s="11">
        <v>627300.0</v>
      </c>
      <c r="CI920" s="11">
        <v>3400.0</v>
      </c>
      <c r="CJ920" s="11"/>
      <c r="CK920" s="11"/>
      <c r="CL920" s="11">
        <v>3230000.0</v>
      </c>
      <c r="CM920" s="11">
        <v>2760000.0</v>
      </c>
      <c r="CN920" s="11">
        <v>1300000.0</v>
      </c>
      <c r="CO920" s="11">
        <v>769760.0</v>
      </c>
      <c r="CP920" s="11">
        <v>542160.0</v>
      </c>
      <c r="CQ920" s="11">
        <v>102550.0</v>
      </c>
      <c r="CR920" s="11">
        <v>104630.0</v>
      </c>
      <c r="CS920" s="11">
        <v>74530.0</v>
      </c>
      <c r="CT920" s="11">
        <v>40460.0</v>
      </c>
      <c r="CU920" s="11">
        <v>10450.0</v>
      </c>
      <c r="CV920" s="11">
        <v>374230.0</v>
      </c>
      <c r="CW920" s="11">
        <v>19400.0</v>
      </c>
      <c r="CX920" s="12"/>
      <c r="CY920" s="11"/>
      <c r="CZ920" s="13"/>
      <c r="DA920" s="12"/>
      <c r="DB920" s="11">
        <v>374230.0</v>
      </c>
      <c r="DC920" s="11">
        <v>392720.0</v>
      </c>
      <c r="DD920" s="11">
        <v>260040.0</v>
      </c>
      <c r="DE920" s="11">
        <v>133700.0</v>
      </c>
      <c r="DF920" s="11">
        <v>1260000.0</v>
      </c>
      <c r="DG920" s="11">
        <v>1160000.0</v>
      </c>
      <c r="DH920" s="11">
        <v>264210.0</v>
      </c>
      <c r="DI920" s="11">
        <v>135720.0</v>
      </c>
      <c r="DJ920" s="11">
        <v>73770.0</v>
      </c>
      <c r="DK920" s="11">
        <v>114260.0</v>
      </c>
      <c r="DL920" s="11">
        <v>68700.0</v>
      </c>
      <c r="DM920" s="11">
        <v>46990.0</v>
      </c>
      <c r="DN920" s="11">
        <v>32850.0</v>
      </c>
      <c r="DO920" s="11">
        <v>20060.0</v>
      </c>
      <c r="DP920" s="11">
        <v>719360.0</v>
      </c>
      <c r="DQ920" s="11">
        <v>710360.0</v>
      </c>
      <c r="DR920" s="11"/>
      <c r="DS920" s="11"/>
      <c r="DT920" s="11"/>
      <c r="DU920" s="13"/>
      <c r="DV920" s="12"/>
      <c r="DW920" s="12"/>
      <c r="DX920" s="12"/>
      <c r="DY920" s="12"/>
      <c r="DZ920" s="11">
        <v>1940000.0</v>
      </c>
      <c r="EA920" s="11">
        <v>1590000.0</v>
      </c>
      <c r="EB920" s="11">
        <v>1030000.0</v>
      </c>
      <c r="EC920" s="11">
        <v>634040.0</v>
      </c>
      <c r="ED920" s="11">
        <v>468390.0</v>
      </c>
      <c r="EE920" s="14">
        <v>0.054</v>
      </c>
      <c r="EF920" s="14">
        <v>0.164</v>
      </c>
      <c r="EG920" s="14">
        <v>0.116</v>
      </c>
      <c r="EH920" s="14">
        <v>0.1</v>
      </c>
    </row>
    <row r="921">
      <c r="A921" s="9">
        <f t="shared" si="2"/>
        <v>919</v>
      </c>
      <c r="B921" s="22" t="s">
        <v>1056</v>
      </c>
      <c r="C921" s="11">
        <v>270310.0</v>
      </c>
      <c r="D921" s="11">
        <v>433400.0</v>
      </c>
      <c r="E921" s="11">
        <v>71760.0</v>
      </c>
      <c r="F921" s="11">
        <v>76440.0</v>
      </c>
      <c r="G921" s="11">
        <v>66790.0</v>
      </c>
      <c r="H921" s="11">
        <v>49740.0</v>
      </c>
      <c r="I921" s="11">
        <v>106220.0</v>
      </c>
      <c r="J921" s="11">
        <v>56210.0</v>
      </c>
      <c r="K921" s="11">
        <v>70900.0</v>
      </c>
      <c r="L921" s="12"/>
      <c r="M921" s="12"/>
      <c r="N921" s="12"/>
      <c r="O921" s="11">
        <v>162660.0</v>
      </c>
      <c r="P921" s="11">
        <v>111770.0</v>
      </c>
      <c r="Q921" s="11">
        <v>119880.0</v>
      </c>
      <c r="R921" s="11">
        <v>95930.0</v>
      </c>
      <c r="S921" s="11">
        <v>125650.0</v>
      </c>
      <c r="T921" s="11">
        <v>103860.0</v>
      </c>
      <c r="U921" s="11">
        <v>83990.0</v>
      </c>
      <c r="V921" s="11">
        <v>103310.0</v>
      </c>
      <c r="W921" s="11">
        <v>82190.0</v>
      </c>
      <c r="X921" s="11">
        <v>71830.0</v>
      </c>
      <c r="Y921" s="11">
        <v>-105160.0</v>
      </c>
      <c r="Z921" s="11">
        <v>-61220.0</v>
      </c>
      <c r="AA921" s="11">
        <v>-67900.0</v>
      </c>
      <c r="AB921" s="11">
        <v>-60060.0</v>
      </c>
      <c r="AC921" s="11">
        <v>18320.0</v>
      </c>
      <c r="AD921" s="11">
        <v>-106520.0</v>
      </c>
      <c r="AE921" s="11">
        <v>-60480.0</v>
      </c>
      <c r="AF921" s="11">
        <v>-68790.0</v>
      </c>
      <c r="AG921" s="11">
        <v>-59860.0</v>
      </c>
      <c r="AH921" s="11">
        <v>20630.0</v>
      </c>
      <c r="AI921" s="11">
        <v>-100190.0</v>
      </c>
      <c r="AJ921" s="11">
        <v>-37120.0</v>
      </c>
      <c r="AK921" s="11">
        <v>-53090.0</v>
      </c>
      <c r="AL921" s="11">
        <v>-46180.0</v>
      </c>
      <c r="AM921" s="11">
        <v>19460.0</v>
      </c>
      <c r="AN921" s="11">
        <v>-103010.0</v>
      </c>
      <c r="AO921" s="11">
        <v>-56170.0</v>
      </c>
      <c r="AP921" s="11">
        <v>-69830.0</v>
      </c>
      <c r="AQ921" s="11">
        <v>-60380.0</v>
      </c>
      <c r="AR921" s="11">
        <v>14900.0</v>
      </c>
      <c r="AS921" s="11">
        <v>-81060.0</v>
      </c>
      <c r="AT921" s="11">
        <v>-33270.0</v>
      </c>
      <c r="AU921" s="11">
        <v>-38190.0</v>
      </c>
      <c r="AV921" s="11">
        <v>-44610.0</v>
      </c>
      <c r="AW921" s="11">
        <v>-22050.0</v>
      </c>
      <c r="AX921" s="11">
        <v>-3670.0</v>
      </c>
      <c r="AY921" s="11">
        <v>-2470.0</v>
      </c>
      <c r="AZ921" s="11">
        <v>-13150.0</v>
      </c>
      <c r="BA921" s="11">
        <v>-2910.0</v>
      </c>
      <c r="BB921" s="11">
        <v>-8770.0</v>
      </c>
      <c r="BC921" s="12"/>
      <c r="BD921" s="12"/>
      <c r="BE921" s="12"/>
      <c r="BF921" s="12"/>
      <c r="BG921" s="12"/>
      <c r="BH921" s="11">
        <v>272500.0</v>
      </c>
      <c r="BI921" s="11">
        <v>358960.0</v>
      </c>
      <c r="BJ921" s="11">
        <v>163530.0</v>
      </c>
      <c r="BK921" s="11">
        <v>144220.0</v>
      </c>
      <c r="BL921" s="11">
        <v>188340.0</v>
      </c>
      <c r="BM921" s="11">
        <v>20340.0</v>
      </c>
      <c r="BN921" s="11">
        <v>20740.0</v>
      </c>
      <c r="BO921" s="11">
        <v>161030.0</v>
      </c>
      <c r="BP921" s="11">
        <v>149880.0</v>
      </c>
      <c r="BQ921" s="11">
        <v>108180.0</v>
      </c>
      <c r="BR921" s="11">
        <v>288.0</v>
      </c>
      <c r="BS921" s="11">
        <v>245.0</v>
      </c>
      <c r="BT921" s="11">
        <v>301.0</v>
      </c>
      <c r="BU921" s="11">
        <v>310.0</v>
      </c>
      <c r="BV921" s="11">
        <v>369.0</v>
      </c>
      <c r="BW921" s="11">
        <v>303690.0</v>
      </c>
      <c r="BX921" s="11">
        <v>388910.0</v>
      </c>
      <c r="BY921" s="11">
        <v>340680.0</v>
      </c>
      <c r="BZ921" s="11">
        <v>308060.0</v>
      </c>
      <c r="CA921" s="11">
        <v>300120.0</v>
      </c>
      <c r="CB921" s="11">
        <v>47810.0</v>
      </c>
      <c r="CC921" s="11">
        <v>3530.0</v>
      </c>
      <c r="CD921" s="11">
        <v>3530.0</v>
      </c>
      <c r="CE921" s="11">
        <v>4190.0</v>
      </c>
      <c r="CF921" s="11">
        <v>3470.0</v>
      </c>
      <c r="CG921" s="11">
        <v>3680.0</v>
      </c>
      <c r="CH921" s="11">
        <v>3680.0</v>
      </c>
      <c r="CI921" s="11">
        <v>7360.0</v>
      </c>
      <c r="CJ921" s="11">
        <v>7370.0</v>
      </c>
      <c r="CK921" s="11">
        <v>7370.0</v>
      </c>
      <c r="CL921" s="11">
        <v>496440.0</v>
      </c>
      <c r="CM921" s="11">
        <v>538760.0</v>
      </c>
      <c r="CN921" s="11">
        <v>415400.0</v>
      </c>
      <c r="CO921" s="11">
        <v>463600.0</v>
      </c>
      <c r="CP921" s="11">
        <v>400080.0</v>
      </c>
      <c r="CQ921" s="11">
        <v>10660.0</v>
      </c>
      <c r="CR921" s="11">
        <v>7220.0</v>
      </c>
      <c r="CS921" s="11">
        <v>4620.0</v>
      </c>
      <c r="CT921" s="11">
        <v>8460.0</v>
      </c>
      <c r="CU921" s="11">
        <v>237.0</v>
      </c>
      <c r="CV921" s="11">
        <v>61560.0</v>
      </c>
      <c r="CW921" s="11">
        <v>12.0</v>
      </c>
      <c r="CX921" s="12"/>
      <c r="CY921" s="12"/>
      <c r="CZ921" s="12"/>
      <c r="DA921" s="12"/>
      <c r="DB921" s="11">
        <v>61560.0</v>
      </c>
      <c r="DC921" s="11">
        <v>45920.0</v>
      </c>
      <c r="DD921" s="11">
        <v>47700.0</v>
      </c>
      <c r="DE921" s="11">
        <v>38300.0</v>
      </c>
      <c r="DF921" s="11">
        <v>101740.0</v>
      </c>
      <c r="DG921" s="11">
        <v>50390.0</v>
      </c>
      <c r="DH921" s="11">
        <v>56730.0</v>
      </c>
      <c r="DI921" s="11">
        <v>48140.0</v>
      </c>
      <c r="DJ921" s="11">
        <v>37340.0</v>
      </c>
      <c r="DK921" s="11">
        <v>99000.0</v>
      </c>
      <c r="DL921" s="11">
        <v>95980.0</v>
      </c>
      <c r="DM921" s="11">
        <v>700.0</v>
      </c>
      <c r="DN921" s="11">
        <v>900.0</v>
      </c>
      <c r="DO921" s="24">
        <v>800.0</v>
      </c>
      <c r="DP921" s="11">
        <v>40040.0</v>
      </c>
      <c r="DQ921" s="11">
        <v>72.0</v>
      </c>
      <c r="DR921" s="11">
        <v>88.0</v>
      </c>
      <c r="DS921" s="11">
        <v>218.0</v>
      </c>
      <c r="DT921" s="11">
        <v>225.0</v>
      </c>
      <c r="DU921" s="13"/>
      <c r="DV921" s="12"/>
      <c r="DW921" s="12"/>
      <c r="DX921" s="13"/>
      <c r="DY921" s="13"/>
      <c r="DZ921" s="11">
        <v>394700.0</v>
      </c>
      <c r="EA921" s="11">
        <v>488370.0</v>
      </c>
      <c r="EB921" s="11">
        <v>358670.0</v>
      </c>
      <c r="EC921" s="11">
        <v>415460.0</v>
      </c>
      <c r="ED921" s="11">
        <v>362740.0</v>
      </c>
      <c r="EE921" s="14">
        <v>0.178</v>
      </c>
      <c r="EF921" s="14">
        <v>0.546</v>
      </c>
      <c r="EG921" s="14">
        <v>0.799</v>
      </c>
      <c r="EH921" s="23"/>
    </row>
    <row r="922">
      <c r="A922" s="9">
        <f t="shared" si="2"/>
        <v>920</v>
      </c>
      <c r="B922" s="22" t="s">
        <v>1057</v>
      </c>
      <c r="C922" s="11">
        <v>34520.0</v>
      </c>
      <c r="D922" s="11">
        <v>35100.0</v>
      </c>
      <c r="E922" s="11">
        <v>16980.0</v>
      </c>
      <c r="F922" s="11">
        <v>3360.0</v>
      </c>
      <c r="G922" s="12"/>
      <c r="H922" s="12"/>
      <c r="I922" s="12"/>
      <c r="J922" s="12"/>
      <c r="K922" s="12"/>
      <c r="L922" s="11">
        <v>-434.0</v>
      </c>
      <c r="M922" s="12"/>
      <c r="N922" s="12"/>
      <c r="O922" s="11">
        <v>63140.0</v>
      </c>
      <c r="P922" s="11">
        <v>27450.0</v>
      </c>
      <c r="Q922" s="11">
        <v>16500.0</v>
      </c>
      <c r="R922" s="12"/>
      <c r="S922" s="12"/>
      <c r="T922" s="11">
        <v>52910.0</v>
      </c>
      <c r="U922" s="11">
        <v>22630.0</v>
      </c>
      <c r="V922" s="11">
        <v>14100.0</v>
      </c>
      <c r="W922" s="12"/>
      <c r="X922" s="12"/>
      <c r="Y922" s="12"/>
      <c r="Z922" s="12"/>
      <c r="AA922" s="12"/>
      <c r="AB922" s="12"/>
      <c r="AC922" s="12"/>
      <c r="AD922" s="11">
        <v>-42420.0</v>
      </c>
      <c r="AE922" s="11">
        <v>-23830.0</v>
      </c>
      <c r="AF922" s="11">
        <v>-16920.0</v>
      </c>
      <c r="AG922" s="12"/>
      <c r="AH922" s="12"/>
      <c r="AI922" s="11">
        <v>-46170.0</v>
      </c>
      <c r="AJ922" s="11">
        <v>-24090.0</v>
      </c>
      <c r="AK922" s="11">
        <v>-16500.0</v>
      </c>
      <c r="AL922" s="12"/>
      <c r="AM922" s="12"/>
      <c r="AN922" s="11">
        <v>-43330.0</v>
      </c>
      <c r="AO922" s="11">
        <v>-23830.0</v>
      </c>
      <c r="AP922" s="11">
        <v>-16920.0</v>
      </c>
      <c r="AQ922" s="12"/>
      <c r="AR922" s="12"/>
      <c r="AS922" s="11">
        <v>-41650.0</v>
      </c>
      <c r="AT922" s="11">
        <v>76340.0</v>
      </c>
      <c r="AU922" s="11">
        <v>-15420.0</v>
      </c>
      <c r="AV922" s="12"/>
      <c r="AW922" s="12"/>
      <c r="AX922" s="11">
        <v>-2160.0</v>
      </c>
      <c r="AY922" s="11">
        <v>-659.0</v>
      </c>
      <c r="AZ922" s="11">
        <v>-945.0</v>
      </c>
      <c r="BA922" s="12"/>
      <c r="BB922" s="12"/>
      <c r="BC922" s="12"/>
      <c r="BD922" s="12"/>
      <c r="BE922" s="12"/>
      <c r="BF922" s="12"/>
      <c r="BG922" s="12"/>
      <c r="BH922" s="11">
        <v>237020.0</v>
      </c>
      <c r="BI922" s="11">
        <v>185900.0</v>
      </c>
      <c r="BJ922" s="11">
        <v>20750.0</v>
      </c>
      <c r="BK922" s="12"/>
      <c r="BL922" s="12"/>
      <c r="BM922" s="11">
        <v>3470.0</v>
      </c>
      <c r="BN922" s="12"/>
      <c r="BO922" s="12"/>
      <c r="BP922" s="12"/>
      <c r="BQ922" s="12"/>
      <c r="BR922" s="12"/>
      <c r="BS922" s="12"/>
      <c r="BT922" s="12"/>
      <c r="BU922" s="12"/>
      <c r="BV922" s="12"/>
      <c r="BW922" s="11">
        <v>243570.0</v>
      </c>
      <c r="BX922" s="11">
        <v>187120.0</v>
      </c>
      <c r="BY922" s="11">
        <v>21230.0</v>
      </c>
      <c r="BZ922" s="12"/>
      <c r="CA922" s="12"/>
      <c r="CB922" s="11">
        <v>3450.0</v>
      </c>
      <c r="CC922" s="11">
        <v>1840.0</v>
      </c>
      <c r="CD922" s="11">
        <v>1730.0</v>
      </c>
      <c r="CE922" s="12"/>
      <c r="CF922" s="12"/>
      <c r="CG922" s="12"/>
      <c r="CH922" s="12"/>
      <c r="CI922" s="12"/>
      <c r="CJ922" s="12"/>
      <c r="CK922" s="12"/>
      <c r="CL922" s="11">
        <v>247440.0</v>
      </c>
      <c r="CM922" s="11">
        <v>189310.0</v>
      </c>
      <c r="CN922" s="11">
        <v>23240.0</v>
      </c>
      <c r="CO922" s="12"/>
      <c r="CP922" s="12"/>
      <c r="CQ922" s="11">
        <v>5170.0</v>
      </c>
      <c r="CR922" s="11">
        <v>1750.0</v>
      </c>
      <c r="CS922" s="11">
        <v>883.0</v>
      </c>
      <c r="CT922" s="12"/>
      <c r="CU922" s="12"/>
      <c r="CV922" s="11">
        <v>35350.0</v>
      </c>
      <c r="CW922" s="12"/>
      <c r="CX922" s="12"/>
      <c r="CY922" s="12"/>
      <c r="CZ922" s="12"/>
      <c r="DA922" s="12"/>
      <c r="DB922" s="11">
        <v>35350.0</v>
      </c>
      <c r="DC922" s="11">
        <v>34900.0</v>
      </c>
      <c r="DD922" s="11">
        <v>2520.0</v>
      </c>
      <c r="DE922" s="12"/>
      <c r="DF922" s="11">
        <v>106520.0</v>
      </c>
      <c r="DG922" s="11">
        <v>241860.0</v>
      </c>
      <c r="DH922" s="11">
        <v>52940.0</v>
      </c>
      <c r="DI922" s="12"/>
      <c r="DJ922" s="12"/>
      <c r="DK922" s="11">
        <v>275.0</v>
      </c>
      <c r="DL922" s="11">
        <v>275.0</v>
      </c>
      <c r="DM922" s="11">
        <v>275.0</v>
      </c>
      <c r="DN922" s="12"/>
      <c r="DO922" s="12"/>
      <c r="DP922" s="12"/>
      <c r="DQ922" s="11">
        <v>139810.0</v>
      </c>
      <c r="DR922" s="11">
        <v>50000.0</v>
      </c>
      <c r="DS922" s="12"/>
      <c r="DT922" s="12"/>
      <c r="DU922" s="12"/>
      <c r="DV922" s="12"/>
      <c r="DW922" s="13"/>
      <c r="DX922" s="12"/>
      <c r="DY922" s="12"/>
      <c r="DZ922" s="11">
        <v>140920.0</v>
      </c>
      <c r="EA922" s="11">
        <v>-52550.0</v>
      </c>
      <c r="EB922" s="11">
        <v>-29690.0</v>
      </c>
      <c r="EC922" s="12"/>
      <c r="ED922" s="12"/>
      <c r="EE922" s="14">
        <v>0.709</v>
      </c>
      <c r="EF922" s="14">
        <v>1.08</v>
      </c>
      <c r="EG922" s="14">
        <v>0.071</v>
      </c>
      <c r="EH922" s="14">
        <v>-0.165</v>
      </c>
    </row>
    <row r="923">
      <c r="A923" s="9">
        <f t="shared" si="2"/>
        <v>921</v>
      </c>
      <c r="B923" s="25" t="s">
        <v>1058</v>
      </c>
      <c r="C923" s="15">
        <v>8840000.0</v>
      </c>
      <c r="D923" s="15">
        <v>8260000.0</v>
      </c>
      <c r="E923" s="15">
        <v>8910000.0</v>
      </c>
      <c r="F923" s="15">
        <v>9590000.0</v>
      </c>
      <c r="G923" s="15">
        <v>7410000.0</v>
      </c>
      <c r="H923" s="15">
        <v>7160000.0</v>
      </c>
      <c r="I923" s="15">
        <v>8900000.0</v>
      </c>
      <c r="J923" s="15">
        <v>857600.0</v>
      </c>
      <c r="K923" s="15">
        <v>1500000.0</v>
      </c>
      <c r="L923" s="15">
        <v>875800.0</v>
      </c>
      <c r="M923" s="15">
        <v>742800.0</v>
      </c>
      <c r="N923" s="15">
        <v>1750000.0</v>
      </c>
      <c r="O923" s="15">
        <v>354100.0</v>
      </c>
      <c r="P923" s="15">
        <v>341100.0</v>
      </c>
      <c r="Q923" s="15">
        <v>275300.0</v>
      </c>
      <c r="R923" s="15">
        <v>304200.0</v>
      </c>
      <c r="S923" s="15">
        <v>350200.0</v>
      </c>
      <c r="T923" s="15"/>
      <c r="U923" s="15"/>
      <c r="V923" s="15"/>
      <c r="W923" s="15"/>
      <c r="X923" s="15"/>
      <c r="Y923" s="15">
        <v>-1600000.0</v>
      </c>
      <c r="Z923" s="15">
        <v>1040000.0</v>
      </c>
      <c r="AA923" s="15">
        <v>541500.0</v>
      </c>
      <c r="AB923" s="15">
        <v>475200.0</v>
      </c>
      <c r="AC923" s="15">
        <v>1360000.0</v>
      </c>
      <c r="AD923" s="15">
        <v>-1260000.0</v>
      </c>
      <c r="AE923" s="15">
        <v>551500.0</v>
      </c>
      <c r="AF923" s="15">
        <v>374000.0</v>
      </c>
      <c r="AG923" s="15">
        <v>242400.0</v>
      </c>
      <c r="AH923" s="15">
        <v>1100000.0</v>
      </c>
      <c r="AI923" s="15">
        <v>1450000.0</v>
      </c>
      <c r="AJ923" s="15">
        <v>2120000.0</v>
      </c>
      <c r="AK923" s="15">
        <v>1290000.0</v>
      </c>
      <c r="AL923" s="15">
        <v>1190000.0</v>
      </c>
      <c r="AM923" s="15">
        <v>2170000.0</v>
      </c>
      <c r="AN923" s="15">
        <v>-1070000.0</v>
      </c>
      <c r="AO923" s="15">
        <v>470000.0</v>
      </c>
      <c r="AP923" s="15">
        <v>-107200.0</v>
      </c>
      <c r="AQ923" s="15">
        <v>297800.0</v>
      </c>
      <c r="AR923" s="15">
        <v>1000000.0</v>
      </c>
      <c r="AS923" s="15">
        <v>1100000.0</v>
      </c>
      <c r="AT923" s="15">
        <v>1410000.0</v>
      </c>
      <c r="AU923" s="15">
        <v>935500.0</v>
      </c>
      <c r="AV923" s="15">
        <v>1270000.0</v>
      </c>
      <c r="AW923" s="15">
        <v>1810000.0</v>
      </c>
      <c r="AX923" s="15">
        <v>-1270000.0</v>
      </c>
      <c r="AY923" s="15">
        <v>-954500.0</v>
      </c>
      <c r="AZ923" s="15">
        <v>-820100.0</v>
      </c>
      <c r="BA923" s="15">
        <v>-843100.0</v>
      </c>
      <c r="BB923" s="15">
        <v>-1000000.0</v>
      </c>
      <c r="BC923" s="15">
        <v>-67200.0</v>
      </c>
      <c r="BD923" s="15">
        <v>-38500.0</v>
      </c>
      <c r="BE923" s="15">
        <v>-210600.0</v>
      </c>
      <c r="BF923" s="15">
        <v>-385100.0</v>
      </c>
      <c r="BG923" s="15">
        <v>-384700.0</v>
      </c>
      <c r="BH923" s="15">
        <v>526900.0</v>
      </c>
      <c r="BI923" s="15">
        <v>855200.0</v>
      </c>
      <c r="BJ923" s="15">
        <v>2160000.0</v>
      </c>
      <c r="BK923" s="15">
        <v>673100.0</v>
      </c>
      <c r="BL923" s="15">
        <v>1280000.0</v>
      </c>
      <c r="BM923" s="15">
        <v>983400.0</v>
      </c>
      <c r="BN923" s="15">
        <v>987700.0</v>
      </c>
      <c r="BO923" s="15">
        <v>783900.0</v>
      </c>
      <c r="BP923" s="15">
        <v>774100.0</v>
      </c>
      <c r="BQ923" s="15">
        <v>924400.0</v>
      </c>
      <c r="BR923" s="15">
        <v>2080000.0</v>
      </c>
      <c r="BS923" s="15">
        <v>2270000.0</v>
      </c>
      <c r="BT923" s="15">
        <v>1550000.0</v>
      </c>
      <c r="BU923" s="15">
        <v>1390000.0</v>
      </c>
      <c r="BV923" s="15">
        <v>1560000.0</v>
      </c>
      <c r="BW923" s="15">
        <v>3720000.0</v>
      </c>
      <c r="BX923" s="15">
        <v>4240000.0</v>
      </c>
      <c r="BY923" s="15">
        <v>4620000.0</v>
      </c>
      <c r="BZ923" s="15">
        <v>3030000.0</v>
      </c>
      <c r="CA923" s="15">
        <v>3970000.0</v>
      </c>
      <c r="CB923" s="15">
        <v>1.188E7</v>
      </c>
      <c r="CC923" s="15">
        <v>1.175E7</v>
      </c>
      <c r="CD923" s="15">
        <v>9710000.0</v>
      </c>
      <c r="CE923" s="15">
        <v>9200000.0</v>
      </c>
      <c r="CF923" s="15">
        <v>8720000.0</v>
      </c>
      <c r="CG923" s="15">
        <v>1160000.0</v>
      </c>
      <c r="CH923" s="15">
        <v>1710000.0</v>
      </c>
      <c r="CI923" s="15">
        <v>1690000.0</v>
      </c>
      <c r="CJ923" s="15">
        <v>1630000.0</v>
      </c>
      <c r="CK923" s="15">
        <v>1600000.0</v>
      </c>
      <c r="CL923" s="15">
        <v>1.93E7</v>
      </c>
      <c r="CM923" s="15">
        <v>2.012E7</v>
      </c>
      <c r="CN923" s="15">
        <v>1.863E7</v>
      </c>
      <c r="CO923" s="15">
        <v>1.684E7</v>
      </c>
      <c r="CP923" s="15">
        <v>1.741E7</v>
      </c>
      <c r="CQ923" s="15">
        <v>1420000.0</v>
      </c>
      <c r="CR923" s="15">
        <v>1350000.0</v>
      </c>
      <c r="CS923" s="15">
        <v>927100.0</v>
      </c>
      <c r="CT923" s="15">
        <v>600600.0</v>
      </c>
      <c r="CU923" s="15">
        <v>1000000.0</v>
      </c>
      <c r="CV923" s="15">
        <v>2590000.0</v>
      </c>
      <c r="CW923" s="15">
        <v>108700.0</v>
      </c>
      <c r="CX923" s="15">
        <v>11500.0</v>
      </c>
      <c r="CY923" s="15">
        <v>6100.0</v>
      </c>
      <c r="CZ923" s="15">
        <v>100.0</v>
      </c>
      <c r="DA923" s="15">
        <v>25500.0</v>
      </c>
      <c r="DB923" s="15">
        <v>2590000.0</v>
      </c>
      <c r="DC923" s="15">
        <v>2480000.0</v>
      </c>
      <c r="DD923" s="15">
        <v>2030000.0</v>
      </c>
      <c r="DE923" s="15">
        <v>1480000.0</v>
      </c>
      <c r="DF923" s="15">
        <v>9930000.0</v>
      </c>
      <c r="DG923" s="15">
        <v>9510000.0</v>
      </c>
      <c r="DH923" s="15">
        <v>8990000.0</v>
      </c>
      <c r="DI923" s="15">
        <v>7220000.0</v>
      </c>
      <c r="DJ923" s="15">
        <v>7850000.0</v>
      </c>
      <c r="DK923" s="15">
        <v>1460000.0</v>
      </c>
      <c r="DL923" s="15">
        <v>1470000.0</v>
      </c>
      <c r="DM923" s="15">
        <v>1750000.0</v>
      </c>
      <c r="DN923" s="15">
        <v>1710000.0</v>
      </c>
      <c r="DO923" s="15">
        <v>1830000.0</v>
      </c>
      <c r="DP923" s="15">
        <v>4650000.0</v>
      </c>
      <c r="DQ923" s="15">
        <v>4490000.0</v>
      </c>
      <c r="DR923" s="15">
        <v>4880000.0</v>
      </c>
      <c r="DS923" s="15">
        <v>3780000.0</v>
      </c>
      <c r="DT923" s="15">
        <v>3790000.0</v>
      </c>
      <c r="DU923" s="15"/>
      <c r="DV923" s="15"/>
      <c r="DW923" s="15"/>
      <c r="DX923" s="15"/>
      <c r="DY923" s="15"/>
      <c r="DZ923" s="15">
        <v>9190000.0</v>
      </c>
      <c r="EA923" s="15">
        <v>1.04E7</v>
      </c>
      <c r="EB923" s="15">
        <v>9620000.0</v>
      </c>
      <c r="EC923" s="15">
        <v>9580000.0</v>
      </c>
      <c r="ED923" s="15">
        <v>9530000.0</v>
      </c>
      <c r="EE923" s="30"/>
      <c r="EF923" s="30"/>
      <c r="EG923" s="30">
        <v>0.25</v>
      </c>
      <c r="EH923" s="30">
        <v>-1.443</v>
      </c>
    </row>
    <row r="924">
      <c r="A924" s="9">
        <f t="shared" si="2"/>
        <v>922</v>
      </c>
      <c r="B924" s="25" t="s">
        <v>1059</v>
      </c>
      <c r="C924" s="15">
        <v>15360.0</v>
      </c>
      <c r="D924" s="15">
        <v>11770.0</v>
      </c>
      <c r="E924" s="15">
        <v>10090.0</v>
      </c>
      <c r="F924" s="15">
        <v>16600.0</v>
      </c>
      <c r="G924" s="15">
        <v>8840.0</v>
      </c>
      <c r="H924" s="15">
        <v>6020.0</v>
      </c>
      <c r="I924" s="15">
        <v>4390.0</v>
      </c>
      <c r="J924" s="15">
        <v>6160.0</v>
      </c>
      <c r="K924" s="15">
        <v>10140.0</v>
      </c>
      <c r="L924" s="15">
        <v>4040.0</v>
      </c>
      <c r="M924" s="15">
        <v>2840.0</v>
      </c>
      <c r="N924" s="15">
        <v>1600.0</v>
      </c>
      <c r="O924" s="15">
        <v>8200.0</v>
      </c>
      <c r="P924" s="15">
        <v>8110.0</v>
      </c>
      <c r="Q924" s="15">
        <v>12750.0</v>
      </c>
      <c r="R924" s="15">
        <v>23670.0</v>
      </c>
      <c r="S924" s="15">
        <v>33090.0</v>
      </c>
      <c r="T924" s="15">
        <v>4180.0</v>
      </c>
      <c r="U924" s="15">
        <v>4020.0</v>
      </c>
      <c r="V924" s="15">
        <v>8050.0</v>
      </c>
      <c r="W924" s="15">
        <v>17980.0</v>
      </c>
      <c r="X924" s="15">
        <v>26790.0</v>
      </c>
      <c r="Y924" s="15">
        <v>-2460.0</v>
      </c>
      <c r="Z924" s="15">
        <v>-10830.0</v>
      </c>
      <c r="AA924" s="15">
        <v>-10030.0</v>
      </c>
      <c r="AB924" s="15">
        <v>-31360.0</v>
      </c>
      <c r="AC924" s="15">
        <v>0.0</v>
      </c>
      <c r="AD924" s="15">
        <v>-2580.0</v>
      </c>
      <c r="AE924" s="15">
        <v>-11400.0</v>
      </c>
      <c r="AF924" s="15">
        <v>-10900.0</v>
      </c>
      <c r="AG924" s="15">
        <v>-32000.0</v>
      </c>
      <c r="AH924" s="15">
        <v>-31400.0</v>
      </c>
      <c r="AI924" s="15">
        <v>-1860.0</v>
      </c>
      <c r="AJ924" s="15">
        <v>2740.0</v>
      </c>
      <c r="AK924" s="15">
        <v>-7850.0</v>
      </c>
      <c r="AL924" s="15">
        <v>-19720.0</v>
      </c>
      <c r="AM924" s="15">
        <v>-30560.0</v>
      </c>
      <c r="AN924" s="15">
        <v>-2580.0</v>
      </c>
      <c r="AO924" s="15">
        <v>-11410.0</v>
      </c>
      <c r="AP924" s="15">
        <v>-10670.0</v>
      </c>
      <c r="AQ924" s="15">
        <v>-32050.0</v>
      </c>
      <c r="AR924" s="15">
        <v>-31480.0</v>
      </c>
      <c r="AS924" s="15">
        <v>0.0</v>
      </c>
      <c r="AT924" s="15">
        <v>0.0</v>
      </c>
      <c r="AU924" s="15">
        <v>-7580.0</v>
      </c>
      <c r="AV924" s="15">
        <v>-17940.0</v>
      </c>
      <c r="AW924" s="15">
        <v>-27470.0</v>
      </c>
      <c r="AX924" s="15">
        <v>0.0</v>
      </c>
      <c r="AY924" s="15">
        <v>0.0</v>
      </c>
      <c r="AZ924" s="15">
        <v>0.0</v>
      </c>
      <c r="BA924" s="15">
        <v>0.0</v>
      </c>
      <c r="BB924" s="15">
        <v>-1200.0</v>
      </c>
      <c r="BC924" s="15">
        <v>0.0</v>
      </c>
      <c r="BD924" s="15">
        <v>0.0</v>
      </c>
      <c r="BE924" s="15">
        <v>0.0</v>
      </c>
      <c r="BF924" s="15">
        <v>0.0</v>
      </c>
      <c r="BG924" s="15">
        <v>0.0</v>
      </c>
      <c r="BH924" s="15">
        <v>6350.0</v>
      </c>
      <c r="BI924" s="15">
        <v>7100.0</v>
      </c>
      <c r="BJ924" s="15">
        <v>3870.0</v>
      </c>
      <c r="BK924" s="15">
        <v>9770.0</v>
      </c>
      <c r="BL924" s="15">
        <v>20240.0</v>
      </c>
      <c r="BM924" s="15">
        <v>1240.0</v>
      </c>
      <c r="BN924" s="15">
        <v>1710.0</v>
      </c>
      <c r="BO924" s="15">
        <v>1680.0</v>
      </c>
      <c r="BP924" s="15">
        <v>0.0</v>
      </c>
      <c r="BQ924" s="15">
        <v>0.0</v>
      </c>
      <c r="BR924" s="15">
        <v>0.0</v>
      </c>
      <c r="BS924" s="15">
        <v>1150.0</v>
      </c>
      <c r="BT924" s="15">
        <v>1770.0</v>
      </c>
      <c r="BU924" s="15">
        <v>1450.0</v>
      </c>
      <c r="BV924" s="15">
        <v>1600.0</v>
      </c>
      <c r="BW924" s="15">
        <v>8970.0</v>
      </c>
      <c r="BX924" s="15">
        <v>10800.0</v>
      </c>
      <c r="BY924" s="15">
        <v>8660.0</v>
      </c>
      <c r="BZ924" s="15">
        <v>12250.0</v>
      </c>
      <c r="CA924" s="15">
        <v>23270.0</v>
      </c>
      <c r="CB924" s="15">
        <v>0.0</v>
      </c>
      <c r="CC924" s="15">
        <v>0.0</v>
      </c>
      <c r="CD924" s="15">
        <v>0.0</v>
      </c>
      <c r="CE924" s="15">
        <v>1270.0</v>
      </c>
      <c r="CF924" s="15">
        <v>1630.0</v>
      </c>
      <c r="CG924" s="15">
        <v>0.0</v>
      </c>
      <c r="CH924" s="15">
        <v>0.0</v>
      </c>
      <c r="CI924" s="15">
        <v>13280.0</v>
      </c>
      <c r="CJ924" s="15">
        <v>13280.0</v>
      </c>
      <c r="CK924" s="15">
        <v>23130.0</v>
      </c>
      <c r="CL924" s="15">
        <v>9400.0</v>
      </c>
      <c r="CM924" s="15">
        <v>11760.0</v>
      </c>
      <c r="CN924" s="15">
        <v>23140.0</v>
      </c>
      <c r="CO924" s="15">
        <v>27150.0</v>
      </c>
      <c r="CP924" s="15">
        <v>48690.0</v>
      </c>
      <c r="CQ924" s="15">
        <v>0.0</v>
      </c>
      <c r="CR924" s="15">
        <v>0.0</v>
      </c>
      <c r="CS924" s="15">
        <v>0.0</v>
      </c>
      <c r="CT924" s="15">
        <v>0.0</v>
      </c>
      <c r="CU924" s="15">
        <v>0.0</v>
      </c>
      <c r="CV924" s="15">
        <v>1710.0</v>
      </c>
      <c r="CW924" s="15">
        <v>0.0</v>
      </c>
      <c r="CX924" s="15">
        <v>0.0</v>
      </c>
      <c r="CY924" s="16">
        <v>0.0</v>
      </c>
      <c r="CZ924" s="16">
        <v>0.0</v>
      </c>
      <c r="DA924" s="15">
        <v>0.0</v>
      </c>
      <c r="DB924" s="15">
        <v>1710.0</v>
      </c>
      <c r="DC924" s="15">
        <v>1910.0</v>
      </c>
      <c r="DD924" s="15">
        <v>6620.0</v>
      </c>
      <c r="DE924" s="15">
        <v>3330.0</v>
      </c>
      <c r="DF924" s="15">
        <v>4560.0</v>
      </c>
      <c r="DG924" s="15">
        <v>4600.0</v>
      </c>
      <c r="DH924" s="15">
        <v>15790.0</v>
      </c>
      <c r="DI924" s="15">
        <v>11820.0</v>
      </c>
      <c r="DJ924" s="15">
        <v>3850.0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2860.0</v>
      </c>
      <c r="DQ924" s="15">
        <v>2670.0</v>
      </c>
      <c r="DR924" s="15">
        <v>9160.0</v>
      </c>
      <c r="DS924" s="15">
        <v>8250.0</v>
      </c>
      <c r="DT924" s="15">
        <v>0.0</v>
      </c>
      <c r="DU924" s="16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4840.0</v>
      </c>
      <c r="EA924" s="15">
        <v>7160.0</v>
      </c>
      <c r="EB924" s="15">
        <v>7350.0</v>
      </c>
      <c r="EC924" s="15">
        <v>15330.0</v>
      </c>
      <c r="ED924" s="15">
        <v>44840.0</v>
      </c>
      <c r="EE924" s="17">
        <v>0.0</v>
      </c>
      <c r="EF924" s="17">
        <v>0.0</v>
      </c>
      <c r="EG924" s="17" t="s">
        <v>155</v>
      </c>
      <c r="EH924" s="17">
        <v>1.15</v>
      </c>
    </row>
    <row r="925">
      <c r="A925" s="9">
        <f t="shared" si="2"/>
        <v>923</v>
      </c>
      <c r="B925" s="25" t="s">
        <v>1060</v>
      </c>
      <c r="C925" s="15">
        <v>554090.0</v>
      </c>
      <c r="D925" s="15">
        <v>538150.0</v>
      </c>
      <c r="E925" s="15">
        <v>700970.0</v>
      </c>
      <c r="F925" s="15">
        <v>679570.0</v>
      </c>
      <c r="G925" s="15">
        <v>567950.0</v>
      </c>
      <c r="H925" s="15">
        <v>552750.0</v>
      </c>
      <c r="I925" s="15">
        <v>594920.0</v>
      </c>
      <c r="J925" s="15">
        <v>370490.0</v>
      </c>
      <c r="K925" s="15">
        <v>369960.0</v>
      </c>
      <c r="L925" s="15">
        <v>300180.0</v>
      </c>
      <c r="M925" s="15">
        <v>294820.0</v>
      </c>
      <c r="N925" s="15">
        <v>317530.0</v>
      </c>
      <c r="O925" s="15">
        <v>327500.0</v>
      </c>
      <c r="P925" s="15">
        <v>292160.0</v>
      </c>
      <c r="Q925" s="15">
        <v>242800.0</v>
      </c>
      <c r="R925" s="15">
        <v>238740.0</v>
      </c>
      <c r="S925" s="15">
        <v>244250.0</v>
      </c>
      <c r="T925" s="12"/>
      <c r="U925" s="12"/>
      <c r="V925" s="12"/>
      <c r="W925" s="12"/>
      <c r="X925" s="12"/>
      <c r="Y925" s="15">
        <v>58350.0</v>
      </c>
      <c r="Z925" s="15">
        <v>63400.0</v>
      </c>
      <c r="AA925" s="15">
        <v>42100.0</v>
      </c>
      <c r="AB925" s="15">
        <v>52700.0</v>
      </c>
      <c r="AC925" s="15">
        <v>70110.0</v>
      </c>
      <c r="AD925" s="15">
        <v>57500.0</v>
      </c>
      <c r="AE925" s="15">
        <v>61730.0</v>
      </c>
      <c r="AF925" s="15">
        <v>42140.0</v>
      </c>
      <c r="AG925" s="15">
        <v>51450.0</v>
      </c>
      <c r="AH925" s="15">
        <v>69130.0</v>
      </c>
      <c r="AI925" s="15">
        <v>59370.0</v>
      </c>
      <c r="AJ925" s="15">
        <v>91960.0</v>
      </c>
      <c r="AK925" s="15">
        <v>67990.0</v>
      </c>
      <c r="AL925" s="15">
        <v>65490.0</v>
      </c>
      <c r="AM925" s="15">
        <v>86440.0</v>
      </c>
      <c r="AN925" s="15">
        <v>42700.0</v>
      </c>
      <c r="AO925" s="15">
        <v>61620.0</v>
      </c>
      <c r="AP925" s="15">
        <v>-15230.0</v>
      </c>
      <c r="AQ925" s="15">
        <v>35060.0</v>
      </c>
      <c r="AR925" s="15">
        <v>45090.0</v>
      </c>
      <c r="AS925" s="15">
        <v>32070.0</v>
      </c>
      <c r="AT925" s="15">
        <v>86170.0</v>
      </c>
      <c r="AU925" s="15">
        <v>54720.0</v>
      </c>
      <c r="AV925" s="15">
        <v>58420.0</v>
      </c>
      <c r="AW925" s="15">
        <v>74590.0</v>
      </c>
      <c r="AX925" s="15">
        <v>-12970.0</v>
      </c>
      <c r="AY925" s="15">
        <v>-11130.0</v>
      </c>
      <c r="AZ925" s="15">
        <v>-6370.0</v>
      </c>
      <c r="BA925" s="15">
        <v>-6250.0</v>
      </c>
      <c r="BB925" s="15">
        <v>-8720.0</v>
      </c>
      <c r="BC925" s="15">
        <v>-18400.0</v>
      </c>
      <c r="BD925" s="15">
        <v>-18470.0</v>
      </c>
      <c r="BE925" s="15">
        <v>-11930.0</v>
      </c>
      <c r="BF925" s="15">
        <v>-11930.0</v>
      </c>
      <c r="BG925" s="15">
        <v>-10310.0</v>
      </c>
      <c r="BH925" s="15">
        <v>186210.0</v>
      </c>
      <c r="BI925" s="15">
        <v>190240.0</v>
      </c>
      <c r="BJ925" s="15">
        <v>216250.0</v>
      </c>
      <c r="BK925" s="15">
        <v>257740.0</v>
      </c>
      <c r="BL925" s="15">
        <v>228520.0</v>
      </c>
      <c r="BM925" s="15">
        <v>78390.0</v>
      </c>
      <c r="BN925" s="15">
        <v>84030.0</v>
      </c>
      <c r="BO925" s="15">
        <v>83100.0</v>
      </c>
      <c r="BP925" s="15">
        <v>66850.0</v>
      </c>
      <c r="BQ925" s="15">
        <v>71030.0</v>
      </c>
      <c r="BR925" s="15">
        <v>171410.0</v>
      </c>
      <c r="BS925" s="15">
        <v>165310.0</v>
      </c>
      <c r="BT925" s="15">
        <v>151680.0</v>
      </c>
      <c r="BU925" s="15">
        <v>153170.0</v>
      </c>
      <c r="BV925" s="15">
        <v>162470.0</v>
      </c>
      <c r="BW925" s="15">
        <v>464050.0</v>
      </c>
      <c r="BX925" s="15">
        <v>468150.0</v>
      </c>
      <c r="BY925" s="15">
        <v>481600.0</v>
      </c>
      <c r="BZ925" s="15">
        <v>504780.0</v>
      </c>
      <c r="CA925" s="15">
        <v>489040.0</v>
      </c>
      <c r="CB925" s="15">
        <v>118760.0</v>
      </c>
      <c r="CC925" s="15">
        <v>26070.0</v>
      </c>
      <c r="CD925" s="15">
        <v>24670.0</v>
      </c>
      <c r="CE925" s="15">
        <v>34170.0</v>
      </c>
      <c r="CF925" s="15">
        <v>38550.0</v>
      </c>
      <c r="CG925" s="15">
        <v>136370.0</v>
      </c>
      <c r="CH925" s="15">
        <v>136030.0</v>
      </c>
      <c r="CI925" s="15">
        <v>60270.0</v>
      </c>
      <c r="CJ925" s="12"/>
      <c r="CK925" s="12"/>
      <c r="CL925" s="15">
        <v>847310.0</v>
      </c>
      <c r="CM925" s="15">
        <v>759700.0</v>
      </c>
      <c r="CN925" s="15">
        <v>645380.0</v>
      </c>
      <c r="CO925" s="15">
        <v>607800.0</v>
      </c>
      <c r="CP925" s="15">
        <v>585170.0</v>
      </c>
      <c r="CQ925" s="15">
        <v>35490.0</v>
      </c>
      <c r="CR925" s="15">
        <v>38650.0</v>
      </c>
      <c r="CS925" s="15">
        <v>24360.0</v>
      </c>
      <c r="CT925" s="15">
        <v>27190.0</v>
      </c>
      <c r="CU925" s="15">
        <v>27310.0</v>
      </c>
      <c r="CV925" s="15">
        <v>109300.0</v>
      </c>
      <c r="CW925" s="15">
        <v>15080.0</v>
      </c>
      <c r="CX925" s="12"/>
      <c r="CY925" s="12"/>
      <c r="CZ925" s="12"/>
      <c r="DA925" s="12"/>
      <c r="DB925" s="15">
        <v>109300.0</v>
      </c>
      <c r="DC925" s="15">
        <v>112680.0</v>
      </c>
      <c r="DD925" s="15">
        <v>100300.0</v>
      </c>
      <c r="DE925" s="15">
        <v>71400.0</v>
      </c>
      <c r="DF925" s="15">
        <v>316900.0</v>
      </c>
      <c r="DG925" s="15">
        <v>259330.0</v>
      </c>
      <c r="DH925" s="15">
        <v>175050.0</v>
      </c>
      <c r="DI925" s="15">
        <v>133810.0</v>
      </c>
      <c r="DJ925" s="15">
        <v>144020.0</v>
      </c>
      <c r="DK925" s="15">
        <v>566.0</v>
      </c>
      <c r="DL925" s="15">
        <v>548.0</v>
      </c>
      <c r="DM925" s="12"/>
      <c r="DN925" s="12"/>
      <c r="DO925" s="12"/>
      <c r="DP925" s="15">
        <v>133960.0</v>
      </c>
      <c r="DQ925" s="15">
        <v>50280.0</v>
      </c>
      <c r="DR925" s="12"/>
      <c r="DS925" s="15">
        <v>25000.0</v>
      </c>
      <c r="DT925" s="15">
        <v>35000.0</v>
      </c>
      <c r="DU925" s="12"/>
      <c r="DV925" s="12"/>
      <c r="DW925" s="12"/>
      <c r="DX925" s="12"/>
      <c r="DY925" s="12"/>
      <c r="DZ925" s="15">
        <v>526540.0</v>
      </c>
      <c r="EA925" s="15">
        <v>496660.0</v>
      </c>
      <c r="EB925" s="15">
        <v>470340.0</v>
      </c>
      <c r="EC925" s="15">
        <v>473990.0</v>
      </c>
      <c r="ED925" s="15">
        <v>440550.0</v>
      </c>
      <c r="EE925" s="17">
        <v>0.0</v>
      </c>
      <c r="EF925" s="17">
        <v>0.0</v>
      </c>
      <c r="EG925" s="17">
        <v>-1.8</v>
      </c>
      <c r="EH925" s="17">
        <v>-0.639</v>
      </c>
    </row>
    <row r="926">
      <c r="A926" s="9">
        <f t="shared" si="2"/>
        <v>924</v>
      </c>
      <c r="B926" s="10" t="s">
        <v>1061</v>
      </c>
      <c r="C926" s="12"/>
      <c r="D926" s="12"/>
      <c r="E926" s="15">
        <v>276330.0</v>
      </c>
      <c r="F926" s="15">
        <v>310970.0</v>
      </c>
      <c r="G926" s="15">
        <v>170110.0</v>
      </c>
      <c r="H926" s="15">
        <v>0.0</v>
      </c>
      <c r="I926" s="15">
        <v>0.0</v>
      </c>
      <c r="J926" s="15">
        <v>14640.0</v>
      </c>
      <c r="K926" s="15">
        <v>72150.0</v>
      </c>
      <c r="L926" s="15">
        <v>51080.0</v>
      </c>
      <c r="M926" s="15">
        <v>0.0</v>
      </c>
      <c r="N926" s="15">
        <v>0.0</v>
      </c>
      <c r="O926" s="15">
        <v>12840.0</v>
      </c>
      <c r="P926" s="15">
        <v>14420.0</v>
      </c>
      <c r="Q926" s="15">
        <v>15570.0</v>
      </c>
      <c r="R926" s="15">
        <v>6260.0</v>
      </c>
      <c r="S926" s="15">
        <v>6310.0</v>
      </c>
      <c r="T926" s="15">
        <v>0.0</v>
      </c>
      <c r="U926" s="15">
        <v>0.0</v>
      </c>
      <c r="V926" s="15">
        <v>0.0</v>
      </c>
      <c r="W926" s="15">
        <v>0.0</v>
      </c>
      <c r="X926" s="15">
        <v>0.0</v>
      </c>
      <c r="Y926" s="15">
        <v>-115170.0</v>
      </c>
      <c r="Z926" s="15">
        <v>57480.0</v>
      </c>
      <c r="AA926" s="15">
        <v>38680.0</v>
      </c>
      <c r="AB926" s="15">
        <v>0.0</v>
      </c>
      <c r="AC926" s="15">
        <v>-25910.0</v>
      </c>
      <c r="AD926" s="15">
        <v>-131940.0</v>
      </c>
      <c r="AE926" s="15">
        <v>-14820.0</v>
      </c>
      <c r="AF926" s="15">
        <v>17150.0</v>
      </c>
      <c r="AG926" s="15">
        <v>4800.0</v>
      </c>
      <c r="AH926" s="15">
        <v>-43170.0</v>
      </c>
      <c r="AI926" s="15">
        <v>85940.0</v>
      </c>
      <c r="AJ926" s="15">
        <v>137830.0</v>
      </c>
      <c r="AK926" s="15">
        <v>80700.0</v>
      </c>
      <c r="AL926" s="15">
        <v>-6260.0</v>
      </c>
      <c r="AM926" s="15">
        <v>-6310.0</v>
      </c>
      <c r="AN926" s="15">
        <v>-128760.0</v>
      </c>
      <c r="AO926" s="15">
        <v>-18930.0</v>
      </c>
      <c r="AP926" s="15">
        <v>17150.0</v>
      </c>
      <c r="AQ926" s="15">
        <v>4800.0</v>
      </c>
      <c r="AR926" s="15">
        <v>-43170.0</v>
      </c>
      <c r="AS926" s="15">
        <v>46370.0</v>
      </c>
      <c r="AT926" s="15">
        <v>136490.0</v>
      </c>
      <c r="AU926" s="15">
        <v>38280.0</v>
      </c>
      <c r="AV926" s="15">
        <v>-42040.0</v>
      </c>
      <c r="AW926" s="15">
        <v>-3110.0</v>
      </c>
      <c r="AX926" s="15">
        <v>-28100.0</v>
      </c>
      <c r="AY926" s="15">
        <v>-76060.0</v>
      </c>
      <c r="AZ926" s="15">
        <v>-105820.0</v>
      </c>
      <c r="BA926" s="15">
        <v>-195260.0</v>
      </c>
      <c r="BB926" s="15">
        <v>-239800.0</v>
      </c>
      <c r="BC926" s="16">
        <v>0.0</v>
      </c>
      <c r="BD926" s="15">
        <v>-8400.0</v>
      </c>
      <c r="BE926" s="15">
        <v>0.0</v>
      </c>
      <c r="BF926" s="16">
        <v>0.0</v>
      </c>
      <c r="BG926" s="16">
        <v>0.0</v>
      </c>
      <c r="BH926" s="15">
        <v>34750.0</v>
      </c>
      <c r="BI926" s="15">
        <v>30710.0</v>
      </c>
      <c r="BJ926" s="15">
        <v>43130.0</v>
      </c>
      <c r="BK926" s="15">
        <v>6840.0</v>
      </c>
      <c r="BL926" s="15">
        <v>9080.0</v>
      </c>
      <c r="BM926" s="15">
        <v>1690.0</v>
      </c>
      <c r="BN926" s="15">
        <v>2480.0</v>
      </c>
      <c r="BO926" s="15">
        <v>2680.0</v>
      </c>
      <c r="BP926" s="15">
        <v>2040.0</v>
      </c>
      <c r="BQ926" s="15">
        <v>1350.0</v>
      </c>
      <c r="BR926" s="15">
        <v>111770.0</v>
      </c>
      <c r="BS926" s="15">
        <v>102260.0</v>
      </c>
      <c r="BT926" s="15">
        <v>82170.0</v>
      </c>
      <c r="BU926" s="15">
        <v>11730.0</v>
      </c>
      <c r="BV926" s="15">
        <v>0.0</v>
      </c>
      <c r="BW926" s="15">
        <v>149980.0</v>
      </c>
      <c r="BX926" s="15">
        <v>136720.0</v>
      </c>
      <c r="BY926" s="15">
        <v>131450.0</v>
      </c>
      <c r="BZ926" s="15">
        <v>21930.0</v>
      </c>
      <c r="CA926" s="15">
        <v>11190.0</v>
      </c>
      <c r="CB926" s="15">
        <v>672270.0</v>
      </c>
      <c r="CC926" s="15">
        <v>674290.0</v>
      </c>
      <c r="CD926" s="15">
        <v>662660.0</v>
      </c>
      <c r="CE926" s="15">
        <v>676050.0</v>
      </c>
      <c r="CF926" s="15">
        <v>463260.0</v>
      </c>
      <c r="CG926" s="15">
        <v>0.0</v>
      </c>
      <c r="CH926" s="15">
        <v>0.0</v>
      </c>
      <c r="CI926" s="15">
        <v>0.0</v>
      </c>
      <c r="CJ926" s="15">
        <v>0.0</v>
      </c>
      <c r="CK926" s="15">
        <v>0.0</v>
      </c>
      <c r="CL926" s="15">
        <v>828590.0</v>
      </c>
      <c r="CM926" s="15">
        <v>1010000.0</v>
      </c>
      <c r="CN926" s="15">
        <v>795070.0</v>
      </c>
      <c r="CO926" s="15">
        <v>783760.0</v>
      </c>
      <c r="CP926" s="15">
        <v>582850.0</v>
      </c>
      <c r="CQ926" s="15">
        <v>35000.0</v>
      </c>
      <c r="CR926" s="15">
        <v>46870.0</v>
      </c>
      <c r="CS926" s="15">
        <v>34090.0</v>
      </c>
      <c r="CT926" s="15">
        <v>15190.0</v>
      </c>
      <c r="CU926" s="15">
        <v>0.0</v>
      </c>
      <c r="CV926" s="15">
        <v>50580.0</v>
      </c>
      <c r="CW926" s="15">
        <v>0.0</v>
      </c>
      <c r="CX926" s="16">
        <v>0.0</v>
      </c>
      <c r="CY926" s="16">
        <v>0.0</v>
      </c>
      <c r="CZ926" s="15">
        <v>0.0</v>
      </c>
      <c r="DA926" s="15">
        <v>0.0</v>
      </c>
      <c r="DB926" s="15">
        <v>50580.0</v>
      </c>
      <c r="DC926" s="15">
        <v>49520.0</v>
      </c>
      <c r="DD926" s="15">
        <v>34620.0</v>
      </c>
      <c r="DE926" s="15">
        <v>52310.0</v>
      </c>
      <c r="DF926" s="15">
        <v>492450.0</v>
      </c>
      <c r="DG926" s="15">
        <v>543300.0</v>
      </c>
      <c r="DH926" s="15">
        <v>460320.0</v>
      </c>
      <c r="DI926" s="15">
        <v>469330.0</v>
      </c>
      <c r="DJ926" s="15">
        <v>274170.0</v>
      </c>
      <c r="DK926" s="15">
        <v>0.0</v>
      </c>
      <c r="DL926" s="15">
        <v>1920.0</v>
      </c>
      <c r="DM926" s="15">
        <v>0.0</v>
      </c>
      <c r="DN926" s="15">
        <v>83880.0</v>
      </c>
      <c r="DO926" s="15">
        <v>94510.0</v>
      </c>
      <c r="DP926" s="15">
        <v>379900.0</v>
      </c>
      <c r="DQ926" s="15">
        <v>408140.0</v>
      </c>
      <c r="DR926" s="15">
        <v>396510.0</v>
      </c>
      <c r="DS926" s="15">
        <v>392620.0</v>
      </c>
      <c r="DT926" s="15">
        <v>205690.0</v>
      </c>
      <c r="DU926" s="16">
        <v>0.0</v>
      </c>
      <c r="DV926" s="15">
        <v>0.0</v>
      </c>
      <c r="DW926" s="15">
        <v>0.0</v>
      </c>
      <c r="DX926" s="16">
        <v>0.0</v>
      </c>
      <c r="DY926" s="16">
        <v>0.0</v>
      </c>
      <c r="DZ926" s="15">
        <v>336150.0</v>
      </c>
      <c r="EA926" s="15">
        <v>464120.0</v>
      </c>
      <c r="EB926" s="15">
        <v>334740.0</v>
      </c>
      <c r="EC926" s="15">
        <v>314430.0</v>
      </c>
      <c r="ED926" s="15">
        <v>308680.0</v>
      </c>
      <c r="EE926" s="23"/>
      <c r="EF926" s="23"/>
      <c r="EG926" s="23"/>
      <c r="EH926" s="23"/>
    </row>
    <row r="927">
      <c r="A927" s="9">
        <f t="shared" si="2"/>
        <v>925</v>
      </c>
      <c r="B927" s="32" t="s">
        <v>1062</v>
      </c>
      <c r="C927" s="11">
        <v>1360000.0</v>
      </c>
      <c r="D927" s="11">
        <v>1250000.0</v>
      </c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3"/>
      <c r="BD927" s="13"/>
      <c r="BE927" s="13"/>
      <c r="BF927" s="13"/>
      <c r="BG927" s="13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3"/>
      <c r="CY927" s="13"/>
      <c r="CZ927" s="13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3"/>
      <c r="DV927" s="12"/>
      <c r="DW927" s="12"/>
      <c r="DX927" s="13"/>
      <c r="DY927" s="12"/>
      <c r="DZ927" s="12"/>
      <c r="EA927" s="12"/>
      <c r="EB927" s="12"/>
      <c r="EC927" s="12"/>
      <c r="ED927" s="12"/>
      <c r="EE927" s="14">
        <v>0.048</v>
      </c>
      <c r="EF927" s="14">
        <v>0.103</v>
      </c>
      <c r="EG927" s="14">
        <v>-0.464</v>
      </c>
      <c r="EH927" s="14">
        <v>-0.082</v>
      </c>
    </row>
    <row r="928">
      <c r="A928" s="9">
        <f t="shared" si="2"/>
        <v>926</v>
      </c>
      <c r="B928" s="10" t="s">
        <v>1063</v>
      </c>
      <c r="C928" s="15">
        <v>820340.0</v>
      </c>
      <c r="D928" s="15">
        <v>693500.0</v>
      </c>
      <c r="E928" s="15">
        <v>627920.0</v>
      </c>
      <c r="F928" s="15">
        <v>582380.0</v>
      </c>
      <c r="G928" s="15">
        <v>470930.0</v>
      </c>
      <c r="H928" s="15">
        <v>388670.0</v>
      </c>
      <c r="I928" s="15">
        <v>333070.0</v>
      </c>
      <c r="J928" s="15">
        <v>346330.0</v>
      </c>
      <c r="K928" s="15">
        <v>322670.0</v>
      </c>
      <c r="L928" s="15">
        <v>258280.0</v>
      </c>
      <c r="M928" s="15">
        <v>210870.0</v>
      </c>
      <c r="N928" s="15">
        <v>180170.0</v>
      </c>
      <c r="O928" s="15">
        <v>241300.0</v>
      </c>
      <c r="P928" s="15">
        <v>207260.0</v>
      </c>
      <c r="Q928" s="15">
        <v>179620.0</v>
      </c>
      <c r="R928" s="15">
        <v>156660.0</v>
      </c>
      <c r="S928" s="15">
        <v>140610.0</v>
      </c>
      <c r="T928" s="15">
        <v>107760.0</v>
      </c>
      <c r="U928" s="15">
        <v>93460.0</v>
      </c>
      <c r="V928" s="15">
        <v>82360.0</v>
      </c>
      <c r="W928" s="15">
        <v>73640.0</v>
      </c>
      <c r="X928" s="15">
        <v>65790.0</v>
      </c>
      <c r="Y928" s="15">
        <v>102560.0</v>
      </c>
      <c r="Z928" s="15">
        <v>113490.0</v>
      </c>
      <c r="AA928" s="15">
        <v>77420.0</v>
      </c>
      <c r="AB928" s="15">
        <v>54450.0</v>
      </c>
      <c r="AC928" s="15">
        <v>41070.0</v>
      </c>
      <c r="AD928" s="15">
        <v>113120.0</v>
      </c>
      <c r="AE928" s="15">
        <v>118480.0</v>
      </c>
      <c r="AF928" s="15">
        <v>82940.0</v>
      </c>
      <c r="AG928" s="15">
        <v>57260.0</v>
      </c>
      <c r="AH928" s="15">
        <v>42490.0</v>
      </c>
      <c r="AI928" s="15">
        <v>119890.0</v>
      </c>
      <c r="AJ928" s="15">
        <v>127720.0</v>
      </c>
      <c r="AK928" s="15">
        <v>94770.0</v>
      </c>
      <c r="AL928" s="15">
        <v>68890.0</v>
      </c>
      <c r="AM928" s="15">
        <v>53350.0</v>
      </c>
      <c r="AN928" s="15">
        <v>108840.0</v>
      </c>
      <c r="AO928" s="15">
        <v>105270.0</v>
      </c>
      <c r="AP928" s="15">
        <v>65200.0</v>
      </c>
      <c r="AQ928" s="15">
        <v>52720.0</v>
      </c>
      <c r="AR928" s="15">
        <v>35170.0</v>
      </c>
      <c r="AS928" s="15">
        <v>216300.0</v>
      </c>
      <c r="AT928" s="15">
        <v>141450.0</v>
      </c>
      <c r="AU928" s="15">
        <v>133820.0</v>
      </c>
      <c r="AV928" s="15">
        <v>107790.0</v>
      </c>
      <c r="AW928" s="15">
        <v>69740.0</v>
      </c>
      <c r="AX928" s="15">
        <v>-96790.0</v>
      </c>
      <c r="AY928" s="15">
        <v>-22530.0</v>
      </c>
      <c r="AZ928" s="15">
        <v>-65770.0</v>
      </c>
      <c r="BA928" s="15">
        <v>-37110.0</v>
      </c>
      <c r="BB928" s="15">
        <v>-16020.0</v>
      </c>
      <c r="BC928" s="15">
        <v>-67290.0</v>
      </c>
      <c r="BD928" s="15">
        <v>-47480.0</v>
      </c>
      <c r="BE928" s="15">
        <v>-33930.0</v>
      </c>
      <c r="BF928" s="15">
        <v>-33100.0</v>
      </c>
      <c r="BG928" s="15">
        <v>-29970.0</v>
      </c>
      <c r="BH928" s="15">
        <v>455400.0</v>
      </c>
      <c r="BI928" s="15">
        <v>377280.0</v>
      </c>
      <c r="BJ928" s="15">
        <v>299090.0</v>
      </c>
      <c r="BK928" s="15">
        <v>268220.0</v>
      </c>
      <c r="BL928" s="15">
        <v>234960.0</v>
      </c>
      <c r="BM928" s="15">
        <v>61300.0</v>
      </c>
      <c r="BN928" s="15">
        <v>57080.0</v>
      </c>
      <c r="BO928" s="15">
        <v>40620.0</v>
      </c>
      <c r="BP928" s="15">
        <v>34250.0</v>
      </c>
      <c r="BQ928" s="15">
        <v>30830.0</v>
      </c>
      <c r="BR928" s="15">
        <v>127500.0</v>
      </c>
      <c r="BS928" s="15">
        <v>136380.0</v>
      </c>
      <c r="BT928" s="15">
        <v>99280.0</v>
      </c>
      <c r="BU928" s="15">
        <v>71470.0</v>
      </c>
      <c r="BV928" s="15">
        <v>63210.0</v>
      </c>
      <c r="BW928" s="15">
        <v>655210.0</v>
      </c>
      <c r="BX928" s="15">
        <v>580810.0</v>
      </c>
      <c r="BY928" s="15">
        <v>449170.0</v>
      </c>
      <c r="BZ928" s="15">
        <v>382980.0</v>
      </c>
      <c r="CA928" s="15">
        <v>331930.0</v>
      </c>
      <c r="CB928" s="15">
        <v>231180.0</v>
      </c>
      <c r="CC928" s="15">
        <v>150000.0</v>
      </c>
      <c r="CD928" s="15">
        <v>144640.0</v>
      </c>
      <c r="CE928" s="15">
        <v>85170.0</v>
      </c>
      <c r="CF928" s="15">
        <v>65360.0</v>
      </c>
      <c r="CG928" s="15">
        <v>6570.0</v>
      </c>
      <c r="CH928" s="15">
        <v>6570.0</v>
      </c>
      <c r="CI928" s="15">
        <v>6570.0</v>
      </c>
      <c r="CJ928" s="15">
        <v>6570.0</v>
      </c>
      <c r="CK928" s="15">
        <v>6570.0</v>
      </c>
      <c r="CL928" s="15">
        <v>958140.0</v>
      </c>
      <c r="CM928" s="15">
        <v>793430.0</v>
      </c>
      <c r="CN928" s="15">
        <v>652570.0</v>
      </c>
      <c r="CO928" s="15">
        <v>511130.0</v>
      </c>
      <c r="CP928" s="15">
        <v>431290.0</v>
      </c>
      <c r="CQ928" s="15">
        <v>27270.0</v>
      </c>
      <c r="CR928" s="15">
        <v>22680.0</v>
      </c>
      <c r="CS928" s="15">
        <v>22810.0</v>
      </c>
      <c r="CT928" s="15">
        <v>17430.0</v>
      </c>
      <c r="CU928" s="15">
        <v>13490.0</v>
      </c>
      <c r="CV928" s="15">
        <v>98230.0</v>
      </c>
      <c r="CW928" s="15">
        <v>1250.0</v>
      </c>
      <c r="CX928" s="15">
        <v>0.0</v>
      </c>
      <c r="CY928" s="16">
        <v>0.0</v>
      </c>
      <c r="CZ928" s="16">
        <v>0.0</v>
      </c>
      <c r="DA928" s="15">
        <v>0.0</v>
      </c>
      <c r="DB928" s="15">
        <v>98230.0</v>
      </c>
      <c r="DC928" s="15">
        <v>80440.0</v>
      </c>
      <c r="DD928" s="15">
        <v>65920.0</v>
      </c>
      <c r="DE928" s="15">
        <v>52920.0</v>
      </c>
      <c r="DF928" s="15">
        <v>184650.0</v>
      </c>
      <c r="DG928" s="15">
        <v>153340.0</v>
      </c>
      <c r="DH928" s="15">
        <v>130560.0</v>
      </c>
      <c r="DI928" s="15">
        <v>80010.0</v>
      </c>
      <c r="DJ928" s="15">
        <v>62770.0</v>
      </c>
      <c r="DK928" s="15">
        <v>3250.0</v>
      </c>
      <c r="DL928" s="15">
        <v>3360.0</v>
      </c>
      <c r="DM928" s="15">
        <v>5260.0</v>
      </c>
      <c r="DN928" s="15">
        <v>5350.0</v>
      </c>
      <c r="DO928" s="15">
        <v>5360.0</v>
      </c>
      <c r="DP928" s="15">
        <v>1100.0</v>
      </c>
      <c r="DQ928" s="15">
        <v>0.0</v>
      </c>
      <c r="DR928" s="15">
        <v>0.0</v>
      </c>
      <c r="DS928" s="15">
        <v>0.0</v>
      </c>
      <c r="DT928" s="15">
        <v>0.0</v>
      </c>
      <c r="DU928" s="16">
        <v>0.0</v>
      </c>
      <c r="DV928" s="15">
        <v>0.0</v>
      </c>
      <c r="DW928" s="15">
        <v>0.0</v>
      </c>
      <c r="DX928" s="15">
        <v>0.0</v>
      </c>
      <c r="DY928" s="15">
        <v>0.0</v>
      </c>
      <c r="DZ928" s="15">
        <v>773490.0</v>
      </c>
      <c r="EA928" s="15">
        <v>640090.0</v>
      </c>
      <c r="EB928" s="15">
        <v>522010.0</v>
      </c>
      <c r="EC928" s="15">
        <v>431120.0</v>
      </c>
      <c r="ED928" s="15">
        <v>368520.0</v>
      </c>
      <c r="EE928" s="17">
        <v>0.072</v>
      </c>
      <c r="EF928" s="17">
        <v>0.121</v>
      </c>
      <c r="EG928" s="17">
        <v>0.011</v>
      </c>
      <c r="EH928" s="17">
        <v>0.01</v>
      </c>
    </row>
    <row r="929">
      <c r="A929" s="9">
        <f t="shared" si="2"/>
        <v>927</v>
      </c>
      <c r="B929" s="25" t="s">
        <v>1064</v>
      </c>
      <c r="C929" s="15">
        <v>282820.0</v>
      </c>
      <c r="D929" s="15">
        <v>230590.0</v>
      </c>
      <c r="E929" s="15">
        <v>292140.0</v>
      </c>
      <c r="F929" s="15">
        <v>298620.0</v>
      </c>
      <c r="G929" s="15">
        <v>267320.0</v>
      </c>
      <c r="H929" s="15">
        <v>241330.0</v>
      </c>
      <c r="I929" s="15">
        <v>207060.0</v>
      </c>
      <c r="J929" s="15">
        <v>65390.0</v>
      </c>
      <c r="K929" s="15">
        <v>66320.0</v>
      </c>
      <c r="L929" s="15">
        <v>59020.0</v>
      </c>
      <c r="M929" s="15">
        <v>50470.0</v>
      </c>
      <c r="N929" s="15">
        <v>43800.0</v>
      </c>
      <c r="O929" s="15">
        <v>32460.0</v>
      </c>
      <c r="P929" s="15">
        <v>26210.0</v>
      </c>
      <c r="Q929" s="15">
        <v>26200.0</v>
      </c>
      <c r="R929" s="15">
        <v>23440.0</v>
      </c>
      <c r="S929" s="15">
        <v>23170.0</v>
      </c>
      <c r="T929" s="15">
        <v>730.0</v>
      </c>
      <c r="U929" s="15">
        <v>822.0</v>
      </c>
      <c r="V929" s="15">
        <v>960.0</v>
      </c>
      <c r="W929" s="15">
        <v>858.0</v>
      </c>
      <c r="X929" s="15">
        <v>663.0</v>
      </c>
      <c r="Y929" s="15">
        <v>34140.0</v>
      </c>
      <c r="Z929" s="15">
        <v>35390.0</v>
      </c>
      <c r="AA929" s="15">
        <v>29760.0</v>
      </c>
      <c r="AB929" s="15">
        <v>23050.0</v>
      </c>
      <c r="AC929" s="15">
        <v>20550.0</v>
      </c>
      <c r="AD929" s="15">
        <v>34460.0</v>
      </c>
      <c r="AE929" s="15">
        <v>35660.0</v>
      </c>
      <c r="AF929" s="15">
        <v>29990.0</v>
      </c>
      <c r="AG929" s="15">
        <v>23410.0</v>
      </c>
      <c r="AH929" s="15">
        <v>20970.0</v>
      </c>
      <c r="AI929" s="15">
        <v>35030.0</v>
      </c>
      <c r="AJ929" s="15">
        <v>37750.0</v>
      </c>
      <c r="AK929" s="15">
        <v>30820.0</v>
      </c>
      <c r="AL929" s="15">
        <v>24330.0</v>
      </c>
      <c r="AM929" s="15">
        <v>21650.0</v>
      </c>
      <c r="AN929" s="15">
        <v>27570.0</v>
      </c>
      <c r="AO929" s="15">
        <v>27730.0</v>
      </c>
      <c r="AP929" s="15">
        <v>18710.0</v>
      </c>
      <c r="AQ929" s="15">
        <v>16210.0</v>
      </c>
      <c r="AR929" s="15">
        <v>14310.0</v>
      </c>
      <c r="AS929" s="15">
        <v>33920.0</v>
      </c>
      <c r="AT929" s="15">
        <v>22780.0</v>
      </c>
      <c r="AU929" s="15">
        <v>29640.0</v>
      </c>
      <c r="AV929" s="15">
        <v>15840.0</v>
      </c>
      <c r="AW929" s="15">
        <v>16040.0</v>
      </c>
      <c r="AX929" s="15">
        <v>-2330.0</v>
      </c>
      <c r="AY929" s="15">
        <v>-2150.0</v>
      </c>
      <c r="AZ929" s="15">
        <v>-2410.0</v>
      </c>
      <c r="BA929" s="15">
        <v>-1940.0</v>
      </c>
      <c r="BB929" s="15">
        <v>-3880.0</v>
      </c>
      <c r="BC929" s="15">
        <v>-19760.0</v>
      </c>
      <c r="BD929" s="15">
        <v>-17250.0</v>
      </c>
      <c r="BE929" s="15">
        <v>-11500.0</v>
      </c>
      <c r="BF929" s="15">
        <v>-9200.0</v>
      </c>
      <c r="BG929" s="15">
        <v>-7640.0</v>
      </c>
      <c r="BH929" s="15">
        <v>19800.0</v>
      </c>
      <c r="BI929" s="15">
        <v>11710.0</v>
      </c>
      <c r="BJ929" s="15">
        <v>10320.0</v>
      </c>
      <c r="BK929" s="15">
        <v>6730.0</v>
      </c>
      <c r="BL929" s="15">
        <v>15810.0</v>
      </c>
      <c r="BM929" s="15">
        <v>7510.0</v>
      </c>
      <c r="BN929" s="15">
        <v>4320.0</v>
      </c>
      <c r="BO929" s="15">
        <v>3770.0</v>
      </c>
      <c r="BP929" s="15">
        <v>1120.0</v>
      </c>
      <c r="BQ929" s="15">
        <v>2080.0</v>
      </c>
      <c r="BR929" s="15">
        <v>41550.0</v>
      </c>
      <c r="BS929" s="15">
        <v>46770.0</v>
      </c>
      <c r="BT929" s="15">
        <v>38010.0</v>
      </c>
      <c r="BU929" s="15">
        <v>42490.0</v>
      </c>
      <c r="BV929" s="15">
        <v>32640.0</v>
      </c>
      <c r="BW929" s="15">
        <v>70930.0</v>
      </c>
      <c r="BX929" s="15">
        <v>64600.0</v>
      </c>
      <c r="BY929" s="15">
        <v>54190.0</v>
      </c>
      <c r="BZ929" s="15">
        <v>52160.0</v>
      </c>
      <c r="CA929" s="15">
        <v>52640.0</v>
      </c>
      <c r="CB929" s="15">
        <v>14960.0</v>
      </c>
      <c r="CC929" s="15">
        <v>14550.0</v>
      </c>
      <c r="CD929" s="15">
        <v>14220.0</v>
      </c>
      <c r="CE929" s="15">
        <v>13330.0</v>
      </c>
      <c r="CF929" s="15">
        <v>12760.0</v>
      </c>
      <c r="CG929" s="15">
        <v>3310.0</v>
      </c>
      <c r="CH929" s="15">
        <v>3310.0</v>
      </c>
      <c r="CI929" s="15">
        <v>3310.0</v>
      </c>
      <c r="CJ929" s="15">
        <v>3310.0</v>
      </c>
      <c r="CK929" s="15">
        <v>3310.0</v>
      </c>
      <c r="CL929" s="15">
        <v>104760.0</v>
      </c>
      <c r="CM929" s="15">
        <v>100880.0</v>
      </c>
      <c r="CN929" s="15">
        <v>95900.0</v>
      </c>
      <c r="CO929" s="15">
        <v>88530.0</v>
      </c>
      <c r="CP929" s="15">
        <v>112240.0</v>
      </c>
      <c r="CQ929" s="15">
        <v>3890.0</v>
      </c>
      <c r="CR929" s="15">
        <v>4670.0</v>
      </c>
      <c r="CS929" s="15">
        <v>5360.0</v>
      </c>
      <c r="CT929" s="15">
        <v>5160.0</v>
      </c>
      <c r="CU929" s="15">
        <v>3680.0</v>
      </c>
      <c r="CV929" s="15">
        <v>17040.0</v>
      </c>
      <c r="CW929" s="15">
        <v>47.0</v>
      </c>
      <c r="CX929" s="12"/>
      <c r="CY929" s="12"/>
      <c r="CZ929" s="12"/>
      <c r="DA929" s="12"/>
      <c r="DB929" s="15">
        <v>17040.0</v>
      </c>
      <c r="DC929" s="15">
        <v>18170.0</v>
      </c>
      <c r="DD929" s="15">
        <v>19360.0</v>
      </c>
      <c r="DE929" s="15">
        <v>17400.0</v>
      </c>
      <c r="DF929" s="15">
        <v>27550.0</v>
      </c>
      <c r="DG929" s="15">
        <v>25670.0</v>
      </c>
      <c r="DH929" s="15">
        <v>26300.0</v>
      </c>
      <c r="DI929" s="15">
        <v>23080.0</v>
      </c>
      <c r="DJ929" s="15">
        <v>22030.0</v>
      </c>
      <c r="DK929" s="12"/>
      <c r="DL929" s="15">
        <v>4700.0</v>
      </c>
      <c r="DM929" s="15">
        <v>10400.0</v>
      </c>
      <c r="DN929" s="15">
        <v>5220.0</v>
      </c>
      <c r="DO929" s="15">
        <v>27130.0</v>
      </c>
      <c r="DP929" s="15">
        <v>110.0</v>
      </c>
      <c r="DQ929" s="12"/>
      <c r="DR929" s="12"/>
      <c r="DS929" s="12"/>
      <c r="DT929" s="12"/>
      <c r="DU929" s="13"/>
      <c r="DV929" s="12"/>
      <c r="DW929" s="12"/>
      <c r="DX929" s="13"/>
      <c r="DY929" s="13"/>
      <c r="DZ929" s="15">
        <v>77210.0</v>
      </c>
      <c r="EA929" s="15">
        <v>75210.0</v>
      </c>
      <c r="EB929" s="15">
        <v>69600.0</v>
      </c>
      <c r="EC929" s="15">
        <v>65450.0</v>
      </c>
      <c r="ED929" s="15">
        <v>90210.0</v>
      </c>
      <c r="EE929" s="17">
        <v>0.0</v>
      </c>
      <c r="EF929" s="17">
        <v>0.0</v>
      </c>
      <c r="EG929" s="17">
        <v>0.667</v>
      </c>
      <c r="EH929" s="17">
        <v>0.042</v>
      </c>
    </row>
    <row r="930">
      <c r="A930" s="9">
        <f t="shared" si="2"/>
        <v>928</v>
      </c>
      <c r="B930" s="25" t="s">
        <v>1065</v>
      </c>
      <c r="C930" s="15">
        <v>61350.0</v>
      </c>
      <c r="D930" s="15">
        <v>50150.0</v>
      </c>
      <c r="E930" s="15">
        <v>37500.0</v>
      </c>
      <c r="F930" s="15">
        <v>49420.0</v>
      </c>
      <c r="G930" s="15">
        <v>35940.0</v>
      </c>
      <c r="H930" s="15">
        <v>27090.0</v>
      </c>
      <c r="I930" s="15">
        <v>26550.0</v>
      </c>
      <c r="J930" s="15">
        <v>18330.0</v>
      </c>
      <c r="K930" s="15">
        <v>25330.0</v>
      </c>
      <c r="L930" s="15">
        <v>21490.0</v>
      </c>
      <c r="M930" s="15">
        <v>14700.0</v>
      </c>
      <c r="N930" s="15">
        <v>13980.0</v>
      </c>
      <c r="O930" s="15">
        <v>31960.0</v>
      </c>
      <c r="P930" s="15">
        <v>42660.0</v>
      </c>
      <c r="Q930" s="15">
        <v>41690.0</v>
      </c>
      <c r="R930" s="15">
        <v>30220.0</v>
      </c>
      <c r="S930" s="15">
        <v>31510.0</v>
      </c>
      <c r="T930" s="15">
        <v>14180.0</v>
      </c>
      <c r="U930" s="15">
        <v>23640.0</v>
      </c>
      <c r="V930" s="15">
        <v>25440.0</v>
      </c>
      <c r="W930" s="15">
        <v>19230.0</v>
      </c>
      <c r="X930" s="15">
        <v>21130.0</v>
      </c>
      <c r="Y930" s="15">
        <v>-14410.0</v>
      </c>
      <c r="Z930" s="15">
        <v>0.0</v>
      </c>
      <c r="AA930" s="15">
        <v>-20450.0</v>
      </c>
      <c r="AB930" s="15">
        <v>-15950.0</v>
      </c>
      <c r="AC930" s="15">
        <v>-17550.0</v>
      </c>
      <c r="AD930" s="15">
        <v>-14670.0</v>
      </c>
      <c r="AE930" s="15">
        <v>-17750.0</v>
      </c>
      <c r="AF930" s="15">
        <v>-21100.0</v>
      </c>
      <c r="AG930" s="15">
        <v>-16710.0</v>
      </c>
      <c r="AH930" s="15">
        <v>-18180.0</v>
      </c>
      <c r="AI930" s="15">
        <v>-11940.0</v>
      </c>
      <c r="AJ930" s="15">
        <v>-15870.0</v>
      </c>
      <c r="AK930" s="15">
        <v>-19020.0</v>
      </c>
      <c r="AL930" s="15">
        <v>-14700.0</v>
      </c>
      <c r="AM930" s="15">
        <v>-16200.0</v>
      </c>
      <c r="AN930" s="15">
        <v>-14670.0</v>
      </c>
      <c r="AO930" s="15">
        <v>-17750.0</v>
      </c>
      <c r="AP930" s="15">
        <v>-21100.0</v>
      </c>
      <c r="AQ930" s="15">
        <v>-16710.0</v>
      </c>
      <c r="AR930" s="15">
        <v>-18180.0</v>
      </c>
      <c r="AS930" s="15">
        <v>-8100.0</v>
      </c>
      <c r="AT930" s="15">
        <v>-14670.0</v>
      </c>
      <c r="AU930" s="15">
        <v>-18890.0</v>
      </c>
      <c r="AV930" s="15">
        <v>-18540.0</v>
      </c>
      <c r="AW930" s="15">
        <v>-10670.0</v>
      </c>
      <c r="AX930" s="15">
        <v>0.0</v>
      </c>
      <c r="AY930" s="15">
        <v>-1910.0</v>
      </c>
      <c r="AZ930" s="15">
        <v>-3070.0</v>
      </c>
      <c r="BA930" s="15">
        <v>-1040.0</v>
      </c>
      <c r="BB930" s="15">
        <v>-1300.0</v>
      </c>
      <c r="BC930" s="15">
        <v>0.0</v>
      </c>
      <c r="BD930" s="15">
        <v>0.0</v>
      </c>
      <c r="BE930" s="15">
        <v>0.0</v>
      </c>
      <c r="BF930" s="15">
        <v>0.0</v>
      </c>
      <c r="BG930" s="15">
        <v>0.0</v>
      </c>
      <c r="BH930" s="15">
        <v>14490.0</v>
      </c>
      <c r="BI930" s="15">
        <v>23380.0</v>
      </c>
      <c r="BJ930" s="15">
        <v>12950.0</v>
      </c>
      <c r="BK930" s="15">
        <v>29730.0</v>
      </c>
      <c r="BL930" s="15">
        <v>2310.0</v>
      </c>
      <c r="BM930" s="15">
        <v>5800.0</v>
      </c>
      <c r="BN930" s="15">
        <v>7520.0</v>
      </c>
      <c r="BO930" s="15">
        <v>4040.0</v>
      </c>
      <c r="BP930" s="15">
        <v>3660.0</v>
      </c>
      <c r="BQ930" s="15">
        <v>2470.0</v>
      </c>
      <c r="BR930" s="15">
        <v>7860.0</v>
      </c>
      <c r="BS930" s="15">
        <v>9100.0</v>
      </c>
      <c r="BT930" s="15">
        <v>9840.0</v>
      </c>
      <c r="BU930" s="15">
        <v>5070.0</v>
      </c>
      <c r="BV930" s="15">
        <v>4180.0</v>
      </c>
      <c r="BW930" s="15">
        <v>28690.0</v>
      </c>
      <c r="BX930" s="15">
        <v>40690.0</v>
      </c>
      <c r="BY930" s="15">
        <v>27420.0</v>
      </c>
      <c r="BZ930" s="15">
        <v>39500.0</v>
      </c>
      <c r="CA930" s="15">
        <v>9150.0</v>
      </c>
      <c r="CB930" s="15">
        <v>6610.0</v>
      </c>
      <c r="CC930" s="15">
        <v>4290.0</v>
      </c>
      <c r="CD930" s="15">
        <v>3950.0</v>
      </c>
      <c r="CE930" s="15">
        <v>1920.0</v>
      </c>
      <c r="CF930" s="15">
        <v>1650.0</v>
      </c>
      <c r="CG930" s="15">
        <v>0.0</v>
      </c>
      <c r="CH930" s="15">
        <v>0.0</v>
      </c>
      <c r="CI930" s="15">
        <v>0.0</v>
      </c>
      <c r="CJ930" s="15">
        <v>0.0</v>
      </c>
      <c r="CK930" s="15">
        <v>0.0</v>
      </c>
      <c r="CL930" s="15">
        <v>35370.0</v>
      </c>
      <c r="CM930" s="15">
        <v>45050.0</v>
      </c>
      <c r="CN930" s="15">
        <v>31440.0</v>
      </c>
      <c r="CO930" s="15">
        <v>41470.0</v>
      </c>
      <c r="CP930" s="15">
        <v>10960.0</v>
      </c>
      <c r="CQ930" s="15">
        <v>2870.0</v>
      </c>
      <c r="CR930" s="15">
        <v>2640.0</v>
      </c>
      <c r="CS930" s="15">
        <v>2720.0</v>
      </c>
      <c r="CT930" s="15">
        <v>1500.0</v>
      </c>
      <c r="CU930" s="15">
        <v>1160.0</v>
      </c>
      <c r="CV930" s="15">
        <v>7890.0</v>
      </c>
      <c r="CW930" s="15">
        <v>1580.0</v>
      </c>
      <c r="CX930" s="15">
        <v>0.0</v>
      </c>
      <c r="CY930" s="16">
        <v>0.0</v>
      </c>
      <c r="CZ930" s="16">
        <v>0.0</v>
      </c>
      <c r="DA930" s="15">
        <v>0.0</v>
      </c>
      <c r="DB930" s="15">
        <v>7890.0</v>
      </c>
      <c r="DC930" s="15">
        <v>13620.0</v>
      </c>
      <c r="DD930" s="15">
        <v>12380.0</v>
      </c>
      <c r="DE930" s="15">
        <v>10380.0</v>
      </c>
      <c r="DF930" s="15">
        <v>16880.0</v>
      </c>
      <c r="DG930" s="15">
        <v>20120.0</v>
      </c>
      <c r="DH930" s="15">
        <v>20550.0</v>
      </c>
      <c r="DI930" s="15">
        <v>14600.0</v>
      </c>
      <c r="DJ930" s="15">
        <v>16750.0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8990.0</v>
      </c>
      <c r="DQ930" s="15">
        <v>6510.0</v>
      </c>
      <c r="DR930" s="15">
        <v>8180.0</v>
      </c>
      <c r="DS930" s="15">
        <v>4220.0</v>
      </c>
      <c r="DT930" s="15">
        <v>6740.0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64640.0</v>
      </c>
      <c r="DZ930" s="15">
        <v>18490.0</v>
      </c>
      <c r="EA930" s="15">
        <v>24920.0</v>
      </c>
      <c r="EB930" s="15">
        <v>10880.0</v>
      </c>
      <c r="EC930" s="15">
        <v>26870.0</v>
      </c>
      <c r="ED930" s="15">
        <v>-5790.0</v>
      </c>
      <c r="EE930" s="17">
        <v>0.074</v>
      </c>
      <c r="EF930" s="17">
        <v>0.207</v>
      </c>
      <c r="EG930" s="17">
        <v>0.375</v>
      </c>
      <c r="EH930" s="17">
        <v>0.184</v>
      </c>
    </row>
    <row r="931">
      <c r="A931" s="9">
        <f t="shared" si="2"/>
        <v>929</v>
      </c>
      <c r="B931" s="32" t="s">
        <v>1066</v>
      </c>
      <c r="C931" s="11">
        <v>5.121E7</v>
      </c>
      <c r="D931" s="11">
        <v>4.733E7</v>
      </c>
      <c r="E931" s="11">
        <v>4.659E7</v>
      </c>
      <c r="F931" s="11">
        <v>4.245E7</v>
      </c>
      <c r="G931" s="11">
        <v>3.998E7</v>
      </c>
      <c r="H931" s="11">
        <v>3.95E7</v>
      </c>
      <c r="I931" s="11">
        <v>3.877E7</v>
      </c>
      <c r="J931" s="11">
        <v>3.273E7</v>
      </c>
      <c r="K931" s="11">
        <v>2.938E7</v>
      </c>
      <c r="L931" s="11">
        <v>2.727E7</v>
      </c>
      <c r="M931" s="11">
        <v>2.613E7</v>
      </c>
      <c r="N931" s="11">
        <v>2.425E7</v>
      </c>
      <c r="O931" s="11">
        <v>1.939E7</v>
      </c>
      <c r="P931" s="11">
        <v>1.961E7</v>
      </c>
      <c r="Q931" s="11">
        <v>1.978E7</v>
      </c>
      <c r="R931" s="11">
        <v>1.564E7</v>
      </c>
      <c r="S931" s="11">
        <v>1.681E7</v>
      </c>
      <c r="T931" s="11">
        <v>8810000.0</v>
      </c>
      <c r="U931" s="11">
        <v>9510000.0</v>
      </c>
      <c r="V931" s="11">
        <v>9700000.0</v>
      </c>
      <c r="W931" s="11">
        <v>5980000.0</v>
      </c>
      <c r="X931" s="11">
        <v>6570000.0</v>
      </c>
      <c r="Y931" s="11">
        <v>1.099E7</v>
      </c>
      <c r="Z931" s="11">
        <v>8750000.0</v>
      </c>
      <c r="AA931" s="11">
        <v>-1750000.0</v>
      </c>
      <c r="AB931" s="11">
        <v>4370000.0</v>
      </c>
      <c r="AC931" s="11">
        <v>-755000.0</v>
      </c>
      <c r="AD931" s="11">
        <v>1.146E7</v>
      </c>
      <c r="AE931" s="11">
        <v>8700000.0</v>
      </c>
      <c r="AF931" s="11">
        <v>6520000.0</v>
      </c>
      <c r="AG931" s="11">
        <v>4660000.0</v>
      </c>
      <c r="AH931" s="11">
        <v>5400000.0</v>
      </c>
      <c r="AI931" s="11">
        <v>1.699E7</v>
      </c>
      <c r="AJ931" s="11">
        <v>1.429E7</v>
      </c>
      <c r="AK931" s="11">
        <v>1.217E7</v>
      </c>
      <c r="AL931" s="11">
        <v>1.593E7</v>
      </c>
      <c r="AM931" s="11">
        <v>1.381E7</v>
      </c>
      <c r="AN931" s="11">
        <v>9840000.0</v>
      </c>
      <c r="AO931" s="11">
        <v>6220000.0</v>
      </c>
      <c r="AP931" s="11">
        <v>2390000.0</v>
      </c>
      <c r="AQ931" s="11">
        <v>3920000.0</v>
      </c>
      <c r="AR931" s="11">
        <v>4440000.0</v>
      </c>
      <c r="AS931" s="11">
        <v>1.344E7</v>
      </c>
      <c r="AT931" s="11">
        <v>1.092E7</v>
      </c>
      <c r="AU931" s="11">
        <v>6450000.0</v>
      </c>
      <c r="AV931" s="11">
        <v>1.038E7</v>
      </c>
      <c r="AW931" s="11">
        <v>1.254E7</v>
      </c>
      <c r="AX931" s="11">
        <v>-3470000.0</v>
      </c>
      <c r="AY931" s="11">
        <v>-2620000.0</v>
      </c>
      <c r="AZ931" s="11">
        <v>-1890000.0</v>
      </c>
      <c r="BA931" s="11">
        <v>-1610000.0</v>
      </c>
      <c r="BB931" s="11">
        <v>-1280000.0</v>
      </c>
      <c r="BC931" s="11">
        <v>-5700000.0</v>
      </c>
      <c r="BD931" s="11">
        <v>-5170000.0</v>
      </c>
      <c r="BE931" s="11">
        <v>-5170000.0</v>
      </c>
      <c r="BF931" s="11">
        <v>-5120000.0</v>
      </c>
      <c r="BG931" s="11">
        <v>-5120000.0</v>
      </c>
      <c r="BH931" s="11">
        <v>1.045E7</v>
      </c>
      <c r="BI931" s="11">
        <v>8860000.0</v>
      </c>
      <c r="BJ931" s="11">
        <v>8500000.0</v>
      </c>
      <c r="BK931" s="11">
        <v>1.434E7</v>
      </c>
      <c r="BL931" s="11">
        <v>1.343E7</v>
      </c>
      <c r="BM931" s="11">
        <v>6780000.0</v>
      </c>
      <c r="BN931" s="11">
        <v>7070000.0</v>
      </c>
      <c r="BO931" s="11">
        <v>6870000.0</v>
      </c>
      <c r="BP931" s="11">
        <v>7020000.0</v>
      </c>
      <c r="BQ931" s="11">
        <v>6520000.0</v>
      </c>
      <c r="BR931" s="11">
        <v>5980000.0</v>
      </c>
      <c r="BS931" s="11">
        <v>5440000.0</v>
      </c>
      <c r="BT931" s="11">
        <v>5100000.0</v>
      </c>
      <c r="BU931" s="11">
        <v>4870000.0</v>
      </c>
      <c r="BV931" s="11">
        <v>4700000.0</v>
      </c>
      <c r="BW931" s="11">
        <v>2.748E7</v>
      </c>
      <c r="BX931" s="11">
        <v>2.588E7</v>
      </c>
      <c r="BY931" s="11">
        <v>2.477E7</v>
      </c>
      <c r="BZ931" s="11">
        <v>3.061E7</v>
      </c>
      <c r="CA931" s="11">
        <v>2.975E7</v>
      </c>
      <c r="CB931" s="11">
        <v>1.613E7</v>
      </c>
      <c r="CC931" s="11">
        <v>1.329E7</v>
      </c>
      <c r="CD931" s="11">
        <v>1.244E7</v>
      </c>
      <c r="CE931" s="11">
        <v>1.203E7</v>
      </c>
      <c r="CF931" s="11">
        <v>1.251E7</v>
      </c>
      <c r="CG931" s="11">
        <v>1.943E7</v>
      </c>
      <c r="CH931" s="11">
        <v>1.825E7</v>
      </c>
      <c r="CI931" s="11">
        <v>1.828E7</v>
      </c>
      <c r="CJ931" s="11">
        <v>1.816E7</v>
      </c>
      <c r="CK931" s="11">
        <v>1.772E7</v>
      </c>
      <c r="CL931" s="11">
        <v>8.44E7</v>
      </c>
      <c r="CM931" s="11">
        <v>8.264E7</v>
      </c>
      <c r="CN931" s="11">
        <v>8.787E7</v>
      </c>
      <c r="CO931" s="11">
        <v>9.538E7</v>
      </c>
      <c r="CP931" s="11">
        <v>1.0168E8</v>
      </c>
      <c r="CQ931" s="11">
        <v>3740000.0</v>
      </c>
      <c r="CR931" s="11">
        <v>3320000.0</v>
      </c>
      <c r="CS931" s="11">
        <v>3100000.0</v>
      </c>
      <c r="CT931" s="11">
        <v>2810000.0</v>
      </c>
      <c r="CU931" s="11">
        <v>2530000.0</v>
      </c>
      <c r="CV931" s="11">
        <v>2.222E7</v>
      </c>
      <c r="CW931" s="11">
        <v>3850000.0</v>
      </c>
      <c r="CX931" s="11">
        <v>5310000.0</v>
      </c>
      <c r="CY931" s="11">
        <v>3060000.0</v>
      </c>
      <c r="CZ931" s="11">
        <v>568000.0</v>
      </c>
      <c r="DA931" s="11">
        <v>2580000.0</v>
      </c>
      <c r="DB931" s="11">
        <v>2.222E7</v>
      </c>
      <c r="DC931" s="11">
        <v>2.221E7</v>
      </c>
      <c r="DD931" s="11">
        <v>1.861E7</v>
      </c>
      <c r="DE931" s="11">
        <v>1.72E7</v>
      </c>
      <c r="DF931" s="11">
        <v>5.84E7</v>
      </c>
      <c r="DG931" s="11">
        <v>5.576E7</v>
      </c>
      <c r="DH931" s="11">
        <v>5.33E7</v>
      </c>
      <c r="DI931" s="11">
        <v>5.507E7</v>
      </c>
      <c r="DJ931" s="11">
        <v>5.691E7</v>
      </c>
      <c r="DK931" s="11">
        <v>2220000.0</v>
      </c>
      <c r="DL931" s="11">
        <v>6880000.0</v>
      </c>
      <c r="DM931" s="11">
        <v>1.216E7</v>
      </c>
      <c r="DN931" s="11">
        <v>1.228E7</v>
      </c>
      <c r="DO931" s="11">
        <v>1.417E7</v>
      </c>
      <c r="DP931" s="11">
        <v>2.35E7</v>
      </c>
      <c r="DQ931" s="11">
        <v>1.981E7</v>
      </c>
      <c r="DR931" s="11">
        <v>2.135E7</v>
      </c>
      <c r="DS931" s="11">
        <v>2.427E7</v>
      </c>
      <c r="DT931" s="11">
        <v>2.383E7</v>
      </c>
      <c r="DU931" s="12"/>
      <c r="DV931" s="12"/>
      <c r="DW931" s="12"/>
      <c r="DX931" s="12"/>
      <c r="DY931" s="12"/>
      <c r="DZ931" s="11">
        <v>2.591E7</v>
      </c>
      <c r="EA931" s="11">
        <v>2.67E7</v>
      </c>
      <c r="EB931" s="11">
        <v>3.434E7</v>
      </c>
      <c r="EC931" s="11">
        <v>4.009E7</v>
      </c>
      <c r="ED931" s="11">
        <v>4.468E7</v>
      </c>
      <c r="EE931" s="33">
        <v>0.051</v>
      </c>
      <c r="EF931" s="33">
        <v>0.117</v>
      </c>
      <c r="EG931" s="33">
        <v>0.119</v>
      </c>
      <c r="EH931" s="33">
        <v>0.117</v>
      </c>
    </row>
    <row r="932">
      <c r="A932" s="9">
        <f t="shared" si="2"/>
        <v>930</v>
      </c>
      <c r="B932" s="22" t="s">
        <v>1067</v>
      </c>
      <c r="C932" s="11">
        <v>4810000.0</v>
      </c>
      <c r="D932" s="11">
        <v>293330.0</v>
      </c>
      <c r="E932" s="11">
        <v>60210.0</v>
      </c>
      <c r="F932" s="11">
        <v>135070.0</v>
      </c>
      <c r="G932" s="11">
        <v>205830.0</v>
      </c>
      <c r="H932" s="11">
        <v>108400.0</v>
      </c>
      <c r="I932" s="12"/>
      <c r="J932" s="12"/>
      <c r="K932" s="12"/>
      <c r="L932" s="12"/>
      <c r="M932" s="12"/>
      <c r="N932" s="12"/>
      <c r="O932" s="11">
        <v>574910.0</v>
      </c>
      <c r="P932" s="11">
        <v>579070.0</v>
      </c>
      <c r="Q932" s="11">
        <v>454640.0</v>
      </c>
      <c r="R932" s="11">
        <v>317050.0</v>
      </c>
      <c r="S932" s="12"/>
      <c r="T932" s="11">
        <v>465290.0</v>
      </c>
      <c r="U932" s="11">
        <v>509680.0</v>
      </c>
      <c r="V932" s="11">
        <v>410460.0</v>
      </c>
      <c r="W932" s="11">
        <v>274720.0</v>
      </c>
      <c r="X932" s="12"/>
      <c r="Y932" s="12"/>
      <c r="Z932" s="12"/>
      <c r="AA932" s="12"/>
      <c r="AB932" s="12"/>
      <c r="AC932" s="12"/>
      <c r="AD932" s="11">
        <v>-514720.0</v>
      </c>
      <c r="AE932" s="11">
        <v>-440010.0</v>
      </c>
      <c r="AF932" s="11">
        <v>-256000.0</v>
      </c>
      <c r="AG932" s="11">
        <v>-215170.0</v>
      </c>
      <c r="AH932" s="12"/>
      <c r="AI932" s="11">
        <v>-514700.0</v>
      </c>
      <c r="AJ932" s="11">
        <v>-444000.0</v>
      </c>
      <c r="AK932" s="11">
        <v>-248820.0</v>
      </c>
      <c r="AL932" s="11">
        <v>-208660.0</v>
      </c>
      <c r="AM932" s="12"/>
      <c r="AN932" s="11">
        <v>-514020.0</v>
      </c>
      <c r="AO932" s="11">
        <v>-388860.0</v>
      </c>
      <c r="AP932" s="11">
        <v>-255920.0</v>
      </c>
      <c r="AQ932" s="11">
        <v>-216210.0</v>
      </c>
      <c r="AR932" s="12"/>
      <c r="AS932" s="11">
        <v>-470640.0</v>
      </c>
      <c r="AT932" s="11">
        <v>-330870.0</v>
      </c>
      <c r="AU932" s="11">
        <v>-331480.0</v>
      </c>
      <c r="AV932" s="11">
        <v>66730.0</v>
      </c>
      <c r="AW932" s="12"/>
      <c r="AX932" s="11">
        <v>-31550.0</v>
      </c>
      <c r="AY932" s="11">
        <v>-105770.0</v>
      </c>
      <c r="AZ932" s="11">
        <v>-58400.0</v>
      </c>
      <c r="BA932" s="11">
        <v>-33140.0</v>
      </c>
      <c r="BB932" s="12"/>
      <c r="BC932" s="12"/>
      <c r="BD932" s="12"/>
      <c r="BE932" s="11">
        <v>-1480.0</v>
      </c>
      <c r="BF932" s="24">
        <v>-633.0</v>
      </c>
      <c r="BG932" s="12"/>
      <c r="BH932" s="11">
        <v>1100000.0</v>
      </c>
      <c r="BI932" s="11">
        <v>1520000.0</v>
      </c>
      <c r="BJ932" s="11">
        <v>756980.0</v>
      </c>
      <c r="BK932" s="11">
        <v>1060000.0</v>
      </c>
      <c r="BL932" s="12"/>
      <c r="BM932" s="11">
        <v>16300.0</v>
      </c>
      <c r="BN932" s="11">
        <v>30580.0</v>
      </c>
      <c r="BO932" s="11">
        <v>18400.0</v>
      </c>
      <c r="BP932" s="11">
        <v>17950.0</v>
      </c>
      <c r="BQ932" s="12"/>
      <c r="BR932" s="12"/>
      <c r="BS932" s="12"/>
      <c r="BT932" s="12"/>
      <c r="BU932" s="12"/>
      <c r="BV932" s="12"/>
      <c r="BW932" s="11">
        <v>1130000.0</v>
      </c>
      <c r="BX932" s="11">
        <v>1560000.0</v>
      </c>
      <c r="BY932" s="11">
        <v>783220.0</v>
      </c>
      <c r="BZ932" s="11">
        <v>1090000.0</v>
      </c>
      <c r="CA932" s="12"/>
      <c r="CB932" s="11">
        <v>287910.0</v>
      </c>
      <c r="CC932" s="11">
        <v>211980.0</v>
      </c>
      <c r="CD932" s="11">
        <v>139030.0</v>
      </c>
      <c r="CE932" s="11">
        <v>81210.0</v>
      </c>
      <c r="CF932" s="12"/>
      <c r="CG932" s="12"/>
      <c r="CH932" s="12"/>
      <c r="CI932" s="12"/>
      <c r="CJ932" s="12"/>
      <c r="CK932" s="12"/>
      <c r="CL932" s="11">
        <v>1590000.0</v>
      </c>
      <c r="CM932" s="11">
        <v>1960000.0</v>
      </c>
      <c r="CN932" s="11">
        <v>1080000.0</v>
      </c>
      <c r="CO932" s="11">
        <v>1420000.0</v>
      </c>
      <c r="CP932" s="12"/>
      <c r="CQ932" s="11">
        <v>7090.0</v>
      </c>
      <c r="CR932" s="11">
        <v>31210.0</v>
      </c>
      <c r="CS932" s="11">
        <v>20730.0</v>
      </c>
      <c r="CT932" s="11">
        <v>28160.0</v>
      </c>
      <c r="CU932" s="12"/>
      <c r="CV932" s="11">
        <v>143120.0</v>
      </c>
      <c r="CW932" s="11">
        <v>3580.0</v>
      </c>
      <c r="CX932" s="12"/>
      <c r="CY932" s="12"/>
      <c r="CZ932" s="12"/>
      <c r="DA932" s="12"/>
      <c r="DB932" s="11">
        <v>143120.0</v>
      </c>
      <c r="DC932" s="11">
        <v>222800.0</v>
      </c>
      <c r="DD932" s="11">
        <v>191460.0</v>
      </c>
      <c r="DE932" s="11">
        <v>162800.0</v>
      </c>
      <c r="DF932" s="11">
        <v>414610.0</v>
      </c>
      <c r="DG932" s="11">
        <v>431910.0</v>
      </c>
      <c r="DH932" s="11">
        <v>459190.0</v>
      </c>
      <c r="DI932" s="11">
        <v>575310.0</v>
      </c>
      <c r="DJ932" s="12"/>
      <c r="DK932" s="11">
        <v>170780.0</v>
      </c>
      <c r="DL932" s="11">
        <v>175620.0</v>
      </c>
      <c r="DM932" s="11">
        <v>148750.0</v>
      </c>
      <c r="DN932" s="11">
        <v>248050.0</v>
      </c>
      <c r="DO932" s="12"/>
      <c r="DP932" s="11">
        <v>132360.0</v>
      </c>
      <c r="DQ932" s="11">
        <v>33490.0</v>
      </c>
      <c r="DR932" s="11">
        <v>15690.0</v>
      </c>
      <c r="DS932" s="11">
        <v>12500.0</v>
      </c>
      <c r="DT932" s="12"/>
      <c r="DU932" s="13"/>
      <c r="DV932" s="12"/>
      <c r="DW932" s="11">
        <v>1180000.0</v>
      </c>
      <c r="DX932" s="11">
        <v>1180000.0</v>
      </c>
      <c r="DY932" s="13"/>
      <c r="DZ932" s="11">
        <v>1170000.0</v>
      </c>
      <c r="EA932" s="11">
        <v>1530000.0</v>
      </c>
      <c r="EB932" s="11">
        <v>625300.0</v>
      </c>
      <c r="EC932" s="11">
        <v>841850.0</v>
      </c>
      <c r="ED932" s="12"/>
      <c r="EE932" s="14">
        <v>1.943</v>
      </c>
      <c r="EF932" s="14">
        <v>6.688</v>
      </c>
      <c r="EG932" s="14">
        <v>0.114</v>
      </c>
      <c r="EH932" s="14">
        <v>0.093</v>
      </c>
    </row>
    <row r="933">
      <c r="A933" s="9">
        <f t="shared" si="2"/>
        <v>931</v>
      </c>
      <c r="B933" s="22" t="s">
        <v>1068</v>
      </c>
      <c r="C933" s="11">
        <v>4730.0</v>
      </c>
      <c r="D933" s="11">
        <v>2220.0</v>
      </c>
      <c r="E933" s="12"/>
      <c r="F933" s="12"/>
      <c r="G933" s="12"/>
      <c r="H933" s="12"/>
      <c r="I933" s="12"/>
      <c r="J933" s="11">
        <v>-503.0</v>
      </c>
      <c r="K933" s="11">
        <v>-127.0</v>
      </c>
      <c r="L933" s="11">
        <v>-126.0</v>
      </c>
      <c r="M933" s="11">
        <v>-23.0</v>
      </c>
      <c r="N933" s="11">
        <v>-11.0</v>
      </c>
      <c r="O933" s="11">
        <v>52620.0</v>
      </c>
      <c r="P933" s="11">
        <v>37050.0</v>
      </c>
      <c r="Q933" s="11">
        <v>18920.0</v>
      </c>
      <c r="R933" s="11">
        <v>28220.0</v>
      </c>
      <c r="S933" s="11">
        <v>24420.0</v>
      </c>
      <c r="T933" s="11">
        <v>42970.0</v>
      </c>
      <c r="U933" s="11">
        <v>28390.0</v>
      </c>
      <c r="V933" s="11">
        <v>12380.0</v>
      </c>
      <c r="W933" s="11">
        <v>22010.0</v>
      </c>
      <c r="X933" s="11">
        <v>18920.0</v>
      </c>
      <c r="Y933" s="11">
        <v>-54420.0</v>
      </c>
      <c r="Z933" s="12"/>
      <c r="AA933" s="12"/>
      <c r="AB933" s="12"/>
      <c r="AC933" s="12"/>
      <c r="AD933" s="11">
        <v>-54120.0</v>
      </c>
      <c r="AE933" s="11">
        <v>-36730.0</v>
      </c>
      <c r="AF933" s="11">
        <v>-18900.0</v>
      </c>
      <c r="AG933" s="11">
        <v>-28640.0</v>
      </c>
      <c r="AH933" s="11">
        <v>-24850.0</v>
      </c>
      <c r="AI933" s="11">
        <v>-52620.0</v>
      </c>
      <c r="AJ933" s="11">
        <v>-37050.0</v>
      </c>
      <c r="AK933" s="11">
        <v>-18920.0</v>
      </c>
      <c r="AL933" s="11">
        <v>-28220.0</v>
      </c>
      <c r="AM933" s="11">
        <v>-24420.0</v>
      </c>
      <c r="AN933" s="11">
        <v>-54120.0</v>
      </c>
      <c r="AO933" s="11">
        <v>-36730.0</v>
      </c>
      <c r="AP933" s="11">
        <v>-18900.0</v>
      </c>
      <c r="AQ933" s="11">
        <v>-28640.0</v>
      </c>
      <c r="AR933" s="11">
        <v>-24850.0</v>
      </c>
      <c r="AS933" s="11">
        <v>-48630.0</v>
      </c>
      <c r="AT933" s="11">
        <v>-27840.0</v>
      </c>
      <c r="AU933" s="11">
        <v>-18820.0</v>
      </c>
      <c r="AV933" s="11">
        <v>-24770.0</v>
      </c>
      <c r="AW933" s="11">
        <v>-20130.0</v>
      </c>
      <c r="AX933" s="11">
        <v>-388.0</v>
      </c>
      <c r="AY933" s="11">
        <v>-83.0</v>
      </c>
      <c r="AZ933" s="11">
        <v>-450.0</v>
      </c>
      <c r="BA933" s="11">
        <v>-644.0</v>
      </c>
      <c r="BB933" s="11">
        <v>-352.0</v>
      </c>
      <c r="BC933" s="12"/>
      <c r="BD933" s="12"/>
      <c r="BE933" s="12"/>
      <c r="BF933" s="12"/>
      <c r="BG933" s="12"/>
      <c r="BH933" s="11">
        <v>91680.0</v>
      </c>
      <c r="BI933" s="11">
        <v>72730.0</v>
      </c>
      <c r="BJ933" s="11">
        <v>53390.0</v>
      </c>
      <c r="BK933" s="11">
        <v>30100.0</v>
      </c>
      <c r="BL933" s="11">
        <v>56200.0</v>
      </c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1">
        <v>94130.0</v>
      </c>
      <c r="BX933" s="11">
        <v>73940.0</v>
      </c>
      <c r="BY933" s="11">
        <v>54370.0</v>
      </c>
      <c r="BZ933" s="11">
        <v>30300.0</v>
      </c>
      <c r="CA933" s="11">
        <v>57770.0</v>
      </c>
      <c r="CB933" s="11">
        <v>4470.0</v>
      </c>
      <c r="CC933" s="11">
        <v>1290.0</v>
      </c>
      <c r="CD933" s="11">
        <v>1340.0</v>
      </c>
      <c r="CE933" s="11">
        <v>1150.0</v>
      </c>
      <c r="CF933" s="11">
        <v>31.0</v>
      </c>
      <c r="CG933" s="12"/>
      <c r="CH933" s="12"/>
      <c r="CI933" s="12"/>
      <c r="CJ933" s="12"/>
      <c r="CK933" s="12"/>
      <c r="CL933" s="11">
        <v>98840.0</v>
      </c>
      <c r="CM933" s="11">
        <v>75230.0</v>
      </c>
      <c r="CN933" s="11">
        <v>60670.0</v>
      </c>
      <c r="CO933" s="11">
        <v>31450.0</v>
      </c>
      <c r="CP933" s="11">
        <v>59650.0</v>
      </c>
      <c r="CQ933" s="11">
        <v>2760.0</v>
      </c>
      <c r="CR933" s="11">
        <v>2470.0</v>
      </c>
      <c r="CS933" s="11">
        <v>927.0</v>
      </c>
      <c r="CT933" s="12"/>
      <c r="CU933" s="12"/>
      <c r="CV933" s="11">
        <v>8030.0</v>
      </c>
      <c r="CW933" s="11">
        <v>446.0</v>
      </c>
      <c r="CX933" s="12"/>
      <c r="CY933" s="12"/>
      <c r="CZ933" s="12"/>
      <c r="DA933" s="12"/>
      <c r="DB933" s="11">
        <v>8030.0</v>
      </c>
      <c r="DC933" s="11">
        <v>6910.0</v>
      </c>
      <c r="DD933" s="11">
        <v>2540.0</v>
      </c>
      <c r="DE933" s="11">
        <v>8080.0</v>
      </c>
      <c r="DF933" s="11">
        <v>11070.0</v>
      </c>
      <c r="DG933" s="11">
        <v>6910.0</v>
      </c>
      <c r="DH933" s="11">
        <v>2660.0</v>
      </c>
      <c r="DI933" s="11">
        <v>9970.0</v>
      </c>
      <c r="DJ933" s="11">
        <v>12730.0</v>
      </c>
      <c r="DK933" s="12"/>
      <c r="DL933" s="12"/>
      <c r="DM933" s="11">
        <v>4960.0</v>
      </c>
      <c r="DN933" s="12"/>
      <c r="DO933" s="11">
        <v>1490.0</v>
      </c>
      <c r="DP933" s="11">
        <v>3040.0</v>
      </c>
      <c r="DQ933" s="12"/>
      <c r="DR933" s="12"/>
      <c r="DS933" s="11">
        <v>1740.0</v>
      </c>
      <c r="DT933" s="11">
        <v>5240.0</v>
      </c>
      <c r="DU933" s="11">
        <v>28200.0</v>
      </c>
      <c r="DV933" s="12"/>
      <c r="DW933" s="12"/>
      <c r="DX933" s="13"/>
      <c r="DY933" s="13"/>
      <c r="DZ933" s="11">
        <v>87770.0</v>
      </c>
      <c r="EA933" s="11">
        <v>68330.0</v>
      </c>
      <c r="EB933" s="11">
        <v>58010.0</v>
      </c>
      <c r="EC933" s="11">
        <v>21480.0</v>
      </c>
      <c r="ED933" s="11">
        <v>46920.0</v>
      </c>
      <c r="EE933" s="23"/>
      <c r="EF933" s="23"/>
      <c r="EG933" s="14">
        <v>0.158</v>
      </c>
      <c r="EH933" s="14">
        <v>-0.279</v>
      </c>
    </row>
    <row r="934">
      <c r="A934" s="9">
        <f t="shared" si="2"/>
        <v>932</v>
      </c>
      <c r="B934" s="22" t="s">
        <v>1069</v>
      </c>
      <c r="C934" s="11">
        <v>2020.0</v>
      </c>
      <c r="D934" s="11">
        <v>1640.0</v>
      </c>
      <c r="E934" s="11">
        <v>42120.0</v>
      </c>
      <c r="F934" s="11">
        <v>10590.0</v>
      </c>
      <c r="G934" s="11">
        <v>17550.0</v>
      </c>
      <c r="H934" s="11">
        <v>25170.0</v>
      </c>
      <c r="I934" s="11">
        <v>10360.0</v>
      </c>
      <c r="J934" s="12"/>
      <c r="K934" s="12"/>
      <c r="L934" s="11">
        <v>16620.0</v>
      </c>
      <c r="M934" s="12"/>
      <c r="N934" s="12"/>
      <c r="O934" s="11">
        <v>71080.0</v>
      </c>
      <c r="P934" s="11">
        <v>74990.0</v>
      </c>
      <c r="Q934" s="11">
        <v>56230.0</v>
      </c>
      <c r="R934" s="11">
        <v>38340.0</v>
      </c>
      <c r="S934" s="11">
        <v>26400.0</v>
      </c>
      <c r="T934" s="11">
        <v>53800.0</v>
      </c>
      <c r="U934" s="11">
        <v>58660.0</v>
      </c>
      <c r="V934" s="11">
        <v>45770.0</v>
      </c>
      <c r="W934" s="11">
        <v>31470.0</v>
      </c>
      <c r="X934" s="11">
        <v>21110.0</v>
      </c>
      <c r="Y934" s="12"/>
      <c r="Z934" s="12"/>
      <c r="AA934" s="12"/>
      <c r="AB934" s="12"/>
      <c r="AC934" s="12"/>
      <c r="AD934" s="11">
        <v>-28210.0</v>
      </c>
      <c r="AE934" s="11">
        <v>-64260.0</v>
      </c>
      <c r="AF934" s="11">
        <v>-38710.0</v>
      </c>
      <c r="AG934" s="11">
        <v>-13700.0</v>
      </c>
      <c r="AH934" s="11">
        <v>-16430.0</v>
      </c>
      <c r="AI934" s="11">
        <v>-28960.0</v>
      </c>
      <c r="AJ934" s="11">
        <v>-64400.0</v>
      </c>
      <c r="AK934" s="11">
        <v>-38690.0</v>
      </c>
      <c r="AL934" s="11">
        <v>-13170.0</v>
      </c>
      <c r="AM934" s="11">
        <v>-16040.0</v>
      </c>
      <c r="AN934" s="11">
        <v>-28210.0</v>
      </c>
      <c r="AO934" s="11">
        <v>-64260.0</v>
      </c>
      <c r="AP934" s="11">
        <v>-38710.0</v>
      </c>
      <c r="AQ934" s="11">
        <v>-13700.0</v>
      </c>
      <c r="AR934" s="11">
        <v>-16430.0</v>
      </c>
      <c r="AS934" s="11">
        <v>-65860.0</v>
      </c>
      <c r="AT934" s="11">
        <v>-55220.0</v>
      </c>
      <c r="AU934" s="11">
        <v>-42680.0</v>
      </c>
      <c r="AV934" s="11">
        <v>31590.0</v>
      </c>
      <c r="AW934" s="11">
        <v>-9640.0</v>
      </c>
      <c r="AX934" s="11">
        <v>-605.0</v>
      </c>
      <c r="AY934" s="11">
        <v>-1370.0</v>
      </c>
      <c r="AZ934" s="11">
        <v>-1140.0</v>
      </c>
      <c r="BA934" s="11">
        <v>-1080.0</v>
      </c>
      <c r="BB934" s="11">
        <v>-619.0</v>
      </c>
      <c r="BC934" s="12"/>
      <c r="BD934" s="12"/>
      <c r="BE934" s="12"/>
      <c r="BF934" s="12"/>
      <c r="BG934" s="12"/>
      <c r="BH934" s="11">
        <v>99790.0</v>
      </c>
      <c r="BI934" s="11">
        <v>70130.0</v>
      </c>
      <c r="BJ934" s="11">
        <v>114730.0</v>
      </c>
      <c r="BK934" s="11">
        <v>100300.0</v>
      </c>
      <c r="BL934" s="11">
        <v>11530.0</v>
      </c>
      <c r="BM934" s="12"/>
      <c r="BN934" s="11">
        <v>459.0</v>
      </c>
      <c r="BO934" s="11">
        <v>784.0</v>
      </c>
      <c r="BP934" s="11">
        <v>1050.0</v>
      </c>
      <c r="BQ934" s="11">
        <v>640.0</v>
      </c>
      <c r="BR934" s="12"/>
      <c r="BS934" s="12"/>
      <c r="BT934" s="12"/>
      <c r="BU934" s="12"/>
      <c r="BV934" s="12"/>
      <c r="BW934" s="11">
        <v>101330.0</v>
      </c>
      <c r="BX934" s="11">
        <v>74310.0</v>
      </c>
      <c r="BY934" s="11">
        <v>117540.0</v>
      </c>
      <c r="BZ934" s="11">
        <v>102170.0</v>
      </c>
      <c r="CA934" s="11">
        <v>12750.0</v>
      </c>
      <c r="CB934" s="11">
        <v>4760.0</v>
      </c>
      <c r="CC934" s="11">
        <v>2690.0</v>
      </c>
      <c r="CD934" s="11">
        <v>2320.0</v>
      </c>
      <c r="CE934" s="11">
        <v>2480.0</v>
      </c>
      <c r="CF934" s="11">
        <v>1280.0</v>
      </c>
      <c r="CG934" s="12"/>
      <c r="CH934" s="12"/>
      <c r="CI934" s="12"/>
      <c r="CJ934" s="12"/>
      <c r="CK934" s="12"/>
      <c r="CL934" s="11">
        <v>107540.0</v>
      </c>
      <c r="CM934" s="11">
        <v>78500.0</v>
      </c>
      <c r="CN934" s="11">
        <v>130720.0</v>
      </c>
      <c r="CO934" s="11">
        <v>105090.0</v>
      </c>
      <c r="CP934" s="11">
        <v>14410.0</v>
      </c>
      <c r="CQ934" s="11">
        <v>7300.0</v>
      </c>
      <c r="CR934" s="11">
        <v>10730.0</v>
      </c>
      <c r="CS934" s="11">
        <v>3070.0</v>
      </c>
      <c r="CT934" s="11">
        <v>2070.0</v>
      </c>
      <c r="CU934" s="11">
        <v>2030.0</v>
      </c>
      <c r="CV934" s="11">
        <v>24070.0</v>
      </c>
      <c r="CW934" s="11">
        <v>2890.0</v>
      </c>
      <c r="CX934" s="12"/>
      <c r="CY934" s="12"/>
      <c r="CZ934" s="12"/>
      <c r="DA934" s="12"/>
      <c r="DB934" s="11">
        <v>24070.0</v>
      </c>
      <c r="DC934" s="11">
        <v>69430.0</v>
      </c>
      <c r="DD934" s="11">
        <v>31880.0</v>
      </c>
      <c r="DE934" s="11">
        <v>28390.0</v>
      </c>
      <c r="DF934" s="11">
        <v>29220.0</v>
      </c>
      <c r="DG934" s="11">
        <v>69710.0</v>
      </c>
      <c r="DH934" s="11">
        <v>60720.0</v>
      </c>
      <c r="DI934" s="11">
        <v>66260.0</v>
      </c>
      <c r="DJ934" s="11">
        <v>20810.0</v>
      </c>
      <c r="DK934" s="11">
        <v>321.0</v>
      </c>
      <c r="DL934" s="11">
        <v>371.0</v>
      </c>
      <c r="DM934" s="11">
        <v>10480.0</v>
      </c>
      <c r="DN934" s="11">
        <v>321.0</v>
      </c>
      <c r="DO934" s="12"/>
      <c r="DP934" s="11">
        <v>5150.0</v>
      </c>
      <c r="DQ934" s="12"/>
      <c r="DR934" s="12"/>
      <c r="DS934" s="12"/>
      <c r="DT934" s="12"/>
      <c r="DU934" s="13"/>
      <c r="DV934" s="12"/>
      <c r="DW934" s="12"/>
      <c r="DX934" s="11">
        <v>94450.0</v>
      </c>
      <c r="DY934" s="11">
        <v>36300.0</v>
      </c>
      <c r="DZ934" s="11">
        <v>78320.0</v>
      </c>
      <c r="EA934" s="11">
        <v>8800.0</v>
      </c>
      <c r="EB934" s="11">
        <v>69990.0</v>
      </c>
      <c r="EC934" s="11">
        <v>38830.0</v>
      </c>
      <c r="ED934" s="11">
        <v>-6400.0</v>
      </c>
      <c r="EE934" s="23"/>
      <c r="EF934" s="23"/>
      <c r="EG934" s="14">
        <v>-0.1</v>
      </c>
      <c r="EH934" s="14">
        <v>0.028</v>
      </c>
    </row>
    <row r="935">
      <c r="A935" s="9">
        <f t="shared" si="2"/>
        <v>933</v>
      </c>
      <c r="B935" s="10" t="s">
        <v>1070</v>
      </c>
      <c r="C935" s="11">
        <v>933120.0</v>
      </c>
      <c r="D935" s="11">
        <v>874600.0</v>
      </c>
      <c r="E935" s="11">
        <v>843270.0</v>
      </c>
      <c r="F935" s="11">
        <v>787590.0</v>
      </c>
      <c r="G935" s="11">
        <v>698120.0</v>
      </c>
      <c r="H935" s="11">
        <v>671140.0</v>
      </c>
      <c r="I935" s="11">
        <v>664990.0</v>
      </c>
      <c r="J935" s="11">
        <v>98650.0</v>
      </c>
      <c r="K935" s="11">
        <v>91740.0</v>
      </c>
      <c r="L935" s="11">
        <v>73980.0</v>
      </c>
      <c r="M935" s="11">
        <v>73840.0</v>
      </c>
      <c r="N935" s="11">
        <v>76120.0</v>
      </c>
      <c r="O935" s="11">
        <v>7770.0</v>
      </c>
      <c r="P935" s="11">
        <v>6800.0</v>
      </c>
      <c r="Q935" s="11">
        <v>6080.0</v>
      </c>
      <c r="R935" s="11">
        <v>6380.0</v>
      </c>
      <c r="S935" s="11">
        <v>5890.0</v>
      </c>
      <c r="T935" s="12"/>
      <c r="U935" s="12"/>
      <c r="V935" s="12"/>
      <c r="W935" s="12"/>
      <c r="X935" s="12"/>
      <c r="Y935" s="12"/>
      <c r="Z935" s="12"/>
      <c r="AA935" s="11"/>
      <c r="AB935" s="12"/>
      <c r="AC935" s="12"/>
      <c r="AD935" s="11">
        <v>77690.0</v>
      </c>
      <c r="AE935" s="11">
        <v>71030.0</v>
      </c>
      <c r="AF935" s="11">
        <v>56470.0</v>
      </c>
      <c r="AG935" s="11">
        <v>57070.0</v>
      </c>
      <c r="AH935" s="11">
        <v>60690.0</v>
      </c>
      <c r="AI935" s="11">
        <v>162960.0</v>
      </c>
      <c r="AJ935" s="11">
        <v>151690.0</v>
      </c>
      <c r="AK935" s="11">
        <v>136480.0</v>
      </c>
      <c r="AL935" s="11">
        <v>130250.0</v>
      </c>
      <c r="AM935" s="11">
        <v>126700.0</v>
      </c>
      <c r="AN935" s="11">
        <v>61070.0</v>
      </c>
      <c r="AO935" s="11">
        <v>55030.0</v>
      </c>
      <c r="AP935" s="11">
        <v>90280.0</v>
      </c>
      <c r="AQ935" s="11">
        <v>33460.0</v>
      </c>
      <c r="AR935" s="11">
        <v>35750.0</v>
      </c>
      <c r="AS935" s="11">
        <v>153180.0</v>
      </c>
      <c r="AT935" s="11">
        <v>150620.0</v>
      </c>
      <c r="AU935" s="11">
        <v>121880.0</v>
      </c>
      <c r="AV935" s="11">
        <v>133570.0</v>
      </c>
      <c r="AW935" s="11">
        <v>128240.0</v>
      </c>
      <c r="AX935" s="11">
        <v>-189400.0</v>
      </c>
      <c r="AY935" s="11">
        <v>-168520.0</v>
      </c>
      <c r="AZ935" s="11">
        <v>-156550.0</v>
      </c>
      <c r="BA935" s="11">
        <v>-162350.0</v>
      </c>
      <c r="BB935" s="11">
        <v>-187650.0</v>
      </c>
      <c r="BC935" s="11">
        <v>-42090.0</v>
      </c>
      <c r="BD935" s="11">
        <v>-5460.0</v>
      </c>
      <c r="BE935" s="11">
        <v>-4360.0</v>
      </c>
      <c r="BF935" s="11">
        <v>-3250.0</v>
      </c>
      <c r="BG935" s="11">
        <v>-3340.0</v>
      </c>
      <c r="BH935" s="11">
        <v>31460.0</v>
      </c>
      <c r="BI935" s="11">
        <v>56760.0</v>
      </c>
      <c r="BJ935" s="11">
        <v>15790.0</v>
      </c>
      <c r="BK935" s="12">
        <v>488.0</v>
      </c>
      <c r="BL935" s="12">
        <v>434.0</v>
      </c>
      <c r="BM935" s="11">
        <v>103500.0</v>
      </c>
      <c r="BN935" s="11">
        <v>88660.0</v>
      </c>
      <c r="BO935" s="11">
        <v>81020.0</v>
      </c>
      <c r="BP935" s="11">
        <v>73640.0</v>
      </c>
      <c r="BQ935" s="11">
        <v>81480.0</v>
      </c>
      <c r="BR935" s="11">
        <v>3390.0</v>
      </c>
      <c r="BS935" s="11">
        <v>3530.0</v>
      </c>
      <c r="BT935" s="11">
        <v>4320.0</v>
      </c>
      <c r="BU935" s="11">
        <v>4350.0</v>
      </c>
      <c r="BV935" s="11">
        <v>4010.0</v>
      </c>
      <c r="BW935" s="11">
        <v>154170.0</v>
      </c>
      <c r="BX935" s="11">
        <v>163530.0</v>
      </c>
      <c r="BY935" s="11">
        <v>116620.0</v>
      </c>
      <c r="BZ935" s="11">
        <v>93430.0</v>
      </c>
      <c r="CA935" s="11">
        <v>100050.0</v>
      </c>
      <c r="CB935" s="11">
        <v>641570.0</v>
      </c>
      <c r="CC935" s="11">
        <v>588230.0</v>
      </c>
      <c r="CD935" s="11">
        <v>571920.0</v>
      </c>
      <c r="CE935" s="11">
        <v>557830.0</v>
      </c>
      <c r="CF935" s="11">
        <v>528010.0</v>
      </c>
      <c r="CG935" s="11"/>
      <c r="CH935" s="11"/>
      <c r="CI935" s="11"/>
      <c r="CJ935" s="11"/>
      <c r="CK935" s="11"/>
      <c r="CL935" s="11">
        <v>808100.0</v>
      </c>
      <c r="CM935" s="11">
        <v>764200.0</v>
      </c>
      <c r="CN935" s="11">
        <v>699650.0</v>
      </c>
      <c r="CO935" s="11">
        <v>653750.0</v>
      </c>
      <c r="CP935" s="11">
        <v>641470.0</v>
      </c>
      <c r="CQ935" s="11">
        <v>22920.0</v>
      </c>
      <c r="CR935" s="11">
        <v>15700.0</v>
      </c>
      <c r="CS935" s="11">
        <v>16480.0</v>
      </c>
      <c r="CT935" s="11">
        <v>14390.0</v>
      </c>
      <c r="CU935" s="11">
        <v>12010.0</v>
      </c>
      <c r="CV935" s="11">
        <v>76330.0</v>
      </c>
      <c r="CW935" s="12">
        <v>529.0</v>
      </c>
      <c r="CX935" s="12"/>
      <c r="CY935" s="12"/>
      <c r="CZ935" s="12"/>
      <c r="DA935" s="12"/>
      <c r="DB935" s="11">
        <v>76330.0</v>
      </c>
      <c r="DC935" s="11">
        <v>71970.0</v>
      </c>
      <c r="DD935" s="11">
        <v>64280.0</v>
      </c>
      <c r="DE935" s="11">
        <v>60670.0</v>
      </c>
      <c r="DF935" s="11">
        <v>210510.0</v>
      </c>
      <c r="DG935" s="11">
        <v>188250.0</v>
      </c>
      <c r="DH935" s="11">
        <v>174150.0</v>
      </c>
      <c r="DI935" s="11">
        <v>216410.0</v>
      </c>
      <c r="DJ935" s="11">
        <v>232050.0</v>
      </c>
      <c r="DK935" s="12"/>
      <c r="DL935" s="11"/>
      <c r="DM935" s="11"/>
      <c r="DN935" s="11"/>
      <c r="DO935" s="12"/>
      <c r="DP935" s="12">
        <v>649.0</v>
      </c>
      <c r="DQ935" s="12"/>
      <c r="DR935" s="12"/>
      <c r="DS935" s="11">
        <v>7890.0</v>
      </c>
      <c r="DT935" s="11">
        <v>37870.0</v>
      </c>
      <c r="DU935" s="13"/>
      <c r="DV935" s="12"/>
      <c r="DW935" s="12"/>
      <c r="DX935" s="12"/>
      <c r="DY935" s="12"/>
      <c r="DZ935" s="11">
        <v>597590.0</v>
      </c>
      <c r="EA935" s="11">
        <v>575950.0</v>
      </c>
      <c r="EB935" s="11">
        <v>525500.0</v>
      </c>
      <c r="EC935" s="11">
        <v>437340.0</v>
      </c>
      <c r="ED935" s="11">
        <v>409420.0</v>
      </c>
      <c r="EE935" s="14">
        <v>0.029</v>
      </c>
      <c r="EF935" s="14">
        <v>0.082</v>
      </c>
      <c r="EG935" s="14">
        <v>0.467</v>
      </c>
      <c r="EH935" s="14">
        <v>0.16</v>
      </c>
    </row>
    <row r="936">
      <c r="A936" s="9">
        <f t="shared" si="2"/>
        <v>934</v>
      </c>
      <c r="B936" s="22" t="s">
        <v>1071</v>
      </c>
      <c r="C936" s="11">
        <v>17120.0</v>
      </c>
      <c r="D936" s="11">
        <v>3450.0</v>
      </c>
      <c r="E936" s="11">
        <v>3340.0</v>
      </c>
      <c r="F936" s="11">
        <v>12930.0</v>
      </c>
      <c r="G936" s="12"/>
      <c r="H936" s="12"/>
      <c r="I936" s="12"/>
      <c r="J936" s="12"/>
      <c r="K936" s="12"/>
      <c r="L936" s="11">
        <v>-184.0</v>
      </c>
      <c r="M936" s="11">
        <v>-180.0</v>
      </c>
      <c r="N936" s="11">
        <v>-212.0</v>
      </c>
      <c r="O936" s="11">
        <v>225190.0</v>
      </c>
      <c r="P936" s="11">
        <v>115380.0</v>
      </c>
      <c r="Q936" s="11">
        <v>71350.0</v>
      </c>
      <c r="R936" s="11">
        <v>83600.0</v>
      </c>
      <c r="S936" s="11">
        <v>64500.0</v>
      </c>
      <c r="T936" s="11">
        <v>182620.0</v>
      </c>
      <c r="U936" s="11">
        <v>93700.0</v>
      </c>
      <c r="V936" s="11">
        <v>58090.0</v>
      </c>
      <c r="W936" s="11">
        <v>68490.0</v>
      </c>
      <c r="X936" s="11">
        <v>48960.0</v>
      </c>
      <c r="Y936" s="12"/>
      <c r="Z936" s="12"/>
      <c r="AA936" s="12"/>
      <c r="AB936" s="12"/>
      <c r="AC936" s="12"/>
      <c r="AD936" s="11">
        <v>-213260.0</v>
      </c>
      <c r="AE936" s="11">
        <v>-98420.0</v>
      </c>
      <c r="AF936" s="11">
        <v>-70430.0</v>
      </c>
      <c r="AG936" s="11">
        <v>-83120.0</v>
      </c>
      <c r="AH936" s="11">
        <v>-64540.0</v>
      </c>
      <c r="AI936" s="11">
        <v>-221860.0</v>
      </c>
      <c r="AJ936" s="11">
        <v>-102450.0</v>
      </c>
      <c r="AK936" s="11">
        <v>-71350.0</v>
      </c>
      <c r="AL936" s="11">
        <v>-83600.0</v>
      </c>
      <c r="AM936" s="11">
        <v>-64500.0</v>
      </c>
      <c r="AN936" s="11">
        <v>-213260.0</v>
      </c>
      <c r="AO936" s="11">
        <v>-98420.0</v>
      </c>
      <c r="AP936" s="11">
        <v>-70430.0</v>
      </c>
      <c r="AQ936" s="11">
        <v>-83120.0</v>
      </c>
      <c r="AR936" s="11">
        <v>-64540.0</v>
      </c>
      <c r="AS936" s="11">
        <v>-147730.0</v>
      </c>
      <c r="AT936" s="11">
        <v>-70100.0</v>
      </c>
      <c r="AU936" s="11">
        <v>-64710.0</v>
      </c>
      <c r="AV936" s="11">
        <v>-68020.0</v>
      </c>
      <c r="AW936" s="11">
        <v>-50710.0</v>
      </c>
      <c r="AX936" s="11">
        <v>-1550.0</v>
      </c>
      <c r="AY936" s="11">
        <v>-122.0</v>
      </c>
      <c r="AZ936" s="11">
        <v>-81.0</v>
      </c>
      <c r="BA936" s="11">
        <v>-196.0</v>
      </c>
      <c r="BB936" s="11">
        <v>-329.0</v>
      </c>
      <c r="BC936" s="12"/>
      <c r="BD936" s="12"/>
      <c r="BE936" s="12"/>
      <c r="BF936" s="12"/>
      <c r="BG936" s="12"/>
      <c r="BH936" s="11">
        <v>415050.0</v>
      </c>
      <c r="BI936" s="11">
        <v>222790.0</v>
      </c>
      <c r="BJ936" s="11">
        <v>150840.0</v>
      </c>
      <c r="BK936" s="11">
        <v>56730.0</v>
      </c>
      <c r="BL936" s="11">
        <v>122330.0</v>
      </c>
      <c r="BM936" s="11">
        <v>1570.0</v>
      </c>
      <c r="BN936" s="11">
        <v>768.0</v>
      </c>
      <c r="BO936" s="11">
        <v>237.0</v>
      </c>
      <c r="BP936" s="11">
        <v>183.0</v>
      </c>
      <c r="BQ936" s="11">
        <v>237.0</v>
      </c>
      <c r="BR936" s="12"/>
      <c r="BS936" s="12"/>
      <c r="BT936" s="12"/>
      <c r="BU936" s="12"/>
      <c r="BV936" s="12"/>
      <c r="BW936" s="11">
        <v>424410.0</v>
      </c>
      <c r="BX936" s="11">
        <v>226660.0</v>
      </c>
      <c r="BY936" s="11">
        <v>155760.0</v>
      </c>
      <c r="BZ936" s="11">
        <v>59560.0</v>
      </c>
      <c r="CA936" s="11">
        <v>125400.0</v>
      </c>
      <c r="CB936" s="11">
        <v>2380.0</v>
      </c>
      <c r="CC936" s="11">
        <v>473.0</v>
      </c>
      <c r="CD936" s="11">
        <v>525.0</v>
      </c>
      <c r="CE936" s="11">
        <v>629.0</v>
      </c>
      <c r="CF936" s="11">
        <v>614.0</v>
      </c>
      <c r="CG936" s="12"/>
      <c r="CH936" s="12"/>
      <c r="CI936" s="12"/>
      <c r="CJ936" s="12"/>
      <c r="CK936" s="12"/>
      <c r="CL936" s="11">
        <v>432200.0</v>
      </c>
      <c r="CM936" s="11">
        <v>228450.0</v>
      </c>
      <c r="CN936" s="11">
        <v>157250.0</v>
      </c>
      <c r="CO936" s="11">
        <v>63440.0</v>
      </c>
      <c r="CP936" s="11">
        <v>128020.0</v>
      </c>
      <c r="CQ936" s="11">
        <v>16370.0</v>
      </c>
      <c r="CR936" s="11">
        <v>8530.0</v>
      </c>
      <c r="CS936" s="12"/>
      <c r="CT936" s="12"/>
      <c r="CU936" s="12"/>
      <c r="CV936" s="11">
        <v>48910.0</v>
      </c>
      <c r="CW936" s="11">
        <v>700.0</v>
      </c>
      <c r="CX936" s="12"/>
      <c r="CY936" s="12"/>
      <c r="CZ936" s="12"/>
      <c r="DA936" s="12"/>
      <c r="DB936" s="11">
        <v>48910.0</v>
      </c>
      <c r="DC936" s="11">
        <v>26150.0</v>
      </c>
      <c r="DD936" s="11">
        <v>13640.0</v>
      </c>
      <c r="DE936" s="11">
        <v>15000.0</v>
      </c>
      <c r="DF936" s="11">
        <v>49910.0</v>
      </c>
      <c r="DG936" s="11">
        <v>26880.0</v>
      </c>
      <c r="DH936" s="11">
        <v>13960.0</v>
      </c>
      <c r="DI936" s="11">
        <v>15140.0</v>
      </c>
      <c r="DJ936" s="11">
        <v>9840.0</v>
      </c>
      <c r="DK936" s="11">
        <v>5120.0</v>
      </c>
      <c r="DL936" s="11">
        <v>1320.0</v>
      </c>
      <c r="DM936" s="11">
        <v>962.0</v>
      </c>
      <c r="DN936" s="11">
        <v>3260.0</v>
      </c>
      <c r="DO936" s="12"/>
      <c r="DP936" s="12"/>
      <c r="DQ936" s="12"/>
      <c r="DR936" s="12"/>
      <c r="DS936" s="12"/>
      <c r="DT936" s="12"/>
      <c r="DU936" s="13"/>
      <c r="DV936" s="12"/>
      <c r="DW936" s="12"/>
      <c r="DX936" s="13"/>
      <c r="DY936" s="13"/>
      <c r="DZ936" s="11">
        <v>382300.0</v>
      </c>
      <c r="EA936" s="11">
        <v>201580.0</v>
      </c>
      <c r="EB936" s="11">
        <v>143290.0</v>
      </c>
      <c r="EC936" s="11">
        <v>48310.0</v>
      </c>
      <c r="ED936" s="11">
        <v>118180.0</v>
      </c>
      <c r="EE936" s="23"/>
      <c r="EF936" s="23"/>
      <c r="EG936" s="14">
        <v>0.096</v>
      </c>
      <c r="EH936" s="14">
        <v>-0.124</v>
      </c>
    </row>
    <row r="937">
      <c r="A937" s="9">
        <f t="shared" si="2"/>
        <v>935</v>
      </c>
      <c r="B937" s="22" t="s">
        <v>1072</v>
      </c>
      <c r="C937" s="11">
        <v>36500.0</v>
      </c>
      <c r="D937" s="11">
        <v>27120.0</v>
      </c>
      <c r="E937" s="11">
        <v>31130.0</v>
      </c>
      <c r="F937" s="11">
        <v>36870.0</v>
      </c>
      <c r="G937" s="11">
        <v>23370.0</v>
      </c>
      <c r="H937" s="11">
        <v>1470.0</v>
      </c>
      <c r="I937" s="11">
        <v>1460.0</v>
      </c>
      <c r="J937" s="12"/>
      <c r="K937" s="12"/>
      <c r="L937" s="12"/>
      <c r="M937" s="12"/>
      <c r="N937" s="12"/>
      <c r="O937" s="11">
        <v>88650.0</v>
      </c>
      <c r="P937" s="11">
        <v>66650.0</v>
      </c>
      <c r="Q937" s="11">
        <v>53580.0</v>
      </c>
      <c r="R937" s="11">
        <v>25460.0</v>
      </c>
      <c r="S937" s="11">
        <v>22630.0</v>
      </c>
      <c r="T937" s="11">
        <v>55680.0</v>
      </c>
      <c r="U937" s="11">
        <v>55140.0</v>
      </c>
      <c r="V937" s="11">
        <v>38490.0</v>
      </c>
      <c r="W937" s="11">
        <v>21010.0</v>
      </c>
      <c r="X937" s="11">
        <v>18130.0</v>
      </c>
      <c r="Y937" s="12"/>
      <c r="Z937" s="11">
        <v>-46060.0</v>
      </c>
      <c r="AA937" s="11">
        <v>-13240.0</v>
      </c>
      <c r="AB937" s="11">
        <v>-25890.0</v>
      </c>
      <c r="AC937" s="11">
        <v>-26280.0</v>
      </c>
      <c r="AD937" s="11">
        <v>-54960.0</v>
      </c>
      <c r="AE937" s="11">
        <v>-28210.0</v>
      </c>
      <c r="AF937" s="11">
        <v>-72780.0</v>
      </c>
      <c r="AG937" s="11">
        <v>-52240.0</v>
      </c>
      <c r="AH937" s="11">
        <v>-25710.0</v>
      </c>
      <c r="AI937" s="11">
        <v>-57520.0</v>
      </c>
      <c r="AJ937" s="11">
        <v>-43630.0</v>
      </c>
      <c r="AK937" s="11">
        <v>-39640.0</v>
      </c>
      <c r="AL937" s="11">
        <v>-23990.0</v>
      </c>
      <c r="AM937" s="11">
        <v>-21170.0</v>
      </c>
      <c r="AN937" s="11">
        <v>-55150.0</v>
      </c>
      <c r="AO937" s="11">
        <v>-28630.0</v>
      </c>
      <c r="AP937" s="11">
        <v>-73060.0</v>
      </c>
      <c r="AQ937" s="11">
        <v>-52240.0</v>
      </c>
      <c r="AR937" s="11">
        <v>-25710.0</v>
      </c>
      <c r="AS937" s="11">
        <v>-63050.0</v>
      </c>
      <c r="AT937" s="11">
        <v>-46270.0</v>
      </c>
      <c r="AU937" s="11">
        <v>-41150.0</v>
      </c>
      <c r="AV937" s="11">
        <v>-28370.0</v>
      </c>
      <c r="AW937" s="11">
        <v>-25480.0</v>
      </c>
      <c r="AX937" s="11">
        <v>-2600.0</v>
      </c>
      <c r="AY937" s="11">
        <v>-4340.0</v>
      </c>
      <c r="AZ937" s="11">
        <v>-817.0</v>
      </c>
      <c r="BA937" s="11">
        <v>-549.0</v>
      </c>
      <c r="BB937" s="11">
        <v>-114.0</v>
      </c>
      <c r="BC937" s="12"/>
      <c r="BD937" s="12"/>
      <c r="BE937" s="12"/>
      <c r="BF937" s="12"/>
      <c r="BG937" s="12"/>
      <c r="BH937" s="11">
        <v>239970.0</v>
      </c>
      <c r="BI937" s="11">
        <v>215600.0</v>
      </c>
      <c r="BJ937" s="11">
        <v>220610.0</v>
      </c>
      <c r="BK937" s="11">
        <v>72530.0</v>
      </c>
      <c r="BL937" s="11">
        <v>35690.0</v>
      </c>
      <c r="BM937" s="11">
        <v>2910.0</v>
      </c>
      <c r="BN937" s="11">
        <v>4860.0</v>
      </c>
      <c r="BO937" s="11">
        <v>3780.0</v>
      </c>
      <c r="BP937" s="11">
        <v>1350.0</v>
      </c>
      <c r="BQ937" s="11">
        <v>381.0</v>
      </c>
      <c r="BR937" s="12"/>
      <c r="BS937" s="12"/>
      <c r="BT937" s="12"/>
      <c r="BU937" s="12"/>
      <c r="BV937" s="12"/>
      <c r="BW937" s="11">
        <v>247370.0</v>
      </c>
      <c r="BX937" s="11">
        <v>223640.0</v>
      </c>
      <c r="BY937" s="11">
        <v>225910.0</v>
      </c>
      <c r="BZ937" s="11">
        <v>75010.0</v>
      </c>
      <c r="CA937" s="11">
        <v>37490.0</v>
      </c>
      <c r="CB937" s="11">
        <v>8930.0</v>
      </c>
      <c r="CC937" s="11">
        <v>2770.0</v>
      </c>
      <c r="CD937" s="11">
        <v>1400.0</v>
      </c>
      <c r="CE937" s="11">
        <v>683.0</v>
      </c>
      <c r="CF937" s="11">
        <v>353.0</v>
      </c>
      <c r="CG937" s="12"/>
      <c r="CH937" s="12"/>
      <c r="CI937" s="12"/>
      <c r="CJ937" s="12"/>
      <c r="CK937" s="12"/>
      <c r="CL937" s="11">
        <v>264710.0</v>
      </c>
      <c r="CM937" s="11">
        <v>249800.0</v>
      </c>
      <c r="CN937" s="11">
        <v>236320.0</v>
      </c>
      <c r="CO937" s="11">
        <v>76270.0</v>
      </c>
      <c r="CP937" s="11">
        <v>38560.0</v>
      </c>
      <c r="CQ937" s="11">
        <v>3030.0</v>
      </c>
      <c r="CR937" s="11">
        <v>4370.0</v>
      </c>
      <c r="CS937" s="11">
        <v>3430.0</v>
      </c>
      <c r="CT937" s="11">
        <v>2420.0</v>
      </c>
      <c r="CU937" s="11">
        <v>2630.0</v>
      </c>
      <c r="CV937" s="11">
        <v>36790.0</v>
      </c>
      <c r="CW937" s="11">
        <v>1380.0</v>
      </c>
      <c r="CX937" s="12"/>
      <c r="CY937" s="12"/>
      <c r="CZ937" s="24">
        <v>176.0</v>
      </c>
      <c r="DA937" s="11">
        <v>181.0</v>
      </c>
      <c r="DB937" s="11">
        <v>36790.0</v>
      </c>
      <c r="DC937" s="11">
        <v>33120.0</v>
      </c>
      <c r="DD937" s="11">
        <v>33210.0</v>
      </c>
      <c r="DE937" s="11">
        <v>8180.0</v>
      </c>
      <c r="DF937" s="11">
        <v>133410.0</v>
      </c>
      <c r="DG937" s="11">
        <v>144780.0</v>
      </c>
      <c r="DH937" s="11">
        <v>168370.0</v>
      </c>
      <c r="DI937" s="11">
        <v>40370.0</v>
      </c>
      <c r="DJ937" s="11">
        <v>7810.0</v>
      </c>
      <c r="DK937" s="11">
        <v>2010.0</v>
      </c>
      <c r="DL937" s="11">
        <v>19370.0</v>
      </c>
      <c r="DM937" s="11">
        <v>8480.0</v>
      </c>
      <c r="DN937" s="11">
        <v>176.0</v>
      </c>
      <c r="DO937" s="24">
        <v>237.0</v>
      </c>
      <c r="DP937" s="11">
        <v>3870.0</v>
      </c>
      <c r="DQ937" s="12"/>
      <c r="DR937" s="12"/>
      <c r="DS937" s="11">
        <v>336.0</v>
      </c>
      <c r="DT937" s="11">
        <v>528.0</v>
      </c>
      <c r="DU937" s="13"/>
      <c r="DV937" s="12"/>
      <c r="DW937" s="12"/>
      <c r="DX937" s="13"/>
      <c r="DY937" s="13"/>
      <c r="DZ937" s="11">
        <v>131300.0</v>
      </c>
      <c r="EA937" s="11">
        <v>105020.0</v>
      </c>
      <c r="EB937" s="11">
        <v>67960.0</v>
      </c>
      <c r="EC937" s="11">
        <v>35890.0</v>
      </c>
      <c r="ED937" s="11">
        <v>30740.0</v>
      </c>
      <c r="EE937" s="14">
        <v>0.154</v>
      </c>
      <c r="EF937" s="14">
        <v>0.637</v>
      </c>
      <c r="EG937" s="14">
        <v>0.115</v>
      </c>
      <c r="EH937" s="14">
        <v>-0.192</v>
      </c>
    </row>
    <row r="938">
      <c r="A938" s="9">
        <f t="shared" si="2"/>
        <v>936</v>
      </c>
      <c r="B938" s="10" t="s">
        <v>1073</v>
      </c>
      <c r="C938" s="15">
        <v>3480000.0</v>
      </c>
      <c r="D938" s="15">
        <v>3000000.0</v>
      </c>
      <c r="E938" s="15">
        <v>2700000.0</v>
      </c>
      <c r="F938" s="15">
        <v>2870000.0</v>
      </c>
      <c r="G938" s="15">
        <v>2410000.0</v>
      </c>
      <c r="H938" s="15">
        <v>2300000.0</v>
      </c>
      <c r="I938" s="15">
        <v>2650000.0</v>
      </c>
      <c r="J938" s="15">
        <v>1360000.0</v>
      </c>
      <c r="K938" s="15">
        <v>1460000.0</v>
      </c>
      <c r="L938" s="15">
        <v>1460000.0</v>
      </c>
      <c r="M938" s="15">
        <v>1290000.0</v>
      </c>
      <c r="N938" s="15">
        <v>1290000.0</v>
      </c>
      <c r="O938" s="15">
        <v>1540000.0</v>
      </c>
      <c r="P938" s="15">
        <v>1280000.0</v>
      </c>
      <c r="Q938" s="15">
        <v>959720.0</v>
      </c>
      <c r="R938" s="15">
        <v>0.0</v>
      </c>
      <c r="S938" s="15">
        <v>0.0</v>
      </c>
      <c r="T938" s="15">
        <v>1080000.0</v>
      </c>
      <c r="U938" s="15">
        <v>914010.0</v>
      </c>
      <c r="V938" s="15">
        <v>720230.0</v>
      </c>
      <c r="W938" s="15">
        <v>806230.0</v>
      </c>
      <c r="X938" s="15">
        <v>994390.0</v>
      </c>
      <c r="Y938" s="15">
        <v>-243360.0</v>
      </c>
      <c r="Z938" s="15">
        <v>43270.0</v>
      </c>
      <c r="AA938" s="15">
        <v>-75690.0</v>
      </c>
      <c r="AB938" s="15">
        <v>0.0</v>
      </c>
      <c r="AC938" s="15">
        <v>0.0</v>
      </c>
      <c r="AD938" s="15">
        <v>798380.0</v>
      </c>
      <c r="AE938" s="15">
        <v>-4650.0</v>
      </c>
      <c r="AF938" s="15">
        <v>451200.0</v>
      </c>
      <c r="AG938" s="15">
        <v>147430.0</v>
      </c>
      <c r="AH938" s="15">
        <v>-757820.0</v>
      </c>
      <c r="AI938" s="15">
        <v>342010.0</v>
      </c>
      <c r="AJ938" s="15">
        <v>481020.0</v>
      </c>
      <c r="AK938" s="15">
        <v>589280.0</v>
      </c>
      <c r="AL938" s="15">
        <v>0.0</v>
      </c>
      <c r="AM938" s="15">
        <v>0.0</v>
      </c>
      <c r="AN938" s="15">
        <v>1580000.0</v>
      </c>
      <c r="AO938" s="15">
        <v>-179090.0</v>
      </c>
      <c r="AP938" s="15">
        <v>433140.0</v>
      </c>
      <c r="AQ938" s="15">
        <v>0.0</v>
      </c>
      <c r="AR938" s="15">
        <v>0.0</v>
      </c>
      <c r="AS938" s="15">
        <v>360300.0</v>
      </c>
      <c r="AT938" s="15">
        <v>596740.0</v>
      </c>
      <c r="AU938" s="15">
        <v>556740.0</v>
      </c>
      <c r="AV938" s="15">
        <v>0.0</v>
      </c>
      <c r="AW938" s="15">
        <v>0.0</v>
      </c>
      <c r="AX938" s="15">
        <v>-86630.0</v>
      </c>
      <c r="AY938" s="15">
        <v>-87460.0</v>
      </c>
      <c r="AZ938" s="15">
        <v>-45140.0</v>
      </c>
      <c r="BA938" s="15">
        <v>0.0</v>
      </c>
      <c r="BB938" s="15">
        <v>0.0</v>
      </c>
      <c r="BC938" s="15">
        <v>-159570.0</v>
      </c>
      <c r="BD938" s="15">
        <v>-148080.0</v>
      </c>
      <c r="BE938" s="15">
        <v>-119250.0</v>
      </c>
      <c r="BF938" s="15">
        <v>-122290.0</v>
      </c>
      <c r="BG938" s="15">
        <v>-122820.0</v>
      </c>
      <c r="BH938" s="15">
        <v>647600.0</v>
      </c>
      <c r="BI938" s="15">
        <v>582410.0</v>
      </c>
      <c r="BJ938" s="15">
        <v>1840000.0</v>
      </c>
      <c r="BK938" s="15">
        <v>1670000.0</v>
      </c>
      <c r="BL938" s="15">
        <v>2280000.0</v>
      </c>
      <c r="BM938" s="15">
        <v>492350.0</v>
      </c>
      <c r="BN938" s="15">
        <v>493120.0</v>
      </c>
      <c r="BO938" s="15">
        <v>280400.0</v>
      </c>
      <c r="BP938" s="15">
        <v>335380.0</v>
      </c>
      <c r="BQ938" s="15">
        <v>323300.0</v>
      </c>
      <c r="BR938" s="15">
        <v>322980.0</v>
      </c>
      <c r="BS938" s="15">
        <v>276010.0</v>
      </c>
      <c r="BT938" s="15">
        <v>170040.0</v>
      </c>
      <c r="BU938" s="15">
        <v>170840.0</v>
      </c>
      <c r="BV938" s="15">
        <v>200960.0</v>
      </c>
      <c r="BW938" s="15">
        <v>1540000.0</v>
      </c>
      <c r="BX938" s="15">
        <v>1400000.0</v>
      </c>
      <c r="BY938" s="15">
        <v>2360000.0</v>
      </c>
      <c r="BZ938" s="15">
        <v>2290000.0</v>
      </c>
      <c r="CA938" s="15">
        <v>2950000.0</v>
      </c>
      <c r="CB938" s="15">
        <v>468000.0</v>
      </c>
      <c r="CC938" s="15">
        <v>318980.0</v>
      </c>
      <c r="CD938" s="15">
        <v>202220.0</v>
      </c>
      <c r="CE938" s="15">
        <v>243400.0</v>
      </c>
      <c r="CF938" s="15">
        <v>296780.0</v>
      </c>
      <c r="CG938" s="15">
        <v>5340000.0</v>
      </c>
      <c r="CH938" s="15">
        <v>5490000.0</v>
      </c>
      <c r="CI938" s="15">
        <v>1990000.0</v>
      </c>
      <c r="CJ938" s="15">
        <v>2000000.0</v>
      </c>
      <c r="CK938" s="15">
        <v>2000000.0</v>
      </c>
      <c r="CL938" s="15">
        <v>1.113E7</v>
      </c>
      <c r="CM938" s="15">
        <v>1.002E7</v>
      </c>
      <c r="CN938" s="15">
        <v>4710000.0</v>
      </c>
      <c r="CO938" s="15">
        <v>4650000.0</v>
      </c>
      <c r="CP938" s="15">
        <v>5440000.0</v>
      </c>
      <c r="CQ938" s="15">
        <v>213750.0</v>
      </c>
      <c r="CR938" s="15">
        <v>185360.0</v>
      </c>
      <c r="CS938" s="15">
        <v>145240.0</v>
      </c>
      <c r="CT938" s="15">
        <v>143480.0</v>
      </c>
      <c r="CU938" s="15">
        <v>180370.0</v>
      </c>
      <c r="CV938" s="15">
        <v>710170.0</v>
      </c>
      <c r="CW938" s="15">
        <v>28660.0</v>
      </c>
      <c r="CX938" s="15">
        <v>0.0</v>
      </c>
      <c r="CY938" s="16">
        <v>0.0</v>
      </c>
      <c r="CZ938" s="16">
        <v>0.0</v>
      </c>
      <c r="DA938" s="15">
        <v>0.0</v>
      </c>
      <c r="DB938" s="15">
        <v>710170.0</v>
      </c>
      <c r="DC938" s="15">
        <v>636800.0</v>
      </c>
      <c r="DD938" s="15">
        <v>421140.0</v>
      </c>
      <c r="DE938" s="15">
        <v>496420.0</v>
      </c>
      <c r="DF938" s="15">
        <v>2450000.0</v>
      </c>
      <c r="DG938" s="15">
        <v>2710000.0</v>
      </c>
      <c r="DH938" s="15">
        <v>566870.0</v>
      </c>
      <c r="DI938" s="15">
        <v>0.0</v>
      </c>
      <c r="DJ938" s="15">
        <v>0.0</v>
      </c>
      <c r="DK938" s="15">
        <v>0.0</v>
      </c>
      <c r="DL938" s="15">
        <v>0.0</v>
      </c>
      <c r="DM938" s="15">
        <v>0.0</v>
      </c>
      <c r="DN938" s="15">
        <v>0.0</v>
      </c>
      <c r="DO938" s="15">
        <v>0.0</v>
      </c>
      <c r="DP938" s="15">
        <v>1660000.0</v>
      </c>
      <c r="DQ938" s="15">
        <v>1740000.0</v>
      </c>
      <c r="DR938" s="15">
        <v>34060.0</v>
      </c>
      <c r="DS938" s="15">
        <v>14950.0</v>
      </c>
      <c r="DT938" s="15">
        <v>12460.0</v>
      </c>
      <c r="DU938" s="16">
        <v>0.0</v>
      </c>
      <c r="DV938" s="15">
        <v>0.0</v>
      </c>
      <c r="DW938" s="15">
        <v>0.0</v>
      </c>
      <c r="DX938" s="15">
        <v>0.0</v>
      </c>
      <c r="DY938" s="15">
        <v>0.0</v>
      </c>
      <c r="DZ938" s="15">
        <v>8680000.0</v>
      </c>
      <c r="EA938" s="15">
        <v>7310000.0</v>
      </c>
      <c r="EB938" s="15">
        <v>4140000.0</v>
      </c>
      <c r="EC938" s="15">
        <v>4030000.0</v>
      </c>
      <c r="ED938" s="15">
        <v>4140000.0</v>
      </c>
      <c r="EE938" s="17">
        <v>0.127</v>
      </c>
      <c r="EF938" s="17">
        <v>0.201</v>
      </c>
      <c r="EG938" s="17">
        <v>0.286</v>
      </c>
      <c r="EH938" s="17">
        <v>0.104</v>
      </c>
    </row>
    <row r="939">
      <c r="A939" s="9">
        <f t="shared" si="2"/>
        <v>937</v>
      </c>
      <c r="B939" s="10" t="s">
        <v>1074</v>
      </c>
      <c r="C939" s="15">
        <v>585730.0</v>
      </c>
      <c r="D939" s="15">
        <v>1290000.0</v>
      </c>
      <c r="E939" s="15">
        <v>23560.0</v>
      </c>
      <c r="F939" s="15">
        <v>19120.0</v>
      </c>
      <c r="G939" s="15">
        <v>18100.0</v>
      </c>
      <c r="H939" s="15">
        <v>11830.0</v>
      </c>
      <c r="I939" s="15">
        <v>0.0</v>
      </c>
      <c r="J939" s="15">
        <v>2330.0</v>
      </c>
      <c r="K939" s="15">
        <v>3510.0</v>
      </c>
      <c r="L939" s="15">
        <v>3760.0</v>
      </c>
      <c r="M939" s="15">
        <v>0.0</v>
      </c>
      <c r="N939" s="15">
        <v>0.0</v>
      </c>
      <c r="O939" s="15">
        <v>2080.0</v>
      </c>
      <c r="P939" s="15">
        <v>4110.0</v>
      </c>
      <c r="Q939" s="15">
        <v>3110.0</v>
      </c>
      <c r="R939" s="15">
        <v>1310.0</v>
      </c>
      <c r="S939" s="15">
        <v>0.0</v>
      </c>
      <c r="T939" s="15">
        <v>0.0</v>
      </c>
      <c r="U939" s="15">
        <v>0.0</v>
      </c>
      <c r="V939" s="15">
        <v>0.0</v>
      </c>
      <c r="W939" s="15">
        <v>0.0</v>
      </c>
      <c r="X939" s="15">
        <v>0.0</v>
      </c>
      <c r="Y939" s="15">
        <v>0.0</v>
      </c>
      <c r="Z939" s="15">
        <v>0.0</v>
      </c>
      <c r="AA939" s="15">
        <v>0.0</v>
      </c>
      <c r="AB939" s="15">
        <v>-6050.0</v>
      </c>
      <c r="AC939" s="15">
        <v>-2350.0</v>
      </c>
      <c r="AD939" s="15">
        <v>0.0</v>
      </c>
      <c r="AE939" s="15">
        <v>0.0</v>
      </c>
      <c r="AF939" s="15">
        <v>0.0</v>
      </c>
      <c r="AG939" s="15">
        <v>-5990.0</v>
      </c>
      <c r="AH939" s="15">
        <v>-2410.0</v>
      </c>
      <c r="AI939" s="15">
        <v>0.0</v>
      </c>
      <c r="AJ939" s="15">
        <v>0.0</v>
      </c>
      <c r="AK939" s="15">
        <v>0.0</v>
      </c>
      <c r="AL939" s="15">
        <v>-1140.0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-5910.0</v>
      </c>
      <c r="AR939" s="15">
        <v>-2460.0</v>
      </c>
      <c r="AS939" s="15">
        <v>1470.0</v>
      </c>
      <c r="AT939" s="15">
        <v>0.0</v>
      </c>
      <c r="AU939" s="15">
        <v>0.0</v>
      </c>
      <c r="AV939" s="15">
        <v>0.0</v>
      </c>
      <c r="AW939" s="15">
        <v>-2050.0</v>
      </c>
      <c r="AX939" s="15">
        <v>0.0</v>
      </c>
      <c r="AY939" s="15">
        <v>0.0</v>
      </c>
      <c r="AZ939" s="15">
        <v>0.0</v>
      </c>
      <c r="BA939" s="15">
        <v>0.0</v>
      </c>
      <c r="BB939" s="15">
        <v>0.0</v>
      </c>
      <c r="BC939" s="16">
        <v>0.0</v>
      </c>
      <c r="BD939" s="16">
        <v>0.0</v>
      </c>
      <c r="BE939" s="16">
        <v>0.0</v>
      </c>
      <c r="BF939" s="16">
        <v>0.0</v>
      </c>
      <c r="BG939" s="16">
        <v>0.0</v>
      </c>
      <c r="BH939" s="15">
        <v>2100.0</v>
      </c>
      <c r="BI939" s="15">
        <v>0.0</v>
      </c>
      <c r="BJ939" s="15">
        <v>1190.0</v>
      </c>
      <c r="BK939" s="15">
        <v>2350.0</v>
      </c>
      <c r="BL939" s="15">
        <v>1220.0</v>
      </c>
      <c r="BM939" s="15">
        <v>2950.0</v>
      </c>
      <c r="BN939" s="15">
        <v>2710.0</v>
      </c>
      <c r="BO939" s="15">
        <v>2520.0</v>
      </c>
      <c r="BP939" s="15">
        <v>2050.0</v>
      </c>
      <c r="BQ939" s="15">
        <v>0.0</v>
      </c>
      <c r="BR939" s="15">
        <v>0.0</v>
      </c>
      <c r="BS939" s="15">
        <v>0.0</v>
      </c>
      <c r="BT939" s="15">
        <v>0.0</v>
      </c>
      <c r="BU939" s="15">
        <v>0.0</v>
      </c>
      <c r="BV939" s="15">
        <v>0.0</v>
      </c>
      <c r="BW939" s="15">
        <v>5280.0</v>
      </c>
      <c r="BX939" s="15">
        <v>3790.0</v>
      </c>
      <c r="BY939" s="15">
        <v>3990.0</v>
      </c>
      <c r="BZ939" s="15">
        <v>4430.0</v>
      </c>
      <c r="CA939" s="15">
        <v>1380.0</v>
      </c>
      <c r="CB939" s="15">
        <v>0.0</v>
      </c>
      <c r="CC939" s="15">
        <v>0.0</v>
      </c>
      <c r="CD939" s="15">
        <v>0.0</v>
      </c>
      <c r="CE939" s="15">
        <v>0.0</v>
      </c>
      <c r="CF939" s="15">
        <v>0.0</v>
      </c>
      <c r="CG939" s="15">
        <v>0.0</v>
      </c>
      <c r="CH939" s="15">
        <v>0.0</v>
      </c>
      <c r="CI939" s="15">
        <v>0.0</v>
      </c>
      <c r="CJ939" s="15">
        <v>0.0</v>
      </c>
      <c r="CK939" s="15">
        <v>0.0</v>
      </c>
      <c r="CL939" s="15">
        <v>5430.0</v>
      </c>
      <c r="CM939" s="15">
        <v>4050.0</v>
      </c>
      <c r="CN939" s="15">
        <v>4240.0</v>
      </c>
      <c r="CO939" s="15">
        <v>4920.0</v>
      </c>
      <c r="CP939" s="15">
        <v>1380.0</v>
      </c>
      <c r="CQ939" s="15">
        <v>0.0</v>
      </c>
      <c r="CR939" s="15">
        <v>0.0</v>
      </c>
      <c r="CS939" s="15">
        <v>0.0</v>
      </c>
      <c r="CT939" s="15">
        <v>0.0</v>
      </c>
      <c r="CU939" s="15">
        <v>0.0</v>
      </c>
      <c r="CV939" s="15">
        <v>4400.0</v>
      </c>
      <c r="CW939" s="15">
        <v>0.0</v>
      </c>
      <c r="CX939" s="16">
        <v>0.0</v>
      </c>
      <c r="CY939" s="16">
        <v>0.0</v>
      </c>
      <c r="CZ939" s="16">
        <v>0.0</v>
      </c>
      <c r="DA939" s="15">
        <v>0.0</v>
      </c>
      <c r="DB939" s="15">
        <v>4400.0</v>
      </c>
      <c r="DC939" s="15">
        <v>2910.0</v>
      </c>
      <c r="DD939" s="15">
        <v>2140.0</v>
      </c>
      <c r="DE939" s="15">
        <v>3070.0</v>
      </c>
      <c r="DF939" s="15">
        <v>4690.0</v>
      </c>
      <c r="DG939" s="15">
        <v>3080.0</v>
      </c>
      <c r="DH939" s="15">
        <v>2600.0</v>
      </c>
      <c r="DI939" s="15">
        <v>3190.0</v>
      </c>
      <c r="DJ939" s="15">
        <v>0.0</v>
      </c>
      <c r="DK939" s="15">
        <v>0.0</v>
      </c>
      <c r="DL939" s="15">
        <v>0.0</v>
      </c>
      <c r="DM939" s="15">
        <v>0.0</v>
      </c>
      <c r="DN939" s="15">
        <v>0.0</v>
      </c>
      <c r="DO939" s="15">
        <v>0.0</v>
      </c>
      <c r="DP939" s="15">
        <v>0.0</v>
      </c>
      <c r="DQ939" s="15">
        <v>0.0</v>
      </c>
      <c r="DR939" s="15">
        <v>0.0</v>
      </c>
      <c r="DS939" s="15">
        <v>0.0</v>
      </c>
      <c r="DT939" s="15">
        <v>0.0</v>
      </c>
      <c r="DU939" s="16">
        <v>0.0</v>
      </c>
      <c r="DV939" s="15">
        <v>0.0</v>
      </c>
      <c r="DW939" s="15">
        <v>0.0</v>
      </c>
      <c r="DX939" s="15">
        <v>0.0</v>
      </c>
      <c r="DY939" s="16">
        <v>0.0</v>
      </c>
      <c r="DZ939" s="15">
        <v>0.0</v>
      </c>
      <c r="EA939" s="15">
        <v>0.0</v>
      </c>
      <c r="EB939" s="15">
        <v>1650.0</v>
      </c>
      <c r="EC939" s="15">
        <v>1730.0</v>
      </c>
      <c r="ED939" s="15">
        <v>1310.0</v>
      </c>
      <c r="EE939" s="17">
        <v>0.039</v>
      </c>
      <c r="EF939" s="17">
        <v>0.741</v>
      </c>
      <c r="EG939" s="17">
        <v>-8.029</v>
      </c>
      <c r="EH939" s="17">
        <v>-2.099</v>
      </c>
    </row>
    <row r="940">
      <c r="A940" s="9">
        <f t="shared" si="2"/>
        <v>938</v>
      </c>
      <c r="B940" s="10" t="s">
        <v>1075</v>
      </c>
      <c r="C940" s="15">
        <v>5.858E7</v>
      </c>
      <c r="D940" s="15">
        <v>5.111E7</v>
      </c>
      <c r="E940" s="15">
        <v>6.309E7</v>
      </c>
      <c r="F940" s="15">
        <v>6.445E7</v>
      </c>
      <c r="G940" s="15">
        <v>6.089E7</v>
      </c>
      <c r="H940" s="15">
        <v>5.134E7</v>
      </c>
      <c r="I940" s="15">
        <v>5.733E7</v>
      </c>
      <c r="J940" s="15">
        <v>3270000.0</v>
      </c>
      <c r="K940" s="15">
        <v>8480000.0</v>
      </c>
      <c r="L940" s="15">
        <v>7100000.0</v>
      </c>
      <c r="M940" s="15">
        <v>5940000.0</v>
      </c>
      <c r="N940" s="15">
        <v>2840000.0</v>
      </c>
      <c r="O940" s="15">
        <v>2100000.0</v>
      </c>
      <c r="P940" s="15">
        <v>2090000.0</v>
      </c>
      <c r="Q940" s="15">
        <v>2100000.0</v>
      </c>
      <c r="R940" s="15">
        <v>1990000.0</v>
      </c>
      <c r="S940" s="15">
        <v>2290000.0</v>
      </c>
      <c r="T940" s="15">
        <v>268930.0</v>
      </c>
      <c r="U940" s="15">
        <v>245810.0</v>
      </c>
      <c r="V940" s="15">
        <v>246470.0</v>
      </c>
      <c r="W940" s="15">
        <v>216060.0</v>
      </c>
      <c r="X940" s="15">
        <v>204700.0</v>
      </c>
      <c r="Y940" s="15">
        <v>-909540.0</v>
      </c>
      <c r="Z940" s="15">
        <v>5060000.0</v>
      </c>
      <c r="AA940" s="15">
        <v>5330000.0</v>
      </c>
      <c r="AB940" s="15">
        <v>3880000.0</v>
      </c>
      <c r="AC940" s="15">
        <v>-3840000.0</v>
      </c>
      <c r="AD940" s="15">
        <v>-2040000.0</v>
      </c>
      <c r="AE940" s="15">
        <v>3670000.0</v>
      </c>
      <c r="AF940" s="15">
        <v>4040000.0</v>
      </c>
      <c r="AG940" s="15">
        <v>1900000.0</v>
      </c>
      <c r="AH940" s="15">
        <v>-6330000.0</v>
      </c>
      <c r="AI940" s="15">
        <v>3900000.0</v>
      </c>
      <c r="AJ940" s="15">
        <v>8760000.0</v>
      </c>
      <c r="AK940" s="15">
        <v>7450000.0</v>
      </c>
      <c r="AL940" s="15">
        <v>6410000.0</v>
      </c>
      <c r="AM940" s="15">
        <v>3420000.0</v>
      </c>
      <c r="AN940" s="15">
        <v>-2190000.0</v>
      </c>
      <c r="AO940" s="15">
        <v>4360000.0</v>
      </c>
      <c r="AP940" s="15">
        <v>4050000.0</v>
      </c>
      <c r="AQ940" s="15">
        <v>1610000.0</v>
      </c>
      <c r="AR940" s="15">
        <v>-7170000.0</v>
      </c>
      <c r="AS940" s="15">
        <v>5380000.0</v>
      </c>
      <c r="AT940" s="15">
        <v>3560000.0</v>
      </c>
      <c r="AU940" s="15">
        <v>4050000.0</v>
      </c>
      <c r="AV940" s="15">
        <v>2450000.0</v>
      </c>
      <c r="AW940" s="15">
        <v>1940000.0</v>
      </c>
      <c r="AX940" s="15">
        <v>-3190000.0</v>
      </c>
      <c r="AY940" s="15">
        <v>-2800000.0</v>
      </c>
      <c r="AZ940" s="15">
        <v>-2500000.0</v>
      </c>
      <c r="BA940" s="15">
        <v>-2210000.0</v>
      </c>
      <c r="BB940" s="15">
        <v>-2440000.0</v>
      </c>
      <c r="BC940" s="15">
        <v>-181370.0</v>
      </c>
      <c r="BD940" s="15">
        <v>-85610.0</v>
      </c>
      <c r="BE940" s="16">
        <v>0.0</v>
      </c>
      <c r="BF940" s="16">
        <v>0.0</v>
      </c>
      <c r="BG940" s="15">
        <v>-298490.0</v>
      </c>
      <c r="BH940" s="15">
        <v>4450000.0</v>
      </c>
      <c r="BI940" s="15">
        <v>2060000.0</v>
      </c>
      <c r="BJ940" s="15">
        <v>2390000.0</v>
      </c>
      <c r="BK940" s="15">
        <v>2710000.0</v>
      </c>
      <c r="BL940" s="15">
        <v>3890000.0</v>
      </c>
      <c r="BM940" s="15">
        <v>4680000.0</v>
      </c>
      <c r="BN940" s="15">
        <v>5390000.0</v>
      </c>
      <c r="BO940" s="15">
        <v>4490000.0</v>
      </c>
      <c r="BP940" s="15">
        <v>3820000.0</v>
      </c>
      <c r="BQ940" s="15">
        <v>3690000.0</v>
      </c>
      <c r="BR940" s="15">
        <v>1.541E7</v>
      </c>
      <c r="BS940" s="15">
        <v>1.815E7</v>
      </c>
      <c r="BT940" s="15">
        <v>1.498E7</v>
      </c>
      <c r="BU940" s="15">
        <v>1.397E7</v>
      </c>
      <c r="BV940" s="15">
        <v>1.236E7</v>
      </c>
      <c r="BW940" s="15">
        <v>2.549E7</v>
      </c>
      <c r="BX940" s="15">
        <v>2.841E7</v>
      </c>
      <c r="BY940" s="15">
        <v>2.227E7</v>
      </c>
      <c r="BZ940" s="15">
        <v>2.109E7</v>
      </c>
      <c r="CA940" s="15">
        <v>2.055E7</v>
      </c>
      <c r="CB940" s="15">
        <v>3.228E7</v>
      </c>
      <c r="CC940" s="15">
        <v>3.118E7</v>
      </c>
      <c r="CD940" s="15">
        <v>3.079E7</v>
      </c>
      <c r="CE940" s="15">
        <v>3.302E7</v>
      </c>
      <c r="CF940" s="15">
        <v>3.294E7</v>
      </c>
      <c r="CG940" s="15">
        <v>4550000.0</v>
      </c>
      <c r="CH940" s="15">
        <v>4360000.0</v>
      </c>
      <c r="CI940" s="15">
        <v>4410000.0</v>
      </c>
      <c r="CJ940" s="15">
        <v>4980000.0</v>
      </c>
      <c r="CK940" s="15">
        <v>4730000.0</v>
      </c>
      <c r="CL940" s="15">
        <v>7.831E7</v>
      </c>
      <c r="CM940" s="15">
        <v>7.982E7</v>
      </c>
      <c r="CN940" s="15">
        <v>7.103E7</v>
      </c>
      <c r="CO940" s="15">
        <v>7.124E7</v>
      </c>
      <c r="CP940" s="15">
        <v>7.074E7</v>
      </c>
      <c r="CQ940" s="15">
        <v>1.124E7</v>
      </c>
      <c r="CR940" s="15">
        <v>1.223E7</v>
      </c>
      <c r="CS940" s="15">
        <v>1.118E7</v>
      </c>
      <c r="CT940" s="15">
        <v>1.103E7</v>
      </c>
      <c r="CU940" s="15">
        <v>8260000.0</v>
      </c>
      <c r="CV940" s="15">
        <v>1.896E7</v>
      </c>
      <c r="CW940" s="15">
        <v>1640000.0</v>
      </c>
      <c r="CX940" s="15">
        <v>1720000.0</v>
      </c>
      <c r="CY940" s="15">
        <v>1440000.0</v>
      </c>
      <c r="CZ940" s="15">
        <v>1060000.0</v>
      </c>
      <c r="DA940" s="15">
        <v>402280.0</v>
      </c>
      <c r="DB940" s="15">
        <v>1.896E7</v>
      </c>
      <c r="DC940" s="15">
        <v>2.052E7</v>
      </c>
      <c r="DD940" s="15">
        <v>1.783E7</v>
      </c>
      <c r="DE940" s="15">
        <v>1.717E7</v>
      </c>
      <c r="DF940" s="15">
        <v>4.225E7</v>
      </c>
      <c r="DG940" s="15">
        <v>4.124E7</v>
      </c>
      <c r="DH940" s="15">
        <v>3.701E7</v>
      </c>
      <c r="DI940" s="15">
        <v>4.059E7</v>
      </c>
      <c r="DJ940" s="15">
        <v>4.702E7</v>
      </c>
      <c r="DK940" s="15">
        <v>6620000.0</v>
      </c>
      <c r="DL940" s="15">
        <v>5570000.0</v>
      </c>
      <c r="DM940" s="15">
        <v>6290000.0</v>
      </c>
      <c r="DN940" s="15">
        <v>5310000.0</v>
      </c>
      <c r="DO940" s="15">
        <v>5410000.0</v>
      </c>
      <c r="DP940" s="15">
        <v>1.022E7</v>
      </c>
      <c r="DQ940" s="15">
        <v>8150000.0</v>
      </c>
      <c r="DR940" s="15">
        <v>8450000.0</v>
      </c>
      <c r="DS940" s="15">
        <v>1.118E7</v>
      </c>
      <c r="DT940" s="15">
        <v>1.775E7</v>
      </c>
      <c r="DU940" s="15">
        <v>0.0</v>
      </c>
      <c r="DV940" s="15">
        <v>0.0</v>
      </c>
      <c r="DW940" s="15">
        <v>0.0</v>
      </c>
      <c r="DX940" s="15">
        <v>0.0</v>
      </c>
      <c r="DY940" s="16">
        <v>0.0</v>
      </c>
      <c r="DZ940" s="15">
        <v>3.432E7</v>
      </c>
      <c r="EA940" s="15">
        <v>3.682E7</v>
      </c>
      <c r="EB940" s="15">
        <v>3.23E7</v>
      </c>
      <c r="EC940" s="15">
        <v>2.857E7</v>
      </c>
      <c r="ED940" s="15">
        <v>2.161E7</v>
      </c>
      <c r="EE940" s="17">
        <v>0.19</v>
      </c>
      <c r="EF940" s="17">
        <v>0.177</v>
      </c>
      <c r="EG940" s="17">
        <v>-21.4</v>
      </c>
      <c r="EH940" s="17">
        <v>-5.399</v>
      </c>
    </row>
    <row r="941">
      <c r="A941" s="9">
        <f t="shared" si="2"/>
        <v>939</v>
      </c>
      <c r="B941" s="22" t="s">
        <v>1076</v>
      </c>
      <c r="C941" s="11">
        <v>22800.0</v>
      </c>
      <c r="D941" s="11">
        <v>22990.0</v>
      </c>
      <c r="E941" s="11">
        <v>22270.0</v>
      </c>
      <c r="F941" s="11">
        <v>13290.0</v>
      </c>
      <c r="G941" s="11">
        <v>3400.0</v>
      </c>
      <c r="H941" s="11">
        <v>1880.0</v>
      </c>
      <c r="I941" s="11">
        <v>76920.0</v>
      </c>
      <c r="J941" s="12"/>
      <c r="K941" s="12"/>
      <c r="L941" s="12"/>
      <c r="M941" s="12"/>
      <c r="N941" s="12"/>
      <c r="O941" s="11">
        <v>68500.0</v>
      </c>
      <c r="P941" s="11">
        <v>43310.0</v>
      </c>
      <c r="Q941" s="11">
        <v>15690.0</v>
      </c>
      <c r="R941" s="11">
        <v>12430.0</v>
      </c>
      <c r="S941" s="11">
        <v>48990.0</v>
      </c>
      <c r="T941" s="11">
        <v>50520.0</v>
      </c>
      <c r="U941" s="11">
        <v>30200.0</v>
      </c>
      <c r="V941" s="11">
        <v>9490.0</v>
      </c>
      <c r="W941" s="11">
        <v>8020.0</v>
      </c>
      <c r="X941" s="11">
        <v>40270.0</v>
      </c>
      <c r="Y941" s="11">
        <v>-70450.0</v>
      </c>
      <c r="Z941" s="11">
        <v>-30050.0</v>
      </c>
      <c r="AA941" s="11">
        <v>-22340.0</v>
      </c>
      <c r="AB941" s="24">
        <v>3.0</v>
      </c>
      <c r="AC941" s="11">
        <v>43700.0</v>
      </c>
      <c r="AD941" s="11">
        <v>-69420.0</v>
      </c>
      <c r="AE941" s="11">
        <v>-30290.0</v>
      </c>
      <c r="AF941" s="11">
        <v>-23140.0</v>
      </c>
      <c r="AG941" s="11">
        <v>-11030.0</v>
      </c>
      <c r="AH941" s="11">
        <v>43820.0</v>
      </c>
      <c r="AI941" s="11">
        <v>-46230.0</v>
      </c>
      <c r="AJ941" s="11">
        <v>-30030.0</v>
      </c>
      <c r="AK941" s="11">
        <v>-12290.0</v>
      </c>
      <c r="AL941" s="11">
        <v>-10550.0</v>
      </c>
      <c r="AM941" s="11">
        <v>27930.0</v>
      </c>
      <c r="AN941" s="11">
        <v>-69420.0</v>
      </c>
      <c r="AO941" s="11">
        <v>-30290.0</v>
      </c>
      <c r="AP941" s="11">
        <v>-23140.0</v>
      </c>
      <c r="AQ941" s="11">
        <v>-11030.0</v>
      </c>
      <c r="AR941" s="11">
        <v>43820.0</v>
      </c>
      <c r="AS941" s="11">
        <v>-25240.0</v>
      </c>
      <c r="AT941" s="11">
        <v>-4470.0</v>
      </c>
      <c r="AU941" s="11">
        <v>-14260.0</v>
      </c>
      <c r="AV941" s="11">
        <v>-9030.0</v>
      </c>
      <c r="AW941" s="11">
        <v>-38000.0</v>
      </c>
      <c r="AX941" s="11">
        <v>-9650.0</v>
      </c>
      <c r="AY941" s="11">
        <v>-5720.0</v>
      </c>
      <c r="AZ941" s="11">
        <v>-1500.0</v>
      </c>
      <c r="BA941" s="11">
        <v>-689.0</v>
      </c>
      <c r="BB941" s="11">
        <v>-109.0</v>
      </c>
      <c r="BC941" s="12"/>
      <c r="BD941" s="12"/>
      <c r="BE941" s="12"/>
      <c r="BF941" s="12"/>
      <c r="BG941" s="12"/>
      <c r="BH941" s="11">
        <v>125080.0</v>
      </c>
      <c r="BI941" s="11">
        <v>97960.0</v>
      </c>
      <c r="BJ941" s="11">
        <v>58910.0</v>
      </c>
      <c r="BK941" s="11">
        <v>1720.0</v>
      </c>
      <c r="BL941" s="11">
        <v>48680.0</v>
      </c>
      <c r="BM941" s="11">
        <v>7510.0</v>
      </c>
      <c r="BN941" s="11">
        <v>4340.0</v>
      </c>
      <c r="BO941" s="12"/>
      <c r="BP941" s="12"/>
      <c r="BQ941" s="11">
        <v>1890.0</v>
      </c>
      <c r="BR941" s="12"/>
      <c r="BS941" s="12"/>
      <c r="BT941" s="12"/>
      <c r="BU941" s="12"/>
      <c r="BV941" s="12"/>
      <c r="BW941" s="11">
        <v>139900.0</v>
      </c>
      <c r="BX941" s="11">
        <v>104860.0</v>
      </c>
      <c r="BY941" s="11">
        <v>60410.0</v>
      </c>
      <c r="BZ941" s="11">
        <v>1840.0</v>
      </c>
      <c r="CA941" s="11">
        <v>53170.0</v>
      </c>
      <c r="CB941" s="11">
        <v>28120.0</v>
      </c>
      <c r="CC941" s="11">
        <v>6850.0</v>
      </c>
      <c r="CD941" s="11">
        <v>1950.0</v>
      </c>
      <c r="CE941" s="11">
        <v>334.0</v>
      </c>
      <c r="CF941" s="11">
        <v>333.0</v>
      </c>
      <c r="CG941" s="12"/>
      <c r="CH941" s="12"/>
      <c r="CI941" s="12"/>
      <c r="CJ941" s="12"/>
      <c r="CK941" s="12"/>
      <c r="CL941" s="11">
        <v>174200.0</v>
      </c>
      <c r="CM941" s="11">
        <v>140160.0</v>
      </c>
      <c r="CN941" s="11">
        <v>90390.0</v>
      </c>
      <c r="CO941" s="11">
        <v>3100.0</v>
      </c>
      <c r="CP941" s="11">
        <v>53670.0</v>
      </c>
      <c r="CQ941" s="11">
        <v>1470.0</v>
      </c>
      <c r="CR941" s="11">
        <v>780.0</v>
      </c>
      <c r="CS941" s="11">
        <v>2520.0</v>
      </c>
      <c r="CT941" s="11">
        <v>934.0</v>
      </c>
      <c r="CU941" s="11">
        <v>725.0</v>
      </c>
      <c r="CV941" s="11">
        <v>35800.0</v>
      </c>
      <c r="CW941" s="11">
        <v>1680.0</v>
      </c>
      <c r="CX941" s="12"/>
      <c r="CY941" s="12"/>
      <c r="CZ941" s="11">
        <v>7320.0</v>
      </c>
      <c r="DA941" s="12"/>
      <c r="DB941" s="11">
        <v>35800.0</v>
      </c>
      <c r="DC941" s="11">
        <v>32510.0</v>
      </c>
      <c r="DD941" s="11">
        <v>10440.0</v>
      </c>
      <c r="DE941" s="11">
        <v>13770.0</v>
      </c>
      <c r="DF941" s="11">
        <v>71170.0</v>
      </c>
      <c r="DG941" s="11">
        <v>39250.0</v>
      </c>
      <c r="DH941" s="11">
        <v>13100.0</v>
      </c>
      <c r="DI941" s="11">
        <v>17030.0</v>
      </c>
      <c r="DJ941" s="11">
        <v>12820.0</v>
      </c>
      <c r="DK941" s="11">
        <v>4510.0</v>
      </c>
      <c r="DL941" s="12"/>
      <c r="DM941" s="12"/>
      <c r="DN941" s="12"/>
      <c r="DO941" s="12"/>
      <c r="DP941" s="11">
        <v>14620.0</v>
      </c>
      <c r="DQ941" s="11">
        <v>3250.0</v>
      </c>
      <c r="DR941" s="11">
        <v>1080.0</v>
      </c>
      <c r="DS941" s="11">
        <v>3170.0</v>
      </c>
      <c r="DT941" s="12"/>
      <c r="DU941" s="13"/>
      <c r="DV941" s="12"/>
      <c r="DW941" s="12"/>
      <c r="DX941" s="11">
        <v>25870.0</v>
      </c>
      <c r="DY941" s="13"/>
      <c r="DZ941" s="11">
        <v>103030.0</v>
      </c>
      <c r="EA941" s="11">
        <v>100910.0</v>
      </c>
      <c r="EB941" s="11">
        <v>77290.0</v>
      </c>
      <c r="EC941" s="11">
        <v>-13930.0</v>
      </c>
      <c r="ED941" s="11">
        <v>40850.0</v>
      </c>
      <c r="EE941" s="14">
        <v>0.385</v>
      </c>
      <c r="EF941" s="23"/>
      <c r="EG941" s="14">
        <v>-0.417</v>
      </c>
      <c r="EH941" s="14">
        <v>-1.212</v>
      </c>
    </row>
    <row r="942">
      <c r="A942" s="9">
        <f t="shared" si="2"/>
        <v>940</v>
      </c>
      <c r="B942" s="10" t="s">
        <v>1077</v>
      </c>
      <c r="C942" s="11">
        <v>4150000.0</v>
      </c>
      <c r="D942" s="11">
        <v>4010000.0</v>
      </c>
      <c r="E942" s="11">
        <v>3670000.0</v>
      </c>
      <c r="F942" s="11">
        <v>3530000.0</v>
      </c>
      <c r="G942" s="11">
        <v>3240000.0</v>
      </c>
      <c r="H942" s="11">
        <v>3040000.0</v>
      </c>
      <c r="I942" s="11">
        <v>2580000.0</v>
      </c>
      <c r="J942" s="11">
        <v>689300.0</v>
      </c>
      <c r="K942" s="11">
        <v>644560.0</v>
      </c>
      <c r="L942" s="11">
        <v>581400.0</v>
      </c>
      <c r="M942" s="11">
        <v>557700.0</v>
      </c>
      <c r="N942" s="11">
        <v>500380.0</v>
      </c>
      <c r="O942" s="11">
        <v>392820.0</v>
      </c>
      <c r="P942" s="11">
        <v>380380.0</v>
      </c>
      <c r="Q942" s="11">
        <v>345690.0</v>
      </c>
      <c r="R942" s="11">
        <v>338900.0</v>
      </c>
      <c r="S942" s="11">
        <v>301270.0</v>
      </c>
      <c r="T942" s="11"/>
      <c r="U942" s="11"/>
      <c r="V942" s="11"/>
      <c r="W942" s="11"/>
      <c r="X942" s="11"/>
      <c r="Y942" s="11">
        <v>290840.0</v>
      </c>
      <c r="Z942" s="11">
        <v>262290.0</v>
      </c>
      <c r="AA942" s="11">
        <v>228710.0</v>
      </c>
      <c r="AB942" s="11">
        <v>199240.0</v>
      </c>
      <c r="AC942" s="11">
        <v>-6600.0</v>
      </c>
      <c r="AD942" s="11">
        <v>302950.0</v>
      </c>
      <c r="AE942" s="11">
        <v>283250.0</v>
      </c>
      <c r="AF942" s="11">
        <v>247520.0</v>
      </c>
      <c r="AG942" s="11">
        <v>218060.0</v>
      </c>
      <c r="AH942" s="11">
        <v>189460.0</v>
      </c>
      <c r="AI942" s="11">
        <v>319190.0</v>
      </c>
      <c r="AJ942" s="11">
        <v>291150.0</v>
      </c>
      <c r="AK942" s="11">
        <v>252410.0</v>
      </c>
      <c r="AL942" s="11">
        <v>217340.0</v>
      </c>
      <c r="AM942" s="11">
        <v>212920.0</v>
      </c>
      <c r="AN942" s="11">
        <v>249660.0</v>
      </c>
      <c r="AO942" s="11">
        <v>227330.0</v>
      </c>
      <c r="AP942" s="11">
        <v>143260.0</v>
      </c>
      <c r="AQ942" s="11">
        <v>149540.0</v>
      </c>
      <c r="AR942" s="11">
        <v>128740.0</v>
      </c>
      <c r="AS942" s="11">
        <v>358370.0</v>
      </c>
      <c r="AT942" s="11">
        <v>262800.0</v>
      </c>
      <c r="AU942" s="11">
        <v>-85790.0</v>
      </c>
      <c r="AV942" s="11">
        <v>-99800.0</v>
      </c>
      <c r="AW942" s="11">
        <v>-3340.0</v>
      </c>
      <c r="AX942" s="11">
        <v>-24390.0</v>
      </c>
      <c r="AY942" s="11">
        <v>-33420.0</v>
      </c>
      <c r="AZ942" s="11">
        <v>-18100.0</v>
      </c>
      <c r="BA942" s="11">
        <v>-16660.0</v>
      </c>
      <c r="BB942" s="11">
        <v>-16090.0</v>
      </c>
      <c r="BC942" s="12"/>
      <c r="BD942" s="12"/>
      <c r="BE942" s="12"/>
      <c r="BF942" s="12"/>
      <c r="BG942" s="12"/>
      <c r="BH942" s="11">
        <v>319470.0</v>
      </c>
      <c r="BI942" s="11">
        <v>311470.0</v>
      </c>
      <c r="BJ942" s="11">
        <v>170750.0</v>
      </c>
      <c r="BK942" s="11">
        <v>131700.0</v>
      </c>
      <c r="BL942" s="11">
        <v>262210.0</v>
      </c>
      <c r="BM942" s="11">
        <v>88490.0</v>
      </c>
      <c r="BN942" s="11">
        <v>77290.0</v>
      </c>
      <c r="BO942" s="11">
        <v>79320.0</v>
      </c>
      <c r="BP942" s="11">
        <v>70360.0</v>
      </c>
      <c r="BQ942" s="11">
        <v>57300.0</v>
      </c>
      <c r="BR942" s="11">
        <v>2740000.0</v>
      </c>
      <c r="BS942" s="11">
        <v>2740000.0</v>
      </c>
      <c r="BT942" s="11">
        <v>2730000.0</v>
      </c>
      <c r="BU942" s="11">
        <v>2420000.0</v>
      </c>
      <c r="BV942" s="11">
        <v>2100000.0</v>
      </c>
      <c r="BW942" s="11">
        <v>3200000.0</v>
      </c>
      <c r="BX942" s="11">
        <v>3180000.0</v>
      </c>
      <c r="BY942" s="11">
        <v>3080000.0</v>
      </c>
      <c r="BZ942" s="11">
        <v>2710000.0</v>
      </c>
      <c r="CA942" s="11">
        <v>2510000.0</v>
      </c>
      <c r="CB942" s="11">
        <v>76940.0</v>
      </c>
      <c r="CC942" s="11">
        <v>54600.0</v>
      </c>
      <c r="CD942" s="11">
        <v>33630.0</v>
      </c>
      <c r="CE942" s="11">
        <v>33200.0</v>
      </c>
      <c r="CF942" s="11">
        <v>33970.0</v>
      </c>
      <c r="CG942" s="11">
        <v>32960.0</v>
      </c>
      <c r="CH942" s="11">
        <v>32960.0</v>
      </c>
      <c r="CI942" s="11">
        <v>32960.0</v>
      </c>
      <c r="CJ942" s="11">
        <v>32960.0</v>
      </c>
      <c r="CK942" s="11">
        <v>32960.0</v>
      </c>
      <c r="CL942" s="11">
        <v>3410000.0</v>
      </c>
      <c r="CM942" s="11">
        <v>3370000.0</v>
      </c>
      <c r="CN942" s="11">
        <v>3260000.0</v>
      </c>
      <c r="CO942" s="11">
        <v>2890000.0</v>
      </c>
      <c r="CP942" s="11">
        <v>2690000.0</v>
      </c>
      <c r="CQ942" s="11">
        <v>155020.0</v>
      </c>
      <c r="CR942" s="11">
        <v>128170.0</v>
      </c>
      <c r="CS942" s="11">
        <v>140520.0</v>
      </c>
      <c r="CT942" s="11">
        <v>140680.0</v>
      </c>
      <c r="CU942" s="11">
        <v>106440.0</v>
      </c>
      <c r="CV942" s="11">
        <v>395710.0</v>
      </c>
      <c r="CW942" s="11">
        <v>8640.0</v>
      </c>
      <c r="CX942" s="13"/>
      <c r="CY942" s="11"/>
      <c r="CZ942" s="13"/>
      <c r="DA942" s="12"/>
      <c r="DB942" s="11">
        <v>395710.0</v>
      </c>
      <c r="DC942" s="11">
        <v>340040.0</v>
      </c>
      <c r="DD942" s="11">
        <v>580880.0</v>
      </c>
      <c r="DE942" s="11">
        <v>363840.0</v>
      </c>
      <c r="DF942" s="11">
        <v>1430000.0</v>
      </c>
      <c r="DG942" s="11">
        <v>1650000.0</v>
      </c>
      <c r="DH942" s="11">
        <v>1680000.0</v>
      </c>
      <c r="DI942" s="11">
        <v>1470000.0</v>
      </c>
      <c r="DJ942" s="11">
        <v>1430000.0</v>
      </c>
      <c r="DK942" s="11">
        <v>4440.0</v>
      </c>
      <c r="DL942" s="11">
        <v>17480.0</v>
      </c>
      <c r="DM942" s="11">
        <v>17070.0</v>
      </c>
      <c r="DN942" s="11">
        <v>17100.0</v>
      </c>
      <c r="DO942" s="11">
        <v>11370.0</v>
      </c>
      <c r="DP942" s="28">
        <v>1030000.0</v>
      </c>
      <c r="DQ942" s="28">
        <v>1300000.0</v>
      </c>
      <c r="DR942" s="28">
        <v>1090000.0</v>
      </c>
      <c r="DS942" s="28">
        <v>1100000.0</v>
      </c>
      <c r="DT942" s="28">
        <v>1120000.0</v>
      </c>
      <c r="DU942" s="13"/>
      <c r="DV942" s="12"/>
      <c r="DW942" s="12"/>
      <c r="DX942" s="13"/>
      <c r="DY942" s="13"/>
      <c r="DZ942" s="11">
        <v>1970000.0</v>
      </c>
      <c r="EA942" s="11">
        <v>1720000.0</v>
      </c>
      <c r="EB942" s="11">
        <v>1580000.0</v>
      </c>
      <c r="EC942" s="11">
        <v>1420000.0</v>
      </c>
      <c r="ED942" s="11">
        <v>1260000.0</v>
      </c>
      <c r="EE942" s="23">
        <v>0.249376559</v>
      </c>
      <c r="EF942" s="23">
        <v>0.455421687</v>
      </c>
      <c r="EG942" s="14">
        <v>0.664</v>
      </c>
      <c r="EH942" s="23">
        <v>0.4305</v>
      </c>
    </row>
    <row r="943">
      <c r="A943" s="9">
        <f t="shared" si="2"/>
        <v>941</v>
      </c>
      <c r="B943" s="10" t="s">
        <v>1078</v>
      </c>
      <c r="C943" s="12"/>
      <c r="D943" s="12"/>
      <c r="E943" s="15">
        <v>2.9657E8</v>
      </c>
      <c r="F943" s="15">
        <v>3.1257E8</v>
      </c>
      <c r="G943" s="15">
        <v>2.9911E8</v>
      </c>
      <c r="H943" s="15">
        <v>2.7601E8</v>
      </c>
      <c r="I943" s="15">
        <v>2.5314E8</v>
      </c>
      <c r="J943" s="15">
        <v>1.0798E8</v>
      </c>
      <c r="K943" s="15">
        <v>1.338E8</v>
      </c>
      <c r="L943" s="15">
        <v>1.3784E8</v>
      </c>
      <c r="M943" s="15">
        <v>1.2873E8</v>
      </c>
      <c r="N943" s="15">
        <v>1.0074E8</v>
      </c>
      <c r="O943" s="15">
        <v>6.943E7</v>
      </c>
      <c r="P943" s="15">
        <v>7.102E7</v>
      </c>
      <c r="Q943" s="15">
        <v>6.87E7</v>
      </c>
      <c r="R943" s="15">
        <v>7.468E7</v>
      </c>
      <c r="S943" s="15">
        <v>6.722E7</v>
      </c>
      <c r="T943" s="15">
        <v>0.0</v>
      </c>
      <c r="U943" s="15">
        <v>0.0</v>
      </c>
      <c r="V943" s="15">
        <v>0.0</v>
      </c>
      <c r="W943" s="15">
        <v>0.0</v>
      </c>
      <c r="X943" s="15">
        <v>0.0</v>
      </c>
      <c r="Y943" s="15">
        <v>3.199E7</v>
      </c>
      <c r="Z943" s="15">
        <v>8.347E7</v>
      </c>
      <c r="AA943" s="15">
        <v>5.767E7</v>
      </c>
      <c r="AB943" s="15">
        <v>4.388E7</v>
      </c>
      <c r="AC943" s="15">
        <v>2.536E7</v>
      </c>
      <c r="AD943" s="15">
        <v>1.224E7</v>
      </c>
      <c r="AE943" s="15">
        <v>1.621E7</v>
      </c>
      <c r="AF943" s="15">
        <v>1.57E7</v>
      </c>
      <c r="AG943" s="15">
        <v>1.417E7</v>
      </c>
      <c r="AH943" s="15">
        <v>-1.0713E8</v>
      </c>
      <c r="AI943" s="15">
        <v>4.893E7</v>
      </c>
      <c r="AJ943" s="15">
        <v>7.231E7</v>
      </c>
      <c r="AK943" s="15">
        <v>7.912E7</v>
      </c>
      <c r="AL943" s="15">
        <v>6.302E7</v>
      </c>
      <c r="AM943" s="15">
        <v>4.209E7</v>
      </c>
      <c r="AN943" s="15">
        <v>2410000.0</v>
      </c>
      <c r="AO943" s="15">
        <v>1.263E7</v>
      </c>
      <c r="AP943" s="15">
        <v>1.156E7</v>
      </c>
      <c r="AQ943" s="15">
        <v>7550000.0</v>
      </c>
      <c r="AR943" s="15">
        <v>-1.1599E8</v>
      </c>
      <c r="AS943" s="15">
        <v>2.656E7</v>
      </c>
      <c r="AT943" s="15">
        <v>3.456E7</v>
      </c>
      <c r="AU943" s="15">
        <v>3.091E7</v>
      </c>
      <c r="AV943" s="15">
        <v>1.868E7</v>
      </c>
      <c r="AW943" s="15">
        <v>9150000.0</v>
      </c>
      <c r="AX943" s="15">
        <v>-6280000.0</v>
      </c>
      <c r="AY943" s="15">
        <v>-5620000.0</v>
      </c>
      <c r="AZ943" s="15">
        <v>-7230000.0</v>
      </c>
      <c r="BA943" s="15">
        <v>-4740000.0</v>
      </c>
      <c r="BB943" s="15">
        <v>-5150000.0</v>
      </c>
      <c r="BC943" s="15">
        <v>-1520000.0</v>
      </c>
      <c r="BD943" s="15">
        <v>-1390000.0</v>
      </c>
      <c r="BE943" s="15">
        <v>-856000.0</v>
      </c>
      <c r="BF943" s="15">
        <v>-5000.0</v>
      </c>
      <c r="BG943" s="15">
        <v>-4000.0</v>
      </c>
      <c r="BH943" s="15">
        <v>3870000.0</v>
      </c>
      <c r="BI943" s="15">
        <v>2310000.0</v>
      </c>
      <c r="BJ943" s="15">
        <v>2450000.0</v>
      </c>
      <c r="BK943" s="15">
        <v>1690000.0</v>
      </c>
      <c r="BL943" s="15">
        <v>3080000.0</v>
      </c>
      <c r="BM943" s="15">
        <v>1.938E7</v>
      </c>
      <c r="BN943" s="15">
        <v>1.773E7</v>
      </c>
      <c r="BO943" s="15">
        <v>2.228E7</v>
      </c>
      <c r="BP943" s="15">
        <v>2.291E7</v>
      </c>
      <c r="BQ943" s="15">
        <v>1.97E7</v>
      </c>
      <c r="BR943" s="15">
        <v>3.977E7</v>
      </c>
      <c r="BS943" s="15">
        <v>4.342E7</v>
      </c>
      <c r="BT943" s="15">
        <v>3.799E7</v>
      </c>
      <c r="BU943" s="15">
        <v>3.523E7</v>
      </c>
      <c r="BV943" s="15">
        <v>3.519E7</v>
      </c>
      <c r="BW943" s="15">
        <v>6.603E7</v>
      </c>
      <c r="BX943" s="15">
        <v>7.214E7</v>
      </c>
      <c r="BY943" s="15">
        <v>6.746E7</v>
      </c>
      <c r="BZ943" s="15">
        <v>6.377E7</v>
      </c>
      <c r="CA943" s="15">
        <v>6.312E7</v>
      </c>
      <c r="CB943" s="15">
        <v>1.9699E8</v>
      </c>
      <c r="CC943" s="15">
        <v>1.8988E8</v>
      </c>
      <c r="CD943" s="15">
        <v>1.9788E8</v>
      </c>
      <c r="CE943" s="15">
        <v>2.0435E8</v>
      </c>
      <c r="CF943" s="15">
        <v>2.1584E8</v>
      </c>
      <c r="CG943" s="15">
        <v>1.284E7</v>
      </c>
      <c r="CH943" s="15">
        <v>1.604E7</v>
      </c>
      <c r="CI943" s="15">
        <v>1.833E7</v>
      </c>
      <c r="CJ943" s="15">
        <v>1.836E7</v>
      </c>
      <c r="CK943" s="15">
        <v>2.138E7</v>
      </c>
      <c r="CL943" s="15">
        <v>3.1251E8</v>
      </c>
      <c r="CM943" s="15">
        <v>3.1763E8</v>
      </c>
      <c r="CN943" s="15">
        <v>3.1913E8</v>
      </c>
      <c r="CO943" s="15">
        <v>3.2547E8</v>
      </c>
      <c r="CP943" s="15">
        <v>3.4207E8</v>
      </c>
      <c r="CQ943" s="15">
        <v>2.781E7</v>
      </c>
      <c r="CR943" s="15">
        <v>2.429E7</v>
      </c>
      <c r="CS943" s="15">
        <v>1.9E7</v>
      </c>
      <c r="CT943" s="15">
        <v>2.134E7</v>
      </c>
      <c r="CU943" s="15">
        <v>2.63E7</v>
      </c>
      <c r="CV943" s="15">
        <v>4.5944E8</v>
      </c>
      <c r="CW943" s="15">
        <v>1870000.0</v>
      </c>
      <c r="CX943" s="15">
        <v>4.0242E8</v>
      </c>
      <c r="CY943" s="15">
        <v>2.405E7</v>
      </c>
      <c r="CZ943" s="15">
        <v>2.547E7</v>
      </c>
      <c r="DA943" s="15">
        <v>3.259E7</v>
      </c>
      <c r="DB943" s="15">
        <v>4.5944E8</v>
      </c>
      <c r="DC943" s="15">
        <v>4.762E8</v>
      </c>
      <c r="DD943" s="15">
        <v>4.8415E8</v>
      </c>
      <c r="DE943" s="15">
        <v>5.0535E8</v>
      </c>
      <c r="DF943" s="15">
        <v>5.461E8</v>
      </c>
      <c r="DG943" s="15">
        <v>5.5082E8</v>
      </c>
      <c r="DH943" s="15">
        <v>5.6326E8</v>
      </c>
      <c r="DI943" s="15">
        <v>5.7805E8</v>
      </c>
      <c r="DJ943" s="15">
        <v>6.0393E8</v>
      </c>
      <c r="DK943" s="15">
        <v>553000.0</v>
      </c>
      <c r="DL943" s="15">
        <v>537000.0</v>
      </c>
      <c r="DM943" s="15">
        <v>485000.0</v>
      </c>
      <c r="DN943" s="15">
        <v>500000.0</v>
      </c>
      <c r="DO943" s="15">
        <v>478000.0</v>
      </c>
      <c r="DP943" s="15">
        <v>1.421E7</v>
      </c>
      <c r="DQ943" s="15">
        <v>8950000.0</v>
      </c>
      <c r="DR943" s="15">
        <v>1.924E7</v>
      </c>
      <c r="DS943" s="15">
        <v>1.207E7</v>
      </c>
      <c r="DT943" s="15">
        <v>4790000.0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-2.4523E8</v>
      </c>
      <c r="EA943" s="15">
        <v>-2.4304E8</v>
      </c>
      <c r="EB943" s="15">
        <v>-2.5307E8</v>
      </c>
      <c r="EC943" s="15">
        <v>-2.6027E8</v>
      </c>
      <c r="ED943" s="15">
        <v>-2.678E8</v>
      </c>
      <c r="EE943" s="23"/>
      <c r="EF943" s="23"/>
      <c r="EG943" s="23" t="s">
        <v>155</v>
      </c>
      <c r="EH943" s="23"/>
    </row>
    <row r="944">
      <c r="A944" s="9">
        <f t="shared" si="2"/>
        <v>942</v>
      </c>
      <c r="B944" s="10" t="s">
        <v>1079</v>
      </c>
      <c r="C944" s="15">
        <v>2260000.0</v>
      </c>
      <c r="D944" s="15">
        <v>2020000.0</v>
      </c>
      <c r="E944" s="15">
        <v>2270000.0</v>
      </c>
      <c r="F944" s="15">
        <v>2010000.0</v>
      </c>
      <c r="G944" s="15">
        <v>1910000.0</v>
      </c>
      <c r="H944" s="15">
        <v>1600000.0</v>
      </c>
      <c r="I944" s="15">
        <v>1400000.0</v>
      </c>
      <c r="J944" s="15">
        <v>772540.0</v>
      </c>
      <c r="K944" s="15">
        <v>662870.0</v>
      </c>
      <c r="L944" s="15">
        <v>639520.0</v>
      </c>
      <c r="M944" s="15">
        <v>287300.0</v>
      </c>
      <c r="N944" s="15">
        <v>203570.0</v>
      </c>
      <c r="O944" s="15">
        <v>274420.0</v>
      </c>
      <c r="P944" s="15">
        <v>251810.0</v>
      </c>
      <c r="Q944" s="15">
        <v>236800.0</v>
      </c>
      <c r="R944" s="15">
        <v>0.0</v>
      </c>
      <c r="S944" s="15">
        <v>0.0</v>
      </c>
      <c r="T944" s="15">
        <v>0.0</v>
      </c>
      <c r="U944" s="15">
        <v>0.0</v>
      </c>
      <c r="V944" s="15">
        <v>0.0</v>
      </c>
      <c r="W944" s="15">
        <v>0.0</v>
      </c>
      <c r="X944" s="15">
        <v>0.0</v>
      </c>
      <c r="Y944" s="15">
        <v>476350.0</v>
      </c>
      <c r="Z944" s="15">
        <v>412920.0</v>
      </c>
      <c r="AA944" s="15">
        <v>378920.0</v>
      </c>
      <c r="AB944" s="15">
        <v>283100.0</v>
      </c>
      <c r="AC944" s="15">
        <v>201410.0</v>
      </c>
      <c r="AD944" s="15">
        <v>398970.0</v>
      </c>
      <c r="AE944" s="15">
        <v>340090.0</v>
      </c>
      <c r="AF944" s="15">
        <v>348450.0</v>
      </c>
      <c r="AG944" s="15">
        <v>242620.0</v>
      </c>
      <c r="AH944" s="15">
        <v>149330.0</v>
      </c>
      <c r="AI944" s="15">
        <v>716240.0</v>
      </c>
      <c r="AJ944" s="15">
        <v>615530.0</v>
      </c>
      <c r="AK944" s="15">
        <v>591880.0</v>
      </c>
      <c r="AL944" s="15">
        <v>448790.0</v>
      </c>
      <c r="AM944" s="15">
        <v>352690.0</v>
      </c>
      <c r="AN944" s="15">
        <v>301160.0</v>
      </c>
      <c r="AO944" s="15">
        <v>379900.0</v>
      </c>
      <c r="AP944" s="15">
        <v>210550.0</v>
      </c>
      <c r="AQ944" s="15">
        <v>149750.0</v>
      </c>
      <c r="AR944" s="15">
        <v>114750.0</v>
      </c>
      <c r="AS944" s="15">
        <v>634230.0</v>
      </c>
      <c r="AT944" s="15">
        <v>548490.0</v>
      </c>
      <c r="AU944" s="15">
        <v>454710.0</v>
      </c>
      <c r="AV944" s="15">
        <v>419800.0</v>
      </c>
      <c r="AW944" s="15">
        <v>303500.0</v>
      </c>
      <c r="AX944" s="15">
        <v>-192040.0</v>
      </c>
      <c r="AY944" s="15">
        <v>-140610.0</v>
      </c>
      <c r="AZ944" s="15">
        <v>-144430.0</v>
      </c>
      <c r="BA944" s="15">
        <v>-109240.0</v>
      </c>
      <c r="BB944" s="15">
        <v>-123880.0</v>
      </c>
      <c r="BC944" s="15">
        <v>-260570.0</v>
      </c>
      <c r="BD944" s="15">
        <v>-204160.0</v>
      </c>
      <c r="BE944" s="15">
        <v>-146240.0</v>
      </c>
      <c r="BF944" s="15">
        <v>-103840.0</v>
      </c>
      <c r="BG944" s="15">
        <v>-75510.0</v>
      </c>
      <c r="BH944" s="15">
        <v>118390.0</v>
      </c>
      <c r="BI944" s="15">
        <v>185040.0</v>
      </c>
      <c r="BJ944" s="15">
        <v>127660.0</v>
      </c>
      <c r="BK944" s="15">
        <v>73940.0</v>
      </c>
      <c r="BL944" s="15">
        <v>48470.0</v>
      </c>
      <c r="BM944" s="15">
        <v>270900.0</v>
      </c>
      <c r="BN944" s="15">
        <v>230830.0</v>
      </c>
      <c r="BO944" s="15">
        <v>186910.0</v>
      </c>
      <c r="BP944" s="15">
        <v>147110.0</v>
      </c>
      <c r="BQ944" s="15">
        <v>113990.0</v>
      </c>
      <c r="BR944" s="15">
        <v>96540.0</v>
      </c>
      <c r="BS944" s="15">
        <v>85590.0</v>
      </c>
      <c r="BT944" s="15">
        <v>84810.0</v>
      </c>
      <c r="BU944" s="15">
        <v>74590.0</v>
      </c>
      <c r="BV944" s="15">
        <v>73490.0</v>
      </c>
      <c r="BW944" s="15">
        <v>526040.0</v>
      </c>
      <c r="BX944" s="15">
        <v>538740.0</v>
      </c>
      <c r="BY944" s="15">
        <v>433070.0</v>
      </c>
      <c r="BZ944" s="15">
        <v>322870.0</v>
      </c>
      <c r="CA944" s="15">
        <v>288140.0</v>
      </c>
      <c r="CB944" s="15">
        <v>1840000.0</v>
      </c>
      <c r="CC944" s="15">
        <v>1630000.0</v>
      </c>
      <c r="CD944" s="15">
        <v>1710000.0</v>
      </c>
      <c r="CE944" s="15">
        <v>1360000.0</v>
      </c>
      <c r="CF944" s="15">
        <v>1390000.0</v>
      </c>
      <c r="CG944" s="15">
        <v>1610000.0</v>
      </c>
      <c r="CH944" s="15">
        <v>1480000.0</v>
      </c>
      <c r="CI944" s="15">
        <v>1520000.0</v>
      </c>
      <c r="CJ944" s="15">
        <v>509040.0</v>
      </c>
      <c r="CK944" s="15">
        <v>500430.0</v>
      </c>
      <c r="CL944" s="15">
        <v>4430000.0</v>
      </c>
      <c r="CM944" s="15">
        <v>4060000.0</v>
      </c>
      <c r="CN944" s="15">
        <v>4110000.0</v>
      </c>
      <c r="CO944" s="15">
        <v>2480000.0</v>
      </c>
      <c r="CP944" s="15">
        <v>2490000.0</v>
      </c>
      <c r="CQ944" s="15">
        <v>96380.0</v>
      </c>
      <c r="CR944" s="15">
        <v>80790.0</v>
      </c>
      <c r="CS944" s="15">
        <v>71560.0</v>
      </c>
      <c r="CT944" s="15">
        <v>72660.0</v>
      </c>
      <c r="CU944" s="15">
        <v>62100.0</v>
      </c>
      <c r="CV944" s="15">
        <v>719130.0</v>
      </c>
      <c r="CW944" s="15">
        <v>0.0</v>
      </c>
      <c r="CX944" s="16">
        <v>0.0</v>
      </c>
      <c r="CY944" s="16">
        <v>0.0</v>
      </c>
      <c r="CZ944" s="16">
        <v>0.0</v>
      </c>
      <c r="DA944" s="15">
        <v>0.0</v>
      </c>
      <c r="DB944" s="15">
        <v>719130.0</v>
      </c>
      <c r="DC944" s="15">
        <v>593620.0</v>
      </c>
      <c r="DD944" s="15">
        <v>604560.0</v>
      </c>
      <c r="DE944" s="15">
        <v>506480.0</v>
      </c>
      <c r="DF944" s="15">
        <v>2700000.0</v>
      </c>
      <c r="DG944" s="15">
        <v>2250000.0</v>
      </c>
      <c r="DH944" s="15">
        <v>2310000.0</v>
      </c>
      <c r="DI944" s="15">
        <v>1590000.0</v>
      </c>
      <c r="DJ944" s="15">
        <v>1610000.0</v>
      </c>
      <c r="DK944" s="15">
        <v>109820.0</v>
      </c>
      <c r="DL944" s="15">
        <v>107090.0</v>
      </c>
      <c r="DM944" s="15">
        <v>111010.0</v>
      </c>
      <c r="DN944" s="15">
        <v>118590.0</v>
      </c>
      <c r="DO944" s="15">
        <v>137230.0</v>
      </c>
      <c r="DP944" s="15">
        <v>1530000.0</v>
      </c>
      <c r="DQ944" s="15">
        <v>1230000.0</v>
      </c>
      <c r="DR944" s="15">
        <v>1230000.0</v>
      </c>
      <c r="DS944" s="15">
        <v>686910.0</v>
      </c>
      <c r="DT944" s="15">
        <v>806680.0</v>
      </c>
      <c r="DU944" s="16">
        <v>0.0</v>
      </c>
      <c r="DV944" s="15">
        <v>0.0</v>
      </c>
      <c r="DW944" s="15">
        <v>0.0</v>
      </c>
      <c r="DX944" s="16">
        <v>0.0</v>
      </c>
      <c r="DY944" s="16">
        <v>0.0</v>
      </c>
      <c r="DZ944" s="15">
        <v>1500000.0</v>
      </c>
      <c r="EA944" s="15">
        <v>1590000.0</v>
      </c>
      <c r="EB944" s="15">
        <v>1570000.0</v>
      </c>
      <c r="EC944" s="15">
        <v>874540.0</v>
      </c>
      <c r="ED944" s="15">
        <v>866570.0</v>
      </c>
      <c r="EE944" s="17">
        <v>0.069</v>
      </c>
      <c r="EF944" s="17">
        <v>0.19</v>
      </c>
      <c r="EG944" s="17">
        <v>0.14</v>
      </c>
      <c r="EH944" s="17">
        <v>0.076</v>
      </c>
    </row>
    <row r="945">
      <c r="A945" s="9">
        <f t="shared" si="2"/>
        <v>943</v>
      </c>
      <c r="B945" s="10" t="s">
        <v>1080</v>
      </c>
      <c r="C945" s="11">
        <v>1020000.0</v>
      </c>
      <c r="D945" s="11">
        <v>1150000.0</v>
      </c>
      <c r="E945" s="11">
        <v>1420000.0</v>
      </c>
      <c r="F945" s="11">
        <v>1090000.0</v>
      </c>
      <c r="G945" s="11">
        <v>1200000.0</v>
      </c>
      <c r="H945" s="11">
        <v>1310000.0</v>
      </c>
      <c r="I945" s="11">
        <v>1340000.0</v>
      </c>
      <c r="J945" s="11">
        <v>131950.0</v>
      </c>
      <c r="K945" s="11">
        <v>91940.0</v>
      </c>
      <c r="L945" s="11">
        <v>81000.0</v>
      </c>
      <c r="M945" s="11">
        <v>125990.0</v>
      </c>
      <c r="N945" s="11">
        <v>87370.0</v>
      </c>
      <c r="O945" s="11">
        <v>94020.0</v>
      </c>
      <c r="P945" s="11">
        <v>84420.0</v>
      </c>
      <c r="Q945" s="11">
        <v>75540.0</v>
      </c>
      <c r="R945" s="11">
        <v>83910.0</v>
      </c>
      <c r="S945" s="11">
        <v>78570.0</v>
      </c>
      <c r="T945" s="12"/>
      <c r="U945" s="12"/>
      <c r="V945" s="12"/>
      <c r="W945" s="12"/>
      <c r="X945" s="12"/>
      <c r="Y945" s="11"/>
      <c r="Z945" s="11">
        <v>-10480.0</v>
      </c>
      <c r="AA945" s="11">
        <v>4860.0</v>
      </c>
      <c r="AB945" s="11">
        <v>40880.0</v>
      </c>
      <c r="AC945" s="12"/>
      <c r="AD945" s="11">
        <v>38410.0</v>
      </c>
      <c r="AE945" s="11">
        <v>-12150.0</v>
      </c>
      <c r="AF945" s="11">
        <v>2450.0</v>
      </c>
      <c r="AG945" s="11">
        <v>39650.0</v>
      </c>
      <c r="AH945" s="11">
        <v>8190.0</v>
      </c>
      <c r="AI945" s="11">
        <v>56150.0</v>
      </c>
      <c r="AJ945" s="11">
        <v>27870.0</v>
      </c>
      <c r="AK945" s="11">
        <v>27060.0</v>
      </c>
      <c r="AL945" s="11">
        <v>63520.0</v>
      </c>
      <c r="AM945" s="11">
        <v>32280.0</v>
      </c>
      <c r="AN945" s="11">
        <v>27980.0</v>
      </c>
      <c r="AO945" s="11">
        <v>-11480.0</v>
      </c>
      <c r="AP945" s="11">
        <v>-183.0</v>
      </c>
      <c r="AQ945" s="11">
        <v>28860.0</v>
      </c>
      <c r="AR945" s="11">
        <v>17160.0</v>
      </c>
      <c r="AS945" s="11">
        <v>41390.0</v>
      </c>
      <c r="AT945" s="11">
        <v>74670.0</v>
      </c>
      <c r="AU945" s="11">
        <v>-18750.0</v>
      </c>
      <c r="AV945" s="11">
        <v>30330.0</v>
      </c>
      <c r="AW945" s="11">
        <v>24440.0</v>
      </c>
      <c r="AX945" s="11">
        <v>-19560.0</v>
      </c>
      <c r="AY945" s="11">
        <v>-8710.0</v>
      </c>
      <c r="AZ945" s="11">
        <v>-11910.0</v>
      </c>
      <c r="BA945" s="11">
        <v>-13940.0</v>
      </c>
      <c r="BB945" s="11">
        <v>-15770.0</v>
      </c>
      <c r="BC945" s="13"/>
      <c r="BD945" s="13"/>
      <c r="BE945" s="13"/>
      <c r="BF945" s="13"/>
      <c r="BG945" s="13"/>
      <c r="BH945" s="11">
        <v>89720.0</v>
      </c>
      <c r="BI945" s="11">
        <v>64060.0</v>
      </c>
      <c r="BJ945" s="11">
        <v>43810.0</v>
      </c>
      <c r="BK945" s="11">
        <v>71660.0</v>
      </c>
      <c r="BL945" s="11">
        <v>79240.0</v>
      </c>
      <c r="BM945" s="11">
        <v>314540.0</v>
      </c>
      <c r="BN945" s="11">
        <v>283380.0</v>
      </c>
      <c r="BO945" s="11">
        <v>306180.0</v>
      </c>
      <c r="BP945" s="11">
        <v>294440.0</v>
      </c>
      <c r="BQ945" s="11">
        <v>285800.0</v>
      </c>
      <c r="BR945" s="11">
        <v>8020.0</v>
      </c>
      <c r="BS945" s="11">
        <v>5150.0</v>
      </c>
      <c r="BT945" s="11">
        <v>3740.0</v>
      </c>
      <c r="BU945" s="11">
        <v>3940.0</v>
      </c>
      <c r="BV945" s="11">
        <v>2770.0</v>
      </c>
      <c r="BW945" s="11">
        <v>417310.0</v>
      </c>
      <c r="BX945" s="11">
        <v>357050.0</v>
      </c>
      <c r="BY945" s="11">
        <v>358630.0</v>
      </c>
      <c r="BZ945" s="11">
        <v>375450.0</v>
      </c>
      <c r="CA945" s="11">
        <v>381770.0</v>
      </c>
      <c r="CB945" s="11">
        <v>79340.0</v>
      </c>
      <c r="CC945" s="11">
        <v>72650.0</v>
      </c>
      <c r="CD945" s="11">
        <v>80270.0</v>
      </c>
      <c r="CE945" s="11">
        <v>84730.0</v>
      </c>
      <c r="CF945" s="11">
        <v>85060.0</v>
      </c>
      <c r="CG945" s="11">
        <v>93370.0</v>
      </c>
      <c r="CH945" s="11">
        <v>96160.0</v>
      </c>
      <c r="CI945" s="11">
        <v>113500.0</v>
      </c>
      <c r="CJ945" s="11">
        <v>78290.0</v>
      </c>
      <c r="CK945" s="11">
        <v>71520.0</v>
      </c>
      <c r="CL945" s="11">
        <v>633390.0</v>
      </c>
      <c r="CM945" s="11">
        <v>558030.0</v>
      </c>
      <c r="CN945" s="11">
        <v>586030.0</v>
      </c>
      <c r="CO945" s="11">
        <v>564970.0</v>
      </c>
      <c r="CP945" s="11">
        <v>568330.0</v>
      </c>
      <c r="CQ945" s="11">
        <v>114650.0</v>
      </c>
      <c r="CR945" s="11">
        <v>79440.0</v>
      </c>
      <c r="CS945" s="11">
        <v>105650.0</v>
      </c>
      <c r="CT945" s="11">
        <v>141450.0</v>
      </c>
      <c r="CU945" s="11">
        <v>125790.0</v>
      </c>
      <c r="CV945" s="11">
        <v>275500.0</v>
      </c>
      <c r="CW945" s="11"/>
      <c r="CX945" s="11"/>
      <c r="CY945" s="13"/>
      <c r="CZ945" s="13"/>
      <c r="DA945" s="12"/>
      <c r="DB945" s="11">
        <v>275500.0</v>
      </c>
      <c r="DC945" s="11">
        <v>238470.0</v>
      </c>
      <c r="DD945" s="11">
        <v>218980.0</v>
      </c>
      <c r="DE945" s="11">
        <v>246030.0</v>
      </c>
      <c r="DF945" s="11">
        <v>281440.0</v>
      </c>
      <c r="DG945" s="11">
        <v>239190.0</v>
      </c>
      <c r="DH945" s="11">
        <v>264220.0</v>
      </c>
      <c r="DI945" s="11">
        <v>249400.0</v>
      </c>
      <c r="DJ945" s="11">
        <v>283780.0</v>
      </c>
      <c r="DK945" s="11"/>
      <c r="DL945" s="11"/>
      <c r="DM945" s="11"/>
      <c r="DN945" s="11"/>
      <c r="DO945" s="11"/>
      <c r="DP945" s="11">
        <v>5350.0</v>
      </c>
      <c r="DQ945" s="11"/>
      <c r="DR945" s="11">
        <v>44680.0</v>
      </c>
      <c r="DS945" s="12"/>
      <c r="DT945" s="11">
        <v>8800.0</v>
      </c>
      <c r="DU945" s="11"/>
      <c r="DV945" s="11"/>
      <c r="DW945" s="11"/>
      <c r="DX945" s="11"/>
      <c r="DY945" s="13"/>
      <c r="DZ945" s="11">
        <v>351960.0</v>
      </c>
      <c r="EA945" s="11">
        <v>318840.0</v>
      </c>
      <c r="EB945" s="11">
        <v>321810.0</v>
      </c>
      <c r="EC945" s="11">
        <v>316740.0</v>
      </c>
      <c r="ED945" s="11">
        <v>293300.0</v>
      </c>
      <c r="EE945" s="23">
        <v>0.034782609</v>
      </c>
      <c r="EF945" s="23">
        <v>0.019607843</v>
      </c>
      <c r="EG945" s="14">
        <v>-1.2</v>
      </c>
      <c r="EH945" s="23">
        <v>-0.41325</v>
      </c>
    </row>
    <row r="946">
      <c r="A946" s="9">
        <f t="shared" si="2"/>
        <v>944</v>
      </c>
      <c r="B946" s="10" t="s">
        <v>1081</v>
      </c>
      <c r="C946" s="15">
        <v>551550.0</v>
      </c>
      <c r="D946" s="15">
        <v>509200.0</v>
      </c>
      <c r="E946" s="15">
        <v>499710.0</v>
      </c>
      <c r="F946" s="15">
        <v>570400.0</v>
      </c>
      <c r="G946" s="15">
        <v>698770.0</v>
      </c>
      <c r="H946" s="15">
        <v>544340.0</v>
      </c>
      <c r="I946" s="15">
        <v>420610.0</v>
      </c>
      <c r="J946" s="15">
        <v>175840.0</v>
      </c>
      <c r="K946" s="15">
        <v>197640.0</v>
      </c>
      <c r="L946" s="15">
        <v>334630.0</v>
      </c>
      <c r="M946" s="15">
        <v>261470.0</v>
      </c>
      <c r="N946" s="15">
        <v>198800.0</v>
      </c>
      <c r="O946" s="15">
        <v>271680.0</v>
      </c>
      <c r="P946" s="15">
        <v>287620.0</v>
      </c>
      <c r="Q946" s="15">
        <v>287020.0</v>
      </c>
      <c r="R946" s="15">
        <v>224090.0</v>
      </c>
      <c r="S946" s="15">
        <v>175420.0</v>
      </c>
      <c r="T946" s="15">
        <v>163470.0</v>
      </c>
      <c r="U946" s="15">
        <v>177710.0</v>
      </c>
      <c r="V946" s="15">
        <v>147990.0</v>
      </c>
      <c r="W946" s="15">
        <v>107700.0</v>
      </c>
      <c r="X946" s="15">
        <v>82190.0</v>
      </c>
      <c r="Y946" s="15">
        <v>-379610.0</v>
      </c>
      <c r="Z946" s="15">
        <v>-106130.0</v>
      </c>
      <c r="AA946" s="15">
        <v>-16260.0</v>
      </c>
      <c r="AB946" s="15">
        <v>-3280.0</v>
      </c>
      <c r="AC946" s="15">
        <v>0.0</v>
      </c>
      <c r="AD946" s="15">
        <v>-423150.0</v>
      </c>
      <c r="AE946" s="15">
        <v>-155240.0</v>
      </c>
      <c r="AF946" s="15">
        <v>-49510.0</v>
      </c>
      <c r="AG946" s="15">
        <v>-21570.0</v>
      </c>
      <c r="AH946" s="15">
        <v>-15400.0</v>
      </c>
      <c r="AI946" s="15">
        <v>8570.0</v>
      </c>
      <c r="AJ946" s="15">
        <v>22400.0</v>
      </c>
      <c r="AK946" s="15">
        <v>140650.0</v>
      </c>
      <c r="AL946" s="15">
        <v>107970.0</v>
      </c>
      <c r="AM946" s="15">
        <v>78080.0</v>
      </c>
      <c r="AN946" s="15">
        <v>-383800.0</v>
      </c>
      <c r="AO946" s="15">
        <v>-133760.0</v>
      </c>
      <c r="AP946" s="15">
        <v>-150420.0</v>
      </c>
      <c r="AQ946" s="15">
        <v>-3590.0</v>
      </c>
      <c r="AR946" s="15">
        <v>-5540.0</v>
      </c>
      <c r="AS946" s="15">
        <v>20700.0</v>
      </c>
      <c r="AT946" s="15">
        <v>36290.0</v>
      </c>
      <c r="AU946" s="15">
        <v>61050.0</v>
      </c>
      <c r="AV946" s="15">
        <v>79230.0</v>
      </c>
      <c r="AW946" s="15">
        <v>33680.0</v>
      </c>
      <c r="AX946" s="15">
        <v>-37960.0</v>
      </c>
      <c r="AY946" s="15">
        <v>-53040.0</v>
      </c>
      <c r="AZ946" s="15">
        <v>-32800.0</v>
      </c>
      <c r="BA946" s="15">
        <v>-32100.0</v>
      </c>
      <c r="BB946" s="15">
        <v>-41600.0</v>
      </c>
      <c r="BC946" s="15">
        <v>0.0</v>
      </c>
      <c r="BD946" s="15">
        <v>0.0</v>
      </c>
      <c r="BE946" s="15">
        <v>0.0</v>
      </c>
      <c r="BF946" s="15">
        <v>0.0</v>
      </c>
      <c r="BG946" s="15">
        <v>0.0</v>
      </c>
      <c r="BH946" s="15">
        <v>176750.0</v>
      </c>
      <c r="BI946" s="15">
        <v>192900.0</v>
      </c>
      <c r="BJ946" s="15">
        <v>214230.0</v>
      </c>
      <c r="BK946" s="15">
        <v>356750.0</v>
      </c>
      <c r="BL946" s="15">
        <v>161870.0</v>
      </c>
      <c r="BM946" s="15">
        <v>86450.0</v>
      </c>
      <c r="BN946" s="15">
        <v>114980.0</v>
      </c>
      <c r="BO946" s="15">
        <v>154590.0</v>
      </c>
      <c r="BP946" s="15">
        <v>129940.0</v>
      </c>
      <c r="BQ946" s="15">
        <v>83950.0</v>
      </c>
      <c r="BR946" s="15">
        <v>107880.0</v>
      </c>
      <c r="BS946" s="15">
        <v>122840.0</v>
      </c>
      <c r="BT946" s="15">
        <v>136070.0</v>
      </c>
      <c r="BU946" s="15">
        <v>114940.0</v>
      </c>
      <c r="BV946" s="15">
        <v>79940.0</v>
      </c>
      <c r="BW946" s="15">
        <v>398580.0</v>
      </c>
      <c r="BX946" s="15">
        <v>458860.0</v>
      </c>
      <c r="BY946" s="15">
        <v>562900.0</v>
      </c>
      <c r="BZ946" s="15">
        <v>612940.0</v>
      </c>
      <c r="CA946" s="15">
        <v>384220.0</v>
      </c>
      <c r="CB946" s="15">
        <v>132650.0</v>
      </c>
      <c r="CC946" s="15">
        <v>149920.0</v>
      </c>
      <c r="CD946" s="15">
        <v>131020.0</v>
      </c>
      <c r="CE946" s="15">
        <v>99170.0</v>
      </c>
      <c r="CF946" s="15">
        <v>83760.0</v>
      </c>
      <c r="CG946" s="15">
        <v>314730.0</v>
      </c>
      <c r="CH946" s="15">
        <v>314080.0</v>
      </c>
      <c r="CI946" s="15">
        <v>313770.0</v>
      </c>
      <c r="CJ946" s="15">
        <v>120020.0</v>
      </c>
      <c r="CK946" s="15">
        <v>93350.0</v>
      </c>
      <c r="CL946" s="15">
        <v>1110000.0</v>
      </c>
      <c r="CM946" s="15">
        <v>1480000.0</v>
      </c>
      <c r="CN946" s="15">
        <v>1640000.0</v>
      </c>
      <c r="CO946" s="15">
        <v>1190000.0</v>
      </c>
      <c r="CP946" s="15">
        <v>866250.0</v>
      </c>
      <c r="CQ946" s="15">
        <v>24820.0</v>
      </c>
      <c r="CR946" s="15">
        <v>41950.0</v>
      </c>
      <c r="CS946" s="15">
        <v>47040.0</v>
      </c>
      <c r="CT946" s="15">
        <v>30580.0</v>
      </c>
      <c r="CU946" s="15">
        <v>29310.0</v>
      </c>
      <c r="CV946" s="15">
        <v>74840.0</v>
      </c>
      <c r="CW946" s="15">
        <v>0.0</v>
      </c>
      <c r="CX946" s="15">
        <v>0.0</v>
      </c>
      <c r="CY946" s="16">
        <v>0.0</v>
      </c>
      <c r="CZ946" s="16">
        <v>0.0</v>
      </c>
      <c r="DA946" s="15">
        <v>0.0</v>
      </c>
      <c r="DB946" s="15">
        <v>74840.0</v>
      </c>
      <c r="DC946" s="15">
        <v>107010.0</v>
      </c>
      <c r="DD946" s="15">
        <v>117120.0</v>
      </c>
      <c r="DE946" s="15">
        <v>92150.0</v>
      </c>
      <c r="DF946" s="15">
        <v>791680.0</v>
      </c>
      <c r="DG946" s="15">
        <v>813820.0</v>
      </c>
      <c r="DH946" s="15">
        <v>859750.0</v>
      </c>
      <c r="DI946" s="15">
        <v>725770.0</v>
      </c>
      <c r="DJ946" s="15">
        <v>441720.0</v>
      </c>
      <c r="DK946" s="15">
        <v>23610.0</v>
      </c>
      <c r="DL946" s="15">
        <v>31090.0</v>
      </c>
      <c r="DM946" s="15">
        <v>0.0</v>
      </c>
      <c r="DN946" s="15">
        <v>0.0</v>
      </c>
      <c r="DO946" s="15">
        <v>0.0</v>
      </c>
      <c r="DP946" s="15">
        <v>684780.0</v>
      </c>
      <c r="DQ946" s="15">
        <v>687400.0</v>
      </c>
      <c r="DR946" s="15">
        <v>678750.0</v>
      </c>
      <c r="DS946" s="15">
        <v>576350.0</v>
      </c>
      <c r="DT946" s="15">
        <v>340500.0</v>
      </c>
      <c r="DU946" s="16">
        <v>0.0</v>
      </c>
      <c r="DV946" s="15">
        <v>0.0</v>
      </c>
      <c r="DW946" s="15">
        <v>0.0</v>
      </c>
      <c r="DX946" s="15">
        <v>0.0</v>
      </c>
      <c r="DY946" s="15">
        <v>0.0</v>
      </c>
      <c r="DZ946" s="15">
        <v>313900.0</v>
      </c>
      <c r="EA946" s="15">
        <v>668680.0</v>
      </c>
      <c r="EB946" s="15">
        <v>777370.0</v>
      </c>
      <c r="EC946" s="15">
        <v>462780.0</v>
      </c>
      <c r="ED946" s="15">
        <v>424530.0</v>
      </c>
      <c r="EE946" s="17">
        <v>0.023</v>
      </c>
      <c r="EF946" s="17">
        <v>0.079</v>
      </c>
      <c r="EG946" s="17">
        <v>0.7</v>
      </c>
      <c r="EH946" s="17">
        <v>0.883</v>
      </c>
    </row>
    <row r="947">
      <c r="A947" s="9">
        <f t="shared" si="2"/>
        <v>945</v>
      </c>
      <c r="B947" s="10" t="s">
        <v>1082</v>
      </c>
      <c r="C947" s="11">
        <v>1490000.0</v>
      </c>
      <c r="D947" s="11">
        <v>1340000.0</v>
      </c>
      <c r="E947" s="11">
        <v>1830000.0</v>
      </c>
      <c r="F947" s="11">
        <v>1850000.0</v>
      </c>
      <c r="G947" s="11">
        <v>1580000.0</v>
      </c>
      <c r="H947" s="11">
        <v>1610000.0</v>
      </c>
      <c r="I947" s="11">
        <v>1870000.0</v>
      </c>
      <c r="J947" s="11">
        <v>340700.0</v>
      </c>
      <c r="K947" s="11">
        <v>332800.0</v>
      </c>
      <c r="L947" s="11">
        <v>281800.0</v>
      </c>
      <c r="M947" s="11">
        <v>251400.0</v>
      </c>
      <c r="N947" s="11">
        <v>344900.0</v>
      </c>
      <c r="O947" s="11">
        <v>234500.0</v>
      </c>
      <c r="P947" s="11">
        <v>251600.0</v>
      </c>
      <c r="Q947" s="11">
        <v>245300.0</v>
      </c>
      <c r="R947" s="11">
        <v>280700.0</v>
      </c>
      <c r="S947" s="11">
        <v>316900.0</v>
      </c>
      <c r="T947" s="11">
        <v>31100.0</v>
      </c>
      <c r="U947" s="11">
        <v>35200.0</v>
      </c>
      <c r="V947" s="11">
        <v>37900.0</v>
      </c>
      <c r="W947" s="11">
        <v>44500.0</v>
      </c>
      <c r="X947" s="11">
        <v>57600.0</v>
      </c>
      <c r="Y947" s="11">
        <v>99700.0</v>
      </c>
      <c r="Z947" s="11">
        <v>-14300.0</v>
      </c>
      <c r="AA947" s="11">
        <v>-27300.0</v>
      </c>
      <c r="AB947" s="11">
        <v>-228500.0</v>
      </c>
      <c r="AC947" s="11">
        <v>-24900.0</v>
      </c>
      <c r="AD947" s="11">
        <v>59000.0</v>
      </c>
      <c r="AE947" s="11">
        <v>-71700.0</v>
      </c>
      <c r="AF947" s="11">
        <v>-39500.0</v>
      </c>
      <c r="AG947" s="11">
        <v>-268100.0</v>
      </c>
      <c r="AH947" s="11">
        <v>-111000.0</v>
      </c>
      <c r="AI947" s="11">
        <v>141500.0</v>
      </c>
      <c r="AJ947" s="11">
        <v>117600.0</v>
      </c>
      <c r="AK947" s="11">
        <v>75300.0</v>
      </c>
      <c r="AL947" s="11">
        <v>16700.0</v>
      </c>
      <c r="AM947" s="11">
        <v>81600.0</v>
      </c>
      <c r="AN947" s="11">
        <v>46600.0</v>
      </c>
      <c r="AO947" s="11">
        <v>-66900.0</v>
      </c>
      <c r="AP947" s="11">
        <v>10000.0</v>
      </c>
      <c r="AQ947" s="11">
        <v>-368600.0</v>
      </c>
      <c r="AR947" s="11">
        <v>-69900.0</v>
      </c>
      <c r="AS947" s="11">
        <v>-53300.0</v>
      </c>
      <c r="AT947" s="11">
        <v>-513000.0</v>
      </c>
      <c r="AU947" s="11">
        <v>-324900.0</v>
      </c>
      <c r="AV947" s="11">
        <v>1190000.0</v>
      </c>
      <c r="AW947" s="11">
        <v>100800.0</v>
      </c>
      <c r="AX947" s="11">
        <v>-35100.0</v>
      </c>
      <c r="AY947" s="11">
        <v>-31700.0</v>
      </c>
      <c r="AZ947" s="11">
        <v>-28900.0</v>
      </c>
      <c r="BA947" s="11">
        <v>-45900.0</v>
      </c>
      <c r="BB947" s="11">
        <v>-54900.0</v>
      </c>
      <c r="BC947" s="13"/>
      <c r="BD947" s="13"/>
      <c r="BE947" s="13"/>
      <c r="BF947" s="13"/>
      <c r="BG947" s="24">
        <v>-10900.0</v>
      </c>
      <c r="BH947" s="11">
        <v>199300.0</v>
      </c>
      <c r="BI947" s="11">
        <v>140300.0</v>
      </c>
      <c r="BJ947" s="11">
        <v>123000.0</v>
      </c>
      <c r="BK947" s="11">
        <v>69900.0</v>
      </c>
      <c r="BL947" s="11">
        <v>31500.0</v>
      </c>
      <c r="BM947" s="11">
        <v>185700.0</v>
      </c>
      <c r="BN947" s="11">
        <v>191200.0</v>
      </c>
      <c r="BO947" s="11">
        <v>210300.0</v>
      </c>
      <c r="BP947" s="11">
        <v>196800.0</v>
      </c>
      <c r="BQ947" s="11">
        <v>220800.0</v>
      </c>
      <c r="BR947" s="11">
        <v>461400.0</v>
      </c>
      <c r="BS947" s="11">
        <v>453100.0</v>
      </c>
      <c r="BT947" s="11">
        <v>400600.0</v>
      </c>
      <c r="BU947" s="11">
        <v>429000.0</v>
      </c>
      <c r="BV947" s="11">
        <v>489200.0</v>
      </c>
      <c r="BW947" s="11">
        <v>872400.0</v>
      </c>
      <c r="BX947" s="11">
        <v>842900.0</v>
      </c>
      <c r="BY947" s="11">
        <v>790400.0</v>
      </c>
      <c r="BZ947" s="11">
        <v>749700.0</v>
      </c>
      <c r="CA947" s="11">
        <v>1040000.0</v>
      </c>
      <c r="CB947" s="11">
        <v>337500.0</v>
      </c>
      <c r="CC947" s="11">
        <v>288900.0</v>
      </c>
      <c r="CD947" s="11">
        <v>303700.0</v>
      </c>
      <c r="CE947" s="11">
        <v>308800.0</v>
      </c>
      <c r="CF947" s="11">
        <v>410700.0</v>
      </c>
      <c r="CG947" s="11">
        <v>232500.0</v>
      </c>
      <c r="CH947" s="11">
        <v>232800.0</v>
      </c>
      <c r="CI947" s="11">
        <v>321300.0</v>
      </c>
      <c r="CJ947" s="11">
        <v>299600.0</v>
      </c>
      <c r="CK947" s="11">
        <v>306500.0</v>
      </c>
      <c r="CL947" s="11">
        <v>1620000.0</v>
      </c>
      <c r="CM947" s="11">
        <v>1540000.0</v>
      </c>
      <c r="CN947" s="11">
        <v>1610000.0</v>
      </c>
      <c r="CO947" s="11">
        <v>1520000.0</v>
      </c>
      <c r="CP947" s="11">
        <v>3560000.0</v>
      </c>
      <c r="CQ947" s="11">
        <v>187100.0</v>
      </c>
      <c r="CR947" s="11">
        <v>249200.0</v>
      </c>
      <c r="CS947" s="11">
        <v>204900.0</v>
      </c>
      <c r="CT947" s="11">
        <v>157700.0</v>
      </c>
      <c r="CU947" s="11">
        <v>268500.0</v>
      </c>
      <c r="CV947" s="11">
        <v>440900.0</v>
      </c>
      <c r="CW947" s="11">
        <v>14200.0</v>
      </c>
      <c r="CX947" s="13"/>
      <c r="CY947" s="13"/>
      <c r="CZ947" s="13"/>
      <c r="DA947" s="12"/>
      <c r="DB947" s="11">
        <v>440900.0</v>
      </c>
      <c r="DC947" s="11">
        <v>496600.0</v>
      </c>
      <c r="DD947" s="11">
        <v>453000.0</v>
      </c>
      <c r="DE947" s="11">
        <v>412800.0</v>
      </c>
      <c r="DF947" s="11">
        <v>971800.0</v>
      </c>
      <c r="DG947" s="11">
        <v>940600.0</v>
      </c>
      <c r="DH947" s="11">
        <v>930300.0</v>
      </c>
      <c r="DI947" s="11">
        <v>927300.0</v>
      </c>
      <c r="DJ947" s="11">
        <v>2720000.0</v>
      </c>
      <c r="DK947" s="12"/>
      <c r="DL947" s="12"/>
      <c r="DM947" s="12"/>
      <c r="DN947" s="12"/>
      <c r="DO947" s="12"/>
      <c r="DP947" s="11">
        <v>346000.0</v>
      </c>
      <c r="DQ947" s="11">
        <v>266700.0</v>
      </c>
      <c r="DR947" s="11">
        <v>266700.0</v>
      </c>
      <c r="DS947" s="11">
        <v>269100.0</v>
      </c>
      <c r="DT947" s="11">
        <v>1330000.0</v>
      </c>
      <c r="DU947" s="13"/>
      <c r="DV947" s="12"/>
      <c r="DW947" s="12"/>
      <c r="DX947" s="13"/>
      <c r="DY947" s="13"/>
      <c r="DZ947" s="11">
        <v>645900.0</v>
      </c>
      <c r="EA947" s="11">
        <v>601300.0</v>
      </c>
      <c r="EB947" s="11">
        <v>677500.0</v>
      </c>
      <c r="EC947" s="11">
        <v>590500.0</v>
      </c>
      <c r="ED947" s="11">
        <v>842300.0</v>
      </c>
      <c r="EE947" s="23">
        <v>0.141791045</v>
      </c>
      <c r="EF947" s="23">
        <v>0.154362416</v>
      </c>
      <c r="EG947" s="14">
        <v>-3.5</v>
      </c>
      <c r="EH947" s="23">
        <v>-0.44675</v>
      </c>
    </row>
    <row r="948">
      <c r="A948" s="9">
        <f t="shared" si="2"/>
        <v>946</v>
      </c>
      <c r="B948" s="25" t="s">
        <v>1083</v>
      </c>
      <c r="C948" s="15">
        <v>1770000.0</v>
      </c>
      <c r="D948" s="15">
        <v>1670000.0</v>
      </c>
      <c r="E948" s="15">
        <v>1790000.0</v>
      </c>
      <c r="F948" s="15">
        <v>1810000.0</v>
      </c>
      <c r="G948" s="15">
        <v>1680000.0</v>
      </c>
      <c r="H948" s="15">
        <v>1640000.0</v>
      </c>
      <c r="I948" s="15">
        <v>1800000.0</v>
      </c>
      <c r="J948" s="15">
        <v>431500.0</v>
      </c>
      <c r="K948" s="15">
        <v>452600.0</v>
      </c>
      <c r="L948" s="15">
        <v>459200.0</v>
      </c>
      <c r="M948" s="15">
        <v>452200.0</v>
      </c>
      <c r="N948" s="15">
        <v>463200.0</v>
      </c>
      <c r="O948" s="15">
        <v>198700.0</v>
      </c>
      <c r="P948" s="15">
        <v>192500.0</v>
      </c>
      <c r="Q948" s="15">
        <v>196400.0</v>
      </c>
      <c r="R948" s="15">
        <v>195000.0</v>
      </c>
      <c r="S948" s="15">
        <v>205900.0</v>
      </c>
      <c r="T948" s="15">
        <v>20300.0</v>
      </c>
      <c r="U948" s="15">
        <v>22700.0</v>
      </c>
      <c r="V948" s="15">
        <v>23700.0</v>
      </c>
      <c r="W948" s="15">
        <v>23800.0</v>
      </c>
      <c r="X948" s="15">
        <v>23600.0</v>
      </c>
      <c r="Y948" s="15">
        <v>208700.0</v>
      </c>
      <c r="Z948" s="15">
        <v>251500.0</v>
      </c>
      <c r="AA948" s="15">
        <v>-22300.0</v>
      </c>
      <c r="AB948" s="15">
        <v>220900.0</v>
      </c>
      <c r="AC948" s="15">
        <v>195800.0</v>
      </c>
      <c r="AD948" s="15">
        <v>157300.0</v>
      </c>
      <c r="AE948" s="15">
        <v>204100.0</v>
      </c>
      <c r="AF948" s="15">
        <v>190900.0</v>
      </c>
      <c r="AG948" s="15">
        <v>170300.0</v>
      </c>
      <c r="AH948" s="15">
        <v>132600.0</v>
      </c>
      <c r="AI948" s="15">
        <v>339400.0</v>
      </c>
      <c r="AJ948" s="15">
        <v>350600.0</v>
      </c>
      <c r="AK948" s="15">
        <v>349700.0</v>
      </c>
      <c r="AL948" s="15">
        <v>351600.0</v>
      </c>
      <c r="AM948" s="15">
        <v>358400.0</v>
      </c>
      <c r="AN948" s="15">
        <v>132700.0</v>
      </c>
      <c r="AO948" s="15">
        <v>169000.0</v>
      </c>
      <c r="AP948" s="15">
        <v>195100.0</v>
      </c>
      <c r="AQ948" s="15">
        <v>133400.0</v>
      </c>
      <c r="AR948" s="15">
        <v>107900.0</v>
      </c>
      <c r="AS948" s="15">
        <v>238300.0</v>
      </c>
      <c r="AT948" s="15">
        <v>202100.0</v>
      </c>
      <c r="AU948" s="15">
        <v>207600.0</v>
      </c>
      <c r="AV948" s="15">
        <v>225100.0</v>
      </c>
      <c r="AW948" s="15">
        <v>270000.0</v>
      </c>
      <c r="AX948" s="15">
        <v>-65000.0</v>
      </c>
      <c r="AY948" s="15">
        <v>-75900.0</v>
      </c>
      <c r="AZ948" s="15">
        <v>-76700.0</v>
      </c>
      <c r="BA948" s="15">
        <v>-62400.0</v>
      </c>
      <c r="BB948" s="15">
        <v>-86000.0</v>
      </c>
      <c r="BC948" s="15">
        <v>-7000.0</v>
      </c>
      <c r="BD948" s="15">
        <v>-7100.0</v>
      </c>
      <c r="BE948" s="15">
        <v>-7000.0</v>
      </c>
      <c r="BF948" s="15">
        <v>-7000.0</v>
      </c>
      <c r="BG948" s="15">
        <v>-7000.0</v>
      </c>
      <c r="BH948" s="15">
        <v>243200.0</v>
      </c>
      <c r="BI948" s="15">
        <v>212600.0</v>
      </c>
      <c r="BJ948" s="15">
        <v>214900.0</v>
      </c>
      <c r="BK948" s="15">
        <v>190500.0</v>
      </c>
      <c r="BL948" s="15">
        <v>232000.0</v>
      </c>
      <c r="BM948" s="15">
        <v>376200.0</v>
      </c>
      <c r="BN948" s="15">
        <v>387300.0</v>
      </c>
      <c r="BO948" s="15">
        <v>383000.0</v>
      </c>
      <c r="BP948" s="15">
        <v>341300.0</v>
      </c>
      <c r="BQ948" s="15">
        <v>348700.0</v>
      </c>
      <c r="BR948" s="15">
        <v>253300.0</v>
      </c>
      <c r="BS948" s="15">
        <v>239200.0</v>
      </c>
      <c r="BT948" s="15">
        <v>219300.0</v>
      </c>
      <c r="BU948" s="15">
        <v>186900.0</v>
      </c>
      <c r="BV948" s="15">
        <v>194900.0</v>
      </c>
      <c r="BW948" s="15">
        <v>919200.0</v>
      </c>
      <c r="BX948" s="15">
        <v>876300.0</v>
      </c>
      <c r="BY948" s="15">
        <v>852200.0</v>
      </c>
      <c r="BZ948" s="15">
        <v>751100.0</v>
      </c>
      <c r="CA948" s="15">
        <v>803600.0</v>
      </c>
      <c r="CB948" s="15">
        <v>1100000.0</v>
      </c>
      <c r="CC948" s="15">
        <v>1100000.0</v>
      </c>
      <c r="CD948" s="15">
        <v>1060000.0</v>
      </c>
      <c r="CE948" s="15">
        <v>1050000.0</v>
      </c>
      <c r="CF948" s="15">
        <v>1100000.0</v>
      </c>
      <c r="CG948" s="15">
        <v>807400.0</v>
      </c>
      <c r="CH948" s="15">
        <v>812400.0</v>
      </c>
      <c r="CI948" s="15">
        <v>779300.0</v>
      </c>
      <c r="CJ948" s="15">
        <v>778700.0</v>
      </c>
      <c r="CK948" s="15">
        <v>781200.0</v>
      </c>
      <c r="CL948" s="15">
        <v>3110000.0</v>
      </c>
      <c r="CM948" s="15">
        <v>3090000.0</v>
      </c>
      <c r="CN948" s="15">
        <v>2970000.0</v>
      </c>
      <c r="CO948" s="15">
        <v>2860000.0</v>
      </c>
      <c r="CP948" s="15">
        <v>2980000.0</v>
      </c>
      <c r="CQ948" s="15">
        <v>163400.0</v>
      </c>
      <c r="CR948" s="15">
        <v>169100.0</v>
      </c>
      <c r="CS948" s="15">
        <v>179000.0</v>
      </c>
      <c r="CT948" s="15">
        <v>144900.0</v>
      </c>
      <c r="CU948" s="15">
        <v>152400.0</v>
      </c>
      <c r="CV948" s="15">
        <v>398500.0</v>
      </c>
      <c r="CW948" s="15">
        <v>113100.0</v>
      </c>
      <c r="CX948" s="15">
        <v>105200.0</v>
      </c>
      <c r="CY948" s="15">
        <v>6300.0</v>
      </c>
      <c r="CZ948" s="15">
        <v>6100.0</v>
      </c>
      <c r="DA948" s="15">
        <v>6500.0</v>
      </c>
      <c r="DB948" s="15">
        <v>398500.0</v>
      </c>
      <c r="DC948" s="15">
        <v>381900.0</v>
      </c>
      <c r="DD948" s="15">
        <v>310000.0</v>
      </c>
      <c r="DE948" s="15">
        <v>295500.0</v>
      </c>
      <c r="DF948" s="15">
        <v>1680000.0</v>
      </c>
      <c r="DG948" s="15">
        <v>1700000.0</v>
      </c>
      <c r="DH948" s="15">
        <v>1690000.0</v>
      </c>
      <c r="DI948" s="15">
        <v>1830000.0</v>
      </c>
      <c r="DJ948" s="15">
        <v>2040000.0</v>
      </c>
      <c r="DK948" s="15">
        <v>10600.0</v>
      </c>
      <c r="DL948" s="15">
        <v>2700.0</v>
      </c>
      <c r="DM948" s="12"/>
      <c r="DN948" s="12"/>
      <c r="DO948" s="12"/>
      <c r="DP948" s="15">
        <v>867600.0</v>
      </c>
      <c r="DQ948" s="15">
        <v>907800.0</v>
      </c>
      <c r="DR948" s="15">
        <v>959800.0</v>
      </c>
      <c r="DS948" s="15">
        <v>1070000.0</v>
      </c>
      <c r="DT948" s="15">
        <v>1260000.0</v>
      </c>
      <c r="DU948" s="12"/>
      <c r="DV948" s="12"/>
      <c r="DW948" s="12"/>
      <c r="DX948" s="12"/>
      <c r="DY948" s="13"/>
      <c r="DZ948" s="15">
        <v>1400000.0</v>
      </c>
      <c r="EA948" s="15">
        <v>1350000.0</v>
      </c>
      <c r="EB948" s="15">
        <v>1250000.0</v>
      </c>
      <c r="EC948" s="15">
        <v>1010000.0</v>
      </c>
      <c r="ED948" s="15">
        <v>910500.0</v>
      </c>
      <c r="EE948" s="17">
        <v>0.078</v>
      </c>
      <c r="EF948" s="17">
        <v>0.113</v>
      </c>
      <c r="EG948" s="17">
        <v>0.189</v>
      </c>
      <c r="EH948" s="17">
        <v>0.083</v>
      </c>
    </row>
    <row r="949">
      <c r="A949" s="9">
        <f t="shared" si="2"/>
        <v>947</v>
      </c>
      <c r="B949" s="10" t="s">
        <v>1084</v>
      </c>
      <c r="C949" s="11">
        <v>7370000.0</v>
      </c>
      <c r="D949" s="11">
        <v>7380000.0</v>
      </c>
      <c r="E949" s="11">
        <v>7180000.0</v>
      </c>
      <c r="F949" s="11">
        <v>6910000.0</v>
      </c>
      <c r="G949" s="11">
        <v>6610000.0</v>
      </c>
      <c r="H949" s="11">
        <v>5130000.0</v>
      </c>
      <c r="I949" s="11">
        <v>4210000.0</v>
      </c>
      <c r="J949" s="11">
        <v>877460.0</v>
      </c>
      <c r="K949" s="11">
        <v>757180.0</v>
      </c>
      <c r="L949" s="11">
        <v>673620.0</v>
      </c>
      <c r="M949" s="11">
        <v>527660.0</v>
      </c>
      <c r="N949" s="11">
        <v>317370.0</v>
      </c>
      <c r="O949" s="11">
        <v>299500.0</v>
      </c>
      <c r="P949" s="11">
        <v>287280.0</v>
      </c>
      <c r="Q949" s="11">
        <v>275100.0</v>
      </c>
      <c r="R949" s="11">
        <v>247130.0</v>
      </c>
      <c r="S949" s="11">
        <v>248110.0</v>
      </c>
      <c r="T949" s="11"/>
      <c r="U949" s="11"/>
      <c r="V949" s="11"/>
      <c r="W949" s="11"/>
      <c r="X949" s="11"/>
      <c r="Y949" s="11">
        <v>574640.0</v>
      </c>
      <c r="Z949" s="11">
        <v>422240.0</v>
      </c>
      <c r="AA949" s="11">
        <v>397920.0</v>
      </c>
      <c r="AB949" s="11">
        <v>263330.0</v>
      </c>
      <c r="AC949" s="11">
        <v>-108630.0</v>
      </c>
      <c r="AD949" s="11">
        <v>510940.0</v>
      </c>
      <c r="AE949" s="11">
        <v>365300.0</v>
      </c>
      <c r="AF949" s="11">
        <v>371830.0</v>
      </c>
      <c r="AG949" s="11">
        <v>225820.0</v>
      </c>
      <c r="AH949" s="11">
        <v>-67750.0</v>
      </c>
      <c r="AI949" s="11">
        <v>813440.0</v>
      </c>
      <c r="AJ949" s="11">
        <v>682830.0</v>
      </c>
      <c r="AK949" s="11">
        <v>586570.0</v>
      </c>
      <c r="AL949" s="11">
        <v>443450.0</v>
      </c>
      <c r="AM949" s="11">
        <v>238920.0</v>
      </c>
      <c r="AN949" s="11">
        <v>392330.0</v>
      </c>
      <c r="AO949" s="11">
        <v>259660.0</v>
      </c>
      <c r="AP949" s="11">
        <v>347210.0</v>
      </c>
      <c r="AQ949" s="11">
        <v>131260.0</v>
      </c>
      <c r="AR949" s="11">
        <v>-79110.0</v>
      </c>
      <c r="AS949" s="11">
        <v>550280.0</v>
      </c>
      <c r="AT949" s="11">
        <v>529960.0</v>
      </c>
      <c r="AU949" s="11">
        <v>166720.0</v>
      </c>
      <c r="AV949" s="11">
        <v>205590.0</v>
      </c>
      <c r="AW949" s="11">
        <v>367410.0</v>
      </c>
      <c r="AX949" s="11">
        <v>-126470.0</v>
      </c>
      <c r="AY949" s="11">
        <v>-180420.0</v>
      </c>
      <c r="AZ949" s="11">
        <v>-123410.0</v>
      </c>
      <c r="BA949" s="11">
        <v>-117110.0</v>
      </c>
      <c r="BB949" s="11">
        <v>-84410.0</v>
      </c>
      <c r="BC949" s="13"/>
      <c r="BD949" s="13"/>
      <c r="BE949" s="13"/>
      <c r="BF949" s="13"/>
      <c r="BG949" s="13"/>
      <c r="BH949" s="11">
        <v>71430.0</v>
      </c>
      <c r="BI949" s="11">
        <v>27420.0</v>
      </c>
      <c r="BJ949" s="11">
        <v>40330.0</v>
      </c>
      <c r="BK949" s="11">
        <v>38770.0</v>
      </c>
      <c r="BL949" s="11">
        <v>4980.0</v>
      </c>
      <c r="BM949" s="11">
        <v>1870000.0</v>
      </c>
      <c r="BN949" s="11">
        <v>1920000.0</v>
      </c>
      <c r="BO949" s="11">
        <v>1600000.0</v>
      </c>
      <c r="BP949" s="11">
        <v>1160000.0</v>
      </c>
      <c r="BQ949" s="11">
        <v>911110.0</v>
      </c>
      <c r="BR949" s="11">
        <v>100070.0</v>
      </c>
      <c r="BS949" s="11">
        <v>113710.0</v>
      </c>
      <c r="BT949" s="11">
        <v>76990.0</v>
      </c>
      <c r="BU949" s="11">
        <v>111030.0</v>
      </c>
      <c r="BV949" s="11">
        <v>90600.0</v>
      </c>
      <c r="BW949" s="11">
        <v>2170000.0</v>
      </c>
      <c r="BX949" s="11">
        <v>2170000.0</v>
      </c>
      <c r="BY949" s="11">
        <v>1850000.0</v>
      </c>
      <c r="BZ949" s="11">
        <v>1400000.0</v>
      </c>
      <c r="CA949" s="11">
        <v>1130000.0</v>
      </c>
      <c r="CB949" s="11">
        <v>1140000.0</v>
      </c>
      <c r="CC949" s="11">
        <v>747810.0</v>
      </c>
      <c r="CD949" s="11">
        <v>706510.0</v>
      </c>
      <c r="CE949" s="11">
        <v>549080.0</v>
      </c>
      <c r="CF949" s="11">
        <v>558670.0</v>
      </c>
      <c r="CG949" s="11">
        <v>1220000.0</v>
      </c>
      <c r="CH949" s="11">
        <v>1100000.0</v>
      </c>
      <c r="CI949" s="11">
        <v>1140000.0</v>
      </c>
      <c r="CJ949" s="11">
        <v>995870.0</v>
      </c>
      <c r="CK949" s="11">
        <v>988510.0</v>
      </c>
      <c r="CL949" s="11">
        <v>5080000.0</v>
      </c>
      <c r="CM949" s="11">
        <v>4520000.0</v>
      </c>
      <c r="CN949" s="11">
        <v>4070000.0</v>
      </c>
      <c r="CO949" s="11">
        <v>3180000.0</v>
      </c>
      <c r="CP949" s="11">
        <v>2930000.0</v>
      </c>
      <c r="CQ949" s="11">
        <v>535030.0</v>
      </c>
      <c r="CR949" s="11">
        <v>669710.0</v>
      </c>
      <c r="CS949" s="11">
        <v>377950.0</v>
      </c>
      <c r="CT949" s="11">
        <v>363670.0</v>
      </c>
      <c r="CU949" s="11">
        <v>348540.0</v>
      </c>
      <c r="CV949" s="11">
        <v>1220000.0</v>
      </c>
      <c r="CW949" s="11">
        <v>81560.0</v>
      </c>
      <c r="CX949" s="13"/>
      <c r="CY949" s="13"/>
      <c r="CZ949" s="13"/>
      <c r="DA949" s="12"/>
      <c r="DB949" s="11">
        <v>1220000.0</v>
      </c>
      <c r="DC949" s="11">
        <v>1280000.0</v>
      </c>
      <c r="DD949" s="11">
        <v>963830.0</v>
      </c>
      <c r="DE949" s="11">
        <v>839990.0</v>
      </c>
      <c r="DF949" s="11">
        <v>3280000.0</v>
      </c>
      <c r="DG949" s="11">
        <v>3130000.0</v>
      </c>
      <c r="DH949" s="11">
        <v>2630000.0</v>
      </c>
      <c r="DI949" s="11">
        <v>2080000.0</v>
      </c>
      <c r="DJ949" s="11">
        <v>1980000.0</v>
      </c>
      <c r="DK949" s="12"/>
      <c r="DL949" s="11">
        <v>1600.0</v>
      </c>
      <c r="DM949" s="11">
        <v>1600.0</v>
      </c>
      <c r="DN949" s="11">
        <v>1500.0</v>
      </c>
      <c r="DO949" s="11">
        <v>1300.0</v>
      </c>
      <c r="DP949" s="11">
        <v>1470000.0</v>
      </c>
      <c r="DQ949" s="11">
        <v>1320000.0</v>
      </c>
      <c r="DR949" s="11">
        <v>1280000.0</v>
      </c>
      <c r="DS949" s="11">
        <v>961380.0</v>
      </c>
      <c r="DT949" s="11">
        <v>932870.0</v>
      </c>
      <c r="DU949" s="13"/>
      <c r="DV949" s="12"/>
      <c r="DW949" s="12"/>
      <c r="DX949" s="11"/>
      <c r="DY949" s="11"/>
      <c r="DZ949" s="11">
        <v>1790000.0</v>
      </c>
      <c r="EA949" s="11">
        <v>1390000.0</v>
      </c>
      <c r="EB949" s="11">
        <v>1430000.0</v>
      </c>
      <c r="EC949" s="11">
        <v>1100000.0</v>
      </c>
      <c r="ED949" s="11">
        <v>939570.0</v>
      </c>
      <c r="EE949" s="23">
        <v>0.04200542</v>
      </c>
      <c r="EF949" s="23">
        <v>0.138398915</v>
      </c>
      <c r="EG949" s="14">
        <v>0.333</v>
      </c>
      <c r="EH949" s="23">
        <v>0.21725</v>
      </c>
    </row>
    <row r="950">
      <c r="A950" s="9">
        <f t="shared" si="2"/>
        <v>948</v>
      </c>
      <c r="B950" s="10" t="s">
        <v>1085</v>
      </c>
      <c r="C950" s="15">
        <v>2.439E7</v>
      </c>
      <c r="D950" s="15">
        <v>2.071E7</v>
      </c>
      <c r="E950" s="15">
        <v>2.341E7</v>
      </c>
      <c r="F950" s="15">
        <v>3.039E7</v>
      </c>
      <c r="G950" s="15">
        <v>2.032E7</v>
      </c>
      <c r="H950" s="15">
        <v>1.24E7</v>
      </c>
      <c r="I950" s="15">
        <v>1.619E7</v>
      </c>
      <c r="J950" s="15">
        <v>1.07E7</v>
      </c>
      <c r="K950" s="15">
        <v>1.789E7</v>
      </c>
      <c r="L950" s="15">
        <v>8440000.0</v>
      </c>
      <c r="M950" s="15">
        <v>2510000.0</v>
      </c>
      <c r="N950" s="15">
        <v>5220000.0</v>
      </c>
      <c r="O950" s="15">
        <v>3280000.0</v>
      </c>
      <c r="P950" s="15">
        <v>2950000.0</v>
      </c>
      <c r="Q950" s="15">
        <v>2550000.0</v>
      </c>
      <c r="R950" s="15">
        <v>2280000.0</v>
      </c>
      <c r="S950" s="15">
        <v>2260000.0</v>
      </c>
      <c r="T950" s="15">
        <v>2440000.0</v>
      </c>
      <c r="U950" s="15">
        <v>2140000.0</v>
      </c>
      <c r="V950" s="15">
        <v>1820000.0</v>
      </c>
      <c r="W950" s="15">
        <v>1620000.0</v>
      </c>
      <c r="X950" s="15">
        <v>1540000.0</v>
      </c>
      <c r="Y950" s="15">
        <v>6970000.0</v>
      </c>
      <c r="Z950" s="15">
        <v>-607000.0</v>
      </c>
      <c r="AA950" s="15">
        <v>-60000.0</v>
      </c>
      <c r="AB950" s="15">
        <v>158000.0</v>
      </c>
      <c r="AC950" s="15">
        <v>2850000.0</v>
      </c>
      <c r="AD950" s="15">
        <v>7050000.0</v>
      </c>
      <c r="AE950" s="15">
        <v>1.431E7</v>
      </c>
      <c r="AF950" s="15">
        <v>5200000.0</v>
      </c>
      <c r="AG950" s="15">
        <v>-281000.0</v>
      </c>
      <c r="AH950" s="15">
        <v>2610000.0</v>
      </c>
      <c r="AI950" s="15">
        <v>1.285E7</v>
      </c>
      <c r="AJ950" s="15">
        <v>1.97E7</v>
      </c>
      <c r="AK950" s="15">
        <v>9740000.0</v>
      </c>
      <c r="AL950" s="15">
        <v>3210000.0</v>
      </c>
      <c r="AM950" s="15">
        <v>5620000.0</v>
      </c>
      <c r="AN950" s="15">
        <v>6310000.0</v>
      </c>
      <c r="AO950" s="15">
        <v>1.414E7</v>
      </c>
      <c r="AP950" s="15">
        <v>5090000.0</v>
      </c>
      <c r="AQ950" s="15">
        <v>-276000.0</v>
      </c>
      <c r="AR950" s="15">
        <v>2900000.0</v>
      </c>
      <c r="AS950" s="15">
        <v>1.319E7</v>
      </c>
      <c r="AT950" s="15">
        <v>1.74E7</v>
      </c>
      <c r="AU950" s="15">
        <v>8150000.0</v>
      </c>
      <c r="AV950" s="15">
        <v>3170000.0</v>
      </c>
      <c r="AW950" s="15">
        <v>5210000.0</v>
      </c>
      <c r="AX950" s="15">
        <v>-9780000.0</v>
      </c>
      <c r="AY950" s="15">
        <v>-8880000.0</v>
      </c>
      <c r="AZ950" s="15">
        <v>-4730000.0</v>
      </c>
      <c r="BA950" s="15">
        <v>-5820000.0</v>
      </c>
      <c r="BB950" s="15">
        <v>-4020000.0</v>
      </c>
      <c r="BC950" s="15">
        <v>0.0</v>
      </c>
      <c r="BD950" s="15">
        <v>0.0</v>
      </c>
      <c r="BE950" s="15">
        <v>0.0</v>
      </c>
      <c r="BF950" s="15">
        <v>0.0</v>
      </c>
      <c r="BG950" s="15">
        <v>0.0</v>
      </c>
      <c r="BH950" s="15">
        <v>7960000.0</v>
      </c>
      <c r="BI950" s="15">
        <v>6800000.0</v>
      </c>
      <c r="BJ950" s="15">
        <v>5430000.0</v>
      </c>
      <c r="BK950" s="15">
        <v>4400000.0</v>
      </c>
      <c r="BL950" s="15">
        <v>3520000.0</v>
      </c>
      <c r="BM950" s="15">
        <v>3200000.0</v>
      </c>
      <c r="BN950" s="15">
        <v>5480000.0</v>
      </c>
      <c r="BO950" s="15">
        <v>3760000.0</v>
      </c>
      <c r="BP950" s="15">
        <v>2070000.0</v>
      </c>
      <c r="BQ950" s="15">
        <v>2510000.0</v>
      </c>
      <c r="BR950" s="15">
        <v>5120000.0</v>
      </c>
      <c r="BS950" s="15">
        <v>3600000.0</v>
      </c>
      <c r="BT950" s="15">
        <v>3120000.0</v>
      </c>
      <c r="BU950" s="15">
        <v>2890000.0</v>
      </c>
      <c r="BV950" s="15">
        <v>2340000.0</v>
      </c>
      <c r="BW950" s="15">
        <v>1.65E7</v>
      </c>
      <c r="BX950" s="15">
        <v>1.604E7</v>
      </c>
      <c r="BY950" s="15">
        <v>1.246E7</v>
      </c>
      <c r="BZ950" s="15">
        <v>9500000.0</v>
      </c>
      <c r="CA950" s="15">
        <v>8600000.0</v>
      </c>
      <c r="CB950" s="15">
        <v>2.824E7</v>
      </c>
      <c r="CC950" s="15">
        <v>2.367E7</v>
      </c>
      <c r="CD950" s="15">
        <v>1.943E7</v>
      </c>
      <c r="CE950" s="15">
        <v>1.474E7</v>
      </c>
      <c r="CF950" s="15">
        <v>1.061E7</v>
      </c>
      <c r="CG950" s="15">
        <v>1230000.0</v>
      </c>
      <c r="CH950" s="15">
        <v>1230000.0</v>
      </c>
      <c r="CI950" s="15">
        <v>1230000.0</v>
      </c>
      <c r="CJ950" s="15">
        <v>104000.0</v>
      </c>
      <c r="CK950" s="15">
        <v>0.0</v>
      </c>
      <c r="CL950" s="15">
        <v>4.889E7</v>
      </c>
      <c r="CM950" s="15">
        <v>4.338E7</v>
      </c>
      <c r="CN950" s="15">
        <v>3.534E7</v>
      </c>
      <c r="CO950" s="15">
        <v>2.754E7</v>
      </c>
      <c r="CP950" s="15">
        <v>2.414E7</v>
      </c>
      <c r="CQ950" s="15">
        <v>1680000.0</v>
      </c>
      <c r="CR950" s="15">
        <v>1690000.0</v>
      </c>
      <c r="CS950" s="15">
        <v>1330000.0</v>
      </c>
      <c r="CT950" s="15">
        <v>1460000.0</v>
      </c>
      <c r="CU950" s="15">
        <v>1360000.0</v>
      </c>
      <c r="CV950" s="15">
        <v>6390000.0</v>
      </c>
      <c r="CW950" s="15">
        <v>0.0</v>
      </c>
      <c r="CX950" s="15">
        <v>0.0</v>
      </c>
      <c r="CY950" s="16">
        <v>0.0</v>
      </c>
      <c r="CZ950" s="16">
        <v>0.0</v>
      </c>
      <c r="DA950" s="15">
        <v>0.0</v>
      </c>
      <c r="DB950" s="15">
        <v>6390000.0</v>
      </c>
      <c r="DC950" s="15">
        <v>5750000.0</v>
      </c>
      <c r="DD950" s="15">
        <v>5330000.0</v>
      </c>
      <c r="DE950" s="15">
        <v>4840000.0</v>
      </c>
      <c r="DF950" s="15">
        <v>1.138E7</v>
      </c>
      <c r="DG950" s="15">
        <v>9890000.0</v>
      </c>
      <c r="DH950" s="15">
        <v>1.587E7</v>
      </c>
      <c r="DI950" s="15">
        <v>1.461E7</v>
      </c>
      <c r="DJ950" s="15">
        <v>1.09E7</v>
      </c>
      <c r="DK950" s="15">
        <v>1290000.0</v>
      </c>
      <c r="DL950" s="15">
        <v>554000.0</v>
      </c>
      <c r="DM950" s="15">
        <v>741000.0</v>
      </c>
      <c r="DN950" s="15">
        <v>1840000.0</v>
      </c>
      <c r="DO950" s="15">
        <v>3540000.0</v>
      </c>
      <c r="DP950" s="15">
        <v>1.272E7</v>
      </c>
      <c r="DQ950" s="15">
        <v>1.242E7</v>
      </c>
      <c r="DR950" s="15">
        <v>1.153E7</v>
      </c>
      <c r="DS950" s="15">
        <v>1.172E7</v>
      </c>
      <c r="DT950" s="15">
        <v>1.237E7</v>
      </c>
      <c r="DU950" s="16">
        <v>0.0</v>
      </c>
      <c r="DV950" s="15">
        <v>0.0</v>
      </c>
      <c r="DW950" s="15">
        <v>0.0</v>
      </c>
      <c r="DX950" s="15">
        <v>0.0</v>
      </c>
      <c r="DY950" s="15">
        <v>0.0</v>
      </c>
      <c r="DZ950" s="15">
        <v>3.588E7</v>
      </c>
      <c r="EA950" s="15">
        <v>3.229E7</v>
      </c>
      <c r="EB950" s="15">
        <v>1.862E7</v>
      </c>
      <c r="EC950" s="15">
        <v>1.208E7</v>
      </c>
      <c r="ED950" s="15">
        <v>1.23E7</v>
      </c>
      <c r="EE950" s="17">
        <v>0.085</v>
      </c>
      <c r="EF950" s="17">
        <v>0.431</v>
      </c>
      <c r="EG950" s="17">
        <v>0.216</v>
      </c>
      <c r="EH950" s="17">
        <v>0.177</v>
      </c>
    </row>
    <row r="951">
      <c r="A951" s="9">
        <f t="shared" si="2"/>
        <v>949</v>
      </c>
      <c r="B951" s="10" t="s">
        <v>1086</v>
      </c>
      <c r="C951" s="11">
        <v>1.245E7</v>
      </c>
      <c r="D951" s="11">
        <v>1.124E7</v>
      </c>
      <c r="E951" s="11">
        <v>1.403E7</v>
      </c>
      <c r="F951" s="11">
        <v>1.436E7</v>
      </c>
      <c r="G951" s="11">
        <v>1.283E7</v>
      </c>
      <c r="H951" s="11">
        <v>1.159E7</v>
      </c>
      <c r="I951" s="11">
        <v>1.27E7</v>
      </c>
      <c r="J951" s="11">
        <v>412900.0</v>
      </c>
      <c r="K951" s="11">
        <v>412000.0</v>
      </c>
      <c r="L951" s="11">
        <v>428310.0</v>
      </c>
      <c r="M951" s="11">
        <v>422530.0</v>
      </c>
      <c r="N951" s="11">
        <v>384040.0</v>
      </c>
      <c r="O951" s="11">
        <v>144600.0</v>
      </c>
      <c r="P951" s="11">
        <v>136200.0</v>
      </c>
      <c r="Q951" s="11">
        <v>141170.0</v>
      </c>
      <c r="R951" s="11">
        <v>122670.0</v>
      </c>
      <c r="S951" s="11">
        <v>129280.0</v>
      </c>
      <c r="T951" s="12"/>
      <c r="U951" s="12"/>
      <c r="V951" s="12"/>
      <c r="W951" s="12"/>
      <c r="X951" s="12"/>
      <c r="Y951" s="11">
        <v>253600.0</v>
      </c>
      <c r="Z951" s="11">
        <v>326200.0</v>
      </c>
      <c r="AA951" s="12"/>
      <c r="AB951" s="12"/>
      <c r="AC951" s="11"/>
      <c r="AD951" s="11">
        <v>202400.0</v>
      </c>
      <c r="AE951" s="11">
        <v>273900.0</v>
      </c>
      <c r="AF951" s="11">
        <v>240020.0</v>
      </c>
      <c r="AG951" s="11">
        <v>352030.0</v>
      </c>
      <c r="AH951" s="11">
        <v>218290.0</v>
      </c>
      <c r="AI951" s="11">
        <v>422600.0</v>
      </c>
      <c r="AJ951" s="11">
        <v>411800.0</v>
      </c>
      <c r="AK951" s="11">
        <v>405890.0</v>
      </c>
      <c r="AL951" s="11">
        <v>400130.0</v>
      </c>
      <c r="AM951" s="11">
        <v>342850.0</v>
      </c>
      <c r="AN951" s="11">
        <v>154800.0</v>
      </c>
      <c r="AO951" s="11">
        <v>213600.0</v>
      </c>
      <c r="AP951" s="11">
        <v>245260.0</v>
      </c>
      <c r="AQ951" s="11">
        <v>221490.0</v>
      </c>
      <c r="AR951" s="11">
        <v>137590.0</v>
      </c>
      <c r="AS951" s="11">
        <v>313300.0</v>
      </c>
      <c r="AT951" s="11">
        <v>398700.0</v>
      </c>
      <c r="AU951" s="11">
        <v>283630.0</v>
      </c>
      <c r="AV951" s="11">
        <v>337440.0</v>
      </c>
      <c r="AW951" s="11">
        <v>215780.0</v>
      </c>
      <c r="AX951" s="11">
        <v>-204800.0</v>
      </c>
      <c r="AY951" s="11">
        <v>-204300.0</v>
      </c>
      <c r="AZ951" s="11">
        <v>-258260.0</v>
      </c>
      <c r="BA951" s="11">
        <v>-262140.0</v>
      </c>
      <c r="BB951" s="11">
        <v>-205230.0</v>
      </c>
      <c r="BC951" s="12"/>
      <c r="BD951" s="12"/>
      <c r="BE951" s="12"/>
      <c r="BF951" s="12"/>
      <c r="BG951" s="12"/>
      <c r="BH951" s="11">
        <v>280300.0</v>
      </c>
      <c r="BI951" s="11">
        <v>185500.0</v>
      </c>
      <c r="BJ951" s="11">
        <v>172730.0</v>
      </c>
      <c r="BK951" s="11">
        <v>155610.0</v>
      </c>
      <c r="BL951" s="11">
        <v>103940.0</v>
      </c>
      <c r="BM951" s="11">
        <v>172900.0</v>
      </c>
      <c r="BN951" s="11">
        <v>138800.0</v>
      </c>
      <c r="BO951" s="11">
        <v>225270.0</v>
      </c>
      <c r="BP951" s="11">
        <v>183520.0</v>
      </c>
      <c r="BQ951" s="11">
        <v>136250.0</v>
      </c>
      <c r="BR951" s="11">
        <v>227600.0</v>
      </c>
      <c r="BS951" s="11">
        <v>221500.0</v>
      </c>
      <c r="BT951" s="11">
        <v>182480.0</v>
      </c>
      <c r="BU951" s="11">
        <v>153350.0</v>
      </c>
      <c r="BV951" s="11">
        <v>155910.0</v>
      </c>
      <c r="BW951" s="11">
        <v>710800.0</v>
      </c>
      <c r="BX951" s="11">
        <v>570100.0</v>
      </c>
      <c r="BY951" s="11">
        <v>614290.0</v>
      </c>
      <c r="BZ951" s="11">
        <v>515550.0</v>
      </c>
      <c r="CA951" s="11">
        <v>435670.0</v>
      </c>
      <c r="CB951" s="11">
        <v>1930000.0</v>
      </c>
      <c r="CC951" s="11">
        <v>1750000.0</v>
      </c>
      <c r="CD951" s="11">
        <v>1680000.0</v>
      </c>
      <c r="CE951" s="11">
        <v>1530000.0</v>
      </c>
      <c r="CF951" s="11">
        <v>1370000.0</v>
      </c>
      <c r="CG951" s="11"/>
      <c r="CH951" s="11"/>
      <c r="CI951" s="11"/>
      <c r="CJ951" s="11"/>
      <c r="CK951" s="11"/>
      <c r="CL951" s="11">
        <v>2720000.0</v>
      </c>
      <c r="CM951" s="11">
        <v>2370000.0</v>
      </c>
      <c r="CN951" s="11">
        <v>2340000.0</v>
      </c>
      <c r="CO951" s="11">
        <v>2090000.0</v>
      </c>
      <c r="CP951" s="11">
        <v>1890000.0</v>
      </c>
      <c r="CQ951" s="11">
        <v>280800.0</v>
      </c>
      <c r="CR951" s="11">
        <v>274900.0</v>
      </c>
      <c r="CS951" s="11">
        <v>339610.0</v>
      </c>
      <c r="CT951" s="11">
        <v>309990.0</v>
      </c>
      <c r="CU951" s="11">
        <v>226770.0</v>
      </c>
      <c r="CV951" s="11">
        <v>505000.0</v>
      </c>
      <c r="CW951" s="11">
        <v>6800.0</v>
      </c>
      <c r="CX951" s="11"/>
      <c r="CY951" s="11"/>
      <c r="CZ951" s="11"/>
      <c r="DA951" s="11"/>
      <c r="DB951" s="11">
        <v>505000.0</v>
      </c>
      <c r="DC951" s="11">
        <v>478100.0</v>
      </c>
      <c r="DD951" s="11">
        <v>533350.0</v>
      </c>
      <c r="DE951" s="11">
        <v>514560.0</v>
      </c>
      <c r="DF951" s="11">
        <v>1920000.0</v>
      </c>
      <c r="DG951" s="11">
        <v>1570000.0</v>
      </c>
      <c r="DH951" s="11">
        <v>1600000.0</v>
      </c>
      <c r="DI951" s="11">
        <v>1390000.0</v>
      </c>
      <c r="DJ951" s="11">
        <v>1090000.0</v>
      </c>
      <c r="DK951" s="11"/>
      <c r="DL951" s="11"/>
      <c r="DM951" s="12"/>
      <c r="DN951" s="12"/>
      <c r="DO951" s="11">
        <v>68570.0</v>
      </c>
      <c r="DP951" s="11">
        <v>1120000.0</v>
      </c>
      <c r="DQ951" s="11">
        <v>842100.0</v>
      </c>
      <c r="DR951" s="11">
        <v>860860.0</v>
      </c>
      <c r="DS951" s="11">
        <v>629620.0</v>
      </c>
      <c r="DT951" s="11">
        <v>490160.0</v>
      </c>
      <c r="DU951" s="13"/>
      <c r="DV951" s="12"/>
      <c r="DW951" s="12"/>
      <c r="DX951" s="11"/>
      <c r="DY951" s="11"/>
      <c r="DZ951" s="11">
        <v>803000.0</v>
      </c>
      <c r="EA951" s="11">
        <v>807300.0</v>
      </c>
      <c r="EB951" s="11">
        <v>738400.0</v>
      </c>
      <c r="EC951" s="11">
        <v>697080.0</v>
      </c>
      <c r="ED951" s="11">
        <v>792290.0</v>
      </c>
      <c r="EE951" s="14">
        <v>0.079</v>
      </c>
      <c r="EF951" s="14">
        <v>0.231</v>
      </c>
      <c r="EG951" s="14">
        <v>0.196</v>
      </c>
      <c r="EH951" s="14">
        <v>0.296</v>
      </c>
    </row>
    <row r="952">
      <c r="A952" s="9">
        <f t="shared" si="2"/>
        <v>950</v>
      </c>
      <c r="B952" s="10" t="s">
        <v>1087</v>
      </c>
      <c r="C952" s="15">
        <v>167200.0</v>
      </c>
      <c r="D952" s="15">
        <v>108150.0</v>
      </c>
      <c r="E952" s="15">
        <v>117020.0</v>
      </c>
      <c r="F952" s="15">
        <v>128180.0</v>
      </c>
      <c r="G952" s="15">
        <v>67720.0</v>
      </c>
      <c r="H952" s="15">
        <v>60390.0</v>
      </c>
      <c r="I952" s="15">
        <v>72960.0</v>
      </c>
      <c r="J952" s="15">
        <v>-32860.0</v>
      </c>
      <c r="K952" s="15">
        <v>-9140.0</v>
      </c>
      <c r="L952" s="15">
        <v>1320.0</v>
      </c>
      <c r="M952" s="15">
        <v>22530.0</v>
      </c>
      <c r="N952" s="15">
        <v>28180.0</v>
      </c>
      <c r="O952" s="15">
        <v>22310.0</v>
      </c>
      <c r="P952" s="15">
        <v>26190.0</v>
      </c>
      <c r="Q952" s="15">
        <v>26590.0</v>
      </c>
      <c r="R952" s="15">
        <v>20140.0</v>
      </c>
      <c r="S952" s="15">
        <v>17550.0</v>
      </c>
      <c r="T952" s="15">
        <v>0.0</v>
      </c>
      <c r="U952" s="15">
        <v>0.0</v>
      </c>
      <c r="V952" s="15">
        <v>3840.0</v>
      </c>
      <c r="W952" s="15">
        <v>3870.0</v>
      </c>
      <c r="X952" s="15">
        <v>1170.0</v>
      </c>
      <c r="Y952" s="15">
        <v>-49900.0</v>
      </c>
      <c r="Z952" s="15">
        <v>-3320.0</v>
      </c>
      <c r="AA952" s="15">
        <v>0.0</v>
      </c>
      <c r="AB952" s="15">
        <v>2890.0</v>
      </c>
      <c r="AC952" s="15">
        <v>-51750.0</v>
      </c>
      <c r="AD952" s="15">
        <v>-63590.0</v>
      </c>
      <c r="AE952" s="15">
        <v>-47640.0</v>
      </c>
      <c r="AF952" s="15">
        <v>-26000.0</v>
      </c>
      <c r="AG952" s="15">
        <v>17310.0</v>
      </c>
      <c r="AH952" s="15">
        <v>-45010.0</v>
      </c>
      <c r="AI952" s="15">
        <v>-26310.0</v>
      </c>
      <c r="AJ952" s="15">
        <v>-15600.0</v>
      </c>
      <c r="AK952" s="15">
        <v>-16640.0</v>
      </c>
      <c r="AL952" s="15">
        <v>6570.0</v>
      </c>
      <c r="AM952" s="15">
        <v>13290.0</v>
      </c>
      <c r="AN952" s="15">
        <v>-59750.0</v>
      </c>
      <c r="AO952" s="15">
        <v>-44870.0</v>
      </c>
      <c r="AP952" s="15">
        <v>-10630.0</v>
      </c>
      <c r="AQ952" s="15">
        <v>21060.0</v>
      </c>
      <c r="AR952" s="15">
        <v>-20450.0</v>
      </c>
      <c r="AS952" s="15">
        <v>-39530.0</v>
      </c>
      <c r="AT952" s="15">
        <v>0.0</v>
      </c>
      <c r="AU952" s="15">
        <v>-27650.0</v>
      </c>
      <c r="AV952" s="15">
        <v>25190.0</v>
      </c>
      <c r="AW952" s="15">
        <v>15600.0</v>
      </c>
      <c r="AX952" s="15">
        <v>-29710.0</v>
      </c>
      <c r="AY952" s="15">
        <v>-81320.0</v>
      </c>
      <c r="AZ952" s="15">
        <v>-8570.0</v>
      </c>
      <c r="BA952" s="15">
        <v>-7160.0</v>
      </c>
      <c r="BB952" s="15">
        <v>0.0</v>
      </c>
      <c r="BC952" s="15">
        <v>0.0</v>
      </c>
      <c r="BD952" s="15">
        <v>-3370.0</v>
      </c>
      <c r="BE952" s="15">
        <v>-3060.0</v>
      </c>
      <c r="BF952" s="15">
        <v>-2990.0</v>
      </c>
      <c r="BG952" s="15">
        <v>-1500.0</v>
      </c>
      <c r="BH952" s="15">
        <v>48340.0</v>
      </c>
      <c r="BI952" s="15">
        <v>33570.0</v>
      </c>
      <c r="BJ952" s="15">
        <v>45120.0</v>
      </c>
      <c r="BK952" s="15">
        <v>45980.0</v>
      </c>
      <c r="BL952" s="15">
        <v>26910.0</v>
      </c>
      <c r="BM952" s="15">
        <v>2660.0</v>
      </c>
      <c r="BN952" s="15">
        <v>2080.0</v>
      </c>
      <c r="BO952" s="15">
        <v>5250.0</v>
      </c>
      <c r="BP952" s="15">
        <v>4300.0</v>
      </c>
      <c r="BQ952" s="15">
        <v>10030.0</v>
      </c>
      <c r="BR952" s="15">
        <v>38380.0</v>
      </c>
      <c r="BS952" s="15">
        <v>22040.0</v>
      </c>
      <c r="BT952" s="15">
        <v>31950.0</v>
      </c>
      <c r="BU952" s="15">
        <v>26620.0</v>
      </c>
      <c r="BV952" s="15">
        <v>14980.0</v>
      </c>
      <c r="BW952" s="15">
        <v>91980.0</v>
      </c>
      <c r="BX952" s="15">
        <v>59380.0</v>
      </c>
      <c r="BY952" s="15">
        <v>86860.0</v>
      </c>
      <c r="BZ952" s="15">
        <v>78570.0</v>
      </c>
      <c r="CA952" s="15">
        <v>54440.0</v>
      </c>
      <c r="CB952" s="15">
        <v>418790.0</v>
      </c>
      <c r="CC952" s="15">
        <v>423880.0</v>
      </c>
      <c r="CD952" s="15">
        <v>344480.0</v>
      </c>
      <c r="CE952" s="15">
        <v>256890.0</v>
      </c>
      <c r="CF952" s="15">
        <v>253000.0</v>
      </c>
      <c r="CG952" s="15">
        <v>0.0</v>
      </c>
      <c r="CH952" s="15">
        <v>0.0</v>
      </c>
      <c r="CI952" s="15">
        <v>0.0</v>
      </c>
      <c r="CJ952" s="15">
        <v>0.0</v>
      </c>
      <c r="CK952" s="15">
        <v>0.0</v>
      </c>
      <c r="CL952" s="15">
        <v>642330.0</v>
      </c>
      <c r="CM952" s="15">
        <v>625850.0</v>
      </c>
      <c r="CN952" s="15">
        <v>601330.0</v>
      </c>
      <c r="CO952" s="15">
        <v>498320.0</v>
      </c>
      <c r="CP952" s="15">
        <v>475090.0</v>
      </c>
      <c r="CQ952" s="15">
        <v>34070.0</v>
      </c>
      <c r="CR952" s="15">
        <v>30820.0</v>
      </c>
      <c r="CS952" s="15">
        <v>34880.0</v>
      </c>
      <c r="CT952" s="15">
        <v>20040.0</v>
      </c>
      <c r="CU952" s="15">
        <v>18430.0</v>
      </c>
      <c r="CV952" s="15">
        <v>48800.0</v>
      </c>
      <c r="CW952" s="15">
        <v>0.0</v>
      </c>
      <c r="CX952" s="15">
        <v>0.0</v>
      </c>
      <c r="CY952" s="15">
        <v>0.0</v>
      </c>
      <c r="CZ952" s="15">
        <v>0.0</v>
      </c>
      <c r="DA952" s="15">
        <v>3400.0</v>
      </c>
      <c r="DB952" s="15">
        <v>48800.0</v>
      </c>
      <c r="DC952" s="15">
        <v>36010.0</v>
      </c>
      <c r="DD952" s="15">
        <v>37640.0</v>
      </c>
      <c r="DE952" s="15">
        <v>20580.0</v>
      </c>
      <c r="DF952" s="15">
        <v>142850.0</v>
      </c>
      <c r="DG952" s="15">
        <v>139900.0</v>
      </c>
      <c r="DH952" s="15">
        <v>80050.0</v>
      </c>
      <c r="DI952" s="15">
        <v>55280.0</v>
      </c>
      <c r="DJ952" s="15">
        <v>56790.0</v>
      </c>
      <c r="DK952" s="15">
        <v>110230.0</v>
      </c>
      <c r="DL952" s="15">
        <v>127860.0</v>
      </c>
      <c r="DM952" s="15">
        <v>150060.0</v>
      </c>
      <c r="DN952" s="15">
        <v>162320.0</v>
      </c>
      <c r="DO952" s="15">
        <v>167110.0</v>
      </c>
      <c r="DP952" s="15">
        <v>44530.0</v>
      </c>
      <c r="DQ952" s="15">
        <v>54120.0</v>
      </c>
      <c r="DR952" s="15">
        <v>0.0</v>
      </c>
      <c r="DS952" s="15">
        <v>0.0</v>
      </c>
      <c r="DT952" s="15">
        <v>0.0</v>
      </c>
      <c r="DU952" s="16">
        <v>0.0</v>
      </c>
      <c r="DV952" s="15">
        <v>0.0</v>
      </c>
      <c r="DW952" s="15">
        <v>0.0</v>
      </c>
      <c r="DX952" s="15">
        <v>0.0</v>
      </c>
      <c r="DY952" s="16">
        <v>0.0</v>
      </c>
      <c r="DZ952" s="15">
        <v>499480.0</v>
      </c>
      <c r="EA952" s="15">
        <v>485950.0</v>
      </c>
      <c r="EB952" s="15">
        <v>521270.0</v>
      </c>
      <c r="EC952" s="15">
        <v>443040.0</v>
      </c>
      <c r="ED952" s="15">
        <v>418290.0</v>
      </c>
      <c r="EE952" s="17">
        <v>0.159</v>
      </c>
      <c r="EF952" s="17">
        <v>1.507</v>
      </c>
      <c r="EG952" s="17">
        <v>-24.0</v>
      </c>
      <c r="EH952" s="17">
        <v>-7.0</v>
      </c>
    </row>
    <row r="953">
      <c r="A953" s="9">
        <f t="shared" si="2"/>
        <v>951</v>
      </c>
      <c r="B953" s="25" t="s">
        <v>1088</v>
      </c>
      <c r="C953" s="15">
        <v>500000.0</v>
      </c>
      <c r="D953" s="15">
        <v>482500.0</v>
      </c>
      <c r="E953" s="15">
        <v>797000.0</v>
      </c>
      <c r="F953" s="15">
        <v>747140.0</v>
      </c>
      <c r="G953" s="15">
        <v>677670.0</v>
      </c>
      <c r="H953" s="15">
        <v>688610.0</v>
      </c>
      <c r="I953" s="15">
        <v>636930.0</v>
      </c>
      <c r="J953" s="15">
        <v>185420.0</v>
      </c>
      <c r="K953" s="15">
        <v>194340.0</v>
      </c>
      <c r="L953" s="15">
        <v>185890.0</v>
      </c>
      <c r="M953" s="15">
        <v>156860.0</v>
      </c>
      <c r="N953" s="15">
        <v>138090.0</v>
      </c>
      <c r="O953" s="15">
        <v>146990.0</v>
      </c>
      <c r="P953" s="15">
        <v>151420.0</v>
      </c>
      <c r="Q953" s="15">
        <v>141940.0</v>
      </c>
      <c r="R953" s="15">
        <v>154270.0</v>
      </c>
      <c r="S953" s="15">
        <v>165400.0</v>
      </c>
      <c r="T953" s="15">
        <v>75360.0</v>
      </c>
      <c r="U953" s="15">
        <v>78040.0</v>
      </c>
      <c r="V953" s="15">
        <v>70520.0</v>
      </c>
      <c r="W953" s="15">
        <v>72180.0</v>
      </c>
      <c r="X953" s="15">
        <v>83420.0</v>
      </c>
      <c r="Y953" s="15">
        <v>27920.0</v>
      </c>
      <c r="Z953" s="15">
        <v>41150.0</v>
      </c>
      <c r="AA953" s="15">
        <v>37530.0</v>
      </c>
      <c r="AB953" s="15">
        <v>3100.0</v>
      </c>
      <c r="AC953" s="15">
        <v>-40230.0</v>
      </c>
      <c r="AD953" s="15">
        <v>-17080.0</v>
      </c>
      <c r="AE953" s="15">
        <v>0.0</v>
      </c>
      <c r="AF953" s="15">
        <v>86090.0</v>
      </c>
      <c r="AG953" s="15">
        <v>-25870.0</v>
      </c>
      <c r="AH953" s="15">
        <v>-99950.0</v>
      </c>
      <c r="AI953" s="15">
        <v>71460.0</v>
      </c>
      <c r="AJ953" s="15">
        <v>74970.0</v>
      </c>
      <c r="AK953" s="15">
        <v>72100.0</v>
      </c>
      <c r="AL953" s="15">
        <v>28010.0</v>
      </c>
      <c r="AM953" s="15">
        <v>0.0</v>
      </c>
      <c r="AN953" s="15">
        <v>-21830.0</v>
      </c>
      <c r="AO953" s="15">
        <v>-3900.0</v>
      </c>
      <c r="AP953" s="15">
        <v>84940.0</v>
      </c>
      <c r="AQ953" s="15">
        <v>-29620.0</v>
      </c>
      <c r="AR953" s="15">
        <v>-84870.0</v>
      </c>
      <c r="AS953" s="15">
        <v>50500.0</v>
      </c>
      <c r="AT953" s="15">
        <v>39240.0</v>
      </c>
      <c r="AU953" s="15">
        <v>-18440.0</v>
      </c>
      <c r="AV953" s="15">
        <v>7630.0</v>
      </c>
      <c r="AW953" s="15">
        <v>-9980.0</v>
      </c>
      <c r="AX953" s="15">
        <v>-24060.0</v>
      </c>
      <c r="AY953" s="15">
        <v>-34190.0</v>
      </c>
      <c r="AZ953" s="15">
        <v>-33870.0</v>
      </c>
      <c r="BA953" s="15">
        <v>-19780.0</v>
      </c>
      <c r="BB953" s="15">
        <v>-7090.0</v>
      </c>
      <c r="BC953" s="15">
        <v>0.0</v>
      </c>
      <c r="BD953" s="15">
        <v>0.0</v>
      </c>
      <c r="BE953" s="15">
        <v>0.0</v>
      </c>
      <c r="BF953" s="15">
        <v>0.0</v>
      </c>
      <c r="BG953" s="15">
        <v>0.0</v>
      </c>
      <c r="BH953" s="15">
        <v>151660.0</v>
      </c>
      <c r="BI953" s="15">
        <v>138970.0</v>
      </c>
      <c r="BJ953" s="15">
        <v>136180.0</v>
      </c>
      <c r="BK953" s="15">
        <v>104760.0</v>
      </c>
      <c r="BL953" s="15">
        <v>96880.0</v>
      </c>
      <c r="BM953" s="15">
        <v>122990.0</v>
      </c>
      <c r="BN953" s="15">
        <v>121890.0</v>
      </c>
      <c r="BO953" s="15">
        <v>96320.0</v>
      </c>
      <c r="BP953" s="15">
        <v>67640.0</v>
      </c>
      <c r="BQ953" s="15">
        <v>95430.0</v>
      </c>
      <c r="BR953" s="15">
        <v>73270.0</v>
      </c>
      <c r="BS953" s="15">
        <v>79740.0</v>
      </c>
      <c r="BT953" s="15">
        <v>80480.0</v>
      </c>
      <c r="BU953" s="15">
        <v>57050.0</v>
      </c>
      <c r="BV953" s="15">
        <v>57620.0</v>
      </c>
      <c r="BW953" s="15">
        <v>379370.0</v>
      </c>
      <c r="BX953" s="15">
        <v>352750.0</v>
      </c>
      <c r="BY953" s="15">
        <v>330260.0</v>
      </c>
      <c r="BZ953" s="15">
        <v>242690.0</v>
      </c>
      <c r="CA953" s="15">
        <v>260230.0</v>
      </c>
      <c r="CB953" s="15">
        <v>194060.0</v>
      </c>
      <c r="CC953" s="15">
        <v>202170.0</v>
      </c>
      <c r="CD953" s="15">
        <v>205900.0</v>
      </c>
      <c r="CE953" s="15">
        <v>179790.0</v>
      </c>
      <c r="CF953" s="15">
        <v>191990.0</v>
      </c>
      <c r="CG953" s="15">
        <v>0.0</v>
      </c>
      <c r="CH953" s="15">
        <v>0.0</v>
      </c>
      <c r="CI953" s="15">
        <v>0.0</v>
      </c>
      <c r="CJ953" s="15">
        <v>0.0</v>
      </c>
      <c r="CK953" s="15">
        <v>0.0</v>
      </c>
      <c r="CL953" s="15">
        <v>595330.0</v>
      </c>
      <c r="CM953" s="15">
        <v>605010.0</v>
      </c>
      <c r="CN953" s="15">
        <v>578580.0</v>
      </c>
      <c r="CO953" s="15">
        <v>441950.0</v>
      </c>
      <c r="CP953" s="15">
        <v>477880.0</v>
      </c>
      <c r="CQ953" s="15">
        <v>60880.0</v>
      </c>
      <c r="CR953" s="15">
        <v>55630.0</v>
      </c>
      <c r="CS953" s="15">
        <v>65940.0</v>
      </c>
      <c r="CT953" s="15">
        <v>51510.0</v>
      </c>
      <c r="CU953" s="15">
        <v>55480.0</v>
      </c>
      <c r="CV953" s="15">
        <v>133830.0</v>
      </c>
      <c r="CW953" s="15">
        <v>2040.0</v>
      </c>
      <c r="CX953" s="15">
        <v>0.0</v>
      </c>
      <c r="CY953" s="16">
        <v>0.0</v>
      </c>
      <c r="CZ953" s="16">
        <v>0.0</v>
      </c>
      <c r="DA953" s="15">
        <v>0.0</v>
      </c>
      <c r="DB953" s="15">
        <v>133830.0</v>
      </c>
      <c r="DC953" s="15">
        <v>132660.0</v>
      </c>
      <c r="DD953" s="15">
        <v>138140.0</v>
      </c>
      <c r="DE953" s="15">
        <v>153440.0</v>
      </c>
      <c r="DF953" s="15">
        <v>610310.0</v>
      </c>
      <c r="DG953" s="15">
        <v>622320.0</v>
      </c>
      <c r="DH953" s="15">
        <v>618220.0</v>
      </c>
      <c r="DI953" s="15">
        <v>514070.0</v>
      </c>
      <c r="DJ953" s="15">
        <v>540210.0</v>
      </c>
      <c r="DK953" s="15">
        <v>0.0</v>
      </c>
      <c r="DL953" s="15">
        <v>0.0</v>
      </c>
      <c r="DM953" s="15">
        <v>0.0</v>
      </c>
      <c r="DN953" s="15">
        <v>0.0</v>
      </c>
      <c r="DO953" s="15">
        <v>0.0</v>
      </c>
      <c r="DP953" s="15">
        <v>316160.0</v>
      </c>
      <c r="DQ953" s="15">
        <v>303580.0</v>
      </c>
      <c r="DR953" s="15">
        <v>303420.0</v>
      </c>
      <c r="DS953" s="15">
        <v>221080.0</v>
      </c>
      <c r="DT953" s="15">
        <v>224160.0</v>
      </c>
      <c r="DU953" s="16">
        <v>0.0</v>
      </c>
      <c r="DV953" s="15">
        <v>0.0</v>
      </c>
      <c r="DW953" s="15">
        <v>0.0</v>
      </c>
      <c r="DX953" s="15">
        <v>0.0</v>
      </c>
      <c r="DY953" s="15">
        <v>0.0</v>
      </c>
      <c r="DZ953" s="15">
        <v>-14980.0</v>
      </c>
      <c r="EA953" s="15">
        <v>-17310.0</v>
      </c>
      <c r="EB953" s="15">
        <v>-39640.0</v>
      </c>
      <c r="EC953" s="15">
        <v>-72110.0</v>
      </c>
      <c r="ED953" s="15">
        <v>-62330.0</v>
      </c>
      <c r="EE953" s="17">
        <v>0.01</v>
      </c>
      <c r="EF953" s="17">
        <v>0.0</v>
      </c>
      <c r="EG953" s="17">
        <v>-0.727</v>
      </c>
      <c r="EH953" s="17">
        <v>0.731</v>
      </c>
    </row>
    <row r="954">
      <c r="A954" s="9">
        <f t="shared" si="2"/>
        <v>952</v>
      </c>
      <c r="B954" s="10" t="s">
        <v>1089</v>
      </c>
      <c r="C954" s="15">
        <v>2140000.0</v>
      </c>
      <c r="D954" s="15">
        <v>2160000.0</v>
      </c>
      <c r="E954" s="15">
        <v>2310000.0</v>
      </c>
      <c r="F954" s="15">
        <v>2480000.0</v>
      </c>
      <c r="G954" s="15">
        <v>2300000.0</v>
      </c>
      <c r="H954" s="15">
        <v>2190000.0</v>
      </c>
      <c r="I954" s="15">
        <v>2310000.0</v>
      </c>
      <c r="J954" s="15">
        <v>1500000.0</v>
      </c>
      <c r="K954" s="15">
        <v>1620000.0</v>
      </c>
      <c r="L954" s="15">
        <v>1440000.0</v>
      </c>
      <c r="M954" s="15">
        <v>1290000.0</v>
      </c>
      <c r="N954" s="15">
        <v>1310000.0</v>
      </c>
      <c r="O954" s="15">
        <v>743840.0</v>
      </c>
      <c r="P954" s="15">
        <v>773860.0</v>
      </c>
      <c r="Q954" s="15">
        <v>745490.0</v>
      </c>
      <c r="R954" s="15">
        <v>756060.0</v>
      </c>
      <c r="S954" s="15">
        <v>829840.0</v>
      </c>
      <c r="T954" s="15">
        <v>435220.0</v>
      </c>
      <c r="U954" s="15">
        <v>450940.0</v>
      </c>
      <c r="V954" s="15">
        <v>453980.0</v>
      </c>
      <c r="W954" s="15">
        <v>467160.0</v>
      </c>
      <c r="X954" s="15">
        <v>521770.0</v>
      </c>
      <c r="Y954" s="15">
        <v>747480.0</v>
      </c>
      <c r="Z954" s="15">
        <v>833580.0</v>
      </c>
      <c r="AA954" s="15">
        <v>668160.0</v>
      </c>
      <c r="AB954" s="15">
        <v>254950.0</v>
      </c>
      <c r="AC954" s="15">
        <v>-242190.0</v>
      </c>
      <c r="AD954" s="15">
        <v>754420.0</v>
      </c>
      <c r="AE954" s="15">
        <v>824890.0</v>
      </c>
      <c r="AF954" s="15">
        <v>679590.0</v>
      </c>
      <c r="AG954" s="15">
        <v>285050.0</v>
      </c>
      <c r="AH954" s="15">
        <v>246170.0</v>
      </c>
      <c r="AI954" s="15">
        <v>864610.0</v>
      </c>
      <c r="AJ954" s="15">
        <v>994510.0</v>
      </c>
      <c r="AK954" s="15">
        <v>852300.0</v>
      </c>
      <c r="AL954" s="15">
        <v>766850.0</v>
      </c>
      <c r="AM954" s="15">
        <v>743020.0</v>
      </c>
      <c r="AN954" s="15">
        <v>827490.0</v>
      </c>
      <c r="AO954" s="15">
        <v>467320.0</v>
      </c>
      <c r="AP954" s="15">
        <v>571610.0</v>
      </c>
      <c r="AQ954" s="15">
        <v>227480.0</v>
      </c>
      <c r="AR954" s="15">
        <v>206040.0</v>
      </c>
      <c r="AS954" s="15">
        <v>875840.0</v>
      </c>
      <c r="AT954" s="15">
        <v>819460.0</v>
      </c>
      <c r="AU954" s="15">
        <v>773660.0</v>
      </c>
      <c r="AV954" s="15">
        <v>721890.0</v>
      </c>
      <c r="AW954" s="15">
        <v>693710.0</v>
      </c>
      <c r="AX954" s="15">
        <v>-82820.0</v>
      </c>
      <c r="AY954" s="15">
        <v>-65780.0</v>
      </c>
      <c r="AZ954" s="15">
        <v>-51420.0</v>
      </c>
      <c r="BA954" s="15">
        <v>-69370.0</v>
      </c>
      <c r="BB954" s="15">
        <v>-75820.0</v>
      </c>
      <c r="BC954" s="15">
        <v>-505580.0</v>
      </c>
      <c r="BD954" s="15">
        <v>-438090.0</v>
      </c>
      <c r="BE954" s="15">
        <v>-373970.0</v>
      </c>
      <c r="BF954" s="15">
        <v>-342020.0</v>
      </c>
      <c r="BG954" s="15">
        <v>-317910.0</v>
      </c>
      <c r="BH954" s="15">
        <v>1900000.0</v>
      </c>
      <c r="BI954" s="15">
        <v>2630000.0</v>
      </c>
      <c r="BJ954" s="15">
        <v>2740000.0</v>
      </c>
      <c r="BK954" s="15">
        <v>2270000.0</v>
      </c>
      <c r="BL954" s="15">
        <v>1630000.0</v>
      </c>
      <c r="BM954" s="15">
        <v>360020.0</v>
      </c>
      <c r="BN954" s="15">
        <v>280070.0</v>
      </c>
      <c r="BO954" s="15">
        <v>256450.0</v>
      </c>
      <c r="BP954" s="15">
        <v>256530.0</v>
      </c>
      <c r="BQ954" s="15">
        <v>278840.0</v>
      </c>
      <c r="BR954" s="15">
        <v>246510.0</v>
      </c>
      <c r="BS954" s="15">
        <v>282390.0</v>
      </c>
      <c r="BT954" s="15">
        <v>247240.0</v>
      </c>
      <c r="BU954" s="15">
        <v>227930.0</v>
      </c>
      <c r="BV954" s="15">
        <v>288470.0</v>
      </c>
      <c r="BW954" s="15">
        <v>2540000.0</v>
      </c>
      <c r="BX954" s="15">
        <v>3210000.0</v>
      </c>
      <c r="BY954" s="15">
        <v>3310000.0</v>
      </c>
      <c r="BZ954" s="15">
        <v>2810000.0</v>
      </c>
      <c r="CA954" s="15">
        <v>2320000.0</v>
      </c>
      <c r="CB954" s="15">
        <v>577720.0</v>
      </c>
      <c r="CC954" s="15">
        <v>579360.0</v>
      </c>
      <c r="CD954" s="15">
        <v>606580.0</v>
      </c>
      <c r="CE954" s="15">
        <v>692550.0</v>
      </c>
      <c r="CF954" s="15">
        <v>1090000.0</v>
      </c>
      <c r="CG954" s="15">
        <v>532250.0</v>
      </c>
      <c r="CH954" s="15">
        <v>532250.0</v>
      </c>
      <c r="CI954" s="15">
        <v>491020.0</v>
      </c>
      <c r="CJ954" s="15">
        <v>490650.0</v>
      </c>
      <c r="CK954" s="15">
        <v>511650.0</v>
      </c>
      <c r="CL954" s="15">
        <v>3740000.0</v>
      </c>
      <c r="CM954" s="15">
        <v>4450000.0</v>
      </c>
      <c r="CN954" s="15">
        <v>4570000.0</v>
      </c>
      <c r="CO954" s="15">
        <v>4230000.0</v>
      </c>
      <c r="CP954" s="15">
        <v>4220000.0</v>
      </c>
      <c r="CQ954" s="15">
        <v>84340.0</v>
      </c>
      <c r="CR954" s="15">
        <v>92570.0</v>
      </c>
      <c r="CS954" s="15">
        <v>77370.0</v>
      </c>
      <c r="CT954" s="15">
        <v>82540.0</v>
      </c>
      <c r="CU954" s="15">
        <v>88320.0</v>
      </c>
      <c r="CV954" s="15">
        <v>371170.0</v>
      </c>
      <c r="CW954" s="15">
        <v>0.0</v>
      </c>
      <c r="CX954" s="15">
        <v>0.0</v>
      </c>
      <c r="CY954" s="15">
        <v>0.0</v>
      </c>
      <c r="CZ954" s="15">
        <v>0.0</v>
      </c>
      <c r="DA954" s="15">
        <v>0.0</v>
      </c>
      <c r="DB954" s="15">
        <v>371170.0</v>
      </c>
      <c r="DC954" s="15">
        <v>797400.0</v>
      </c>
      <c r="DD954" s="15">
        <v>279000.0</v>
      </c>
      <c r="DE954" s="15">
        <v>609400.0</v>
      </c>
      <c r="DF954" s="15">
        <v>1900000.0</v>
      </c>
      <c r="DG954" s="15">
        <v>2520000.0</v>
      </c>
      <c r="DH954" s="15">
        <v>2370000.0</v>
      </c>
      <c r="DI954" s="15">
        <v>2130000.0</v>
      </c>
      <c r="DJ954" s="15">
        <v>1930000.0</v>
      </c>
      <c r="DK954" s="15">
        <v>0.0</v>
      </c>
      <c r="DL954" s="15">
        <v>0.0</v>
      </c>
      <c r="DM954" s="15">
        <v>0.0</v>
      </c>
      <c r="DN954" s="15">
        <v>0.0</v>
      </c>
      <c r="DO954" s="15">
        <v>0.0</v>
      </c>
      <c r="DP954" s="15">
        <v>8190000.0</v>
      </c>
      <c r="DQ954" s="15">
        <v>7460000.0</v>
      </c>
      <c r="DR954" s="15">
        <v>8980000.0</v>
      </c>
      <c r="DS954" s="15">
        <v>8790000.0</v>
      </c>
      <c r="DT954" s="15">
        <v>6340000.0</v>
      </c>
      <c r="DU954" s="16">
        <v>0.0</v>
      </c>
      <c r="DV954" s="15">
        <v>0.0</v>
      </c>
      <c r="DW954" s="15">
        <v>0.0</v>
      </c>
      <c r="DX954" s="15">
        <v>0.0</v>
      </c>
      <c r="DY954" s="15">
        <v>0.0</v>
      </c>
      <c r="DZ954" s="15">
        <v>1850000.0</v>
      </c>
      <c r="EA954" s="15">
        <v>1930000.0</v>
      </c>
      <c r="EB954" s="15">
        <v>2200000.0</v>
      </c>
      <c r="EC954" s="15">
        <v>2110000.0</v>
      </c>
      <c r="ED954" s="15">
        <v>2290000.0</v>
      </c>
      <c r="EE954" s="17">
        <v>0.014</v>
      </c>
      <c r="EF954" s="17">
        <v>0.131</v>
      </c>
      <c r="EG954" s="17">
        <v>0.052</v>
      </c>
      <c r="EH954" s="17">
        <v>0.043</v>
      </c>
    </row>
    <row r="955">
      <c r="A955" s="9">
        <f t="shared" si="2"/>
        <v>953</v>
      </c>
      <c r="B955" s="10" t="s">
        <v>1090</v>
      </c>
      <c r="C955" s="15">
        <v>316320.0</v>
      </c>
      <c r="D955" s="15">
        <v>268200.0</v>
      </c>
      <c r="E955" s="15">
        <v>317180.0</v>
      </c>
      <c r="F955" s="15">
        <v>385000.0</v>
      </c>
      <c r="G955" s="15">
        <v>420320.0</v>
      </c>
      <c r="H955" s="15">
        <v>387830.0</v>
      </c>
      <c r="I955" s="15">
        <v>300360.0</v>
      </c>
      <c r="J955" s="15">
        <v>144600.0</v>
      </c>
      <c r="K955" s="15">
        <v>176650.0</v>
      </c>
      <c r="L955" s="15">
        <v>178590.0</v>
      </c>
      <c r="M955" s="15">
        <v>229990.0</v>
      </c>
      <c r="N955" s="15">
        <v>155420.0</v>
      </c>
      <c r="O955" s="15">
        <v>164020.0</v>
      </c>
      <c r="P955" s="15">
        <v>189710.0</v>
      </c>
      <c r="Q955" s="15">
        <v>178730.0</v>
      </c>
      <c r="R955" s="15">
        <v>156480.0</v>
      </c>
      <c r="S955" s="15">
        <v>157760.0</v>
      </c>
      <c r="T955" s="15">
        <v>98300.0</v>
      </c>
      <c r="U955" s="15">
        <v>119900.0</v>
      </c>
      <c r="V955" s="15">
        <v>111730.0</v>
      </c>
      <c r="W955" s="15">
        <v>97750.0</v>
      </c>
      <c r="X955" s="15">
        <v>85410.0</v>
      </c>
      <c r="Y955" s="15">
        <v>-22060.0</v>
      </c>
      <c r="Z955" s="15">
        <v>-6040.0</v>
      </c>
      <c r="AA955" s="15">
        <v>-21670.0</v>
      </c>
      <c r="AB955" s="15">
        <v>63060.0</v>
      </c>
      <c r="AC955" s="15">
        <v>-43650.0</v>
      </c>
      <c r="AD955" s="15">
        <v>-32480.0</v>
      </c>
      <c r="AE955" s="15">
        <v>-32850.0</v>
      </c>
      <c r="AF955" s="15">
        <v>-34000.0</v>
      </c>
      <c r="AG955" s="15">
        <v>63690.0</v>
      </c>
      <c r="AH955" s="15">
        <v>-42910.0</v>
      </c>
      <c r="AI955" s="15">
        <v>44890.0</v>
      </c>
      <c r="AJ955" s="15">
        <v>65970.0</v>
      </c>
      <c r="AK955" s="15">
        <v>66590.0</v>
      </c>
      <c r="AL955" s="15">
        <v>100210.0</v>
      </c>
      <c r="AM955" s="15">
        <v>38310.0</v>
      </c>
      <c r="AN955" s="15">
        <v>-19900.0</v>
      </c>
      <c r="AO955" s="15">
        <v>-26200.0</v>
      </c>
      <c r="AP955" s="15">
        <v>-9190.0</v>
      </c>
      <c r="AQ955" s="15">
        <v>61290.0</v>
      </c>
      <c r="AR955" s="15">
        <v>-42330.0</v>
      </c>
      <c r="AS955" s="15">
        <v>86490.0</v>
      </c>
      <c r="AT955" s="15">
        <v>102690.0</v>
      </c>
      <c r="AU955" s="15">
        <v>75060.0</v>
      </c>
      <c r="AV955" s="15">
        <v>117320.0</v>
      </c>
      <c r="AW955" s="15">
        <v>55040.0</v>
      </c>
      <c r="AX955" s="15">
        <v>-6970.0</v>
      </c>
      <c r="AY955" s="15">
        <v>-7830.0</v>
      </c>
      <c r="AZ955" s="15">
        <v>-12850.0</v>
      </c>
      <c r="BA955" s="15">
        <v>-8900.0</v>
      </c>
      <c r="BB955" s="15">
        <v>-3100.0</v>
      </c>
      <c r="BC955" s="15">
        <v>0.0</v>
      </c>
      <c r="BD955" s="15">
        <v>0.0</v>
      </c>
      <c r="BE955" s="15">
        <v>0.0</v>
      </c>
      <c r="BF955" s="15">
        <v>0.0</v>
      </c>
      <c r="BG955" s="15">
        <v>0.0</v>
      </c>
      <c r="BH955" s="15">
        <v>93060.0</v>
      </c>
      <c r="BI955" s="15">
        <v>73790.0</v>
      </c>
      <c r="BJ955" s="15">
        <v>73350.0</v>
      </c>
      <c r="BK955" s="15">
        <v>130810.0</v>
      </c>
      <c r="BL955" s="15">
        <v>111260.0</v>
      </c>
      <c r="BM955" s="15">
        <v>50410.0</v>
      </c>
      <c r="BN955" s="15">
        <v>59490.0</v>
      </c>
      <c r="BO955" s="15">
        <v>66100.0</v>
      </c>
      <c r="BP955" s="15">
        <v>50490.0</v>
      </c>
      <c r="BQ955" s="15">
        <v>42400.0</v>
      </c>
      <c r="BR955" s="15">
        <v>31510.0</v>
      </c>
      <c r="BS955" s="15">
        <v>41740.0</v>
      </c>
      <c r="BT955" s="15">
        <v>53430.0</v>
      </c>
      <c r="BU955" s="15">
        <v>26580.0</v>
      </c>
      <c r="BV955" s="15">
        <v>32440.0</v>
      </c>
      <c r="BW955" s="15">
        <v>181770.0</v>
      </c>
      <c r="BX955" s="15">
        <v>185370.0</v>
      </c>
      <c r="BY955" s="15">
        <v>201300.0</v>
      </c>
      <c r="BZ955" s="15">
        <v>214040.0</v>
      </c>
      <c r="CA955" s="15">
        <v>190000.0</v>
      </c>
      <c r="CB955" s="15">
        <v>27590.0</v>
      </c>
      <c r="CC955" s="15">
        <v>18400.0</v>
      </c>
      <c r="CD955" s="15">
        <v>22660.0</v>
      </c>
      <c r="CE955" s="15">
        <v>20550.0</v>
      </c>
      <c r="CF955" s="15">
        <v>21860.0</v>
      </c>
      <c r="CG955" s="15">
        <v>238330.0</v>
      </c>
      <c r="CH955" s="15">
        <v>238330.0</v>
      </c>
      <c r="CI955" s="15">
        <v>237990.0</v>
      </c>
      <c r="CJ955" s="15">
        <v>76020.0</v>
      </c>
      <c r="CK955" s="15">
        <v>49780.0</v>
      </c>
      <c r="CL955" s="15">
        <v>721150.0</v>
      </c>
      <c r="CM955" s="15">
        <v>765820.0</v>
      </c>
      <c r="CN955" s="15">
        <v>863060.0</v>
      </c>
      <c r="CO955" s="15">
        <v>422650.0</v>
      </c>
      <c r="CP955" s="15">
        <v>334510.0</v>
      </c>
      <c r="CQ955" s="15">
        <v>13440.0</v>
      </c>
      <c r="CR955" s="15">
        <v>15590.0</v>
      </c>
      <c r="CS955" s="15">
        <v>16940.0</v>
      </c>
      <c r="CT955" s="15">
        <v>6760.0</v>
      </c>
      <c r="CU955" s="15">
        <v>6390.0</v>
      </c>
      <c r="CV955" s="15">
        <v>66560.0</v>
      </c>
      <c r="CW955" s="15">
        <v>4810.0</v>
      </c>
      <c r="CX955" s="15">
        <v>1210.0</v>
      </c>
      <c r="CY955" s="16">
        <v>0.0</v>
      </c>
      <c r="CZ955" s="16">
        <v>0.0</v>
      </c>
      <c r="DA955" s="15">
        <v>0.0</v>
      </c>
      <c r="DB955" s="15">
        <v>66560.0</v>
      </c>
      <c r="DC955" s="15">
        <v>75330.0</v>
      </c>
      <c r="DD955" s="15">
        <v>76390.0</v>
      </c>
      <c r="DE955" s="15">
        <v>54540.0</v>
      </c>
      <c r="DF955" s="15">
        <v>306230.0</v>
      </c>
      <c r="DG955" s="15">
        <v>365880.0</v>
      </c>
      <c r="DH955" s="15">
        <v>475630.0</v>
      </c>
      <c r="DI955" s="15">
        <v>70230.0</v>
      </c>
      <c r="DJ955" s="15">
        <v>71580.0</v>
      </c>
      <c r="DK955" s="15">
        <v>0.0</v>
      </c>
      <c r="DL955" s="15">
        <v>0.0</v>
      </c>
      <c r="DM955" s="15">
        <v>1060.0</v>
      </c>
      <c r="DN955" s="15">
        <v>5990.0</v>
      </c>
      <c r="DO955" s="15">
        <v>19240.0</v>
      </c>
      <c r="DP955" s="15">
        <v>216240.0</v>
      </c>
      <c r="DQ955" s="15">
        <v>259850.0</v>
      </c>
      <c r="DR955" s="15">
        <v>347610.0</v>
      </c>
      <c r="DS955" s="15">
        <v>0.0</v>
      </c>
      <c r="DT955" s="15">
        <v>0.0</v>
      </c>
      <c r="DU955" s="16">
        <v>0.0</v>
      </c>
      <c r="DV955" s="15">
        <v>0.0</v>
      </c>
      <c r="DW955" s="15">
        <v>0.0</v>
      </c>
      <c r="DX955" s="15">
        <v>0.0</v>
      </c>
      <c r="DY955" s="15">
        <v>0.0</v>
      </c>
      <c r="DZ955" s="15">
        <v>414920.0</v>
      </c>
      <c r="EA955" s="15">
        <v>399940.0</v>
      </c>
      <c r="EB955" s="15">
        <v>387420.0</v>
      </c>
      <c r="EC955" s="15">
        <v>352420.0</v>
      </c>
      <c r="ED955" s="15">
        <v>262920.0</v>
      </c>
      <c r="EE955" s="17">
        <v>0.054</v>
      </c>
      <c r="EF955" s="17">
        <v>0.162</v>
      </c>
      <c r="EG955" s="17">
        <v>0.0</v>
      </c>
      <c r="EH955" s="17">
        <v>0.036</v>
      </c>
    </row>
    <row r="956">
      <c r="A956" s="9">
        <f t="shared" si="2"/>
        <v>954</v>
      </c>
      <c r="B956" s="22" t="s">
        <v>1091</v>
      </c>
      <c r="C956" s="11">
        <v>705930.0</v>
      </c>
      <c r="D956" s="11">
        <v>645690.0</v>
      </c>
      <c r="E956" s="11">
        <v>638600.0</v>
      </c>
      <c r="F956" s="11">
        <v>851100.0</v>
      </c>
      <c r="G956" s="11">
        <v>743700.0</v>
      </c>
      <c r="H956" s="11">
        <v>769900.0</v>
      </c>
      <c r="I956" s="11">
        <v>753800.0</v>
      </c>
      <c r="J956" s="11">
        <v>391500.0</v>
      </c>
      <c r="K956" s="11">
        <v>590800.0</v>
      </c>
      <c r="L956" s="11">
        <v>529200.0</v>
      </c>
      <c r="M956" s="11">
        <v>598700.0</v>
      </c>
      <c r="N956" s="11">
        <v>596500.0</v>
      </c>
      <c r="O956" s="11">
        <v>526300.0</v>
      </c>
      <c r="P956" s="11">
        <v>552200.0</v>
      </c>
      <c r="Q956" s="11">
        <v>468500.0</v>
      </c>
      <c r="R956" s="11">
        <v>550800.0</v>
      </c>
      <c r="S956" s="11">
        <v>429700.0</v>
      </c>
      <c r="T956" s="11">
        <v>77200.0</v>
      </c>
      <c r="U956" s="11">
        <v>85900.0</v>
      </c>
      <c r="V956" s="11">
        <v>70800.0</v>
      </c>
      <c r="W956" s="11">
        <v>74400.0</v>
      </c>
      <c r="X956" s="11">
        <v>70600.0</v>
      </c>
      <c r="Y956" s="11">
        <v>-215800.0</v>
      </c>
      <c r="Z956" s="11">
        <v>8000.0</v>
      </c>
      <c r="AA956" s="11">
        <v>61200.0</v>
      </c>
      <c r="AB956" s="11">
        <v>-2900.0</v>
      </c>
      <c r="AC956" s="12"/>
      <c r="AD956" s="11">
        <v>-223300.0</v>
      </c>
      <c r="AE956" s="12"/>
      <c r="AF956" s="11">
        <v>120100.0</v>
      </c>
      <c r="AG956" s="11">
        <v>40900.0</v>
      </c>
      <c r="AH956" s="11">
        <v>168900.0</v>
      </c>
      <c r="AI956" s="11">
        <v>-62800.0</v>
      </c>
      <c r="AJ956" s="11">
        <v>111600.0</v>
      </c>
      <c r="AK956" s="11">
        <v>115100.0</v>
      </c>
      <c r="AL956" s="11">
        <v>96200.0</v>
      </c>
      <c r="AM956" s="11">
        <v>193500.0</v>
      </c>
      <c r="AN956" s="11">
        <v>-199500.0</v>
      </c>
      <c r="AO956" s="11">
        <v>4600.0</v>
      </c>
      <c r="AP956" s="11">
        <v>133300.0</v>
      </c>
      <c r="AQ956" s="11">
        <v>20500.0</v>
      </c>
      <c r="AR956" s="11">
        <v>125300.0</v>
      </c>
      <c r="AS956" s="11">
        <v>59700.0</v>
      </c>
      <c r="AT956" s="11">
        <v>83700.0</v>
      </c>
      <c r="AU956" s="11">
        <v>115900.0</v>
      </c>
      <c r="AV956" s="11">
        <v>106200.0</v>
      </c>
      <c r="AW956" s="11">
        <v>166300.0</v>
      </c>
      <c r="AX956" s="11">
        <v>-10200.0</v>
      </c>
      <c r="AY956" s="11">
        <v>-8600.0</v>
      </c>
      <c r="AZ956" s="11">
        <v>-8400.0</v>
      </c>
      <c r="BA956" s="11">
        <v>-6100.0</v>
      </c>
      <c r="BB956" s="11">
        <v>-5000.0</v>
      </c>
      <c r="BC956" s="12"/>
      <c r="BD956" s="12"/>
      <c r="BE956" s="12"/>
      <c r="BF956" s="12"/>
      <c r="BG956" s="12"/>
      <c r="BH956" s="11">
        <v>217800.0</v>
      </c>
      <c r="BI956" s="11">
        <v>136900.0</v>
      </c>
      <c r="BJ956" s="11">
        <v>180600.0</v>
      </c>
      <c r="BK956" s="11">
        <v>150700.0</v>
      </c>
      <c r="BL956" s="11">
        <v>159000.0</v>
      </c>
      <c r="BM956" s="11">
        <v>71000.0</v>
      </c>
      <c r="BN956" s="11">
        <v>138600.0</v>
      </c>
      <c r="BO956" s="11">
        <v>103300.0</v>
      </c>
      <c r="BP956" s="11">
        <v>95900.0</v>
      </c>
      <c r="BQ956" s="11">
        <v>95000.0</v>
      </c>
      <c r="BR956" s="11">
        <v>29100.0</v>
      </c>
      <c r="BS956" s="11">
        <v>31400.0</v>
      </c>
      <c r="BT956" s="11">
        <v>34300.0</v>
      </c>
      <c r="BU956" s="11">
        <v>42200.0</v>
      </c>
      <c r="BV956" s="11">
        <v>38300.0</v>
      </c>
      <c r="BW956" s="11">
        <v>331700.0</v>
      </c>
      <c r="BX956" s="11">
        <v>348600.0</v>
      </c>
      <c r="BY956" s="11">
        <v>327600.0</v>
      </c>
      <c r="BZ956" s="11">
        <v>301700.0</v>
      </c>
      <c r="CA956" s="11">
        <v>314500.0</v>
      </c>
      <c r="CB956" s="11">
        <v>103000.0</v>
      </c>
      <c r="CC956" s="11">
        <v>57300.0</v>
      </c>
      <c r="CD956" s="11">
        <v>43200.0</v>
      </c>
      <c r="CE956" s="11">
        <v>51100.0</v>
      </c>
      <c r="CF956" s="11">
        <v>58300.0</v>
      </c>
      <c r="CG956" s="11">
        <v>327600.0</v>
      </c>
      <c r="CH956" s="11">
        <v>417200.0</v>
      </c>
      <c r="CI956" s="11">
        <v>318600.0</v>
      </c>
      <c r="CJ956" s="11">
        <v>316100.0</v>
      </c>
      <c r="CK956" s="11">
        <v>195300.0</v>
      </c>
      <c r="CL956" s="11">
        <v>1540000.0</v>
      </c>
      <c r="CM956" s="11">
        <v>1670000.0</v>
      </c>
      <c r="CN956" s="11">
        <v>1230000.0</v>
      </c>
      <c r="CO956" s="11">
        <v>1310000.0</v>
      </c>
      <c r="CP956" s="11">
        <v>943700.0</v>
      </c>
      <c r="CQ956" s="11">
        <v>21700.0</v>
      </c>
      <c r="CR956" s="11">
        <v>33300.0</v>
      </c>
      <c r="CS956" s="11">
        <v>26000.0</v>
      </c>
      <c r="CT956" s="11">
        <v>22000.0</v>
      </c>
      <c r="CU956" s="11">
        <v>21100.0</v>
      </c>
      <c r="CV956" s="11">
        <v>147000.0</v>
      </c>
      <c r="CW956" s="12"/>
      <c r="CX956" s="12"/>
      <c r="CY956" s="12"/>
      <c r="CZ956" s="12"/>
      <c r="DA956" s="12"/>
      <c r="DB956" s="11">
        <v>147000.0</v>
      </c>
      <c r="DC956" s="11">
        <v>117800.0</v>
      </c>
      <c r="DD956" s="11">
        <v>102200.0</v>
      </c>
      <c r="DE956" s="11">
        <v>217500.0</v>
      </c>
      <c r="DF956" s="11">
        <v>625900.0</v>
      </c>
      <c r="DG956" s="11">
        <v>576800.0</v>
      </c>
      <c r="DH956" s="11">
        <v>261400.0</v>
      </c>
      <c r="DI956" s="11">
        <v>539900.0</v>
      </c>
      <c r="DJ956" s="11">
        <v>195600.0</v>
      </c>
      <c r="DK956" s="11">
        <v>37000.0</v>
      </c>
      <c r="DL956" s="11">
        <v>54900.0</v>
      </c>
      <c r="DM956" s="11">
        <v>30700.0</v>
      </c>
      <c r="DN956" s="11">
        <v>48500.0</v>
      </c>
      <c r="DO956" s="11">
        <v>79900.0</v>
      </c>
      <c r="DP956" s="11">
        <v>281300.0</v>
      </c>
      <c r="DQ956" s="11">
        <v>233500.0</v>
      </c>
      <c r="DR956" s="11">
        <v>9300.0</v>
      </c>
      <c r="DS956" s="11">
        <v>99100.0</v>
      </c>
      <c r="DT956" s="12"/>
      <c r="DU956" s="13"/>
      <c r="DV956" s="12"/>
      <c r="DW956" s="12"/>
      <c r="DX956" s="13"/>
      <c r="DY956" s="13"/>
      <c r="DZ956" s="11">
        <v>918200.0</v>
      </c>
      <c r="EA956" s="11">
        <v>1090000.0</v>
      </c>
      <c r="EB956" s="11">
        <v>966100.0</v>
      </c>
      <c r="EC956" s="11">
        <v>768400.0</v>
      </c>
      <c r="ED956" s="11">
        <v>748100.0</v>
      </c>
      <c r="EE956" s="14">
        <v>0.231</v>
      </c>
      <c r="EF956" s="14">
        <v>0.298</v>
      </c>
      <c r="EG956" s="14">
        <v>0.34</v>
      </c>
      <c r="EH956" s="14">
        <v>-2.404</v>
      </c>
    </row>
    <row r="957">
      <c r="A957" s="9">
        <f t="shared" si="2"/>
        <v>955</v>
      </c>
      <c r="B957" s="22" t="s">
        <v>1092</v>
      </c>
      <c r="C957" s="11">
        <v>1.193E7</v>
      </c>
      <c r="D957" s="11">
        <v>1.161E7</v>
      </c>
      <c r="E957" s="11">
        <v>1.15E7</v>
      </c>
      <c r="F957" s="11">
        <v>1.143E7</v>
      </c>
      <c r="G957" s="11">
        <v>1.191E7</v>
      </c>
      <c r="H957" s="11">
        <v>1.112E7</v>
      </c>
      <c r="I957" s="11">
        <v>9470000.0</v>
      </c>
      <c r="J957" s="11">
        <v>4190000.0</v>
      </c>
      <c r="K957" s="11">
        <v>4340000.0</v>
      </c>
      <c r="L957" s="11">
        <v>4830000.0</v>
      </c>
      <c r="M957" s="11">
        <v>4770000.0</v>
      </c>
      <c r="N957" s="11">
        <v>4420000.0</v>
      </c>
      <c r="O957" s="11">
        <v>3200000.0</v>
      </c>
      <c r="P957" s="11">
        <v>3100000.0</v>
      </c>
      <c r="Q957" s="11">
        <v>3220000.0</v>
      </c>
      <c r="R957" s="11">
        <v>3200000.0</v>
      </c>
      <c r="S957" s="11">
        <v>2630000.0</v>
      </c>
      <c r="T957" s="11">
        <v>639900.0</v>
      </c>
      <c r="U957" s="11">
        <v>704500.0</v>
      </c>
      <c r="V957" s="11">
        <v>774900.0</v>
      </c>
      <c r="W957" s="11">
        <v>819100.0</v>
      </c>
      <c r="X957" s="11">
        <v>671900.0</v>
      </c>
      <c r="Y957" s="11">
        <v>698900.0</v>
      </c>
      <c r="Z957" s="11">
        <v>934200.0</v>
      </c>
      <c r="AA957" s="11">
        <v>1480000.0</v>
      </c>
      <c r="AB957" s="11">
        <v>510000.0</v>
      </c>
      <c r="AC957" s="11">
        <v>1430000.0</v>
      </c>
      <c r="AD957" s="11">
        <v>154400.0</v>
      </c>
      <c r="AE957" s="11">
        <v>298400.0</v>
      </c>
      <c r="AF957" s="11">
        <v>903000.0</v>
      </c>
      <c r="AG957" s="11">
        <v>121700.0</v>
      </c>
      <c r="AH957" s="11">
        <v>915400.0</v>
      </c>
      <c r="AI957" s="11">
        <v>2820000.0</v>
      </c>
      <c r="AJ957" s="11">
        <v>3350000.0</v>
      </c>
      <c r="AK957" s="11">
        <v>3420000.0</v>
      </c>
      <c r="AL957" s="11">
        <v>3090000.0</v>
      </c>
      <c r="AM957" s="11">
        <v>2800000.0</v>
      </c>
      <c r="AN957" s="11">
        <v>16800.0</v>
      </c>
      <c r="AO957" s="11">
        <v>352500.0</v>
      </c>
      <c r="AP957" s="11">
        <v>696000.0</v>
      </c>
      <c r="AQ957" s="11">
        <v>480000.0</v>
      </c>
      <c r="AR957" s="11">
        <v>847600.0</v>
      </c>
      <c r="AS957" s="11">
        <v>1800000.0</v>
      </c>
      <c r="AT957" s="11">
        <v>2340000.0</v>
      </c>
      <c r="AU957" s="11">
        <v>2060000.0</v>
      </c>
      <c r="AV957" s="11">
        <v>2050000.0</v>
      </c>
      <c r="AW957" s="11">
        <v>2010000.0</v>
      </c>
      <c r="AX957" s="11">
        <v>-406000.0</v>
      </c>
      <c r="AY957" s="11">
        <v>-1200000.0</v>
      </c>
      <c r="AZ957" s="11">
        <v>-896200.0</v>
      </c>
      <c r="BA957" s="11">
        <v>-750600.0</v>
      </c>
      <c r="BB957" s="11">
        <v>-871700.0</v>
      </c>
      <c r="BC957" s="12"/>
      <c r="BD957" s="12"/>
      <c r="BE957" s="12"/>
      <c r="BF957" s="12"/>
      <c r="BG957" s="12"/>
      <c r="BH957" s="11">
        <v>600200.0</v>
      </c>
      <c r="BI957" s="11">
        <v>480600.0</v>
      </c>
      <c r="BJ957" s="11">
        <v>569400.0</v>
      </c>
      <c r="BK957" s="11">
        <v>1320000.0</v>
      </c>
      <c r="BL957" s="11">
        <v>1340000.0</v>
      </c>
      <c r="BM957" s="11">
        <v>3060000.0</v>
      </c>
      <c r="BN957" s="11">
        <v>2880000.0</v>
      </c>
      <c r="BO957" s="11">
        <v>3610000.0</v>
      </c>
      <c r="BP957" s="11">
        <v>3310000.0</v>
      </c>
      <c r="BQ957" s="11">
        <v>2690000.0</v>
      </c>
      <c r="BR957" s="11">
        <v>2670000.0</v>
      </c>
      <c r="BS957" s="11">
        <v>2580000.0</v>
      </c>
      <c r="BT957" s="11">
        <v>2540000.0</v>
      </c>
      <c r="BU957" s="11">
        <v>2460000.0</v>
      </c>
      <c r="BV957" s="11">
        <v>1950000.0</v>
      </c>
      <c r="BW957" s="11">
        <v>6760000.0</v>
      </c>
      <c r="BX957" s="11">
        <v>6370000.0</v>
      </c>
      <c r="BY957" s="11">
        <v>7210000.0</v>
      </c>
      <c r="BZ957" s="11">
        <v>7520000.0</v>
      </c>
      <c r="CA957" s="11">
        <v>6470000.0</v>
      </c>
      <c r="CB957" s="11">
        <v>2400000.0</v>
      </c>
      <c r="CC957" s="11">
        <v>2170000.0</v>
      </c>
      <c r="CD957" s="11">
        <v>2340000.0</v>
      </c>
      <c r="CE957" s="11">
        <v>2320000.0</v>
      </c>
      <c r="CF957" s="11">
        <v>1980000.0</v>
      </c>
      <c r="CG957" s="11">
        <v>9590000.0</v>
      </c>
      <c r="CH957" s="11">
        <v>9750000.0</v>
      </c>
      <c r="CI957" s="11">
        <v>1.021E7</v>
      </c>
      <c r="CJ957" s="11">
        <v>9230000.0</v>
      </c>
      <c r="CK957" s="11">
        <v>5380000.0</v>
      </c>
      <c r="CL957" s="11">
        <v>3.126E7</v>
      </c>
      <c r="CM957" s="11">
        <v>3.273E7</v>
      </c>
      <c r="CN957" s="11">
        <v>3.581E7</v>
      </c>
      <c r="CO957" s="11">
        <v>3.473E7</v>
      </c>
      <c r="CP957" s="11">
        <v>2.227E7</v>
      </c>
      <c r="CQ957" s="11">
        <v>1060000.0</v>
      </c>
      <c r="CR957" s="11">
        <v>1620000.0</v>
      </c>
      <c r="CS957" s="11">
        <v>1450000.0</v>
      </c>
      <c r="CT957" s="11">
        <v>1350000.0</v>
      </c>
      <c r="CU957" s="11">
        <v>1110000.0</v>
      </c>
      <c r="CV957" s="11">
        <v>5570000.0</v>
      </c>
      <c r="CW957" s="11">
        <v>76700.0</v>
      </c>
      <c r="CX957" s="11">
        <v>1900.0</v>
      </c>
      <c r="CY957" s="11">
        <v>46500.0</v>
      </c>
      <c r="CZ957" s="11">
        <v>46400.0</v>
      </c>
      <c r="DA957" s="11">
        <v>1300.0</v>
      </c>
      <c r="DB957" s="11">
        <v>5570000.0</v>
      </c>
      <c r="DC957" s="11">
        <v>4590000.0</v>
      </c>
      <c r="DD957" s="11">
        <v>6390000.0</v>
      </c>
      <c r="DE957" s="11">
        <v>5040000.0</v>
      </c>
      <c r="DF957" s="11">
        <v>1.937E7</v>
      </c>
      <c r="DG957" s="11">
        <v>2.057E7</v>
      </c>
      <c r="DH957" s="11">
        <v>2.25E7</v>
      </c>
      <c r="DI957" s="11">
        <v>2.361E7</v>
      </c>
      <c r="DJ957" s="11">
        <v>1.25E7</v>
      </c>
      <c r="DK957" s="11">
        <v>92200.0</v>
      </c>
      <c r="DL957" s="11">
        <v>138700.0</v>
      </c>
      <c r="DM957" s="11">
        <v>226000.0</v>
      </c>
      <c r="DN957" s="11">
        <v>496400.0</v>
      </c>
      <c r="DO957" s="11">
        <v>575500.0</v>
      </c>
      <c r="DP957" s="11">
        <v>1.139E7</v>
      </c>
      <c r="DQ957" s="11">
        <v>1.316E7</v>
      </c>
      <c r="DR957" s="11">
        <v>1.287E7</v>
      </c>
      <c r="DS957" s="11">
        <v>1.52E7</v>
      </c>
      <c r="DT957" s="11">
        <v>6300000.0</v>
      </c>
      <c r="DU957" s="13"/>
      <c r="DV957" s="12"/>
      <c r="DW957" s="12"/>
      <c r="DX957" s="13"/>
      <c r="DY957" s="13"/>
      <c r="DZ957" s="11">
        <v>1.188E7</v>
      </c>
      <c r="EA957" s="11">
        <v>1.217E7</v>
      </c>
      <c r="EB957" s="11">
        <v>1.331E7</v>
      </c>
      <c r="EC957" s="11">
        <v>1.112E7</v>
      </c>
      <c r="ED957" s="11">
        <v>9760000.0</v>
      </c>
      <c r="EE957" s="14">
        <v>0.049</v>
      </c>
      <c r="EF957" s="14">
        <v>0.076</v>
      </c>
      <c r="EG957" s="14">
        <v>0.133</v>
      </c>
      <c r="EH957" s="14">
        <v>0.077</v>
      </c>
    </row>
    <row r="958">
      <c r="A958" s="9">
        <f t="shared" si="2"/>
        <v>956</v>
      </c>
      <c r="B958" s="22" t="s">
        <v>1093</v>
      </c>
      <c r="C958" s="11">
        <v>22220.0</v>
      </c>
      <c r="D958" s="12"/>
      <c r="E958" s="12"/>
      <c r="F958" s="11">
        <v>33560.0</v>
      </c>
      <c r="G958" s="11">
        <v>11440.0</v>
      </c>
      <c r="H958" s="11">
        <v>39200.0</v>
      </c>
      <c r="I958" s="11">
        <v>14200.0</v>
      </c>
      <c r="J958" s="11">
        <v>-1950.0</v>
      </c>
      <c r="K958" s="12"/>
      <c r="L958" s="12"/>
      <c r="M958" s="12"/>
      <c r="N958" s="12"/>
      <c r="O958" s="11">
        <v>205890.0</v>
      </c>
      <c r="P958" s="11">
        <v>105640.0</v>
      </c>
      <c r="Q958" s="11">
        <v>68820.0</v>
      </c>
      <c r="R958" s="11">
        <v>51390.0</v>
      </c>
      <c r="S958" s="11">
        <v>36450.0</v>
      </c>
      <c r="T958" s="11">
        <v>146170.0</v>
      </c>
      <c r="U958" s="11">
        <v>68770.0</v>
      </c>
      <c r="V958" s="11">
        <v>48140.0</v>
      </c>
      <c r="W958" s="11">
        <v>36220.0</v>
      </c>
      <c r="X958" s="11">
        <v>28390.0</v>
      </c>
      <c r="Y958" s="11">
        <v>-287830.0</v>
      </c>
      <c r="Z958" s="12"/>
      <c r="AA958" s="12"/>
      <c r="AB958" s="12"/>
      <c r="AC958" s="11">
        <v>-22900.0</v>
      </c>
      <c r="AD958" s="11">
        <v>-276210.0</v>
      </c>
      <c r="AE958" s="11">
        <v>-67700.0</v>
      </c>
      <c r="AF958" s="11">
        <v>-57010.0</v>
      </c>
      <c r="AG958" s="11">
        <v>-13150.0</v>
      </c>
      <c r="AH958" s="11">
        <v>-22950.0</v>
      </c>
      <c r="AI958" s="11">
        <v>-205890.0</v>
      </c>
      <c r="AJ958" s="11">
        <v>-72080.0</v>
      </c>
      <c r="AK958" s="11">
        <v>-57370.0</v>
      </c>
      <c r="AL958" s="11">
        <v>-12190.0</v>
      </c>
      <c r="AM958" s="11">
        <v>-22250.0</v>
      </c>
      <c r="AN958" s="11">
        <v>-276210.0</v>
      </c>
      <c r="AO958" s="11">
        <v>-67700.0</v>
      </c>
      <c r="AP958" s="11">
        <v>-57010.0</v>
      </c>
      <c r="AQ958" s="11">
        <v>-13150.0</v>
      </c>
      <c r="AR958" s="11">
        <v>-22950.0</v>
      </c>
      <c r="AS958" s="11">
        <v>-241770.0</v>
      </c>
      <c r="AT958" s="11">
        <v>-64820.0</v>
      </c>
      <c r="AU958" s="11">
        <v>-9840.0</v>
      </c>
      <c r="AV958" s="11">
        <v>-20860.0</v>
      </c>
      <c r="AW958" s="11">
        <v>-32100.0</v>
      </c>
      <c r="AX958" s="11">
        <v>-3260.0</v>
      </c>
      <c r="AY958" s="11">
        <v>-3370.0</v>
      </c>
      <c r="AZ958" s="11">
        <v>-1520.0</v>
      </c>
      <c r="BA958" s="11">
        <v>-1080.0</v>
      </c>
      <c r="BB958" s="11">
        <v>-1450.0</v>
      </c>
      <c r="BC958" s="12"/>
      <c r="BD958" s="12"/>
      <c r="BE958" s="12"/>
      <c r="BF958" s="12"/>
      <c r="BG958" s="12"/>
      <c r="BH958" s="11">
        <v>416460.0</v>
      </c>
      <c r="BI958" s="11">
        <v>314690.0</v>
      </c>
      <c r="BJ958" s="11">
        <v>256500.0</v>
      </c>
      <c r="BK958" s="11">
        <v>139870.0</v>
      </c>
      <c r="BL958" s="11">
        <v>112270.0</v>
      </c>
      <c r="BM958" s="12"/>
      <c r="BN958" s="12"/>
      <c r="BO958" s="11">
        <v>1010.0</v>
      </c>
      <c r="BP958" s="11">
        <v>45000.0</v>
      </c>
      <c r="BQ958" s="12"/>
      <c r="BR958" s="12"/>
      <c r="BS958" s="12"/>
      <c r="BT958" s="12"/>
      <c r="BU958" s="12"/>
      <c r="BV958" s="12"/>
      <c r="BW958" s="11">
        <v>423840.0</v>
      </c>
      <c r="BX958" s="11">
        <v>319450.0</v>
      </c>
      <c r="BY958" s="11">
        <v>259390.0</v>
      </c>
      <c r="BZ958" s="11">
        <v>186260.0</v>
      </c>
      <c r="CA958" s="11">
        <v>113550.0</v>
      </c>
      <c r="CB958" s="11">
        <v>16160.0</v>
      </c>
      <c r="CC958" s="11">
        <v>5140.0</v>
      </c>
      <c r="CD958" s="11">
        <v>3150.0</v>
      </c>
      <c r="CE958" s="11">
        <v>2760.0</v>
      </c>
      <c r="CF958" s="11">
        <v>2740.0</v>
      </c>
      <c r="CG958" s="12"/>
      <c r="CH958" s="12"/>
      <c r="CI958" s="12"/>
      <c r="CJ958" s="12"/>
      <c r="CK958" s="12"/>
      <c r="CL958" s="11">
        <v>456090.0</v>
      </c>
      <c r="CM958" s="11">
        <v>407250.0</v>
      </c>
      <c r="CN958" s="11">
        <v>282810.0</v>
      </c>
      <c r="CO958" s="11">
        <v>201310.0</v>
      </c>
      <c r="CP958" s="11">
        <v>116580.0</v>
      </c>
      <c r="CQ958" s="11">
        <v>6240.0</v>
      </c>
      <c r="CR958" s="11">
        <v>2950.0</v>
      </c>
      <c r="CS958" s="11">
        <v>2300.0</v>
      </c>
      <c r="CT958" s="11">
        <v>1800.0</v>
      </c>
      <c r="CU958" s="11">
        <v>2140.0</v>
      </c>
      <c r="CV958" s="11">
        <v>47910.0</v>
      </c>
      <c r="CW958" s="11">
        <v>383.0</v>
      </c>
      <c r="CX958" s="12"/>
      <c r="CY958" s="12"/>
      <c r="CZ958" s="12"/>
      <c r="DA958" s="12"/>
      <c r="DB958" s="11">
        <v>47910.0</v>
      </c>
      <c r="DC958" s="11">
        <v>36680.0</v>
      </c>
      <c r="DD958" s="11">
        <v>51930.0</v>
      </c>
      <c r="DE958" s="11">
        <v>32990.0</v>
      </c>
      <c r="DF958" s="11">
        <v>49820.0</v>
      </c>
      <c r="DG958" s="11">
        <v>36690.0</v>
      </c>
      <c r="DH958" s="11">
        <v>52130.0</v>
      </c>
      <c r="DI958" s="11">
        <v>55920.0</v>
      </c>
      <c r="DJ958" s="11">
        <v>22710.0</v>
      </c>
      <c r="DK958" s="11">
        <v>16010.0</v>
      </c>
      <c r="DL958" s="11">
        <v>80150.0</v>
      </c>
      <c r="DM958" s="11">
        <v>19900.0</v>
      </c>
      <c r="DN958" s="11">
        <v>12000.0</v>
      </c>
      <c r="DO958" s="12"/>
      <c r="DP958" s="12"/>
      <c r="DQ958" s="12"/>
      <c r="DR958" s="12"/>
      <c r="DS958" s="12"/>
      <c r="DT958" s="12"/>
      <c r="DU958" s="13"/>
      <c r="DV958" s="12"/>
      <c r="DW958" s="12"/>
      <c r="DX958" s="13"/>
      <c r="DY958" s="13"/>
      <c r="DZ958" s="11">
        <v>406270.0</v>
      </c>
      <c r="EA958" s="11">
        <v>370570.0</v>
      </c>
      <c r="EB958" s="11">
        <v>230680.0</v>
      </c>
      <c r="EC958" s="11">
        <v>145380.0</v>
      </c>
      <c r="ED958" s="11">
        <v>93870.0</v>
      </c>
      <c r="EE958" s="23"/>
      <c r="EF958" s="23"/>
      <c r="EG958" s="14">
        <v>0.13</v>
      </c>
      <c r="EH958" s="14">
        <v>-0.123</v>
      </c>
    </row>
    <row r="959">
      <c r="A959" s="9">
        <f t="shared" si="2"/>
        <v>957</v>
      </c>
      <c r="B959" s="10" t="s">
        <v>1094</v>
      </c>
      <c r="C959" s="11">
        <v>2190000.0</v>
      </c>
      <c r="D959" s="11">
        <v>2160000.0</v>
      </c>
      <c r="E959" s="11">
        <v>2070000.0</v>
      </c>
      <c r="F959" s="11">
        <v>1530000.0</v>
      </c>
      <c r="G959" s="11">
        <v>1400000.0</v>
      </c>
      <c r="H959" s="11">
        <v>1140000.0</v>
      </c>
      <c r="I959" s="11">
        <v>1060000.0</v>
      </c>
      <c r="J959" s="11">
        <v>210310.0</v>
      </c>
      <c r="K959" s="11">
        <v>165220.0</v>
      </c>
      <c r="L959" s="11">
        <v>124510.0</v>
      </c>
      <c r="M959" s="11">
        <v>133840.0</v>
      </c>
      <c r="N959" s="11">
        <v>121770.0</v>
      </c>
      <c r="O959" s="11">
        <v>156070.0</v>
      </c>
      <c r="P959" s="11">
        <v>118440.0</v>
      </c>
      <c r="Q959" s="11">
        <v>98610.0</v>
      </c>
      <c r="R959" s="11">
        <v>96020.0</v>
      </c>
      <c r="S959" s="11">
        <v>78590.0</v>
      </c>
      <c r="T959" s="11"/>
      <c r="U959" s="11"/>
      <c r="V959" s="11"/>
      <c r="W959" s="11"/>
      <c r="X959" s="11"/>
      <c r="Y959" s="11">
        <v>47840.0</v>
      </c>
      <c r="Z959" s="11">
        <v>42580.0</v>
      </c>
      <c r="AA959" s="12"/>
      <c r="AB959" s="11">
        <v>-1800.0</v>
      </c>
      <c r="AC959" s="11">
        <v>42580.0</v>
      </c>
      <c r="AD959" s="11">
        <v>50440.0</v>
      </c>
      <c r="AE959" s="11">
        <v>43070.0</v>
      </c>
      <c r="AF959" s="11">
        <v>24640.0</v>
      </c>
      <c r="AG959" s="11">
        <v>38350.0</v>
      </c>
      <c r="AH959" s="11">
        <v>44300.0</v>
      </c>
      <c r="AI959" s="11">
        <v>98750.0</v>
      </c>
      <c r="AJ959" s="11">
        <v>86690.0</v>
      </c>
      <c r="AK959" s="11">
        <v>64470.0</v>
      </c>
      <c r="AL959" s="11">
        <v>76940.0</v>
      </c>
      <c r="AM959" s="11">
        <v>81210.0</v>
      </c>
      <c r="AN959" s="11">
        <v>37690.0</v>
      </c>
      <c r="AO959" s="11">
        <v>31090.0</v>
      </c>
      <c r="AP959" s="11">
        <v>21150.0</v>
      </c>
      <c r="AQ959" s="11">
        <v>21430.0</v>
      </c>
      <c r="AR959" s="11">
        <v>27300.0</v>
      </c>
      <c r="AS959" s="11">
        <v>64900.0</v>
      </c>
      <c r="AT959" s="11">
        <v>84790.0</v>
      </c>
      <c r="AU959" s="11">
        <v>-9200.0</v>
      </c>
      <c r="AV959" s="11">
        <v>54490.0</v>
      </c>
      <c r="AW959" s="11">
        <v>43000.0</v>
      </c>
      <c r="AX959" s="11">
        <v>-57830.0</v>
      </c>
      <c r="AY959" s="11">
        <v>-50700.0</v>
      </c>
      <c r="AZ959" s="11">
        <v>-30840.0</v>
      </c>
      <c r="BA959" s="11">
        <v>-25370.0</v>
      </c>
      <c r="BB959" s="11">
        <v>-46600.0</v>
      </c>
      <c r="BC959" s="13"/>
      <c r="BD959" s="13"/>
      <c r="BE959" s="13"/>
      <c r="BF959" s="13"/>
      <c r="BG959" s="13"/>
      <c r="BH959" s="11">
        <v>12400.0</v>
      </c>
      <c r="BI959" s="11">
        <v>7510.0</v>
      </c>
      <c r="BJ959" s="11">
        <v>5340.0</v>
      </c>
      <c r="BK959" s="11">
        <v>23850.0</v>
      </c>
      <c r="BL959" s="11">
        <v>39800.0</v>
      </c>
      <c r="BM959" s="11">
        <v>613980.0</v>
      </c>
      <c r="BN959" s="11">
        <v>459280.0</v>
      </c>
      <c r="BO959" s="11">
        <v>365880.0</v>
      </c>
      <c r="BP959" s="11">
        <v>310850.0</v>
      </c>
      <c r="BQ959" s="11">
        <v>255630.0</v>
      </c>
      <c r="BR959" s="12"/>
      <c r="BS959" s="12"/>
      <c r="BT959" s="12"/>
      <c r="BU959" s="12"/>
      <c r="BV959" s="12"/>
      <c r="BW959" s="11">
        <v>639180.0</v>
      </c>
      <c r="BX959" s="11">
        <v>475630.0</v>
      </c>
      <c r="BY959" s="11">
        <v>379740.0</v>
      </c>
      <c r="BZ959" s="11">
        <v>342900.0</v>
      </c>
      <c r="CA959" s="11">
        <v>303370.0</v>
      </c>
      <c r="CB959" s="11">
        <v>208300.0</v>
      </c>
      <c r="CC959" s="11">
        <v>161890.0</v>
      </c>
      <c r="CD959" s="11">
        <v>148080.0</v>
      </c>
      <c r="CE959" s="11">
        <v>154890.0</v>
      </c>
      <c r="CF959" s="11">
        <v>160680.0</v>
      </c>
      <c r="CG959" s="11">
        <v>66060.0</v>
      </c>
      <c r="CH959" s="11">
        <v>56590.0</v>
      </c>
      <c r="CI959" s="11">
        <v>46990.0</v>
      </c>
      <c r="CJ959" s="11">
        <v>46780.0</v>
      </c>
      <c r="CK959" s="11">
        <v>47120.0</v>
      </c>
      <c r="CL959" s="11">
        <v>1030000.0</v>
      </c>
      <c r="CM959" s="11">
        <v>761300.0</v>
      </c>
      <c r="CN959" s="11">
        <v>612950.0</v>
      </c>
      <c r="CO959" s="11">
        <v>587540.0</v>
      </c>
      <c r="CP959" s="11">
        <v>524930.0</v>
      </c>
      <c r="CQ959" s="11">
        <v>192110.0</v>
      </c>
      <c r="CR959" s="11">
        <v>139480.0</v>
      </c>
      <c r="CS959" s="11">
        <v>110380.0</v>
      </c>
      <c r="CT959" s="11">
        <v>99940.0</v>
      </c>
      <c r="CU959" s="11">
        <v>73300.0</v>
      </c>
      <c r="CV959" s="11">
        <v>396810.0</v>
      </c>
      <c r="CW959" s="11">
        <v>6210.0</v>
      </c>
      <c r="CX959" s="13"/>
      <c r="CY959" s="13"/>
      <c r="CZ959" s="13"/>
      <c r="DA959" s="12"/>
      <c r="DB959" s="11">
        <v>396810.0</v>
      </c>
      <c r="DC959" s="11">
        <v>283810.0</v>
      </c>
      <c r="DD959" s="11">
        <v>188560.0</v>
      </c>
      <c r="DE959" s="11">
        <v>196220.0</v>
      </c>
      <c r="DF959" s="11">
        <v>666840.0</v>
      </c>
      <c r="DG959" s="11">
        <v>436840.0</v>
      </c>
      <c r="DH959" s="11">
        <v>325910.0</v>
      </c>
      <c r="DI959" s="11">
        <v>324360.0</v>
      </c>
      <c r="DJ959" s="11">
        <v>195050.0</v>
      </c>
      <c r="DK959" s="12">
        <v>4720.0</v>
      </c>
      <c r="DL959" s="11">
        <v>1320.0</v>
      </c>
      <c r="DM959" s="11">
        <v>168.0</v>
      </c>
      <c r="DN959" s="11"/>
      <c r="DO959" s="11"/>
      <c r="DP959" s="11">
        <v>174310.0</v>
      </c>
      <c r="DQ959" s="11">
        <v>87630.0</v>
      </c>
      <c r="DR959" s="11">
        <v>81590.0</v>
      </c>
      <c r="DS959" s="11">
        <v>62900.0</v>
      </c>
      <c r="DT959" s="12"/>
      <c r="DU959" s="13"/>
      <c r="DV959" s="12"/>
      <c r="DW959" s="12"/>
      <c r="DX959" s="12"/>
      <c r="DY959" s="12"/>
      <c r="DZ959" s="11">
        <v>364470.0</v>
      </c>
      <c r="EA959" s="11">
        <v>322980.0</v>
      </c>
      <c r="EB959" s="11">
        <v>287040.0</v>
      </c>
      <c r="EC959" s="11">
        <v>263170.0</v>
      </c>
      <c r="ED959" s="11">
        <v>329880.0</v>
      </c>
      <c r="EE959" s="23">
        <v>0.046296296</v>
      </c>
      <c r="EF959" s="23">
        <v>0.068493151</v>
      </c>
      <c r="EG959" s="14">
        <v>0.135</v>
      </c>
      <c r="EH959" s="23">
        <v>0.043</v>
      </c>
    </row>
    <row r="960">
      <c r="A960" s="9">
        <f t="shared" si="2"/>
        <v>958</v>
      </c>
      <c r="B960" s="10" t="s">
        <v>1095</v>
      </c>
      <c r="C960" s="12"/>
      <c r="D960" s="12"/>
      <c r="E960" s="15">
        <v>0.0</v>
      </c>
      <c r="F960" s="15">
        <v>0.0</v>
      </c>
      <c r="G960" s="15">
        <v>0.0</v>
      </c>
      <c r="H960" s="15">
        <v>0.0</v>
      </c>
      <c r="I960" s="15">
        <v>0.0</v>
      </c>
      <c r="J960" s="15">
        <v>0.0</v>
      </c>
      <c r="K960" s="15">
        <v>0.0</v>
      </c>
      <c r="L960" s="15">
        <v>0.0</v>
      </c>
      <c r="M960" s="15">
        <v>0.0</v>
      </c>
      <c r="N960" s="15">
        <v>0.0</v>
      </c>
      <c r="O960" s="15">
        <v>68120.0</v>
      </c>
      <c r="P960" s="15">
        <v>65980.0</v>
      </c>
      <c r="Q960" s="15">
        <v>64020.0</v>
      </c>
      <c r="R960" s="15">
        <v>26910.0</v>
      </c>
      <c r="S960" s="15">
        <v>34620.0</v>
      </c>
      <c r="T960" s="15">
        <v>0.0</v>
      </c>
      <c r="U960" s="15">
        <v>0.0</v>
      </c>
      <c r="V960" s="15">
        <v>0.0</v>
      </c>
      <c r="W960" s="15">
        <v>0.0</v>
      </c>
      <c r="X960" s="15">
        <v>0.0</v>
      </c>
      <c r="Y960" s="15">
        <v>-68760.0</v>
      </c>
      <c r="Z960" s="15">
        <v>-18120.0</v>
      </c>
      <c r="AA960" s="15">
        <v>0.0</v>
      </c>
      <c r="AB960" s="15">
        <v>0.0</v>
      </c>
      <c r="AC960" s="15">
        <v>0.0</v>
      </c>
      <c r="AD960" s="15">
        <v>-69190.0</v>
      </c>
      <c r="AE960" s="15">
        <v>-15960.0</v>
      </c>
      <c r="AF960" s="15">
        <v>-64870.0</v>
      </c>
      <c r="AG960" s="15">
        <v>-26980.0</v>
      </c>
      <c r="AH960" s="15">
        <v>-35340.0</v>
      </c>
      <c r="AI960" s="15">
        <v>-68120.0</v>
      </c>
      <c r="AJ960" s="15">
        <v>-65980.0</v>
      </c>
      <c r="AK960" s="15">
        <v>-64020.0</v>
      </c>
      <c r="AL960" s="15">
        <v>-26910.0</v>
      </c>
      <c r="AM960" s="15">
        <v>-34620.0</v>
      </c>
      <c r="AN960" s="15">
        <v>-69190.0</v>
      </c>
      <c r="AO960" s="15">
        <v>-15960.0</v>
      </c>
      <c r="AP960" s="15">
        <v>-64870.0</v>
      </c>
      <c r="AQ960" s="15">
        <v>-26980.0</v>
      </c>
      <c r="AR960" s="15">
        <v>-33830.0</v>
      </c>
      <c r="AS960" s="15">
        <v>-64530.0</v>
      </c>
      <c r="AT960" s="15">
        <v>-63460.0</v>
      </c>
      <c r="AU960" s="15">
        <v>-41810.0</v>
      </c>
      <c r="AV960" s="15">
        <v>-24430.0</v>
      </c>
      <c r="AW960" s="15">
        <v>-38270.0</v>
      </c>
      <c r="AX960" s="15">
        <v>0.0</v>
      </c>
      <c r="AY960" s="15">
        <v>0.0</v>
      </c>
      <c r="AZ960" s="15">
        <v>0.0</v>
      </c>
      <c r="BA960" s="15">
        <v>0.0</v>
      </c>
      <c r="BB960" s="15">
        <v>0.0</v>
      </c>
      <c r="BC960" s="16">
        <v>0.0</v>
      </c>
      <c r="BD960" s="16">
        <v>0.0</v>
      </c>
      <c r="BE960" s="16">
        <v>0.0</v>
      </c>
      <c r="BF960" s="16">
        <v>0.0</v>
      </c>
      <c r="BG960" s="16">
        <v>0.0</v>
      </c>
      <c r="BH960" s="15">
        <v>14040.0</v>
      </c>
      <c r="BI960" s="15">
        <v>14870.0</v>
      </c>
      <c r="BJ960" s="15">
        <v>67160.0</v>
      </c>
      <c r="BK960" s="15">
        <v>7200.0</v>
      </c>
      <c r="BL960" s="15">
        <v>9540.0</v>
      </c>
      <c r="BM960" s="15">
        <v>0.0</v>
      </c>
      <c r="BN960" s="15">
        <v>0.0</v>
      </c>
      <c r="BO960" s="15">
        <v>0.0</v>
      </c>
      <c r="BP960" s="15">
        <v>0.0</v>
      </c>
      <c r="BQ960" s="15">
        <v>0.0</v>
      </c>
      <c r="BR960" s="15">
        <v>0.0</v>
      </c>
      <c r="BS960" s="15">
        <v>0.0</v>
      </c>
      <c r="BT960" s="15">
        <v>0.0</v>
      </c>
      <c r="BU960" s="15">
        <v>0.0</v>
      </c>
      <c r="BV960" s="15">
        <v>0.0</v>
      </c>
      <c r="BW960" s="15">
        <v>14950.0</v>
      </c>
      <c r="BX960" s="15">
        <v>16260.0</v>
      </c>
      <c r="BY960" s="15">
        <v>68150.0</v>
      </c>
      <c r="BZ960" s="15">
        <v>7880.0</v>
      </c>
      <c r="CA960" s="15">
        <v>10620.0</v>
      </c>
      <c r="CB960" s="15">
        <v>138870.0</v>
      </c>
      <c r="CC960" s="15">
        <v>144840.0</v>
      </c>
      <c r="CD960" s="15">
        <v>133710.0</v>
      </c>
      <c r="CE960" s="15">
        <v>142470.0</v>
      </c>
      <c r="CF960" s="15">
        <v>147090.0</v>
      </c>
      <c r="CG960" s="15">
        <v>0.0</v>
      </c>
      <c r="CH960" s="15">
        <v>0.0</v>
      </c>
      <c r="CI960" s="15">
        <v>0.0</v>
      </c>
      <c r="CJ960" s="15">
        <v>0.0</v>
      </c>
      <c r="CK960" s="15">
        <v>0.0</v>
      </c>
      <c r="CL960" s="15">
        <v>154620.0</v>
      </c>
      <c r="CM960" s="15">
        <v>161920.0</v>
      </c>
      <c r="CN960" s="15">
        <v>202620.0</v>
      </c>
      <c r="CO960" s="15">
        <v>150350.0</v>
      </c>
      <c r="CP960" s="15">
        <v>157700.0</v>
      </c>
      <c r="CQ960" s="15">
        <v>0.0</v>
      </c>
      <c r="CR960" s="15">
        <v>0.0</v>
      </c>
      <c r="CS960" s="15">
        <v>0.0</v>
      </c>
      <c r="CT960" s="15">
        <v>0.0</v>
      </c>
      <c r="CU960" s="15">
        <v>0.0</v>
      </c>
      <c r="CV960" s="15">
        <v>15190.0</v>
      </c>
      <c r="CW960" s="15">
        <v>2320.0</v>
      </c>
      <c r="CX960" s="16">
        <v>0.0</v>
      </c>
      <c r="CY960" s="16">
        <v>0.0</v>
      </c>
      <c r="CZ960" s="16">
        <v>0.0</v>
      </c>
      <c r="DA960" s="15">
        <v>0.0</v>
      </c>
      <c r="DB960" s="15">
        <v>15190.0</v>
      </c>
      <c r="DC960" s="15">
        <v>6520.0</v>
      </c>
      <c r="DD960" s="15">
        <v>11320.0</v>
      </c>
      <c r="DE960" s="15">
        <v>1500.0</v>
      </c>
      <c r="DF960" s="15">
        <v>16120.0</v>
      </c>
      <c r="DG960" s="15">
        <v>13710.0</v>
      </c>
      <c r="DH960" s="15">
        <v>65120.0</v>
      </c>
      <c r="DI960" s="15">
        <v>1500.0</v>
      </c>
      <c r="DJ960" s="15">
        <v>2720.0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0.0</v>
      </c>
      <c r="DR960" s="15">
        <v>0.0</v>
      </c>
      <c r="DS960" s="15">
        <v>0.0</v>
      </c>
      <c r="DT960" s="15">
        <v>0.0</v>
      </c>
      <c r="DU960" s="16">
        <v>0.0</v>
      </c>
      <c r="DV960" s="15">
        <v>0.0</v>
      </c>
      <c r="DW960" s="15">
        <v>0.0</v>
      </c>
      <c r="DX960" s="15">
        <v>0.0</v>
      </c>
      <c r="DY960" s="16">
        <v>0.0</v>
      </c>
      <c r="DZ960" s="15">
        <v>138510.0</v>
      </c>
      <c r="EA960" s="15">
        <v>148210.0</v>
      </c>
      <c r="EB960" s="15">
        <v>137500.0</v>
      </c>
      <c r="EC960" s="15">
        <v>148850.0</v>
      </c>
      <c r="ED960" s="15">
        <v>154980.0</v>
      </c>
      <c r="EE960" s="23"/>
      <c r="EF960" s="23"/>
      <c r="EG960" s="23" t="s">
        <v>155</v>
      </c>
      <c r="EH960" s="23"/>
    </row>
    <row r="961">
      <c r="A961" s="9">
        <f t="shared" si="2"/>
        <v>959</v>
      </c>
      <c r="B961" s="22" t="s">
        <v>1096</v>
      </c>
      <c r="C961" s="11">
        <v>144620.0</v>
      </c>
      <c r="D961" s="11">
        <v>109810.0</v>
      </c>
      <c r="E961" s="11">
        <v>51130.0</v>
      </c>
      <c r="F961" s="11">
        <v>6830.0</v>
      </c>
      <c r="G961" s="12"/>
      <c r="H961" s="12"/>
      <c r="I961" s="12"/>
      <c r="J961" s="11">
        <v>45290.0</v>
      </c>
      <c r="K961" s="11">
        <v>5550.0</v>
      </c>
      <c r="L961" s="12"/>
      <c r="M961" s="12"/>
      <c r="N961" s="12"/>
      <c r="O961" s="11">
        <v>44370.0</v>
      </c>
      <c r="P961" s="11">
        <v>14690.0</v>
      </c>
      <c r="Q961" s="12"/>
      <c r="R961" s="12"/>
      <c r="S961" s="12"/>
      <c r="T961" s="11">
        <v>7220.0</v>
      </c>
      <c r="U961" s="11">
        <v>3990.0</v>
      </c>
      <c r="V961" s="12"/>
      <c r="W961" s="12"/>
      <c r="X961" s="12"/>
      <c r="Y961" s="11">
        <v>-241.0</v>
      </c>
      <c r="Z961" s="11">
        <v>-9220.0</v>
      </c>
      <c r="AA961" s="12"/>
      <c r="AB961" s="12"/>
      <c r="AC961" s="12"/>
      <c r="AD961" s="11">
        <v>-1190.0</v>
      </c>
      <c r="AE961" s="11">
        <v>-10150.0</v>
      </c>
      <c r="AF961" s="12"/>
      <c r="AG961" s="12"/>
      <c r="AH961" s="12"/>
      <c r="AI961" s="11">
        <v>1550.0</v>
      </c>
      <c r="AJ961" s="11">
        <v>-8860.0</v>
      </c>
      <c r="AK961" s="12"/>
      <c r="AL961" s="12"/>
      <c r="AM961" s="12"/>
      <c r="AN961" s="11">
        <v>-1190.0</v>
      </c>
      <c r="AO961" s="11">
        <v>-10150.0</v>
      </c>
      <c r="AP961" s="12"/>
      <c r="AQ961" s="12"/>
      <c r="AR961" s="12"/>
      <c r="AS961" s="11">
        <v>-4940.0</v>
      </c>
      <c r="AT961" s="11">
        <v>-11070.0</v>
      </c>
      <c r="AU961" s="12"/>
      <c r="AV961" s="12"/>
      <c r="AW961" s="12"/>
      <c r="AX961" s="11">
        <v>-3140.0</v>
      </c>
      <c r="AY961" s="11">
        <v>-753.0</v>
      </c>
      <c r="AZ961" s="12"/>
      <c r="BA961" s="12"/>
      <c r="BB961" s="12"/>
      <c r="BC961" s="12"/>
      <c r="BD961" s="12"/>
      <c r="BE961" s="12"/>
      <c r="BF961" s="12"/>
      <c r="BG961" s="12"/>
      <c r="BH961" s="11">
        <v>23690.0</v>
      </c>
      <c r="BI961" s="11">
        <v>21880.0</v>
      </c>
      <c r="BJ961" s="12"/>
      <c r="BK961" s="12"/>
      <c r="BL961" s="12"/>
      <c r="BM961" s="11">
        <v>11300.0</v>
      </c>
      <c r="BN961" s="11">
        <v>2230.0</v>
      </c>
      <c r="BO961" s="12"/>
      <c r="BP961" s="12"/>
      <c r="BQ961" s="12"/>
      <c r="BR961" s="11">
        <v>3950.0</v>
      </c>
      <c r="BS961" s="11">
        <v>1090.0</v>
      </c>
      <c r="BT961" s="12"/>
      <c r="BU961" s="12"/>
      <c r="BV961" s="12"/>
      <c r="BW961" s="11">
        <v>39410.0</v>
      </c>
      <c r="BX961" s="11">
        <v>25960.0</v>
      </c>
      <c r="BY961" s="12"/>
      <c r="BZ961" s="12"/>
      <c r="CA961" s="12"/>
      <c r="CB961" s="11">
        <v>3330.0</v>
      </c>
      <c r="CC961" s="11">
        <v>920.0</v>
      </c>
      <c r="CD961" s="12"/>
      <c r="CE961" s="12"/>
      <c r="CF961" s="12"/>
      <c r="CG961" s="12"/>
      <c r="CH961" s="12"/>
      <c r="CI961" s="12"/>
      <c r="CJ961" s="12"/>
      <c r="CK961" s="12"/>
      <c r="CL961" s="11">
        <v>44550.0</v>
      </c>
      <c r="CM961" s="11">
        <v>27660.0</v>
      </c>
      <c r="CN961" s="12"/>
      <c r="CO961" s="12"/>
      <c r="CP961" s="12"/>
      <c r="CQ961" s="11">
        <v>2550.0</v>
      </c>
      <c r="CR961" s="11">
        <v>714.0</v>
      </c>
      <c r="CS961" s="12"/>
      <c r="CT961" s="12"/>
      <c r="CU961" s="12"/>
      <c r="CV961" s="11">
        <v>8870.0</v>
      </c>
      <c r="CW961" s="12"/>
      <c r="CX961" s="12"/>
      <c r="CY961" s="12"/>
      <c r="CZ961" s="12"/>
      <c r="DA961" s="12"/>
      <c r="DB961" s="11">
        <v>8870.0</v>
      </c>
      <c r="DC961" s="11">
        <v>2130.0</v>
      </c>
      <c r="DD961" s="12"/>
      <c r="DE961" s="12"/>
      <c r="DF961" s="11">
        <v>29520.0</v>
      </c>
      <c r="DG961" s="11">
        <v>12180.0</v>
      </c>
      <c r="DH961" s="12"/>
      <c r="DI961" s="12"/>
      <c r="DJ961" s="12"/>
      <c r="DK961" s="11">
        <v>338.0</v>
      </c>
      <c r="DL961" s="12"/>
      <c r="DM961" s="12"/>
      <c r="DN961" s="12"/>
      <c r="DO961" s="12"/>
      <c r="DP961" s="11">
        <v>19480.0</v>
      </c>
      <c r="DQ961" s="11">
        <v>9840.0</v>
      </c>
      <c r="DR961" s="12"/>
      <c r="DS961" s="12"/>
      <c r="DT961" s="12"/>
      <c r="DU961" s="11">
        <v>54170.0</v>
      </c>
      <c r="DV961" s="11">
        <v>54170.0</v>
      </c>
      <c r="DW961" s="12"/>
      <c r="DX961" s="13"/>
      <c r="DY961" s="13"/>
      <c r="DZ961" s="11">
        <v>15030.0</v>
      </c>
      <c r="EA961" s="11">
        <v>15480.0</v>
      </c>
      <c r="EB961" s="12"/>
      <c r="EC961" s="12"/>
      <c r="ED961" s="12"/>
      <c r="EE961" s="14">
        <v>0.083</v>
      </c>
      <c r="EF961" s="14">
        <v>0.301</v>
      </c>
      <c r="EG961" s="14">
        <v>0.111</v>
      </c>
      <c r="EH961" s="23"/>
    </row>
    <row r="962">
      <c r="A962" s="9">
        <f t="shared" si="2"/>
        <v>960</v>
      </c>
      <c r="B962" s="10" t="s">
        <v>1097</v>
      </c>
      <c r="C962" s="11">
        <v>265430.0</v>
      </c>
      <c r="D962" s="11">
        <v>280830.0</v>
      </c>
      <c r="E962" s="11">
        <v>317220.0</v>
      </c>
      <c r="F962" s="11">
        <v>289020.0</v>
      </c>
      <c r="G962" s="11">
        <v>297140.0</v>
      </c>
      <c r="H962" s="11">
        <v>357450.0</v>
      </c>
      <c r="I962" s="11">
        <v>445740.0</v>
      </c>
      <c r="J962" s="11">
        <v>45450.0</v>
      </c>
      <c r="K962" s="11">
        <v>-17100.0</v>
      </c>
      <c r="L962" s="11">
        <v>-33660.0</v>
      </c>
      <c r="M962" s="11">
        <v>60310.0</v>
      </c>
      <c r="N962" s="11">
        <v>137880.0</v>
      </c>
      <c r="O962" s="11">
        <v>13480.0</v>
      </c>
      <c r="P962" s="11">
        <v>12730.0</v>
      </c>
      <c r="Q962" s="11">
        <v>12580.0</v>
      </c>
      <c r="R962" s="11">
        <v>12300.0</v>
      </c>
      <c r="S962" s="11">
        <v>9790.0</v>
      </c>
      <c r="T962" s="12"/>
      <c r="U962" s="12"/>
      <c r="V962" s="12"/>
      <c r="W962" s="12"/>
      <c r="X962" s="12"/>
      <c r="Y962" s="12"/>
      <c r="Z962" s="11">
        <v>-32000.0</v>
      </c>
      <c r="AA962" s="11"/>
      <c r="AB962" s="11">
        <v>53340.0</v>
      </c>
      <c r="AC962" s="12"/>
      <c r="AD962" s="11">
        <v>-10280.0</v>
      </c>
      <c r="AE962" s="11">
        <v>-87560.0</v>
      </c>
      <c r="AF962" s="11">
        <v>-196450.0</v>
      </c>
      <c r="AG962" s="11">
        <v>42290.0</v>
      </c>
      <c r="AH962" s="11">
        <v>117190.0</v>
      </c>
      <c r="AI962" s="11">
        <v>95940.0</v>
      </c>
      <c r="AJ962" s="11">
        <v>30870.0</v>
      </c>
      <c r="AK962" s="11">
        <v>54440.0</v>
      </c>
      <c r="AL962" s="11">
        <v>138900.0</v>
      </c>
      <c r="AM962" s="11">
        <v>210700.0</v>
      </c>
      <c r="AN962" s="11">
        <v>-10350.0</v>
      </c>
      <c r="AO962" s="11">
        <v>-95310.0</v>
      </c>
      <c r="AP962" s="11">
        <v>-204970.0</v>
      </c>
      <c r="AQ962" s="11">
        <v>-4460.0</v>
      </c>
      <c r="AR962" s="11">
        <v>114630.0</v>
      </c>
      <c r="AS962" s="11">
        <v>52860.0</v>
      </c>
      <c r="AT962" s="11">
        <v>-15800.0</v>
      </c>
      <c r="AU962" s="11">
        <v>31740.0</v>
      </c>
      <c r="AV962" s="11">
        <v>127790.0</v>
      </c>
      <c r="AW962" s="11">
        <v>174390.0</v>
      </c>
      <c r="AX962" s="11">
        <v>-2530.0</v>
      </c>
      <c r="AY962" s="11">
        <v>-4870.0</v>
      </c>
      <c r="AZ962" s="11">
        <v>-37570.0</v>
      </c>
      <c r="BA962" s="11">
        <v>-138360.0</v>
      </c>
      <c r="BB962" s="11">
        <v>-123480.0</v>
      </c>
      <c r="BC962" s="11">
        <v>-14260.0</v>
      </c>
      <c r="BD962" s="11">
        <v>-9940.0</v>
      </c>
      <c r="BE962" s="11">
        <v>-54230.0</v>
      </c>
      <c r="BF962" s="11">
        <v>-125650.0</v>
      </c>
      <c r="BG962" s="11">
        <v>-123070.0</v>
      </c>
      <c r="BH962" s="11">
        <v>62460.0</v>
      </c>
      <c r="BI962" s="11">
        <v>49330.0</v>
      </c>
      <c r="BJ962" s="11">
        <v>58360.0</v>
      </c>
      <c r="BK962" s="11">
        <v>82170.0</v>
      </c>
      <c r="BL962" s="11">
        <v>29890.0</v>
      </c>
      <c r="BM962" s="11">
        <v>24580.0</v>
      </c>
      <c r="BN962" s="11">
        <v>22590.0</v>
      </c>
      <c r="BO962" s="11">
        <v>22470.0</v>
      </c>
      <c r="BP962" s="11">
        <v>18070.0</v>
      </c>
      <c r="BQ962" s="11">
        <v>28600.0</v>
      </c>
      <c r="BR962" s="11">
        <v>35600.0</v>
      </c>
      <c r="BS962" s="11">
        <v>35370.0</v>
      </c>
      <c r="BT962" s="11">
        <v>38390.0</v>
      </c>
      <c r="BU962" s="11">
        <v>56500.0</v>
      </c>
      <c r="BV962" s="11">
        <v>52200.0</v>
      </c>
      <c r="BW962" s="11">
        <v>129370.0</v>
      </c>
      <c r="BX962" s="11">
        <v>112950.0</v>
      </c>
      <c r="BY962" s="11">
        <v>126990.0</v>
      </c>
      <c r="BZ962" s="11">
        <v>163710.0</v>
      </c>
      <c r="CA962" s="11">
        <v>118180.0</v>
      </c>
      <c r="CB962" s="11">
        <v>901470.0</v>
      </c>
      <c r="CC962" s="11">
        <v>953890.0</v>
      </c>
      <c r="CD962" s="11">
        <v>1000000.0</v>
      </c>
      <c r="CE962" s="11">
        <v>1140000.0</v>
      </c>
      <c r="CF962" s="11">
        <v>963160.0</v>
      </c>
      <c r="CG962" s="11"/>
      <c r="CH962" s="11"/>
      <c r="CI962" s="11"/>
      <c r="CJ962" s="11">
        <v>18980.0</v>
      </c>
      <c r="CK962" s="11">
        <v>18980.0</v>
      </c>
      <c r="CL962" s="11">
        <v>1030000.0</v>
      </c>
      <c r="CM962" s="11">
        <v>1070000.0</v>
      </c>
      <c r="CN962" s="11">
        <v>1140000.0</v>
      </c>
      <c r="CO962" s="11">
        <v>1350000.0</v>
      </c>
      <c r="CP962" s="11">
        <v>1240000.0</v>
      </c>
      <c r="CQ962" s="11">
        <v>8410.0</v>
      </c>
      <c r="CR962" s="11">
        <v>3580.0</v>
      </c>
      <c r="CS962" s="11">
        <v>3220.0</v>
      </c>
      <c r="CT962" s="11">
        <v>4290.0</v>
      </c>
      <c r="CU962" s="11">
        <v>4250.0</v>
      </c>
      <c r="CV962" s="11">
        <v>59030.0</v>
      </c>
      <c r="CW962" s="11"/>
      <c r="CX962" s="12"/>
      <c r="CY962" s="12"/>
      <c r="CZ962" s="12"/>
      <c r="DA962" s="12"/>
      <c r="DB962" s="11">
        <v>59030.0</v>
      </c>
      <c r="DC962" s="11">
        <v>36290.0</v>
      </c>
      <c r="DD962" s="11">
        <v>25330.0</v>
      </c>
      <c r="DE962" s="11">
        <v>21530.0</v>
      </c>
      <c r="DF962" s="11">
        <v>435480.0</v>
      </c>
      <c r="DG962" s="11">
        <v>469080.0</v>
      </c>
      <c r="DH962" s="11">
        <v>430000.0</v>
      </c>
      <c r="DI962" s="11">
        <v>478860.0</v>
      </c>
      <c r="DJ962" s="11">
        <v>358470.0</v>
      </c>
      <c r="DK962" s="12"/>
      <c r="DL962" s="11">
        <v>4200.0</v>
      </c>
      <c r="DM962" s="11">
        <v>12160.0</v>
      </c>
      <c r="DN962" s="11">
        <v>26700.0</v>
      </c>
      <c r="DO962" s="11">
        <v>138880.0</v>
      </c>
      <c r="DP962" s="11">
        <v>376300.0</v>
      </c>
      <c r="DQ962" s="11">
        <v>417840.0</v>
      </c>
      <c r="DR962" s="11">
        <v>388860.0</v>
      </c>
      <c r="DS962" s="11">
        <v>442820.0</v>
      </c>
      <c r="DT962" s="11">
        <v>324570.0</v>
      </c>
      <c r="DU962" s="13"/>
      <c r="DV962" s="12"/>
      <c r="DW962" s="12"/>
      <c r="DX962" s="12"/>
      <c r="DY962" s="12"/>
      <c r="DZ962" s="11">
        <v>595420.0</v>
      </c>
      <c r="EA962" s="11">
        <v>602030.0</v>
      </c>
      <c r="EB962" s="11">
        <v>711060.0</v>
      </c>
      <c r="EC962" s="11">
        <v>871050.0</v>
      </c>
      <c r="ED962" s="11">
        <v>880720.0</v>
      </c>
      <c r="EE962" s="14">
        <v>0.217</v>
      </c>
      <c r="EF962" s="14">
        <v>0.497</v>
      </c>
      <c r="EG962" s="14">
        <v>0.179</v>
      </c>
      <c r="EH962" s="14">
        <v>-0.135</v>
      </c>
    </row>
    <row r="963">
      <c r="A963" s="9">
        <f t="shared" si="2"/>
        <v>961</v>
      </c>
      <c r="B963" s="10" t="s">
        <v>1098</v>
      </c>
      <c r="C963" s="15"/>
      <c r="D963" s="15"/>
      <c r="E963" s="15">
        <v>103330.0</v>
      </c>
      <c r="F963" s="15">
        <v>101850.0</v>
      </c>
      <c r="G963" s="15">
        <v>104200.0</v>
      </c>
      <c r="H963" s="15">
        <v>96260.0</v>
      </c>
      <c r="I963" s="15">
        <v>100890.0</v>
      </c>
      <c r="J963" s="15">
        <v>41950.0</v>
      </c>
      <c r="K963" s="15">
        <v>41830.0</v>
      </c>
      <c r="L963" s="15">
        <v>40590.0</v>
      </c>
      <c r="M963" s="15">
        <v>39940.0</v>
      </c>
      <c r="N963" s="15">
        <v>38080.0</v>
      </c>
      <c r="O963" s="15">
        <v>14780.0</v>
      </c>
      <c r="P963" s="15">
        <v>13850.0</v>
      </c>
      <c r="Q963" s="15">
        <v>13490.0</v>
      </c>
      <c r="R963" s="15">
        <v>13660.0</v>
      </c>
      <c r="S963" s="15">
        <v>13120.0</v>
      </c>
      <c r="T963" s="15"/>
      <c r="U963" s="15"/>
      <c r="V963" s="15"/>
      <c r="W963" s="15"/>
      <c r="X963" s="15"/>
      <c r="Y963" s="12"/>
      <c r="Z963" s="12"/>
      <c r="AA963" s="15">
        <v>17440.0</v>
      </c>
      <c r="AB963" s="15"/>
      <c r="AC963" s="15">
        <v>24860.0</v>
      </c>
      <c r="AD963" s="15">
        <v>18010.0</v>
      </c>
      <c r="AE963" s="15">
        <v>29410.0</v>
      </c>
      <c r="AF963" s="15">
        <v>4110.0</v>
      </c>
      <c r="AG963" s="15">
        <v>11800.0</v>
      </c>
      <c r="AH963" s="15">
        <v>10380.0</v>
      </c>
      <c r="AI963" s="15">
        <v>28410.0</v>
      </c>
      <c r="AJ963" s="15">
        <v>29190.0</v>
      </c>
      <c r="AK963" s="15">
        <v>28450.0</v>
      </c>
      <c r="AL963" s="15">
        <v>27580.0</v>
      </c>
      <c r="AM963" s="15">
        <v>26220.0</v>
      </c>
      <c r="AN963" s="15">
        <v>13440.0</v>
      </c>
      <c r="AO963" s="15">
        <v>21490.0</v>
      </c>
      <c r="AP963" s="15">
        <v>2630.0</v>
      </c>
      <c r="AQ963" s="15">
        <v>7490.0</v>
      </c>
      <c r="AR963" s="15">
        <v>6100.0</v>
      </c>
      <c r="AS963" s="15">
        <v>12350.0</v>
      </c>
      <c r="AT963" s="15">
        <v>11160.0</v>
      </c>
      <c r="AU963" s="15">
        <v>18860.0</v>
      </c>
      <c r="AV963" s="15">
        <v>10410.0</v>
      </c>
      <c r="AW963" s="15">
        <v>12480.0</v>
      </c>
      <c r="AX963" s="15">
        <v>-870.0</v>
      </c>
      <c r="AY963" s="15">
        <v>-447.0</v>
      </c>
      <c r="AZ963" s="15">
        <v>-563.0</v>
      </c>
      <c r="BA963" s="15">
        <v>-1130.0</v>
      </c>
      <c r="BB963" s="15">
        <v>-1130.0</v>
      </c>
      <c r="BC963" s="13">
        <v>-5910.0</v>
      </c>
      <c r="BD963" s="13">
        <v>-4340.0</v>
      </c>
      <c r="BE963" s="13">
        <v>-21070.0</v>
      </c>
      <c r="BF963" s="13">
        <v>-375.0</v>
      </c>
      <c r="BG963" s="13">
        <v>-375.0</v>
      </c>
      <c r="BH963" s="15">
        <v>77120.0</v>
      </c>
      <c r="BI963" s="15">
        <v>75450.0</v>
      </c>
      <c r="BJ963" s="15">
        <v>57340.0</v>
      </c>
      <c r="BK963" s="15">
        <v>56920.0</v>
      </c>
      <c r="BL963" s="15">
        <v>50230.0</v>
      </c>
      <c r="BM963" s="15">
        <v>11110.0</v>
      </c>
      <c r="BN963" s="15">
        <v>10170.0</v>
      </c>
      <c r="BO963" s="15">
        <v>10500.0</v>
      </c>
      <c r="BP963" s="15">
        <v>8950.0</v>
      </c>
      <c r="BQ963" s="15">
        <v>8720.0</v>
      </c>
      <c r="BR963" s="12">
        <v>378.0</v>
      </c>
      <c r="BS963" s="12">
        <v>535.0</v>
      </c>
      <c r="BT963" s="12">
        <v>384.0</v>
      </c>
      <c r="BU963" s="12">
        <v>579.0</v>
      </c>
      <c r="BV963" s="12">
        <v>687.0</v>
      </c>
      <c r="BW963" s="15">
        <v>89780.0</v>
      </c>
      <c r="BX963" s="15">
        <v>87160.0</v>
      </c>
      <c r="BY963" s="15">
        <v>71710.0</v>
      </c>
      <c r="BZ963" s="15">
        <v>67540.0</v>
      </c>
      <c r="CA963" s="15">
        <v>60980.0</v>
      </c>
      <c r="CB963" s="15">
        <v>13790.0</v>
      </c>
      <c r="CC963" s="15">
        <v>4890.0</v>
      </c>
      <c r="CD963" s="15">
        <v>6640.0</v>
      </c>
      <c r="CE963" s="15">
        <v>8840.0</v>
      </c>
      <c r="CF963" s="15">
        <v>9010.0</v>
      </c>
      <c r="CG963" s="15">
        <v>95.0</v>
      </c>
      <c r="CH963" s="15">
        <v>95.0</v>
      </c>
      <c r="CI963" s="15">
        <v>95.0</v>
      </c>
      <c r="CJ963" s="15">
        <v>95.0</v>
      </c>
      <c r="CK963" s="15">
        <v>95.0</v>
      </c>
      <c r="CL963" s="15">
        <v>106560.0</v>
      </c>
      <c r="CM963" s="15">
        <v>95680.0</v>
      </c>
      <c r="CN963" s="15">
        <v>81310.0</v>
      </c>
      <c r="CO963" s="15">
        <v>78130.0</v>
      </c>
      <c r="CP963" s="15">
        <v>73160.0</v>
      </c>
      <c r="CQ963" s="15">
        <v>3510.0</v>
      </c>
      <c r="CR963" s="15">
        <v>5220.0</v>
      </c>
      <c r="CS963" s="15">
        <v>6570.0</v>
      </c>
      <c r="CT963" s="15">
        <v>4810.0</v>
      </c>
      <c r="CU963" s="15">
        <v>4890.0</v>
      </c>
      <c r="CV963" s="15">
        <v>14620.0</v>
      </c>
      <c r="CW963" s="15">
        <v>1580.0</v>
      </c>
      <c r="CX963" s="15"/>
      <c r="CY963" s="15"/>
      <c r="CZ963" s="15"/>
      <c r="DA963" s="12"/>
      <c r="DB963" s="15">
        <v>14620.0</v>
      </c>
      <c r="DC963" s="15">
        <v>14920.0</v>
      </c>
      <c r="DD963" s="15">
        <v>18010.0</v>
      </c>
      <c r="DE963" s="15">
        <v>10770.0</v>
      </c>
      <c r="DF963" s="15">
        <v>172960.0</v>
      </c>
      <c r="DG963" s="15">
        <v>165820.0</v>
      </c>
      <c r="DH963" s="15">
        <v>165880.0</v>
      </c>
      <c r="DI963" s="15">
        <v>144620.0</v>
      </c>
      <c r="DJ963" s="15">
        <v>145500.0</v>
      </c>
      <c r="DK963" s="15"/>
      <c r="DL963" s="15"/>
      <c r="DM963" s="15"/>
      <c r="DN963" s="15"/>
      <c r="DO963" s="15"/>
      <c r="DP963" s="15">
        <v>154670.0</v>
      </c>
      <c r="DQ963" s="15">
        <v>145450.0</v>
      </c>
      <c r="DR963" s="15">
        <v>144760.0</v>
      </c>
      <c r="DS963" s="15">
        <v>131480.0</v>
      </c>
      <c r="DT963" s="15">
        <v>130270.0</v>
      </c>
      <c r="DU963" s="13"/>
      <c r="DV963" s="12"/>
      <c r="DW963" s="12"/>
      <c r="DX963" s="13"/>
      <c r="DY963" s="13"/>
      <c r="DZ963" s="15">
        <v>-66400.0</v>
      </c>
      <c r="EA963" s="15">
        <v>-70140.0</v>
      </c>
      <c r="EB963" s="15">
        <v>-84570.0</v>
      </c>
      <c r="EC963" s="15">
        <v>-66490.0</v>
      </c>
      <c r="ED963" s="15">
        <v>-72340.0</v>
      </c>
      <c r="EE963" s="17"/>
      <c r="EF963" s="17"/>
      <c r="EG963" s="23" t="s">
        <v>155</v>
      </c>
      <c r="EH963" s="17"/>
    </row>
    <row r="964">
      <c r="A964" s="9">
        <f t="shared" si="2"/>
        <v>962</v>
      </c>
      <c r="B964" s="22" t="s">
        <v>1099</v>
      </c>
      <c r="C964" s="12"/>
      <c r="D964" s="12"/>
      <c r="E964" s="11">
        <v>362220.0</v>
      </c>
      <c r="F964" s="11">
        <v>364810.0</v>
      </c>
      <c r="G964" s="11">
        <v>342030.0</v>
      </c>
      <c r="H964" s="11">
        <v>341160.0</v>
      </c>
      <c r="I964" s="11">
        <v>324710.0</v>
      </c>
      <c r="J964" s="11">
        <v>268280.0</v>
      </c>
      <c r="K964" s="11">
        <v>269120.0</v>
      </c>
      <c r="L964" s="11">
        <v>250990.0</v>
      </c>
      <c r="M964" s="11">
        <v>250220.0</v>
      </c>
      <c r="N964" s="11">
        <v>239360.0</v>
      </c>
      <c r="O964" s="11">
        <v>249750.0</v>
      </c>
      <c r="P964" s="11">
        <v>262270.0</v>
      </c>
      <c r="Q964" s="11">
        <v>248110.0</v>
      </c>
      <c r="R964" s="11">
        <v>240180.0</v>
      </c>
      <c r="S964" s="11">
        <v>222190.0</v>
      </c>
      <c r="T964" s="11">
        <v>2100.0</v>
      </c>
      <c r="U964" s="11">
        <v>2800.0</v>
      </c>
      <c r="V964" s="11">
        <v>3400.0</v>
      </c>
      <c r="W964" s="11">
        <v>3200.0</v>
      </c>
      <c r="X964" s="11">
        <v>2800.0</v>
      </c>
      <c r="Y964" s="11">
        <v>16130.0</v>
      </c>
      <c r="Z964" s="11">
        <v>5350.0</v>
      </c>
      <c r="AA964" s="11">
        <v>1390.0</v>
      </c>
      <c r="AB964" s="12"/>
      <c r="AC964" s="11">
        <v>13870.0</v>
      </c>
      <c r="AD964" s="11">
        <v>15640.0</v>
      </c>
      <c r="AE964" s="11">
        <v>3200.0</v>
      </c>
      <c r="AF964" s="11">
        <v>3220.0</v>
      </c>
      <c r="AG964" s="11">
        <v>9270.0</v>
      </c>
      <c r="AH964" s="11">
        <v>13280.0</v>
      </c>
      <c r="AI964" s="11">
        <v>34520.0</v>
      </c>
      <c r="AJ964" s="11">
        <v>16750.0</v>
      </c>
      <c r="AK964" s="11">
        <v>11520.0</v>
      </c>
      <c r="AL964" s="11">
        <v>14850.0</v>
      </c>
      <c r="AM964" s="11">
        <v>21700.0</v>
      </c>
      <c r="AN964" s="11">
        <v>6770.0</v>
      </c>
      <c r="AO964" s="11">
        <v>-854.0</v>
      </c>
      <c r="AP964" s="11">
        <v>-12940.0</v>
      </c>
      <c r="AQ964" s="11">
        <v>2140.0</v>
      </c>
      <c r="AR964" s="11">
        <v>12570.0</v>
      </c>
      <c r="AS964" s="11">
        <v>13580.0</v>
      </c>
      <c r="AT964" s="11">
        <v>21830.0</v>
      </c>
      <c r="AU964" s="11">
        <v>10520.0</v>
      </c>
      <c r="AV964" s="11">
        <v>3420.0</v>
      </c>
      <c r="AW964" s="11">
        <v>10160.0</v>
      </c>
      <c r="AX964" s="11">
        <v>-5100.0</v>
      </c>
      <c r="AY964" s="11">
        <v>-4830.0</v>
      </c>
      <c r="AZ964" s="11">
        <v>-5500.0</v>
      </c>
      <c r="BA964" s="11">
        <v>-11540.0</v>
      </c>
      <c r="BB964" s="11">
        <v>-22530.0</v>
      </c>
      <c r="BC964" s="12"/>
      <c r="BD964" s="12"/>
      <c r="BE964" s="11">
        <v>-1850.0</v>
      </c>
      <c r="BF964" s="11">
        <v>-7510.0</v>
      </c>
      <c r="BG964" s="11">
        <v>-7490.0</v>
      </c>
      <c r="BH964" s="11">
        <v>53630.0</v>
      </c>
      <c r="BI964" s="11">
        <v>50640.0</v>
      </c>
      <c r="BJ964" s="11">
        <v>42910.0</v>
      </c>
      <c r="BK964" s="11">
        <v>34060.0</v>
      </c>
      <c r="BL964" s="11">
        <v>43190.0</v>
      </c>
      <c r="BM964" s="11">
        <v>7320.0</v>
      </c>
      <c r="BN964" s="11">
        <v>7750.0</v>
      </c>
      <c r="BO964" s="11">
        <v>8890.0</v>
      </c>
      <c r="BP964" s="11">
        <v>7740.0</v>
      </c>
      <c r="BQ964" s="11">
        <v>7700.0</v>
      </c>
      <c r="BR964" s="11">
        <v>46670.0</v>
      </c>
      <c r="BS964" s="11">
        <v>42050.0</v>
      </c>
      <c r="BT964" s="11">
        <v>44050.0</v>
      </c>
      <c r="BU964" s="11">
        <v>47600.0</v>
      </c>
      <c r="BV964" s="11">
        <v>38500.0</v>
      </c>
      <c r="BW964" s="11">
        <v>112710.0</v>
      </c>
      <c r="BX964" s="11">
        <v>106830.0</v>
      </c>
      <c r="BY964" s="11">
        <v>102510.0</v>
      </c>
      <c r="BZ964" s="11">
        <v>100120.0</v>
      </c>
      <c r="CA964" s="11">
        <v>101520.0</v>
      </c>
      <c r="CB964" s="11">
        <v>83460.0</v>
      </c>
      <c r="CC964" s="11">
        <v>64060.0</v>
      </c>
      <c r="CD964" s="11">
        <v>69110.0</v>
      </c>
      <c r="CE964" s="11">
        <v>73270.0</v>
      </c>
      <c r="CF964" s="11">
        <v>68730.0</v>
      </c>
      <c r="CG964" s="12"/>
      <c r="CH964" s="12"/>
      <c r="CI964" s="12"/>
      <c r="CJ964" s="12"/>
      <c r="CK964" s="12"/>
      <c r="CL964" s="11">
        <v>213070.0</v>
      </c>
      <c r="CM964" s="11">
        <v>193020.0</v>
      </c>
      <c r="CN964" s="11">
        <v>195200.0</v>
      </c>
      <c r="CO964" s="11">
        <v>205570.0</v>
      </c>
      <c r="CP964" s="11">
        <v>200520.0</v>
      </c>
      <c r="CQ964" s="11">
        <v>4410.0</v>
      </c>
      <c r="CR964" s="11">
        <v>5220.0</v>
      </c>
      <c r="CS964" s="11">
        <v>4220.0</v>
      </c>
      <c r="CT964" s="11">
        <v>5310.0</v>
      </c>
      <c r="CU964" s="11">
        <v>6340.0</v>
      </c>
      <c r="CV964" s="11">
        <v>57950.0</v>
      </c>
      <c r="CW964" s="11">
        <v>6460.0</v>
      </c>
      <c r="CX964" s="11">
        <v>1530.0</v>
      </c>
      <c r="CY964" s="24">
        <v>506.0</v>
      </c>
      <c r="CZ964" s="11">
        <v>9920.0</v>
      </c>
      <c r="DA964" s="11">
        <v>2700.0</v>
      </c>
      <c r="DB964" s="11">
        <v>57950.0</v>
      </c>
      <c r="DC964" s="11">
        <v>66690.0</v>
      </c>
      <c r="DD964" s="11">
        <v>53660.0</v>
      </c>
      <c r="DE964" s="11">
        <v>63040.0</v>
      </c>
      <c r="DF964" s="11">
        <v>83630.0</v>
      </c>
      <c r="DG964" s="11">
        <v>72450.0</v>
      </c>
      <c r="DH964" s="11">
        <v>75460.0</v>
      </c>
      <c r="DI964" s="11">
        <v>73170.0</v>
      </c>
      <c r="DJ964" s="11">
        <v>64260.0</v>
      </c>
      <c r="DK964" s="11">
        <v>1150.0</v>
      </c>
      <c r="DL964" s="11">
        <v>1310.0</v>
      </c>
      <c r="DM964" s="11">
        <v>1980.0</v>
      </c>
      <c r="DN964" s="11">
        <v>1390.0</v>
      </c>
      <c r="DO964" s="11">
        <v>1040.0</v>
      </c>
      <c r="DP964" s="11">
        <v>20210.0</v>
      </c>
      <c r="DQ964" s="12"/>
      <c r="DR964" s="11">
        <v>13180.0</v>
      </c>
      <c r="DS964" s="12"/>
      <c r="DT964" s="12"/>
      <c r="DU964" s="13"/>
      <c r="DV964" s="12"/>
      <c r="DW964" s="12"/>
      <c r="DX964" s="13"/>
      <c r="DY964" s="13"/>
      <c r="DZ964" s="11">
        <v>129210.0</v>
      </c>
      <c r="EA964" s="11">
        <v>120510.0</v>
      </c>
      <c r="EB964" s="11">
        <v>119320.0</v>
      </c>
      <c r="EC964" s="11">
        <v>131110.0</v>
      </c>
      <c r="ED964" s="11">
        <v>133520.0</v>
      </c>
      <c r="EE964" s="23"/>
      <c r="EF964" s="23"/>
      <c r="EG964" s="23" t="s">
        <v>155</v>
      </c>
      <c r="EH964" s="23"/>
    </row>
    <row r="965">
      <c r="A965" s="9">
        <f t="shared" si="2"/>
        <v>963</v>
      </c>
      <c r="B965" s="10" t="s">
        <v>1100</v>
      </c>
      <c r="C965" s="15">
        <v>296000.0</v>
      </c>
      <c r="D965" s="15">
        <v>267950.0</v>
      </c>
      <c r="E965" s="15">
        <v>253710.0</v>
      </c>
      <c r="F965" s="15">
        <v>52160.0</v>
      </c>
      <c r="G965" s="15">
        <v>52190.0</v>
      </c>
      <c r="H965" s="15">
        <v>25300.0</v>
      </c>
      <c r="I965" s="15">
        <v>2420.0</v>
      </c>
      <c r="J965" s="15">
        <v>144330.0</v>
      </c>
      <c r="K965" s="15">
        <v>6990.0</v>
      </c>
      <c r="L965" s="15">
        <v>10790.0</v>
      </c>
      <c r="M965" s="15">
        <v>5800.0</v>
      </c>
      <c r="N965" s="15">
        <v>413.376</v>
      </c>
      <c r="O965" s="15">
        <v>190940.0</v>
      </c>
      <c r="P965" s="15">
        <v>23070.0</v>
      </c>
      <c r="Q965" s="15">
        <v>16840.0</v>
      </c>
      <c r="R965" s="15">
        <v>7710.0</v>
      </c>
      <c r="S965" s="15">
        <v>1740.0</v>
      </c>
      <c r="T965" s="15"/>
      <c r="U965" s="15"/>
      <c r="V965" s="15"/>
      <c r="W965" s="15"/>
      <c r="X965" s="15"/>
      <c r="Y965" s="15">
        <v>-80110.0</v>
      </c>
      <c r="Z965" s="15">
        <v>-19840.0</v>
      </c>
      <c r="AA965" s="15">
        <v>-232.0</v>
      </c>
      <c r="AB965" s="15">
        <v>-3630.0</v>
      </c>
      <c r="AC965" s="15">
        <v>-831.43</v>
      </c>
      <c r="AD965" s="15">
        <v>-77170.0</v>
      </c>
      <c r="AE965" s="15">
        <v>-21060.0</v>
      </c>
      <c r="AF965" s="15">
        <v>-3540.0</v>
      </c>
      <c r="AG965" s="15">
        <v>-3630.0</v>
      </c>
      <c r="AH965" s="15">
        <v>-972.714</v>
      </c>
      <c r="AI965" s="15">
        <v>-30770.0</v>
      </c>
      <c r="AJ965" s="15">
        <v>-13770.0</v>
      </c>
      <c r="AK965" s="15">
        <v>-4440.0</v>
      </c>
      <c r="AL965" s="15">
        <v>-1390.0</v>
      </c>
      <c r="AM965" s="15">
        <v>-1220.0</v>
      </c>
      <c r="AN965" s="15">
        <v>-89840.0</v>
      </c>
      <c r="AO965" s="15">
        <v>-12140.0</v>
      </c>
      <c r="AP965" s="15">
        <v>-3540.0</v>
      </c>
      <c r="AQ965" s="15">
        <v>-3630.0</v>
      </c>
      <c r="AR965" s="15">
        <v>-972.714</v>
      </c>
      <c r="AS965" s="15">
        <v>-31800.0</v>
      </c>
      <c r="AT965" s="15">
        <v>-21830.0</v>
      </c>
      <c r="AU965" s="15">
        <v>-8410.0</v>
      </c>
      <c r="AV965" s="15">
        <v>975.176</v>
      </c>
      <c r="AW965" s="15">
        <v>-609.652</v>
      </c>
      <c r="AX965" s="15">
        <v>-5360.0</v>
      </c>
      <c r="AY965" s="15">
        <v>-744.0</v>
      </c>
      <c r="AZ965" s="15">
        <v>-563.0</v>
      </c>
      <c r="BA965" s="15">
        <v>-47.198</v>
      </c>
      <c r="BB965" s="15">
        <v>-35.689</v>
      </c>
      <c r="BC965" s="13"/>
      <c r="BD965" s="13"/>
      <c r="BE965" s="13"/>
      <c r="BF965" s="13"/>
      <c r="BG965" s="13"/>
      <c r="BH965" s="15">
        <v>60840.0</v>
      </c>
      <c r="BI965" s="15">
        <v>42520.0</v>
      </c>
      <c r="BJ965" s="15">
        <v>285.0</v>
      </c>
      <c r="BK965" s="15">
        <v>529.088</v>
      </c>
      <c r="BL965" s="15">
        <v>43.856</v>
      </c>
      <c r="BM965" s="15">
        <v>11130.0</v>
      </c>
      <c r="BN965" s="15">
        <v>9840.0</v>
      </c>
      <c r="BO965" s="15">
        <v>7460.0</v>
      </c>
      <c r="BP965" s="15">
        <v>4730.0</v>
      </c>
      <c r="BQ965" s="15">
        <v>259.619</v>
      </c>
      <c r="BR965" s="12">
        <v>36720.0</v>
      </c>
      <c r="BS965" s="12">
        <v>37150.0</v>
      </c>
      <c r="BT965" s="12">
        <v>7040.0</v>
      </c>
      <c r="BU965" s="12">
        <v>4420.0</v>
      </c>
      <c r="BV965" s="12">
        <v>196.22</v>
      </c>
      <c r="BW965" s="15">
        <v>112960.0</v>
      </c>
      <c r="BX965" s="15">
        <v>95980.0</v>
      </c>
      <c r="BY965" s="15">
        <v>16220.0</v>
      </c>
      <c r="BZ965" s="15">
        <v>10010.0</v>
      </c>
      <c r="CA965" s="15">
        <v>525.959</v>
      </c>
      <c r="CB965" s="15">
        <v>66900.0</v>
      </c>
      <c r="CC965" s="15">
        <v>57280.0</v>
      </c>
      <c r="CD965" s="15">
        <v>1900.0</v>
      </c>
      <c r="CE965" s="15">
        <v>7290.0</v>
      </c>
      <c r="CF965" s="15">
        <v>66.336</v>
      </c>
      <c r="CG965" s="15">
        <v>10280.0</v>
      </c>
      <c r="CH965" s="15">
        <v>31510.0</v>
      </c>
      <c r="CI965" s="15">
        <v>21230.0</v>
      </c>
      <c r="CJ965" s="15">
        <v>4900.0</v>
      </c>
      <c r="CK965" s="15">
        <v>389.014</v>
      </c>
      <c r="CL965" s="15">
        <v>251130.0</v>
      </c>
      <c r="CM965" s="15">
        <v>286930.0</v>
      </c>
      <c r="CN965" s="15">
        <v>67670.0</v>
      </c>
      <c r="CO965" s="15">
        <v>26730.0</v>
      </c>
      <c r="CP965" s="15">
        <v>1170.0</v>
      </c>
      <c r="CQ965" s="15">
        <v>13260.0</v>
      </c>
      <c r="CR965" s="15">
        <v>8960.0</v>
      </c>
      <c r="CS965" s="15">
        <v>4370.0</v>
      </c>
      <c r="CT965" s="15"/>
      <c r="CU965" s="15">
        <v>282.845</v>
      </c>
      <c r="CV965" s="15">
        <v>79430.0</v>
      </c>
      <c r="CW965" s="15">
        <v>5670.0</v>
      </c>
      <c r="CX965" s="13"/>
      <c r="CY965" s="13"/>
      <c r="CZ965" s="13"/>
      <c r="DA965" s="12">
        <v>110.663</v>
      </c>
      <c r="DB965" s="15">
        <v>79430.0</v>
      </c>
      <c r="DC965" s="15">
        <v>55070.0</v>
      </c>
      <c r="DD965" s="15">
        <v>10310.0</v>
      </c>
      <c r="DE965" s="15">
        <v>11440.0</v>
      </c>
      <c r="DF965" s="15">
        <v>158860.0</v>
      </c>
      <c r="DG965" s="15">
        <v>132400.0</v>
      </c>
      <c r="DH965" s="15">
        <v>14930.0</v>
      </c>
      <c r="DI965" s="15">
        <v>21850.0</v>
      </c>
      <c r="DJ965" s="15">
        <v>673.697</v>
      </c>
      <c r="DK965" s="15"/>
      <c r="DL965" s="12">
        <v>3340.0</v>
      </c>
      <c r="DM965" s="12"/>
      <c r="DN965" s="12"/>
      <c r="DO965" s="15"/>
      <c r="DP965" s="15">
        <v>64860.0</v>
      </c>
      <c r="DQ965" s="15">
        <v>15010.0</v>
      </c>
      <c r="DR965" s="12">
        <v>3820.0</v>
      </c>
      <c r="DS965" s="15">
        <v>10400.0</v>
      </c>
      <c r="DT965" s="12">
        <v>102.6</v>
      </c>
      <c r="DU965" s="13"/>
      <c r="DV965" s="12"/>
      <c r="DW965" s="12"/>
      <c r="DX965" s="15">
        <v>0.535</v>
      </c>
      <c r="DY965" s="15">
        <v>0.505</v>
      </c>
      <c r="DZ965" s="15">
        <v>92280.0</v>
      </c>
      <c r="EA965" s="15">
        <v>154540.0</v>
      </c>
      <c r="EB965" s="15">
        <v>52740.0</v>
      </c>
      <c r="EC965" s="15">
        <v>4880.0</v>
      </c>
      <c r="ED965" s="15">
        <v>495.112</v>
      </c>
      <c r="EE965" s="23">
        <v>0.056167195</v>
      </c>
      <c r="EF965" s="23">
        <v>0.10875</v>
      </c>
      <c r="EG965" s="17">
        <v>-0.273</v>
      </c>
      <c r="EH965" s="23">
        <v>-2.25575</v>
      </c>
    </row>
    <row r="966">
      <c r="A966" s="9">
        <f t="shared" si="2"/>
        <v>964</v>
      </c>
      <c r="B966" s="22" t="s">
        <v>1101</v>
      </c>
      <c r="C966" s="11">
        <v>1430000.0</v>
      </c>
      <c r="D966" s="11">
        <v>1130000.0</v>
      </c>
      <c r="E966" s="11">
        <v>788090.0</v>
      </c>
      <c r="F966" s="11">
        <v>451240.0</v>
      </c>
      <c r="G966" s="11">
        <v>161630.0</v>
      </c>
      <c r="H966" s="11">
        <v>15000.0</v>
      </c>
      <c r="I966" s="11">
        <v>19770.0</v>
      </c>
      <c r="J966" s="11">
        <v>773210.0</v>
      </c>
      <c r="K966" s="11">
        <v>446350.0</v>
      </c>
      <c r="L966" s="11">
        <v>159170.0</v>
      </c>
      <c r="M966" s="12"/>
      <c r="N966" s="12"/>
      <c r="O966" s="11">
        <v>546650.0</v>
      </c>
      <c r="P966" s="11">
        <v>409460.0</v>
      </c>
      <c r="Q966" s="11">
        <v>290530.0</v>
      </c>
      <c r="R966" s="11">
        <v>160870.0</v>
      </c>
      <c r="S966" s="11">
        <v>112960.0</v>
      </c>
      <c r="T966" s="11">
        <v>192590.0</v>
      </c>
      <c r="U966" s="11">
        <v>160520.0</v>
      </c>
      <c r="V966" s="11">
        <v>121830.0</v>
      </c>
      <c r="W966" s="11">
        <v>94290.0</v>
      </c>
      <c r="X966" s="11">
        <v>81490.0</v>
      </c>
      <c r="Y966" s="11">
        <v>59300.0</v>
      </c>
      <c r="Z966" s="12"/>
      <c r="AA966" s="12"/>
      <c r="AB966" s="12"/>
      <c r="AC966" s="12"/>
      <c r="AD966" s="11">
        <v>46540.0</v>
      </c>
      <c r="AE966" s="11">
        <v>21840.0</v>
      </c>
      <c r="AF966" s="11">
        <v>-142540.0</v>
      </c>
      <c r="AG966" s="11">
        <v>-141090.0</v>
      </c>
      <c r="AH966" s="11">
        <v>-88930.0</v>
      </c>
      <c r="AI966" s="11">
        <v>234010.0</v>
      </c>
      <c r="AJ966" s="11">
        <v>40920.0</v>
      </c>
      <c r="AK966" s="11">
        <v>-128960.0</v>
      </c>
      <c r="AL966" s="11">
        <v>-145870.0</v>
      </c>
      <c r="AM966" s="11">
        <v>-93190.0</v>
      </c>
      <c r="AN966" s="11">
        <v>37010.0</v>
      </c>
      <c r="AO966" s="11">
        <v>21110.0</v>
      </c>
      <c r="AP966" s="11">
        <v>-142540.0</v>
      </c>
      <c r="AQ966" s="11">
        <v>-141090.0</v>
      </c>
      <c r="AR966" s="11">
        <v>-88930.0</v>
      </c>
      <c r="AS966" s="11">
        <v>152050.0</v>
      </c>
      <c r="AT966" s="11">
        <v>101360.0</v>
      </c>
      <c r="AU966" s="11">
        <v>-94330.0</v>
      </c>
      <c r="AV966" s="11">
        <v>-106180.0</v>
      </c>
      <c r="AW966" s="11">
        <v>-38000.0</v>
      </c>
      <c r="AX966" s="11">
        <v>-14750.0</v>
      </c>
      <c r="AY966" s="11">
        <v>-24810.0</v>
      </c>
      <c r="AZ966" s="11">
        <v>-6940.0</v>
      </c>
      <c r="BA966" s="11">
        <v>-4110.0</v>
      </c>
      <c r="BB966" s="11">
        <v>-1930.0</v>
      </c>
      <c r="BC966" s="12"/>
      <c r="BD966" s="12"/>
      <c r="BE966" s="12"/>
      <c r="BF966" s="12"/>
      <c r="BG966" s="12"/>
      <c r="BH966" s="11">
        <v>670520.0</v>
      </c>
      <c r="BI966" s="11">
        <v>650910.0</v>
      </c>
      <c r="BJ966" s="11">
        <v>515930.0</v>
      </c>
      <c r="BK966" s="11">
        <v>307350.0</v>
      </c>
      <c r="BL966" s="11">
        <v>379190.0</v>
      </c>
      <c r="BM966" s="11">
        <v>126580.0</v>
      </c>
      <c r="BN966" s="11">
        <v>56240.0</v>
      </c>
      <c r="BO966" s="11">
        <v>31130.0</v>
      </c>
      <c r="BP966" s="12"/>
      <c r="BQ966" s="12"/>
      <c r="BR966" s="11">
        <v>17290.0</v>
      </c>
      <c r="BS966" s="11">
        <v>10860.0</v>
      </c>
      <c r="BT966" s="12"/>
      <c r="BU966" s="12"/>
      <c r="BV966" s="12"/>
      <c r="BW966" s="11">
        <v>831030.0</v>
      </c>
      <c r="BX966" s="11">
        <v>737780.0</v>
      </c>
      <c r="BY966" s="11">
        <v>554920.0</v>
      </c>
      <c r="BZ966" s="11">
        <v>310440.0</v>
      </c>
      <c r="CA966" s="11">
        <v>384070.0</v>
      </c>
      <c r="CB966" s="11">
        <v>116280.0</v>
      </c>
      <c r="CC966" s="11">
        <v>33870.0</v>
      </c>
      <c r="CD966" s="11">
        <v>10810.0</v>
      </c>
      <c r="CE966" s="11">
        <v>6270.0</v>
      </c>
      <c r="CF966" s="11">
        <v>3430.0</v>
      </c>
      <c r="CG966" s="12"/>
      <c r="CH966" s="12"/>
      <c r="CI966" s="12"/>
      <c r="CJ966" s="12"/>
      <c r="CK966" s="12"/>
      <c r="CL966" s="11">
        <v>1310000.0</v>
      </c>
      <c r="CM966" s="11">
        <v>993150.0</v>
      </c>
      <c r="CN966" s="11">
        <v>817590.0</v>
      </c>
      <c r="CO966" s="11">
        <v>365090.0</v>
      </c>
      <c r="CP966" s="11">
        <v>474790.0</v>
      </c>
      <c r="CQ966" s="11">
        <v>46210.0</v>
      </c>
      <c r="CR966" s="11">
        <v>13800.0</v>
      </c>
      <c r="CS966" s="11">
        <v>5650.0</v>
      </c>
      <c r="CT966" s="11">
        <v>5090.0</v>
      </c>
      <c r="CU966" s="11">
        <v>2560.0</v>
      </c>
      <c r="CV966" s="11">
        <v>565290.0</v>
      </c>
      <c r="CW966" s="11">
        <v>8280.0</v>
      </c>
      <c r="CX966" s="12"/>
      <c r="CY966" s="12"/>
      <c r="CZ966" s="12"/>
      <c r="DA966" s="12"/>
      <c r="DB966" s="11">
        <v>565290.0</v>
      </c>
      <c r="DC966" s="11">
        <v>88230.0</v>
      </c>
      <c r="DD966" s="11">
        <v>54430.0</v>
      </c>
      <c r="DE966" s="11">
        <v>30410.0</v>
      </c>
      <c r="DF966" s="11">
        <v>669120.0</v>
      </c>
      <c r="DG966" s="11">
        <v>512390.0</v>
      </c>
      <c r="DH966" s="11">
        <v>445450.0</v>
      </c>
      <c r="DI966" s="11">
        <v>50210.0</v>
      </c>
      <c r="DJ966" s="11">
        <v>50330.0</v>
      </c>
      <c r="DK966" s="11">
        <v>358730.0</v>
      </c>
      <c r="DL966" s="11">
        <v>221510.0</v>
      </c>
      <c r="DM966" s="11">
        <v>251860.0</v>
      </c>
      <c r="DN966" s="11">
        <v>48370.0</v>
      </c>
      <c r="DO966" s="11">
        <v>87280.0</v>
      </c>
      <c r="DP966" s="11">
        <v>86760.0</v>
      </c>
      <c r="DQ966" s="11">
        <v>388500.0</v>
      </c>
      <c r="DR966" s="11">
        <v>369620.0</v>
      </c>
      <c r="DS966" s="12"/>
      <c r="DT966" s="12"/>
      <c r="DU966" s="13"/>
      <c r="DV966" s="12"/>
      <c r="DW966" s="12"/>
      <c r="DX966" s="13"/>
      <c r="DY966" s="13"/>
      <c r="DZ966" s="11">
        <v>636920.0</v>
      </c>
      <c r="EA966" s="11">
        <v>480770.0</v>
      </c>
      <c r="EB966" s="11">
        <v>372140.0</v>
      </c>
      <c r="EC966" s="11">
        <v>314880.0</v>
      </c>
      <c r="ED966" s="11">
        <v>424450.0</v>
      </c>
      <c r="EE966" s="14">
        <v>0.159</v>
      </c>
      <c r="EF966" s="14">
        <v>0.266</v>
      </c>
      <c r="EG966" s="14">
        <v>0.11</v>
      </c>
      <c r="EH966" s="14">
        <v>-0.207</v>
      </c>
    </row>
    <row r="967">
      <c r="A967" s="9">
        <f t="shared" si="2"/>
        <v>965</v>
      </c>
      <c r="B967" s="10" t="s">
        <v>1102</v>
      </c>
      <c r="C967" s="12"/>
      <c r="D967" s="12"/>
      <c r="E967" s="15">
        <v>140990.0</v>
      </c>
      <c r="F967" s="15">
        <v>135380.0</v>
      </c>
      <c r="G967" s="15">
        <v>104780.0</v>
      </c>
      <c r="H967" s="15">
        <v>111080.0</v>
      </c>
      <c r="I967" s="15">
        <v>915860.0</v>
      </c>
      <c r="J967" s="15">
        <v>28510.0</v>
      </c>
      <c r="K967" s="15">
        <v>26930.0</v>
      </c>
      <c r="L967" s="15">
        <v>14640.0</v>
      </c>
      <c r="M967" s="15">
        <v>9570.0</v>
      </c>
      <c r="N967" s="15">
        <v>175250.0</v>
      </c>
      <c r="O967" s="15">
        <v>53780.0</v>
      </c>
      <c r="P967" s="15">
        <v>49190.0</v>
      </c>
      <c r="Q967" s="15">
        <v>47490.0</v>
      </c>
      <c r="R967" s="15">
        <v>48860.0</v>
      </c>
      <c r="S967" s="15">
        <v>192230.0</v>
      </c>
      <c r="T967" s="15">
        <v>0.0</v>
      </c>
      <c r="U967" s="15">
        <v>0.0</v>
      </c>
      <c r="V967" s="15">
        <v>0.0</v>
      </c>
      <c r="W967" s="15">
        <v>0.0</v>
      </c>
      <c r="X967" s="15">
        <v>9600.0</v>
      </c>
      <c r="Y967" s="15">
        <v>0.0</v>
      </c>
      <c r="Z967" s="15">
        <v>0.0</v>
      </c>
      <c r="AA967" s="15">
        <v>-33840.0</v>
      </c>
      <c r="AB967" s="15">
        <v>-17440.0</v>
      </c>
      <c r="AC967" s="15">
        <v>-19280.0</v>
      </c>
      <c r="AD967" s="15">
        <v>43400.0</v>
      </c>
      <c r="AE967" s="15">
        <v>42160.0</v>
      </c>
      <c r="AF967" s="15">
        <v>29100.0</v>
      </c>
      <c r="AG967" s="15">
        <v>-6690.0</v>
      </c>
      <c r="AH967" s="15">
        <v>24800.0</v>
      </c>
      <c r="AI967" s="15">
        <v>-9030.0</v>
      </c>
      <c r="AJ967" s="15">
        <v>-7580.0</v>
      </c>
      <c r="AK967" s="15">
        <v>-20090.0</v>
      </c>
      <c r="AL967" s="15">
        <v>-26250.0</v>
      </c>
      <c r="AM967" s="15">
        <v>5200.0</v>
      </c>
      <c r="AN967" s="15">
        <v>39630.0</v>
      </c>
      <c r="AO967" s="15">
        <v>34790.0</v>
      </c>
      <c r="AP967" s="15">
        <v>28460.0</v>
      </c>
      <c r="AQ967" s="15">
        <v>2960.0</v>
      </c>
      <c r="AR967" s="15">
        <v>21980.0</v>
      </c>
      <c r="AS967" s="15">
        <v>52780.0</v>
      </c>
      <c r="AT967" s="15">
        <v>54620.0</v>
      </c>
      <c r="AU967" s="15">
        <v>41310.0</v>
      </c>
      <c r="AV967" s="15">
        <v>93940.0</v>
      </c>
      <c r="AW967" s="15">
        <v>108000.0</v>
      </c>
      <c r="AX967" s="15">
        <v>-24660.0</v>
      </c>
      <c r="AY967" s="15">
        <v>-20930.0</v>
      </c>
      <c r="AZ967" s="15">
        <v>-15700.0</v>
      </c>
      <c r="BA967" s="15">
        <v>-10170.0</v>
      </c>
      <c r="BB967" s="15">
        <v>-10620.0</v>
      </c>
      <c r="BC967" s="15">
        <v>-5130.0</v>
      </c>
      <c r="BD967" s="15">
        <v>-4580.0</v>
      </c>
      <c r="BE967" s="15">
        <v>-6680.0</v>
      </c>
      <c r="BF967" s="15">
        <v>-7260.0</v>
      </c>
      <c r="BG967" s="15">
        <v>-7300.0</v>
      </c>
      <c r="BH967" s="15">
        <v>122890.0</v>
      </c>
      <c r="BI967" s="15">
        <v>85260.0</v>
      </c>
      <c r="BJ967" s="15">
        <v>101600.0</v>
      </c>
      <c r="BK967" s="15">
        <v>69310.0</v>
      </c>
      <c r="BL967" s="15">
        <v>52500.0</v>
      </c>
      <c r="BM967" s="15">
        <v>21860.0</v>
      </c>
      <c r="BN967" s="15">
        <v>28820.0</v>
      </c>
      <c r="BO967" s="15">
        <v>37390.0</v>
      </c>
      <c r="BP967" s="15">
        <v>20790.0</v>
      </c>
      <c r="BQ967" s="15">
        <v>114110.0</v>
      </c>
      <c r="BR967" s="15">
        <v>40470.0</v>
      </c>
      <c r="BS967" s="15">
        <v>31210.0</v>
      </c>
      <c r="BT967" s="15">
        <v>30020.0</v>
      </c>
      <c r="BU967" s="15">
        <v>28930.0</v>
      </c>
      <c r="BV967" s="15">
        <v>165020.0</v>
      </c>
      <c r="BW967" s="15">
        <v>200670.0</v>
      </c>
      <c r="BX967" s="15">
        <v>164170.0</v>
      </c>
      <c r="BY967" s="15">
        <v>176990.0</v>
      </c>
      <c r="BZ967" s="15">
        <v>381730.0</v>
      </c>
      <c r="CA967" s="15">
        <v>361430.0</v>
      </c>
      <c r="CB967" s="15">
        <v>149460.0</v>
      </c>
      <c r="CC967" s="15">
        <v>124550.0</v>
      </c>
      <c r="CD967" s="15">
        <v>120070.0</v>
      </c>
      <c r="CE967" s="15">
        <v>115110.0</v>
      </c>
      <c r="CF967" s="15">
        <v>132540.0</v>
      </c>
      <c r="CG967" s="15">
        <v>0.0</v>
      </c>
      <c r="CH967" s="15">
        <v>0.0</v>
      </c>
      <c r="CI967" s="15">
        <v>0.0</v>
      </c>
      <c r="CJ967" s="15">
        <v>0.0</v>
      </c>
      <c r="CK967" s="15">
        <v>6250.0</v>
      </c>
      <c r="CL967" s="15">
        <v>505240.0</v>
      </c>
      <c r="CM967" s="15">
        <v>376990.0</v>
      </c>
      <c r="CN967" s="15">
        <v>419220.0</v>
      </c>
      <c r="CO967" s="15">
        <v>711520.0</v>
      </c>
      <c r="CP967" s="15">
        <v>701990.0</v>
      </c>
      <c r="CQ967" s="15">
        <v>9950.0</v>
      </c>
      <c r="CR967" s="15">
        <v>9400.0</v>
      </c>
      <c r="CS967" s="15">
        <v>9500.0</v>
      </c>
      <c r="CT967" s="15">
        <v>10560.0</v>
      </c>
      <c r="CU967" s="15">
        <v>100300.0</v>
      </c>
      <c r="CV967" s="15">
        <v>61970.0</v>
      </c>
      <c r="CW967" s="15">
        <v>8320.0</v>
      </c>
      <c r="CX967" s="15">
        <v>4000.0</v>
      </c>
      <c r="CY967" s="15">
        <v>15000.0</v>
      </c>
      <c r="CZ967" s="16">
        <v>0.0</v>
      </c>
      <c r="DA967" s="15">
        <v>0.0</v>
      </c>
      <c r="DB967" s="15">
        <v>61970.0</v>
      </c>
      <c r="DC967" s="15">
        <v>42250.0</v>
      </c>
      <c r="DD967" s="15">
        <v>53980.0</v>
      </c>
      <c r="DE967" s="15">
        <v>221830.0</v>
      </c>
      <c r="DF967" s="15">
        <v>215850.0</v>
      </c>
      <c r="DG967" s="15">
        <v>126290.0</v>
      </c>
      <c r="DH967" s="15">
        <v>199770.0</v>
      </c>
      <c r="DI967" s="15">
        <v>491220.0</v>
      </c>
      <c r="DJ967" s="15">
        <v>500860.0</v>
      </c>
      <c r="DK967" s="15">
        <v>24610.0</v>
      </c>
      <c r="DL967" s="15">
        <v>20090.0</v>
      </c>
      <c r="DM967" s="15">
        <v>16340.0</v>
      </c>
      <c r="DN967" s="15">
        <v>31050.0</v>
      </c>
      <c r="DO967" s="15">
        <v>24600.0</v>
      </c>
      <c r="DP967" s="15">
        <v>29600.0</v>
      </c>
      <c r="DQ967" s="15">
        <v>6370.0</v>
      </c>
      <c r="DR967" s="15">
        <v>42020.0</v>
      </c>
      <c r="DS967" s="15">
        <v>94300.0</v>
      </c>
      <c r="DT967" s="15">
        <v>160110.0</v>
      </c>
      <c r="DU967" s="16">
        <v>0.0</v>
      </c>
      <c r="DV967" s="15">
        <v>0.0</v>
      </c>
      <c r="DW967" s="15">
        <v>0.0</v>
      </c>
      <c r="DX967" s="15">
        <v>0.0</v>
      </c>
      <c r="DY967" s="15">
        <v>0.0</v>
      </c>
      <c r="DZ967" s="15">
        <v>289390.0</v>
      </c>
      <c r="EA967" s="15">
        <v>250700.0</v>
      </c>
      <c r="EB967" s="15">
        <v>219450.0</v>
      </c>
      <c r="EC967" s="15">
        <v>220290.0</v>
      </c>
      <c r="ED967" s="15">
        <v>201140.0</v>
      </c>
      <c r="EE967" s="23"/>
      <c r="EF967" s="23"/>
      <c r="EG967" s="23" t="s">
        <v>155</v>
      </c>
      <c r="EH967" s="23"/>
    </row>
    <row r="968">
      <c r="A968" s="9">
        <f t="shared" si="2"/>
        <v>966</v>
      </c>
      <c r="B968" s="10" t="s">
        <v>1103</v>
      </c>
      <c r="C968" s="15">
        <v>4280000.0</v>
      </c>
      <c r="D968" s="15">
        <v>1790000.0</v>
      </c>
      <c r="E968" s="15">
        <v>6460000.0</v>
      </c>
      <c r="F968" s="15">
        <v>6060000.0</v>
      </c>
      <c r="G968" s="15">
        <v>5400000.0</v>
      </c>
      <c r="H968" s="15">
        <v>4870000.0</v>
      </c>
      <c r="I968" s="15">
        <v>4350000.0</v>
      </c>
      <c r="J968" s="15">
        <v>2140000.0</v>
      </c>
      <c r="K968" s="15">
        <v>2090000.0</v>
      </c>
      <c r="L968" s="15">
        <v>1790000.0</v>
      </c>
      <c r="M968" s="15">
        <v>1500000.0</v>
      </c>
      <c r="N968" s="15">
        <v>1180000.0</v>
      </c>
      <c r="O968" s="15">
        <v>974850.0</v>
      </c>
      <c r="P968" s="15">
        <v>897930.0</v>
      </c>
      <c r="Q968" s="15">
        <v>773760.0</v>
      </c>
      <c r="R968" s="15">
        <v>666160.0</v>
      </c>
      <c r="S968" s="15">
        <v>583400.0</v>
      </c>
      <c r="T968" s="15">
        <v>0.0</v>
      </c>
      <c r="U968" s="15">
        <v>0.0</v>
      </c>
      <c r="V968" s="15">
        <v>0.0</v>
      </c>
      <c r="W968" s="15">
        <v>0.0</v>
      </c>
      <c r="X968" s="15">
        <v>0.0</v>
      </c>
      <c r="Y968" s="15">
        <v>1150000.0</v>
      </c>
      <c r="Z968" s="15">
        <v>0.0</v>
      </c>
      <c r="AA968" s="15">
        <v>1010000.0</v>
      </c>
      <c r="AB968" s="15">
        <v>827230.0</v>
      </c>
      <c r="AC968" s="15">
        <v>578690.0</v>
      </c>
      <c r="AD968" s="15">
        <v>911370.0</v>
      </c>
      <c r="AE968" s="15">
        <v>969310.0</v>
      </c>
      <c r="AF968" s="15">
        <v>770610.0</v>
      </c>
      <c r="AG968" s="15">
        <v>640300.0</v>
      </c>
      <c r="AH968" s="15">
        <v>433910.0</v>
      </c>
      <c r="AI968" s="15">
        <v>1810000.0</v>
      </c>
      <c r="AJ968" s="15">
        <v>1750000.0</v>
      </c>
      <c r="AK968" s="15">
        <v>1540000.0</v>
      </c>
      <c r="AL968" s="15">
        <v>1290000.0</v>
      </c>
      <c r="AM968" s="15">
        <v>1050000.0</v>
      </c>
      <c r="AN968" s="15">
        <v>930230.0</v>
      </c>
      <c r="AO968" s="15">
        <v>954840.0</v>
      </c>
      <c r="AP968" s="15">
        <v>759870.0</v>
      </c>
      <c r="AQ968" s="15">
        <v>633090.0</v>
      </c>
      <c r="AR968" s="15">
        <v>427140.0</v>
      </c>
      <c r="AS968" s="15">
        <v>1820000.0</v>
      </c>
      <c r="AT968" s="15">
        <v>2080000.0</v>
      </c>
      <c r="AU968" s="15">
        <v>1590000.0</v>
      </c>
      <c r="AV968" s="15">
        <v>1240000.0</v>
      </c>
      <c r="AW968" s="15">
        <v>1040000.0</v>
      </c>
      <c r="AX968" s="15">
        <v>-1640000.0</v>
      </c>
      <c r="AY968" s="15">
        <v>-1570000.0</v>
      </c>
      <c r="AZ968" s="15">
        <v>-1370000.0</v>
      </c>
      <c r="BA968" s="15">
        <v>-1090000.0</v>
      </c>
      <c r="BB968" s="15">
        <v>-1120000.0</v>
      </c>
      <c r="BC968" s="16">
        <v>0.0</v>
      </c>
      <c r="BD968" s="16">
        <v>0.0</v>
      </c>
      <c r="BE968" s="16">
        <v>0.0</v>
      </c>
      <c r="BF968" s="16">
        <v>0.0</v>
      </c>
      <c r="BG968" s="16">
        <v>0.0</v>
      </c>
      <c r="BH968" s="15">
        <v>252880.0</v>
      </c>
      <c r="BI968" s="15">
        <v>163850.0</v>
      </c>
      <c r="BJ968" s="15">
        <v>176190.0</v>
      </c>
      <c r="BK968" s="15">
        <v>128350.0</v>
      </c>
      <c r="BL968" s="15">
        <v>115940.0</v>
      </c>
      <c r="BM968" s="15">
        <v>75110.0</v>
      </c>
      <c r="BN968" s="15">
        <v>55250.0</v>
      </c>
      <c r="BO968" s="15">
        <v>43960.0</v>
      </c>
      <c r="BP968" s="15">
        <v>63220.0</v>
      </c>
      <c r="BQ968" s="15">
        <v>45000.0</v>
      </c>
      <c r="BR968" s="15">
        <v>95430.0</v>
      </c>
      <c r="BS968" s="15">
        <v>90200.0</v>
      </c>
      <c r="BT968" s="15">
        <v>82120.0</v>
      </c>
      <c r="BU968" s="15">
        <v>66260.0</v>
      </c>
      <c r="BV968" s="15">
        <v>58170.0</v>
      </c>
      <c r="BW968" s="15">
        <v>536950.0</v>
      </c>
      <c r="BX968" s="15">
        <v>401510.0</v>
      </c>
      <c r="BY968" s="15">
        <v>518340.0</v>
      </c>
      <c r="BZ968" s="15">
        <v>411090.0</v>
      </c>
      <c r="CA968" s="15">
        <v>340410.0</v>
      </c>
      <c r="CB968" s="15">
        <v>1.337E7</v>
      </c>
      <c r="CC968" s="15">
        <v>1.212E7</v>
      </c>
      <c r="CD968" s="15">
        <v>1.104E7</v>
      </c>
      <c r="CE968" s="15">
        <v>1.012E7</v>
      </c>
      <c r="CF968" s="15">
        <v>9460000.0</v>
      </c>
      <c r="CG968" s="15">
        <v>1390000.0</v>
      </c>
      <c r="CH968" s="15">
        <v>1390000.0</v>
      </c>
      <c r="CI968" s="15">
        <v>1390000.0</v>
      </c>
      <c r="CJ968" s="15">
        <v>1390000.0</v>
      </c>
      <c r="CK968" s="15">
        <v>1390000.0</v>
      </c>
      <c r="CL968" s="15">
        <v>1.668E7</v>
      </c>
      <c r="CM968" s="15">
        <v>1.521E7</v>
      </c>
      <c r="CN968" s="15">
        <v>1.409E7</v>
      </c>
      <c r="CO968" s="15">
        <v>1.297E7</v>
      </c>
      <c r="CP968" s="15">
        <v>1.226E7</v>
      </c>
      <c r="CQ968" s="15">
        <v>100780.0</v>
      </c>
      <c r="CR968" s="15">
        <v>159560.0</v>
      </c>
      <c r="CS968" s="15">
        <v>53430.0</v>
      </c>
      <c r="CT968" s="15">
        <v>38000.0</v>
      </c>
      <c r="CU968" s="15">
        <v>51370.0</v>
      </c>
      <c r="CV968" s="15">
        <v>3580000.0</v>
      </c>
      <c r="CW968" s="15">
        <v>39130.0</v>
      </c>
      <c r="CX968" s="16">
        <v>0.0</v>
      </c>
      <c r="CY968" s="15">
        <v>0.0</v>
      </c>
      <c r="CZ968" s="15">
        <v>0.0</v>
      </c>
      <c r="DA968" s="15">
        <v>0.0</v>
      </c>
      <c r="DB968" s="15">
        <v>3580000.0</v>
      </c>
      <c r="DC968" s="15">
        <v>3150000.0</v>
      </c>
      <c r="DD968" s="15">
        <v>2490000.0</v>
      </c>
      <c r="DE968" s="15">
        <v>2310000.0</v>
      </c>
      <c r="DF968" s="15">
        <v>1.017E7</v>
      </c>
      <c r="DG968" s="15">
        <v>9240000.0</v>
      </c>
      <c r="DH968" s="15">
        <v>8350000.0</v>
      </c>
      <c r="DI968" s="15">
        <v>8440000.0</v>
      </c>
      <c r="DJ968" s="15">
        <v>8480000.0</v>
      </c>
      <c r="DK968" s="15">
        <v>0.0</v>
      </c>
      <c r="DL968" s="15">
        <v>0.0</v>
      </c>
      <c r="DM968" s="15">
        <v>0.0</v>
      </c>
      <c r="DN968" s="15">
        <v>0.0</v>
      </c>
      <c r="DO968" s="15">
        <v>0.0</v>
      </c>
      <c r="DP968" s="15">
        <v>8190000.0</v>
      </c>
      <c r="DQ968" s="15">
        <v>7460000.0</v>
      </c>
      <c r="DR968" s="15">
        <v>8980000.0</v>
      </c>
      <c r="DS968" s="15">
        <v>8790000.0</v>
      </c>
      <c r="DT968" s="15">
        <v>6340000.0</v>
      </c>
      <c r="DU968" s="16">
        <v>0.0</v>
      </c>
      <c r="DV968" s="15">
        <v>0.0</v>
      </c>
      <c r="DW968" s="15">
        <v>0.0</v>
      </c>
      <c r="DX968" s="15">
        <v>0.0</v>
      </c>
      <c r="DY968" s="16">
        <v>0.0</v>
      </c>
      <c r="DZ968" s="15">
        <v>6520000.0</v>
      </c>
      <c r="EA968" s="15">
        <v>5960000.0</v>
      </c>
      <c r="EB968" s="15">
        <v>5750000.0</v>
      </c>
      <c r="EC968" s="15">
        <v>4540000.0</v>
      </c>
      <c r="ED968" s="15">
        <v>3780000.0</v>
      </c>
      <c r="EE968" s="17">
        <v>0.631</v>
      </c>
      <c r="EF968" s="17">
        <v>0.836</v>
      </c>
      <c r="EG968" s="17">
        <v>-0.98</v>
      </c>
      <c r="EH968" s="17">
        <v>-0.218</v>
      </c>
    </row>
    <row r="969">
      <c r="A969" s="9">
        <f t="shared" si="2"/>
        <v>967</v>
      </c>
      <c r="B969" s="22" t="s">
        <v>1104</v>
      </c>
      <c r="C969" s="12"/>
      <c r="D969" s="12"/>
      <c r="E969" s="12"/>
      <c r="F969" s="12"/>
      <c r="G969" s="12"/>
      <c r="H969" s="12"/>
      <c r="I969" s="12"/>
      <c r="J969" s="11">
        <v>-916.0</v>
      </c>
      <c r="K969" s="11">
        <v>-495.0</v>
      </c>
      <c r="L969" s="11">
        <v>-250.0</v>
      </c>
      <c r="M969" s="11">
        <v>-136.0</v>
      </c>
      <c r="N969" s="11">
        <v>-67.0</v>
      </c>
      <c r="O969" s="11">
        <v>31820.0</v>
      </c>
      <c r="P969" s="11">
        <v>28880.0</v>
      </c>
      <c r="Q969" s="11">
        <v>28400.0</v>
      </c>
      <c r="R969" s="11">
        <v>12040.0</v>
      </c>
      <c r="S969" s="11">
        <v>10470.0</v>
      </c>
      <c r="T969" s="11">
        <v>25170.0</v>
      </c>
      <c r="U969" s="11">
        <v>22460.0</v>
      </c>
      <c r="V969" s="11">
        <v>22760.0</v>
      </c>
      <c r="W969" s="11">
        <v>10640.0</v>
      </c>
      <c r="X969" s="11">
        <v>8630.0</v>
      </c>
      <c r="Y969" s="12"/>
      <c r="Z969" s="12"/>
      <c r="AA969" s="11">
        <v>-30960.0</v>
      </c>
      <c r="AB969" s="12"/>
      <c r="AC969" s="12"/>
      <c r="AD969" s="11">
        <v>-32720.0</v>
      </c>
      <c r="AE969" s="11">
        <v>-24090.0</v>
      </c>
      <c r="AF969" s="11">
        <v>-32820.0</v>
      </c>
      <c r="AG969" s="11">
        <v>-10990.0</v>
      </c>
      <c r="AH969" s="11">
        <v>-9930.0</v>
      </c>
      <c r="AI969" s="11">
        <v>-31820.0</v>
      </c>
      <c r="AJ969" s="11">
        <v>-28880.0</v>
      </c>
      <c r="AK969" s="11">
        <v>-28400.0</v>
      </c>
      <c r="AL969" s="11">
        <v>-12040.0</v>
      </c>
      <c r="AM969" s="11">
        <v>-10470.0</v>
      </c>
      <c r="AN969" s="11">
        <v>-27320.0</v>
      </c>
      <c r="AO969" s="11">
        <v>-18450.0</v>
      </c>
      <c r="AP969" s="11">
        <v>-29730.0</v>
      </c>
      <c r="AQ969" s="11">
        <v>-8140.0</v>
      </c>
      <c r="AR969" s="11">
        <v>-8130.0</v>
      </c>
      <c r="AS969" s="11">
        <v>-28980.0</v>
      </c>
      <c r="AT969" s="11">
        <v>-15000.0</v>
      </c>
      <c r="AU969" s="11">
        <v>-11010.0</v>
      </c>
      <c r="AV969" s="11">
        <v>-11920.0</v>
      </c>
      <c r="AW969" s="11">
        <v>-6370.0</v>
      </c>
      <c r="AX969" s="11">
        <v>-1610.0</v>
      </c>
      <c r="AY969" s="11">
        <v>-2170.0</v>
      </c>
      <c r="AZ969" s="11">
        <v>-1410.0</v>
      </c>
      <c r="BA969" s="11">
        <v>-746.0</v>
      </c>
      <c r="BB969" s="11">
        <v>-604.0</v>
      </c>
      <c r="BC969" s="12"/>
      <c r="BD969" s="12"/>
      <c r="BE969" s="12"/>
      <c r="BF969" s="12"/>
      <c r="BG969" s="12"/>
      <c r="BH969" s="11">
        <v>68840.0</v>
      </c>
      <c r="BI969" s="11">
        <v>98030.0</v>
      </c>
      <c r="BJ969" s="11">
        <v>117290.0</v>
      </c>
      <c r="BK969" s="11">
        <v>24700.0</v>
      </c>
      <c r="BL969" s="11">
        <v>43020.0</v>
      </c>
      <c r="BM969" s="11">
        <v>12020.0</v>
      </c>
      <c r="BN969" s="11">
        <v>6130.0</v>
      </c>
      <c r="BO969" s="11">
        <v>6460.0</v>
      </c>
      <c r="BP969" s="11">
        <v>3220.0</v>
      </c>
      <c r="BQ969" s="11">
        <v>2220.0</v>
      </c>
      <c r="BR969" s="12"/>
      <c r="BS969" s="12"/>
      <c r="BT969" s="12"/>
      <c r="BU969" s="12"/>
      <c r="BV969" s="12"/>
      <c r="BW969" s="11">
        <v>86310.0</v>
      </c>
      <c r="BX969" s="11">
        <v>106460.0</v>
      </c>
      <c r="BY969" s="11">
        <v>127130.0</v>
      </c>
      <c r="BZ969" s="11">
        <v>31900.0</v>
      </c>
      <c r="CA969" s="11">
        <v>45310.0</v>
      </c>
      <c r="CB969" s="11">
        <v>1470.0</v>
      </c>
      <c r="CC969" s="11">
        <v>544.0</v>
      </c>
      <c r="CD969" s="11">
        <v>484.0</v>
      </c>
      <c r="CE969" s="11">
        <v>22.0</v>
      </c>
      <c r="CF969" s="11">
        <v>21.0</v>
      </c>
      <c r="CG969" s="12"/>
      <c r="CH969" s="12"/>
      <c r="CI969" s="12"/>
      <c r="CJ969" s="12"/>
      <c r="CK969" s="12"/>
      <c r="CL969" s="11">
        <v>93090.0</v>
      </c>
      <c r="CM969" s="11">
        <v>111040.0</v>
      </c>
      <c r="CN969" s="11">
        <v>130340.0</v>
      </c>
      <c r="CO969" s="11">
        <v>33630.0</v>
      </c>
      <c r="CP969" s="11">
        <v>46700.0</v>
      </c>
      <c r="CQ969" s="12"/>
      <c r="CR969" s="12"/>
      <c r="CS969" s="12"/>
      <c r="CT969" s="12"/>
      <c r="CU969" s="12"/>
      <c r="CV969" s="11">
        <v>8190.0</v>
      </c>
      <c r="CW969" s="12"/>
      <c r="CX969" s="12"/>
      <c r="CY969" s="12"/>
      <c r="CZ969" s="12"/>
      <c r="DA969" s="12"/>
      <c r="DB969" s="11">
        <v>8190.0</v>
      </c>
      <c r="DC969" s="11">
        <v>7090.0</v>
      </c>
      <c r="DD969" s="11">
        <v>3950.0</v>
      </c>
      <c r="DE969" s="11">
        <v>2440.0</v>
      </c>
      <c r="DF969" s="11">
        <v>8940.0</v>
      </c>
      <c r="DG969" s="11">
        <v>7120.0</v>
      </c>
      <c r="DH969" s="11">
        <v>3970.0</v>
      </c>
      <c r="DI969" s="11">
        <v>2440.0</v>
      </c>
      <c r="DJ969" s="11">
        <v>2540.0</v>
      </c>
      <c r="DK969" s="12"/>
      <c r="DL969" s="12"/>
      <c r="DM969" s="12"/>
      <c r="DN969" s="12"/>
      <c r="DO969" s="12"/>
      <c r="DP969" s="11">
        <v>713.0</v>
      </c>
      <c r="DQ969" s="12"/>
      <c r="DR969" s="12"/>
      <c r="DS969" s="12"/>
      <c r="DT969" s="12"/>
      <c r="DU969" s="13"/>
      <c r="DV969" s="12"/>
      <c r="DW969" s="12"/>
      <c r="DX969" s="13"/>
      <c r="DY969" s="13"/>
      <c r="DZ969" s="11">
        <v>84150.0</v>
      </c>
      <c r="EA969" s="11">
        <v>103920.0</v>
      </c>
      <c r="EB969" s="11">
        <v>126370.0</v>
      </c>
      <c r="EC969" s="11">
        <v>31190.0</v>
      </c>
      <c r="ED969" s="11">
        <v>44160.0</v>
      </c>
      <c r="EE969" s="23"/>
      <c r="EF969" s="23"/>
      <c r="EG969" s="14">
        <v>-0.046</v>
      </c>
      <c r="EH969" s="14">
        <v>0.072</v>
      </c>
    </row>
    <row r="970">
      <c r="A970" s="9">
        <f t="shared" si="2"/>
        <v>968</v>
      </c>
      <c r="B970" s="10" t="s">
        <v>1105</v>
      </c>
      <c r="C970" s="15">
        <v>442390.0</v>
      </c>
      <c r="D970" s="15">
        <v>379900.0</v>
      </c>
      <c r="E970" s="15">
        <v>462410.0</v>
      </c>
      <c r="F970" s="15">
        <v>457840.0</v>
      </c>
      <c r="G970" s="15">
        <v>456490.0</v>
      </c>
      <c r="H970" s="15">
        <v>487470.0</v>
      </c>
      <c r="I970" s="15">
        <v>455450.0</v>
      </c>
      <c r="J970" s="15">
        <v>57030.0</v>
      </c>
      <c r="K970" s="15">
        <v>49530.0</v>
      </c>
      <c r="L970" s="15">
        <v>44280.0</v>
      </c>
      <c r="M970" s="15">
        <v>38570.0</v>
      </c>
      <c r="N970" s="15">
        <v>50200.0</v>
      </c>
      <c r="O970" s="15">
        <v>43450.0</v>
      </c>
      <c r="P970" s="15">
        <v>42390.0</v>
      </c>
      <c r="Q970" s="15">
        <v>39750.0</v>
      </c>
      <c r="R970" s="15">
        <v>53090.0</v>
      </c>
      <c r="S970" s="15">
        <v>41650.0</v>
      </c>
      <c r="T970" s="15"/>
      <c r="U970" s="15"/>
      <c r="V970" s="15"/>
      <c r="W970" s="15"/>
      <c r="X970" s="15"/>
      <c r="Y970" s="15">
        <v>6680.0</v>
      </c>
      <c r="Z970" s="15">
        <v>-2790.0</v>
      </c>
      <c r="AA970" s="15">
        <v>-31680.0</v>
      </c>
      <c r="AB970" s="15">
        <v>-63590.0</v>
      </c>
      <c r="AC970" s="15">
        <v>-19960.0</v>
      </c>
      <c r="AD970" s="15">
        <v>1750.0</v>
      </c>
      <c r="AE970" s="15">
        <v>-8690.0</v>
      </c>
      <c r="AF970" s="15">
        <v>-37690.0</v>
      </c>
      <c r="AG970" s="15">
        <v>-70440.0</v>
      </c>
      <c r="AH970" s="15">
        <v>-22500.0</v>
      </c>
      <c r="AI970" s="15">
        <v>35670.0</v>
      </c>
      <c r="AJ970" s="15">
        <v>30010.0</v>
      </c>
      <c r="AK970" s="15">
        <v>29140.0</v>
      </c>
      <c r="AL970" s="15">
        <v>13620.0</v>
      </c>
      <c r="AM970" s="15">
        <v>36350.0</v>
      </c>
      <c r="AN970" s="15">
        <v>1650.0</v>
      </c>
      <c r="AO970" s="15">
        <v>-8440.0</v>
      </c>
      <c r="AP970" s="15">
        <v>-37480.0</v>
      </c>
      <c r="AQ970" s="15">
        <v>-71680.0</v>
      </c>
      <c r="AR970" s="15">
        <v>-13770.0</v>
      </c>
      <c r="AS970" s="15">
        <v>30060.0</v>
      </c>
      <c r="AT970" s="15">
        <v>5350.0</v>
      </c>
      <c r="AU970" s="15">
        <v>4100.0</v>
      </c>
      <c r="AV970" s="15">
        <v>24740.0</v>
      </c>
      <c r="AW970" s="15">
        <v>44510.0</v>
      </c>
      <c r="AX970" s="15">
        <v>-17400.0</v>
      </c>
      <c r="AY970" s="15">
        <v>-14340.0</v>
      </c>
      <c r="AZ970" s="15">
        <v>-20830.0</v>
      </c>
      <c r="BA970" s="15">
        <v>-43340.0</v>
      </c>
      <c r="BB970" s="15">
        <v>-50090.0</v>
      </c>
      <c r="BC970" s="13"/>
      <c r="BD970" s="13"/>
      <c r="BE970" s="13"/>
      <c r="BF970" s="13"/>
      <c r="BG970" s="13"/>
      <c r="BH970" s="15">
        <v>10460.0</v>
      </c>
      <c r="BI970" s="15">
        <v>4660.0</v>
      </c>
      <c r="BJ970" s="15">
        <v>3360.0</v>
      </c>
      <c r="BK970" s="15">
        <v>1840.0</v>
      </c>
      <c r="BL970" s="15">
        <v>1910.0</v>
      </c>
      <c r="BM970" s="15">
        <v>3610.0</v>
      </c>
      <c r="BN970" s="15">
        <v>2580.0</v>
      </c>
      <c r="BO970" s="15">
        <v>2510.0</v>
      </c>
      <c r="BP970" s="15">
        <v>5690.0</v>
      </c>
      <c r="BQ970" s="15">
        <v>5810.0</v>
      </c>
      <c r="BR970" s="12">
        <v>9870.0</v>
      </c>
      <c r="BS970" s="12">
        <v>9650.0</v>
      </c>
      <c r="BT970" s="12">
        <v>9930.0</v>
      </c>
      <c r="BU970" s="12">
        <v>11290.0</v>
      </c>
      <c r="BV970" s="12">
        <v>10490.0</v>
      </c>
      <c r="BW970" s="15">
        <v>29320.0</v>
      </c>
      <c r="BX970" s="15">
        <v>23350.0</v>
      </c>
      <c r="BY970" s="15">
        <v>22060.0</v>
      </c>
      <c r="BZ970" s="15">
        <v>25790.0</v>
      </c>
      <c r="CA970" s="15">
        <v>25400.0</v>
      </c>
      <c r="CB970" s="15">
        <v>338580.0</v>
      </c>
      <c r="CC970" s="15">
        <v>138770.0</v>
      </c>
      <c r="CD970" s="15">
        <v>152590.0</v>
      </c>
      <c r="CE970" s="15">
        <v>173530.0</v>
      </c>
      <c r="CF970" s="15">
        <v>203710.0</v>
      </c>
      <c r="CG970" s="15">
        <v>7150.0</v>
      </c>
      <c r="CH970" s="15">
        <v>6400.0</v>
      </c>
      <c r="CI970" s="15">
        <v>6400.0</v>
      </c>
      <c r="CJ970" s="15">
        <v>6400.0</v>
      </c>
      <c r="CK970" s="15">
        <v>6400.0</v>
      </c>
      <c r="CL970" s="15">
        <v>378520.0</v>
      </c>
      <c r="CM970" s="15">
        <v>172030.0</v>
      </c>
      <c r="CN970" s="15">
        <v>185230.0</v>
      </c>
      <c r="CO970" s="15">
        <v>256440.0</v>
      </c>
      <c r="CP970" s="15">
        <v>270050.0</v>
      </c>
      <c r="CQ970" s="15">
        <v>9350.0</v>
      </c>
      <c r="CR970" s="15">
        <v>7850.0</v>
      </c>
      <c r="CS970" s="15">
        <v>10930.0</v>
      </c>
      <c r="CT970" s="15">
        <v>10600.0</v>
      </c>
      <c r="CU970" s="15">
        <v>15070.0</v>
      </c>
      <c r="CV970" s="15">
        <v>58030.0</v>
      </c>
      <c r="CW970" s="15">
        <v>22780.0</v>
      </c>
      <c r="CX970" s="15"/>
      <c r="CY970" s="15"/>
      <c r="CZ970" s="15"/>
      <c r="DA970" s="15"/>
      <c r="DB970" s="15">
        <v>58030.0</v>
      </c>
      <c r="DC970" s="15">
        <v>33150.0</v>
      </c>
      <c r="DD970" s="15">
        <v>43870.0</v>
      </c>
      <c r="DE970" s="15">
        <v>49030.0</v>
      </c>
      <c r="DF970" s="15">
        <v>327950.0</v>
      </c>
      <c r="DG970" s="15">
        <v>119350.0</v>
      </c>
      <c r="DH970" s="15">
        <v>149370.0</v>
      </c>
      <c r="DI970" s="15">
        <v>230620.0</v>
      </c>
      <c r="DJ970" s="15">
        <v>176270.0</v>
      </c>
      <c r="DK970" s="15"/>
      <c r="DL970" s="12"/>
      <c r="DM970" s="12"/>
      <c r="DN970" s="12"/>
      <c r="DO970" s="15"/>
      <c r="DP970" s="15">
        <v>265790.0</v>
      </c>
      <c r="DQ970" s="15">
        <v>44180.0</v>
      </c>
      <c r="DR970" s="15">
        <v>57620.0</v>
      </c>
      <c r="DS970" s="15">
        <v>84680.0</v>
      </c>
      <c r="DT970" s="15">
        <v>67730.0</v>
      </c>
      <c r="DU970" s="13"/>
      <c r="DV970" s="12"/>
      <c r="DW970" s="12"/>
      <c r="DX970" s="13"/>
      <c r="DY970" s="13"/>
      <c r="DZ970" s="15">
        <v>50570.0</v>
      </c>
      <c r="EA970" s="15">
        <v>52680.0</v>
      </c>
      <c r="EB970" s="15">
        <v>35860.0</v>
      </c>
      <c r="EC970" s="15">
        <v>25820.0</v>
      </c>
      <c r="ED970" s="15">
        <v>93770.0</v>
      </c>
      <c r="EE970" s="23">
        <v>0.072097921</v>
      </c>
      <c r="EF970" s="23">
        <v>0.135626936</v>
      </c>
      <c r="EG970" s="17">
        <v>-0.286</v>
      </c>
      <c r="EH970" s="23">
        <v>0.10425</v>
      </c>
    </row>
    <row r="971">
      <c r="A971" s="9">
        <f t="shared" si="2"/>
        <v>969</v>
      </c>
      <c r="B971" s="10" t="s">
        <v>1106</v>
      </c>
      <c r="C971" s="15">
        <v>1.25E7</v>
      </c>
      <c r="D971" s="15">
        <v>1.115E7</v>
      </c>
      <c r="E971" s="15">
        <v>9730000.0</v>
      </c>
      <c r="F971" s="15">
        <v>7260000.0</v>
      </c>
      <c r="G971" s="15">
        <v>7360000.0</v>
      </c>
      <c r="H971" s="15">
        <v>6690000.0</v>
      </c>
      <c r="I971" s="15">
        <v>6090000.0</v>
      </c>
      <c r="J971" s="15">
        <v>2020000.0</v>
      </c>
      <c r="K971" s="15">
        <v>1590000.0</v>
      </c>
      <c r="L971" s="15">
        <v>1630000.0</v>
      </c>
      <c r="M971" s="15">
        <v>1320000.0</v>
      </c>
      <c r="N971" s="15">
        <v>930000.0</v>
      </c>
      <c r="O971" s="15">
        <v>463000.0</v>
      </c>
      <c r="P971" s="15">
        <v>397000.0</v>
      </c>
      <c r="Q971" s="15">
        <v>380000.0</v>
      </c>
      <c r="R971" s="15">
        <v>367000.0</v>
      </c>
      <c r="S971" s="15">
        <v>367000.0</v>
      </c>
      <c r="T971" s="15">
        <v>150000.0</v>
      </c>
      <c r="U971" s="15">
        <v>153000.0</v>
      </c>
      <c r="V971" s="15">
        <v>143000.0</v>
      </c>
      <c r="W971" s="15">
        <v>134000.0</v>
      </c>
      <c r="X971" s="15">
        <v>126000.0</v>
      </c>
      <c r="Y971" s="15">
        <v>1500000.0</v>
      </c>
      <c r="Z971" s="15">
        <v>717000.0</v>
      </c>
      <c r="AA971" s="15">
        <v>7000.0</v>
      </c>
      <c r="AB971" s="15">
        <v>-124000.0</v>
      </c>
      <c r="AC971" s="15">
        <v>-224000.0</v>
      </c>
      <c r="AD971" s="15">
        <v>3690000.0</v>
      </c>
      <c r="AE971" s="15">
        <v>738000.0</v>
      </c>
      <c r="AF971" s="15">
        <v>1070000.0</v>
      </c>
      <c r="AG971" s="15">
        <v>-214000.0</v>
      </c>
      <c r="AH971" s="15">
        <v>295000.0</v>
      </c>
      <c r="AI971" s="15">
        <v>3760000.0</v>
      </c>
      <c r="AJ971" s="15">
        <v>2560000.0</v>
      </c>
      <c r="AK971" s="15">
        <v>2690000.0</v>
      </c>
      <c r="AL971" s="15">
        <v>2330000.0</v>
      </c>
      <c r="AM971" s="15">
        <v>1860000.0</v>
      </c>
      <c r="AN971" s="15">
        <v>2880000.0</v>
      </c>
      <c r="AO971" s="15">
        <v>280000.0</v>
      </c>
      <c r="AP971" s="15">
        <v>-76000.0</v>
      </c>
      <c r="AQ971" s="15">
        <v>-220000.0</v>
      </c>
      <c r="AR971" s="15">
        <v>-1000.0</v>
      </c>
      <c r="AS971" s="15">
        <v>2870000.0</v>
      </c>
      <c r="AT971" s="15">
        <v>1830000.0</v>
      </c>
      <c r="AU971" s="15">
        <v>2120000.0</v>
      </c>
      <c r="AV971" s="15">
        <v>2790000.0</v>
      </c>
      <c r="AW971" s="15">
        <v>2150000.0</v>
      </c>
      <c r="AX971" s="15">
        <v>-1460000.0</v>
      </c>
      <c r="AY971" s="15">
        <v>-1030000.0</v>
      </c>
      <c r="AZ971" s="15">
        <v>-866000.0</v>
      </c>
      <c r="BA971" s="15">
        <v>-1130000.0</v>
      </c>
      <c r="BB971" s="15">
        <v>-1310000.0</v>
      </c>
      <c r="BC971" s="15">
        <v>-889000.0</v>
      </c>
      <c r="BD971" s="15">
        <v>-301000.0</v>
      </c>
      <c r="BE971" s="15">
        <v>-134000.0</v>
      </c>
      <c r="BF971" s="15">
        <v>-67000.0</v>
      </c>
      <c r="BG971" s="15">
        <v>-52000.0</v>
      </c>
      <c r="BH971" s="15">
        <v>2480000.0</v>
      </c>
      <c r="BI971" s="15">
        <v>3450000.0</v>
      </c>
      <c r="BJ971" s="15">
        <v>3320000.0</v>
      </c>
      <c r="BK971" s="15">
        <v>2810000.0</v>
      </c>
      <c r="BL971" s="15">
        <v>2380000.0</v>
      </c>
      <c r="BM971" s="15">
        <v>373000.0</v>
      </c>
      <c r="BN971" s="15">
        <v>346000.0</v>
      </c>
      <c r="BO971" s="15">
        <v>237000.0</v>
      </c>
      <c r="BP971" s="15">
        <v>343000.0</v>
      </c>
      <c r="BQ971" s="15">
        <v>215000.0</v>
      </c>
      <c r="BR971" s="15">
        <v>1830000.0</v>
      </c>
      <c r="BS971" s="15">
        <v>1330000.0</v>
      </c>
      <c r="BT971" s="15">
        <v>1360000.0</v>
      </c>
      <c r="BU971" s="15">
        <v>1380000.0</v>
      </c>
      <c r="BV971" s="15">
        <v>1340000.0</v>
      </c>
      <c r="BW971" s="15">
        <v>6270000.0</v>
      </c>
      <c r="BX971" s="15">
        <v>5280000.0</v>
      </c>
      <c r="BY971" s="15">
        <v>5070000.0</v>
      </c>
      <c r="BZ971" s="15">
        <v>4680000.0</v>
      </c>
      <c r="CA971" s="15">
        <v>4980000.0</v>
      </c>
      <c r="CB971" s="15">
        <v>2.532E7</v>
      </c>
      <c r="CC971" s="15">
        <v>1.226E7</v>
      </c>
      <c r="CD971" s="15">
        <v>1.234E7</v>
      </c>
      <c r="CE971" s="15">
        <v>1.249E7</v>
      </c>
      <c r="CF971" s="15">
        <v>1.321E7</v>
      </c>
      <c r="CG971" s="15">
        <v>2670000.0</v>
      </c>
      <c r="CH971" s="15">
        <v>0.0</v>
      </c>
      <c r="CI971" s="15">
        <v>0.0</v>
      </c>
      <c r="CJ971" s="15">
        <v>0.0</v>
      </c>
      <c r="CK971" s="15">
        <v>0.0</v>
      </c>
      <c r="CL971" s="15">
        <v>3.997E7</v>
      </c>
      <c r="CM971" s="15">
        <v>2.072E7</v>
      </c>
      <c r="CN971" s="15">
        <v>2.065E7</v>
      </c>
      <c r="CO971" s="15">
        <v>2.103E7</v>
      </c>
      <c r="CP971" s="15">
        <v>2.513E7</v>
      </c>
      <c r="CQ971" s="15">
        <v>539000.0</v>
      </c>
      <c r="CR971" s="15">
        <v>303000.0</v>
      </c>
      <c r="CS971" s="15">
        <v>375000.0</v>
      </c>
      <c r="CT971" s="15">
        <v>320000.0</v>
      </c>
      <c r="CU971" s="15">
        <v>315000.0</v>
      </c>
      <c r="CV971" s="15">
        <v>2390000.0</v>
      </c>
      <c r="CW971" s="15">
        <v>28000.0</v>
      </c>
      <c r="CX971" s="16">
        <v>0.0</v>
      </c>
      <c r="CY971" s="16">
        <v>0.0</v>
      </c>
      <c r="CZ971" s="16">
        <v>0.0</v>
      </c>
      <c r="DA971" s="15">
        <v>0.0</v>
      </c>
      <c r="DB971" s="15">
        <v>2390000.0</v>
      </c>
      <c r="DC971" s="15">
        <v>1790000.0</v>
      </c>
      <c r="DD971" s="15">
        <v>1400000.0</v>
      </c>
      <c r="DE971" s="15">
        <v>1750000.0</v>
      </c>
      <c r="DF971" s="15">
        <v>1.756E7</v>
      </c>
      <c r="DG971" s="15">
        <v>9200000.0</v>
      </c>
      <c r="DH971" s="15">
        <v>9130000.0</v>
      </c>
      <c r="DI971" s="15">
        <v>9160000.0</v>
      </c>
      <c r="DJ971" s="15">
        <v>1.084E7</v>
      </c>
      <c r="DK971" s="15">
        <v>3360000.0</v>
      </c>
      <c r="DL971" s="15">
        <v>271000.0</v>
      </c>
      <c r="DM971" s="15">
        <v>280000.0</v>
      </c>
      <c r="DN971" s="15">
        <v>227000.0</v>
      </c>
      <c r="DO971" s="15">
        <v>402000.0</v>
      </c>
      <c r="DP971" s="15">
        <v>6780000.0</v>
      </c>
      <c r="DQ971" s="15">
        <v>3610000.0</v>
      </c>
      <c r="DR971" s="15">
        <v>4060000.0</v>
      </c>
      <c r="DS971" s="15">
        <v>4050000.0</v>
      </c>
      <c r="DT971" s="15">
        <v>5850000.0</v>
      </c>
      <c r="DU971" s="16">
        <v>0.0</v>
      </c>
      <c r="DV971" s="15">
        <v>0.0</v>
      </c>
      <c r="DW971" s="15">
        <v>0.0</v>
      </c>
      <c r="DX971" s="16">
        <v>0.0</v>
      </c>
      <c r="DY971" s="15">
        <v>0.0</v>
      </c>
      <c r="DZ971" s="15">
        <v>2.142E7</v>
      </c>
      <c r="EA971" s="15">
        <v>1.05E7</v>
      </c>
      <c r="EB971" s="15">
        <v>1.054E7</v>
      </c>
      <c r="EC971" s="15">
        <v>1.072E7</v>
      </c>
      <c r="ED971" s="15">
        <v>1.135E7</v>
      </c>
      <c r="EE971" s="17">
        <v>0.141</v>
      </c>
      <c r="EF971" s="17">
        <v>0.286</v>
      </c>
      <c r="EG971" s="17">
        <v>-0.048</v>
      </c>
      <c r="EH971" s="17">
        <v>-0.135</v>
      </c>
    </row>
    <row r="972">
      <c r="A972" s="9">
        <f t="shared" si="2"/>
        <v>970</v>
      </c>
      <c r="B972" s="32" t="s">
        <v>1107</v>
      </c>
      <c r="C972" s="11">
        <v>496930.0</v>
      </c>
      <c r="D972" s="11">
        <v>447810.0</v>
      </c>
      <c r="E972" s="11">
        <v>418170.0</v>
      </c>
      <c r="F972" s="11">
        <v>414190.0</v>
      </c>
      <c r="G972" s="11">
        <v>397930.0</v>
      </c>
      <c r="H972" s="11">
        <v>361590.0</v>
      </c>
      <c r="I972" s="11">
        <v>321280.0</v>
      </c>
      <c r="J972" s="11">
        <v>196280.0</v>
      </c>
      <c r="K972" s="11">
        <v>191920.0</v>
      </c>
      <c r="L972" s="11">
        <v>186270.0</v>
      </c>
      <c r="M972" s="11">
        <v>171970.0</v>
      </c>
      <c r="N972" s="11">
        <v>153060.0</v>
      </c>
      <c r="O972" s="11">
        <v>128760.0</v>
      </c>
      <c r="P972" s="11">
        <v>123830.0</v>
      </c>
      <c r="Q972" s="11">
        <v>116080.0</v>
      </c>
      <c r="R972" s="11">
        <v>107020.0</v>
      </c>
      <c r="S972" s="11">
        <v>96680.0</v>
      </c>
      <c r="T972" s="11">
        <v>14750.0</v>
      </c>
      <c r="U972" s="11">
        <v>12810.0</v>
      </c>
      <c r="V972" s="11">
        <v>10860.0</v>
      </c>
      <c r="W972" s="11">
        <v>10390.0</v>
      </c>
      <c r="X972" s="11">
        <v>9890.0</v>
      </c>
      <c r="Y972" s="12"/>
      <c r="Z972" s="11">
        <v>69180.0</v>
      </c>
      <c r="AA972" s="11">
        <v>573.0</v>
      </c>
      <c r="AB972" s="11">
        <v>65620.0</v>
      </c>
      <c r="AC972" s="12"/>
      <c r="AD972" s="11">
        <v>72310.0</v>
      </c>
      <c r="AE972" s="11">
        <v>72960.0</v>
      </c>
      <c r="AF972" s="11">
        <v>73470.0</v>
      </c>
      <c r="AG972" s="11">
        <v>66670.0</v>
      </c>
      <c r="AH972" s="11">
        <v>55510.0</v>
      </c>
      <c r="AI972" s="11">
        <v>85920.0</v>
      </c>
      <c r="AJ972" s="11">
        <v>85720.0</v>
      </c>
      <c r="AK972" s="11">
        <v>87250.0</v>
      </c>
      <c r="AL972" s="11">
        <v>79640.0</v>
      </c>
      <c r="AM972" s="11">
        <v>68570.0</v>
      </c>
      <c r="AN972" s="11">
        <v>59480.0</v>
      </c>
      <c r="AO972" s="11">
        <v>60180.0</v>
      </c>
      <c r="AP972" s="11">
        <v>63150.0</v>
      </c>
      <c r="AQ972" s="11">
        <v>43790.0</v>
      </c>
      <c r="AR972" s="11">
        <v>36560.0</v>
      </c>
      <c r="AS972" s="12"/>
      <c r="AT972" s="11">
        <v>63840.0</v>
      </c>
      <c r="AU972" s="11">
        <v>69130.0</v>
      </c>
      <c r="AV972" s="11">
        <v>60270.0</v>
      </c>
      <c r="AW972" s="11">
        <v>35330.0</v>
      </c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1">
        <v>343670.0</v>
      </c>
      <c r="BI972" s="11">
        <v>267520.0</v>
      </c>
      <c r="BJ972" s="11">
        <v>210810.0</v>
      </c>
      <c r="BK972" s="11">
        <v>143640.0</v>
      </c>
      <c r="BL972" s="11">
        <v>107800.0</v>
      </c>
      <c r="BM972" s="11">
        <v>84680.0</v>
      </c>
      <c r="BN972" s="11">
        <v>82580.0</v>
      </c>
      <c r="BO972" s="11">
        <v>79090.0</v>
      </c>
      <c r="BP972" s="11">
        <v>68580.0</v>
      </c>
      <c r="BQ972" s="11">
        <v>67650.0</v>
      </c>
      <c r="BR972" s="11">
        <v>95050.0</v>
      </c>
      <c r="BS972" s="11">
        <v>85990.0</v>
      </c>
      <c r="BT972" s="11">
        <v>76010.0</v>
      </c>
      <c r="BU972" s="11">
        <v>73140.0</v>
      </c>
      <c r="BV972" s="11">
        <v>64370.0</v>
      </c>
      <c r="BW972" s="11">
        <v>537410.0</v>
      </c>
      <c r="BX972" s="11">
        <v>449530.0</v>
      </c>
      <c r="BY972" s="11">
        <v>375790.0</v>
      </c>
      <c r="BZ972" s="11">
        <v>292960.0</v>
      </c>
      <c r="CA972" s="11">
        <v>248230.0</v>
      </c>
      <c r="CB972" s="11">
        <v>78670.0</v>
      </c>
      <c r="CC972" s="11">
        <v>74850.0</v>
      </c>
      <c r="CD972" s="11">
        <v>73070.0</v>
      </c>
      <c r="CE972" s="11">
        <v>61750.0</v>
      </c>
      <c r="CF972" s="11">
        <v>54680.0</v>
      </c>
      <c r="CG972" s="12"/>
      <c r="CH972" s="11">
        <v>103620.0</v>
      </c>
      <c r="CI972" s="11">
        <v>99560.0</v>
      </c>
      <c r="CJ972" s="11">
        <v>104760.0</v>
      </c>
      <c r="CK972" s="11">
        <v>88510.0</v>
      </c>
      <c r="CL972" s="11">
        <v>797180.0</v>
      </c>
      <c r="CM972" s="11">
        <v>699670.0</v>
      </c>
      <c r="CN972" s="11">
        <v>621980.0</v>
      </c>
      <c r="CO972" s="11">
        <v>535180.0</v>
      </c>
      <c r="CP972" s="11">
        <v>455840.0</v>
      </c>
      <c r="CQ972" s="12"/>
      <c r="CR972" s="11">
        <v>19060.0</v>
      </c>
      <c r="CS972" s="11">
        <v>20750.0</v>
      </c>
      <c r="CT972" s="11">
        <v>16240.0</v>
      </c>
      <c r="CU972" s="11">
        <v>15800.0</v>
      </c>
      <c r="CV972" s="11">
        <v>48490.0</v>
      </c>
      <c r="CW972" s="12"/>
      <c r="CX972" s="12"/>
      <c r="CY972" s="13"/>
      <c r="CZ972" s="13"/>
      <c r="DA972" s="12"/>
      <c r="DB972" s="11">
        <v>48490.0</v>
      </c>
      <c r="DC972" s="11">
        <v>38250.0</v>
      </c>
      <c r="DD972" s="11">
        <v>38690.0</v>
      </c>
      <c r="DE972" s="11">
        <v>36000.0</v>
      </c>
      <c r="DF972" s="11">
        <v>72010.0</v>
      </c>
      <c r="DG972" s="11">
        <v>61770.0</v>
      </c>
      <c r="DH972" s="11">
        <v>61810.0</v>
      </c>
      <c r="DI972" s="11">
        <v>63420.0</v>
      </c>
      <c r="DJ972" s="11">
        <v>51680.0</v>
      </c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3"/>
      <c r="DV972" s="12"/>
      <c r="DW972" s="12"/>
      <c r="DX972" s="12"/>
      <c r="DY972" s="12"/>
      <c r="DZ972" s="11">
        <v>725180.0</v>
      </c>
      <c r="EA972" s="11">
        <v>637900.0</v>
      </c>
      <c r="EB972" s="11">
        <v>560180.0</v>
      </c>
      <c r="EC972" s="11">
        <v>471610.0</v>
      </c>
      <c r="ED972" s="11">
        <v>404200.0</v>
      </c>
      <c r="EE972" s="14">
        <v>0.077</v>
      </c>
      <c r="EF972" s="14">
        <v>0.021</v>
      </c>
      <c r="EG972" s="14">
        <v>0.033</v>
      </c>
      <c r="EH972" s="14">
        <v>-0.045</v>
      </c>
    </row>
    <row r="973">
      <c r="A973" s="9">
        <f t="shared" si="2"/>
        <v>971</v>
      </c>
      <c r="B973" s="22" t="s">
        <v>1108</v>
      </c>
      <c r="C973" s="12"/>
      <c r="D973" s="11">
        <v>41190.0</v>
      </c>
      <c r="E973" s="12"/>
      <c r="F973" s="12"/>
      <c r="G973" s="12"/>
      <c r="H973" s="12"/>
      <c r="I973" s="12"/>
      <c r="J973" s="11">
        <v>-162.0</v>
      </c>
      <c r="K973" s="11">
        <v>-17.0</v>
      </c>
      <c r="L973" s="11">
        <v>-11.0</v>
      </c>
      <c r="M973" s="11">
        <v>-17.0</v>
      </c>
      <c r="N973" s="11">
        <v>-17.0</v>
      </c>
      <c r="O973" s="11">
        <v>56700.0</v>
      </c>
      <c r="P973" s="11">
        <v>51710.0</v>
      </c>
      <c r="Q973" s="11">
        <v>41160.0</v>
      </c>
      <c r="R973" s="11">
        <v>30170.0</v>
      </c>
      <c r="S973" s="11">
        <v>26090.0</v>
      </c>
      <c r="T973" s="11">
        <v>39120.0</v>
      </c>
      <c r="U973" s="11">
        <v>34890.0</v>
      </c>
      <c r="V973" s="11">
        <v>30260.0</v>
      </c>
      <c r="W973" s="11">
        <v>20440.0</v>
      </c>
      <c r="X973" s="11">
        <v>18530.0</v>
      </c>
      <c r="Y973" s="11">
        <v>-75870.0</v>
      </c>
      <c r="Z973" s="12"/>
      <c r="AA973" s="12"/>
      <c r="AB973" s="12"/>
      <c r="AC973" s="12"/>
      <c r="AD973" s="11">
        <v>-74440.0</v>
      </c>
      <c r="AE973" s="11">
        <v>-50170.0</v>
      </c>
      <c r="AF973" s="11">
        <v>-40900.0</v>
      </c>
      <c r="AG973" s="11">
        <v>-31050.0</v>
      </c>
      <c r="AH973" s="11">
        <v>-27080.0</v>
      </c>
      <c r="AI973" s="11">
        <v>-56700.0</v>
      </c>
      <c r="AJ973" s="11">
        <v>-51710.0</v>
      </c>
      <c r="AK973" s="11">
        <v>-41160.0</v>
      </c>
      <c r="AL973" s="11">
        <v>-30170.0</v>
      </c>
      <c r="AM973" s="11">
        <v>-26090.0</v>
      </c>
      <c r="AN973" s="11">
        <v>-72180.0</v>
      </c>
      <c r="AO973" s="11">
        <v>-50170.0</v>
      </c>
      <c r="AP973" s="11">
        <v>-31520.0</v>
      </c>
      <c r="AQ973" s="11">
        <v>-31050.0</v>
      </c>
      <c r="AR973" s="11">
        <v>-27080.0</v>
      </c>
      <c r="AS973" s="11">
        <v>-43300.0</v>
      </c>
      <c r="AT973" s="11">
        <v>-41940.0</v>
      </c>
      <c r="AU973" s="11">
        <v>3090.0</v>
      </c>
      <c r="AV973" s="11">
        <v>-25690.0</v>
      </c>
      <c r="AW973" s="11">
        <v>-24270.0</v>
      </c>
      <c r="AX973" s="12"/>
      <c r="AY973" s="12"/>
      <c r="AZ973" s="11">
        <v>-52.0</v>
      </c>
      <c r="BA973" s="12"/>
      <c r="BB973" s="12"/>
      <c r="BC973" s="12"/>
      <c r="BD973" s="12"/>
      <c r="BE973" s="12"/>
      <c r="BF973" s="12"/>
      <c r="BG973" s="12"/>
      <c r="BH973" s="11">
        <v>45950.0</v>
      </c>
      <c r="BI973" s="11">
        <v>88100.0</v>
      </c>
      <c r="BJ973" s="11">
        <v>128240.0</v>
      </c>
      <c r="BK973" s="11">
        <v>83060.0</v>
      </c>
      <c r="BL973" s="11">
        <v>32280.0</v>
      </c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1">
        <v>47140.0</v>
      </c>
      <c r="BX973" s="11">
        <v>90020.0</v>
      </c>
      <c r="BY973" s="11">
        <v>129540.0</v>
      </c>
      <c r="BZ973" s="11">
        <v>83860.0</v>
      </c>
      <c r="CA973" s="11">
        <v>33480.0</v>
      </c>
      <c r="CB973" s="11">
        <v>278.0</v>
      </c>
      <c r="CC973" s="11">
        <v>33.0</v>
      </c>
      <c r="CD973" s="11">
        <v>51.0</v>
      </c>
      <c r="CE973" s="11">
        <v>10.0</v>
      </c>
      <c r="CF973" s="11">
        <v>26.0</v>
      </c>
      <c r="CG973" s="11">
        <v>14870.0</v>
      </c>
      <c r="CH973" s="11">
        <v>14870.0</v>
      </c>
      <c r="CI973" s="11">
        <v>14870.0</v>
      </c>
      <c r="CJ973" s="11">
        <v>14870.0</v>
      </c>
      <c r="CK973" s="11">
        <v>14870.0</v>
      </c>
      <c r="CL973" s="11">
        <v>79850.0</v>
      </c>
      <c r="CM973" s="11">
        <v>144430.0</v>
      </c>
      <c r="CN973" s="11">
        <v>188980.0</v>
      </c>
      <c r="CO973" s="11">
        <v>132940.0</v>
      </c>
      <c r="CP973" s="11">
        <v>82580.0</v>
      </c>
      <c r="CQ973" s="11">
        <v>2320.0</v>
      </c>
      <c r="CR973" s="11">
        <v>1800.0</v>
      </c>
      <c r="CS973" s="11">
        <v>1440.0</v>
      </c>
      <c r="CT973" s="12"/>
      <c r="CU973" s="12"/>
      <c r="CV973" s="11">
        <v>6630.0</v>
      </c>
      <c r="CW973" s="11">
        <v>173.0</v>
      </c>
      <c r="CX973" s="12"/>
      <c r="CY973" s="12"/>
      <c r="CZ973" s="12"/>
      <c r="DA973" s="12"/>
      <c r="DB973" s="11">
        <v>6630.0</v>
      </c>
      <c r="DC973" s="11">
        <v>3610.0</v>
      </c>
      <c r="DD973" s="11">
        <v>6840.0</v>
      </c>
      <c r="DE973" s="11">
        <v>9690.0</v>
      </c>
      <c r="DF973" s="11">
        <v>52070.0</v>
      </c>
      <c r="DG973" s="11">
        <v>54160.0</v>
      </c>
      <c r="DH973" s="11">
        <v>57390.0</v>
      </c>
      <c r="DI973" s="11">
        <v>26960.0</v>
      </c>
      <c r="DJ973" s="11">
        <v>27260.0</v>
      </c>
      <c r="DK973" s="12"/>
      <c r="DL973" s="12"/>
      <c r="DM973" s="11">
        <v>5020.0</v>
      </c>
      <c r="DN973" s="12"/>
      <c r="DO973" s="12"/>
      <c r="DP973" s="11">
        <v>111.0</v>
      </c>
      <c r="DQ973" s="12"/>
      <c r="DR973" s="12"/>
      <c r="DS973" s="11">
        <v>3840.0</v>
      </c>
      <c r="DT973" s="11">
        <v>8500.0</v>
      </c>
      <c r="DU973" s="13"/>
      <c r="DV973" s="12"/>
      <c r="DW973" s="12"/>
      <c r="DX973" s="13"/>
      <c r="DY973" s="13"/>
      <c r="DZ973" s="11">
        <v>27780.0</v>
      </c>
      <c r="EA973" s="11">
        <v>90260.0</v>
      </c>
      <c r="EB973" s="11">
        <v>131600.0</v>
      </c>
      <c r="EC973" s="11">
        <v>105980.0</v>
      </c>
      <c r="ED973" s="11">
        <v>55320.0</v>
      </c>
      <c r="EE973" s="14">
        <v>0.0</v>
      </c>
      <c r="EF973" s="23"/>
      <c r="EG973" s="14">
        <v>3.517</v>
      </c>
      <c r="EH973" s="14">
        <v>0.664</v>
      </c>
    </row>
    <row r="974">
      <c r="A974" s="9">
        <f t="shared" si="2"/>
        <v>972</v>
      </c>
      <c r="B974" s="25" t="s">
        <v>1109</v>
      </c>
      <c r="C974" s="15">
        <v>2250000.0</v>
      </c>
      <c r="D974" s="15"/>
      <c r="E974" s="15">
        <v>2190000.0</v>
      </c>
      <c r="F974" s="15">
        <v>2290000.0</v>
      </c>
      <c r="G974" s="15">
        <v>2200000.0</v>
      </c>
      <c r="H974" s="15">
        <v>2050000.0</v>
      </c>
      <c r="I974" s="15">
        <v>2140000.0</v>
      </c>
      <c r="J974" s="15">
        <v>629870.0</v>
      </c>
      <c r="K974" s="15">
        <v>585360.0</v>
      </c>
      <c r="L974" s="15">
        <v>636390.0</v>
      </c>
      <c r="M974" s="15">
        <v>680760.0</v>
      </c>
      <c r="N974" s="15">
        <v>679060.0</v>
      </c>
      <c r="O974" s="15">
        <v>292550.0</v>
      </c>
      <c r="P974" s="15">
        <v>292690.0</v>
      </c>
      <c r="Q974" s="15">
        <v>313650.0</v>
      </c>
      <c r="R974" s="15">
        <v>318070.0</v>
      </c>
      <c r="S974" s="15">
        <v>322340.0</v>
      </c>
      <c r="T974" s="15">
        <v>144470.0</v>
      </c>
      <c r="U974" s="15">
        <v>140290.0</v>
      </c>
      <c r="V974" s="15">
        <v>146000.0</v>
      </c>
      <c r="W974" s="15">
        <v>156960.0</v>
      </c>
      <c r="X974" s="15">
        <v>158250.0</v>
      </c>
      <c r="Y974" s="12"/>
      <c r="Z974" s="12"/>
      <c r="AA974" s="12"/>
      <c r="AB974" s="15">
        <v>357810.0</v>
      </c>
      <c r="AC974" s="15">
        <v>-3220.0</v>
      </c>
      <c r="AD974" s="15">
        <v>331590.0</v>
      </c>
      <c r="AE974" s="15">
        <v>290290.0</v>
      </c>
      <c r="AF974" s="15">
        <v>315440.0</v>
      </c>
      <c r="AG974" s="15">
        <v>343210.0</v>
      </c>
      <c r="AH974" s="15">
        <v>338970.0</v>
      </c>
      <c r="AI974" s="15">
        <v>453880.0</v>
      </c>
      <c r="AJ974" s="15">
        <v>394430.0</v>
      </c>
      <c r="AK974" s="15">
        <v>404070.0</v>
      </c>
      <c r="AL974" s="15">
        <v>406550.0</v>
      </c>
      <c r="AM974" s="15">
        <v>397420.0</v>
      </c>
      <c r="AN974" s="15">
        <v>253850.0</v>
      </c>
      <c r="AO974" s="15">
        <v>234260.0</v>
      </c>
      <c r="AP974" s="15">
        <v>190150.0</v>
      </c>
      <c r="AQ974" s="15">
        <v>242960.0</v>
      </c>
      <c r="AR974" s="15">
        <v>238120.0</v>
      </c>
      <c r="AS974" s="15">
        <v>353710.0</v>
      </c>
      <c r="AT974" s="15">
        <v>197910.0</v>
      </c>
      <c r="AU974" s="15">
        <v>242800.0</v>
      </c>
      <c r="AV974" s="15">
        <v>343290.0</v>
      </c>
      <c r="AW974" s="15">
        <v>276270.0</v>
      </c>
      <c r="AX974" s="15">
        <v>-59430.0</v>
      </c>
      <c r="AY974" s="15">
        <v>-74640.0</v>
      </c>
      <c r="AZ974" s="15">
        <v>-148710.0</v>
      </c>
      <c r="BA974" s="15">
        <v>-142870.0</v>
      </c>
      <c r="BB974" s="15">
        <v>-126500.0</v>
      </c>
      <c r="BC974" s="15">
        <v>-81680.0</v>
      </c>
      <c r="BD974" s="15">
        <v>-80450.0</v>
      </c>
      <c r="BE974" s="15">
        <v>-82890.0</v>
      </c>
      <c r="BF974" s="15">
        <v>-75830.0</v>
      </c>
      <c r="BG974" s="15">
        <v>-70760.0</v>
      </c>
      <c r="BH974" s="15">
        <v>144400.0</v>
      </c>
      <c r="BI974" s="15">
        <v>73040.0</v>
      </c>
      <c r="BJ974" s="15">
        <v>84170.0</v>
      </c>
      <c r="BK974" s="15">
        <v>192150.0</v>
      </c>
      <c r="BL974" s="15">
        <v>93420.0</v>
      </c>
      <c r="BM974" s="15">
        <v>335830.0</v>
      </c>
      <c r="BN974" s="15">
        <v>314860.0</v>
      </c>
      <c r="BO974" s="15">
        <v>335320.0</v>
      </c>
      <c r="BP974" s="15">
        <v>306920.0</v>
      </c>
      <c r="BQ974" s="15">
        <v>287970.0</v>
      </c>
      <c r="BR974" s="15">
        <v>365940.0</v>
      </c>
      <c r="BS974" s="15">
        <v>396340.0</v>
      </c>
      <c r="BT974" s="15">
        <v>383100.0</v>
      </c>
      <c r="BU974" s="15">
        <v>311510.0</v>
      </c>
      <c r="BV974" s="15">
        <v>351630.0</v>
      </c>
      <c r="BW974" s="15">
        <v>879400.0</v>
      </c>
      <c r="BX974" s="15">
        <v>813420.0</v>
      </c>
      <c r="BY974" s="15">
        <v>833650.0</v>
      </c>
      <c r="BZ974" s="15">
        <v>836880.0</v>
      </c>
      <c r="CA974" s="15">
        <v>768390.0</v>
      </c>
      <c r="CB974" s="15">
        <v>708780.0</v>
      </c>
      <c r="CC974" s="15">
        <v>644140.0</v>
      </c>
      <c r="CD974" s="15">
        <v>652280.0</v>
      </c>
      <c r="CE974" s="15">
        <v>503750.0</v>
      </c>
      <c r="CF974" s="15">
        <v>402450.0</v>
      </c>
      <c r="CG974" s="15">
        <v>122990.0</v>
      </c>
      <c r="CH974" s="15">
        <v>122940.0</v>
      </c>
      <c r="CI974" s="15">
        <v>122540.0</v>
      </c>
      <c r="CJ974" s="15">
        <v>4300.0</v>
      </c>
      <c r="CK974" s="15">
        <v>4660.0</v>
      </c>
      <c r="CL974" s="15">
        <v>1890000.0</v>
      </c>
      <c r="CM974" s="15">
        <v>1700000.0</v>
      </c>
      <c r="CN974" s="15">
        <v>1710000.0</v>
      </c>
      <c r="CO974" s="15">
        <v>1420000.0</v>
      </c>
      <c r="CP974" s="15">
        <v>1290000.0</v>
      </c>
      <c r="CQ974" s="15">
        <v>178770.0</v>
      </c>
      <c r="CR974" s="15">
        <v>151630.0</v>
      </c>
      <c r="CS974" s="15">
        <v>159410.0</v>
      </c>
      <c r="CT974" s="15">
        <v>141870.0</v>
      </c>
      <c r="CU974" s="15">
        <v>128750.0</v>
      </c>
      <c r="CV974" s="15">
        <v>308900.0</v>
      </c>
      <c r="CW974" s="15">
        <v>14040.0</v>
      </c>
      <c r="CX974" s="15"/>
      <c r="CY974" s="15"/>
      <c r="CZ974" s="15"/>
      <c r="DA974" s="15"/>
      <c r="DB974" s="15">
        <v>308900.0</v>
      </c>
      <c r="DC974" s="15">
        <v>271300.0</v>
      </c>
      <c r="DD974" s="15">
        <v>316790.0</v>
      </c>
      <c r="DE974" s="15">
        <v>294590.0</v>
      </c>
      <c r="DF974" s="15">
        <v>1200000.0</v>
      </c>
      <c r="DG974" s="15">
        <v>1210000.0</v>
      </c>
      <c r="DH974" s="15">
        <v>1110000.0</v>
      </c>
      <c r="DI974" s="15">
        <v>933190.0</v>
      </c>
      <c r="DJ974" s="15">
        <v>898690.0</v>
      </c>
      <c r="DK974" s="15"/>
      <c r="DL974" s="15"/>
      <c r="DM974" s="15"/>
      <c r="DN974" s="15"/>
      <c r="DO974" s="15">
        <v>26130.0</v>
      </c>
      <c r="DP974" s="15">
        <v>700850.0</v>
      </c>
      <c r="DQ974" s="15">
        <v>771000.0</v>
      </c>
      <c r="DR974" s="15">
        <v>602900.0</v>
      </c>
      <c r="DS974" s="15">
        <v>507280.0</v>
      </c>
      <c r="DT974" s="15">
        <v>490920.0</v>
      </c>
      <c r="DU974" s="13"/>
      <c r="DV974" s="12"/>
      <c r="DW974" s="12"/>
      <c r="DX974" s="13"/>
      <c r="DY974" s="15"/>
      <c r="DZ974" s="15">
        <v>683100.0</v>
      </c>
      <c r="EA974" s="15">
        <v>489910.0</v>
      </c>
      <c r="EB974" s="15">
        <v>601650.0</v>
      </c>
      <c r="EC974" s="15">
        <v>483250.0</v>
      </c>
      <c r="ED974" s="15">
        <v>387560.0</v>
      </c>
      <c r="EE974" s="23"/>
      <c r="EF974" s="23"/>
      <c r="EG974" s="23">
        <v>0.022</v>
      </c>
      <c r="EH974" s="23">
        <v>0.016</v>
      </c>
    </row>
    <row r="975">
      <c r="A975" s="9">
        <f t="shared" si="2"/>
        <v>973</v>
      </c>
      <c r="B975" s="10" t="s">
        <v>1110</v>
      </c>
      <c r="C975" s="15">
        <v>2060000.0</v>
      </c>
      <c r="D975" s="15">
        <v>1640000.0</v>
      </c>
      <c r="E975" s="15">
        <v>2330000.0</v>
      </c>
      <c r="F975" s="15">
        <v>2490000.0</v>
      </c>
      <c r="G975" s="15">
        <v>2450000.0</v>
      </c>
      <c r="H975" s="15">
        <v>1960000.0</v>
      </c>
      <c r="I975" s="15">
        <v>1820000.0</v>
      </c>
      <c r="J975" s="15">
        <v>269500.0</v>
      </c>
      <c r="K975" s="15">
        <v>471200.0</v>
      </c>
      <c r="L975" s="15">
        <v>592900.0</v>
      </c>
      <c r="M975" s="15">
        <v>448170.0</v>
      </c>
      <c r="N975" s="15">
        <v>392940.0</v>
      </c>
      <c r="O975" s="15">
        <v>208900.0</v>
      </c>
      <c r="P975" s="15">
        <v>155380.0</v>
      </c>
      <c r="Q975" s="15">
        <v>154490.0</v>
      </c>
      <c r="R975" s="15">
        <v>217950.0</v>
      </c>
      <c r="S975" s="15">
        <v>190860.0</v>
      </c>
      <c r="T975" s="15">
        <v>0.0</v>
      </c>
      <c r="U975" s="15">
        <v>0.0</v>
      </c>
      <c r="V975" s="15">
        <v>0.0</v>
      </c>
      <c r="W975" s="15">
        <v>0.0</v>
      </c>
      <c r="X975" s="15">
        <v>0.0</v>
      </c>
      <c r="Y975" s="15">
        <v>-89550.0</v>
      </c>
      <c r="Z975" s="15">
        <v>387500.0</v>
      </c>
      <c r="AA975" s="15">
        <v>2860.0</v>
      </c>
      <c r="AB975" s="15">
        <v>-47870.0</v>
      </c>
      <c r="AC975" s="15">
        <v>200550.0</v>
      </c>
      <c r="AD975" s="15">
        <v>-215880.0</v>
      </c>
      <c r="AE975" s="15">
        <v>131900.0</v>
      </c>
      <c r="AF975" s="15">
        <v>271400.0</v>
      </c>
      <c r="AG975" s="15">
        <v>209050.0</v>
      </c>
      <c r="AH975" s="15">
        <v>-178000.0</v>
      </c>
      <c r="AI975" s="15">
        <v>372230.0</v>
      </c>
      <c r="AJ975" s="15">
        <v>621150.0</v>
      </c>
      <c r="AK975" s="15">
        <v>719980.0</v>
      </c>
      <c r="AL975" s="15">
        <v>632220.0</v>
      </c>
      <c r="AM975" s="15">
        <v>506290.0</v>
      </c>
      <c r="AN975" s="15">
        <v>-146630.0</v>
      </c>
      <c r="AO975" s="15">
        <v>74860.0</v>
      </c>
      <c r="AP975" s="15">
        <v>126890.0</v>
      </c>
      <c r="AQ975" s="15">
        <v>93170.0</v>
      </c>
      <c r="AR975" s="15">
        <v>-129140.0</v>
      </c>
      <c r="AS975" s="15">
        <v>122820.0</v>
      </c>
      <c r="AT975" s="15">
        <v>388210.0</v>
      </c>
      <c r="AU975" s="15">
        <v>370200.0</v>
      </c>
      <c r="AV975" s="15">
        <v>585060.0</v>
      </c>
      <c r="AW975" s="15">
        <v>414600.0</v>
      </c>
      <c r="AX975" s="15">
        <v>-396670.0</v>
      </c>
      <c r="AY975" s="15">
        <v>-299770.0</v>
      </c>
      <c r="AZ975" s="15">
        <v>-197640.0</v>
      </c>
      <c r="BA975" s="15">
        <v>-182990.0</v>
      </c>
      <c r="BB975" s="15">
        <v>-187070.0</v>
      </c>
      <c r="BC975" s="15">
        <v>-113390.0</v>
      </c>
      <c r="BD975" s="15">
        <v>-3480.0</v>
      </c>
      <c r="BE975" s="15">
        <v>-61550.0</v>
      </c>
      <c r="BF975" s="15">
        <v>-59660.0</v>
      </c>
      <c r="BG975" s="16">
        <v>0.0</v>
      </c>
      <c r="BH975" s="15">
        <v>757040.0</v>
      </c>
      <c r="BI975" s="15">
        <v>1120000.0</v>
      </c>
      <c r="BJ975" s="15">
        <v>1230000.0</v>
      </c>
      <c r="BK975" s="15">
        <v>1050000.0</v>
      </c>
      <c r="BL975" s="15">
        <v>708490.0</v>
      </c>
      <c r="BM975" s="15">
        <v>177230.0</v>
      </c>
      <c r="BN975" s="15">
        <v>173200.0</v>
      </c>
      <c r="BO975" s="15">
        <v>182710.0</v>
      </c>
      <c r="BP975" s="15">
        <v>223060.0</v>
      </c>
      <c r="BQ975" s="15">
        <v>170140.0</v>
      </c>
      <c r="BR975" s="15">
        <v>295260.0</v>
      </c>
      <c r="BS975" s="15">
        <v>269710.0</v>
      </c>
      <c r="BT975" s="15">
        <v>324880.0</v>
      </c>
      <c r="BU975" s="15">
        <v>291770.0</v>
      </c>
      <c r="BV975" s="15">
        <v>230580.0</v>
      </c>
      <c r="BW975" s="15">
        <v>1380000.0</v>
      </c>
      <c r="BX975" s="15">
        <v>1700000.0</v>
      </c>
      <c r="BY975" s="15">
        <v>1840000.0</v>
      </c>
      <c r="BZ975" s="15">
        <v>1590000.0</v>
      </c>
      <c r="CA975" s="15">
        <v>1170000.0</v>
      </c>
      <c r="CB975" s="15">
        <v>2150000.0</v>
      </c>
      <c r="CC975" s="15">
        <v>1970000.0</v>
      </c>
      <c r="CD975" s="15">
        <v>2000000.0</v>
      </c>
      <c r="CE975" s="15">
        <v>1980000.0</v>
      </c>
      <c r="CF975" s="15">
        <v>1880000.0</v>
      </c>
      <c r="CG975" s="15">
        <v>674650.0</v>
      </c>
      <c r="CH975" s="15">
        <v>674800.0</v>
      </c>
      <c r="CI975" s="15">
        <v>673290.0</v>
      </c>
      <c r="CJ975" s="15">
        <v>675560.0</v>
      </c>
      <c r="CK975" s="15">
        <v>674770.0</v>
      </c>
      <c r="CL975" s="15">
        <v>5490000.0</v>
      </c>
      <c r="CM975" s="15">
        <v>5740000.0</v>
      </c>
      <c r="CN975" s="15">
        <v>5960000.0</v>
      </c>
      <c r="CO975" s="15">
        <v>6160000.0</v>
      </c>
      <c r="CP975" s="15">
        <v>5660000.0</v>
      </c>
      <c r="CQ975" s="15">
        <v>496850.0</v>
      </c>
      <c r="CR975" s="15">
        <v>387230.0</v>
      </c>
      <c r="CS975" s="15">
        <v>329810.0</v>
      </c>
      <c r="CT975" s="15">
        <v>282240.0</v>
      </c>
      <c r="CU975" s="15">
        <v>259750.0</v>
      </c>
      <c r="CV975" s="15">
        <v>698990.0</v>
      </c>
      <c r="CW975" s="15">
        <v>0.0</v>
      </c>
      <c r="CX975" s="15">
        <v>70410.0</v>
      </c>
      <c r="CY975" s="15">
        <v>111020.0</v>
      </c>
      <c r="CZ975" s="15">
        <v>102290.0</v>
      </c>
      <c r="DA975" s="15">
        <v>0.0</v>
      </c>
      <c r="DB975" s="15">
        <v>698990.0</v>
      </c>
      <c r="DC975" s="15">
        <v>651850.0</v>
      </c>
      <c r="DD975" s="15">
        <v>768220.0</v>
      </c>
      <c r="DE975" s="15">
        <v>875870.0</v>
      </c>
      <c r="DF975" s="15">
        <v>2970000.0</v>
      </c>
      <c r="DG975" s="15">
        <v>2830000.0</v>
      </c>
      <c r="DH975" s="15">
        <v>3050000.0</v>
      </c>
      <c r="DI975" s="15">
        <v>2840000.0</v>
      </c>
      <c r="DJ975" s="15">
        <v>2130000.0</v>
      </c>
      <c r="DK975" s="15">
        <v>15040.0</v>
      </c>
      <c r="DL975" s="15">
        <v>4460.0</v>
      </c>
      <c r="DM975" s="15">
        <v>5000.0</v>
      </c>
      <c r="DN975" s="15">
        <v>17020.0</v>
      </c>
      <c r="DO975" s="15">
        <v>9270.0</v>
      </c>
      <c r="DP975" s="15">
        <v>1490000.0</v>
      </c>
      <c r="DQ975" s="15">
        <v>1390000.0</v>
      </c>
      <c r="DR975" s="15">
        <v>1410000.0</v>
      </c>
      <c r="DS975" s="15">
        <v>1080000.0</v>
      </c>
      <c r="DT975" s="15">
        <v>1010000.0</v>
      </c>
      <c r="DU975" s="16">
        <v>0.0</v>
      </c>
      <c r="DV975" s="15">
        <v>0.0</v>
      </c>
      <c r="DW975" s="15">
        <v>0.0</v>
      </c>
      <c r="DX975" s="16">
        <v>0.0</v>
      </c>
      <c r="DY975" s="15">
        <v>0.0</v>
      </c>
      <c r="DZ975" s="15">
        <v>2120000.0</v>
      </c>
      <c r="EA975" s="15">
        <v>2480000.0</v>
      </c>
      <c r="EB975" s="15">
        <v>2490000.0</v>
      </c>
      <c r="EC975" s="15">
        <v>2850000.0</v>
      </c>
      <c r="ED975" s="15">
        <v>2590000.0</v>
      </c>
      <c r="EE975" s="17">
        <v>0.134</v>
      </c>
      <c r="EF975" s="17">
        <v>0.218</v>
      </c>
      <c r="EG975" s="17">
        <v>-0.167</v>
      </c>
      <c r="EH975" s="17">
        <v>0.075</v>
      </c>
    </row>
    <row r="976">
      <c r="A976" s="9">
        <f t="shared" si="2"/>
        <v>974</v>
      </c>
      <c r="B976" s="13" t="s">
        <v>1111</v>
      </c>
      <c r="C976" s="12"/>
      <c r="D976" s="12"/>
      <c r="E976" s="12">
        <v>0.0</v>
      </c>
      <c r="F976" s="12">
        <v>0.0</v>
      </c>
      <c r="G976" s="12">
        <v>0.0</v>
      </c>
      <c r="H976" s="12">
        <v>0.0</v>
      </c>
      <c r="I976" s="12">
        <v>0.0</v>
      </c>
      <c r="J976" s="12">
        <v>0.0</v>
      </c>
      <c r="K976" s="12">
        <v>0.0</v>
      </c>
      <c r="L976" s="12">
        <v>0.0</v>
      </c>
      <c r="M976" s="12">
        <v>0.0</v>
      </c>
      <c r="N976" s="12">
        <v>0.0</v>
      </c>
      <c r="O976" s="12">
        <v>21670.0</v>
      </c>
      <c r="P976" s="12">
        <v>23850.0</v>
      </c>
      <c r="Q976" s="12">
        <v>27050.0</v>
      </c>
      <c r="R976" s="12">
        <v>26760.0</v>
      </c>
      <c r="S976" s="12">
        <v>25530.0</v>
      </c>
      <c r="T976" s="12">
        <v>0.0</v>
      </c>
      <c r="U976" s="12">
        <v>0.0</v>
      </c>
      <c r="V976" s="12">
        <v>0.0</v>
      </c>
      <c r="W976" s="12">
        <v>0.0</v>
      </c>
      <c r="X976" s="12">
        <v>0.0</v>
      </c>
      <c r="Y976" s="12">
        <v>-21570.0</v>
      </c>
      <c r="Z976" s="12">
        <v>-23970.0</v>
      </c>
      <c r="AA976" s="12">
        <v>0.0</v>
      </c>
      <c r="AB976" s="12">
        <v>0.0</v>
      </c>
      <c r="AC976" s="12">
        <v>-26110.0</v>
      </c>
      <c r="AD976" s="12">
        <v>-21250.0</v>
      </c>
      <c r="AE976" s="12">
        <v>-39940.0</v>
      </c>
      <c r="AF976" s="12">
        <v>-47680.0</v>
      </c>
      <c r="AG976" s="12">
        <v>-44580.0</v>
      </c>
      <c r="AH976" s="12">
        <v>-40090.0</v>
      </c>
      <c r="AI976" s="12">
        <v>-21670.0</v>
      </c>
      <c r="AJ976" s="12">
        <v>-23850.0</v>
      </c>
      <c r="AK976" s="12">
        <v>-27050.0</v>
      </c>
      <c r="AL976" s="12">
        <v>-26760.0</v>
      </c>
      <c r="AM976" s="12">
        <v>-25530.0</v>
      </c>
      <c r="AN976" s="12">
        <v>-36890.0</v>
      </c>
      <c r="AO976" s="12">
        <v>-40620.0</v>
      </c>
      <c r="AP976" s="12">
        <v>-48080.0</v>
      </c>
      <c r="AQ976" s="12">
        <v>-44950.0</v>
      </c>
      <c r="AR976" s="12">
        <v>-40280.0</v>
      </c>
      <c r="AS976" s="12">
        <v>-8140.0</v>
      </c>
      <c r="AT976" s="12">
        <v>-13420.0</v>
      </c>
      <c r="AU976" s="12">
        <v>-10520.0</v>
      </c>
      <c r="AV976" s="12">
        <v>-15530.0</v>
      </c>
      <c r="AW976" s="12">
        <v>-14410.0</v>
      </c>
      <c r="AX976" s="12">
        <v>0.0</v>
      </c>
      <c r="AY976" s="12">
        <v>0.0</v>
      </c>
      <c r="AZ976" s="12">
        <v>0.0</v>
      </c>
      <c r="BA976" s="12">
        <v>0.0</v>
      </c>
      <c r="BB976" s="12">
        <v>0.0</v>
      </c>
      <c r="BC976" s="12">
        <v>0.0</v>
      </c>
      <c r="BD976" s="12">
        <v>0.0</v>
      </c>
      <c r="BE976" s="12">
        <v>0.0</v>
      </c>
      <c r="BF976" s="12">
        <v>0.0</v>
      </c>
      <c r="BG976" s="12">
        <v>0.0</v>
      </c>
      <c r="BH976" s="12">
        <v>197310.0</v>
      </c>
      <c r="BI976" s="12">
        <v>221970.0</v>
      </c>
      <c r="BJ976" s="12">
        <v>108160.0</v>
      </c>
      <c r="BK976" s="12">
        <v>141550.0</v>
      </c>
      <c r="BL976" s="12">
        <v>168760.0</v>
      </c>
      <c r="BM976" s="12">
        <v>1460.0</v>
      </c>
      <c r="BN976" s="12">
        <v>2370.0</v>
      </c>
      <c r="BO976" s="12">
        <v>0.0</v>
      </c>
      <c r="BP976" s="12">
        <v>2030.0</v>
      </c>
      <c r="BQ976" s="12">
        <v>3630.0</v>
      </c>
      <c r="BR976" s="12">
        <v>0.0</v>
      </c>
      <c r="BS976" s="12">
        <v>0.0</v>
      </c>
      <c r="BT976" s="12">
        <v>0.0</v>
      </c>
      <c r="BU976" s="12">
        <v>0.0</v>
      </c>
      <c r="BV976" s="12">
        <v>0.0</v>
      </c>
      <c r="BW976" s="12">
        <v>199690.0</v>
      </c>
      <c r="BX976" s="12">
        <v>225130.0</v>
      </c>
      <c r="BY976" s="12">
        <v>109300.0</v>
      </c>
      <c r="BZ976" s="12">
        <v>144330.0</v>
      </c>
      <c r="CA976" s="12">
        <v>173170.0</v>
      </c>
      <c r="CB976" s="12">
        <v>0.0</v>
      </c>
      <c r="CC976" s="12">
        <v>0.0</v>
      </c>
      <c r="CD976" s="12">
        <v>0.0</v>
      </c>
      <c r="CE976" s="12">
        <v>58380.0</v>
      </c>
      <c r="CF976" s="12">
        <v>58190.0</v>
      </c>
      <c r="CG976" s="36">
        <v>0.0</v>
      </c>
      <c r="CH976" s="36">
        <v>0.0</v>
      </c>
      <c r="CI976" s="12">
        <v>0.0</v>
      </c>
      <c r="CJ976" s="12">
        <v>0.0</v>
      </c>
      <c r="CK976" s="12">
        <v>0.0</v>
      </c>
      <c r="CL976" s="12">
        <v>326530.0</v>
      </c>
      <c r="CM976" s="12">
        <v>346800.0</v>
      </c>
      <c r="CN976" s="12">
        <v>513590.0</v>
      </c>
      <c r="CO976" s="12">
        <v>548950.0</v>
      </c>
      <c r="CP976" s="12">
        <v>577380.0</v>
      </c>
      <c r="CQ976" s="12">
        <v>0.0</v>
      </c>
      <c r="CR976" s="12">
        <v>0.0</v>
      </c>
      <c r="CS976" s="12">
        <v>0.0</v>
      </c>
      <c r="CT976" s="12">
        <v>0.0</v>
      </c>
      <c r="CU976" s="12">
        <v>0.0</v>
      </c>
      <c r="CV976" s="12">
        <v>4440.0</v>
      </c>
      <c r="CW976" s="12">
        <v>0.0</v>
      </c>
      <c r="CX976" s="12">
        <v>0.0</v>
      </c>
      <c r="CY976" s="12">
        <v>0.0</v>
      </c>
      <c r="CZ976" s="12">
        <v>0.0</v>
      </c>
      <c r="DA976" s="12">
        <v>0.0</v>
      </c>
      <c r="DB976" s="12">
        <v>4440.0</v>
      </c>
      <c r="DC976" s="12">
        <v>4860.0</v>
      </c>
      <c r="DD976" s="12">
        <v>4410.0</v>
      </c>
      <c r="DE976" s="12">
        <v>4100.0</v>
      </c>
      <c r="DF976" s="12">
        <v>143290.0</v>
      </c>
      <c r="DG976" s="12">
        <v>133230.0</v>
      </c>
      <c r="DH976" s="12">
        <v>147680.0</v>
      </c>
      <c r="DI976" s="12">
        <v>145210.0</v>
      </c>
      <c r="DJ976" s="12">
        <v>138880.0</v>
      </c>
      <c r="DK976" s="12">
        <v>3690.0</v>
      </c>
      <c r="DL976" s="12">
        <v>2720.0</v>
      </c>
      <c r="DM976" s="12">
        <v>3280.0</v>
      </c>
      <c r="DN976" s="12">
        <v>328870.0</v>
      </c>
      <c r="DO976" s="12">
        <v>327120.0</v>
      </c>
      <c r="DP976" s="12">
        <v>68510.0</v>
      </c>
      <c r="DQ976" s="12">
        <v>68550.0</v>
      </c>
      <c r="DR976" s="12">
        <v>66450.0</v>
      </c>
      <c r="DS976" s="12">
        <v>69350.0</v>
      </c>
      <c r="DT976" s="12">
        <v>68680.0</v>
      </c>
      <c r="DU976" s="37">
        <v>0.0</v>
      </c>
      <c r="DV976" s="36">
        <v>0.0</v>
      </c>
      <c r="DW976" s="36">
        <v>0.0</v>
      </c>
      <c r="DX976" s="37">
        <v>0.0</v>
      </c>
      <c r="DY976" s="12">
        <v>0.0</v>
      </c>
      <c r="DZ976" s="12">
        <v>183240.0</v>
      </c>
      <c r="EA976" s="12">
        <v>213570.0</v>
      </c>
      <c r="EB976" s="12">
        <v>365910.0</v>
      </c>
      <c r="EC976" s="12">
        <v>403730.0</v>
      </c>
      <c r="ED976" s="12">
        <v>438510.0</v>
      </c>
      <c r="EE976" s="23"/>
      <c r="EF976" s="23"/>
      <c r="EG976" s="23"/>
      <c r="EH976" s="23"/>
    </row>
    <row r="977">
      <c r="A977" s="9">
        <f t="shared" si="2"/>
        <v>975</v>
      </c>
      <c r="B977" s="25" t="s">
        <v>1112</v>
      </c>
      <c r="C977" s="12">
        <v>949420.0</v>
      </c>
      <c r="D977" s="12">
        <v>731160.0</v>
      </c>
      <c r="E977" s="12">
        <v>839790.0</v>
      </c>
      <c r="F977" s="12">
        <v>779630.0</v>
      </c>
      <c r="G977" s="12">
        <v>515960.0</v>
      </c>
      <c r="H977" s="12">
        <v>694660.0</v>
      </c>
      <c r="I977" s="12">
        <v>913990.0</v>
      </c>
      <c r="J977" s="12">
        <v>14600.0</v>
      </c>
      <c r="K977" s="12">
        <v>38750.0</v>
      </c>
      <c r="L977" s="12">
        <v>40760.0</v>
      </c>
      <c r="M977" s="12">
        <v>52330.0</v>
      </c>
      <c r="N977" s="12">
        <v>67680.0</v>
      </c>
      <c r="O977" s="12">
        <v>24150.0</v>
      </c>
      <c r="P977" s="12">
        <v>29290.0</v>
      </c>
      <c r="Q977" s="12">
        <v>36990.0</v>
      </c>
      <c r="R977" s="12">
        <v>41340.0</v>
      </c>
      <c r="S977" s="12">
        <v>35440.0</v>
      </c>
      <c r="T977" s="12">
        <v>0.0</v>
      </c>
      <c r="U977" s="12">
        <v>0.0</v>
      </c>
      <c r="V977" s="12">
        <v>0.0</v>
      </c>
      <c r="W977" s="12">
        <v>0.0</v>
      </c>
      <c r="X977" s="12">
        <v>0.0</v>
      </c>
      <c r="Y977" s="12">
        <v>-16320.0</v>
      </c>
      <c r="Z977" s="12">
        <v>-1360000.0</v>
      </c>
      <c r="AA977" s="12">
        <v>-393170.0</v>
      </c>
      <c r="AB977" s="12">
        <v>-38690.0</v>
      </c>
      <c r="AC977" s="12">
        <v>22770.0</v>
      </c>
      <c r="AD977" s="12">
        <v>-98060.0</v>
      </c>
      <c r="AE977" s="12">
        <v>-1420000.0</v>
      </c>
      <c r="AF977" s="12">
        <v>-314900.0</v>
      </c>
      <c r="AG977" s="12">
        <v>-14180.0</v>
      </c>
      <c r="AH977" s="12">
        <v>-394430.0</v>
      </c>
      <c r="AI977" s="12">
        <v>314740.0</v>
      </c>
      <c r="AJ977" s="12">
        <v>324690.0</v>
      </c>
      <c r="AK977" s="12">
        <v>213260.0</v>
      </c>
      <c r="AL977" s="12">
        <v>277970.0</v>
      </c>
      <c r="AM977" s="12">
        <v>338910.0</v>
      </c>
      <c r="AN977" s="12">
        <v>-97530.0</v>
      </c>
      <c r="AO977" s="12">
        <v>-1410000.0</v>
      </c>
      <c r="AP977" s="12">
        <v>-205090.0</v>
      </c>
      <c r="AQ977" s="12">
        <v>-11390.0</v>
      </c>
      <c r="AR977" s="12">
        <v>-257670.0</v>
      </c>
      <c r="AS977" s="12">
        <v>280770.0</v>
      </c>
      <c r="AT977" s="12">
        <v>237320.0</v>
      </c>
      <c r="AU977" s="12">
        <v>362790.0</v>
      </c>
      <c r="AV977" s="12">
        <v>302480.0</v>
      </c>
      <c r="AW977" s="12">
        <v>270840.0</v>
      </c>
      <c r="AX977" s="12">
        <v>-333450.0</v>
      </c>
      <c r="AY977" s="12">
        <v>-277250.0</v>
      </c>
      <c r="AZ977" s="12">
        <v>-719360.0</v>
      </c>
      <c r="BA977" s="12">
        <v>-736520.0</v>
      </c>
      <c r="BB977" s="12">
        <v>-498320.0</v>
      </c>
      <c r="BC977" s="16">
        <v>0.0</v>
      </c>
      <c r="BD977" s="16">
        <v>0.0</v>
      </c>
      <c r="BE977" s="16">
        <v>0.0</v>
      </c>
      <c r="BF977" s="16">
        <v>0.0</v>
      </c>
      <c r="BG977" s="16">
        <v>0.0</v>
      </c>
      <c r="BH977" s="12">
        <v>108150.0</v>
      </c>
      <c r="BI977" s="12">
        <v>141630.0</v>
      </c>
      <c r="BJ977" s="12">
        <v>270890.0</v>
      </c>
      <c r="BK977" s="12">
        <v>273440.0</v>
      </c>
      <c r="BL977" s="12">
        <v>466040.0</v>
      </c>
      <c r="BM977" s="12">
        <v>36570.0</v>
      </c>
      <c r="BN977" s="12">
        <v>54910.0</v>
      </c>
      <c r="BO977" s="12">
        <v>50120.0</v>
      </c>
      <c r="BP977" s="12">
        <v>66520.0</v>
      </c>
      <c r="BQ977" s="12">
        <v>178080.0</v>
      </c>
      <c r="BR977" s="12">
        <v>142640.0</v>
      </c>
      <c r="BS977" s="12">
        <v>193670.0</v>
      </c>
      <c r="BT977" s="12">
        <v>242070.0</v>
      </c>
      <c r="BU977" s="12">
        <v>201690.0</v>
      </c>
      <c r="BV977" s="12">
        <v>202670.0</v>
      </c>
      <c r="BW977" s="12">
        <v>296570.0</v>
      </c>
      <c r="BX977" s="12">
        <v>396630.0</v>
      </c>
      <c r="BY977" s="12">
        <v>570090.0</v>
      </c>
      <c r="BZ977" s="12">
        <v>549830.0</v>
      </c>
      <c r="CA977" s="12">
        <v>853740.0</v>
      </c>
      <c r="CB977" s="12">
        <v>2500000.0</v>
      </c>
      <c r="CC977" s="12">
        <v>2530000.0</v>
      </c>
      <c r="CD977" s="12">
        <v>4010000.0</v>
      </c>
      <c r="CE977" s="12">
        <v>4280000.0</v>
      </c>
      <c r="CF977" s="12">
        <v>3880000.0</v>
      </c>
      <c r="CG977" s="12">
        <v>0.0</v>
      </c>
      <c r="CH977" s="12">
        <v>0.0</v>
      </c>
      <c r="CI977" s="12">
        <v>0.0</v>
      </c>
      <c r="CJ977" s="12">
        <v>0.0</v>
      </c>
      <c r="CK977" s="12">
        <v>0.0</v>
      </c>
      <c r="CL977" s="12">
        <v>2800000.0</v>
      </c>
      <c r="CM977" s="12">
        <v>2960000.0</v>
      </c>
      <c r="CN977" s="12">
        <v>5030000.0</v>
      </c>
      <c r="CO977" s="12">
        <v>5270000.0</v>
      </c>
      <c r="CP977" s="12">
        <v>5110000.0</v>
      </c>
      <c r="CQ977" s="12">
        <v>51480.0</v>
      </c>
      <c r="CR977" s="12">
        <v>64330.0</v>
      </c>
      <c r="CS977" s="12">
        <v>76300.0</v>
      </c>
      <c r="CT977" s="12">
        <v>42910.0</v>
      </c>
      <c r="CU977" s="12">
        <v>41950.0</v>
      </c>
      <c r="CV977" s="12">
        <v>222910.0</v>
      </c>
      <c r="CW977" s="15">
        <v>0.0</v>
      </c>
      <c r="CX977" s="16">
        <v>0.0</v>
      </c>
      <c r="CY977" s="16">
        <v>0.0</v>
      </c>
      <c r="CZ977" s="16">
        <v>0.0</v>
      </c>
      <c r="DA977" s="15">
        <v>0.0</v>
      </c>
      <c r="DB977" s="12">
        <v>222910.0</v>
      </c>
      <c r="DC977" s="12">
        <v>178780.0</v>
      </c>
      <c r="DD977" s="12">
        <v>227030.0</v>
      </c>
      <c r="DE977" s="12">
        <v>235220.0</v>
      </c>
      <c r="DF977" s="12">
        <v>1550000.0</v>
      </c>
      <c r="DG977" s="12">
        <v>1670000.0</v>
      </c>
      <c r="DH977" s="12">
        <v>2350000.0</v>
      </c>
      <c r="DI977" s="12">
        <v>2490000.0</v>
      </c>
      <c r="DJ977" s="12">
        <v>2190000.0</v>
      </c>
      <c r="DK977" s="15">
        <v>0.0</v>
      </c>
      <c r="DL977" s="15">
        <v>0.0</v>
      </c>
      <c r="DM977" s="15">
        <v>0.0</v>
      </c>
      <c r="DN977" s="15">
        <v>0.0</v>
      </c>
      <c r="DO977" s="15">
        <v>0.0</v>
      </c>
      <c r="DP977" s="12">
        <v>957520.0</v>
      </c>
      <c r="DQ977" s="12">
        <v>1080000.0</v>
      </c>
      <c r="DR977" s="12">
        <v>1260000.0</v>
      </c>
      <c r="DS977" s="12">
        <v>1190000.0</v>
      </c>
      <c r="DT977" s="12">
        <v>1090000.0</v>
      </c>
      <c r="DU977" s="16">
        <v>0.0</v>
      </c>
      <c r="DV977" s="15">
        <v>0.0</v>
      </c>
      <c r="DW977" s="15">
        <v>0.0</v>
      </c>
      <c r="DX977" s="16">
        <v>0.0</v>
      </c>
      <c r="DY977" s="16">
        <v>0.0</v>
      </c>
      <c r="DZ977" s="12">
        <v>1250000.0</v>
      </c>
      <c r="EA977" s="12">
        <v>1290000.0</v>
      </c>
      <c r="EB977" s="12">
        <v>2680000.0</v>
      </c>
      <c r="EC977" s="12">
        <v>2780000.0</v>
      </c>
      <c r="ED977" s="12">
        <v>2920000.0</v>
      </c>
      <c r="EE977" s="23">
        <v>0.182</v>
      </c>
      <c r="EF977" s="23">
        <v>0.24</v>
      </c>
      <c r="EG977" s="23">
        <v>0.0</v>
      </c>
      <c r="EH977" s="23">
        <v>-0.083</v>
      </c>
    </row>
    <row r="978">
      <c r="A978" s="9">
        <f t="shared" si="2"/>
        <v>976</v>
      </c>
      <c r="B978" s="22" t="s">
        <v>1113</v>
      </c>
      <c r="C978" s="11">
        <v>105450.0</v>
      </c>
      <c r="D978" s="11">
        <v>84160.0</v>
      </c>
      <c r="E978" s="11">
        <v>103540.0</v>
      </c>
      <c r="F978" s="11">
        <v>108670.0</v>
      </c>
      <c r="G978" s="11">
        <v>77140.0</v>
      </c>
      <c r="H978" s="11">
        <v>85590.0</v>
      </c>
      <c r="I978" s="12"/>
      <c r="J978" s="12"/>
      <c r="K978" s="12"/>
      <c r="L978" s="12"/>
      <c r="M978" s="12"/>
      <c r="N978" s="12"/>
      <c r="O978" s="11">
        <v>145280.0</v>
      </c>
      <c r="P978" s="11">
        <v>105760.0</v>
      </c>
      <c r="Q978" s="11">
        <v>88130.0</v>
      </c>
      <c r="R978" s="11">
        <v>90420.0</v>
      </c>
      <c r="S978" s="12"/>
      <c r="T978" s="11">
        <v>129250.0</v>
      </c>
      <c r="U978" s="11">
        <v>95710.0</v>
      </c>
      <c r="V978" s="11">
        <v>79740.0</v>
      </c>
      <c r="W978" s="11">
        <v>82110.0</v>
      </c>
      <c r="X978" s="12"/>
      <c r="Y978" s="12"/>
      <c r="Z978" s="11">
        <v>-4240.0</v>
      </c>
      <c r="AA978" s="12"/>
      <c r="AB978" s="12"/>
      <c r="AC978" s="12"/>
      <c r="AD978" s="11">
        <v>-42800.0</v>
      </c>
      <c r="AE978" s="11">
        <v>-493.0</v>
      </c>
      <c r="AF978" s="11">
        <v>-15220.0</v>
      </c>
      <c r="AG978" s="11">
        <v>-6420.0</v>
      </c>
      <c r="AH978" s="12"/>
      <c r="AI978" s="11">
        <v>-41740.0</v>
      </c>
      <c r="AJ978" s="11">
        <v>2910.0</v>
      </c>
      <c r="AK978" s="11">
        <v>-10980.0</v>
      </c>
      <c r="AL978" s="11">
        <v>-4830.0</v>
      </c>
      <c r="AM978" s="12"/>
      <c r="AN978" s="11">
        <v>-42800.0</v>
      </c>
      <c r="AO978" s="11">
        <v>-493.0</v>
      </c>
      <c r="AP978" s="11">
        <v>-14160.0</v>
      </c>
      <c r="AQ978" s="11">
        <v>-6920.0</v>
      </c>
      <c r="AR978" s="12"/>
      <c r="AS978" s="11">
        <v>-41170.0</v>
      </c>
      <c r="AT978" s="11">
        <v>-9800.0</v>
      </c>
      <c r="AU978" s="11">
        <v>-17410.0</v>
      </c>
      <c r="AV978" s="11">
        <v>1270.0</v>
      </c>
      <c r="AW978" s="12"/>
      <c r="AX978" s="11">
        <v>-3490.0</v>
      </c>
      <c r="AY978" s="11">
        <v>-5840.0</v>
      </c>
      <c r="AZ978" s="11">
        <v>-6420.0</v>
      </c>
      <c r="BA978" s="11">
        <v>-24800.0</v>
      </c>
      <c r="BB978" s="12"/>
      <c r="BC978" s="12"/>
      <c r="BD978" s="12"/>
      <c r="BE978" s="12"/>
      <c r="BF978" s="12"/>
      <c r="BG978" s="12"/>
      <c r="BH978" s="11">
        <v>344510.0</v>
      </c>
      <c r="BI978" s="11">
        <v>206630.0</v>
      </c>
      <c r="BJ978" s="11">
        <v>173690.0</v>
      </c>
      <c r="BK978" s="11">
        <v>230190.0</v>
      </c>
      <c r="BL978" s="12"/>
      <c r="BM978" s="11">
        <v>5210.0</v>
      </c>
      <c r="BN978" s="11">
        <v>3670.0</v>
      </c>
      <c r="BO978" s="12"/>
      <c r="BP978" s="11">
        <v>2770.0</v>
      </c>
      <c r="BQ978" s="12"/>
      <c r="BR978" s="12"/>
      <c r="BS978" s="12"/>
      <c r="BT978" s="12"/>
      <c r="BU978" s="12"/>
      <c r="BV978" s="12"/>
      <c r="BW978" s="11">
        <v>355250.0</v>
      </c>
      <c r="BX978" s="11">
        <v>214560.0</v>
      </c>
      <c r="BY978" s="11">
        <v>175530.0</v>
      </c>
      <c r="BZ978" s="11">
        <v>234680.0</v>
      </c>
      <c r="CA978" s="12"/>
      <c r="CB978" s="11">
        <v>19480.0</v>
      </c>
      <c r="CC978" s="11">
        <v>23890.0</v>
      </c>
      <c r="CD978" s="11">
        <v>24870.0</v>
      </c>
      <c r="CE978" s="11">
        <v>27190.0</v>
      </c>
      <c r="CF978" s="12"/>
      <c r="CG978" s="12"/>
      <c r="CH978" s="12"/>
      <c r="CI978" s="12"/>
      <c r="CJ978" s="12"/>
      <c r="CK978" s="12"/>
      <c r="CL978" s="11">
        <v>380400.0</v>
      </c>
      <c r="CM978" s="11">
        <v>246090.0</v>
      </c>
      <c r="CN978" s="11">
        <v>248940.0</v>
      </c>
      <c r="CO978" s="11">
        <v>276990.0</v>
      </c>
      <c r="CP978" s="12"/>
      <c r="CQ978" s="11">
        <v>9030.0</v>
      </c>
      <c r="CR978" s="11">
        <v>5780.0</v>
      </c>
      <c r="CS978" s="11">
        <v>1890.0</v>
      </c>
      <c r="CT978" s="11">
        <v>8420.0</v>
      </c>
      <c r="CU978" s="12"/>
      <c r="CV978" s="11">
        <v>39720.0</v>
      </c>
      <c r="CW978" s="12"/>
      <c r="CX978" s="12"/>
      <c r="CY978" s="12"/>
      <c r="CZ978" s="12"/>
      <c r="DA978" s="12"/>
      <c r="DB978" s="11">
        <v>39720.0</v>
      </c>
      <c r="DC978" s="11">
        <v>41490.0</v>
      </c>
      <c r="DD978" s="11">
        <v>36890.0</v>
      </c>
      <c r="DE978" s="11">
        <v>37690.0</v>
      </c>
      <c r="DF978" s="11">
        <v>49680.0</v>
      </c>
      <c r="DG978" s="11">
        <v>59410.0</v>
      </c>
      <c r="DH978" s="11">
        <v>75050.0</v>
      </c>
      <c r="DI978" s="11">
        <v>97180.0</v>
      </c>
      <c r="DJ978" s="12"/>
      <c r="DK978" s="11">
        <v>1870.0</v>
      </c>
      <c r="DL978" s="11">
        <v>2250.0</v>
      </c>
      <c r="DM978" s="11">
        <v>47400.0</v>
      </c>
      <c r="DN978" s="11">
        <v>14960.0</v>
      </c>
      <c r="DO978" s="12"/>
      <c r="DP978" s="12"/>
      <c r="DQ978" s="12"/>
      <c r="DR978" s="12"/>
      <c r="DS978" s="12"/>
      <c r="DT978" s="12"/>
      <c r="DU978" s="13"/>
      <c r="DV978" s="11">
        <v>294870.0</v>
      </c>
      <c r="DW978" s="11">
        <v>294870.0</v>
      </c>
      <c r="DX978" s="11">
        <v>294870.0</v>
      </c>
      <c r="DY978" s="13"/>
      <c r="DZ978" s="11">
        <v>330720.0</v>
      </c>
      <c r="EA978" s="11">
        <v>186680.0</v>
      </c>
      <c r="EB978" s="11">
        <v>173900.0</v>
      </c>
      <c r="EC978" s="11">
        <v>179810.0</v>
      </c>
      <c r="ED978" s="12"/>
      <c r="EE978" s="14">
        <v>0.358</v>
      </c>
      <c r="EF978" s="14">
        <v>0.996</v>
      </c>
      <c r="EG978" s="14">
        <v>-0.226</v>
      </c>
      <c r="EH978" s="14">
        <v>0.06</v>
      </c>
    </row>
    <row r="979">
      <c r="A979" s="9">
        <f t="shared" si="2"/>
        <v>977</v>
      </c>
      <c r="B979" s="10" t="s">
        <v>1114</v>
      </c>
      <c r="C979" s="15">
        <v>1010000.0</v>
      </c>
      <c r="D979" s="15">
        <v>972620.0</v>
      </c>
      <c r="E979" s="15">
        <v>903580.0</v>
      </c>
      <c r="F979" s="15">
        <v>849040.0</v>
      </c>
      <c r="G979" s="15">
        <v>769030.0</v>
      </c>
      <c r="H979" s="15">
        <v>705500.0</v>
      </c>
      <c r="I979" s="15">
        <v>624680.0</v>
      </c>
      <c r="J979" s="15">
        <v>210510.0</v>
      </c>
      <c r="K979" s="15">
        <v>196910.0</v>
      </c>
      <c r="L979" s="15">
        <v>183890.0</v>
      </c>
      <c r="M979" s="15">
        <v>177110.0</v>
      </c>
      <c r="N979" s="15">
        <v>161560.0</v>
      </c>
      <c r="O979" s="15">
        <v>192010.0</v>
      </c>
      <c r="P979" s="15">
        <v>179590.0</v>
      </c>
      <c r="Q979" s="15">
        <v>169790.0</v>
      </c>
      <c r="R979" s="15">
        <v>156730.0</v>
      </c>
      <c r="S979" s="15">
        <v>132930.0</v>
      </c>
      <c r="T979" s="15"/>
      <c r="U979" s="15"/>
      <c r="V979" s="15"/>
      <c r="W979" s="15"/>
      <c r="X979" s="15"/>
      <c r="Y979" s="15">
        <v>18120.0</v>
      </c>
      <c r="Z979" s="12"/>
      <c r="AA979" s="12"/>
      <c r="AB979" s="15"/>
      <c r="AC979" s="15"/>
      <c r="AD979" s="15">
        <v>11810.0</v>
      </c>
      <c r="AE979" s="15">
        <v>10490.0</v>
      </c>
      <c r="AF979" s="15">
        <v>10310.0</v>
      </c>
      <c r="AG979" s="15">
        <v>17340.0</v>
      </c>
      <c r="AH979" s="15">
        <v>25640.0</v>
      </c>
      <c r="AI979" s="15">
        <v>47980.0</v>
      </c>
      <c r="AJ979" s="15">
        <v>46860.0</v>
      </c>
      <c r="AK979" s="15">
        <v>43710.0</v>
      </c>
      <c r="AL979" s="15">
        <v>46010.0</v>
      </c>
      <c r="AM979" s="15">
        <v>50070.0</v>
      </c>
      <c r="AN979" s="15">
        <v>9420.0</v>
      </c>
      <c r="AO979" s="15">
        <v>12660.0</v>
      </c>
      <c r="AP979" s="15">
        <v>6890.0</v>
      </c>
      <c r="AQ979" s="15">
        <v>11470.0</v>
      </c>
      <c r="AR979" s="15">
        <v>16200.0</v>
      </c>
      <c r="AS979" s="15">
        <v>37380.0</v>
      </c>
      <c r="AT979" s="15">
        <v>42860.0</v>
      </c>
      <c r="AU979" s="15">
        <v>40850.0</v>
      </c>
      <c r="AV979" s="15">
        <v>28830.0</v>
      </c>
      <c r="AW979" s="15">
        <v>41000.0</v>
      </c>
      <c r="AX979" s="15">
        <v>-32730.0</v>
      </c>
      <c r="AY979" s="15">
        <v>-23720.0</v>
      </c>
      <c r="AZ979" s="15">
        <v>-41230.0</v>
      </c>
      <c r="BA979" s="15">
        <v>-53760.0</v>
      </c>
      <c r="BB979" s="15">
        <v>-36750.0</v>
      </c>
      <c r="BC979" s="15"/>
      <c r="BD979" s="15"/>
      <c r="BE979" s="15"/>
      <c r="BF979" s="15"/>
      <c r="BG979" s="15"/>
      <c r="BH979" s="15">
        <v>6210.0</v>
      </c>
      <c r="BI979" s="15">
        <v>9400.0</v>
      </c>
      <c r="BJ979" s="15">
        <v>6520.0</v>
      </c>
      <c r="BK979" s="15">
        <v>4020.0</v>
      </c>
      <c r="BL979" s="15">
        <v>2920.0</v>
      </c>
      <c r="BM979" s="15">
        <v>5060.0</v>
      </c>
      <c r="BN979" s="15">
        <v>4740.0</v>
      </c>
      <c r="BO979" s="15">
        <v>4860.0</v>
      </c>
      <c r="BP979" s="15">
        <v>3750.0</v>
      </c>
      <c r="BQ979" s="15">
        <v>2580.0</v>
      </c>
      <c r="BR979" s="15">
        <v>96180.0</v>
      </c>
      <c r="BS979" s="15">
        <v>94230.0</v>
      </c>
      <c r="BT979" s="15">
        <v>93610.0</v>
      </c>
      <c r="BU979" s="15">
        <v>86330.0</v>
      </c>
      <c r="BV979" s="15">
        <v>74820.0</v>
      </c>
      <c r="BW979" s="15">
        <v>115180.0</v>
      </c>
      <c r="BX979" s="15">
        <v>110950.0</v>
      </c>
      <c r="BY979" s="15">
        <v>108220.0</v>
      </c>
      <c r="BZ979" s="15">
        <v>97330.0</v>
      </c>
      <c r="CA979" s="15">
        <v>82280.0</v>
      </c>
      <c r="CB979" s="15">
        <v>201640.0</v>
      </c>
      <c r="CC979" s="15">
        <v>188770.0</v>
      </c>
      <c r="CD979" s="15">
        <v>184420.0</v>
      </c>
      <c r="CE979" s="15">
        <v>178300.0</v>
      </c>
      <c r="CF979" s="15">
        <v>145220.0</v>
      </c>
      <c r="CG979" s="15">
        <v>5200.0</v>
      </c>
      <c r="CH979" s="15">
        <v>5200.0</v>
      </c>
      <c r="CI979" s="15">
        <v>5200.0</v>
      </c>
      <c r="CJ979" s="15">
        <v>5200.0</v>
      </c>
      <c r="CK979" s="15">
        <v>5200.0</v>
      </c>
      <c r="CL979" s="15">
        <v>327110.0</v>
      </c>
      <c r="CM979" s="15">
        <v>307080.0</v>
      </c>
      <c r="CN979" s="15">
        <v>299990.0</v>
      </c>
      <c r="CO979" s="15">
        <v>282250.0</v>
      </c>
      <c r="CP979" s="15">
        <v>233920.0</v>
      </c>
      <c r="CQ979" s="15">
        <v>63160.0</v>
      </c>
      <c r="CR979" s="15">
        <v>61100.0</v>
      </c>
      <c r="CS979" s="15">
        <v>56850.0</v>
      </c>
      <c r="CT979" s="15">
        <v>53620.0</v>
      </c>
      <c r="CU979" s="15">
        <v>49900.0</v>
      </c>
      <c r="CV979" s="15">
        <v>83270.0</v>
      </c>
      <c r="CW979" s="15"/>
      <c r="CX979" s="13"/>
      <c r="CY979" s="13"/>
      <c r="CZ979" s="13"/>
      <c r="DA979" s="12"/>
      <c r="DB979" s="15">
        <v>83270.0</v>
      </c>
      <c r="DC979" s="15">
        <v>79690.0</v>
      </c>
      <c r="DD979" s="15">
        <v>71560.0</v>
      </c>
      <c r="DE979" s="15">
        <v>66540.0</v>
      </c>
      <c r="DF979" s="15">
        <v>170210.0</v>
      </c>
      <c r="DG979" s="15">
        <v>160360.0</v>
      </c>
      <c r="DH979" s="15">
        <v>166110.0</v>
      </c>
      <c r="DI979" s="15">
        <v>155520.0</v>
      </c>
      <c r="DJ979" s="15">
        <v>118440.0</v>
      </c>
      <c r="DK979" s="15"/>
      <c r="DL979" s="15"/>
      <c r="DM979" s="15"/>
      <c r="DN979" s="15"/>
      <c r="DO979" s="15"/>
      <c r="DP979" s="15">
        <v>57170.0</v>
      </c>
      <c r="DQ979" s="15">
        <v>53600.0</v>
      </c>
      <c r="DR979" s="15">
        <v>61270.0</v>
      </c>
      <c r="DS979" s="15">
        <v>58860.0</v>
      </c>
      <c r="DT979" s="15">
        <v>27270.0</v>
      </c>
      <c r="DU979" s="13"/>
      <c r="DV979" s="12"/>
      <c r="DW979" s="12"/>
      <c r="DX979" s="13"/>
      <c r="DY979" s="13"/>
      <c r="DZ979" s="15">
        <v>156910.0</v>
      </c>
      <c r="EA979" s="15">
        <v>146730.0</v>
      </c>
      <c r="EB979" s="15">
        <v>133880.0</v>
      </c>
      <c r="EC979" s="15">
        <v>126730.0</v>
      </c>
      <c r="ED979" s="15">
        <v>115490.0</v>
      </c>
      <c r="EE979" s="23">
        <v>0.0</v>
      </c>
      <c r="EF979" s="23">
        <v>0.0</v>
      </c>
      <c r="EG979" s="17">
        <v>0.0</v>
      </c>
      <c r="EH979" s="23">
        <v>0.10475</v>
      </c>
    </row>
    <row r="980">
      <c r="A980" s="9">
        <f t="shared" si="2"/>
        <v>978</v>
      </c>
      <c r="B980" s="25" t="s">
        <v>1115</v>
      </c>
      <c r="C980" s="15">
        <v>1260000.0</v>
      </c>
      <c r="D980" s="15">
        <v>1140000.0</v>
      </c>
      <c r="E980" s="15">
        <v>1290000.0</v>
      </c>
      <c r="F980" s="15">
        <v>1130000.0</v>
      </c>
      <c r="G980" s="15">
        <v>972400.0</v>
      </c>
      <c r="H980" s="15">
        <v>908300.0</v>
      </c>
      <c r="I980" s="15">
        <v>958300.0</v>
      </c>
      <c r="J980" s="15">
        <v>453600.0</v>
      </c>
      <c r="K980" s="15">
        <v>416800.0</v>
      </c>
      <c r="L980" s="15">
        <v>329000.0</v>
      </c>
      <c r="M980" s="15">
        <v>275400.0</v>
      </c>
      <c r="N980" s="15">
        <v>277300.0</v>
      </c>
      <c r="O980" s="15">
        <v>154700.0</v>
      </c>
      <c r="P980" s="15">
        <v>153000.0</v>
      </c>
      <c r="Q980" s="15">
        <v>126200.0</v>
      </c>
      <c r="R980" s="15">
        <v>114000.0</v>
      </c>
      <c r="S980" s="15">
        <v>110100.0</v>
      </c>
      <c r="T980" s="15">
        <v>19700.0</v>
      </c>
      <c r="U980" s="15">
        <v>21500.0</v>
      </c>
      <c r="V980" s="15">
        <v>19800.0</v>
      </c>
      <c r="W980" s="15">
        <v>7600.0</v>
      </c>
      <c r="X980" s="15">
        <v>6900.0</v>
      </c>
      <c r="Y980" s="15">
        <v>272500.0</v>
      </c>
      <c r="Z980" s="15">
        <v>252000.0</v>
      </c>
      <c r="AA980" s="15">
        <v>191100.0</v>
      </c>
      <c r="AB980" s="15">
        <v>102700.0</v>
      </c>
      <c r="AC980" s="15">
        <v>-9700.0</v>
      </c>
      <c r="AD980" s="15">
        <v>227900.0</v>
      </c>
      <c r="AE980" s="15">
        <v>221800.0</v>
      </c>
      <c r="AF980" s="15">
        <v>174800.0</v>
      </c>
      <c r="AG980" s="15">
        <v>87000.0</v>
      </c>
      <c r="AH980" s="15">
        <v>136500.0</v>
      </c>
      <c r="AI980" s="15">
        <v>383900.0</v>
      </c>
      <c r="AJ980" s="15">
        <v>320800.0</v>
      </c>
      <c r="AK980" s="15">
        <v>243200.0</v>
      </c>
      <c r="AL980" s="15">
        <v>200200.0</v>
      </c>
      <c r="AM980" s="15">
        <v>201800.0</v>
      </c>
      <c r="AN980" s="15">
        <v>183700.0</v>
      </c>
      <c r="AO980" s="15">
        <v>169100.0</v>
      </c>
      <c r="AP980" s="15">
        <v>126500.0</v>
      </c>
      <c r="AQ980" s="15">
        <v>35200.0</v>
      </c>
      <c r="AR980" s="15">
        <v>79700.0</v>
      </c>
      <c r="AS980" s="15">
        <v>275700.0</v>
      </c>
      <c r="AT980" s="15">
        <v>252000.0</v>
      </c>
      <c r="AU980" s="15">
        <v>174300.0</v>
      </c>
      <c r="AV980" s="15">
        <v>127900.0</v>
      </c>
      <c r="AW980" s="15">
        <v>72200.0</v>
      </c>
      <c r="AX980" s="15">
        <v>-114800.0</v>
      </c>
      <c r="AY980" s="15">
        <v>-93900.0</v>
      </c>
      <c r="AZ980" s="15">
        <v>-52600.0</v>
      </c>
      <c r="BA980" s="15">
        <v>-56700.0</v>
      </c>
      <c r="BB980" s="15">
        <v>-100900.0</v>
      </c>
      <c r="BC980" s="13"/>
      <c r="BD980" s="13"/>
      <c r="BE980" s="13"/>
      <c r="BF980" s="13"/>
      <c r="BG980" s="13"/>
      <c r="BH980" s="15">
        <v>65000.0</v>
      </c>
      <c r="BI980" s="15">
        <v>78200.0</v>
      </c>
      <c r="BJ980" s="15">
        <v>89700.0</v>
      </c>
      <c r="BK980" s="15">
        <v>30500.0</v>
      </c>
      <c r="BL980" s="15">
        <v>32000.0</v>
      </c>
      <c r="BM980" s="15">
        <v>175300.0</v>
      </c>
      <c r="BN980" s="15">
        <v>142400.0</v>
      </c>
      <c r="BO980" s="15">
        <v>110600.0</v>
      </c>
      <c r="BP980" s="15">
        <v>106100.0</v>
      </c>
      <c r="BQ980" s="15">
        <v>107600.0</v>
      </c>
      <c r="BR980" s="15">
        <v>213000.0</v>
      </c>
      <c r="BS980" s="15">
        <v>192900.0</v>
      </c>
      <c r="BT980" s="15">
        <v>160800.0</v>
      </c>
      <c r="BU980" s="15">
        <v>152000.0</v>
      </c>
      <c r="BV980" s="15">
        <v>150000.0</v>
      </c>
      <c r="BW980" s="15">
        <v>463200.0</v>
      </c>
      <c r="BX980" s="15">
        <v>422700.0</v>
      </c>
      <c r="BY980" s="15">
        <v>368700.0</v>
      </c>
      <c r="BZ980" s="15">
        <v>295200.0</v>
      </c>
      <c r="CA980" s="15">
        <v>296300.0</v>
      </c>
      <c r="CB980" s="15">
        <v>718100.0</v>
      </c>
      <c r="CC980" s="15">
        <v>523800.0</v>
      </c>
      <c r="CD980" s="15">
        <v>438500.0</v>
      </c>
      <c r="CE980" s="15">
        <v>428400.0</v>
      </c>
      <c r="CF980" s="15">
        <v>443200.0</v>
      </c>
      <c r="CG980" s="15">
        <v>436400.0</v>
      </c>
      <c r="CH980" s="15">
        <v>130700.0</v>
      </c>
      <c r="CI980" s="15">
        <v>12400.0</v>
      </c>
      <c r="CJ980" s="15">
        <v>12400.0</v>
      </c>
      <c r="CK980" s="15">
        <v>11900.0</v>
      </c>
      <c r="CL980" s="15">
        <v>2140000.0</v>
      </c>
      <c r="CM980" s="15">
        <v>1320000.0</v>
      </c>
      <c r="CN980" s="15">
        <v>929600.0</v>
      </c>
      <c r="CO980" s="15">
        <v>832800.0</v>
      </c>
      <c r="CP980" s="15">
        <v>778700.0</v>
      </c>
      <c r="CQ980" s="15">
        <v>99100.0</v>
      </c>
      <c r="CR980" s="15">
        <v>92900.0</v>
      </c>
      <c r="CS980" s="15">
        <v>83100.0</v>
      </c>
      <c r="CT980" s="15">
        <v>79200.0</v>
      </c>
      <c r="CU980" s="15">
        <v>64800.0</v>
      </c>
      <c r="CV980" s="15">
        <v>215500.0</v>
      </c>
      <c r="CW980" s="15">
        <v>17100.0</v>
      </c>
      <c r="CX980" s="15"/>
      <c r="CY980" s="15"/>
      <c r="CZ980" s="13"/>
      <c r="DA980" s="12"/>
      <c r="DB980" s="15">
        <v>215500.0</v>
      </c>
      <c r="DC980" s="15">
        <v>183300.0</v>
      </c>
      <c r="DD980" s="15">
        <v>153200.0</v>
      </c>
      <c r="DE980" s="15">
        <v>136900.0</v>
      </c>
      <c r="DF980" s="15">
        <v>1610000.0</v>
      </c>
      <c r="DG980" s="15">
        <v>976500.0</v>
      </c>
      <c r="DH980" s="15">
        <v>651700.0</v>
      </c>
      <c r="DI980" s="15">
        <v>698200.0</v>
      </c>
      <c r="DJ980" s="15">
        <v>261300.0</v>
      </c>
      <c r="DK980" s="15">
        <v>75600.0</v>
      </c>
      <c r="DL980" s="15">
        <v>71200.0</v>
      </c>
      <c r="DM980" s="15">
        <v>71300.0</v>
      </c>
      <c r="DN980" s="15">
        <v>69700.0</v>
      </c>
      <c r="DO980" s="15"/>
      <c r="DP980" s="15">
        <v>1270000.0</v>
      </c>
      <c r="DQ980" s="15">
        <v>741200.0</v>
      </c>
      <c r="DR980" s="15">
        <v>444000.0</v>
      </c>
      <c r="DS980" s="15">
        <v>481300.0</v>
      </c>
      <c r="DT980" s="15">
        <v>80000.0</v>
      </c>
      <c r="DU980" s="13"/>
      <c r="DV980" s="12"/>
      <c r="DW980" s="12"/>
      <c r="DX980" s="13"/>
      <c r="DY980" s="13"/>
      <c r="DZ980" s="15">
        <v>530800.0</v>
      </c>
      <c r="EA980" s="15">
        <v>338700.0</v>
      </c>
      <c r="EB980" s="15">
        <v>263900.0</v>
      </c>
      <c r="EC980" s="15">
        <v>127000.0</v>
      </c>
      <c r="ED980" s="15">
        <v>513600.0</v>
      </c>
      <c r="EE980" s="23"/>
      <c r="EF980" s="23"/>
      <c r="EG980" s="23">
        <v>0.4</v>
      </c>
      <c r="EH980" s="23">
        <v>0.141</v>
      </c>
    </row>
    <row r="981">
      <c r="A981" s="9">
        <f t="shared" si="2"/>
        <v>979</v>
      </c>
      <c r="B981" s="10" t="s">
        <v>1116</v>
      </c>
      <c r="C981" s="11">
        <v>347490.0</v>
      </c>
      <c r="D981" s="11">
        <v>334170.0</v>
      </c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3"/>
      <c r="BD981" s="13"/>
      <c r="BE981" s="13"/>
      <c r="BF981" s="13"/>
      <c r="BG981" s="13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3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3"/>
      <c r="DP981" s="12"/>
      <c r="DQ981" s="12"/>
      <c r="DR981" s="12"/>
      <c r="DS981" s="12"/>
      <c r="DT981" s="12"/>
      <c r="DU981" s="13"/>
      <c r="DV981" s="12"/>
      <c r="DW981" s="12"/>
      <c r="DX981" s="12"/>
      <c r="DY981" s="12"/>
      <c r="DZ981" s="12"/>
      <c r="EA981" s="12"/>
      <c r="EB981" s="12"/>
      <c r="EC981" s="12"/>
      <c r="ED981" s="12"/>
      <c r="EE981" s="14">
        <v>0.021</v>
      </c>
      <c r="EF981" s="14">
        <v>0.06</v>
      </c>
      <c r="EG981" s="14">
        <v>0.442</v>
      </c>
      <c r="EH981" s="14">
        <v>0.111</v>
      </c>
    </row>
    <row r="982">
      <c r="A982" s="9">
        <f t="shared" si="2"/>
        <v>980</v>
      </c>
      <c r="B982" s="22" t="s">
        <v>1117</v>
      </c>
      <c r="C982" s="12"/>
      <c r="D982" s="12"/>
      <c r="E982" s="11">
        <v>43.0</v>
      </c>
      <c r="F982" s="11">
        <v>47.0</v>
      </c>
      <c r="G982" s="11">
        <v>45.0</v>
      </c>
      <c r="H982" s="11">
        <v>44.0</v>
      </c>
      <c r="I982" s="11">
        <v>236.0</v>
      </c>
      <c r="J982" s="12"/>
      <c r="K982" s="12"/>
      <c r="L982" s="12"/>
      <c r="M982" s="12"/>
      <c r="N982" s="12"/>
      <c r="O982" s="11">
        <v>55330.0</v>
      </c>
      <c r="P982" s="11">
        <v>88880.0</v>
      </c>
      <c r="Q982" s="11">
        <v>93600.0</v>
      </c>
      <c r="R982" s="11">
        <v>120940.0</v>
      </c>
      <c r="S982" s="11">
        <v>237640.0</v>
      </c>
      <c r="T982" s="11">
        <v>48290.0</v>
      </c>
      <c r="U982" s="11">
        <v>53420.0</v>
      </c>
      <c r="V982" s="11">
        <v>39780.0</v>
      </c>
      <c r="W982" s="11">
        <v>26550.0</v>
      </c>
      <c r="X982" s="11">
        <v>11430.0</v>
      </c>
      <c r="Y982" s="11">
        <v>-67810.0</v>
      </c>
      <c r="Z982" s="12"/>
      <c r="AA982" s="12"/>
      <c r="AB982" s="12"/>
      <c r="AC982" s="11">
        <v>-240240.0</v>
      </c>
      <c r="AD982" s="11">
        <v>-65890.0</v>
      </c>
      <c r="AE982" s="11">
        <v>-96730.0</v>
      </c>
      <c r="AF982" s="11">
        <v>-96920.0</v>
      </c>
      <c r="AG982" s="11">
        <v>-121380.0</v>
      </c>
      <c r="AH982" s="11">
        <v>-237180.0</v>
      </c>
      <c r="AI982" s="11">
        <v>-55290.0</v>
      </c>
      <c r="AJ982" s="11">
        <v>-88830.0</v>
      </c>
      <c r="AK982" s="11">
        <v>-93550.0</v>
      </c>
      <c r="AL982" s="11">
        <v>-120890.0</v>
      </c>
      <c r="AM982" s="11">
        <v>-237400.0</v>
      </c>
      <c r="AN982" s="11">
        <v>-65790.0</v>
      </c>
      <c r="AO982" s="11">
        <v>-96230.0</v>
      </c>
      <c r="AP982" s="11">
        <v>-96420.0</v>
      </c>
      <c r="AQ982" s="11">
        <v>-120810.0</v>
      </c>
      <c r="AR982" s="11">
        <v>-236880.0</v>
      </c>
      <c r="AS982" s="11">
        <v>-59090.0</v>
      </c>
      <c r="AT982" s="11">
        <v>-63380.0</v>
      </c>
      <c r="AU982" s="11">
        <v>-48780.0</v>
      </c>
      <c r="AV982" s="11">
        <v>-38590.0</v>
      </c>
      <c r="AW982" s="11">
        <v>-25310.0</v>
      </c>
      <c r="AX982" s="11">
        <v>-4180.0</v>
      </c>
      <c r="AY982" s="11">
        <v>-13100.0</v>
      </c>
      <c r="AZ982" s="11">
        <v>-34820.0</v>
      </c>
      <c r="BA982" s="11">
        <v>-6560.0</v>
      </c>
      <c r="BB982" s="11">
        <v>-2240.0</v>
      </c>
      <c r="BC982" s="12"/>
      <c r="BD982" s="12"/>
      <c r="BE982" s="12"/>
      <c r="BF982" s="12"/>
      <c r="BG982" s="12"/>
      <c r="BH982" s="11">
        <v>51650.0</v>
      </c>
      <c r="BI982" s="11">
        <v>74150.0</v>
      </c>
      <c r="BJ982" s="11">
        <v>128150.0</v>
      </c>
      <c r="BK982" s="11">
        <v>198920.0</v>
      </c>
      <c r="BL982" s="11">
        <v>294220.0</v>
      </c>
      <c r="BM982" s="11">
        <v>303.0</v>
      </c>
      <c r="BN982" s="11">
        <v>12170.0</v>
      </c>
      <c r="BO982" s="11">
        <v>1260.0</v>
      </c>
      <c r="BP982" s="11">
        <v>2670.0</v>
      </c>
      <c r="BQ982" s="11">
        <v>1770.0</v>
      </c>
      <c r="BR982" s="12"/>
      <c r="BS982" s="12"/>
      <c r="BT982" s="12"/>
      <c r="BU982" s="12"/>
      <c r="BV982" s="12"/>
      <c r="BW982" s="11">
        <v>55760.0</v>
      </c>
      <c r="BX982" s="11">
        <v>88770.0</v>
      </c>
      <c r="BY982" s="11">
        <v>132460.0</v>
      </c>
      <c r="BZ982" s="11">
        <v>205150.0</v>
      </c>
      <c r="CA982" s="11">
        <v>297540.0</v>
      </c>
      <c r="CB982" s="11">
        <v>72230.0</v>
      </c>
      <c r="CC982" s="11">
        <v>76890.0</v>
      </c>
      <c r="CD982" s="11">
        <v>76730.0</v>
      </c>
      <c r="CE982" s="11">
        <v>19270.0</v>
      </c>
      <c r="CF982" s="11">
        <v>6150.0</v>
      </c>
      <c r="CG982" s="12"/>
      <c r="CH982" s="12"/>
      <c r="CI982" s="12"/>
      <c r="CJ982" s="12"/>
      <c r="CK982" s="12"/>
      <c r="CL982" s="11">
        <v>146360.0</v>
      </c>
      <c r="CM982" s="11">
        <v>181950.0</v>
      </c>
      <c r="CN982" s="11">
        <v>250440.0</v>
      </c>
      <c r="CO982" s="11">
        <v>317500.0</v>
      </c>
      <c r="CP982" s="11">
        <v>366850.0</v>
      </c>
      <c r="CQ982" s="11">
        <v>1750.0</v>
      </c>
      <c r="CR982" s="11">
        <v>2790.0</v>
      </c>
      <c r="CS982" s="11">
        <v>5870.0</v>
      </c>
      <c r="CT982" s="11">
        <v>4050.0</v>
      </c>
      <c r="CU982" s="11">
        <v>2090.0</v>
      </c>
      <c r="CV982" s="11">
        <v>11560.0</v>
      </c>
      <c r="CW982" s="11">
        <v>3210.0</v>
      </c>
      <c r="CX982" s="12"/>
      <c r="CY982" s="12"/>
      <c r="CZ982" s="12"/>
      <c r="DA982" s="12"/>
      <c r="DB982" s="11">
        <v>11560.0</v>
      </c>
      <c r="DC982" s="11">
        <v>27260.0</v>
      </c>
      <c r="DD982" s="11">
        <v>20870.0</v>
      </c>
      <c r="DE982" s="11">
        <v>12550.0</v>
      </c>
      <c r="DF982" s="11">
        <v>25680.0</v>
      </c>
      <c r="DG982" s="11">
        <v>35940.0</v>
      </c>
      <c r="DH982" s="11">
        <v>31600.0</v>
      </c>
      <c r="DI982" s="11">
        <v>24080.0</v>
      </c>
      <c r="DJ982" s="11">
        <v>10850.0</v>
      </c>
      <c r="DK982" s="11">
        <v>10930.0</v>
      </c>
      <c r="DL982" s="11">
        <v>14380.0</v>
      </c>
      <c r="DM982" s="11">
        <v>38280.0</v>
      </c>
      <c r="DN982" s="11">
        <v>87750.0</v>
      </c>
      <c r="DO982" s="11">
        <v>55140.0</v>
      </c>
      <c r="DP982" s="11">
        <v>10890.0</v>
      </c>
      <c r="DQ982" s="11">
        <v>5950.0</v>
      </c>
      <c r="DR982" s="11">
        <v>6650.0</v>
      </c>
      <c r="DS982" s="11">
        <v>7680.0</v>
      </c>
      <c r="DT982" s="11">
        <v>2470.0</v>
      </c>
      <c r="DU982" s="13"/>
      <c r="DV982" s="12"/>
      <c r="DW982" s="12"/>
      <c r="DX982" s="13"/>
      <c r="DY982" s="13"/>
      <c r="DZ982" s="11">
        <v>120680.0</v>
      </c>
      <c r="EA982" s="11">
        <v>146010.0</v>
      </c>
      <c r="EB982" s="11">
        <v>218840.0</v>
      </c>
      <c r="EC982" s="11">
        <v>293420.0</v>
      </c>
      <c r="ED982" s="11">
        <v>356000.0</v>
      </c>
      <c r="EE982" s="23"/>
      <c r="EF982" s="23"/>
      <c r="EG982" s="14">
        <v>-0.053</v>
      </c>
      <c r="EH982" s="14">
        <v>0.035</v>
      </c>
    </row>
    <row r="983">
      <c r="A983" s="9">
        <f t="shared" si="2"/>
        <v>981</v>
      </c>
      <c r="B983" s="25" t="s">
        <v>1118</v>
      </c>
      <c r="C983" s="15">
        <v>4.431E7</v>
      </c>
      <c r="D983" s="15">
        <v>3.908E7</v>
      </c>
      <c r="E983" s="15">
        <v>3.742E7</v>
      </c>
      <c r="F983" s="15">
        <v>3.912E7</v>
      </c>
      <c r="G983" s="15">
        <v>3.636E7</v>
      </c>
      <c r="H983" s="15">
        <v>3.425E7</v>
      </c>
      <c r="I983" s="15">
        <v>3.246E7</v>
      </c>
      <c r="J983" s="15">
        <v>1.589E7</v>
      </c>
      <c r="K983" s="15">
        <v>1.743E7</v>
      </c>
      <c r="L983" s="15">
        <v>1.601E7</v>
      </c>
      <c r="M983" s="15">
        <v>1.488E7</v>
      </c>
      <c r="N983" s="15">
        <v>1.447E7</v>
      </c>
      <c r="O983" s="15">
        <v>1.312E7</v>
      </c>
      <c r="P983" s="15">
        <v>1.27E7</v>
      </c>
      <c r="Q983" s="15">
        <v>1.151E7</v>
      </c>
      <c r="R983" s="15">
        <v>1.056E7</v>
      </c>
      <c r="S983" s="15">
        <v>1.047E7</v>
      </c>
      <c r="T983" s="15"/>
      <c r="U983" s="15"/>
      <c r="V983" s="15"/>
      <c r="W983" s="15"/>
      <c r="X983" s="15"/>
      <c r="Y983" s="15">
        <v>2850000.0</v>
      </c>
      <c r="Z983" s="15">
        <v>4900000.0</v>
      </c>
      <c r="AA983" s="15">
        <v>4440000.0</v>
      </c>
      <c r="AB983" s="15">
        <v>-46000.0</v>
      </c>
      <c r="AC983" s="15">
        <v>-68000.0</v>
      </c>
      <c r="AD983" s="15">
        <v>2890000.0</v>
      </c>
      <c r="AE983" s="15">
        <v>4800000.0</v>
      </c>
      <c r="AF983" s="15">
        <v>4330000.0</v>
      </c>
      <c r="AG983" s="15">
        <v>4890000.0</v>
      </c>
      <c r="AH983" s="15">
        <v>4620000.0</v>
      </c>
      <c r="AI983" s="15">
        <v>3490000.0</v>
      </c>
      <c r="AJ983" s="15">
        <v>5430000.0</v>
      </c>
      <c r="AK983" s="15">
        <v>5250000.0</v>
      </c>
      <c r="AL983" s="15">
        <v>5020000.0</v>
      </c>
      <c r="AM983" s="15">
        <v>4650000.0</v>
      </c>
      <c r="AN983" s="15">
        <v>2540000.0</v>
      </c>
      <c r="AO983" s="15">
        <v>4030000.0</v>
      </c>
      <c r="AP983" s="15">
        <v>1930000.0</v>
      </c>
      <c r="AQ983" s="15">
        <v>4240000.0</v>
      </c>
      <c r="AR983" s="15">
        <v>3760000.0</v>
      </c>
      <c r="AS983" s="15">
        <v>2490000.0</v>
      </c>
      <c r="AT983" s="15">
        <v>5900000.0</v>
      </c>
      <c r="AU983" s="15">
        <v>4960000.0</v>
      </c>
      <c r="AV983" s="15">
        <v>3850000.0</v>
      </c>
      <c r="AW983" s="15">
        <v>3100000.0</v>
      </c>
      <c r="AX983" s="15">
        <v>-1090000.0</v>
      </c>
      <c r="AY983" s="15">
        <v>-1120000.0</v>
      </c>
      <c r="AZ983" s="15">
        <v>-1030000.0</v>
      </c>
      <c r="BA983" s="15">
        <v>-1110000.0</v>
      </c>
      <c r="BB983" s="15">
        <v>-1140000.0</v>
      </c>
      <c r="BC983" s="15">
        <v>-1450000.0</v>
      </c>
      <c r="BD983" s="15">
        <v>-1330000.0</v>
      </c>
      <c r="BE983" s="15">
        <v>-1240000.0</v>
      </c>
      <c r="BF983" s="15">
        <v>-1130000.0</v>
      </c>
      <c r="BG983" s="15">
        <v>-1020000.0</v>
      </c>
      <c r="BH983" s="15">
        <v>8790000.0</v>
      </c>
      <c r="BI983" s="15">
        <v>4660000.0</v>
      </c>
      <c r="BJ983" s="15">
        <v>5250000.0</v>
      </c>
      <c r="BK983" s="15">
        <v>6180000.0</v>
      </c>
      <c r="BL983" s="15">
        <v>5460000.0</v>
      </c>
      <c r="BM983" s="15">
        <v>2750000.0</v>
      </c>
      <c r="BN983" s="15">
        <v>4270000.0</v>
      </c>
      <c r="BO983" s="15">
        <v>3500000.0</v>
      </c>
      <c r="BP983" s="15">
        <v>3680000.0</v>
      </c>
      <c r="BQ983" s="15">
        <v>3240000.0</v>
      </c>
      <c r="BR983" s="15">
        <v>7370000.0</v>
      </c>
      <c r="BS983" s="15">
        <v>5620000.0</v>
      </c>
      <c r="BT983" s="15">
        <v>5260000.0</v>
      </c>
      <c r="BU983" s="15">
        <v>5060000.0</v>
      </c>
      <c r="BV983" s="15">
        <v>4840000.0</v>
      </c>
      <c r="BW983" s="15">
        <v>2.056E7</v>
      </c>
      <c r="BX983" s="15">
        <v>1.653E7</v>
      </c>
      <c r="BY983" s="15">
        <v>1.513E7</v>
      </c>
      <c r="BZ983" s="15">
        <v>1.606E7</v>
      </c>
      <c r="CA983" s="15">
        <v>1.503E7</v>
      </c>
      <c r="CB983" s="15">
        <v>7960000.0</v>
      </c>
      <c r="CC983" s="15">
        <v>4740000.0</v>
      </c>
      <c r="CD983" s="15">
        <v>4450000.0</v>
      </c>
      <c r="CE983" s="15">
        <v>3990000.0</v>
      </c>
      <c r="CF983" s="15">
        <v>3520000.0</v>
      </c>
      <c r="CG983" s="15">
        <v>223000.0</v>
      </c>
      <c r="CH983" s="15">
        <v>154000.0</v>
      </c>
      <c r="CI983" s="15">
        <v>154000.0</v>
      </c>
      <c r="CJ983" s="15">
        <v>139000.0</v>
      </c>
      <c r="CK983" s="15">
        <v>131000.0</v>
      </c>
      <c r="CL983" s="15">
        <v>3.134E7</v>
      </c>
      <c r="CM983" s="15">
        <v>2.372E7</v>
      </c>
      <c r="CN983" s="15">
        <v>2.254E7</v>
      </c>
      <c r="CO983" s="15">
        <v>2.326E7</v>
      </c>
      <c r="CP983" s="15">
        <v>2.138E7</v>
      </c>
      <c r="CQ983" s="15">
        <v>2250000.0</v>
      </c>
      <c r="CR983" s="15">
        <v>2610000.0</v>
      </c>
      <c r="CS983" s="15">
        <v>2280000.0</v>
      </c>
      <c r="CT983" s="15">
        <v>2050000.0</v>
      </c>
      <c r="CU983" s="15">
        <v>2190000.0</v>
      </c>
      <c r="CV983" s="15">
        <v>8280000.0</v>
      </c>
      <c r="CW983" s="15">
        <v>693000.0</v>
      </c>
      <c r="CX983" s="15">
        <v>9000.0</v>
      </c>
      <c r="CY983" s="15">
        <v>336000.0</v>
      </c>
      <c r="CZ983" s="15">
        <v>325000.0</v>
      </c>
      <c r="DA983" s="15">
        <v>1000.0</v>
      </c>
      <c r="DB983" s="15">
        <v>8280000.0</v>
      </c>
      <c r="DC983" s="15">
        <v>7870000.0</v>
      </c>
      <c r="DD983" s="15">
        <v>6040000.0</v>
      </c>
      <c r="DE983" s="15">
        <v>5470000.0</v>
      </c>
      <c r="DF983" s="15">
        <v>2.329E7</v>
      </c>
      <c r="DG983" s="15">
        <v>1.468E7</v>
      </c>
      <c r="DH983" s="15">
        <v>1.272E7</v>
      </c>
      <c r="DI983" s="15">
        <v>1.085E7</v>
      </c>
      <c r="DJ983" s="15">
        <v>9120000.0</v>
      </c>
      <c r="DK983" s="15">
        <v>1000.0</v>
      </c>
      <c r="DL983" s="15">
        <v>11000.0</v>
      </c>
      <c r="DM983" s="15">
        <v>11000.0</v>
      </c>
      <c r="DN983" s="15">
        <v>10000.0</v>
      </c>
      <c r="DO983" s="15">
        <v>10000.0</v>
      </c>
      <c r="DP983" s="15">
        <v>1.232E7</v>
      </c>
      <c r="DQ983" s="15">
        <v>3460000.0</v>
      </c>
      <c r="DR983" s="15">
        <v>3470000.0</v>
      </c>
      <c r="DS983" s="15">
        <v>3470000.0</v>
      </c>
      <c r="DT983" s="15">
        <v>1990000.0</v>
      </c>
      <c r="DU983" s="13"/>
      <c r="DV983" s="12"/>
      <c r="DW983" s="12"/>
      <c r="DX983" s="13"/>
      <c r="DY983" s="13"/>
      <c r="DZ983" s="15">
        <v>8060000.0</v>
      </c>
      <c r="EA983" s="15">
        <v>9040000.0</v>
      </c>
      <c r="EB983" s="15">
        <v>9810000.0</v>
      </c>
      <c r="EC983" s="15">
        <v>1.241E7</v>
      </c>
      <c r="ED983" s="15">
        <v>1.226E7</v>
      </c>
      <c r="EE983" s="17">
        <v>0.166</v>
      </c>
      <c r="EF983" s="17">
        <v>0.14</v>
      </c>
      <c r="EG983" s="17">
        <v>-8.286</v>
      </c>
      <c r="EH983" s="17">
        <v>-1.988</v>
      </c>
    </row>
    <row r="984">
      <c r="A984" s="9">
        <f t="shared" si="2"/>
        <v>982</v>
      </c>
      <c r="B984" s="22" t="s">
        <v>1119</v>
      </c>
      <c r="C984" s="11">
        <v>178920.0</v>
      </c>
      <c r="D984" s="11">
        <v>148470.0</v>
      </c>
      <c r="E984" s="11">
        <v>114620.0</v>
      </c>
      <c r="F984" s="11">
        <v>1190000.0</v>
      </c>
      <c r="G984" s="11">
        <v>307710.0</v>
      </c>
      <c r="H984" s="11">
        <v>165440.0</v>
      </c>
      <c r="I984" s="11">
        <v>230780.0</v>
      </c>
      <c r="J984" s="11">
        <v>85100.0</v>
      </c>
      <c r="K984" s="11">
        <v>1160000.0</v>
      </c>
      <c r="L984" s="11">
        <v>270190.0</v>
      </c>
      <c r="M984" s="11">
        <v>127270.0</v>
      </c>
      <c r="N984" s="11">
        <v>190170.0</v>
      </c>
      <c r="O984" s="11">
        <v>525130.0</v>
      </c>
      <c r="P984" s="11">
        <v>475410.0</v>
      </c>
      <c r="Q984" s="11">
        <v>309150.0</v>
      </c>
      <c r="R984" s="11">
        <v>240130.0</v>
      </c>
      <c r="S984" s="11">
        <v>216540.0</v>
      </c>
      <c r="T984" s="11">
        <v>426420.0</v>
      </c>
      <c r="U984" s="11">
        <v>393970.0</v>
      </c>
      <c r="V984" s="11">
        <v>260090.0</v>
      </c>
      <c r="W984" s="11">
        <v>195850.0</v>
      </c>
      <c r="X984" s="11">
        <v>176270.0</v>
      </c>
      <c r="Y984" s="12"/>
      <c r="Z984" s="12"/>
      <c r="AA984" s="11">
        <v>-59640.0</v>
      </c>
      <c r="AB984" s="12"/>
      <c r="AC984" s="11">
        <v>-17080.0</v>
      </c>
      <c r="AD984" s="11">
        <v>-440050.0</v>
      </c>
      <c r="AE984" s="11">
        <v>682730.0</v>
      </c>
      <c r="AF984" s="11">
        <v>-96080.0</v>
      </c>
      <c r="AG984" s="11">
        <v>-152650.0</v>
      </c>
      <c r="AH984" s="11">
        <v>-80670.0</v>
      </c>
      <c r="AI984" s="11">
        <v>-429040.0</v>
      </c>
      <c r="AJ984" s="11">
        <v>696730.0</v>
      </c>
      <c r="AK984" s="11">
        <v>-26360.0</v>
      </c>
      <c r="AL984" s="11">
        <v>-99660.0</v>
      </c>
      <c r="AM984" s="11">
        <v>-14970.0</v>
      </c>
      <c r="AN984" s="11">
        <v>-440670.0</v>
      </c>
      <c r="AO984" s="11">
        <v>681310.0</v>
      </c>
      <c r="AP984" s="11">
        <v>-96690.0</v>
      </c>
      <c r="AQ984" s="11">
        <v>-153520.0</v>
      </c>
      <c r="AR984" s="11">
        <v>-81180.0</v>
      </c>
      <c r="AS984" s="11">
        <v>-328680.0</v>
      </c>
      <c r="AT984" s="11">
        <v>718210.0</v>
      </c>
      <c r="AU984" s="11">
        <v>-80410.0</v>
      </c>
      <c r="AV984" s="11">
        <v>-117020.0</v>
      </c>
      <c r="AW984" s="11">
        <v>-73080.0</v>
      </c>
      <c r="AX984" s="11">
        <v>-26290.0</v>
      </c>
      <c r="AY984" s="11">
        <v>-14240.0</v>
      </c>
      <c r="AZ984" s="11">
        <v>-9680.0</v>
      </c>
      <c r="BA984" s="11">
        <v>-6390.0</v>
      </c>
      <c r="BB984" s="11">
        <v>-11200.0</v>
      </c>
      <c r="BC984" s="12"/>
      <c r="BD984" s="12"/>
      <c r="BE984" s="12"/>
      <c r="BF984" s="12"/>
      <c r="BG984" s="12"/>
      <c r="BH984" s="11">
        <v>1320000.0</v>
      </c>
      <c r="BI984" s="11">
        <v>1340000.0</v>
      </c>
      <c r="BJ984" s="11">
        <v>296130.0</v>
      </c>
      <c r="BK984" s="11">
        <v>389100.0</v>
      </c>
      <c r="BL984" s="11">
        <v>308940.0</v>
      </c>
      <c r="BM984" s="11">
        <v>36800.0</v>
      </c>
      <c r="BN984" s="11">
        <v>43210.0</v>
      </c>
      <c r="BO984" s="11">
        <v>5010.0</v>
      </c>
      <c r="BP984" s="11">
        <v>15680.0</v>
      </c>
      <c r="BQ984" s="11">
        <v>19950.0</v>
      </c>
      <c r="BR984" s="11">
        <v>44500.0</v>
      </c>
      <c r="BS984" s="11">
        <v>37830.0</v>
      </c>
      <c r="BT984" s="11">
        <v>10730.0</v>
      </c>
      <c r="BU984" s="11">
        <v>11110.0</v>
      </c>
      <c r="BV984" s="11">
        <v>11350.0</v>
      </c>
      <c r="BW984" s="11">
        <v>1420000.0</v>
      </c>
      <c r="BX984" s="11">
        <v>1440000.0</v>
      </c>
      <c r="BY984" s="11">
        <v>326820.0</v>
      </c>
      <c r="BZ984" s="11">
        <v>426250.0</v>
      </c>
      <c r="CA984" s="11">
        <v>350050.0</v>
      </c>
      <c r="CB984" s="11">
        <v>199180.0</v>
      </c>
      <c r="CC984" s="11">
        <v>48850.0</v>
      </c>
      <c r="CD984" s="11">
        <v>47460.0</v>
      </c>
      <c r="CE984" s="11">
        <v>65600.0</v>
      </c>
      <c r="CF984" s="11">
        <v>71340.0</v>
      </c>
      <c r="CG984" s="11">
        <v>76500.0</v>
      </c>
      <c r="CH984" s="11">
        <v>76500.0</v>
      </c>
      <c r="CI984" s="11">
        <v>76500.0</v>
      </c>
      <c r="CJ984" s="11">
        <v>76500.0</v>
      </c>
      <c r="CK984" s="11">
        <v>76500.0</v>
      </c>
      <c r="CL984" s="11">
        <v>1980000.0</v>
      </c>
      <c r="CM984" s="11">
        <v>2150000.0</v>
      </c>
      <c r="CN984" s="11">
        <v>508870.0</v>
      </c>
      <c r="CO984" s="11">
        <v>568870.0</v>
      </c>
      <c r="CP984" s="11">
        <v>498640.0</v>
      </c>
      <c r="CQ984" s="11">
        <v>19230.0</v>
      </c>
      <c r="CR984" s="11">
        <v>5850.0</v>
      </c>
      <c r="CS984" s="11">
        <v>4780.0</v>
      </c>
      <c r="CT984" s="11">
        <v>2820.0</v>
      </c>
      <c r="CU984" s="11">
        <v>2360.0</v>
      </c>
      <c r="CV984" s="11">
        <v>353890.0</v>
      </c>
      <c r="CW984" s="11">
        <v>12520.0</v>
      </c>
      <c r="CX984" s="12"/>
      <c r="CY984" s="12"/>
      <c r="CZ984" s="12"/>
      <c r="DA984" s="12"/>
      <c r="DB984" s="11">
        <v>353890.0</v>
      </c>
      <c r="DC984" s="11">
        <v>82000.0</v>
      </c>
      <c r="DD984" s="11">
        <v>56160.0</v>
      </c>
      <c r="DE984" s="11">
        <v>72220.0</v>
      </c>
      <c r="DF984" s="11">
        <v>571970.0</v>
      </c>
      <c r="DG984" s="11">
        <v>432600.0</v>
      </c>
      <c r="DH984" s="11">
        <v>421040.0</v>
      </c>
      <c r="DI984" s="11">
        <v>480750.0</v>
      </c>
      <c r="DJ984" s="11">
        <v>492210.0</v>
      </c>
      <c r="DK984" s="11">
        <v>279120.0</v>
      </c>
      <c r="DL984" s="11">
        <v>582890.0</v>
      </c>
      <c r="DM984" s="11">
        <v>57090.0</v>
      </c>
      <c r="DN984" s="12"/>
      <c r="DO984" s="12"/>
      <c r="DP984" s="11">
        <v>189710.0</v>
      </c>
      <c r="DQ984" s="11">
        <v>308670.0</v>
      </c>
      <c r="DR984" s="11">
        <v>320990.0</v>
      </c>
      <c r="DS984" s="11">
        <v>331930.0</v>
      </c>
      <c r="DT984" s="11">
        <v>338180.0</v>
      </c>
      <c r="DU984" s="13"/>
      <c r="DV984" s="12"/>
      <c r="DW984" s="12"/>
      <c r="DX984" s="13"/>
      <c r="DY984" s="13"/>
      <c r="DZ984" s="11">
        <v>1410000.0</v>
      </c>
      <c r="EA984" s="11">
        <v>1720000.0</v>
      </c>
      <c r="EB984" s="11">
        <v>87830.0</v>
      </c>
      <c r="EC984" s="11">
        <v>88130.0</v>
      </c>
      <c r="ED984" s="11">
        <v>6430.0</v>
      </c>
      <c r="EE984" s="14">
        <v>0.202</v>
      </c>
      <c r="EF984" s="14">
        <v>1.998</v>
      </c>
      <c r="EG984" s="14">
        <v>0.338</v>
      </c>
      <c r="EH984" s="14">
        <v>0.154</v>
      </c>
    </row>
    <row r="985">
      <c r="A985" s="9">
        <f t="shared" si="2"/>
        <v>983</v>
      </c>
      <c r="B985" s="22" t="s">
        <v>1120</v>
      </c>
      <c r="C985" s="12"/>
      <c r="D985" s="12"/>
      <c r="E985" s="11">
        <v>115.0</v>
      </c>
      <c r="F985" s="11">
        <v>6550.0</v>
      </c>
      <c r="G985" s="12"/>
      <c r="H985" s="12"/>
      <c r="I985" s="12"/>
      <c r="J985" s="12"/>
      <c r="K985" s="12"/>
      <c r="L985" s="12"/>
      <c r="M985" s="12"/>
      <c r="N985" s="12"/>
      <c r="O985" s="11">
        <v>21910.0</v>
      </c>
      <c r="P985" s="11">
        <v>6720.0</v>
      </c>
      <c r="Q985" s="12"/>
      <c r="R985" s="12"/>
      <c r="S985" s="12"/>
      <c r="T985" s="11">
        <v>16820.0</v>
      </c>
      <c r="U985" s="11">
        <v>4070.0</v>
      </c>
      <c r="V985" s="12"/>
      <c r="W985" s="12"/>
      <c r="X985" s="12"/>
      <c r="Y985" s="11">
        <v>-20920.0</v>
      </c>
      <c r="Z985" s="12"/>
      <c r="AA985" s="12"/>
      <c r="AB985" s="12"/>
      <c r="AC985" s="12"/>
      <c r="AD985" s="11">
        <v>-21080.0</v>
      </c>
      <c r="AE985" s="11">
        <v>-275.0</v>
      </c>
      <c r="AF985" s="12"/>
      <c r="AG985" s="12"/>
      <c r="AH985" s="12"/>
      <c r="AI985" s="11">
        <v>-21800.0</v>
      </c>
      <c r="AJ985" s="11">
        <v>-173.0</v>
      </c>
      <c r="AK985" s="12"/>
      <c r="AL985" s="12"/>
      <c r="AM985" s="12"/>
      <c r="AN985" s="11">
        <v>-21080.0</v>
      </c>
      <c r="AO985" s="11">
        <v>-275.0</v>
      </c>
      <c r="AP985" s="12"/>
      <c r="AQ985" s="12"/>
      <c r="AR985" s="12"/>
      <c r="AS985" s="11">
        <v>-18370.0</v>
      </c>
      <c r="AT985" s="11">
        <v>-5180.0</v>
      </c>
      <c r="AU985" s="12"/>
      <c r="AV985" s="12"/>
      <c r="AW985" s="12"/>
      <c r="AX985" s="11">
        <v>-1930.0</v>
      </c>
      <c r="AY985" s="11">
        <v>-758.0</v>
      </c>
      <c r="AZ985" s="12"/>
      <c r="BA985" s="12"/>
      <c r="BB985" s="12"/>
      <c r="BC985" s="12"/>
      <c r="BD985" s="12"/>
      <c r="BE985" s="12"/>
      <c r="BF985" s="12"/>
      <c r="BG985" s="12"/>
      <c r="BH985" s="11">
        <v>36990.0</v>
      </c>
      <c r="BI985" s="11">
        <v>7870.0</v>
      </c>
      <c r="BJ985" s="12"/>
      <c r="BK985" s="12"/>
      <c r="BL985" s="12"/>
      <c r="BM985" s="12"/>
      <c r="BN985" s="11">
        <v>150.0</v>
      </c>
      <c r="BO985" s="12"/>
      <c r="BP985" s="12"/>
      <c r="BQ985" s="12"/>
      <c r="BR985" s="12"/>
      <c r="BS985" s="12"/>
      <c r="BT985" s="12"/>
      <c r="BU985" s="12"/>
      <c r="BV985" s="12"/>
      <c r="BW985" s="11">
        <v>37470.0</v>
      </c>
      <c r="BX985" s="11">
        <v>8230.0</v>
      </c>
      <c r="BY985" s="12"/>
      <c r="BZ985" s="12"/>
      <c r="CA985" s="12"/>
      <c r="CB985" s="11">
        <v>10220.0</v>
      </c>
      <c r="CC985" s="11">
        <v>1290.0</v>
      </c>
      <c r="CD985" s="12"/>
      <c r="CE985" s="12"/>
      <c r="CF985" s="12"/>
      <c r="CG985" s="12"/>
      <c r="CH985" s="12"/>
      <c r="CI985" s="12"/>
      <c r="CJ985" s="12"/>
      <c r="CK985" s="12"/>
      <c r="CL985" s="11">
        <v>48410.0</v>
      </c>
      <c r="CM985" s="11">
        <v>9610.0</v>
      </c>
      <c r="CN985" s="12"/>
      <c r="CO985" s="12"/>
      <c r="CP985" s="12"/>
      <c r="CQ985" s="11">
        <v>1880.0</v>
      </c>
      <c r="CR985" s="11">
        <v>367.0</v>
      </c>
      <c r="CS985" s="12"/>
      <c r="CT985" s="12"/>
      <c r="CU985" s="12"/>
      <c r="CV985" s="11">
        <v>8210.0</v>
      </c>
      <c r="CW985" s="11">
        <v>1520.0</v>
      </c>
      <c r="CX985" s="12"/>
      <c r="CY985" s="12"/>
      <c r="CZ985" s="13"/>
      <c r="DA985" s="13"/>
      <c r="DB985" s="11">
        <v>8210.0</v>
      </c>
      <c r="DC985" s="11">
        <v>2080.0</v>
      </c>
      <c r="DD985" s="12"/>
      <c r="DE985" s="12"/>
      <c r="DF985" s="11">
        <v>73890.0</v>
      </c>
      <c r="DG985" s="11">
        <v>15000.0</v>
      </c>
      <c r="DH985" s="12"/>
      <c r="DI985" s="12"/>
      <c r="DJ985" s="12"/>
      <c r="DK985" s="11">
        <v>269.0</v>
      </c>
      <c r="DL985" s="11">
        <v>90.0</v>
      </c>
      <c r="DM985" s="12"/>
      <c r="DN985" s="12"/>
      <c r="DO985" s="12"/>
      <c r="DP985" s="11">
        <v>65600.0</v>
      </c>
      <c r="DQ985" s="11">
        <v>12710.0</v>
      </c>
      <c r="DR985" s="12"/>
      <c r="DS985" s="12"/>
      <c r="DT985" s="12"/>
      <c r="DU985" s="12"/>
      <c r="DV985" s="12"/>
      <c r="DW985" s="12"/>
      <c r="DX985" s="12"/>
      <c r="DY985" s="13"/>
      <c r="DZ985" s="11">
        <v>-25480.0</v>
      </c>
      <c r="EA985" s="11">
        <v>-5400.0</v>
      </c>
      <c r="EB985" s="12"/>
      <c r="EC985" s="12"/>
      <c r="ED985" s="12"/>
      <c r="EE985" s="23"/>
      <c r="EF985" s="23"/>
      <c r="EG985" s="23" t="s">
        <v>155</v>
      </c>
      <c r="EH985" s="23"/>
    </row>
    <row r="986">
      <c r="A986" s="9">
        <f t="shared" si="2"/>
        <v>984</v>
      </c>
      <c r="B986" s="25" t="s">
        <v>1121</v>
      </c>
      <c r="C986" s="15">
        <v>441660.0</v>
      </c>
      <c r="D986" s="15">
        <v>444870.0</v>
      </c>
      <c r="E986" s="15">
        <v>309290.0</v>
      </c>
      <c r="F986" s="15">
        <v>396750.0</v>
      </c>
      <c r="G986" s="15">
        <v>406180.0</v>
      </c>
      <c r="H986" s="15">
        <v>406040.0</v>
      </c>
      <c r="I986" s="15">
        <v>335760.0</v>
      </c>
      <c r="J986" s="15">
        <v>110580.0</v>
      </c>
      <c r="K986" s="15">
        <v>181740.0</v>
      </c>
      <c r="L986" s="15">
        <v>206890.0</v>
      </c>
      <c r="M986" s="15">
        <v>214010.0</v>
      </c>
      <c r="N986" s="15">
        <v>175540.0</v>
      </c>
      <c r="O986" s="15">
        <v>139120.0</v>
      </c>
      <c r="P986" s="15">
        <v>160770.0</v>
      </c>
      <c r="Q986" s="15">
        <v>158780.0</v>
      </c>
      <c r="R986" s="15">
        <v>157830.0</v>
      </c>
      <c r="S986" s="15">
        <v>132360.0</v>
      </c>
      <c r="T986" s="15">
        <v>14280.0</v>
      </c>
      <c r="U986" s="15">
        <v>16830.0</v>
      </c>
      <c r="V986" s="15">
        <v>15450.0</v>
      </c>
      <c r="W986" s="15">
        <v>13920.0</v>
      </c>
      <c r="X986" s="15">
        <v>9900.0</v>
      </c>
      <c r="Y986" s="15">
        <v>-100090.0</v>
      </c>
      <c r="Z986" s="15">
        <v>20030.0</v>
      </c>
      <c r="AA986" s="15">
        <v>36120.0</v>
      </c>
      <c r="AB986" s="15">
        <v>53390.0</v>
      </c>
      <c r="AC986" s="15">
        <v>40270.0</v>
      </c>
      <c r="AD986" s="15">
        <v>-101830.0</v>
      </c>
      <c r="AE986" s="15">
        <v>21000.0</v>
      </c>
      <c r="AF986" s="15">
        <v>35710.0</v>
      </c>
      <c r="AG986" s="15">
        <v>51580.0</v>
      </c>
      <c r="AH986" s="15">
        <v>40020.0</v>
      </c>
      <c r="AI986" s="15">
        <v>-17730.0</v>
      </c>
      <c r="AJ986" s="15">
        <v>29910.0</v>
      </c>
      <c r="AK986" s="15">
        <v>53750.0</v>
      </c>
      <c r="AL986" s="15">
        <v>61570.0</v>
      </c>
      <c r="AM986" s="15">
        <v>44280.0</v>
      </c>
      <c r="AN986" s="15">
        <v>-92300.0</v>
      </c>
      <c r="AO986" s="15">
        <v>15110.0</v>
      </c>
      <c r="AP986" s="15">
        <v>27630.0</v>
      </c>
      <c r="AQ986" s="15">
        <v>35100.0</v>
      </c>
      <c r="AR986" s="15">
        <v>26800.0</v>
      </c>
      <c r="AS986" s="15">
        <v>-22570.0</v>
      </c>
      <c r="AT986" s="15">
        <v>21250.0</v>
      </c>
      <c r="AU986" s="15">
        <v>35020.0</v>
      </c>
      <c r="AV986" s="15">
        <v>45850.0</v>
      </c>
      <c r="AW986" s="15">
        <v>41120.0</v>
      </c>
      <c r="AX986" s="15">
        <v>-8950.0</v>
      </c>
      <c r="AY986" s="15">
        <v>-10380.0</v>
      </c>
      <c r="AZ986" s="15">
        <v>-3790.0</v>
      </c>
      <c r="BA986" s="15">
        <v>-4660.0</v>
      </c>
      <c r="BB986" s="15">
        <v>-5730.0</v>
      </c>
      <c r="BC986" s="13"/>
      <c r="BD986" s="13"/>
      <c r="BE986" s="13"/>
      <c r="BF986" s="13"/>
      <c r="BG986" s="13"/>
      <c r="BH986" s="15">
        <v>11070.0</v>
      </c>
      <c r="BI986" s="15">
        <v>63520.0</v>
      </c>
      <c r="BJ986" s="15">
        <v>85200.0</v>
      </c>
      <c r="BK986" s="15">
        <v>79620.0</v>
      </c>
      <c r="BL986" s="15">
        <v>60780.0</v>
      </c>
      <c r="BM986" s="15">
        <v>55070.0</v>
      </c>
      <c r="BN986" s="15">
        <v>51500.0</v>
      </c>
      <c r="BO986" s="15">
        <v>42700.0</v>
      </c>
      <c r="BP986" s="15">
        <v>48690.0</v>
      </c>
      <c r="BQ986" s="15">
        <v>45590.0</v>
      </c>
      <c r="BR986" s="15">
        <v>54770.0</v>
      </c>
      <c r="BS986" s="15">
        <v>68470.0</v>
      </c>
      <c r="BT986" s="15">
        <v>53350.0</v>
      </c>
      <c r="BU986" s="15">
        <v>47030.0</v>
      </c>
      <c r="BV986" s="15">
        <v>42730.0</v>
      </c>
      <c r="BW986" s="15">
        <v>129190.0</v>
      </c>
      <c r="BX986" s="15">
        <v>191460.0</v>
      </c>
      <c r="BY986" s="15">
        <v>188490.0</v>
      </c>
      <c r="BZ986" s="15">
        <v>183360.0</v>
      </c>
      <c r="CA986" s="15">
        <v>164890.0</v>
      </c>
      <c r="CB986" s="15">
        <v>43530.0</v>
      </c>
      <c r="CC986" s="15">
        <v>22220.0</v>
      </c>
      <c r="CD986" s="15">
        <v>15830.0</v>
      </c>
      <c r="CE986" s="15">
        <v>17470.0</v>
      </c>
      <c r="CF986" s="15">
        <v>16760.0</v>
      </c>
      <c r="CG986" s="15"/>
      <c r="CH986" s="15">
        <v>63450.0</v>
      </c>
      <c r="CI986" s="15">
        <v>62030.0</v>
      </c>
      <c r="CJ986" s="15">
        <v>61890.0</v>
      </c>
      <c r="CK986" s="15">
        <v>60470.0</v>
      </c>
      <c r="CL986" s="15">
        <v>220480.0</v>
      </c>
      <c r="CM986" s="15">
        <v>332940.0</v>
      </c>
      <c r="CN986" s="15">
        <v>332070.0</v>
      </c>
      <c r="CO986" s="15">
        <v>333070.0</v>
      </c>
      <c r="CP986" s="15">
        <v>315910.0</v>
      </c>
      <c r="CQ986" s="15">
        <v>74260.0</v>
      </c>
      <c r="CR986" s="15">
        <v>87270.0</v>
      </c>
      <c r="CS986" s="15">
        <v>66900.0</v>
      </c>
      <c r="CT986" s="15">
        <v>66020.0</v>
      </c>
      <c r="CU986" s="15">
        <v>61750.0</v>
      </c>
      <c r="CV986" s="15">
        <v>88710.0</v>
      </c>
      <c r="CW986" s="15">
        <v>3720.0</v>
      </c>
      <c r="CX986" s="15"/>
      <c r="CY986" s="15"/>
      <c r="CZ986" s="15"/>
      <c r="DA986" s="15"/>
      <c r="DB986" s="15">
        <v>88710.0</v>
      </c>
      <c r="DC986" s="15">
        <v>114840.0</v>
      </c>
      <c r="DD986" s="15">
        <v>97370.0</v>
      </c>
      <c r="DE986" s="15">
        <v>98410.0</v>
      </c>
      <c r="DF986" s="15">
        <v>129880.0</v>
      </c>
      <c r="DG986" s="15">
        <v>150350.0</v>
      </c>
      <c r="DH986" s="15">
        <v>152880.0</v>
      </c>
      <c r="DI986" s="15">
        <v>172210.0</v>
      </c>
      <c r="DJ986" s="15">
        <v>188920.0</v>
      </c>
      <c r="DK986" s="15">
        <v>3500.0</v>
      </c>
      <c r="DL986" s="15">
        <v>72.0</v>
      </c>
      <c r="DM986" s="15"/>
      <c r="DN986" s="15"/>
      <c r="DO986" s="15"/>
      <c r="DP986" s="15">
        <v>33050.0</v>
      </c>
      <c r="DQ986" s="15">
        <v>15990.0</v>
      </c>
      <c r="DR986" s="15">
        <v>31990.0</v>
      </c>
      <c r="DS986" s="15">
        <v>47980.0</v>
      </c>
      <c r="DT986" s="15">
        <v>63970.0</v>
      </c>
      <c r="DU986" s="13"/>
      <c r="DV986" s="12"/>
      <c r="DW986" s="12"/>
      <c r="DX986" s="13"/>
      <c r="DY986" s="13"/>
      <c r="DZ986" s="15">
        <v>90600.0</v>
      </c>
      <c r="EA986" s="15">
        <v>182600.0</v>
      </c>
      <c r="EB986" s="15">
        <v>179190.0</v>
      </c>
      <c r="EC986" s="15">
        <v>160860.0</v>
      </c>
      <c r="ED986" s="15">
        <v>126990.0</v>
      </c>
      <c r="EE986" s="17">
        <v>0.097</v>
      </c>
      <c r="EF986" s="17">
        <v>0.172</v>
      </c>
      <c r="EG986" s="17">
        <v>7.222</v>
      </c>
      <c r="EH986" s="17">
        <v>0.806</v>
      </c>
    </row>
    <row r="987">
      <c r="A987" s="9">
        <f t="shared" si="2"/>
        <v>985</v>
      </c>
      <c r="B987" s="10" t="s">
        <v>1122</v>
      </c>
      <c r="C987" s="15">
        <v>63650.0</v>
      </c>
      <c r="D987" s="15">
        <v>55300.0</v>
      </c>
      <c r="E987" s="15">
        <v>26100.0</v>
      </c>
      <c r="F987" s="15">
        <v>33530.0</v>
      </c>
      <c r="G987" s="15">
        <v>38320.0</v>
      </c>
      <c r="H987" s="15">
        <v>19660.0</v>
      </c>
      <c r="I987" s="15">
        <v>8010.0</v>
      </c>
      <c r="J987" s="15">
        <v>2570.0</v>
      </c>
      <c r="K987" s="15">
        <v>2300.0</v>
      </c>
      <c r="L987" s="15">
        <v>2460.0</v>
      </c>
      <c r="M987" s="15">
        <v>7450.0</v>
      </c>
      <c r="N987" s="15">
        <v>2140.0</v>
      </c>
      <c r="O987" s="15">
        <v>14060.0</v>
      </c>
      <c r="P987" s="15">
        <v>18670.0</v>
      </c>
      <c r="Q987" s="15">
        <v>15310.0</v>
      </c>
      <c r="R987" s="15">
        <v>15320.0</v>
      </c>
      <c r="S987" s="15">
        <v>13890.0</v>
      </c>
      <c r="T987" s="15">
        <v>2380.0</v>
      </c>
      <c r="U987" s="15">
        <v>2900.0</v>
      </c>
      <c r="V987" s="15">
        <v>5230.0</v>
      </c>
      <c r="W987" s="15">
        <v>6290.0</v>
      </c>
      <c r="X987" s="15">
        <v>6050.0</v>
      </c>
      <c r="Y987" s="15">
        <v>0.0</v>
      </c>
      <c r="Z987" s="15">
        <v>0.0</v>
      </c>
      <c r="AA987" s="15">
        <v>0.0</v>
      </c>
      <c r="AB987" s="15">
        <v>-11030.0</v>
      </c>
      <c r="AC987" s="15">
        <v>-17380.0</v>
      </c>
      <c r="AD987" s="15">
        <v>-12440.0</v>
      </c>
      <c r="AE987" s="15">
        <v>-17120.0</v>
      </c>
      <c r="AF987" s="15">
        <v>-13410.0</v>
      </c>
      <c r="AG987" s="15">
        <v>-11230.0</v>
      </c>
      <c r="AH987" s="15">
        <v>-20530.0</v>
      </c>
      <c r="AI987" s="15">
        <v>-10780.0</v>
      </c>
      <c r="AJ987" s="15">
        <v>-16120.0</v>
      </c>
      <c r="AK987" s="15">
        <v>-12570.0</v>
      </c>
      <c r="AL987" s="15">
        <v>-7640.0</v>
      </c>
      <c r="AM987" s="15">
        <v>-11440.0</v>
      </c>
      <c r="AN987" s="15">
        <v>-12450.0</v>
      </c>
      <c r="AO987" s="15">
        <v>-17120.0</v>
      </c>
      <c r="AP987" s="15">
        <v>-13420.0</v>
      </c>
      <c r="AQ987" s="15">
        <v>-11230.0</v>
      </c>
      <c r="AR987" s="15">
        <v>-20530.0</v>
      </c>
      <c r="AS987" s="15">
        <v>-11490.0</v>
      </c>
      <c r="AT987" s="15">
        <v>-10570.0</v>
      </c>
      <c r="AU987" s="15">
        <v>-11350.0</v>
      </c>
      <c r="AV987" s="15">
        <v>-18090.0</v>
      </c>
      <c r="AW987" s="15">
        <v>-9630.0</v>
      </c>
      <c r="AX987" s="15">
        <v>0.0</v>
      </c>
      <c r="AY987" s="15">
        <v>0.0</v>
      </c>
      <c r="AZ987" s="15">
        <v>0.0</v>
      </c>
      <c r="BA987" s="15">
        <v>0.0</v>
      </c>
      <c r="BB987" s="15">
        <v>0.0</v>
      </c>
      <c r="BC987" s="15">
        <v>0.0</v>
      </c>
      <c r="BD987" s="15">
        <v>0.0</v>
      </c>
      <c r="BE987" s="15">
        <v>0.0</v>
      </c>
      <c r="BF987" s="15">
        <v>0.0</v>
      </c>
      <c r="BG987" s="15">
        <v>0.0</v>
      </c>
      <c r="BH987" s="15">
        <v>11720.0</v>
      </c>
      <c r="BI987" s="15">
        <v>16650.0</v>
      </c>
      <c r="BJ987" s="15">
        <v>9520.0</v>
      </c>
      <c r="BK987" s="15">
        <v>12580.0</v>
      </c>
      <c r="BL987" s="15">
        <v>20080.0</v>
      </c>
      <c r="BM987" s="15">
        <v>3670.0</v>
      </c>
      <c r="BN987" s="15">
        <v>2920.0</v>
      </c>
      <c r="BO987" s="15">
        <v>3000.0</v>
      </c>
      <c r="BP987" s="15">
        <v>1750.0</v>
      </c>
      <c r="BQ987" s="15">
        <v>0.0</v>
      </c>
      <c r="BR987" s="15">
        <v>3500.0</v>
      </c>
      <c r="BS987" s="15">
        <v>2950.0</v>
      </c>
      <c r="BT987" s="15">
        <v>4110.0</v>
      </c>
      <c r="BU987" s="15">
        <v>3160.0</v>
      </c>
      <c r="BV987" s="15">
        <v>1660.0</v>
      </c>
      <c r="BW987" s="15">
        <v>19510.0</v>
      </c>
      <c r="BX987" s="15">
        <v>23190.0</v>
      </c>
      <c r="BY987" s="15">
        <v>16930.0</v>
      </c>
      <c r="BZ987" s="15">
        <v>19250.0</v>
      </c>
      <c r="CA987" s="15">
        <v>24200.0</v>
      </c>
      <c r="CB987" s="15">
        <v>1250.0</v>
      </c>
      <c r="CC987" s="15">
        <v>0.0</v>
      </c>
      <c r="CD987" s="15">
        <v>0.0</v>
      </c>
      <c r="CE987" s="15">
        <v>0.0</v>
      </c>
      <c r="CF987" s="15">
        <v>0.0</v>
      </c>
      <c r="CG987" s="15">
        <v>0.0</v>
      </c>
      <c r="CH987" s="15">
        <v>0.0</v>
      </c>
      <c r="CI987" s="15">
        <v>0.0</v>
      </c>
      <c r="CJ987" s="15">
        <v>0.0</v>
      </c>
      <c r="CK987" s="15">
        <v>0.0</v>
      </c>
      <c r="CL987" s="15">
        <v>22140.0</v>
      </c>
      <c r="CM987" s="15">
        <v>24870.0</v>
      </c>
      <c r="CN987" s="15">
        <v>18790.0</v>
      </c>
      <c r="CO987" s="15">
        <v>19970.0</v>
      </c>
      <c r="CP987" s="15">
        <v>24670.0</v>
      </c>
      <c r="CQ987" s="15">
        <v>9130.0</v>
      </c>
      <c r="CR987" s="15">
        <v>9500.0</v>
      </c>
      <c r="CS987" s="15">
        <v>6120.0</v>
      </c>
      <c r="CT987" s="15">
        <v>4030.0</v>
      </c>
      <c r="CU987" s="15">
        <v>3300.0</v>
      </c>
      <c r="CV987" s="15">
        <v>14070.0</v>
      </c>
      <c r="CW987" s="15">
        <v>3500.0</v>
      </c>
      <c r="CX987" s="15">
        <v>2670.0</v>
      </c>
      <c r="CY987" s="15">
        <v>2020.0</v>
      </c>
      <c r="CZ987" s="15">
        <v>0.0</v>
      </c>
      <c r="DA987" s="15">
        <v>0.0</v>
      </c>
      <c r="DB987" s="15">
        <v>14070.0</v>
      </c>
      <c r="DC987" s="15">
        <v>13110.0</v>
      </c>
      <c r="DD987" s="15">
        <v>9290.0</v>
      </c>
      <c r="DE987" s="15">
        <v>6210.0</v>
      </c>
      <c r="DF987" s="15">
        <v>30500.0</v>
      </c>
      <c r="DG987" s="15">
        <v>30540.0</v>
      </c>
      <c r="DH987" s="15">
        <v>24120.0</v>
      </c>
      <c r="DI987" s="15">
        <v>20500.0</v>
      </c>
      <c r="DJ987" s="15">
        <v>26000.0</v>
      </c>
      <c r="DK987" s="15">
        <v>0.0</v>
      </c>
      <c r="DL987" s="15">
        <v>0.0</v>
      </c>
      <c r="DM987" s="15">
        <v>0.0</v>
      </c>
      <c r="DN987" s="15">
        <v>0.0</v>
      </c>
      <c r="DO987" s="15">
        <v>0.0</v>
      </c>
      <c r="DP987" s="15">
        <v>16360.0</v>
      </c>
      <c r="DQ987" s="15">
        <v>17350.0</v>
      </c>
      <c r="DR987" s="15">
        <v>14770.0</v>
      </c>
      <c r="DS987" s="15">
        <v>14250.0</v>
      </c>
      <c r="DT987" s="15">
        <v>13700.0</v>
      </c>
      <c r="DU987" s="15">
        <v>0.0</v>
      </c>
      <c r="DV987" s="15">
        <v>0.0</v>
      </c>
      <c r="DW987" s="15">
        <v>0.0</v>
      </c>
      <c r="DX987" s="15">
        <v>0.0</v>
      </c>
      <c r="DY987" s="15">
        <v>0.0</v>
      </c>
      <c r="DZ987" s="15">
        <v>-8360.0</v>
      </c>
      <c r="EA987" s="15">
        <v>-5670.0</v>
      </c>
      <c r="EB987" s="15">
        <v>-5330.0</v>
      </c>
      <c r="EC987" s="15">
        <v>0.0</v>
      </c>
      <c r="ED987" s="15">
        <v>-1330.0</v>
      </c>
      <c r="EE987" s="17">
        <v>0.13</v>
      </c>
      <c r="EF987" s="17">
        <v>0.115</v>
      </c>
      <c r="EG987" s="17">
        <v>0.0</v>
      </c>
      <c r="EH987" s="17">
        <v>0.125</v>
      </c>
    </row>
    <row r="988">
      <c r="A988" s="9">
        <f t="shared" si="2"/>
        <v>986</v>
      </c>
      <c r="B988" s="10" t="s">
        <v>1123</v>
      </c>
      <c r="C988" s="11">
        <v>301050.0</v>
      </c>
      <c r="D988" s="11">
        <v>263470.0</v>
      </c>
      <c r="E988" s="11">
        <v>719070.0</v>
      </c>
      <c r="F988" s="11">
        <v>410060.0</v>
      </c>
      <c r="G988" s="11">
        <v>292560.0</v>
      </c>
      <c r="H988" s="11">
        <v>213180.0</v>
      </c>
      <c r="I988" s="11">
        <v>281280.0</v>
      </c>
      <c r="J988" s="11">
        <v>95700.0</v>
      </c>
      <c r="K988" s="11">
        <v>70400.0</v>
      </c>
      <c r="L988" s="11">
        <v>40350.0</v>
      </c>
      <c r="M988" s="11">
        <v>30660.0</v>
      </c>
      <c r="N988" s="11">
        <v>33800.0</v>
      </c>
      <c r="O988" s="11">
        <v>34260.0</v>
      </c>
      <c r="P988" s="11">
        <v>37110.0</v>
      </c>
      <c r="Q988" s="11">
        <v>25300.0</v>
      </c>
      <c r="R988" s="11">
        <v>26720.0</v>
      </c>
      <c r="S988" s="11">
        <v>24900.0</v>
      </c>
      <c r="T988" s="12"/>
      <c r="U988" s="12"/>
      <c r="V988" s="12"/>
      <c r="W988" s="12"/>
      <c r="X988" s="12"/>
      <c r="Y988" s="11">
        <v>58770.0</v>
      </c>
      <c r="Z988" s="11">
        <v>31550.0</v>
      </c>
      <c r="AA988" s="11">
        <v>13430.0</v>
      </c>
      <c r="AB988" s="11">
        <v>3430.0</v>
      </c>
      <c r="AC988" s="11">
        <v>2330.0</v>
      </c>
      <c r="AD988" s="11">
        <v>37210.0</v>
      </c>
      <c r="AE988" s="11">
        <v>21420.0</v>
      </c>
      <c r="AF988" s="11">
        <v>6470.0</v>
      </c>
      <c r="AG988" s="11">
        <v>-494.0</v>
      </c>
      <c r="AH988" s="11">
        <v>-7580.0</v>
      </c>
      <c r="AI988" s="11">
        <v>163740.0</v>
      </c>
      <c r="AJ988" s="11">
        <v>90390.0</v>
      </c>
      <c r="AK988" s="11">
        <v>59150.0</v>
      </c>
      <c r="AL988" s="11">
        <v>46420.0</v>
      </c>
      <c r="AM988" s="11">
        <v>47090.0</v>
      </c>
      <c r="AN988" s="11">
        <v>36880.0</v>
      </c>
      <c r="AO988" s="11">
        <v>15290.0</v>
      </c>
      <c r="AP988" s="11">
        <v>5260.0</v>
      </c>
      <c r="AQ988" s="11">
        <v>-445.0</v>
      </c>
      <c r="AR988" s="11">
        <v>-7470.0</v>
      </c>
      <c r="AS988" s="11">
        <v>155260.0</v>
      </c>
      <c r="AT988" s="11">
        <v>108520.0</v>
      </c>
      <c r="AU988" s="11">
        <v>46760.0</v>
      </c>
      <c r="AV988" s="11">
        <v>39730.0</v>
      </c>
      <c r="AW988" s="11">
        <v>76410.0</v>
      </c>
      <c r="AX988" s="11">
        <v>-157450.0</v>
      </c>
      <c r="AY988" s="11">
        <v>-232640.0</v>
      </c>
      <c r="AZ988" s="11">
        <v>-53880.0</v>
      </c>
      <c r="BA988" s="11">
        <v>-27380.0</v>
      </c>
      <c r="BB988" s="11">
        <v>-33270.0</v>
      </c>
      <c r="BC988" s="24">
        <v>-2540.0</v>
      </c>
      <c r="BD988" s="24">
        <v>-2010.0</v>
      </c>
      <c r="BE988" s="24">
        <v>-2190.0</v>
      </c>
      <c r="BF988" s="24">
        <v>-1820.0</v>
      </c>
      <c r="BG988" s="24">
        <v>-3290.0</v>
      </c>
      <c r="BH988" s="11">
        <v>5540.0</v>
      </c>
      <c r="BI988" s="11">
        <v>19510.0</v>
      </c>
      <c r="BJ988" s="11">
        <v>8190.0</v>
      </c>
      <c r="BK988" s="11">
        <v>13670.0</v>
      </c>
      <c r="BL988" s="11">
        <v>32350.0</v>
      </c>
      <c r="BM988" s="11">
        <v>85940.0</v>
      </c>
      <c r="BN988" s="11">
        <v>93070.0</v>
      </c>
      <c r="BO988" s="11">
        <v>68800.0</v>
      </c>
      <c r="BP988" s="11">
        <v>56050.0</v>
      </c>
      <c r="BQ988" s="11">
        <v>42300.0</v>
      </c>
      <c r="BR988" s="11">
        <v>21650.0</v>
      </c>
      <c r="BS988" s="11">
        <v>13390.0</v>
      </c>
      <c r="BT988" s="11">
        <v>4750.0</v>
      </c>
      <c r="BU988" s="11">
        <v>3440.0</v>
      </c>
      <c r="BV988" s="11">
        <v>2580.0</v>
      </c>
      <c r="BW988" s="11">
        <v>117380.0</v>
      </c>
      <c r="BX988" s="11">
        <v>130380.0</v>
      </c>
      <c r="BY988" s="11">
        <v>89280.0</v>
      </c>
      <c r="BZ988" s="11">
        <v>74950.0</v>
      </c>
      <c r="CA988" s="11">
        <v>79090.0</v>
      </c>
      <c r="CB988" s="11">
        <v>609570.0</v>
      </c>
      <c r="CC988" s="11">
        <v>528160.0</v>
      </c>
      <c r="CD988" s="11">
        <v>278650.0</v>
      </c>
      <c r="CE988" s="11">
        <v>256450.0</v>
      </c>
      <c r="CF988" s="11">
        <v>258750.0</v>
      </c>
      <c r="CG988" s="11"/>
      <c r="CH988" s="11"/>
      <c r="CI988" s="11"/>
      <c r="CJ988" s="11"/>
      <c r="CK988" s="11"/>
      <c r="CL988" s="11">
        <v>792650.0</v>
      </c>
      <c r="CM988" s="11">
        <v>689800.0</v>
      </c>
      <c r="CN988" s="11">
        <v>383640.0</v>
      </c>
      <c r="CO988" s="11">
        <v>350080.0</v>
      </c>
      <c r="CP988" s="11">
        <v>360690.0</v>
      </c>
      <c r="CQ988" s="11">
        <v>88200.0</v>
      </c>
      <c r="CR988" s="11">
        <v>67490.0</v>
      </c>
      <c r="CS988" s="11">
        <v>36020.0</v>
      </c>
      <c r="CT988" s="11">
        <v>30620.0</v>
      </c>
      <c r="CU988" s="11">
        <v>25490.0</v>
      </c>
      <c r="CV988" s="11">
        <v>157300.0</v>
      </c>
      <c r="CW988" s="11">
        <v>3800.0</v>
      </c>
      <c r="CX988" s="11"/>
      <c r="CY988" s="11"/>
      <c r="CZ988" s="11"/>
      <c r="DA988" s="11"/>
      <c r="DB988" s="11">
        <v>157300.0</v>
      </c>
      <c r="DC988" s="11">
        <v>148900.0</v>
      </c>
      <c r="DD988" s="11">
        <v>79030.0</v>
      </c>
      <c r="DE988" s="11">
        <v>74030.0</v>
      </c>
      <c r="DF988" s="11">
        <v>612530.0</v>
      </c>
      <c r="DG988" s="11">
        <v>539590.0</v>
      </c>
      <c r="DH988" s="11">
        <v>237720.0</v>
      </c>
      <c r="DI988" s="11">
        <v>191130.0</v>
      </c>
      <c r="DJ988" s="11">
        <v>189080.0</v>
      </c>
      <c r="DK988" s="11">
        <v>42910.0</v>
      </c>
      <c r="DL988" s="11">
        <v>11790.0</v>
      </c>
      <c r="DM988" s="12"/>
      <c r="DN988" s="12"/>
      <c r="DO988" s="11"/>
      <c r="DP988" s="11">
        <v>378230.0</v>
      </c>
      <c r="DQ988" s="11">
        <v>320280.0</v>
      </c>
      <c r="DR988" s="11">
        <v>107900.0</v>
      </c>
      <c r="DS988" s="11">
        <v>68600.0</v>
      </c>
      <c r="DT988" s="11">
        <v>80870.0</v>
      </c>
      <c r="DU988" s="13"/>
      <c r="DV988" s="12"/>
      <c r="DW988" s="12"/>
      <c r="DX988" s="11"/>
      <c r="DY988" s="11"/>
      <c r="DZ988" s="11">
        <v>180120.0</v>
      </c>
      <c r="EA988" s="11">
        <v>149720.0</v>
      </c>
      <c r="EB988" s="11">
        <v>145920.0</v>
      </c>
      <c r="EC988" s="11">
        <v>158950.0</v>
      </c>
      <c r="ED988" s="11">
        <v>171620.0</v>
      </c>
      <c r="EE988" s="14">
        <v>0.002163434</v>
      </c>
      <c r="EF988" s="14">
        <v>0.019199469</v>
      </c>
      <c r="EG988" s="14">
        <v>0.0</v>
      </c>
      <c r="EH988" s="14">
        <v>-0.775</v>
      </c>
    </row>
    <row r="989">
      <c r="A989" s="9">
        <f t="shared" si="2"/>
        <v>987</v>
      </c>
      <c r="B989" s="10" t="s">
        <v>1124</v>
      </c>
      <c r="C989" s="11">
        <v>3.724E7</v>
      </c>
      <c r="D989" s="11">
        <v>3.519E7</v>
      </c>
      <c r="E989" s="11">
        <v>3.384E7</v>
      </c>
      <c r="F989" s="11">
        <v>3.01E7</v>
      </c>
      <c r="G989" s="11">
        <v>2.6E7</v>
      </c>
      <c r="H989" s="11">
        <v>2.451E7</v>
      </c>
      <c r="I989" s="11">
        <v>2.353E7</v>
      </c>
      <c r="J989" s="11">
        <v>7260000.0</v>
      </c>
      <c r="K989" s="11">
        <v>6790000.0</v>
      </c>
      <c r="L989" s="11">
        <v>5930000.0</v>
      </c>
      <c r="M989" s="11">
        <v>5780000.0</v>
      </c>
      <c r="N989" s="11">
        <v>5640000.0</v>
      </c>
      <c r="O989" s="11">
        <v>3290000.0</v>
      </c>
      <c r="P989" s="11">
        <v>3010000.0</v>
      </c>
      <c r="Q989" s="11">
        <v>2710000.0</v>
      </c>
      <c r="R989" s="11">
        <v>2580000.0</v>
      </c>
      <c r="S989" s="11">
        <v>2570000.0</v>
      </c>
      <c r="T989" s="11">
        <v>953000.0</v>
      </c>
      <c r="U989" s="11">
        <v>764000.0</v>
      </c>
      <c r="V989" s="11">
        <v>639000.0</v>
      </c>
      <c r="W989" s="11">
        <v>705000.0</v>
      </c>
      <c r="X989" s="11">
        <v>712000.0</v>
      </c>
      <c r="Y989" s="12"/>
      <c r="Z989" s="12"/>
      <c r="AA989" s="12"/>
      <c r="AB989" s="12"/>
      <c r="AC989" s="12"/>
      <c r="AD989" s="11">
        <v>2550000.0</v>
      </c>
      <c r="AE989" s="11">
        <v>3740000.0</v>
      </c>
      <c r="AF989" s="11">
        <v>4230000.0</v>
      </c>
      <c r="AG989" s="11">
        <v>2920000.0</v>
      </c>
      <c r="AH989" s="11">
        <v>2790000.0</v>
      </c>
      <c r="AI989" s="11">
        <v>5230000.0</v>
      </c>
      <c r="AJ989" s="11">
        <v>4580000.0</v>
      </c>
      <c r="AK989" s="11">
        <v>3690000.0</v>
      </c>
      <c r="AL989" s="11">
        <v>3650000.0</v>
      </c>
      <c r="AM989" s="11">
        <v>3540000.0</v>
      </c>
      <c r="AN989" s="11">
        <v>2250000.0</v>
      </c>
      <c r="AO989" s="11">
        <v>3230000.0</v>
      </c>
      <c r="AP989" s="11">
        <v>2870000.0</v>
      </c>
      <c r="AQ989" s="11">
        <v>2200000.0</v>
      </c>
      <c r="AR989" s="11">
        <v>1990000.0</v>
      </c>
      <c r="AS989" s="11">
        <v>4300000.0</v>
      </c>
      <c r="AT989" s="11">
        <v>3830000.0</v>
      </c>
      <c r="AU989" s="11">
        <v>2610000.0</v>
      </c>
      <c r="AV989" s="11">
        <v>2810000.0</v>
      </c>
      <c r="AW989" s="11">
        <v>2160000.0</v>
      </c>
      <c r="AX989" s="11">
        <v>-1260000.0</v>
      </c>
      <c r="AY989" s="11">
        <v>-1250000.0</v>
      </c>
      <c r="AZ989" s="11">
        <v>-928000.0</v>
      </c>
      <c r="BA989" s="11">
        <v>-920000.0</v>
      </c>
      <c r="BB989" s="11">
        <v>-471000.0</v>
      </c>
      <c r="BC989" s="11">
        <v>-880000.0</v>
      </c>
      <c r="BD989" s="11">
        <v>-821000.0</v>
      </c>
      <c r="BE989" s="11">
        <v>-689000.0</v>
      </c>
      <c r="BF989" s="11">
        <v>-640000.0</v>
      </c>
      <c r="BG989" s="11">
        <v>-603000.0</v>
      </c>
      <c r="BH989" s="11">
        <v>2250000.0</v>
      </c>
      <c r="BI989" s="11">
        <v>1580000.0</v>
      </c>
      <c r="BJ989" s="11">
        <v>1.123E7</v>
      </c>
      <c r="BK989" s="11">
        <v>2540000.0</v>
      </c>
      <c r="BL989" s="11">
        <v>2320000.0</v>
      </c>
      <c r="BM989" s="11">
        <v>6660000.0</v>
      </c>
      <c r="BN989" s="11">
        <v>6470000.0</v>
      </c>
      <c r="BO989" s="11">
        <v>4520000.0</v>
      </c>
      <c r="BP989" s="11">
        <v>3300000.0</v>
      </c>
      <c r="BQ989" s="11">
        <v>2840000.0</v>
      </c>
      <c r="BR989" s="11">
        <v>783000.0</v>
      </c>
      <c r="BS989" s="11">
        <v>654000.0</v>
      </c>
      <c r="BT989" s="11">
        <v>398000.0</v>
      </c>
      <c r="BU989" s="11">
        <v>816000.0</v>
      </c>
      <c r="BV989" s="11">
        <v>807000.0</v>
      </c>
      <c r="BW989" s="11">
        <v>1.057E7</v>
      </c>
      <c r="BX989" s="11">
        <v>9680000.0</v>
      </c>
      <c r="BY989" s="11">
        <v>1.659E7</v>
      </c>
      <c r="BZ989" s="11">
        <v>6860000.0</v>
      </c>
      <c r="CA989" s="11">
        <v>6330000.0</v>
      </c>
      <c r="CB989" s="11">
        <v>8420000.0</v>
      </c>
      <c r="CC989" s="11">
        <v>6370000.0</v>
      </c>
      <c r="CD989" s="11">
        <v>4230000.0</v>
      </c>
      <c r="CE989" s="11">
        <v>3590000.0</v>
      </c>
      <c r="CF989" s="11">
        <v>3060000.0</v>
      </c>
      <c r="CG989" s="11">
        <v>1.871E7</v>
      </c>
      <c r="CH989" s="11">
        <v>1.867E7</v>
      </c>
      <c r="CI989" s="11">
        <v>1.246E7</v>
      </c>
      <c r="CJ989" s="11">
        <v>1.245E7</v>
      </c>
      <c r="CK989" s="11">
        <v>1.246E7</v>
      </c>
      <c r="CL989" s="11">
        <v>4.109E7</v>
      </c>
      <c r="CM989" s="11">
        <v>3.765E7</v>
      </c>
      <c r="CN989" s="11">
        <v>3.513E7</v>
      </c>
      <c r="CO989" s="11">
        <v>2.801E7</v>
      </c>
      <c r="CP989" s="11">
        <v>2.656E7</v>
      </c>
      <c r="CQ989" s="11">
        <v>2230000.0</v>
      </c>
      <c r="CR989" s="11">
        <v>2180000.0</v>
      </c>
      <c r="CS989" s="11">
        <v>1660000.0</v>
      </c>
      <c r="CT989" s="11">
        <v>1550000.0</v>
      </c>
      <c r="CU989" s="11">
        <v>1280000.0</v>
      </c>
      <c r="CV989" s="11">
        <v>9430000.0</v>
      </c>
      <c r="CW989" s="11">
        <v>339000.0</v>
      </c>
      <c r="CX989" s="12"/>
      <c r="CY989" s="12"/>
      <c r="CZ989" s="12"/>
      <c r="DA989" s="12"/>
      <c r="DB989" s="11">
        <v>9430000.0</v>
      </c>
      <c r="DC989" s="11">
        <v>8270000.0</v>
      </c>
      <c r="DD989" s="11">
        <v>7090000.0</v>
      </c>
      <c r="DE989" s="11">
        <v>5630000.0</v>
      </c>
      <c r="DF989" s="11">
        <v>3.227E7</v>
      </c>
      <c r="DG989" s="11">
        <v>2.947E7</v>
      </c>
      <c r="DH989" s="11">
        <v>2.8E7</v>
      </c>
      <c r="DI989" s="11">
        <v>2.275E7</v>
      </c>
      <c r="DJ989" s="11">
        <v>2.104E7</v>
      </c>
      <c r="DK989" s="11">
        <v>364000.0</v>
      </c>
      <c r="DL989" s="11">
        <v>319000.0</v>
      </c>
      <c r="DM989" s="11">
        <v>352000.0</v>
      </c>
      <c r="DN989" s="11">
        <v>330000.0</v>
      </c>
      <c r="DO989" s="11">
        <v>310000.0</v>
      </c>
      <c r="DP989" s="11">
        <v>1.408E7</v>
      </c>
      <c r="DQ989" s="11">
        <v>1.388E7</v>
      </c>
      <c r="DR989" s="11">
        <v>1.44E7</v>
      </c>
      <c r="DS989" s="11">
        <v>7060000.0</v>
      </c>
      <c r="DT989" s="11">
        <v>6390000.0</v>
      </c>
      <c r="DU989" s="13"/>
      <c r="DV989" s="13"/>
      <c r="DW989" s="12"/>
      <c r="DX989" s="12"/>
      <c r="DY989" s="13"/>
      <c r="DZ989" s="11">
        <v>8820000.0</v>
      </c>
      <c r="EA989" s="11">
        <v>8190000.0</v>
      </c>
      <c r="EB989" s="11">
        <v>7130000.0</v>
      </c>
      <c r="EC989" s="11">
        <v>5260000.0</v>
      </c>
      <c r="ED989" s="11">
        <v>5520000.0</v>
      </c>
      <c r="EE989" s="14">
        <v>0.008</v>
      </c>
      <c r="EF989" s="14">
        <v>0.037</v>
      </c>
      <c r="EG989" s="14">
        <v>-0.065</v>
      </c>
      <c r="EH989" s="14">
        <v>0.086</v>
      </c>
    </row>
    <row r="990">
      <c r="A990" s="9">
        <f t="shared" si="2"/>
        <v>988</v>
      </c>
      <c r="B990" s="10" t="s">
        <v>1125</v>
      </c>
      <c r="C990" s="15">
        <v>2880000.0</v>
      </c>
      <c r="D990" s="15">
        <v>2920000.0</v>
      </c>
      <c r="E990" s="15">
        <v>2600000.0</v>
      </c>
      <c r="F990" s="15">
        <v>2560000.0</v>
      </c>
      <c r="G990" s="15">
        <v>2210000.0</v>
      </c>
      <c r="H990" s="15">
        <v>2130000.0</v>
      </c>
      <c r="I990" s="15">
        <v>1320000.0</v>
      </c>
      <c r="J990" s="15">
        <v>771500.0</v>
      </c>
      <c r="K990" s="15">
        <v>762710.0</v>
      </c>
      <c r="L990" s="15">
        <v>668750.0</v>
      </c>
      <c r="M990" s="15">
        <v>623010.0</v>
      </c>
      <c r="N990" s="15">
        <v>339620.0</v>
      </c>
      <c r="O990" s="15">
        <v>409420.0</v>
      </c>
      <c r="P990" s="15">
        <v>393920.0</v>
      </c>
      <c r="Q990" s="15">
        <v>353830.0</v>
      </c>
      <c r="R990" s="15">
        <v>323560.0</v>
      </c>
      <c r="S990" s="15">
        <v>59290.0</v>
      </c>
      <c r="T990" s="15">
        <v>21150.0</v>
      </c>
      <c r="U990" s="15">
        <v>18290.0</v>
      </c>
      <c r="V990" s="15">
        <v>17370.0</v>
      </c>
      <c r="W990" s="15">
        <v>14710.0</v>
      </c>
      <c r="X990" s="15">
        <v>17890.0</v>
      </c>
      <c r="Y990" s="15">
        <v>311490.0</v>
      </c>
      <c r="Z990" s="15">
        <v>354990.0</v>
      </c>
      <c r="AA990" s="15">
        <v>262240.0</v>
      </c>
      <c r="AB990" s="15">
        <v>144360.0</v>
      </c>
      <c r="AC990" s="15">
        <v>-177870.0</v>
      </c>
      <c r="AD990" s="15">
        <v>235380.0</v>
      </c>
      <c r="AE990" s="15">
        <v>267920.0</v>
      </c>
      <c r="AF990" s="15">
        <v>190060.0</v>
      </c>
      <c r="AG990" s="15">
        <v>84070.0</v>
      </c>
      <c r="AH990" s="15">
        <v>-516900.0</v>
      </c>
      <c r="AI990" s="15">
        <v>438520.0</v>
      </c>
      <c r="AJ990" s="15">
        <v>423410.0</v>
      </c>
      <c r="AK990" s="15">
        <v>362740.0</v>
      </c>
      <c r="AL990" s="15">
        <v>351880.0</v>
      </c>
      <c r="AM990" s="15">
        <v>304580.0</v>
      </c>
      <c r="AN990" s="15">
        <v>172360.0</v>
      </c>
      <c r="AO990" s="15">
        <v>201970.0</v>
      </c>
      <c r="AP990" s="15">
        <v>153960.0</v>
      </c>
      <c r="AQ990" s="15">
        <v>40270.0</v>
      </c>
      <c r="AR990" s="15">
        <v>-498720.0</v>
      </c>
      <c r="AS990" s="15">
        <v>301530.0</v>
      </c>
      <c r="AT990" s="15">
        <v>325850.0</v>
      </c>
      <c r="AU990" s="15">
        <v>163890.0</v>
      </c>
      <c r="AV990" s="15">
        <v>242370.0</v>
      </c>
      <c r="AW990" s="15">
        <v>9650.0</v>
      </c>
      <c r="AX990" s="15">
        <v>-52940.0</v>
      </c>
      <c r="AY990" s="15">
        <v>-49080.0</v>
      </c>
      <c r="AZ990" s="15">
        <v>-48050.0</v>
      </c>
      <c r="BA990" s="15">
        <v>-46900.0</v>
      </c>
      <c r="BB990" s="15">
        <v>-23730.0</v>
      </c>
      <c r="BC990" s="13"/>
      <c r="BD990" s="13"/>
      <c r="BE990" s="13"/>
      <c r="BF990" s="13"/>
      <c r="BG990" s="13"/>
      <c r="BH990" s="15">
        <v>995100.0</v>
      </c>
      <c r="BI990" s="15">
        <v>480580.0</v>
      </c>
      <c r="BJ990" s="15">
        <v>354360.0</v>
      </c>
      <c r="BK990" s="15">
        <v>430440.0</v>
      </c>
      <c r="BL990" s="15">
        <v>761710.0</v>
      </c>
      <c r="BM990" s="15">
        <v>232020.0</v>
      </c>
      <c r="BN990" s="15">
        <v>198790.0</v>
      </c>
      <c r="BO990" s="15">
        <v>176640.0</v>
      </c>
      <c r="BP990" s="15">
        <v>134690.0</v>
      </c>
      <c r="BQ990" s="15">
        <v>120040.0</v>
      </c>
      <c r="BR990" s="15">
        <v>362790.0</v>
      </c>
      <c r="BS990" s="15">
        <v>391530.0</v>
      </c>
      <c r="BT990" s="15">
        <v>368530.0</v>
      </c>
      <c r="BU990" s="15">
        <v>342790.0</v>
      </c>
      <c r="BV990" s="15">
        <v>347180.0</v>
      </c>
      <c r="BW990" s="15">
        <v>1590000.0</v>
      </c>
      <c r="BX990" s="15">
        <v>1070000.0</v>
      </c>
      <c r="BY990" s="15">
        <v>899520.0</v>
      </c>
      <c r="BZ990" s="15">
        <v>921640.0</v>
      </c>
      <c r="CA990" s="15">
        <v>1240000.0</v>
      </c>
      <c r="CB990" s="15">
        <v>474140.0</v>
      </c>
      <c r="CC990" s="15">
        <v>398730.0</v>
      </c>
      <c r="CD990" s="15">
        <v>354720.0</v>
      </c>
      <c r="CE990" s="15">
        <v>314530.0</v>
      </c>
      <c r="CF990" s="15">
        <v>345660.0</v>
      </c>
      <c r="CG990" s="15">
        <v>2090000.0</v>
      </c>
      <c r="CH990" s="15">
        <v>2130000.0</v>
      </c>
      <c r="CI990" s="15">
        <v>2100000.0</v>
      </c>
      <c r="CJ990" s="15">
        <v>1840000.0</v>
      </c>
      <c r="CK990" s="15">
        <v>1820000.0</v>
      </c>
      <c r="CL990" s="15">
        <v>6630000.0</v>
      </c>
      <c r="CM990" s="15">
        <v>6110000.0</v>
      </c>
      <c r="CN990" s="15">
        <v>5530000.0</v>
      </c>
      <c r="CO990" s="15">
        <v>4970000.0</v>
      </c>
      <c r="CP990" s="15">
        <v>5360000.0</v>
      </c>
      <c r="CQ990" s="15">
        <v>410720.0</v>
      </c>
      <c r="CR990" s="15">
        <v>457950.0</v>
      </c>
      <c r="CS990" s="15">
        <v>394940.0</v>
      </c>
      <c r="CT990" s="15">
        <v>363890.0</v>
      </c>
      <c r="CU990" s="15">
        <v>274400.0</v>
      </c>
      <c r="CV990" s="15">
        <v>923930.0</v>
      </c>
      <c r="CW990" s="15">
        <v>1460.0</v>
      </c>
      <c r="CX990" s="13"/>
      <c r="CY990" s="13"/>
      <c r="CZ990" s="13"/>
      <c r="DA990" s="12">
        <v>469930.0</v>
      </c>
      <c r="DB990" s="15">
        <v>923930.0</v>
      </c>
      <c r="DC990" s="15">
        <v>960250.0</v>
      </c>
      <c r="DD990" s="15">
        <v>842840.0</v>
      </c>
      <c r="DE990" s="15">
        <v>794330.0</v>
      </c>
      <c r="DF990" s="15">
        <v>3760000.0</v>
      </c>
      <c r="DG990" s="15">
        <v>3750000.0</v>
      </c>
      <c r="DH990" s="15">
        <v>3300000.0</v>
      </c>
      <c r="DI990" s="15">
        <v>2960000.0</v>
      </c>
      <c r="DJ990" s="15">
        <v>3300000.0</v>
      </c>
      <c r="DK990" s="15">
        <v>19640.0</v>
      </c>
      <c r="DL990" s="15">
        <v>40810.0</v>
      </c>
      <c r="DM990" s="15">
        <v>22330.0</v>
      </c>
      <c r="DN990" s="15"/>
      <c r="DO990" s="15"/>
      <c r="DP990" s="15">
        <v>2070000.0</v>
      </c>
      <c r="DQ990" s="15">
        <v>1990000.0</v>
      </c>
      <c r="DR990" s="15">
        <v>1680000.0</v>
      </c>
      <c r="DS990" s="15">
        <v>1530000.0</v>
      </c>
      <c r="DT990" s="15">
        <v>1620000.0</v>
      </c>
      <c r="DU990" s="15"/>
      <c r="DV990" s="15"/>
      <c r="DW990" s="15"/>
      <c r="DX990" s="13"/>
      <c r="DY990" s="13"/>
      <c r="DZ990" s="15">
        <v>2870000.0</v>
      </c>
      <c r="EA990" s="15">
        <v>2350000.0</v>
      </c>
      <c r="EB990" s="15">
        <v>2220000.0</v>
      </c>
      <c r="EC990" s="15">
        <v>2010000.0</v>
      </c>
      <c r="ED990" s="15">
        <v>2050000.0</v>
      </c>
      <c r="EE990" s="23">
        <v>0.034246575</v>
      </c>
      <c r="EF990" s="23">
        <v>0.069444444</v>
      </c>
      <c r="EG990" s="17">
        <v>0.1</v>
      </c>
      <c r="EH990" s="23">
        <v>0.09425</v>
      </c>
    </row>
    <row r="991">
      <c r="A991" s="9">
        <f t="shared" si="2"/>
        <v>989</v>
      </c>
      <c r="B991" s="10" t="s">
        <v>1126</v>
      </c>
      <c r="C991" s="11">
        <v>4300.0</v>
      </c>
      <c r="D991" s="11">
        <v>4820.0</v>
      </c>
      <c r="E991" s="11">
        <v>4900.0</v>
      </c>
      <c r="F991" s="11">
        <v>5990.0</v>
      </c>
      <c r="G991" s="11">
        <v>2650.0</v>
      </c>
      <c r="H991" s="12"/>
      <c r="I991" s="12"/>
      <c r="J991" s="12"/>
      <c r="K991" s="12"/>
      <c r="L991" s="12"/>
      <c r="M991" s="11">
        <v>-757.0</v>
      </c>
      <c r="N991" s="11">
        <v>-631.0</v>
      </c>
      <c r="O991" s="11">
        <v>32670.0</v>
      </c>
      <c r="P991" s="11">
        <v>32560.0</v>
      </c>
      <c r="Q991" s="11">
        <v>36110.0</v>
      </c>
      <c r="R991" s="11">
        <v>59070.0</v>
      </c>
      <c r="S991" s="11">
        <v>25200.0</v>
      </c>
      <c r="T991" s="11">
        <v>25170.0</v>
      </c>
      <c r="U991" s="11">
        <v>23050.0</v>
      </c>
      <c r="V991" s="11">
        <v>25210.0</v>
      </c>
      <c r="W991" s="11">
        <v>46490.0</v>
      </c>
      <c r="X991" s="11">
        <v>16570.0</v>
      </c>
      <c r="Y991" s="12"/>
      <c r="Z991" s="12"/>
      <c r="AA991" s="11">
        <v>-793.0</v>
      </c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1">
        <v>-422.0</v>
      </c>
      <c r="AY991" s="12"/>
      <c r="AZ991" s="12"/>
      <c r="BA991" s="12"/>
      <c r="BB991" s="12"/>
      <c r="BC991" s="12"/>
      <c r="BD991" s="12"/>
      <c r="BE991" s="12"/>
      <c r="BF991" s="12"/>
      <c r="BG991" s="12"/>
      <c r="BH991" s="11">
        <v>13710.0</v>
      </c>
      <c r="BI991" s="11">
        <v>8190.0</v>
      </c>
      <c r="BJ991" s="11">
        <v>2520.0</v>
      </c>
      <c r="BK991" s="11">
        <v>34610.0</v>
      </c>
      <c r="BL991" s="11">
        <v>45690.0</v>
      </c>
      <c r="BM991" s="11">
        <v>419.0</v>
      </c>
      <c r="BN991" s="12"/>
      <c r="BO991" s="12"/>
      <c r="BP991" s="12"/>
      <c r="BQ991" s="12"/>
      <c r="BR991" s="12"/>
      <c r="BS991" s="12"/>
      <c r="BT991" s="12"/>
      <c r="BU991" s="12"/>
      <c r="BV991" s="12"/>
      <c r="BW991" s="11">
        <v>15680.0</v>
      </c>
      <c r="BX991" s="11">
        <v>9300.0</v>
      </c>
      <c r="BY991" s="11">
        <v>3410.0</v>
      </c>
      <c r="BZ991" s="11">
        <v>35570.0</v>
      </c>
      <c r="CA991" s="11">
        <v>46620.0</v>
      </c>
      <c r="CB991" s="11">
        <v>12340.0</v>
      </c>
      <c r="CC991" s="11">
        <v>15870.0</v>
      </c>
      <c r="CD991" s="11">
        <v>16620.0</v>
      </c>
      <c r="CE991" s="11">
        <v>16290.0</v>
      </c>
      <c r="CF991" s="11">
        <v>2340.0</v>
      </c>
      <c r="CG991" s="12"/>
      <c r="CH991" s="12"/>
      <c r="CI991" s="12"/>
      <c r="CJ991" s="12"/>
      <c r="CK991" s="12"/>
      <c r="CL991" s="11">
        <v>29100.0</v>
      </c>
      <c r="CM991" s="11">
        <v>26360.0</v>
      </c>
      <c r="CN991" s="11">
        <v>21130.0</v>
      </c>
      <c r="CO991" s="11">
        <v>52470.0</v>
      </c>
      <c r="CP991" s="11">
        <v>49820.0</v>
      </c>
      <c r="CQ991" s="11">
        <v>4690.0</v>
      </c>
      <c r="CR991" s="11">
        <v>1250.0</v>
      </c>
      <c r="CS991" s="11">
        <v>479.0</v>
      </c>
      <c r="CT991" s="12"/>
      <c r="CU991" s="11">
        <v>1630.0</v>
      </c>
      <c r="CV991" s="11">
        <v>12900.0</v>
      </c>
      <c r="CW991" s="12"/>
      <c r="CX991" s="13"/>
      <c r="CY991" s="13"/>
      <c r="CZ991" s="12"/>
      <c r="DA991" s="12"/>
      <c r="DB991" s="11">
        <v>12900.0</v>
      </c>
      <c r="DC991" s="11">
        <v>9060.0</v>
      </c>
      <c r="DD991" s="11">
        <v>8890.0</v>
      </c>
      <c r="DE991" s="11">
        <v>13380.0</v>
      </c>
      <c r="DF991" s="11">
        <v>52880.0</v>
      </c>
      <c r="DG991" s="11">
        <v>21160.0</v>
      </c>
      <c r="DH991" s="11">
        <v>22850.0</v>
      </c>
      <c r="DI991" s="11">
        <v>21410.0</v>
      </c>
      <c r="DJ991" s="11">
        <v>5100.0</v>
      </c>
      <c r="DK991" s="11">
        <v>540.0</v>
      </c>
      <c r="DL991" s="11">
        <v>539.0</v>
      </c>
      <c r="DM991" s="11">
        <v>539.0</v>
      </c>
      <c r="DN991" s="11">
        <v>539.0</v>
      </c>
      <c r="DO991" s="24">
        <v>539.0</v>
      </c>
      <c r="DP991" s="11">
        <v>5100.0</v>
      </c>
      <c r="DQ991" s="11">
        <v>8010.0</v>
      </c>
      <c r="DR991" s="11">
        <v>8020.0</v>
      </c>
      <c r="DS991" s="11">
        <v>8030.0</v>
      </c>
      <c r="DT991" s="11">
        <v>4.0</v>
      </c>
      <c r="DU991" s="13"/>
      <c r="DV991" s="12"/>
      <c r="DW991" s="12"/>
      <c r="DX991" s="13"/>
      <c r="DY991" s="11">
        <v>104800.0</v>
      </c>
      <c r="DZ991" s="12"/>
      <c r="EA991" s="11">
        <v>5200.0</v>
      </c>
      <c r="EB991" s="12"/>
      <c r="EC991" s="11">
        <v>31070.0</v>
      </c>
      <c r="ED991" s="11">
        <v>44720.0</v>
      </c>
      <c r="EE991" s="14">
        <v>0.025</v>
      </c>
      <c r="EF991" s="14">
        <v>0.372</v>
      </c>
      <c r="EG991" s="14">
        <v>0.227</v>
      </c>
      <c r="EH991" s="14">
        <v>0.138</v>
      </c>
    </row>
    <row r="992">
      <c r="A992" s="9">
        <f t="shared" si="2"/>
        <v>990</v>
      </c>
      <c r="B992" s="25" t="s">
        <v>1127</v>
      </c>
      <c r="C992" s="15"/>
      <c r="D992" s="15"/>
      <c r="E992" s="15">
        <v>308510.0</v>
      </c>
      <c r="F992" s="15">
        <v>323320.0</v>
      </c>
      <c r="G992" s="15">
        <v>333630.0</v>
      </c>
      <c r="H992" s="15">
        <v>341910.0</v>
      </c>
      <c r="I992" s="15">
        <v>355650.0</v>
      </c>
      <c r="J992" s="15">
        <v>71840.0</v>
      </c>
      <c r="K992" s="15">
        <v>73720.0</v>
      </c>
      <c r="L992" s="15">
        <v>84600.0</v>
      </c>
      <c r="M992" s="15">
        <v>84940.0</v>
      </c>
      <c r="N992" s="15">
        <v>84260.0</v>
      </c>
      <c r="O992" s="15">
        <v>25460.0</v>
      </c>
      <c r="P992" s="15">
        <v>23290.0</v>
      </c>
      <c r="Q992" s="15">
        <v>22900.0</v>
      </c>
      <c r="R992" s="15">
        <v>22430.0</v>
      </c>
      <c r="S992" s="15">
        <v>21740.0</v>
      </c>
      <c r="T992" s="15"/>
      <c r="U992" s="15"/>
      <c r="V992" s="15"/>
      <c r="W992" s="15"/>
      <c r="X992" s="15"/>
      <c r="Y992" s="12"/>
      <c r="Z992" s="12"/>
      <c r="AA992" s="12"/>
      <c r="AB992" s="15"/>
      <c r="AC992" s="15"/>
      <c r="AD992" s="15">
        <v>52310.0</v>
      </c>
      <c r="AE992" s="15">
        <v>52340.0</v>
      </c>
      <c r="AF992" s="15">
        <v>65290.0</v>
      </c>
      <c r="AG992" s="15">
        <v>63320.0</v>
      </c>
      <c r="AH992" s="15">
        <v>62920.0</v>
      </c>
      <c r="AI992" s="15">
        <v>50070.0</v>
      </c>
      <c r="AJ992" s="15">
        <v>56650.0</v>
      </c>
      <c r="AK992" s="15">
        <v>71590.0</v>
      </c>
      <c r="AL992" s="15">
        <v>77200.0</v>
      </c>
      <c r="AM992" s="15">
        <v>78130.0</v>
      </c>
      <c r="AN992" s="15">
        <v>40540.0</v>
      </c>
      <c r="AO992" s="15">
        <v>39890.0</v>
      </c>
      <c r="AP992" s="15">
        <v>43310.0</v>
      </c>
      <c r="AQ992" s="15">
        <v>41920.0</v>
      </c>
      <c r="AR992" s="15">
        <v>42160.0</v>
      </c>
      <c r="AS992" s="15">
        <v>9580.0</v>
      </c>
      <c r="AT992" s="15">
        <v>76250.0</v>
      </c>
      <c r="AU992" s="15">
        <v>24280.0</v>
      </c>
      <c r="AV992" s="15">
        <v>66380.0</v>
      </c>
      <c r="AW992" s="15">
        <v>46280.0</v>
      </c>
      <c r="AX992" s="15">
        <v>-3140.0</v>
      </c>
      <c r="AY992" s="15">
        <v>-8690.0</v>
      </c>
      <c r="AZ992" s="15">
        <v>-8400.0</v>
      </c>
      <c r="BA992" s="15">
        <v>-7160.0</v>
      </c>
      <c r="BB992" s="15">
        <v>-6460.0</v>
      </c>
      <c r="BC992" s="15">
        <v>-42090.0</v>
      </c>
      <c r="BD992" s="15">
        <v>-41990.0</v>
      </c>
      <c r="BE992" s="15">
        <v>-38410.0</v>
      </c>
      <c r="BF992" s="15">
        <v>-35160.0</v>
      </c>
      <c r="BG992" s="15">
        <v>-28110.0</v>
      </c>
      <c r="BH992" s="15">
        <v>158310.0</v>
      </c>
      <c r="BI992" s="15">
        <v>191450.0</v>
      </c>
      <c r="BJ992" s="15">
        <v>155470.0</v>
      </c>
      <c r="BK992" s="15">
        <v>111490.0</v>
      </c>
      <c r="BL992" s="15">
        <v>88480.0</v>
      </c>
      <c r="BM992" s="15">
        <v>44320.0</v>
      </c>
      <c r="BN992" s="15">
        <v>59590.0</v>
      </c>
      <c r="BO992" s="15">
        <v>65220.0</v>
      </c>
      <c r="BP992" s="15">
        <v>67290.0</v>
      </c>
      <c r="BQ992" s="15">
        <v>55580.0</v>
      </c>
      <c r="BR992" s="15">
        <v>128540.0</v>
      </c>
      <c r="BS992" s="15">
        <v>93990.0</v>
      </c>
      <c r="BT992" s="15">
        <v>104440.0</v>
      </c>
      <c r="BU992" s="15">
        <v>95400.0</v>
      </c>
      <c r="BV992" s="15">
        <v>88910.0</v>
      </c>
      <c r="BW992" s="15">
        <v>337830.0</v>
      </c>
      <c r="BX992" s="15">
        <v>352260.0</v>
      </c>
      <c r="BY992" s="15">
        <v>338510.0</v>
      </c>
      <c r="BZ992" s="15">
        <v>340500.0</v>
      </c>
      <c r="CA992" s="15">
        <v>261590.0</v>
      </c>
      <c r="CB992" s="15">
        <v>40800.0</v>
      </c>
      <c r="CC992" s="15">
        <v>39140.0</v>
      </c>
      <c r="CD992" s="15">
        <v>45170.0</v>
      </c>
      <c r="CE992" s="15">
        <v>49480.0</v>
      </c>
      <c r="CF992" s="15">
        <v>53160.0</v>
      </c>
      <c r="CG992" s="15">
        <v>15320.0</v>
      </c>
      <c r="CH992" s="15">
        <v>11490.0</v>
      </c>
      <c r="CI992" s="15">
        <v>11490.0</v>
      </c>
      <c r="CJ992" s="15">
        <v>11490.0</v>
      </c>
      <c r="CK992" s="15">
        <v>11490.0</v>
      </c>
      <c r="CL992" s="15">
        <v>411810.0</v>
      </c>
      <c r="CM992" s="15">
        <v>413620.0</v>
      </c>
      <c r="CN992" s="15">
        <v>411870.0</v>
      </c>
      <c r="CO992" s="15">
        <v>424360.0</v>
      </c>
      <c r="CP992" s="15">
        <v>396820.0</v>
      </c>
      <c r="CQ992" s="15">
        <v>19540.0</v>
      </c>
      <c r="CR992" s="15">
        <v>24300.0</v>
      </c>
      <c r="CS992" s="15">
        <v>28060.0</v>
      </c>
      <c r="CT992" s="15">
        <v>39040.0</v>
      </c>
      <c r="CU992" s="15">
        <v>27260.0</v>
      </c>
      <c r="CV992" s="15">
        <v>39300.0</v>
      </c>
      <c r="CW992" s="15">
        <v>520.0</v>
      </c>
      <c r="CX992" s="15"/>
      <c r="CY992" s="15"/>
      <c r="CZ992" s="15"/>
      <c r="DA992" s="15"/>
      <c r="DB992" s="15">
        <v>39300.0</v>
      </c>
      <c r="DC992" s="15">
        <v>47500.0</v>
      </c>
      <c r="DD992" s="15">
        <v>45500.0</v>
      </c>
      <c r="DE992" s="15">
        <v>64350.0</v>
      </c>
      <c r="DF992" s="15">
        <v>43860.0</v>
      </c>
      <c r="DG992" s="15">
        <v>47500.0</v>
      </c>
      <c r="DH992" s="15">
        <v>45500.0</v>
      </c>
      <c r="DI992" s="15">
        <v>74120.0</v>
      </c>
      <c r="DJ992" s="15">
        <v>57570.0</v>
      </c>
      <c r="DK992" s="15"/>
      <c r="DL992" s="15"/>
      <c r="DM992" s="15"/>
      <c r="DN992" s="12"/>
      <c r="DO992" s="15"/>
      <c r="DP992" s="15">
        <v>3000.0</v>
      </c>
      <c r="DQ992" s="15"/>
      <c r="DR992" s="15"/>
      <c r="DS992" s="15"/>
      <c r="DT992" s="15"/>
      <c r="DU992" s="13"/>
      <c r="DV992" s="12"/>
      <c r="DW992" s="12"/>
      <c r="DX992" s="13"/>
      <c r="DY992" s="13"/>
      <c r="DZ992" s="15">
        <v>367960.0</v>
      </c>
      <c r="EA992" s="15">
        <v>366120.0</v>
      </c>
      <c r="EB992" s="15">
        <v>366380.0</v>
      </c>
      <c r="EC992" s="15">
        <v>350240.0</v>
      </c>
      <c r="ED992" s="15">
        <v>339250.0</v>
      </c>
      <c r="EE992" s="17"/>
      <c r="EF992" s="17"/>
      <c r="EG992" s="23" t="s">
        <v>155</v>
      </c>
      <c r="EH992" s="17"/>
    </row>
    <row r="993">
      <c r="A993" s="9">
        <f t="shared" si="2"/>
        <v>991</v>
      </c>
      <c r="B993" s="10" t="s">
        <v>1128</v>
      </c>
      <c r="C993" s="15">
        <v>428530.0</v>
      </c>
      <c r="D993" s="15">
        <v>396390.0</v>
      </c>
      <c r="E993" s="15">
        <v>356800.0</v>
      </c>
      <c r="F993" s="15">
        <v>322540.0</v>
      </c>
      <c r="G993" s="15">
        <v>292890.0</v>
      </c>
      <c r="H993" s="15">
        <v>411420.0</v>
      </c>
      <c r="I993" s="15">
        <v>339440.0</v>
      </c>
      <c r="J993" s="15">
        <v>88690.0</v>
      </c>
      <c r="K993" s="15">
        <v>65870.0</v>
      </c>
      <c r="L993" s="15">
        <v>61820.0</v>
      </c>
      <c r="M993" s="15">
        <v>115620.0</v>
      </c>
      <c r="N993" s="15">
        <v>97420.0</v>
      </c>
      <c r="O993" s="15">
        <v>103880.0</v>
      </c>
      <c r="P993" s="15">
        <v>100950.0</v>
      </c>
      <c r="Q993" s="15">
        <v>110500.0</v>
      </c>
      <c r="R993" s="15">
        <v>110380.0</v>
      </c>
      <c r="S993" s="15">
        <v>91990.0</v>
      </c>
      <c r="T993" s="15">
        <v>57630.0</v>
      </c>
      <c r="U993" s="15">
        <v>53820.0</v>
      </c>
      <c r="V993" s="15">
        <v>58290.0</v>
      </c>
      <c r="W993" s="15">
        <v>57380.0</v>
      </c>
      <c r="X993" s="15">
        <v>44530.0</v>
      </c>
      <c r="Y993" s="15">
        <v>-15450.0</v>
      </c>
      <c r="Z993" s="15">
        <v>-41460.0</v>
      </c>
      <c r="AA993" s="15">
        <v>-53560.0</v>
      </c>
      <c r="AB993" s="15">
        <v>3020.0</v>
      </c>
      <c r="AC993" s="15">
        <v>3950.0</v>
      </c>
      <c r="AD993" s="15">
        <v>-15440.0</v>
      </c>
      <c r="AE993" s="15">
        <v>-42310.0</v>
      </c>
      <c r="AF993" s="15">
        <v>-52420.0</v>
      </c>
      <c r="AG993" s="15">
        <v>3390.0</v>
      </c>
      <c r="AH993" s="15">
        <v>6770.0</v>
      </c>
      <c r="AI993" s="15">
        <v>15150.0</v>
      </c>
      <c r="AJ993" s="15">
        <v>-3980.0</v>
      </c>
      <c r="AK993" s="15">
        <v>-20330.0</v>
      </c>
      <c r="AL993" s="15">
        <v>27540.0</v>
      </c>
      <c r="AM993" s="15">
        <v>28300.0</v>
      </c>
      <c r="AN993" s="15">
        <v>-17080.0</v>
      </c>
      <c r="AO993" s="15">
        <v>-43640.0</v>
      </c>
      <c r="AP993" s="15">
        <v>-53330.0</v>
      </c>
      <c r="AQ993" s="15">
        <v>0.0</v>
      </c>
      <c r="AR993" s="15">
        <v>3670.0</v>
      </c>
      <c r="AS993" s="15">
        <v>34690.0</v>
      </c>
      <c r="AT993" s="15">
        <v>19600.0</v>
      </c>
      <c r="AU993" s="15">
        <v>-32770.0</v>
      </c>
      <c r="AV993" s="15">
        <v>53840.0</v>
      </c>
      <c r="AW993" s="15">
        <v>26140.0</v>
      </c>
      <c r="AX993" s="15">
        <v>-9530.0</v>
      </c>
      <c r="AY993" s="15">
        <v>-14870.0</v>
      </c>
      <c r="AZ993" s="15">
        <v>-47410.0</v>
      </c>
      <c r="BA993" s="15">
        <v>-51690.0</v>
      </c>
      <c r="BB993" s="15">
        <v>-16840.0</v>
      </c>
      <c r="BC993" s="15">
        <v>0.0</v>
      </c>
      <c r="BD993" s="15">
        <v>0.0</v>
      </c>
      <c r="BE993" s="15">
        <v>0.0</v>
      </c>
      <c r="BF993" s="15">
        <v>0.0</v>
      </c>
      <c r="BG993" s="15">
        <v>0.0</v>
      </c>
      <c r="BH993" s="15">
        <v>89080.0</v>
      </c>
      <c r="BI993" s="15">
        <v>76720.0</v>
      </c>
      <c r="BJ993" s="15">
        <v>93880.0</v>
      </c>
      <c r="BK993" s="15">
        <v>105600.0</v>
      </c>
      <c r="BL993" s="15">
        <v>102040.0</v>
      </c>
      <c r="BM993" s="15">
        <v>85250.0</v>
      </c>
      <c r="BN993" s="15">
        <v>80880.0</v>
      </c>
      <c r="BO993" s="15">
        <v>71350.0</v>
      </c>
      <c r="BP993" s="15">
        <v>83330.0</v>
      </c>
      <c r="BQ993" s="15">
        <v>83160.0</v>
      </c>
      <c r="BR993" s="15">
        <v>46930.0</v>
      </c>
      <c r="BS993" s="15">
        <v>52160.0</v>
      </c>
      <c r="BT993" s="15">
        <v>67300.0</v>
      </c>
      <c r="BU993" s="15">
        <v>48240.0</v>
      </c>
      <c r="BV993" s="15">
        <v>65600.0</v>
      </c>
      <c r="BW993" s="15">
        <v>230750.0</v>
      </c>
      <c r="BX993" s="15">
        <v>233210.0</v>
      </c>
      <c r="BY993" s="15">
        <v>264640.0</v>
      </c>
      <c r="BZ993" s="15">
        <v>270800.0</v>
      </c>
      <c r="CA993" s="15">
        <v>263200.0</v>
      </c>
      <c r="CB993" s="15">
        <v>96740.0</v>
      </c>
      <c r="CC993" s="15">
        <v>100090.0</v>
      </c>
      <c r="CD993" s="15">
        <v>127570.0</v>
      </c>
      <c r="CE993" s="15">
        <v>106870.0</v>
      </c>
      <c r="CF993" s="15">
        <v>62620.0</v>
      </c>
      <c r="CG993" s="15">
        <v>1120.0</v>
      </c>
      <c r="CH993" s="15">
        <v>1120.0</v>
      </c>
      <c r="CI993" s="15">
        <v>1120.0</v>
      </c>
      <c r="CJ993" s="15">
        <v>1120.0</v>
      </c>
      <c r="CK993" s="15">
        <v>1120.0</v>
      </c>
      <c r="CL993" s="15">
        <v>334680.0</v>
      </c>
      <c r="CM993" s="15">
        <v>340580.0</v>
      </c>
      <c r="CN993" s="15">
        <v>402950.0</v>
      </c>
      <c r="CO993" s="15">
        <v>390890.0</v>
      </c>
      <c r="CP993" s="15">
        <v>341880.0</v>
      </c>
      <c r="CQ993" s="15">
        <v>58550.0</v>
      </c>
      <c r="CR993" s="15">
        <v>58400.0</v>
      </c>
      <c r="CS993" s="15">
        <v>69020.0</v>
      </c>
      <c r="CT993" s="15">
        <v>84770.0</v>
      </c>
      <c r="CU993" s="15">
        <v>50620.0</v>
      </c>
      <c r="CV993" s="15">
        <v>109080.0</v>
      </c>
      <c r="CW993" s="15">
        <v>2090.0</v>
      </c>
      <c r="CX993" s="15">
        <v>4800.0</v>
      </c>
      <c r="CY993" s="15">
        <v>35610.0</v>
      </c>
      <c r="CZ993" s="15">
        <v>30190.0</v>
      </c>
      <c r="DA993" s="15">
        <v>8860.0</v>
      </c>
      <c r="DB993" s="15">
        <v>109080.0</v>
      </c>
      <c r="DC993" s="15">
        <v>116380.0</v>
      </c>
      <c r="DD993" s="15">
        <v>153870.0</v>
      </c>
      <c r="DE993" s="15">
        <v>146330.0</v>
      </c>
      <c r="DF993" s="15">
        <v>173090.0</v>
      </c>
      <c r="DG993" s="15">
        <v>178230.0</v>
      </c>
      <c r="DH993" s="15">
        <v>207410.0</v>
      </c>
      <c r="DI993" s="15">
        <v>165480.0</v>
      </c>
      <c r="DJ993" s="15">
        <v>130220.0</v>
      </c>
      <c r="DK993" s="15">
        <v>0.0</v>
      </c>
      <c r="DL993" s="15">
        <v>0.0</v>
      </c>
      <c r="DM993" s="15">
        <v>0.0</v>
      </c>
      <c r="DN993" s="15">
        <v>0.0</v>
      </c>
      <c r="DO993" s="15">
        <v>0.0</v>
      </c>
      <c r="DP993" s="15">
        <v>55780.0</v>
      </c>
      <c r="DQ993" s="15">
        <v>50740.0</v>
      </c>
      <c r="DR993" s="15">
        <v>40560.0</v>
      </c>
      <c r="DS993" s="15">
        <v>10220.0</v>
      </c>
      <c r="DT993" s="15">
        <v>10760.0</v>
      </c>
      <c r="DU993" s="16">
        <v>0.0</v>
      </c>
      <c r="DV993" s="15">
        <v>0.0</v>
      </c>
      <c r="DW993" s="15">
        <v>0.0</v>
      </c>
      <c r="DX993" s="15">
        <v>0.0</v>
      </c>
      <c r="DY993" s="15">
        <v>0.0</v>
      </c>
      <c r="DZ993" s="15">
        <v>160210.0</v>
      </c>
      <c r="EA993" s="15">
        <v>160240.0</v>
      </c>
      <c r="EB993" s="15">
        <v>194450.0</v>
      </c>
      <c r="EC993" s="15">
        <v>225410.0</v>
      </c>
      <c r="ED993" s="15">
        <v>211660.0</v>
      </c>
      <c r="EE993" s="17">
        <v>0.15</v>
      </c>
      <c r="EF993" s="17">
        <v>0.303</v>
      </c>
      <c r="EG993" s="17">
        <v>2.4</v>
      </c>
      <c r="EH993" s="17">
        <v>1.892</v>
      </c>
    </row>
    <row r="994">
      <c r="A994" s="9">
        <f t="shared" si="2"/>
        <v>992</v>
      </c>
      <c r="B994" s="22" t="s">
        <v>1129</v>
      </c>
      <c r="C994" s="12"/>
      <c r="D994" s="11">
        <v>127980.0</v>
      </c>
      <c r="E994" s="11">
        <v>127980.0</v>
      </c>
      <c r="F994" s="11">
        <v>119690.0</v>
      </c>
      <c r="G994" s="11">
        <v>117560.0</v>
      </c>
      <c r="H994" s="11">
        <v>109380.0</v>
      </c>
      <c r="I994" s="11">
        <v>102340.0</v>
      </c>
      <c r="J994" s="11">
        <v>76010.0</v>
      </c>
      <c r="K994" s="11">
        <v>66650.0</v>
      </c>
      <c r="L994" s="11">
        <v>63910.0</v>
      </c>
      <c r="M994" s="11">
        <v>59580.0</v>
      </c>
      <c r="N994" s="11">
        <v>53620.0</v>
      </c>
      <c r="O994" s="11">
        <v>32950.0</v>
      </c>
      <c r="P994" s="11">
        <v>31320.0</v>
      </c>
      <c r="Q994" s="11">
        <v>29690.0</v>
      </c>
      <c r="R994" s="11">
        <v>28390.0</v>
      </c>
      <c r="S994" s="11">
        <v>26520.0</v>
      </c>
      <c r="T994" s="12"/>
      <c r="U994" s="12"/>
      <c r="V994" s="12"/>
      <c r="W994" s="12"/>
      <c r="X994" s="12"/>
      <c r="Y994" s="11">
        <v>43040.0</v>
      </c>
      <c r="Z994" s="11">
        <v>35280.0</v>
      </c>
      <c r="AA994" s="12"/>
      <c r="AB994" s="12"/>
      <c r="AC994" s="11">
        <v>-657.0</v>
      </c>
      <c r="AD994" s="11">
        <v>40520.0</v>
      </c>
      <c r="AE994" s="11">
        <v>34710.0</v>
      </c>
      <c r="AF994" s="11">
        <v>34280.0</v>
      </c>
      <c r="AG994" s="11">
        <v>31360.0</v>
      </c>
      <c r="AH994" s="11">
        <v>27360.0</v>
      </c>
      <c r="AI994" s="11">
        <v>48600.0</v>
      </c>
      <c r="AJ994" s="11">
        <v>40790.0</v>
      </c>
      <c r="AK994" s="11">
        <v>38810.0</v>
      </c>
      <c r="AL994" s="11">
        <v>35420.0</v>
      </c>
      <c r="AM994" s="11">
        <v>31210.0</v>
      </c>
      <c r="AN994" s="11">
        <v>32300.0</v>
      </c>
      <c r="AO994" s="11">
        <v>29950.0</v>
      </c>
      <c r="AP994" s="11">
        <v>22770.0</v>
      </c>
      <c r="AQ994" s="11">
        <v>20340.0</v>
      </c>
      <c r="AR994" s="11">
        <v>17460.0</v>
      </c>
      <c r="AS994" s="11">
        <v>40930.0</v>
      </c>
      <c r="AT994" s="11">
        <v>39850.0</v>
      </c>
      <c r="AU994" s="11">
        <v>28090.0</v>
      </c>
      <c r="AV994" s="11">
        <v>26840.0</v>
      </c>
      <c r="AW994" s="11">
        <v>21890.0</v>
      </c>
      <c r="AX994" s="11">
        <v>-4660.0</v>
      </c>
      <c r="AY994" s="11">
        <v>-5970.0</v>
      </c>
      <c r="AZ994" s="11">
        <v>-4820.0</v>
      </c>
      <c r="BA994" s="11">
        <v>-3970.0</v>
      </c>
      <c r="BB994" s="11">
        <v>-2940.0</v>
      </c>
      <c r="BC994" s="11">
        <v>-31300.0</v>
      </c>
      <c r="BD994" s="11">
        <v>-16860.0</v>
      </c>
      <c r="BE994" s="11">
        <v>-16870.0</v>
      </c>
      <c r="BF994" s="11">
        <v>-28550.0</v>
      </c>
      <c r="BG994" s="11">
        <v>-10050.0</v>
      </c>
      <c r="BH994" s="11">
        <v>13520.0</v>
      </c>
      <c r="BI994" s="11">
        <v>12990.0</v>
      </c>
      <c r="BJ994" s="11">
        <v>34730.0</v>
      </c>
      <c r="BK994" s="11">
        <v>33020.0</v>
      </c>
      <c r="BL994" s="11">
        <v>42150.0</v>
      </c>
      <c r="BM994" s="11">
        <v>11810.0</v>
      </c>
      <c r="BN994" s="11">
        <v>12270.0</v>
      </c>
      <c r="BO994" s="11">
        <v>15180.0</v>
      </c>
      <c r="BP994" s="11">
        <v>12420.0</v>
      </c>
      <c r="BQ994" s="11">
        <v>11400.0</v>
      </c>
      <c r="BR994" s="12"/>
      <c r="BS994" s="12"/>
      <c r="BT994" s="12"/>
      <c r="BU994" s="12"/>
      <c r="BV994" s="12"/>
      <c r="BW994" s="11">
        <v>29160.0</v>
      </c>
      <c r="BX994" s="11">
        <v>28410.0</v>
      </c>
      <c r="BY994" s="11">
        <v>52260.0</v>
      </c>
      <c r="BZ994" s="11">
        <v>47070.0</v>
      </c>
      <c r="CA994" s="11">
        <v>55060.0</v>
      </c>
      <c r="CB994" s="11">
        <v>15160.0</v>
      </c>
      <c r="CC994" s="11">
        <v>14150.0</v>
      </c>
      <c r="CD994" s="11">
        <v>12360.0</v>
      </c>
      <c r="CE994" s="11">
        <v>11810.0</v>
      </c>
      <c r="CF994" s="11">
        <v>11130.0</v>
      </c>
      <c r="CG994" s="11">
        <v>57940.0</v>
      </c>
      <c r="CH994" s="11">
        <v>57830.0</v>
      </c>
      <c r="CI994" s="11">
        <v>58020.0</v>
      </c>
      <c r="CJ994" s="11">
        <v>57860.0</v>
      </c>
      <c r="CK994" s="11">
        <v>57790.0</v>
      </c>
      <c r="CL994" s="11">
        <v>110690.0</v>
      </c>
      <c r="CM994" s="11">
        <v>108030.0</v>
      </c>
      <c r="CN994" s="11">
        <v>127320.0</v>
      </c>
      <c r="CO994" s="11">
        <v>120620.0</v>
      </c>
      <c r="CP994" s="11">
        <v>128050.0</v>
      </c>
      <c r="CQ994" s="11">
        <v>1280.0</v>
      </c>
      <c r="CR994" s="11">
        <v>613.0</v>
      </c>
      <c r="CS994" s="11">
        <v>593.0</v>
      </c>
      <c r="CT994" s="11">
        <v>765.0</v>
      </c>
      <c r="CU994" s="11">
        <v>614.0</v>
      </c>
      <c r="CV994" s="11">
        <v>38160.0</v>
      </c>
      <c r="CW994" s="11">
        <v>524.0</v>
      </c>
      <c r="CX994" s="12"/>
      <c r="CY994" s="12"/>
      <c r="CZ994" s="12"/>
      <c r="DA994" s="12"/>
      <c r="DB994" s="11">
        <v>38160.0</v>
      </c>
      <c r="DC994" s="11">
        <v>47110.0</v>
      </c>
      <c r="DD994" s="11">
        <v>32310.0</v>
      </c>
      <c r="DE994" s="11">
        <v>31510.0</v>
      </c>
      <c r="DF994" s="11">
        <v>77790.0</v>
      </c>
      <c r="DG994" s="11">
        <v>88950.0</v>
      </c>
      <c r="DH994" s="11">
        <v>37280.0</v>
      </c>
      <c r="DI994" s="11">
        <v>37820.0</v>
      </c>
      <c r="DJ994" s="11">
        <v>53830.0</v>
      </c>
      <c r="DK994" s="12"/>
      <c r="DL994" s="12"/>
      <c r="DM994" s="12"/>
      <c r="DN994" s="12"/>
      <c r="DO994" s="12"/>
      <c r="DP994" s="11">
        <v>31490.0</v>
      </c>
      <c r="DQ994" s="11">
        <v>34180.0</v>
      </c>
      <c r="DR994" s="12"/>
      <c r="DS994" s="11">
        <v>857.0</v>
      </c>
      <c r="DT994" s="11">
        <v>3340.0</v>
      </c>
      <c r="DU994" s="13"/>
      <c r="DV994" s="12"/>
      <c r="DW994" s="12"/>
      <c r="DX994" s="13"/>
      <c r="DY994" s="13"/>
      <c r="DZ994" s="11">
        <v>32890.0</v>
      </c>
      <c r="EA994" s="11">
        <v>19080.0</v>
      </c>
      <c r="EB994" s="11">
        <v>90040.0</v>
      </c>
      <c r="EC994" s="11">
        <v>82810.0</v>
      </c>
      <c r="ED994" s="11">
        <v>74220.0</v>
      </c>
      <c r="EE994" s="14">
        <v>0.0</v>
      </c>
      <c r="EF994" s="23"/>
      <c r="EG994" s="14">
        <v>0.115</v>
      </c>
      <c r="EH994" s="14">
        <v>-0.048</v>
      </c>
    </row>
    <row r="995">
      <c r="A995" s="9">
        <f t="shared" si="2"/>
        <v>993</v>
      </c>
      <c r="B995" s="22" t="s">
        <v>1130</v>
      </c>
      <c r="C995" s="11">
        <v>42000.0</v>
      </c>
      <c r="D995" s="11">
        <v>33250.0</v>
      </c>
      <c r="E995" s="11">
        <v>31120.0</v>
      </c>
      <c r="F995" s="11">
        <v>37450.0</v>
      </c>
      <c r="G995" s="12"/>
      <c r="H995" s="12"/>
      <c r="I995" s="12"/>
      <c r="J995" s="12"/>
      <c r="K995" s="12"/>
      <c r="L995" s="12"/>
      <c r="M995" s="12"/>
      <c r="N995" s="12"/>
      <c r="O995" s="11">
        <v>51000.0</v>
      </c>
      <c r="P995" s="11">
        <v>44200.0</v>
      </c>
      <c r="Q995" s="12"/>
      <c r="R995" s="12"/>
      <c r="S995" s="12"/>
      <c r="T995" s="11">
        <v>42670.0</v>
      </c>
      <c r="U995" s="11">
        <v>37530.0</v>
      </c>
      <c r="V995" s="12"/>
      <c r="W995" s="12"/>
      <c r="X995" s="12"/>
      <c r="Y995" s="12"/>
      <c r="Z995" s="12"/>
      <c r="AA995" s="12"/>
      <c r="AB995" s="12"/>
      <c r="AC995" s="12"/>
      <c r="AD995" s="11">
        <v>-21460.0</v>
      </c>
      <c r="AE995" s="11">
        <v>-8920.0</v>
      </c>
      <c r="AF995" s="12"/>
      <c r="AG995" s="12"/>
      <c r="AH995" s="12"/>
      <c r="AI995" s="11">
        <v>-19880.0</v>
      </c>
      <c r="AJ995" s="11">
        <v>-6750.0</v>
      </c>
      <c r="AK995" s="12"/>
      <c r="AL995" s="12"/>
      <c r="AM995" s="12"/>
      <c r="AN995" s="11">
        <v>-21700.0</v>
      </c>
      <c r="AO995" s="11">
        <v>-9430.0</v>
      </c>
      <c r="AP995" s="12"/>
      <c r="AQ995" s="12"/>
      <c r="AR995" s="12"/>
      <c r="AS995" s="11">
        <v>601.0</v>
      </c>
      <c r="AT995" s="11">
        <v>-31680.0</v>
      </c>
      <c r="AU995" s="12"/>
      <c r="AV995" s="12"/>
      <c r="AW995" s="12"/>
      <c r="AX995" s="11">
        <v>-1650.0</v>
      </c>
      <c r="AY995" s="11">
        <v>-1600.0</v>
      </c>
      <c r="AZ995" s="12"/>
      <c r="BA995" s="12"/>
      <c r="BB995" s="12"/>
      <c r="BC995" s="12"/>
      <c r="BD995" s="12"/>
      <c r="BE995" s="12"/>
      <c r="BF995" s="12"/>
      <c r="BG995" s="12"/>
      <c r="BH995" s="11">
        <v>37720.0</v>
      </c>
      <c r="BI995" s="11">
        <v>39040.0</v>
      </c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1">
        <v>39350.0</v>
      </c>
      <c r="BX995" s="11">
        <v>40650.0</v>
      </c>
      <c r="BY995" s="12"/>
      <c r="BZ995" s="12"/>
      <c r="CA995" s="12"/>
      <c r="CB995" s="11">
        <v>3870.0</v>
      </c>
      <c r="CC995" s="11">
        <v>4420.0</v>
      </c>
      <c r="CD995" s="12"/>
      <c r="CE995" s="12"/>
      <c r="CF995" s="12"/>
      <c r="CG995" s="12"/>
      <c r="CH995" s="12"/>
      <c r="CI995" s="12"/>
      <c r="CJ995" s="12"/>
      <c r="CK995" s="12"/>
      <c r="CL995" s="11">
        <v>44050.0</v>
      </c>
      <c r="CM995" s="11">
        <v>45400.0</v>
      </c>
      <c r="CN995" s="12"/>
      <c r="CO995" s="12"/>
      <c r="CP995" s="12"/>
      <c r="CQ995" s="11">
        <v>1600.0</v>
      </c>
      <c r="CR995" s="11">
        <v>1300.0</v>
      </c>
      <c r="CS995" s="12"/>
      <c r="CT995" s="12"/>
      <c r="CU995" s="12"/>
      <c r="CV995" s="11">
        <v>16140.0</v>
      </c>
      <c r="CW995" s="12"/>
      <c r="CX995" s="12"/>
      <c r="CY995" s="12"/>
      <c r="CZ995" s="12"/>
      <c r="DA995" s="12"/>
      <c r="DB995" s="11">
        <v>16140.0</v>
      </c>
      <c r="DC995" s="11">
        <v>32830.0</v>
      </c>
      <c r="DD995" s="12"/>
      <c r="DE995" s="12"/>
      <c r="DF995" s="11">
        <v>101760.0</v>
      </c>
      <c r="DG995" s="11">
        <v>82240.0</v>
      </c>
      <c r="DH995" s="12"/>
      <c r="DI995" s="12"/>
      <c r="DJ995" s="12"/>
      <c r="DK995" s="11">
        <v>676.0</v>
      </c>
      <c r="DL995" s="11">
        <v>170.0</v>
      </c>
      <c r="DM995" s="12"/>
      <c r="DN995" s="12"/>
      <c r="DO995" s="12"/>
      <c r="DP995" s="11">
        <v>48200.0</v>
      </c>
      <c r="DQ995" s="11">
        <v>48200.0</v>
      </c>
      <c r="DR995" s="12"/>
      <c r="DS995" s="12"/>
      <c r="DT995" s="12"/>
      <c r="DU995" s="13"/>
      <c r="DV995" s="12"/>
      <c r="DW995" s="12"/>
      <c r="DX995" s="13"/>
      <c r="DY995" s="13"/>
      <c r="DZ995" s="11">
        <v>-57710.0</v>
      </c>
      <c r="EA995" s="11">
        <v>-36850.0</v>
      </c>
      <c r="EB995" s="12"/>
      <c r="EC995" s="12"/>
      <c r="ED995" s="12"/>
      <c r="EE995" s="14">
        <v>0.075</v>
      </c>
      <c r="EF995" s="14">
        <v>0.0</v>
      </c>
      <c r="EG995" s="23" t="s">
        <v>155</v>
      </c>
      <c r="EH995" s="23"/>
    </row>
    <row r="996">
      <c r="A996" s="9">
        <f t="shared" si="2"/>
        <v>994</v>
      </c>
      <c r="B996" s="10" t="s">
        <v>1131</v>
      </c>
      <c r="C996" s="11">
        <v>1.062E7</v>
      </c>
      <c r="D996" s="11">
        <v>9740000.0</v>
      </c>
      <c r="E996" s="11">
        <v>1.13E7</v>
      </c>
      <c r="F996" s="11">
        <v>1.146E7</v>
      </c>
      <c r="G996" s="11">
        <v>1.055E7</v>
      </c>
      <c r="H996" s="11">
        <v>9890000.0</v>
      </c>
      <c r="I996" s="11">
        <v>1.051E7</v>
      </c>
      <c r="J996" s="11">
        <v>3890000.0</v>
      </c>
      <c r="K996" s="11">
        <v>3960000.0</v>
      </c>
      <c r="L996" s="11">
        <v>3520000.0</v>
      </c>
      <c r="M996" s="11">
        <v>3070000.0</v>
      </c>
      <c r="N996" s="11">
        <v>2880000.0</v>
      </c>
      <c r="O996" s="11"/>
      <c r="P996" s="11"/>
      <c r="Q996" s="11"/>
      <c r="R996" s="11"/>
      <c r="S996" s="11"/>
      <c r="T996" s="12"/>
      <c r="U996" s="12"/>
      <c r="V996" s="12"/>
      <c r="W996" s="12"/>
      <c r="X996" s="12"/>
      <c r="Y996" s="11">
        <v>3880000.0</v>
      </c>
      <c r="Z996" s="12"/>
      <c r="AA996" s="11"/>
      <c r="AB996" s="12"/>
      <c r="AC996" s="12"/>
      <c r="AD996" s="11">
        <v>3490000.0</v>
      </c>
      <c r="AE996" s="11">
        <v>3470000.0</v>
      </c>
      <c r="AF996" s="11">
        <v>3130000.0</v>
      </c>
      <c r="AG996" s="11">
        <v>2580000.0</v>
      </c>
      <c r="AH996" s="11">
        <v>2440000.0</v>
      </c>
      <c r="AI996" s="11">
        <v>5030000.0</v>
      </c>
      <c r="AJ996" s="11">
        <v>5060000.0</v>
      </c>
      <c r="AK996" s="11">
        <v>4580000.0</v>
      </c>
      <c r="AL996" s="11">
        <v>4130000.0</v>
      </c>
      <c r="AM996" s="11">
        <v>3980000.0</v>
      </c>
      <c r="AN996" s="11">
        <v>2720000.0</v>
      </c>
      <c r="AO996" s="11">
        <v>2660000.0</v>
      </c>
      <c r="AP996" s="11">
        <v>5400000.0</v>
      </c>
      <c r="AQ996" s="11">
        <v>1660000.0</v>
      </c>
      <c r="AR996" s="11">
        <v>1550000.0</v>
      </c>
      <c r="AS996" s="11">
        <v>3890000.0</v>
      </c>
      <c r="AT996" s="11">
        <v>3730000.0</v>
      </c>
      <c r="AU996" s="11">
        <v>3250000.0</v>
      </c>
      <c r="AV996" s="11">
        <v>3030000.0</v>
      </c>
      <c r="AW996" s="11">
        <v>2910000.0</v>
      </c>
      <c r="AX996" s="11">
        <v>-2020000.0</v>
      </c>
      <c r="AY996" s="11">
        <v>-1950000.0</v>
      </c>
      <c r="AZ996" s="11">
        <v>-1720000.0</v>
      </c>
      <c r="BA996" s="11">
        <v>-1890000.0</v>
      </c>
      <c r="BB996" s="11">
        <v>-2390000.0</v>
      </c>
      <c r="BC996" s="11">
        <v>-949000.0</v>
      </c>
      <c r="BD996" s="11">
        <v>-844000.0</v>
      </c>
      <c r="BE996" s="11">
        <v>-703000.0</v>
      </c>
      <c r="BF996" s="11">
        <v>-695000.0</v>
      </c>
      <c r="BG996" s="11">
        <v>-713000.0</v>
      </c>
      <c r="BH996" s="11">
        <v>668000.0</v>
      </c>
      <c r="BI996" s="11">
        <v>358000.0</v>
      </c>
      <c r="BJ996" s="11">
        <v>690000.0</v>
      </c>
      <c r="BK996" s="11">
        <v>956000.0</v>
      </c>
      <c r="BL996" s="11">
        <v>1100000.0</v>
      </c>
      <c r="BM996" s="11">
        <v>920000.0</v>
      </c>
      <c r="BN996" s="11">
        <v>1010000.0</v>
      </c>
      <c r="BO996" s="11">
        <v>955000.0</v>
      </c>
      <c r="BP996" s="11">
        <v>945000.0</v>
      </c>
      <c r="BQ996" s="11">
        <v>946000.0</v>
      </c>
      <c r="BR996" s="11">
        <v>244000.0</v>
      </c>
      <c r="BS996" s="11">
        <v>207000.0</v>
      </c>
      <c r="BT996" s="11">
        <v>222000.0</v>
      </c>
      <c r="BU996" s="11">
        <v>257000.0</v>
      </c>
      <c r="BV996" s="11">
        <v>271000.0</v>
      </c>
      <c r="BW996" s="11">
        <v>2080000.0</v>
      </c>
      <c r="BX996" s="11">
        <v>1860000.0</v>
      </c>
      <c r="BY996" s="11">
        <v>2150000.0</v>
      </c>
      <c r="BZ996" s="11">
        <v>2290000.0</v>
      </c>
      <c r="CA996" s="11">
        <v>2510000.0</v>
      </c>
      <c r="CB996" s="11">
        <v>3.215E7</v>
      </c>
      <c r="CC996" s="11">
        <v>3.109E7</v>
      </c>
      <c r="CD996" s="11">
        <v>3.033E7</v>
      </c>
      <c r="CE996" s="11">
        <v>2.975E7</v>
      </c>
      <c r="CF996" s="11">
        <v>2.899E7</v>
      </c>
      <c r="CG996" s="11"/>
      <c r="CH996" s="11"/>
      <c r="CI996" s="11"/>
      <c r="CJ996" s="11"/>
      <c r="CK996" s="11"/>
      <c r="CL996" s="11">
        <v>3.838E7</v>
      </c>
      <c r="CM996" s="11">
        <v>3.661E7</v>
      </c>
      <c r="CN996" s="11">
        <v>3.603E7</v>
      </c>
      <c r="CO996" s="11">
        <v>3.548E7</v>
      </c>
      <c r="CP996" s="11">
        <v>3.414E7</v>
      </c>
      <c r="CQ996" s="11">
        <v>1220000.0</v>
      </c>
      <c r="CR996" s="11">
        <v>1290000.0</v>
      </c>
      <c r="CS996" s="11">
        <v>1210000.0</v>
      </c>
      <c r="CT996" s="11">
        <v>1020000.0</v>
      </c>
      <c r="CU996" s="11">
        <v>917000.0</v>
      </c>
      <c r="CV996" s="11">
        <v>2300000.0</v>
      </c>
      <c r="CW996" s="11">
        <v>97000.0</v>
      </c>
      <c r="CX996" s="12"/>
      <c r="CY996" s="11">
        <v>100000.0</v>
      </c>
      <c r="CZ996" s="11">
        <v>100000.0</v>
      </c>
      <c r="DA996" s="11">
        <v>200000.0</v>
      </c>
      <c r="DB996" s="11">
        <v>2300000.0</v>
      </c>
      <c r="DC996" s="11">
        <v>2590000.0</v>
      </c>
      <c r="DD996" s="11">
        <v>2550000.0</v>
      </c>
      <c r="DE996" s="11">
        <v>2340000.0</v>
      </c>
      <c r="DF996" s="11">
        <v>2.32E7</v>
      </c>
      <c r="DG996" s="11">
        <v>2.125E7</v>
      </c>
      <c r="DH996" s="11">
        <v>1.967E7</v>
      </c>
      <c r="DI996" s="11">
        <v>2.307E7</v>
      </c>
      <c r="DJ996" s="11">
        <v>2.195E7</v>
      </c>
      <c r="DK996" s="11">
        <v>2660000.0</v>
      </c>
      <c r="DL996" s="11">
        <v>2550000.0</v>
      </c>
      <c r="DM996" s="11">
        <v>2450000.0</v>
      </c>
      <c r="DN996" s="11">
        <v>2360000.0</v>
      </c>
      <c r="DO996" s="11">
        <v>2260000.0</v>
      </c>
      <c r="DP996" s="11">
        <v>1.26E7</v>
      </c>
      <c r="DQ996" s="11">
        <v>1.084E7</v>
      </c>
      <c r="DR996" s="11">
        <v>9420000.0</v>
      </c>
      <c r="DS996" s="11">
        <v>9840000.0</v>
      </c>
      <c r="DT996" s="11">
        <v>9670000.0</v>
      </c>
      <c r="DU996" s="13"/>
      <c r="DV996" s="12"/>
      <c r="DW996" s="12"/>
      <c r="DX996" s="12"/>
      <c r="DY996" s="12"/>
      <c r="DZ996" s="11">
        <v>1.518E7</v>
      </c>
      <c r="EA996" s="11">
        <v>1.536E7</v>
      </c>
      <c r="EB996" s="11">
        <v>1.636E7</v>
      </c>
      <c r="EC996" s="11">
        <v>1.241E7</v>
      </c>
      <c r="ED996" s="11">
        <v>1.219E7</v>
      </c>
      <c r="EE996" s="14">
        <v>0.047</v>
      </c>
      <c r="EF996" s="14">
        <v>0.086</v>
      </c>
      <c r="EG996" s="14">
        <v>0.15</v>
      </c>
      <c r="EH996" s="14">
        <v>0.095</v>
      </c>
    </row>
    <row r="997">
      <c r="A997" s="9">
        <f t="shared" si="2"/>
        <v>995</v>
      </c>
      <c r="B997" s="22" t="s">
        <v>1132</v>
      </c>
      <c r="C997" s="11">
        <v>145650.0</v>
      </c>
      <c r="D997" s="11">
        <v>109500.0</v>
      </c>
      <c r="E997" s="11">
        <v>125570.0</v>
      </c>
      <c r="F997" s="11">
        <v>106730.0</v>
      </c>
      <c r="G997" s="11">
        <v>114910.0</v>
      </c>
      <c r="H997" s="11">
        <v>86490.0</v>
      </c>
      <c r="I997" s="11">
        <v>62670.0</v>
      </c>
      <c r="J997" s="11">
        <v>82460.0</v>
      </c>
      <c r="K997" s="11">
        <v>70400.0</v>
      </c>
      <c r="L997" s="11">
        <v>83890.0</v>
      </c>
      <c r="M997" s="11">
        <v>56240.0</v>
      </c>
      <c r="N997" s="11">
        <v>36540.0</v>
      </c>
      <c r="O997" s="11">
        <v>164230.0</v>
      </c>
      <c r="P997" s="11">
        <v>139790.0</v>
      </c>
      <c r="Q997" s="11">
        <v>121220.0</v>
      </c>
      <c r="R997" s="11">
        <v>97420.0</v>
      </c>
      <c r="S997" s="11">
        <v>77780.0</v>
      </c>
      <c r="T997" s="11">
        <v>68040.0</v>
      </c>
      <c r="U997" s="11">
        <v>61600.0</v>
      </c>
      <c r="V997" s="11">
        <v>46890.0</v>
      </c>
      <c r="W997" s="11">
        <v>34720.0</v>
      </c>
      <c r="X997" s="11">
        <v>24600.0</v>
      </c>
      <c r="Y997" s="12"/>
      <c r="Z997" s="12"/>
      <c r="AA997" s="12"/>
      <c r="AB997" s="12"/>
      <c r="AC997" s="12"/>
      <c r="AD997" s="11">
        <v>-40430.0</v>
      </c>
      <c r="AE997" s="11">
        <v>-77150.0</v>
      </c>
      <c r="AF997" s="11">
        <v>-43360.0</v>
      </c>
      <c r="AG997" s="11">
        <v>-46970.0</v>
      </c>
      <c r="AH997" s="11">
        <v>-45420.0</v>
      </c>
      <c r="AI997" s="11">
        <v>-74950.0</v>
      </c>
      <c r="AJ997" s="11">
        <v>-65320.0</v>
      </c>
      <c r="AK997" s="11">
        <v>-34840.0</v>
      </c>
      <c r="AL997" s="11">
        <v>-38200.0</v>
      </c>
      <c r="AM997" s="11">
        <v>-38870.0</v>
      </c>
      <c r="AN997" s="11">
        <v>-40700.0</v>
      </c>
      <c r="AO997" s="11">
        <v>-77400.0</v>
      </c>
      <c r="AP997" s="11">
        <v>-43560.0</v>
      </c>
      <c r="AQ997" s="11">
        <v>-47090.0</v>
      </c>
      <c r="AR997" s="11">
        <v>-45580.0</v>
      </c>
      <c r="AS997" s="11">
        <v>-86920.0</v>
      </c>
      <c r="AT997" s="11">
        <v>-54070.0</v>
      </c>
      <c r="AU997" s="11">
        <v>-52050.0</v>
      </c>
      <c r="AV997" s="11">
        <v>-6080.0</v>
      </c>
      <c r="AW997" s="11">
        <v>-43360.0</v>
      </c>
      <c r="AX997" s="11">
        <v>-7890.0</v>
      </c>
      <c r="AY997" s="11">
        <v>-4490.0</v>
      </c>
      <c r="AZ997" s="11">
        <v>-4280.0</v>
      </c>
      <c r="BA997" s="11">
        <v>-3990.0</v>
      </c>
      <c r="BB997" s="11">
        <v>-3800.0</v>
      </c>
      <c r="BC997" s="12"/>
      <c r="BD997" s="12"/>
      <c r="BE997" s="12"/>
      <c r="BF997" s="12"/>
      <c r="BG997" s="12"/>
      <c r="BH997" s="11">
        <v>156860.0</v>
      </c>
      <c r="BI997" s="11">
        <v>94000.0</v>
      </c>
      <c r="BJ997" s="11">
        <v>77560.0</v>
      </c>
      <c r="BK997" s="11">
        <v>74040.0</v>
      </c>
      <c r="BL997" s="11">
        <v>49040.0</v>
      </c>
      <c r="BM997" s="11">
        <v>27150.0</v>
      </c>
      <c r="BN997" s="11">
        <v>17280.0</v>
      </c>
      <c r="BO997" s="11">
        <v>19560.0</v>
      </c>
      <c r="BP997" s="11">
        <v>22380.0</v>
      </c>
      <c r="BQ997" s="11">
        <v>19730.0</v>
      </c>
      <c r="BR997" s="11">
        <v>19780.0</v>
      </c>
      <c r="BS997" s="11">
        <v>13170.0</v>
      </c>
      <c r="BT997" s="11">
        <v>20060.0</v>
      </c>
      <c r="BU997" s="11">
        <v>15070.0</v>
      </c>
      <c r="BV997" s="11">
        <v>11800.0</v>
      </c>
      <c r="BW997" s="11">
        <v>212610.0</v>
      </c>
      <c r="BX997" s="11">
        <v>131710.0</v>
      </c>
      <c r="BY997" s="11">
        <v>121920.0</v>
      </c>
      <c r="BZ997" s="11">
        <v>113790.0</v>
      </c>
      <c r="CA997" s="11">
        <v>82790.0</v>
      </c>
      <c r="CB997" s="11">
        <v>44830.0</v>
      </c>
      <c r="CC997" s="11">
        <v>15170.0</v>
      </c>
      <c r="CD997" s="11">
        <v>14060.0</v>
      </c>
      <c r="CE997" s="11">
        <v>12160.0</v>
      </c>
      <c r="CF997" s="11">
        <v>9410.0</v>
      </c>
      <c r="CG997" s="12"/>
      <c r="CH997" s="12"/>
      <c r="CI997" s="12"/>
      <c r="CJ997" s="12"/>
      <c r="CK997" s="12"/>
      <c r="CL997" s="11">
        <v>259750.0</v>
      </c>
      <c r="CM997" s="11">
        <v>147560.0</v>
      </c>
      <c r="CN997" s="11">
        <v>136760.0</v>
      </c>
      <c r="CO997" s="11">
        <v>126370.0</v>
      </c>
      <c r="CP997" s="11">
        <v>92870.0</v>
      </c>
      <c r="CQ997" s="11">
        <v>10280.0</v>
      </c>
      <c r="CR997" s="11">
        <v>8640.0</v>
      </c>
      <c r="CS997" s="11">
        <v>4090.0</v>
      </c>
      <c r="CT997" s="11">
        <v>4940.0</v>
      </c>
      <c r="CU997" s="11">
        <v>3240.0</v>
      </c>
      <c r="CV997" s="11">
        <v>44990.0</v>
      </c>
      <c r="CW997" s="11">
        <v>3770.0</v>
      </c>
      <c r="CX997" s="12"/>
      <c r="CY997" s="12"/>
      <c r="CZ997" s="12"/>
      <c r="DA997" s="12"/>
      <c r="DB997" s="11">
        <v>44990.0</v>
      </c>
      <c r="DC997" s="11">
        <v>43120.0</v>
      </c>
      <c r="DD997" s="11">
        <v>35920.0</v>
      </c>
      <c r="DE997" s="11">
        <v>36380.0</v>
      </c>
      <c r="DF997" s="11">
        <v>155600.0</v>
      </c>
      <c r="DG997" s="11">
        <v>110690.0</v>
      </c>
      <c r="DH997" s="11">
        <v>96650.0</v>
      </c>
      <c r="DI997" s="11">
        <v>114070.0</v>
      </c>
      <c r="DJ997" s="11">
        <v>72650.0</v>
      </c>
      <c r="DK997" s="12"/>
      <c r="DL997" s="12"/>
      <c r="DM997" s="11">
        <v>143.0</v>
      </c>
      <c r="DN997" s="11">
        <v>143.0</v>
      </c>
      <c r="DO997" s="24">
        <v>143.0</v>
      </c>
      <c r="DP997" s="11">
        <v>109320.0</v>
      </c>
      <c r="DQ997" s="11">
        <v>58400.0</v>
      </c>
      <c r="DR997" s="11">
        <v>48930.0</v>
      </c>
      <c r="DS997" s="11">
        <v>47370.0</v>
      </c>
      <c r="DT997" s="11">
        <v>41000.0</v>
      </c>
      <c r="DU997" s="13"/>
      <c r="DV997" s="12"/>
      <c r="DW997" s="12"/>
      <c r="DX997" s="13"/>
      <c r="DY997" s="13"/>
      <c r="DZ997" s="11">
        <v>104150.0</v>
      </c>
      <c r="EA997" s="11">
        <v>36870.0</v>
      </c>
      <c r="EB997" s="11">
        <v>40110.0</v>
      </c>
      <c r="EC997" s="11">
        <v>12310.0</v>
      </c>
      <c r="ED997" s="11">
        <v>20220.0</v>
      </c>
      <c r="EE997" s="14">
        <v>0.077</v>
      </c>
      <c r="EF997" s="14">
        <v>0.071</v>
      </c>
      <c r="EG997" s="14">
        <v>-0.385</v>
      </c>
      <c r="EH997" s="14">
        <v>0.101</v>
      </c>
    </row>
    <row r="998">
      <c r="A998" s="9">
        <f t="shared" si="2"/>
        <v>996</v>
      </c>
      <c r="B998" s="25" t="s">
        <v>1133</v>
      </c>
      <c r="C998" s="12"/>
      <c r="D998" s="12"/>
      <c r="E998" s="12">
        <v>5.568E7</v>
      </c>
      <c r="F998" s="12">
        <v>5.925E7</v>
      </c>
      <c r="G998" s="12">
        <v>5.979E7</v>
      </c>
      <c r="H998" s="12">
        <v>5.932E7</v>
      </c>
      <c r="I998" s="12">
        <v>5.842E7</v>
      </c>
      <c r="J998" s="12">
        <v>7970000.0</v>
      </c>
      <c r="K998" s="12">
        <v>9590000.0</v>
      </c>
      <c r="L998" s="12">
        <v>1.371E7</v>
      </c>
      <c r="M998" s="15">
        <v>1.452E7</v>
      </c>
      <c r="N998" s="15">
        <v>1.462E7</v>
      </c>
      <c r="O998" s="15">
        <v>4180000.0</v>
      </c>
      <c r="P998" s="12">
        <v>4950000.0</v>
      </c>
      <c r="Q998" s="12">
        <v>9230000.0</v>
      </c>
      <c r="R998" s="12">
        <v>9250000.0</v>
      </c>
      <c r="S998" s="12">
        <v>9420000.0</v>
      </c>
      <c r="T998" s="12">
        <v>0.0</v>
      </c>
      <c r="U998" s="15">
        <v>3440000.0</v>
      </c>
      <c r="V998" s="15">
        <v>3510000.0</v>
      </c>
      <c r="W998" s="15">
        <v>2770000.0</v>
      </c>
      <c r="X998" s="12">
        <v>2980000.0</v>
      </c>
      <c r="Y998" s="12">
        <v>3670000.0</v>
      </c>
      <c r="Z998" s="12">
        <v>2800000.0</v>
      </c>
      <c r="AA998" s="12">
        <v>-1580000.0</v>
      </c>
      <c r="AB998" s="12">
        <v>2330000.0</v>
      </c>
      <c r="AC998" s="12">
        <v>4770000.0</v>
      </c>
      <c r="AD998" s="12">
        <v>4950000.0</v>
      </c>
      <c r="AE998" s="12">
        <v>4100000.0</v>
      </c>
      <c r="AF998" s="12">
        <v>4190000.0</v>
      </c>
      <c r="AG998" s="12">
        <v>2680000.0</v>
      </c>
      <c r="AH998" s="12">
        <v>4830000.0</v>
      </c>
      <c r="AI998" s="12">
        <v>8120000.0</v>
      </c>
      <c r="AJ998" s="12">
        <v>8180000.0</v>
      </c>
      <c r="AK998" s="12">
        <v>8100000.0</v>
      </c>
      <c r="AL998" s="12">
        <v>8680000.0</v>
      </c>
      <c r="AM998" s="12">
        <v>8280000.0</v>
      </c>
      <c r="AN998" s="12">
        <v>3850000.0</v>
      </c>
      <c r="AO998" s="12">
        <v>3380000.0</v>
      </c>
      <c r="AP998" s="12">
        <v>3510000.0</v>
      </c>
      <c r="AQ998" s="12">
        <v>1990000.0</v>
      </c>
      <c r="AR998" s="12">
        <v>4200000.0</v>
      </c>
      <c r="AS998" s="12">
        <v>7480000.0</v>
      </c>
      <c r="AT998" s="12">
        <v>7010000.0</v>
      </c>
      <c r="AU998" s="12">
        <v>6170000.0</v>
      </c>
      <c r="AV998" s="12">
        <v>7520000.0</v>
      </c>
      <c r="AW998" s="12">
        <v>7200000.0</v>
      </c>
      <c r="AX998" s="12">
        <v>-3880000.0</v>
      </c>
      <c r="AY998" s="12">
        <v>-5090000.0</v>
      </c>
      <c r="AZ998" s="12">
        <v>-5120000.0</v>
      </c>
      <c r="BA998" s="12">
        <v>-5090000.0</v>
      </c>
      <c r="BB998" s="12">
        <v>-4800000.0</v>
      </c>
      <c r="BC998" s="12">
        <v>0.0</v>
      </c>
      <c r="BD998" s="12">
        <v>0.0</v>
      </c>
      <c r="BE998" s="12">
        <v>0.0</v>
      </c>
      <c r="BF998" s="12">
        <v>0.0</v>
      </c>
      <c r="BG998" s="12">
        <v>0.0</v>
      </c>
      <c r="BH998" s="12">
        <v>1.732E7</v>
      </c>
      <c r="BI998" s="12">
        <v>1.545E7</v>
      </c>
      <c r="BJ998" s="12">
        <v>1.8E7</v>
      </c>
      <c r="BK998" s="12">
        <v>1.804E7</v>
      </c>
      <c r="BL998" s="12">
        <v>1.75E7</v>
      </c>
      <c r="BM998" s="12">
        <v>6030000.0</v>
      </c>
      <c r="BN998" s="12">
        <v>6770000.0</v>
      </c>
      <c r="BO998" s="12">
        <v>6740000.0</v>
      </c>
      <c r="BP998" s="12">
        <v>6120000.0</v>
      </c>
      <c r="BQ998" s="12">
        <v>4970000.0</v>
      </c>
      <c r="BR998" s="12">
        <v>7820000.0</v>
      </c>
      <c r="BS998" s="12">
        <v>9410000.0</v>
      </c>
      <c r="BT998" s="12">
        <v>7890000.0</v>
      </c>
      <c r="BU998" s="12">
        <v>7230000.0</v>
      </c>
      <c r="BV998" s="12">
        <v>6320000.0</v>
      </c>
      <c r="BW998" s="12">
        <v>3.451E7</v>
      </c>
      <c r="BX998" s="12">
        <v>3.498E7</v>
      </c>
      <c r="BY998" s="12">
        <v>3.545E7</v>
      </c>
      <c r="BZ998" s="12">
        <v>3.392E7</v>
      </c>
      <c r="CA998" s="12">
        <v>3.241E7</v>
      </c>
      <c r="CB998" s="12">
        <v>1.463E7</v>
      </c>
      <c r="CC998" s="12">
        <v>1.429E7</v>
      </c>
      <c r="CD998" s="12">
        <v>1.366E7</v>
      </c>
      <c r="CE998" s="12">
        <v>1.259E7</v>
      </c>
      <c r="CF998" s="12">
        <v>1.138E7</v>
      </c>
      <c r="CG998" s="12">
        <v>378000.0</v>
      </c>
      <c r="CH998" s="12">
        <v>378000.0</v>
      </c>
      <c r="CI998" s="12">
        <v>378000.0</v>
      </c>
      <c r="CJ998" s="12">
        <v>378000.0</v>
      </c>
      <c r="CK998" s="12">
        <v>378000.0</v>
      </c>
      <c r="CL998" s="12">
        <v>6.928E7</v>
      </c>
      <c r="CM998" s="12">
        <v>6.803E7</v>
      </c>
      <c r="CN998" s="12">
        <v>6.613E7</v>
      </c>
      <c r="CO998" s="12">
        <v>6.345E7</v>
      </c>
      <c r="CP998" s="12">
        <v>5.839E7</v>
      </c>
      <c r="CQ998" s="12">
        <v>7110000.0</v>
      </c>
      <c r="CR998" s="12">
        <v>8570000.0</v>
      </c>
      <c r="CS998" s="12">
        <v>7310000.0</v>
      </c>
      <c r="CT998" s="12">
        <v>7410000.0</v>
      </c>
      <c r="CU998" s="12">
        <v>7200000.0</v>
      </c>
      <c r="CV998" s="12">
        <v>2.278E7</v>
      </c>
      <c r="CW998" s="12">
        <v>121000.0</v>
      </c>
      <c r="CX998" s="12">
        <v>85000.0</v>
      </c>
      <c r="CY998" s="12">
        <v>297000.0</v>
      </c>
      <c r="CZ998" s="12">
        <v>481000.0</v>
      </c>
      <c r="DA998" s="12">
        <v>1620000.0</v>
      </c>
      <c r="DB998" s="12">
        <v>2.278E7</v>
      </c>
      <c r="DC998" s="12">
        <v>2.194E7</v>
      </c>
      <c r="DD998" s="12">
        <v>2.184E7</v>
      </c>
      <c r="DE998" s="12">
        <v>2.126E7</v>
      </c>
      <c r="DF998" s="12">
        <v>4.089E7</v>
      </c>
      <c r="DG998" s="12">
        <v>3.833E7</v>
      </c>
      <c r="DH998" s="12">
        <v>3.796E7</v>
      </c>
      <c r="DI998" s="12">
        <v>3.813E7</v>
      </c>
      <c r="DJ998" s="12">
        <v>3.661E7</v>
      </c>
      <c r="DK998" s="12">
        <v>3570000.0</v>
      </c>
      <c r="DL998" s="12">
        <v>2770000.0</v>
      </c>
      <c r="DM998" s="12">
        <v>3120000.0</v>
      </c>
      <c r="DN998" s="12">
        <v>6270000.0</v>
      </c>
      <c r="DO998" s="12">
        <v>5370000.0</v>
      </c>
      <c r="DP998" s="12">
        <v>810000.0</v>
      </c>
      <c r="DQ998" s="12">
        <v>319000.0</v>
      </c>
      <c r="DR998" s="12">
        <v>328000.0</v>
      </c>
      <c r="DS998" s="12">
        <v>314000.0</v>
      </c>
      <c r="DT998" s="12">
        <v>247000.0</v>
      </c>
      <c r="DU998" s="16">
        <v>0.0</v>
      </c>
      <c r="DV998" s="12">
        <v>0.0</v>
      </c>
      <c r="DW998" s="12">
        <v>0.0</v>
      </c>
      <c r="DX998" s="16">
        <v>0.0</v>
      </c>
      <c r="DY998" s="16">
        <v>0.0</v>
      </c>
      <c r="DZ998" s="12">
        <v>2.766E7</v>
      </c>
      <c r="EA998" s="12">
        <v>2.907E7</v>
      </c>
      <c r="EB998" s="12">
        <v>2.769E7</v>
      </c>
      <c r="EC998" s="12">
        <v>2.469E7</v>
      </c>
      <c r="ED998" s="12">
        <v>2.125E7</v>
      </c>
      <c r="EE998" s="23"/>
      <c r="EF998" s="23"/>
      <c r="EG998" s="17"/>
      <c r="EH998" s="23"/>
    </row>
    <row r="999">
      <c r="A999" s="9">
        <f t="shared" si="2"/>
        <v>997</v>
      </c>
      <c r="B999" s="22" t="s">
        <v>1134</v>
      </c>
      <c r="C999" s="11">
        <v>39390.0</v>
      </c>
      <c r="D999" s="11">
        <v>59040.0</v>
      </c>
      <c r="E999" s="11">
        <v>43100.0</v>
      </c>
      <c r="F999" s="11">
        <v>30430.0</v>
      </c>
      <c r="G999" s="11">
        <v>26120.0</v>
      </c>
      <c r="H999" s="11">
        <v>16480.0</v>
      </c>
      <c r="I999" s="11">
        <v>6040.0</v>
      </c>
      <c r="J999" s="12"/>
      <c r="K999" s="12"/>
      <c r="L999" s="12"/>
      <c r="M999" s="12"/>
      <c r="N999" s="12"/>
      <c r="O999" s="11">
        <v>143880.0</v>
      </c>
      <c r="P999" s="11">
        <v>116840.0</v>
      </c>
      <c r="Q999" s="11">
        <v>92680.0</v>
      </c>
      <c r="R999" s="11">
        <v>47530.0</v>
      </c>
      <c r="S999" s="11">
        <v>19130.0</v>
      </c>
      <c r="T999" s="11">
        <v>108410.0</v>
      </c>
      <c r="U999" s="11">
        <v>89120.0</v>
      </c>
      <c r="V999" s="11">
        <v>67650.0</v>
      </c>
      <c r="W999" s="11">
        <v>31840.0</v>
      </c>
      <c r="X999" s="11">
        <v>11170.0</v>
      </c>
      <c r="Y999" s="12"/>
      <c r="Z999" s="12"/>
      <c r="AA999" s="12"/>
      <c r="AB999" s="12"/>
      <c r="AC999" s="12"/>
      <c r="AD999" s="11">
        <v>-99530.0</v>
      </c>
      <c r="AE999" s="11">
        <v>-85340.0</v>
      </c>
      <c r="AF999" s="11">
        <v>-67540.0</v>
      </c>
      <c r="AG999" s="11">
        <v>-31630.0</v>
      </c>
      <c r="AH999" s="11">
        <v>-13410.0</v>
      </c>
      <c r="AI999" s="11">
        <v>-100780.0</v>
      </c>
      <c r="AJ999" s="11">
        <v>-86410.0</v>
      </c>
      <c r="AK999" s="11">
        <v>-66560.0</v>
      </c>
      <c r="AL999" s="11">
        <v>-31060.0</v>
      </c>
      <c r="AM999" s="11">
        <v>-13080.0</v>
      </c>
      <c r="AN999" s="11">
        <v>-99530.0</v>
      </c>
      <c r="AO999" s="11">
        <v>-85340.0</v>
      </c>
      <c r="AP999" s="11">
        <v>-67540.0</v>
      </c>
      <c r="AQ999" s="11">
        <v>-31630.0</v>
      </c>
      <c r="AR999" s="11">
        <v>-12400.0</v>
      </c>
      <c r="AS999" s="11">
        <v>-98470.0</v>
      </c>
      <c r="AT999" s="11">
        <v>-61260.0</v>
      </c>
      <c r="AU999" s="11">
        <v>-65280.0</v>
      </c>
      <c r="AV999" s="11">
        <v>36110.0</v>
      </c>
      <c r="AW999" s="11">
        <v>-1760.0</v>
      </c>
      <c r="AX999" s="11">
        <v>-6790.0</v>
      </c>
      <c r="AY999" s="11">
        <v>-6360.0</v>
      </c>
      <c r="AZ999" s="11">
        <v>-10090.0</v>
      </c>
      <c r="BA999" s="11">
        <v>-6170.0</v>
      </c>
      <c r="BB999" s="11">
        <v>-2550.0</v>
      </c>
      <c r="BC999" s="12"/>
      <c r="BD999" s="12"/>
      <c r="BE999" s="12"/>
      <c r="BF999" s="12"/>
      <c r="BG999" s="12"/>
      <c r="BH999" s="11">
        <v>279730.0</v>
      </c>
      <c r="BI999" s="11">
        <v>314060.0</v>
      </c>
      <c r="BJ999" s="11">
        <v>340680.0</v>
      </c>
      <c r="BK999" s="11">
        <v>273060.0</v>
      </c>
      <c r="BL999" s="11">
        <v>75820.0</v>
      </c>
      <c r="BM999" s="11">
        <v>4620.0</v>
      </c>
      <c r="BN999" s="11">
        <v>7550.0</v>
      </c>
      <c r="BO999" s="11">
        <v>10470.0</v>
      </c>
      <c r="BP999" s="11">
        <v>6450.0</v>
      </c>
      <c r="BQ999" s="11">
        <v>1000.0</v>
      </c>
      <c r="BR999" s="12"/>
      <c r="BS999" s="12"/>
      <c r="BT999" s="12"/>
      <c r="BU999" s="12"/>
      <c r="BV999" s="12"/>
      <c r="BW999" s="11">
        <v>289480.0</v>
      </c>
      <c r="BX999" s="11">
        <v>324980.0</v>
      </c>
      <c r="BY999" s="11">
        <v>354830.0</v>
      </c>
      <c r="BZ999" s="11">
        <v>281310.0</v>
      </c>
      <c r="CA999" s="11">
        <v>77630.0</v>
      </c>
      <c r="CB999" s="11">
        <v>37130.0</v>
      </c>
      <c r="CC999" s="11">
        <v>17060.0</v>
      </c>
      <c r="CD999" s="11">
        <v>15270.0</v>
      </c>
      <c r="CE999" s="11">
        <v>10630.0</v>
      </c>
      <c r="CF999" s="11">
        <v>2710.0</v>
      </c>
      <c r="CG999" s="12"/>
      <c r="CH999" s="12"/>
      <c r="CI999" s="12"/>
      <c r="CJ999" s="12"/>
      <c r="CK999" s="12"/>
      <c r="CL999" s="11">
        <v>334280.0</v>
      </c>
      <c r="CM999" s="11">
        <v>347320.0</v>
      </c>
      <c r="CN999" s="11">
        <v>376240.0</v>
      </c>
      <c r="CO999" s="11">
        <v>298970.0</v>
      </c>
      <c r="CP999" s="11">
        <v>82140.0</v>
      </c>
      <c r="CQ999" s="11">
        <v>3940.0</v>
      </c>
      <c r="CR999" s="11">
        <v>2710.0</v>
      </c>
      <c r="CS999" s="11">
        <v>2170.0</v>
      </c>
      <c r="CT999" s="11">
        <v>4650.0</v>
      </c>
      <c r="CU999" s="11">
        <v>1360.0</v>
      </c>
      <c r="CV999" s="11">
        <v>35630.0</v>
      </c>
      <c r="CW999" s="11">
        <v>5750.0</v>
      </c>
      <c r="CX999" s="12"/>
      <c r="CY999" s="12"/>
      <c r="CZ999" s="12"/>
      <c r="DA999" s="12"/>
      <c r="DB999" s="11">
        <v>35630.0</v>
      </c>
      <c r="DC999" s="11">
        <v>40570.0</v>
      </c>
      <c r="DD999" s="11">
        <v>31360.0</v>
      </c>
      <c r="DE999" s="11">
        <v>30730.0</v>
      </c>
      <c r="DF999" s="11">
        <v>64400.0</v>
      </c>
      <c r="DG999" s="11">
        <v>69400.0</v>
      </c>
      <c r="DH999" s="11">
        <v>75640.0</v>
      </c>
      <c r="DI999" s="11">
        <v>89130.0</v>
      </c>
      <c r="DJ999" s="11">
        <v>14780.0</v>
      </c>
      <c r="DK999" s="11">
        <v>4750.0</v>
      </c>
      <c r="DL999" s="12"/>
      <c r="DM999" s="12"/>
      <c r="DN999" s="12"/>
      <c r="DO999" s="12"/>
      <c r="DP999" s="11">
        <v>12630.0</v>
      </c>
      <c r="DQ999" s="12"/>
      <c r="DR999" s="12"/>
      <c r="DS999" s="12"/>
      <c r="DT999" s="12"/>
      <c r="DU999" s="13"/>
      <c r="DV999" s="12"/>
      <c r="DW999" s="12"/>
      <c r="DX999" s="13"/>
      <c r="DY999" s="11">
        <v>88560.0</v>
      </c>
      <c r="DZ999" s="11">
        <v>269880.0</v>
      </c>
      <c r="EA999" s="11">
        <v>277920.0</v>
      </c>
      <c r="EB999" s="11">
        <v>300600.0</v>
      </c>
      <c r="EC999" s="11">
        <v>209840.0</v>
      </c>
      <c r="ED999" s="11">
        <v>67360.0</v>
      </c>
      <c r="EE999" s="14">
        <v>0.806</v>
      </c>
      <c r="EF999" s="14">
        <v>2.252</v>
      </c>
      <c r="EG999" s="14">
        <v>0.116</v>
      </c>
      <c r="EH999" s="14">
        <v>-0.048</v>
      </c>
    </row>
    <row r="1000">
      <c r="A1000" s="9">
        <f t="shared" si="2"/>
        <v>998</v>
      </c>
      <c r="B1000" s="25" t="s">
        <v>1135</v>
      </c>
      <c r="C1000" s="12"/>
      <c r="D1000" s="12">
        <v>25630.0</v>
      </c>
      <c r="E1000" s="12">
        <v>19810.0</v>
      </c>
      <c r="F1000" s="12">
        <v>23340.0</v>
      </c>
      <c r="G1000" s="12">
        <v>21270.0</v>
      </c>
      <c r="H1000" s="12">
        <v>22310.0</v>
      </c>
      <c r="I1000" s="12">
        <v>24520.0</v>
      </c>
      <c r="J1000" s="12">
        <v>11960.0</v>
      </c>
      <c r="K1000" s="12">
        <v>14950.0</v>
      </c>
      <c r="L1000" s="12">
        <v>14190.0</v>
      </c>
      <c r="M1000" s="12">
        <v>14180.0</v>
      </c>
      <c r="N1000" s="12">
        <v>11460.0</v>
      </c>
      <c r="O1000" s="12">
        <v>13180.0</v>
      </c>
      <c r="P1000" s="12">
        <v>14490.0</v>
      </c>
      <c r="Q1000" s="12">
        <v>15590.0</v>
      </c>
      <c r="R1000" s="12">
        <v>16460.0</v>
      </c>
      <c r="S1000" s="12">
        <v>18060.0</v>
      </c>
      <c r="T1000" s="12"/>
      <c r="U1000" s="12"/>
      <c r="V1000" s="12"/>
      <c r="W1000" s="12">
        <v>0.0</v>
      </c>
      <c r="X1000" s="12">
        <v>0.0</v>
      </c>
      <c r="Y1000" s="12">
        <v>-1760.0</v>
      </c>
      <c r="Z1000" s="12"/>
      <c r="AA1000" s="12">
        <v>0.0</v>
      </c>
      <c r="AB1000" s="12">
        <v>0.0</v>
      </c>
      <c r="AC1000" s="12">
        <v>-6900.0</v>
      </c>
      <c r="AD1000" s="12">
        <v>-2020.0</v>
      </c>
      <c r="AE1000" s="12"/>
      <c r="AF1000" s="12">
        <v>-1010.0</v>
      </c>
      <c r="AG1000" s="12">
        <v>-2890.0</v>
      </c>
      <c r="AH1000" s="12">
        <v>-7210.0</v>
      </c>
      <c r="AI1000" s="12">
        <v>1960.0</v>
      </c>
      <c r="AJ1000" s="12">
        <v>3230.0</v>
      </c>
      <c r="AK1000" s="12"/>
      <c r="AL1000" s="12"/>
      <c r="AM1000" s="12">
        <v>-3500.0</v>
      </c>
      <c r="AN1000" s="12">
        <v>-2050.0</v>
      </c>
      <c r="AO1000" s="12"/>
      <c r="AP1000" s="12">
        <v>-1080.0</v>
      </c>
      <c r="AQ1000" s="12">
        <v>-2920.0</v>
      </c>
      <c r="AR1000" s="12">
        <v>-7230.0</v>
      </c>
      <c r="AS1000" s="12">
        <v>2960.0</v>
      </c>
      <c r="AT1000" s="12">
        <v>1370.0</v>
      </c>
      <c r="AU1000" s="12"/>
      <c r="AV1000" s="12"/>
      <c r="AW1000" s="12">
        <v>-4180.0</v>
      </c>
      <c r="AX1000" s="12">
        <v>-1090.0</v>
      </c>
      <c r="AY1000" s="12">
        <v>-1610.0</v>
      </c>
      <c r="AZ1000" s="12">
        <v>-1450.0</v>
      </c>
      <c r="BA1000" s="12"/>
      <c r="BB1000" s="12">
        <v>-1630.0</v>
      </c>
      <c r="BC1000" s="13"/>
      <c r="BD1000" s="13"/>
      <c r="BE1000" s="13"/>
      <c r="BF1000" s="12"/>
      <c r="BG1000" s="13">
        <v>0.0</v>
      </c>
      <c r="BH1000" s="12">
        <v>3260.0</v>
      </c>
      <c r="BI1000" s="12">
        <v>2590.0</v>
      </c>
      <c r="BJ1000" s="12">
        <v>3380.0</v>
      </c>
      <c r="BK1000" s="12">
        <v>5690.0</v>
      </c>
      <c r="BL1000" s="12">
        <v>3220.0</v>
      </c>
      <c r="BM1000" s="12">
        <v>1200.0</v>
      </c>
      <c r="BN1000" s="12">
        <v>1140.0</v>
      </c>
      <c r="BO1000" s="12"/>
      <c r="BP1000" s="12"/>
      <c r="BQ1000" s="12"/>
      <c r="BR1000" s="12">
        <v>1090.0</v>
      </c>
      <c r="BS1000" s="12">
        <v>2540.0</v>
      </c>
      <c r="BT1000" s="12">
        <v>4870.0</v>
      </c>
      <c r="BU1000" s="12">
        <v>3000.0</v>
      </c>
      <c r="BV1000" s="12">
        <v>0.0</v>
      </c>
      <c r="BW1000" s="12">
        <v>6070.0</v>
      </c>
      <c r="BX1000" s="12">
        <v>6790.0</v>
      </c>
      <c r="BY1000" s="12">
        <v>9640.0</v>
      </c>
      <c r="BZ1000" s="12">
        <v>10660.0</v>
      </c>
      <c r="CA1000" s="12">
        <v>9110.0</v>
      </c>
      <c r="CB1000" s="12">
        <v>4920.0</v>
      </c>
      <c r="CC1000" s="12">
        <v>4670.0</v>
      </c>
      <c r="CD1000" s="12">
        <v>3680.0</v>
      </c>
      <c r="CE1000" s="12">
        <v>3100.0</v>
      </c>
      <c r="CF1000" s="12">
        <v>3920.0</v>
      </c>
      <c r="CG1000" s="12"/>
      <c r="CH1000" s="12"/>
      <c r="CI1000" s="12">
        <v>1000.0</v>
      </c>
      <c r="CJ1000" s="12"/>
      <c r="CK1000" s="12"/>
      <c r="CL1000" s="12">
        <v>15280.0</v>
      </c>
      <c r="CM1000" s="12">
        <v>14860.0</v>
      </c>
      <c r="CN1000" s="12">
        <v>16570.0</v>
      </c>
      <c r="CO1000" s="12">
        <v>17140.0</v>
      </c>
      <c r="CP1000" s="12">
        <v>16820.0</v>
      </c>
      <c r="CQ1000" s="12"/>
      <c r="CR1000" s="12"/>
      <c r="CS1000" s="12"/>
      <c r="CT1000" s="12"/>
      <c r="CU1000" s="12"/>
      <c r="CV1000" s="12">
        <v>6100.0</v>
      </c>
      <c r="CW1000" s="12"/>
      <c r="CX1000" s="12">
        <v>0.0</v>
      </c>
      <c r="CY1000" s="12">
        <v>0.0</v>
      </c>
      <c r="CZ1000" s="12">
        <v>0.0</v>
      </c>
      <c r="DA1000" s="12">
        <v>0.0</v>
      </c>
      <c r="DB1000" s="12">
        <v>6100.0</v>
      </c>
      <c r="DC1000" s="12">
        <v>4020.0</v>
      </c>
      <c r="DD1000" s="12">
        <v>10750.0</v>
      </c>
      <c r="DE1000" s="12">
        <v>6640.0</v>
      </c>
      <c r="DF1000" s="12">
        <v>10190.0</v>
      </c>
      <c r="DG1000" s="12">
        <v>7950.0</v>
      </c>
      <c r="DH1000" s="12">
        <v>11030.0</v>
      </c>
      <c r="DI1000" s="12">
        <v>13070.0</v>
      </c>
      <c r="DJ1000" s="12">
        <v>12980.0</v>
      </c>
      <c r="DK1000" s="12"/>
      <c r="DL1000" s="12"/>
      <c r="DM1000" s="12">
        <v>0.0</v>
      </c>
      <c r="DN1000" s="12">
        <v>0.0</v>
      </c>
      <c r="DO1000" s="12">
        <v>0.0</v>
      </c>
      <c r="DP1000" s="12">
        <v>2910.0</v>
      </c>
      <c r="DQ1000" s="12">
        <v>2770.0</v>
      </c>
      <c r="DR1000" s="12"/>
      <c r="DS1000" s="12">
        <v>5380.0</v>
      </c>
      <c r="DT1000" s="12">
        <v>6500.0</v>
      </c>
      <c r="DU1000" s="12"/>
      <c r="DV1000" s="12"/>
      <c r="DW1000" s="12"/>
      <c r="DX1000" s="13"/>
      <c r="DY1000" s="12"/>
      <c r="DZ1000" s="12">
        <v>5090.0</v>
      </c>
      <c r="EA1000" s="12">
        <v>6920.0</v>
      </c>
      <c r="EB1000" s="12">
        <v>5540.0</v>
      </c>
      <c r="EC1000" s="12">
        <v>4070.0</v>
      </c>
      <c r="ED1000" s="12">
        <v>3850.0</v>
      </c>
      <c r="EE1000" s="17">
        <v>0.0</v>
      </c>
      <c r="EF1000" s="17"/>
      <c r="EG1000" s="17">
        <v>-0.267</v>
      </c>
      <c r="EH1000" s="17">
        <v>0.981</v>
      </c>
    </row>
    <row r="1001">
      <c r="A1001" s="9">
        <f t="shared" si="2"/>
        <v>999</v>
      </c>
      <c r="B1001" s="25" t="s">
        <v>1136</v>
      </c>
      <c r="C1001" s="15">
        <v>1.951E7</v>
      </c>
      <c r="D1001" s="15">
        <v>1.89E7</v>
      </c>
      <c r="E1001" s="15">
        <v>2.657E7</v>
      </c>
      <c r="F1001" s="15">
        <v>2.545E7</v>
      </c>
      <c r="G1001" s="15">
        <v>5900000.0</v>
      </c>
      <c r="H1001" s="15"/>
      <c r="I1001" s="15"/>
      <c r="J1001" s="15">
        <v>6330000.0</v>
      </c>
      <c r="K1001" s="15">
        <v>6200000.0</v>
      </c>
      <c r="L1001" s="15">
        <v>1230000.0</v>
      </c>
      <c r="M1001" s="15"/>
      <c r="N1001" s="15"/>
      <c r="O1001" s="15">
        <v>3210000.0</v>
      </c>
      <c r="P1001" s="15">
        <v>3010000.0</v>
      </c>
      <c r="Q1001" s="15">
        <v>229750.0</v>
      </c>
      <c r="R1001" s="15"/>
      <c r="S1001" s="15"/>
      <c r="T1001" s="15"/>
      <c r="U1001" s="15"/>
      <c r="V1001" s="15"/>
      <c r="W1001" s="15"/>
      <c r="X1001" s="15"/>
      <c r="Y1001" s="15">
        <v>2440000.0</v>
      </c>
      <c r="Z1001" s="15">
        <v>509390.0</v>
      </c>
      <c r="AA1001" s="15">
        <v>-504930.0</v>
      </c>
      <c r="AB1001" s="15"/>
      <c r="AC1001" s="15"/>
      <c r="AD1001" s="15">
        <v>1650000.0</v>
      </c>
      <c r="AE1001" s="15">
        <v>-160720.0</v>
      </c>
      <c r="AF1001" s="15">
        <v>-37640.0</v>
      </c>
      <c r="AG1001" s="15"/>
      <c r="AH1001" s="15"/>
      <c r="AI1001" s="15">
        <v>5190000.0</v>
      </c>
      <c r="AJ1001" s="15">
        <v>5000000.0</v>
      </c>
      <c r="AK1001" s="15">
        <v>1730000.0</v>
      </c>
      <c r="AL1001" s="15"/>
      <c r="AM1001" s="15"/>
      <c r="AN1001" s="15">
        <v>1320000.0</v>
      </c>
      <c r="AO1001" s="15">
        <v>-40180.0</v>
      </c>
      <c r="AP1001" s="15">
        <v>199890.0</v>
      </c>
      <c r="AQ1001" s="15"/>
      <c r="AR1001" s="15"/>
      <c r="AS1001" s="15">
        <v>4820000.0</v>
      </c>
      <c r="AT1001" s="15">
        <v>2630000.0</v>
      </c>
      <c r="AU1001" s="15">
        <v>1590000.0</v>
      </c>
      <c r="AV1001" s="15"/>
      <c r="AW1001" s="15"/>
      <c r="AX1001" s="15">
        <v>-2510000.0</v>
      </c>
      <c r="AY1001" s="15">
        <v>-1820000.0</v>
      </c>
      <c r="AZ1001" s="15">
        <v>-845000.0</v>
      </c>
      <c r="BA1001" s="15"/>
      <c r="BB1001" s="15"/>
      <c r="BC1001" s="15">
        <v>-1360000.0</v>
      </c>
      <c r="BD1001" s="15">
        <v>-1230000.0</v>
      </c>
      <c r="BE1001" s="15">
        <v>-428340.0</v>
      </c>
      <c r="BF1001" s="13"/>
      <c r="BG1001" s="13"/>
      <c r="BH1001" s="15">
        <v>870120.0</v>
      </c>
      <c r="BI1001" s="15">
        <v>3160000.0</v>
      </c>
      <c r="BJ1001" s="15">
        <v>145340.0</v>
      </c>
      <c r="BK1001" s="15"/>
      <c r="BL1001" s="15"/>
      <c r="BM1001" s="15">
        <v>4590000.0</v>
      </c>
      <c r="BN1001" s="15">
        <v>4560000.0</v>
      </c>
      <c r="BO1001" s="15">
        <v>612690.0</v>
      </c>
      <c r="BP1001" s="15"/>
      <c r="BQ1001" s="15"/>
      <c r="BR1001" s="15">
        <v>6450000.0</v>
      </c>
      <c r="BS1001" s="15">
        <v>6720000.0</v>
      </c>
      <c r="BT1001" s="15">
        <v>987320.0</v>
      </c>
      <c r="BU1001" s="15"/>
      <c r="BV1001" s="15"/>
      <c r="BW1001" s="15">
        <v>1.383E7</v>
      </c>
      <c r="BX1001" s="15">
        <v>1.593E7</v>
      </c>
      <c r="BY1001" s="15">
        <v>4160000.0</v>
      </c>
      <c r="BZ1001" s="15"/>
      <c r="CA1001" s="15"/>
      <c r="CB1001" s="15">
        <v>2.637E7</v>
      </c>
      <c r="CC1001" s="15">
        <v>2.567E7</v>
      </c>
      <c r="CD1001" s="15">
        <v>1.625E7</v>
      </c>
      <c r="CE1001" s="15"/>
      <c r="CF1001" s="15"/>
      <c r="CG1001" s="15">
        <v>1.554E7</v>
      </c>
      <c r="CH1001" s="15">
        <v>1.561E7</v>
      </c>
      <c r="CI1001" s="15">
        <v>121540.0</v>
      </c>
      <c r="CJ1001" s="15"/>
      <c r="CK1001" s="15"/>
      <c r="CL1001" s="15">
        <v>6.069E7</v>
      </c>
      <c r="CM1001" s="15">
        <v>6.215E7</v>
      </c>
      <c r="CN1001" s="15">
        <v>2.13E7</v>
      </c>
      <c r="CO1001" s="15"/>
      <c r="CP1001" s="15"/>
      <c r="CQ1001" s="15">
        <v>5210000.0</v>
      </c>
      <c r="CR1001" s="15">
        <v>4170000.0</v>
      </c>
      <c r="CS1001" s="15">
        <v>319500.0</v>
      </c>
      <c r="CT1001" s="15"/>
      <c r="CU1001" s="15"/>
      <c r="CV1001" s="15">
        <v>1.184E7</v>
      </c>
      <c r="CW1001" s="15">
        <v>1270000.0</v>
      </c>
      <c r="CX1001" s="15">
        <v>859090.0</v>
      </c>
      <c r="CY1001" s="15">
        <v>914650.0</v>
      </c>
      <c r="CZ1001" s="13"/>
      <c r="DA1001" s="12"/>
      <c r="DB1001" s="15">
        <v>1.184E7</v>
      </c>
      <c r="DC1001" s="15">
        <v>1.138E7</v>
      </c>
      <c r="DD1001" s="15">
        <v>2010000.0</v>
      </c>
      <c r="DE1001" s="15"/>
      <c r="DF1001" s="15">
        <v>3.103E7</v>
      </c>
      <c r="DG1001" s="15">
        <v>2.879E7</v>
      </c>
      <c r="DH1001" s="15">
        <v>1.089E7</v>
      </c>
      <c r="DI1001" s="15"/>
      <c r="DJ1001" s="15"/>
      <c r="DK1001" s="15">
        <v>1060000.0</v>
      </c>
      <c r="DL1001" s="15">
        <v>1200000.0</v>
      </c>
      <c r="DM1001" s="15">
        <v>365860.0</v>
      </c>
      <c r="DN1001" s="15"/>
      <c r="DO1001" s="15"/>
      <c r="DP1001" s="15">
        <v>1.221E7</v>
      </c>
      <c r="DQ1001" s="15">
        <v>1.037E7</v>
      </c>
      <c r="DR1001" s="15">
        <v>4650000.0</v>
      </c>
      <c r="DS1001" s="15"/>
      <c r="DT1001" s="15"/>
      <c r="DU1001" s="13"/>
      <c r="DV1001" s="12"/>
      <c r="DW1001" s="15"/>
      <c r="DX1001" s="15"/>
      <c r="DY1001" s="13"/>
      <c r="DZ1001" s="15">
        <v>2.966E7</v>
      </c>
      <c r="EA1001" s="15">
        <v>3.336E7</v>
      </c>
      <c r="EB1001" s="15">
        <v>1.04E7</v>
      </c>
      <c r="EC1001" s="15"/>
      <c r="ED1001" s="15"/>
      <c r="EE1001" s="23"/>
      <c r="EF1001" s="23"/>
      <c r="EG1001" s="23">
        <v>1.0</v>
      </c>
      <c r="EH1001" s="23"/>
    </row>
    <row r="1002">
      <c r="A1002" s="9">
        <f t="shared" si="2"/>
        <v>1000</v>
      </c>
      <c r="B1002" s="10" t="s">
        <v>1137</v>
      </c>
      <c r="C1002" s="11">
        <v>393790.0</v>
      </c>
      <c r="D1002" s="11">
        <v>335500.0</v>
      </c>
      <c r="E1002" s="11">
        <v>302330.0</v>
      </c>
      <c r="F1002" s="11">
        <v>257650.0</v>
      </c>
      <c r="G1002" s="11">
        <v>209630.0</v>
      </c>
      <c r="H1002" s="11">
        <v>217070.0</v>
      </c>
      <c r="I1002" s="11">
        <v>191560.0</v>
      </c>
      <c r="J1002" s="11">
        <v>126860.0</v>
      </c>
      <c r="K1002" s="11">
        <v>91600.0</v>
      </c>
      <c r="L1002" s="11">
        <v>70610.0</v>
      </c>
      <c r="M1002" s="11">
        <v>81500.0</v>
      </c>
      <c r="N1002" s="11">
        <v>79710.0</v>
      </c>
      <c r="O1002" s="11">
        <v>255960.0</v>
      </c>
      <c r="P1002" s="11">
        <v>204680.0</v>
      </c>
      <c r="Q1002" s="11">
        <v>205370.0</v>
      </c>
      <c r="R1002" s="11">
        <v>177990.0</v>
      </c>
      <c r="S1002" s="11">
        <v>137350.0</v>
      </c>
      <c r="T1002" s="11">
        <v>51360.0</v>
      </c>
      <c r="U1002" s="11">
        <v>49810.0</v>
      </c>
      <c r="V1002" s="11">
        <v>50060.0</v>
      </c>
      <c r="W1002" s="11">
        <v>41860.0</v>
      </c>
      <c r="X1002" s="11">
        <v>27710.0</v>
      </c>
      <c r="Y1002" s="12"/>
      <c r="Z1002" s="12"/>
      <c r="AA1002" s="11">
        <v>572.0</v>
      </c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3"/>
      <c r="BD1002" s="13"/>
      <c r="BE1002" s="13"/>
      <c r="BF1002" s="13"/>
      <c r="BG1002" s="13"/>
      <c r="BH1002" s="11">
        <v>441050.0</v>
      </c>
      <c r="BI1002" s="11">
        <v>158470.0</v>
      </c>
      <c r="BJ1002" s="11">
        <v>118930.0</v>
      </c>
      <c r="BK1002" s="11">
        <v>147210.0</v>
      </c>
      <c r="BL1002" s="11">
        <v>231430.0</v>
      </c>
      <c r="BM1002" s="11">
        <v>53350.0</v>
      </c>
      <c r="BN1002" s="11">
        <v>62220.0</v>
      </c>
      <c r="BO1002" s="11">
        <v>44090.0</v>
      </c>
      <c r="BP1002" s="11">
        <v>13400.0</v>
      </c>
      <c r="BQ1002" s="11">
        <v>5860.0</v>
      </c>
      <c r="BR1002" s="11">
        <v>12390.0</v>
      </c>
      <c r="BS1002" s="11">
        <v>13630.0</v>
      </c>
      <c r="BT1002" s="11">
        <v>9000.0</v>
      </c>
      <c r="BU1002" s="11">
        <v>6410.0</v>
      </c>
      <c r="BV1002" s="11">
        <v>8090.0</v>
      </c>
      <c r="BW1002" s="11">
        <v>523170.0</v>
      </c>
      <c r="BX1002" s="11">
        <v>240520.0</v>
      </c>
      <c r="BY1002" s="11">
        <v>180630.0</v>
      </c>
      <c r="BZ1002" s="11">
        <v>174120.0</v>
      </c>
      <c r="CA1002" s="11">
        <v>250730.0</v>
      </c>
      <c r="CB1002" s="11">
        <v>47010.0</v>
      </c>
      <c r="CC1002" s="11">
        <v>24340.0</v>
      </c>
      <c r="CD1002" s="11">
        <v>29670.0</v>
      </c>
      <c r="CE1002" s="11">
        <v>32290.0</v>
      </c>
      <c r="CF1002" s="11">
        <v>12710.0</v>
      </c>
      <c r="CG1002" s="12"/>
      <c r="CH1002" s="12"/>
      <c r="CI1002" s="12"/>
      <c r="CJ1002" s="12"/>
      <c r="CK1002" s="12"/>
      <c r="CL1002" s="11">
        <v>589820.0</v>
      </c>
      <c r="CM1002" s="11">
        <v>268170.0</v>
      </c>
      <c r="CN1002" s="11">
        <v>214610.0</v>
      </c>
      <c r="CO1002" s="11">
        <v>210680.0</v>
      </c>
      <c r="CP1002" s="11">
        <v>265240.0</v>
      </c>
      <c r="CQ1002" s="11">
        <v>8600.0</v>
      </c>
      <c r="CR1002" s="11">
        <v>14590.0</v>
      </c>
      <c r="CS1002" s="11">
        <v>8530.0</v>
      </c>
      <c r="CT1002" s="11">
        <v>11480.0</v>
      </c>
      <c r="CU1002" s="11">
        <v>7330.0</v>
      </c>
      <c r="CV1002" s="11">
        <v>179870.0</v>
      </c>
      <c r="CW1002" s="11">
        <v>55860.0</v>
      </c>
      <c r="CX1002" s="11">
        <v>50150.0</v>
      </c>
      <c r="CY1002" s="11">
        <v>50110.0</v>
      </c>
      <c r="CZ1002" s="11">
        <v>49000.0</v>
      </c>
      <c r="DA1002" s="11">
        <v>42090.0</v>
      </c>
      <c r="DB1002" s="11">
        <v>179870.0</v>
      </c>
      <c r="DC1002" s="11">
        <v>113980.0</v>
      </c>
      <c r="DD1002" s="11">
        <v>105560.0</v>
      </c>
      <c r="DE1002" s="11">
        <v>96420.0</v>
      </c>
      <c r="DF1002" s="11">
        <v>311110.0</v>
      </c>
      <c r="DG1002" s="11">
        <v>236010.0</v>
      </c>
      <c r="DH1002" s="11">
        <v>189200.0</v>
      </c>
      <c r="DI1002" s="11">
        <v>104200.0</v>
      </c>
      <c r="DJ1002" s="11">
        <v>80480.0</v>
      </c>
      <c r="DK1002" s="12"/>
      <c r="DL1002" s="12"/>
      <c r="DM1002" s="11">
        <v>342.0</v>
      </c>
      <c r="DN1002" s="11">
        <v>342.0</v>
      </c>
      <c r="DO1002" s="24">
        <v>683.0</v>
      </c>
      <c r="DP1002" s="11">
        <v>99950.0</v>
      </c>
      <c r="DQ1002" s="11">
        <v>73360.0</v>
      </c>
      <c r="DR1002" s="11">
        <v>73070.0</v>
      </c>
      <c r="DS1002" s="12"/>
      <c r="DT1002" s="12"/>
      <c r="DU1002" s="13"/>
      <c r="DV1002" s="12"/>
      <c r="DW1002" s="12"/>
      <c r="DX1002" s="13"/>
      <c r="DY1002" s="13"/>
      <c r="DZ1002" s="11">
        <v>278710.0</v>
      </c>
      <c r="EA1002" s="11">
        <v>32160.0</v>
      </c>
      <c r="EB1002" s="11">
        <v>25420.0</v>
      </c>
      <c r="EC1002" s="11">
        <v>106480.0</v>
      </c>
      <c r="ED1002" s="11">
        <v>184770.0</v>
      </c>
      <c r="EE1002" s="14">
        <v>0.151</v>
      </c>
      <c r="EF1002" s="14">
        <v>0.1</v>
      </c>
      <c r="EG1002" s="14">
        <v>0.196</v>
      </c>
      <c r="EH1002" s="14">
        <v>0.239</v>
      </c>
    </row>
    <row r="1003">
      <c r="A1003" s="9">
        <f t="shared" si="2"/>
        <v>1001</v>
      </c>
      <c r="B1003" s="10" t="s">
        <v>1138</v>
      </c>
      <c r="C1003" s="15">
        <v>2.009E7</v>
      </c>
      <c r="D1003" s="15">
        <v>1.928E7</v>
      </c>
      <c r="E1003" s="15">
        <v>2.259E7</v>
      </c>
      <c r="F1003" s="15">
        <v>2.507E7</v>
      </c>
      <c r="G1003" s="15">
        <v>2.025E7</v>
      </c>
      <c r="H1003" s="15">
        <v>1.621E7</v>
      </c>
      <c r="I1003" s="15">
        <v>1.644E7</v>
      </c>
      <c r="J1003" s="15">
        <v>2680000.0</v>
      </c>
      <c r="K1003" s="15">
        <v>4290000.0</v>
      </c>
      <c r="L1003" s="15">
        <v>2590000.0</v>
      </c>
      <c r="M1003" s="15">
        <v>2040000.0</v>
      </c>
      <c r="N1003" s="15">
        <v>1110000.0</v>
      </c>
      <c r="O1003" s="15">
        <v>744950.0</v>
      </c>
      <c r="P1003" s="15">
        <v>881220.0</v>
      </c>
      <c r="Q1003" s="15">
        <v>665030.0</v>
      </c>
      <c r="R1003" s="15">
        <v>574160.0</v>
      </c>
      <c r="S1003" s="15">
        <v>461690.0</v>
      </c>
      <c r="T1003" s="15">
        <v>0.0</v>
      </c>
      <c r="U1003" s="15">
        <v>0.0</v>
      </c>
      <c r="V1003" s="15">
        <v>0.0</v>
      </c>
      <c r="W1003" s="15">
        <v>0.0</v>
      </c>
      <c r="X1003" s="15">
        <v>0.0</v>
      </c>
      <c r="Y1003" s="15">
        <v>1870000.0</v>
      </c>
      <c r="Z1003" s="15">
        <v>3320000.0</v>
      </c>
      <c r="AA1003" s="15">
        <v>1880000.0</v>
      </c>
      <c r="AB1003" s="15">
        <v>-25610.0</v>
      </c>
      <c r="AC1003" s="15">
        <v>-239550.0</v>
      </c>
      <c r="AD1003" s="15">
        <v>1780000.0</v>
      </c>
      <c r="AE1003" s="15">
        <v>3230000.0</v>
      </c>
      <c r="AF1003" s="15">
        <v>1750000.0</v>
      </c>
      <c r="AG1003" s="15">
        <v>1300000.0</v>
      </c>
      <c r="AH1003" s="15">
        <v>241870.0</v>
      </c>
      <c r="AI1003" s="15">
        <v>2670000.0</v>
      </c>
      <c r="AJ1003" s="15">
        <v>4120000.0</v>
      </c>
      <c r="AK1003" s="15">
        <v>2650000.0</v>
      </c>
      <c r="AL1003" s="15">
        <v>2150000.0</v>
      </c>
      <c r="AM1003" s="15">
        <v>1350000.0</v>
      </c>
      <c r="AN1003" s="15">
        <v>1260000.0</v>
      </c>
      <c r="AO1003" s="15">
        <v>2350000.0</v>
      </c>
      <c r="AP1003" s="15">
        <v>1310000.0</v>
      </c>
      <c r="AQ1003" s="15">
        <v>793640.0</v>
      </c>
      <c r="AR1003" s="15">
        <v>79210.0</v>
      </c>
      <c r="AS1003" s="15">
        <v>2810000.0</v>
      </c>
      <c r="AT1003" s="15">
        <v>2390000.0</v>
      </c>
      <c r="AU1003" s="15">
        <v>1050000.0</v>
      </c>
      <c r="AV1003" s="15">
        <v>1750000.0</v>
      </c>
      <c r="AW1003" s="15">
        <v>2160000.0</v>
      </c>
      <c r="AX1003" s="15">
        <v>-1480000.0</v>
      </c>
      <c r="AY1003" s="15">
        <v>-982530.0</v>
      </c>
      <c r="AZ1003" s="15">
        <v>-448560.0</v>
      </c>
      <c r="BA1003" s="15">
        <v>-604840.0</v>
      </c>
      <c r="BB1003" s="15">
        <v>-374120.0</v>
      </c>
      <c r="BC1003" s="15">
        <v>-492060.0</v>
      </c>
      <c r="BD1003" s="15">
        <v>-485380.0</v>
      </c>
      <c r="BE1003" s="15">
        <v>-485320.0</v>
      </c>
      <c r="BF1003" s="15">
        <v>-481080.0</v>
      </c>
      <c r="BG1003" s="15">
        <v>-479430.0</v>
      </c>
      <c r="BH1003" s="15">
        <v>1830000.0</v>
      </c>
      <c r="BI1003" s="15">
        <v>1400000.0</v>
      </c>
      <c r="BJ1003" s="15">
        <v>999100.0</v>
      </c>
      <c r="BK1003" s="15">
        <v>2200000.0</v>
      </c>
      <c r="BL1003" s="15">
        <v>2040000.0</v>
      </c>
      <c r="BM1003" s="15">
        <v>2400000.0</v>
      </c>
      <c r="BN1003" s="15">
        <v>2530000.0</v>
      </c>
      <c r="BO1003" s="15">
        <v>2240000.0</v>
      </c>
      <c r="BP1003" s="15">
        <v>1720000.0</v>
      </c>
      <c r="BQ1003" s="15">
        <v>1380000.0</v>
      </c>
      <c r="BR1003" s="15">
        <v>3840000.0</v>
      </c>
      <c r="BS1003" s="15">
        <v>4550000.0</v>
      </c>
      <c r="BT1003" s="15">
        <v>3460000.0</v>
      </c>
      <c r="BU1003" s="15">
        <v>2480000.0</v>
      </c>
      <c r="BV1003" s="15">
        <v>2250000.0</v>
      </c>
      <c r="BW1003" s="15">
        <v>8230000.0</v>
      </c>
      <c r="BX1003" s="15">
        <v>8640000.0</v>
      </c>
      <c r="BY1003" s="15">
        <v>6820000.0</v>
      </c>
      <c r="BZ1003" s="15">
        <v>6510000.0</v>
      </c>
      <c r="CA1003" s="15">
        <v>5850000.0</v>
      </c>
      <c r="CB1003" s="15">
        <v>6270000.0</v>
      </c>
      <c r="CC1003" s="15">
        <v>5330000.0</v>
      </c>
      <c r="CD1003" s="15">
        <v>5090000.0</v>
      </c>
      <c r="CE1003" s="15">
        <v>5080000.0</v>
      </c>
      <c r="CF1003" s="15">
        <v>4890000.0</v>
      </c>
      <c r="CG1003" s="15">
        <v>2200000.0</v>
      </c>
      <c r="CH1003" s="15">
        <v>2180000.0</v>
      </c>
      <c r="CI1003" s="15">
        <v>2200000.0</v>
      </c>
      <c r="CJ1003" s="15">
        <v>2050000.0</v>
      </c>
      <c r="CK1003" s="15">
        <v>2010000.0</v>
      </c>
      <c r="CL1003" s="15">
        <v>1.834E7</v>
      </c>
      <c r="CM1003" s="15">
        <v>1.792E7</v>
      </c>
      <c r="CN1003" s="15">
        <v>1.584E7</v>
      </c>
      <c r="CO1003" s="15">
        <v>1.522E7</v>
      </c>
      <c r="CP1003" s="15">
        <v>1.477E7</v>
      </c>
      <c r="CQ1003" s="15">
        <v>1200000.0</v>
      </c>
      <c r="CR1003" s="15">
        <v>1430000.0</v>
      </c>
      <c r="CS1003" s="15">
        <v>1180000.0</v>
      </c>
      <c r="CT1003" s="15">
        <v>838110.0</v>
      </c>
      <c r="CU1003" s="15">
        <v>566530.0</v>
      </c>
      <c r="CV1003" s="15">
        <v>2460000.0</v>
      </c>
      <c r="CW1003" s="15">
        <v>80090.0</v>
      </c>
      <c r="CX1003" s="15">
        <v>57870.0</v>
      </c>
      <c r="CY1003" s="15">
        <v>52830.0</v>
      </c>
      <c r="CZ1003" s="15">
        <v>17960.0</v>
      </c>
      <c r="DA1003" s="15">
        <v>51320.0</v>
      </c>
      <c r="DB1003" s="15">
        <v>2460000.0</v>
      </c>
      <c r="DC1003" s="15">
        <v>2810000.0</v>
      </c>
      <c r="DD1003" s="15">
        <v>2820000.0</v>
      </c>
      <c r="DE1003" s="15">
        <v>2390000.0</v>
      </c>
      <c r="DF1003" s="15">
        <v>7550000.0</v>
      </c>
      <c r="DG1003" s="15">
        <v>7720000.0</v>
      </c>
      <c r="DH1003" s="15">
        <v>6760000.0</v>
      </c>
      <c r="DI1003" s="15">
        <v>6970000.0</v>
      </c>
      <c r="DJ1003" s="15">
        <v>6920000.0</v>
      </c>
      <c r="DK1003" s="15">
        <v>793200.0</v>
      </c>
      <c r="DL1003" s="15">
        <v>869900.0</v>
      </c>
      <c r="DM1003" s="15">
        <v>750100.0</v>
      </c>
      <c r="DN1003" s="15">
        <v>663400.0</v>
      </c>
      <c r="DO1003" s="15">
        <v>746600.0</v>
      </c>
      <c r="DP1003" s="15">
        <v>4370000.0</v>
      </c>
      <c r="DQ1003" s="15">
        <v>4230000.0</v>
      </c>
      <c r="DR1003" s="15">
        <v>3240000.0</v>
      </c>
      <c r="DS1003" s="15">
        <v>3740000.0</v>
      </c>
      <c r="DT1003" s="15">
        <v>4340000.0</v>
      </c>
      <c r="DU1003" s="16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1.036E7</v>
      </c>
      <c r="EA1003" s="15">
        <v>9790000.0</v>
      </c>
      <c r="EB1003" s="15">
        <v>8740000.0</v>
      </c>
      <c r="EC1003" s="15">
        <v>7880000.0</v>
      </c>
      <c r="ED1003" s="15">
        <v>7480000.0</v>
      </c>
      <c r="EE1003" s="17">
        <v>0.109</v>
      </c>
      <c r="EF1003" s="17">
        <v>0.158</v>
      </c>
      <c r="EG1003" s="17">
        <v>0.042</v>
      </c>
      <c r="EH1003" s="17">
        <v>0.205</v>
      </c>
    </row>
    <row r="1004">
      <c r="A1004" s="9">
        <f t="shared" si="2"/>
        <v>1002</v>
      </c>
      <c r="B1004" s="25" t="s">
        <v>1139</v>
      </c>
      <c r="C1004" s="15">
        <v>2520000.0</v>
      </c>
      <c r="D1004" s="15">
        <v>2420000.0</v>
      </c>
      <c r="E1004" s="15">
        <v>2420000.0</v>
      </c>
      <c r="F1004" s="15">
        <v>2680000.0</v>
      </c>
      <c r="G1004" s="15">
        <v>2280000.0</v>
      </c>
      <c r="H1004" s="15">
        <v>2210000.0</v>
      </c>
      <c r="I1004" s="15">
        <v>2240000.0</v>
      </c>
      <c r="J1004" s="15">
        <v>1840000.0</v>
      </c>
      <c r="K1004" s="15">
        <v>2040000.0</v>
      </c>
      <c r="L1004" s="15">
        <v>1780000.0</v>
      </c>
      <c r="M1004" s="15">
        <v>1670000.0</v>
      </c>
      <c r="N1004" s="15">
        <v>1680000.0</v>
      </c>
      <c r="O1004" s="15">
        <v>1570000.0</v>
      </c>
      <c r="P1004" s="15">
        <v>1730000.0</v>
      </c>
      <c r="Q1004" s="15">
        <v>1500000.0</v>
      </c>
      <c r="R1004" s="15">
        <v>1410000.0</v>
      </c>
      <c r="S1004" s="15">
        <v>1440000.0</v>
      </c>
      <c r="T1004" s="15">
        <v>30100.0</v>
      </c>
      <c r="U1004" s="15">
        <v>23000.0</v>
      </c>
      <c r="V1004" s="15">
        <v>22000.0</v>
      </c>
      <c r="W1004" s="15">
        <v>24300.0</v>
      </c>
      <c r="X1004" s="15">
        <v>20100.0</v>
      </c>
      <c r="Y1004" s="12"/>
      <c r="Z1004" s="15">
        <v>220060.0</v>
      </c>
      <c r="AA1004" s="15">
        <v>274000.0</v>
      </c>
      <c r="AB1004" s="15">
        <v>230690.0</v>
      </c>
      <c r="AC1004" s="15"/>
      <c r="AD1004" s="15">
        <v>255170.0</v>
      </c>
      <c r="AE1004" s="15">
        <v>219670.0</v>
      </c>
      <c r="AF1004" s="15">
        <v>265570.0</v>
      </c>
      <c r="AG1004" s="15">
        <v>212840.0</v>
      </c>
      <c r="AH1004" s="15">
        <v>211960.0</v>
      </c>
      <c r="AI1004" s="15">
        <v>388540.0</v>
      </c>
      <c r="AJ1004" s="15">
        <v>394530.0</v>
      </c>
      <c r="AK1004" s="15">
        <v>345570.0</v>
      </c>
      <c r="AL1004" s="15">
        <v>334400.0</v>
      </c>
      <c r="AM1004" s="15">
        <v>313970.0</v>
      </c>
      <c r="AN1004" s="15">
        <v>173550.0</v>
      </c>
      <c r="AO1004" s="15">
        <v>121890.0</v>
      </c>
      <c r="AP1004" s="15">
        <v>129440.0</v>
      </c>
      <c r="AQ1004" s="15">
        <v>143090.0</v>
      </c>
      <c r="AR1004" s="15">
        <v>133050.0</v>
      </c>
      <c r="AS1004" s="15">
        <v>177930.0</v>
      </c>
      <c r="AT1004" s="15">
        <v>202740.0</v>
      </c>
      <c r="AU1004" s="15">
        <v>302560.0</v>
      </c>
      <c r="AV1004" s="15">
        <v>275260.0</v>
      </c>
      <c r="AW1004" s="15">
        <v>322110.0</v>
      </c>
      <c r="AX1004" s="15">
        <v>-66070.0</v>
      </c>
      <c r="AY1004" s="15">
        <v>-70370.0</v>
      </c>
      <c r="AZ1004" s="15">
        <v>-60160.0</v>
      </c>
      <c r="BA1004" s="15">
        <v>-50220.0</v>
      </c>
      <c r="BB1004" s="15">
        <v>-56620.0</v>
      </c>
      <c r="BC1004" s="15">
        <v>-82190.0</v>
      </c>
      <c r="BD1004" s="15">
        <v>-80580.0</v>
      </c>
      <c r="BE1004" s="15">
        <v>-76060.0</v>
      </c>
      <c r="BF1004" s="15">
        <v>-78440.0</v>
      </c>
      <c r="BG1004" s="15">
        <v>-81190.0</v>
      </c>
      <c r="BH1004" s="15">
        <v>344040.0</v>
      </c>
      <c r="BI1004" s="15">
        <v>398260.0</v>
      </c>
      <c r="BJ1004" s="15">
        <v>438250.0</v>
      </c>
      <c r="BK1004" s="15">
        <v>369500.0</v>
      </c>
      <c r="BL1004" s="15">
        <v>304210.0</v>
      </c>
      <c r="BM1004" s="15">
        <v>50380.0</v>
      </c>
      <c r="BN1004" s="15">
        <v>53280.0</v>
      </c>
      <c r="BO1004" s="15">
        <v>33200.0</v>
      </c>
      <c r="BP1004" s="15">
        <v>31200.0</v>
      </c>
      <c r="BQ1004" s="15">
        <v>35460.0</v>
      </c>
      <c r="BR1004" s="15">
        <v>275890.0</v>
      </c>
      <c r="BS1004" s="15">
        <v>295820.0</v>
      </c>
      <c r="BT1004" s="15">
        <v>253450.0</v>
      </c>
      <c r="BU1004" s="15">
        <v>249940.0</v>
      </c>
      <c r="BV1004" s="15">
        <v>265260.0</v>
      </c>
      <c r="BW1004" s="15">
        <v>732020.0</v>
      </c>
      <c r="BX1004" s="15">
        <v>792530.0</v>
      </c>
      <c r="BY1004" s="15">
        <v>773530.0</v>
      </c>
      <c r="BZ1004" s="15">
        <v>705020.0</v>
      </c>
      <c r="CA1004" s="15">
        <v>691450.0</v>
      </c>
      <c r="CB1004" s="15">
        <v>597930.0</v>
      </c>
      <c r="CC1004" s="15">
        <v>464540.0</v>
      </c>
      <c r="CD1004" s="15">
        <v>464590.0</v>
      </c>
      <c r="CE1004" s="15">
        <v>444730.0</v>
      </c>
      <c r="CF1004" s="15">
        <v>454540.0</v>
      </c>
      <c r="CG1004" s="15">
        <v>196570.0</v>
      </c>
      <c r="CH1004" s="15">
        <v>196570.0</v>
      </c>
      <c r="CI1004" s="15">
        <v>114950.0</v>
      </c>
      <c r="CJ1004" s="15">
        <v>114950.0</v>
      </c>
      <c r="CK1004" s="15">
        <v>112450.0</v>
      </c>
      <c r="CL1004" s="15">
        <v>1770000.0</v>
      </c>
      <c r="CM1004" s="15">
        <v>1690000.0</v>
      </c>
      <c r="CN1004" s="15">
        <v>1590000.0</v>
      </c>
      <c r="CO1004" s="15">
        <v>1470000.0</v>
      </c>
      <c r="CP1004" s="15">
        <v>1510000.0</v>
      </c>
      <c r="CQ1004" s="15">
        <v>38980.0</v>
      </c>
      <c r="CR1004" s="15">
        <v>47620.0</v>
      </c>
      <c r="CS1004" s="15">
        <v>50340.0</v>
      </c>
      <c r="CT1004" s="15">
        <v>41260.0</v>
      </c>
      <c r="CU1004" s="15">
        <v>28830.0</v>
      </c>
      <c r="CV1004" s="15">
        <v>356760.0</v>
      </c>
      <c r="CW1004" s="15">
        <v>39350.0</v>
      </c>
      <c r="CX1004" s="15"/>
      <c r="CY1004" s="15"/>
      <c r="CZ1004" s="15"/>
      <c r="DA1004" s="15"/>
      <c r="DB1004" s="15">
        <v>356760.0</v>
      </c>
      <c r="DC1004" s="15">
        <v>439660.0</v>
      </c>
      <c r="DD1004" s="15">
        <v>447370.0</v>
      </c>
      <c r="DE1004" s="15">
        <v>399010.0</v>
      </c>
      <c r="DF1004" s="15">
        <v>893720.0</v>
      </c>
      <c r="DG1004" s="15">
        <v>912580.0</v>
      </c>
      <c r="DH1004" s="15">
        <v>885280.0</v>
      </c>
      <c r="DI1004" s="15">
        <v>809980.0</v>
      </c>
      <c r="DJ1004" s="15">
        <v>680220.0</v>
      </c>
      <c r="DK1004" s="15"/>
      <c r="DL1004" s="15"/>
      <c r="DM1004" s="15"/>
      <c r="DN1004" s="15">
        <v>38860.0</v>
      </c>
      <c r="DO1004" s="15">
        <v>39020.0</v>
      </c>
      <c r="DP1004" s="15">
        <v>440160.0</v>
      </c>
      <c r="DQ1004" s="15">
        <v>370340.0</v>
      </c>
      <c r="DR1004" s="15">
        <v>321080.0</v>
      </c>
      <c r="DS1004" s="15">
        <v>334170.0</v>
      </c>
      <c r="DT1004" s="15">
        <v>191980.0</v>
      </c>
      <c r="DU1004" s="13"/>
      <c r="DV1004" s="12"/>
      <c r="DW1004" s="12"/>
      <c r="DX1004" s="13"/>
      <c r="DY1004" s="13"/>
      <c r="DZ1004" s="15">
        <v>875290.0</v>
      </c>
      <c r="EA1004" s="15">
        <v>781870.0</v>
      </c>
      <c r="EB1004" s="15">
        <v>704600.0</v>
      </c>
      <c r="EC1004" s="15">
        <v>664070.0</v>
      </c>
      <c r="ED1004" s="15">
        <v>825620.0</v>
      </c>
      <c r="EE1004" s="17">
        <v>0.029</v>
      </c>
      <c r="EF1004" s="17">
        <v>0.159</v>
      </c>
      <c r="EG1004" s="17">
        <v>0.306</v>
      </c>
      <c r="EH1004" s="17">
        <v>0.196</v>
      </c>
    </row>
    <row r="1005">
      <c r="A1005" s="9">
        <f t="shared" si="2"/>
        <v>1003</v>
      </c>
      <c r="B1005" s="22" t="s">
        <v>1140</v>
      </c>
      <c r="C1005" s="11">
        <v>2740000.0</v>
      </c>
      <c r="D1005" s="11">
        <v>1170000.0</v>
      </c>
      <c r="E1005" s="11">
        <v>18660.0</v>
      </c>
      <c r="F1005" s="11">
        <v>34290.0</v>
      </c>
      <c r="G1005" s="11">
        <v>31180.0</v>
      </c>
      <c r="H1005" s="11">
        <v>15350.0</v>
      </c>
      <c r="I1005" s="11">
        <v>36250.0</v>
      </c>
      <c r="J1005" s="12"/>
      <c r="K1005" s="12"/>
      <c r="L1005" s="12"/>
      <c r="M1005" s="12"/>
      <c r="N1005" s="12"/>
      <c r="O1005" s="11">
        <v>142460.0</v>
      </c>
      <c r="P1005" s="11">
        <v>200050.0</v>
      </c>
      <c r="Q1005" s="11">
        <v>193070.0</v>
      </c>
      <c r="R1005" s="11">
        <v>275960.0</v>
      </c>
      <c r="S1005" s="11">
        <v>193490.0</v>
      </c>
      <c r="T1005" s="11">
        <v>113840.0</v>
      </c>
      <c r="U1005" s="11">
        <v>173800.0</v>
      </c>
      <c r="V1005" s="11">
        <v>168440.0</v>
      </c>
      <c r="W1005" s="11">
        <v>237940.0</v>
      </c>
      <c r="X1005" s="11">
        <v>162640.0</v>
      </c>
      <c r="Y1005" s="12"/>
      <c r="Z1005" s="12"/>
      <c r="AA1005" s="12"/>
      <c r="AB1005" s="12"/>
      <c r="AC1005" s="12"/>
      <c r="AD1005" s="11">
        <v>-132690.0</v>
      </c>
      <c r="AE1005" s="11">
        <v>-184750.0</v>
      </c>
      <c r="AF1005" s="11">
        <v>-183770.0</v>
      </c>
      <c r="AG1005" s="11">
        <v>-279970.0</v>
      </c>
      <c r="AH1005" s="11">
        <v>-156940.0</v>
      </c>
      <c r="AI1005" s="11">
        <v>-123800.0</v>
      </c>
      <c r="AJ1005" s="11">
        <v>-165760.0</v>
      </c>
      <c r="AK1005" s="11">
        <v>-161890.0</v>
      </c>
      <c r="AL1005" s="11">
        <v>-260610.0</v>
      </c>
      <c r="AM1005" s="11">
        <v>-151250.0</v>
      </c>
      <c r="AN1005" s="11">
        <v>-132690.0</v>
      </c>
      <c r="AO1005" s="11">
        <v>-184750.0</v>
      </c>
      <c r="AP1005" s="11">
        <v>-183770.0</v>
      </c>
      <c r="AQ1005" s="11">
        <v>-279970.0</v>
      </c>
      <c r="AR1005" s="11">
        <v>-156940.0</v>
      </c>
      <c r="AS1005" s="11">
        <v>-136620.0</v>
      </c>
      <c r="AT1005" s="11">
        <v>-184830.0</v>
      </c>
      <c r="AU1005" s="11">
        <v>-136620.0</v>
      </c>
      <c r="AV1005" s="11">
        <v>-258770.0</v>
      </c>
      <c r="AW1005" s="11">
        <v>-89890.0</v>
      </c>
      <c r="AX1005" s="11">
        <v>-1860.0</v>
      </c>
      <c r="AY1005" s="11">
        <v>-1370.0</v>
      </c>
      <c r="AZ1005" s="11">
        <v>-4190.0</v>
      </c>
      <c r="BA1005" s="11">
        <v>-18210.0</v>
      </c>
      <c r="BB1005" s="11">
        <v>-18290.0</v>
      </c>
      <c r="BC1005" s="12"/>
      <c r="BD1005" s="12"/>
      <c r="BE1005" s="12"/>
      <c r="BF1005" s="12"/>
      <c r="BG1005" s="12"/>
      <c r="BH1005" s="11">
        <v>81770.0</v>
      </c>
      <c r="BI1005" s="11">
        <v>102980.0</v>
      </c>
      <c r="BJ1005" s="11">
        <v>185540.0</v>
      </c>
      <c r="BK1005" s="11">
        <v>265790.0</v>
      </c>
      <c r="BL1005" s="11">
        <v>265620.0</v>
      </c>
      <c r="BM1005" s="11">
        <v>7500.0</v>
      </c>
      <c r="BN1005" s="12"/>
      <c r="BO1005" s="12"/>
      <c r="BP1005" s="11">
        <v>233.0</v>
      </c>
      <c r="BQ1005" s="11">
        <v>2320.0</v>
      </c>
      <c r="BR1005" s="12"/>
      <c r="BS1005" s="12"/>
      <c r="BT1005" s="12"/>
      <c r="BU1005" s="12"/>
      <c r="BV1005" s="12"/>
      <c r="BW1005" s="11">
        <v>97250.0</v>
      </c>
      <c r="BX1005" s="11">
        <v>119280.0</v>
      </c>
      <c r="BY1005" s="11">
        <v>203310.0</v>
      </c>
      <c r="BZ1005" s="11">
        <v>287830.0</v>
      </c>
      <c r="CA1005" s="11">
        <v>287260.0</v>
      </c>
      <c r="CB1005" s="11">
        <v>17900.0</v>
      </c>
      <c r="CC1005" s="11">
        <v>28430.0</v>
      </c>
      <c r="CD1005" s="11">
        <v>35990.0</v>
      </c>
      <c r="CE1005" s="11">
        <v>40180.0</v>
      </c>
      <c r="CF1005" s="11">
        <v>32340.0</v>
      </c>
      <c r="CG1005" s="11">
        <v>51150.0</v>
      </c>
      <c r="CH1005" s="11">
        <v>51970.0</v>
      </c>
      <c r="CI1005" s="11">
        <v>53560.0</v>
      </c>
      <c r="CJ1005" s="11">
        <v>51670.0</v>
      </c>
      <c r="CK1005" s="11">
        <v>53070.0</v>
      </c>
      <c r="CL1005" s="11">
        <v>172960.0</v>
      </c>
      <c r="CM1005" s="11">
        <v>207980.0</v>
      </c>
      <c r="CN1005" s="11">
        <v>302490.0</v>
      </c>
      <c r="CO1005" s="11">
        <v>394300.0</v>
      </c>
      <c r="CP1005" s="11">
        <v>386040.0</v>
      </c>
      <c r="CQ1005" s="11">
        <v>2910.0</v>
      </c>
      <c r="CR1005" s="11">
        <v>9300.0</v>
      </c>
      <c r="CS1005" s="11">
        <v>5610.0</v>
      </c>
      <c r="CT1005" s="11">
        <v>5690.0</v>
      </c>
      <c r="CU1005" s="11">
        <v>11890.0</v>
      </c>
      <c r="CV1005" s="11">
        <v>25800.0</v>
      </c>
      <c r="CW1005" s="11">
        <v>1260.0</v>
      </c>
      <c r="CX1005" s="12"/>
      <c r="CY1005" s="12"/>
      <c r="CZ1005" s="12"/>
      <c r="DA1005" s="12"/>
      <c r="DB1005" s="11">
        <v>25800.0</v>
      </c>
      <c r="DC1005" s="11">
        <v>45540.0</v>
      </c>
      <c r="DD1005" s="11">
        <v>73680.0</v>
      </c>
      <c r="DE1005" s="11">
        <v>66410.0</v>
      </c>
      <c r="DF1005" s="11">
        <v>358970.0</v>
      </c>
      <c r="DG1005" s="11">
        <v>375910.0</v>
      </c>
      <c r="DH1005" s="11">
        <v>404230.0</v>
      </c>
      <c r="DI1005" s="11">
        <v>399850.0</v>
      </c>
      <c r="DJ1005" s="11">
        <v>93370.0</v>
      </c>
      <c r="DK1005" s="11">
        <v>410.0</v>
      </c>
      <c r="DL1005" s="11">
        <v>958.0</v>
      </c>
      <c r="DM1005" s="11">
        <v>890.0</v>
      </c>
      <c r="DN1005" s="11">
        <v>4590.0</v>
      </c>
      <c r="DO1005" s="11">
        <v>1540.0</v>
      </c>
      <c r="DP1005" s="11">
        <v>330620.0</v>
      </c>
      <c r="DQ1005" s="11">
        <v>319190.0</v>
      </c>
      <c r="DR1005" s="11">
        <v>317760.0</v>
      </c>
      <c r="DS1005" s="11">
        <v>316340.0</v>
      </c>
      <c r="DT1005" s="12"/>
      <c r="DU1005" s="13"/>
      <c r="DV1005" s="12"/>
      <c r="DW1005" s="12"/>
      <c r="DX1005" s="13"/>
      <c r="DY1005" s="13"/>
      <c r="DZ1005" s="11">
        <v>-186020.0</v>
      </c>
      <c r="EA1005" s="11">
        <v>-167940.0</v>
      </c>
      <c r="EB1005" s="11">
        <v>-101730.0</v>
      </c>
      <c r="EC1005" s="11">
        <v>-5550.0</v>
      </c>
      <c r="ED1005" s="11">
        <v>292670.0</v>
      </c>
      <c r="EE1005" s="14">
        <v>1.915</v>
      </c>
      <c r="EF1005" s="14">
        <v>0.945</v>
      </c>
      <c r="EG1005" s="14">
        <v>0.286</v>
      </c>
      <c r="EH1005" s="14">
        <v>0.159</v>
      </c>
    </row>
    <row r="1006">
      <c r="A1006" s="9">
        <f t="shared" si="2"/>
        <v>1004</v>
      </c>
      <c r="B1006" s="26" t="s">
        <v>1141</v>
      </c>
      <c r="C1006" s="15">
        <v>1.72E7</v>
      </c>
      <c r="D1006" s="15">
        <v>1.464E7</v>
      </c>
      <c r="E1006" s="15">
        <v>1.092E7</v>
      </c>
      <c r="F1006" s="15">
        <v>1.172E7</v>
      </c>
      <c r="G1006" s="15">
        <v>9710000.0</v>
      </c>
      <c r="H1006" s="15">
        <v>6910000.0</v>
      </c>
      <c r="I1006" s="15">
        <v>5010000.0</v>
      </c>
      <c r="J1006" s="15">
        <v>6780000.0</v>
      </c>
      <c r="K1006" s="15">
        <v>7210000.0</v>
      </c>
      <c r="L1006" s="15">
        <v>5840000.0</v>
      </c>
      <c r="M1006" s="15">
        <v>4080000.0</v>
      </c>
      <c r="N1006" s="15">
        <v>2840000.0</v>
      </c>
      <c r="O1006" s="15">
        <v>3890000.0</v>
      </c>
      <c r="P1006" s="15">
        <v>3370000.0</v>
      </c>
      <c r="Q1006" s="15">
        <v>2600000.0</v>
      </c>
      <c r="R1006" s="15">
        <v>2100000.0</v>
      </c>
      <c r="S1006" s="15">
        <v>1860000.0</v>
      </c>
      <c r="T1006" s="15">
        <v>2830000.0</v>
      </c>
      <c r="U1006" s="15">
        <v>2380000.0</v>
      </c>
      <c r="V1006" s="15">
        <v>1800000.0</v>
      </c>
      <c r="W1006" s="15">
        <v>1460000.0</v>
      </c>
      <c r="X1006" s="15">
        <v>1330000.0</v>
      </c>
      <c r="Y1006" s="15">
        <v>2850000.0</v>
      </c>
      <c r="Z1006" s="15">
        <v>3800000.0</v>
      </c>
      <c r="AA1006" s="15">
        <v>3210000.0</v>
      </c>
      <c r="AB1006" s="15">
        <v>1910000.0</v>
      </c>
      <c r="AC1006" s="15">
        <v>747000.0</v>
      </c>
      <c r="AD1006" s="15">
        <v>2970000.0</v>
      </c>
      <c r="AE1006" s="15">
        <v>3900000.0</v>
      </c>
      <c r="AF1006" s="15">
        <v>3200000.0</v>
      </c>
      <c r="AG1006" s="15">
        <v>1910000.0</v>
      </c>
      <c r="AH1006" s="15">
        <v>743000.0</v>
      </c>
      <c r="AI1006" s="15">
        <v>3270000.0</v>
      </c>
      <c r="AJ1006" s="15">
        <v>4110000.0</v>
      </c>
      <c r="AK1006" s="15">
        <v>3420000.0</v>
      </c>
      <c r="AL1006" s="15">
        <v>2160000.0</v>
      </c>
      <c r="AM1006" s="15">
        <v>1150000.0</v>
      </c>
      <c r="AN1006" s="15">
        <v>2800000.0</v>
      </c>
      <c r="AO1006" s="15">
        <v>4140000.0</v>
      </c>
      <c r="AP1006" s="15">
        <v>3050000.0</v>
      </c>
      <c r="AQ1006" s="15">
        <v>1670000.0</v>
      </c>
      <c r="AR1006" s="15">
        <v>614000.0</v>
      </c>
      <c r="AS1006" s="15">
        <v>4760000.0</v>
      </c>
      <c r="AT1006" s="15">
        <v>3740000.0</v>
      </c>
      <c r="AU1006" s="15">
        <v>3500000.0</v>
      </c>
      <c r="AV1006" s="15">
        <v>1670000.0</v>
      </c>
      <c r="AW1006" s="15">
        <v>1180000.0</v>
      </c>
      <c r="AX1006" s="15">
        <v>-489000.0</v>
      </c>
      <c r="AY1006" s="15">
        <v>-600000.0</v>
      </c>
      <c r="AZ1006" s="15">
        <v>-593000.0</v>
      </c>
      <c r="BA1006" s="15">
        <v>-176000.0</v>
      </c>
      <c r="BB1006" s="15">
        <v>-86000.0</v>
      </c>
      <c r="BC1006" s="15">
        <v>-390000.0</v>
      </c>
      <c r="BD1006" s="15">
        <v>-371000.0</v>
      </c>
      <c r="BE1006" s="15">
        <v>-341000.0</v>
      </c>
      <c r="BF1006" s="15">
        <v>-261000.0</v>
      </c>
      <c r="BG1006" s="15">
        <v>-213000.0</v>
      </c>
      <c r="BH1006" s="15">
        <v>1.09E7</v>
      </c>
      <c r="BI1006" s="15">
        <v>7420000.0</v>
      </c>
      <c r="BJ1006" s="15">
        <v>7110000.0</v>
      </c>
      <c r="BK1006" s="15">
        <v>6800000.0</v>
      </c>
      <c r="BL1006" s="15">
        <v>5040000.0</v>
      </c>
      <c r="BM1006" s="15">
        <v>1660000.0</v>
      </c>
      <c r="BN1006" s="15">
        <v>1420000.0</v>
      </c>
      <c r="BO1006" s="15">
        <v>1270000.0</v>
      </c>
      <c r="BP1006" s="15">
        <v>826000.0</v>
      </c>
      <c r="BQ1006" s="15">
        <v>505000.0</v>
      </c>
      <c r="BR1006" s="15">
        <v>979000.0</v>
      </c>
      <c r="BS1006" s="15">
        <v>1580000.0</v>
      </c>
      <c r="BT1006" s="15">
        <v>796000.0</v>
      </c>
      <c r="BU1006" s="15">
        <v>794000.0</v>
      </c>
      <c r="BV1006" s="15">
        <v>418000.0</v>
      </c>
      <c r="BW1006" s="15">
        <v>1.369E7</v>
      </c>
      <c r="BX1006" s="15">
        <v>1.056E7</v>
      </c>
      <c r="BY1006" s="15">
        <v>9260000.0</v>
      </c>
      <c r="BZ1006" s="15">
        <v>8540000.0</v>
      </c>
      <c r="CA1006" s="15">
        <v>6050000.0</v>
      </c>
      <c r="CB1006" s="15">
        <v>2290000.0</v>
      </c>
      <c r="CC1006" s="15">
        <v>1400000.0</v>
      </c>
      <c r="CD1006" s="15">
        <v>997000.0</v>
      </c>
      <c r="CE1006" s="15">
        <v>521000.0</v>
      </c>
      <c r="CF1006" s="15">
        <v>466000.0</v>
      </c>
      <c r="CG1006" s="15">
        <v>618000.0</v>
      </c>
      <c r="CH1006" s="15">
        <v>618000.0</v>
      </c>
      <c r="CI1006" s="15">
        <v>618000.0</v>
      </c>
      <c r="CJ1006" s="15">
        <v>618000.0</v>
      </c>
      <c r="CK1006" s="15">
        <v>618000.0</v>
      </c>
      <c r="CL1006" s="15">
        <v>1.732E7</v>
      </c>
      <c r="CM1006" s="15">
        <v>1.329E7</v>
      </c>
      <c r="CN1006" s="15">
        <v>1.124E7</v>
      </c>
      <c r="CO1006" s="15">
        <v>9840000.0</v>
      </c>
      <c r="CP1006" s="15">
        <v>7370000.0</v>
      </c>
      <c r="CQ1006" s="15">
        <v>687000.0</v>
      </c>
      <c r="CR1006" s="15">
        <v>511000.0</v>
      </c>
      <c r="CS1006" s="15">
        <v>596000.0</v>
      </c>
      <c r="CT1006" s="15">
        <v>485000.0</v>
      </c>
      <c r="CU1006" s="15">
        <v>296000.0</v>
      </c>
      <c r="CV1006" s="15">
        <v>1780000.0</v>
      </c>
      <c r="CW1006" s="15">
        <v>91000.0</v>
      </c>
      <c r="CX1006" s="15">
        <v>0.0</v>
      </c>
      <c r="CY1006" s="15">
        <v>0.0</v>
      </c>
      <c r="CZ1006" s="16">
        <v>0.0</v>
      </c>
      <c r="DA1006" s="15">
        <v>0.0</v>
      </c>
      <c r="DB1006" s="15">
        <v>1780000.0</v>
      </c>
      <c r="DC1006" s="15">
        <v>1330000.0</v>
      </c>
      <c r="DD1006" s="15">
        <v>1150000.0</v>
      </c>
      <c r="DE1006" s="15">
        <v>1790000.0</v>
      </c>
      <c r="DF1006" s="15">
        <v>5110000.0</v>
      </c>
      <c r="DG1006" s="15">
        <v>3950000.0</v>
      </c>
      <c r="DH1006" s="15">
        <v>3770000.0</v>
      </c>
      <c r="DI1006" s="15">
        <v>4080000.0</v>
      </c>
      <c r="DJ1006" s="15">
        <v>2900000.0</v>
      </c>
      <c r="DK1006" s="15">
        <v>0.0</v>
      </c>
      <c r="DL1006" s="15">
        <v>0.0</v>
      </c>
      <c r="DM1006" s="15">
        <v>0.0</v>
      </c>
      <c r="DN1006" s="15">
        <v>0.0</v>
      </c>
      <c r="DO1006" s="15">
        <v>0.0</v>
      </c>
      <c r="DP1006" s="15">
        <v>2550000.0</v>
      </c>
      <c r="DQ1006" s="15">
        <v>1990000.0</v>
      </c>
      <c r="DR1006" s="15">
        <v>1990000.0</v>
      </c>
      <c r="DS1006" s="15">
        <v>2020000.0</v>
      </c>
      <c r="DT1006" s="15">
        <v>97000.0</v>
      </c>
      <c r="DU1006" s="16">
        <v>0.0</v>
      </c>
      <c r="DV1006" s="15">
        <v>0.0</v>
      </c>
      <c r="DW1006" s="15">
        <v>0.0</v>
      </c>
      <c r="DX1006" s="15">
        <v>0.0</v>
      </c>
      <c r="DY1006" s="15">
        <v>0.0</v>
      </c>
      <c r="DZ1006" s="15">
        <v>1.22E7</v>
      </c>
      <c r="EA1006" s="15">
        <v>9340000.0</v>
      </c>
      <c r="EB1006" s="15">
        <v>7470000.0</v>
      </c>
      <c r="EC1006" s="15">
        <v>5760000.0</v>
      </c>
      <c r="ED1006" s="15">
        <v>4470000.0</v>
      </c>
      <c r="EE1006" s="17">
        <v>0.133</v>
      </c>
      <c r="EF1006" s="17">
        <v>0.209</v>
      </c>
      <c r="EG1006" s="17">
        <v>0.065</v>
      </c>
      <c r="EH1006" s="17">
        <v>0.105</v>
      </c>
    </row>
    <row r="1007">
      <c r="A1007" s="9">
        <f t="shared" si="2"/>
        <v>1005</v>
      </c>
      <c r="B1007" s="26" t="s">
        <v>1142</v>
      </c>
      <c r="C1007" s="12"/>
      <c r="D1007" s="12"/>
      <c r="E1007" s="15">
        <v>25410.0</v>
      </c>
      <c r="F1007" s="15">
        <v>26470.0</v>
      </c>
      <c r="G1007" s="15">
        <v>29860.0</v>
      </c>
      <c r="H1007" s="15">
        <v>28330.0</v>
      </c>
      <c r="I1007" s="15">
        <v>27720.0</v>
      </c>
      <c r="J1007" s="15">
        <v>20520.0</v>
      </c>
      <c r="K1007" s="15">
        <v>21260.0</v>
      </c>
      <c r="L1007" s="15">
        <v>23590.0</v>
      </c>
      <c r="M1007" s="15">
        <v>22250.0</v>
      </c>
      <c r="N1007" s="15">
        <v>21100.0</v>
      </c>
      <c r="O1007" s="15">
        <v>5010.0</v>
      </c>
      <c r="P1007" s="15">
        <v>5330.0</v>
      </c>
      <c r="Q1007" s="15">
        <v>5140.0</v>
      </c>
      <c r="R1007" s="15">
        <v>4800.0</v>
      </c>
      <c r="S1007" s="15">
        <v>4810.0</v>
      </c>
      <c r="T1007" s="15">
        <v>3690.0</v>
      </c>
      <c r="U1007" s="15">
        <v>4110.0</v>
      </c>
      <c r="V1007" s="15">
        <v>3700.0</v>
      </c>
      <c r="W1007" s="15">
        <v>3340.0</v>
      </c>
      <c r="X1007" s="15">
        <v>3060.0</v>
      </c>
      <c r="Y1007" s="15">
        <v>0.0</v>
      </c>
      <c r="Z1007" s="15">
        <v>0.0</v>
      </c>
      <c r="AA1007" s="15">
        <v>0.0</v>
      </c>
      <c r="AB1007" s="15">
        <v>0.0</v>
      </c>
      <c r="AC1007" s="15">
        <v>0.0</v>
      </c>
      <c r="AD1007" s="15">
        <v>17300.0</v>
      </c>
      <c r="AE1007" s="15">
        <v>17710.0</v>
      </c>
      <c r="AF1007" s="15">
        <v>20010.0</v>
      </c>
      <c r="AG1007" s="15">
        <v>19100.0</v>
      </c>
      <c r="AH1007" s="15">
        <v>18180.0</v>
      </c>
      <c r="AI1007" s="15">
        <v>16060.0</v>
      </c>
      <c r="AJ1007" s="15">
        <v>16630.0</v>
      </c>
      <c r="AK1007" s="15">
        <v>19430.0</v>
      </c>
      <c r="AL1007" s="15">
        <v>18590.0</v>
      </c>
      <c r="AM1007" s="15">
        <v>17140.0</v>
      </c>
      <c r="AN1007" s="15">
        <v>14530.0</v>
      </c>
      <c r="AO1007" s="15">
        <v>14510.0</v>
      </c>
      <c r="AP1007" s="15">
        <v>13910.0</v>
      </c>
      <c r="AQ1007" s="15">
        <v>12950.0</v>
      </c>
      <c r="AR1007" s="15">
        <v>12290.0</v>
      </c>
      <c r="AS1007" s="15">
        <v>15900.0</v>
      </c>
      <c r="AT1007" s="15">
        <v>14220.0</v>
      </c>
      <c r="AU1007" s="15">
        <v>15150.0</v>
      </c>
      <c r="AV1007" s="15">
        <v>12380.0</v>
      </c>
      <c r="AW1007" s="15">
        <v>14310.0</v>
      </c>
      <c r="AX1007" s="15">
        <v>0.0</v>
      </c>
      <c r="AY1007" s="15">
        <v>0.0</v>
      </c>
      <c r="AZ1007" s="15">
        <v>0.0</v>
      </c>
      <c r="BA1007" s="15">
        <v>0.0</v>
      </c>
      <c r="BB1007" s="15">
        <v>0.0</v>
      </c>
      <c r="BC1007" s="15">
        <v>-19380.0</v>
      </c>
      <c r="BD1007" s="15">
        <v>-19370.0</v>
      </c>
      <c r="BE1007" s="15">
        <v>-19370.0</v>
      </c>
      <c r="BF1007" s="15">
        <v>-19350.0</v>
      </c>
      <c r="BG1007" s="15">
        <v>-19410.0</v>
      </c>
      <c r="BH1007" s="15">
        <v>27150.0</v>
      </c>
      <c r="BI1007" s="15">
        <v>19370.0</v>
      </c>
      <c r="BJ1007" s="15">
        <v>25520.0</v>
      </c>
      <c r="BK1007" s="15">
        <v>27790.0</v>
      </c>
      <c r="BL1007" s="15">
        <v>27230.0</v>
      </c>
      <c r="BM1007" s="15">
        <v>2690.0</v>
      </c>
      <c r="BN1007" s="15">
        <v>3000.0</v>
      </c>
      <c r="BO1007" s="15">
        <v>2890.0</v>
      </c>
      <c r="BP1007" s="15">
        <v>3440.0</v>
      </c>
      <c r="BQ1007" s="15">
        <v>2240.0</v>
      </c>
      <c r="BR1007" s="15">
        <v>3880.0</v>
      </c>
      <c r="BS1007" s="15">
        <v>4260.0</v>
      </c>
      <c r="BT1007" s="15">
        <v>3650.0</v>
      </c>
      <c r="BU1007" s="15">
        <v>3360.0</v>
      </c>
      <c r="BV1007" s="15">
        <v>3210.0</v>
      </c>
      <c r="BW1007" s="15">
        <v>34380.0</v>
      </c>
      <c r="BX1007" s="15">
        <v>27440.0</v>
      </c>
      <c r="BY1007" s="15">
        <v>32700.0</v>
      </c>
      <c r="BZ1007" s="15">
        <v>35190.0</v>
      </c>
      <c r="CA1007" s="15">
        <v>33420.0</v>
      </c>
      <c r="CB1007" s="15">
        <v>1400.0</v>
      </c>
      <c r="CC1007" s="15">
        <v>0.0</v>
      </c>
      <c r="CD1007" s="15">
        <v>1330.0</v>
      </c>
      <c r="CE1007" s="15">
        <v>1410.0</v>
      </c>
      <c r="CF1007" s="15">
        <v>1690.0</v>
      </c>
      <c r="CG1007" s="15">
        <v>0.0</v>
      </c>
      <c r="CH1007" s="15">
        <v>0.0</v>
      </c>
      <c r="CI1007" s="15">
        <v>0.0</v>
      </c>
      <c r="CJ1007" s="15">
        <v>0.0</v>
      </c>
      <c r="CK1007" s="15">
        <v>0.0</v>
      </c>
      <c r="CL1007" s="15">
        <v>79500.0</v>
      </c>
      <c r="CM1007" s="15">
        <v>83620.0</v>
      </c>
      <c r="CN1007" s="15">
        <v>87430.0</v>
      </c>
      <c r="CO1007" s="15">
        <v>93770.0</v>
      </c>
      <c r="CP1007" s="15">
        <v>100850.0</v>
      </c>
      <c r="CQ1007" s="15">
        <v>0.0</v>
      </c>
      <c r="CR1007" s="15">
        <v>0.0</v>
      </c>
      <c r="CS1007" s="15">
        <v>0.0</v>
      </c>
      <c r="CT1007" s="15">
        <v>0.0</v>
      </c>
      <c r="CU1007" s="15">
        <v>0.0</v>
      </c>
      <c r="CV1007" s="15">
        <v>0.0</v>
      </c>
      <c r="CW1007" s="15">
        <v>0.0</v>
      </c>
      <c r="CX1007" s="15">
        <v>0.0</v>
      </c>
      <c r="CY1007" s="16">
        <v>0.0</v>
      </c>
      <c r="CZ1007" s="16">
        <v>0.0</v>
      </c>
      <c r="DA1007" s="15">
        <v>0.0</v>
      </c>
      <c r="DB1007" s="15">
        <v>0.0</v>
      </c>
      <c r="DC1007" s="15">
        <v>0.0</v>
      </c>
      <c r="DD1007" s="15">
        <v>0.0</v>
      </c>
      <c r="DE1007" s="15">
        <v>1100.0</v>
      </c>
      <c r="DF1007" s="15">
        <v>1500.0</v>
      </c>
      <c r="DG1007" s="15">
        <v>0.0</v>
      </c>
      <c r="DH1007" s="15">
        <v>0.0</v>
      </c>
      <c r="DI1007" s="15">
        <v>1100.0</v>
      </c>
      <c r="DJ1007" s="15">
        <v>1590.0</v>
      </c>
      <c r="DK1007" s="15">
        <v>43610.0</v>
      </c>
      <c r="DL1007" s="15">
        <v>54930.0</v>
      </c>
      <c r="DM1007" s="15">
        <v>52840.0</v>
      </c>
      <c r="DN1007" s="15">
        <v>56810.0</v>
      </c>
      <c r="DO1007" s="15">
        <v>65700.0</v>
      </c>
      <c r="DP1007" s="15">
        <v>0.0</v>
      </c>
      <c r="DQ1007" s="15">
        <v>0.0</v>
      </c>
      <c r="DR1007" s="15">
        <v>0.0</v>
      </c>
      <c r="DS1007" s="15">
        <v>0.0</v>
      </c>
      <c r="DT1007" s="15">
        <v>0.0</v>
      </c>
      <c r="DU1007" s="16">
        <v>0.0</v>
      </c>
      <c r="DV1007" s="15">
        <v>0.0</v>
      </c>
      <c r="DW1007" s="15">
        <v>0.0</v>
      </c>
      <c r="DX1007" s="15">
        <v>0.0</v>
      </c>
      <c r="DY1007" s="15">
        <v>0.0</v>
      </c>
      <c r="DZ1007" s="15">
        <v>78000.0</v>
      </c>
      <c r="EA1007" s="15">
        <v>82780.0</v>
      </c>
      <c r="EB1007" s="15">
        <v>86440.0</v>
      </c>
      <c r="EC1007" s="15">
        <v>92680.0</v>
      </c>
      <c r="ED1007" s="15">
        <v>99260.0</v>
      </c>
      <c r="EE1007" s="23"/>
      <c r="EF1007" s="23"/>
      <c r="EG1007" s="23" t="s">
        <v>155</v>
      </c>
      <c r="EH1007" s="23"/>
    </row>
    <row r="1008">
      <c r="A1008" s="9">
        <f t="shared" si="2"/>
        <v>1006</v>
      </c>
      <c r="B1008" s="10" t="s">
        <v>1143</v>
      </c>
      <c r="C1008" s="11">
        <v>323810.0</v>
      </c>
      <c r="D1008" s="11">
        <v>299490.0</v>
      </c>
      <c r="E1008" s="11">
        <v>301390.0</v>
      </c>
      <c r="F1008" s="11">
        <v>310050.0</v>
      </c>
      <c r="G1008" s="11">
        <v>298600.0</v>
      </c>
      <c r="H1008" s="11">
        <v>294110.0</v>
      </c>
      <c r="I1008" s="11">
        <v>315220.0</v>
      </c>
      <c r="J1008" s="11">
        <v>53490.0</v>
      </c>
      <c r="K1008" s="11">
        <v>60410.0</v>
      </c>
      <c r="L1008" s="11">
        <v>63130.0</v>
      </c>
      <c r="M1008" s="11">
        <v>92970.0</v>
      </c>
      <c r="N1008" s="11">
        <v>142250.0</v>
      </c>
      <c r="O1008" s="11">
        <v>20880.0</v>
      </c>
      <c r="P1008" s="11">
        <v>18930.0</v>
      </c>
      <c r="Q1008" s="11">
        <v>15950.0</v>
      </c>
      <c r="R1008" s="11">
        <v>14500.0</v>
      </c>
      <c r="S1008" s="11">
        <v>13560.0</v>
      </c>
      <c r="T1008" s="12"/>
      <c r="U1008" s="12"/>
      <c r="V1008" s="12"/>
      <c r="W1008" s="12"/>
      <c r="X1008" s="12"/>
      <c r="Y1008" s="11">
        <v>31590.0</v>
      </c>
      <c r="Z1008" s="11">
        <v>-5150.0</v>
      </c>
      <c r="AA1008" s="11">
        <v>42880.0</v>
      </c>
      <c r="AB1008" s="11">
        <v>77860.0</v>
      </c>
      <c r="AC1008" s="11">
        <v>126280.0</v>
      </c>
      <c r="AD1008" s="11">
        <v>-15130.0</v>
      </c>
      <c r="AE1008" s="11">
        <v>-5370.0</v>
      </c>
      <c r="AF1008" s="11">
        <v>5710.0</v>
      </c>
      <c r="AG1008" s="11">
        <v>45820.0</v>
      </c>
      <c r="AH1008" s="11">
        <v>98890.0</v>
      </c>
      <c r="AI1008" s="11">
        <v>108780.0</v>
      </c>
      <c r="AJ1008" s="11">
        <v>117620.0</v>
      </c>
      <c r="AK1008" s="11">
        <v>120770.0</v>
      </c>
      <c r="AL1008" s="11">
        <v>140740.0</v>
      </c>
      <c r="AM1008" s="11">
        <v>182140.0</v>
      </c>
      <c r="AN1008" s="11">
        <v>-16710.0</v>
      </c>
      <c r="AO1008" s="11">
        <v>-5740.0</v>
      </c>
      <c r="AP1008" s="11">
        <v>5310.0</v>
      </c>
      <c r="AQ1008" s="11">
        <v>44640.0</v>
      </c>
      <c r="AR1008" s="11">
        <v>98090.0</v>
      </c>
      <c r="AS1008" s="11">
        <v>49700.0</v>
      </c>
      <c r="AT1008" s="11">
        <v>77520.0</v>
      </c>
      <c r="AU1008" s="11">
        <v>75920.0</v>
      </c>
      <c r="AV1008" s="11">
        <v>86750.0</v>
      </c>
      <c r="AW1008" s="11">
        <v>149550.0</v>
      </c>
      <c r="AX1008" s="11">
        <v>-3270.0</v>
      </c>
      <c r="AY1008" s="12">
        <v>-830.0</v>
      </c>
      <c r="AZ1008" s="11">
        <v>-184300.0</v>
      </c>
      <c r="BA1008" s="11">
        <v>-240990.0</v>
      </c>
      <c r="BB1008" s="11">
        <v>-240140.0</v>
      </c>
      <c r="BC1008" s="12"/>
      <c r="BD1008" s="12"/>
      <c r="BE1008" s="12"/>
      <c r="BF1008" s="12"/>
      <c r="BG1008" s="12"/>
      <c r="BH1008" s="11">
        <v>66130.0</v>
      </c>
      <c r="BI1008" s="11">
        <v>71520.0</v>
      </c>
      <c r="BJ1008" s="11">
        <v>62110.0</v>
      </c>
      <c r="BK1008" s="11">
        <v>57270.0</v>
      </c>
      <c r="BL1008" s="11">
        <v>87780.0</v>
      </c>
      <c r="BM1008" s="11">
        <v>32680.0</v>
      </c>
      <c r="BN1008" s="11">
        <v>21780.0</v>
      </c>
      <c r="BO1008" s="11">
        <v>31060.0</v>
      </c>
      <c r="BP1008" s="11">
        <v>21050.0</v>
      </c>
      <c r="BQ1008" s="11">
        <v>24990.0</v>
      </c>
      <c r="BR1008" s="11">
        <v>9650.0</v>
      </c>
      <c r="BS1008" s="11">
        <v>8790.0</v>
      </c>
      <c r="BT1008" s="11">
        <v>8010.0</v>
      </c>
      <c r="BU1008" s="11">
        <v>6940.0</v>
      </c>
      <c r="BV1008" s="11">
        <v>3480.0</v>
      </c>
      <c r="BW1008" s="11">
        <v>126130.0</v>
      </c>
      <c r="BX1008" s="11">
        <v>118130.0</v>
      </c>
      <c r="BY1008" s="11">
        <v>112140.0</v>
      </c>
      <c r="BZ1008" s="11">
        <v>93800.0</v>
      </c>
      <c r="CA1008" s="11">
        <v>125000.0</v>
      </c>
      <c r="CB1008" s="11">
        <v>1620000.0</v>
      </c>
      <c r="CC1008" s="11">
        <v>1670000.0</v>
      </c>
      <c r="CD1008" s="11">
        <v>1740000.0</v>
      </c>
      <c r="CE1008" s="11">
        <v>1630000.0</v>
      </c>
      <c r="CF1008" s="11">
        <v>1440000.0</v>
      </c>
      <c r="CG1008" s="11"/>
      <c r="CH1008" s="11"/>
      <c r="CI1008" s="11"/>
      <c r="CJ1008" s="11"/>
      <c r="CK1008" s="11"/>
      <c r="CL1008" s="11">
        <v>1870000.0</v>
      </c>
      <c r="CM1008" s="11">
        <v>1830000.0</v>
      </c>
      <c r="CN1008" s="11">
        <v>1850000.0</v>
      </c>
      <c r="CO1008" s="11">
        <v>1720000.0</v>
      </c>
      <c r="CP1008" s="11">
        <v>1570000.0</v>
      </c>
      <c r="CQ1008" s="11">
        <v>10470.0</v>
      </c>
      <c r="CR1008" s="11">
        <v>10780.0</v>
      </c>
      <c r="CS1008" s="11">
        <v>8070.0</v>
      </c>
      <c r="CT1008" s="11">
        <v>6390.0</v>
      </c>
      <c r="CU1008" s="11">
        <v>11470.0</v>
      </c>
      <c r="CV1008" s="11">
        <v>109510.0</v>
      </c>
      <c r="CW1008" s="11">
        <v>1180.0</v>
      </c>
      <c r="CX1008" s="12"/>
      <c r="CY1008" s="12"/>
      <c r="CZ1008" s="12"/>
      <c r="DA1008" s="12"/>
      <c r="DB1008" s="11">
        <v>109510.0</v>
      </c>
      <c r="DC1008" s="11">
        <v>105390.0</v>
      </c>
      <c r="DD1008" s="11">
        <v>110430.0</v>
      </c>
      <c r="DE1008" s="11">
        <v>127680.0</v>
      </c>
      <c r="DF1008" s="11">
        <v>934350.0</v>
      </c>
      <c r="DG1008" s="11">
        <v>877640.0</v>
      </c>
      <c r="DH1008" s="11">
        <v>890670.0</v>
      </c>
      <c r="DI1008" s="11">
        <v>768360.0</v>
      </c>
      <c r="DJ1008" s="11">
        <v>660550.0</v>
      </c>
      <c r="DK1008" s="11">
        <v>130660.0</v>
      </c>
      <c r="DL1008" s="11">
        <v>42460.0</v>
      </c>
      <c r="DM1008" s="11"/>
      <c r="DN1008" s="11"/>
      <c r="DO1008" s="12"/>
      <c r="DP1008" s="11">
        <v>751020.0</v>
      </c>
      <c r="DQ1008" s="11">
        <v>767090.0</v>
      </c>
      <c r="DR1008" s="11">
        <v>780240.0</v>
      </c>
      <c r="DS1008" s="11">
        <v>640680.0</v>
      </c>
      <c r="DT1008" s="11">
        <v>568320.0</v>
      </c>
      <c r="DU1008" s="13"/>
      <c r="DV1008" s="12"/>
      <c r="DW1008" s="12"/>
      <c r="DX1008" s="12"/>
      <c r="DY1008" s="12"/>
      <c r="DZ1008" s="11">
        <v>939800.0</v>
      </c>
      <c r="EA1008" s="11">
        <v>955110.0</v>
      </c>
      <c r="EB1008" s="11">
        <v>963210.0</v>
      </c>
      <c r="EC1008" s="11">
        <v>956480.0</v>
      </c>
      <c r="ED1008" s="11">
        <v>910090.0</v>
      </c>
      <c r="EE1008" s="14">
        <v>0.308</v>
      </c>
      <c r="EF1008" s="14">
        <v>0.322</v>
      </c>
      <c r="EG1008" s="29" t="s">
        <v>155</v>
      </c>
      <c r="EH1008" s="23"/>
    </row>
    <row r="1009">
      <c r="A1009" s="9">
        <f t="shared" si="2"/>
        <v>1007</v>
      </c>
      <c r="B1009" s="10" t="s">
        <v>1144</v>
      </c>
      <c r="C1009" s="15">
        <v>289850.0</v>
      </c>
      <c r="D1009" s="15">
        <v>249860.0</v>
      </c>
      <c r="E1009" s="15">
        <v>224910.0</v>
      </c>
      <c r="F1009" s="15">
        <v>251130.0</v>
      </c>
      <c r="G1009" s="15">
        <v>221990.0</v>
      </c>
      <c r="H1009" s="15">
        <v>163900.0</v>
      </c>
      <c r="I1009" s="15">
        <v>148510.0</v>
      </c>
      <c r="J1009" s="15">
        <v>120060.0</v>
      </c>
      <c r="K1009" s="15">
        <v>143480.0</v>
      </c>
      <c r="L1009" s="15">
        <v>129430.0</v>
      </c>
      <c r="M1009" s="15">
        <v>73520.0</v>
      </c>
      <c r="N1009" s="15">
        <v>75760.0</v>
      </c>
      <c r="O1009" s="15">
        <v>90590.0</v>
      </c>
      <c r="P1009" s="15">
        <v>83030.0</v>
      </c>
      <c r="Q1009" s="15">
        <v>71610.0</v>
      </c>
      <c r="R1009" s="15">
        <v>63360.0</v>
      </c>
      <c r="S1009" s="15">
        <v>60280.0</v>
      </c>
      <c r="T1009" s="15">
        <v>51440.0</v>
      </c>
      <c r="U1009" s="15">
        <v>45450.0</v>
      </c>
      <c r="V1009" s="15">
        <v>38960.0</v>
      </c>
      <c r="W1009" s="15">
        <v>35000.0</v>
      </c>
      <c r="X1009" s="15">
        <v>39700.0</v>
      </c>
      <c r="Y1009" s="15">
        <v>0.0</v>
      </c>
      <c r="Z1009" s="15">
        <v>0.0</v>
      </c>
      <c r="AA1009" s="15">
        <v>0.0</v>
      </c>
      <c r="AB1009" s="15">
        <v>0.0</v>
      </c>
      <c r="AC1009" s="15">
        <v>12790.0</v>
      </c>
      <c r="AD1009" s="15">
        <v>39490.0</v>
      </c>
      <c r="AE1009" s="15">
        <v>63430.0</v>
      </c>
      <c r="AF1009" s="15">
        <v>60100.0</v>
      </c>
      <c r="AG1009" s="15">
        <v>11380.0</v>
      </c>
      <c r="AH1009" s="15">
        <v>12220.0</v>
      </c>
      <c r="AI1009" s="15">
        <v>39870.0</v>
      </c>
      <c r="AJ1009" s="15">
        <v>68130.0</v>
      </c>
      <c r="AK1009" s="15">
        <v>64000.0</v>
      </c>
      <c r="AL1009" s="15">
        <v>16760.0</v>
      </c>
      <c r="AM1009" s="15">
        <v>25110.0</v>
      </c>
      <c r="AN1009" s="15">
        <v>35170.0</v>
      </c>
      <c r="AO1009" s="15">
        <v>54380.0</v>
      </c>
      <c r="AP1009" s="15">
        <v>46460.0</v>
      </c>
      <c r="AQ1009" s="15">
        <v>9640.0</v>
      </c>
      <c r="AR1009" s="15">
        <v>15730.0</v>
      </c>
      <c r="AS1009" s="15">
        <v>41200.0</v>
      </c>
      <c r="AT1009" s="15">
        <v>36110.0</v>
      </c>
      <c r="AU1009" s="15">
        <v>61810.0</v>
      </c>
      <c r="AV1009" s="15">
        <v>-4160.0</v>
      </c>
      <c r="AW1009" s="15">
        <v>25790.0</v>
      </c>
      <c r="AX1009" s="15">
        <v>-21270.0</v>
      </c>
      <c r="AY1009" s="15">
        <v>-3680.0</v>
      </c>
      <c r="AZ1009" s="15">
        <v>-6300.0</v>
      </c>
      <c r="BA1009" s="15">
        <v>-3130.0</v>
      </c>
      <c r="BB1009" s="15">
        <v>-4370.0</v>
      </c>
      <c r="BC1009" s="15">
        <v>0.0</v>
      </c>
      <c r="BD1009" s="15">
        <v>0.0</v>
      </c>
      <c r="BE1009" s="15">
        <v>0.0</v>
      </c>
      <c r="BF1009" s="15">
        <v>0.0</v>
      </c>
      <c r="BG1009" s="15">
        <v>0.0</v>
      </c>
      <c r="BH1009" s="15">
        <v>186280.0</v>
      </c>
      <c r="BI1009" s="15">
        <v>175830.0</v>
      </c>
      <c r="BJ1009" s="15">
        <v>149090.0</v>
      </c>
      <c r="BK1009" s="15">
        <v>90950.0</v>
      </c>
      <c r="BL1009" s="15">
        <v>97030.0</v>
      </c>
      <c r="BM1009" s="15">
        <v>51600.0</v>
      </c>
      <c r="BN1009" s="15">
        <v>53530.0</v>
      </c>
      <c r="BO1009" s="15">
        <v>41090.0</v>
      </c>
      <c r="BP1009" s="15">
        <v>42630.0</v>
      </c>
      <c r="BQ1009" s="15">
        <v>19050.0</v>
      </c>
      <c r="BR1009" s="15">
        <v>48360.0</v>
      </c>
      <c r="BS1009" s="15">
        <v>41790.0</v>
      </c>
      <c r="BT1009" s="15">
        <v>34920.0</v>
      </c>
      <c r="BU1009" s="15">
        <v>29260.0</v>
      </c>
      <c r="BV1009" s="15">
        <v>27680.0</v>
      </c>
      <c r="BW1009" s="15">
        <v>302930.0</v>
      </c>
      <c r="BX1009" s="15">
        <v>281580.0</v>
      </c>
      <c r="BY1009" s="15">
        <v>231910.0</v>
      </c>
      <c r="BZ1009" s="15">
        <v>167680.0</v>
      </c>
      <c r="CA1009" s="15">
        <v>149980.0</v>
      </c>
      <c r="CB1009" s="15">
        <v>58820.0</v>
      </c>
      <c r="CC1009" s="15">
        <v>13760.0</v>
      </c>
      <c r="CD1009" s="15">
        <v>13890.0</v>
      </c>
      <c r="CE1009" s="15">
        <v>10020.0</v>
      </c>
      <c r="CF1009" s="15">
        <v>11060.0</v>
      </c>
      <c r="CG1009" s="15">
        <v>20110.0</v>
      </c>
      <c r="CH1009" s="15">
        <v>20110.0</v>
      </c>
      <c r="CI1009" s="15">
        <v>20110.0</v>
      </c>
      <c r="CJ1009" s="15">
        <v>20110.0</v>
      </c>
      <c r="CK1009" s="15">
        <v>20110.0</v>
      </c>
      <c r="CL1009" s="15">
        <v>400440.0</v>
      </c>
      <c r="CM1009" s="15">
        <v>333430.0</v>
      </c>
      <c r="CN1009" s="15">
        <v>283290.0</v>
      </c>
      <c r="CO1009" s="15">
        <v>218590.0</v>
      </c>
      <c r="CP1009" s="15">
        <v>207270.0</v>
      </c>
      <c r="CQ1009" s="15">
        <v>20710.0</v>
      </c>
      <c r="CR1009" s="15">
        <v>19020.0</v>
      </c>
      <c r="CS1009" s="15">
        <v>15750.0</v>
      </c>
      <c r="CT1009" s="15">
        <v>16500.0</v>
      </c>
      <c r="CU1009" s="15">
        <v>14380.0</v>
      </c>
      <c r="CV1009" s="15">
        <v>46950.0</v>
      </c>
      <c r="CW1009" s="15">
        <v>2240.0</v>
      </c>
      <c r="CX1009" s="15">
        <v>0.0</v>
      </c>
      <c r="CY1009" s="16">
        <v>0.0</v>
      </c>
      <c r="CZ1009" s="16">
        <v>0.0</v>
      </c>
      <c r="DA1009" s="15">
        <v>0.0</v>
      </c>
      <c r="DB1009" s="15">
        <v>46950.0</v>
      </c>
      <c r="DC1009" s="15">
        <v>48080.0</v>
      </c>
      <c r="DD1009" s="15">
        <v>52130.0</v>
      </c>
      <c r="DE1009" s="15">
        <v>39030.0</v>
      </c>
      <c r="DF1009" s="15">
        <v>85900.0</v>
      </c>
      <c r="DG1009" s="15">
        <v>52690.0</v>
      </c>
      <c r="DH1009" s="15">
        <v>56550.0</v>
      </c>
      <c r="DI1009" s="15">
        <v>43880.0</v>
      </c>
      <c r="DJ1009" s="15">
        <v>46210.0</v>
      </c>
      <c r="DK1009" s="15">
        <v>4810.0</v>
      </c>
      <c r="DL1009" s="15">
        <v>2000.0</v>
      </c>
      <c r="DM1009" s="15">
        <v>0.0</v>
      </c>
      <c r="DN1009" s="15">
        <v>0.0</v>
      </c>
      <c r="DO1009" s="15">
        <v>0.0</v>
      </c>
      <c r="DP1009" s="15">
        <v>31080.0</v>
      </c>
      <c r="DQ1009" s="15">
        <v>0.0</v>
      </c>
      <c r="DR1009" s="15">
        <v>0.0</v>
      </c>
      <c r="DS1009" s="15">
        <v>0.0</v>
      </c>
      <c r="DT1009" s="15">
        <v>0.0</v>
      </c>
      <c r="DU1009" s="16">
        <v>0.0</v>
      </c>
      <c r="DV1009" s="15">
        <v>0.0</v>
      </c>
      <c r="DW1009" s="15">
        <v>0.0</v>
      </c>
      <c r="DX1009" s="15">
        <v>0.0</v>
      </c>
      <c r="DY1009" s="15">
        <v>0.0</v>
      </c>
      <c r="DZ1009" s="15">
        <v>314540.0</v>
      </c>
      <c r="EA1009" s="15">
        <v>280740.0</v>
      </c>
      <c r="EB1009" s="15">
        <v>226740.0</v>
      </c>
      <c r="EC1009" s="15">
        <v>174720.0</v>
      </c>
      <c r="ED1009" s="15">
        <v>161060.0</v>
      </c>
      <c r="EE1009" s="17">
        <v>0.1</v>
      </c>
      <c r="EF1009" s="17">
        <v>0.088</v>
      </c>
      <c r="EG1009" s="17">
        <v>0.306</v>
      </c>
      <c r="EH1009" s="17">
        <v>0.257</v>
      </c>
    </row>
    <row r="1010">
      <c r="A1010" s="9">
        <f t="shared" si="2"/>
        <v>1008</v>
      </c>
      <c r="B1010" s="32" t="s">
        <v>1145</v>
      </c>
      <c r="C1010" s="11">
        <v>2.142E7</v>
      </c>
      <c r="D1010" s="11">
        <v>1.994E7</v>
      </c>
      <c r="E1010" s="11">
        <v>1.2202E8</v>
      </c>
      <c r="F1010" s="11">
        <v>1.1183E8</v>
      </c>
      <c r="G1010" s="11">
        <v>1.117E8</v>
      </c>
      <c r="H1010" s="11">
        <v>1.1178E8</v>
      </c>
      <c r="I1010" s="11">
        <v>1.0793E8</v>
      </c>
      <c r="J1010" s="11">
        <v>1.0083E8</v>
      </c>
      <c r="K1010" s="11">
        <v>9.293E7</v>
      </c>
      <c r="L1010" s="11">
        <v>9.348E7</v>
      </c>
      <c r="M1010" s="11">
        <v>9.408E7</v>
      </c>
      <c r="N1010" s="11">
        <v>9.126E7</v>
      </c>
      <c r="O1010" s="11">
        <v>4.777E7</v>
      </c>
      <c r="P1010" s="11">
        <v>4.673E7</v>
      </c>
      <c r="Q1010" s="11">
        <v>4.525E7</v>
      </c>
      <c r="R1010" s="11">
        <v>4.586E7</v>
      </c>
      <c r="S1010" s="11">
        <v>4.499E7</v>
      </c>
      <c r="T1010" s="11">
        <v>1.292E7</v>
      </c>
      <c r="U1010" s="11">
        <v>1.357E7</v>
      </c>
      <c r="V1010" s="11">
        <v>1.328E7</v>
      </c>
      <c r="W1010" s="11">
        <v>1.364E7</v>
      </c>
      <c r="X1010" s="11">
        <v>1.294E7</v>
      </c>
      <c r="Y1010" s="11">
        <v>5.003E7</v>
      </c>
      <c r="Z1010" s="11">
        <v>4.461E7</v>
      </c>
      <c r="AA1010" s="11">
        <v>4.853E7</v>
      </c>
      <c r="AB1010" s="11">
        <v>4.744E7</v>
      </c>
      <c r="AC1010" s="11">
        <v>4.053E7</v>
      </c>
      <c r="AD1010" s="11">
        <v>4.869E7</v>
      </c>
      <c r="AE1010" s="11">
        <v>4.76E7</v>
      </c>
      <c r="AF1010" s="11">
        <v>4.867E7</v>
      </c>
      <c r="AG1010" s="11">
        <v>4.777E7</v>
      </c>
      <c r="AH1010" s="11">
        <v>4.347E7</v>
      </c>
      <c r="AI1010" s="11">
        <v>5.774E7</v>
      </c>
      <c r="AJ1010" s="11">
        <v>5.001E7</v>
      </c>
      <c r="AK1010" s="11">
        <v>5.111E7</v>
      </c>
      <c r="AL1010" s="11">
        <v>5.088E7</v>
      </c>
      <c r="AM1010" s="11">
        <v>4.889E7</v>
      </c>
      <c r="AN1010" s="11">
        <v>3.895E7</v>
      </c>
      <c r="AO1010" s="11">
        <v>3.863E7</v>
      </c>
      <c r="AP1010" s="11">
        <v>3.813E7</v>
      </c>
      <c r="AQ1010" s="11">
        <v>3.793E7</v>
      </c>
      <c r="AR1010" s="11">
        <v>3.486E7</v>
      </c>
      <c r="AS1010" s="11">
        <v>4.68E7</v>
      </c>
      <c r="AT1010" s="11">
        <v>4.464E7</v>
      </c>
      <c r="AU1010" s="11">
        <v>4.119E7</v>
      </c>
      <c r="AV1010" s="11">
        <v>4.834E7</v>
      </c>
      <c r="AW1010" s="11">
        <v>3.829E7</v>
      </c>
      <c r="AX1010" s="11">
        <v>-1.123E7</v>
      </c>
      <c r="AY1010" s="11">
        <v>-1.241E7</v>
      </c>
      <c r="AZ1010" s="11">
        <v>-8650000.0</v>
      </c>
      <c r="BA1010" s="11">
        <v>-8270000.0</v>
      </c>
      <c r="BB1010" s="11">
        <v>-6410000.0</v>
      </c>
      <c r="BC1010" s="11">
        <v>-1.941E7</v>
      </c>
      <c r="BD1010" s="11">
        <v>-1.905E7</v>
      </c>
      <c r="BE1010" s="11">
        <v>-1.884E7</v>
      </c>
      <c r="BF1010" s="11">
        <v>-2.383E7</v>
      </c>
      <c r="BG1010" s="11">
        <v>-1.291E7</v>
      </c>
      <c r="BH1010" s="11">
        <v>1.548E7</v>
      </c>
      <c r="BI1010" s="11">
        <v>1.564E7</v>
      </c>
      <c r="BJ1010" s="11">
        <v>2.116E7</v>
      </c>
      <c r="BK1010" s="11">
        <v>2.123E7</v>
      </c>
      <c r="BL1010" s="11">
        <v>2.077E7</v>
      </c>
      <c r="BM1010" s="11">
        <v>2.572E7</v>
      </c>
      <c r="BN1010" s="11">
        <v>2.38E7</v>
      </c>
      <c r="BO1010" s="11">
        <v>2.112E7</v>
      </c>
      <c r="BP1010" s="11">
        <v>2.42E7</v>
      </c>
      <c r="BQ1010" s="11">
        <v>2.073E7</v>
      </c>
      <c r="BR1010" s="11">
        <v>1.764E7</v>
      </c>
      <c r="BS1010" s="11">
        <v>1.634E7</v>
      </c>
      <c r="BT1010" s="11">
        <v>1.537E7</v>
      </c>
      <c r="BU1010" s="11">
        <v>1.434E7</v>
      </c>
      <c r="BV1010" s="11">
        <v>1.276E7</v>
      </c>
      <c r="BW1010" s="11">
        <v>6.246E7</v>
      </c>
      <c r="BX1010" s="11">
        <v>5.907E7</v>
      </c>
      <c r="BY1010" s="11">
        <v>6.008E7</v>
      </c>
      <c r="BZ1010" s="11">
        <v>5.977E7</v>
      </c>
      <c r="CA1010" s="11">
        <v>5.514E7</v>
      </c>
      <c r="CB1010" s="11">
        <v>5.055E7</v>
      </c>
      <c r="CC1010" s="11">
        <v>4.189E7</v>
      </c>
      <c r="CD1010" s="11">
        <v>3.525E7</v>
      </c>
      <c r="CE1010" s="11">
        <v>3.018E7</v>
      </c>
      <c r="CF1010" s="11">
        <v>2.555E7</v>
      </c>
      <c r="CG1010" s="12"/>
      <c r="CH1010" s="12"/>
      <c r="CI1010" s="12"/>
      <c r="CJ1010" s="12"/>
      <c r="CK1010" s="12"/>
      <c r="CL1010" s="11">
        <v>1.2561E8</v>
      </c>
      <c r="CM1010" s="11">
        <v>1.1077E8</v>
      </c>
      <c r="CN1010" s="11">
        <v>1.0236E8</v>
      </c>
      <c r="CO1010" s="11">
        <v>9.754E7</v>
      </c>
      <c r="CP1010" s="11">
        <v>9.18E7</v>
      </c>
      <c r="CQ1010" s="11">
        <v>6360000.0</v>
      </c>
      <c r="CR1010" s="11">
        <v>6760000.0</v>
      </c>
      <c r="CS1010" s="11">
        <v>5610000.0</v>
      </c>
      <c r="CT1010" s="11">
        <v>6010000.0</v>
      </c>
      <c r="CU1010" s="11">
        <v>4930000.0</v>
      </c>
      <c r="CV1010" s="11">
        <v>5.898E7</v>
      </c>
      <c r="CW1010" s="11">
        <v>659000.0</v>
      </c>
      <c r="CX1010" s="11">
        <v>515000.0</v>
      </c>
      <c r="CY1010" s="11">
        <v>1690000.0</v>
      </c>
      <c r="CZ1010" s="11">
        <v>229000.0</v>
      </c>
      <c r="DA1010" s="11">
        <v>1070000.0</v>
      </c>
      <c r="DB1010" s="11">
        <v>5.898E7</v>
      </c>
      <c r="DC1010" s="11">
        <v>5.416E7</v>
      </c>
      <c r="DD1010" s="11">
        <v>4.706E7</v>
      </c>
      <c r="DE1010" s="11">
        <v>4.744E7</v>
      </c>
      <c r="DF1010" s="11">
        <v>6.802E7</v>
      </c>
      <c r="DG1010" s="11">
        <v>5.893E7</v>
      </c>
      <c r="DH1010" s="11">
        <v>5.254E7</v>
      </c>
      <c r="DI1010" s="11">
        <v>5.227E7</v>
      </c>
      <c r="DJ1010" s="11">
        <v>4.483E7</v>
      </c>
      <c r="DK1010" s="11">
        <v>1810000.0</v>
      </c>
      <c r="DL1010" s="11">
        <v>1770000.0</v>
      </c>
      <c r="DM1010" s="11">
        <v>1200000.0</v>
      </c>
      <c r="DN1010" s="11">
        <v>1510000.0</v>
      </c>
      <c r="DO1010" s="11">
        <v>1550000.0</v>
      </c>
      <c r="DP1010" s="11">
        <v>3010000.0</v>
      </c>
      <c r="DQ1010" s="12"/>
      <c r="DR1010" s="12"/>
      <c r="DS1010" s="12"/>
      <c r="DT1010" s="12"/>
      <c r="DU1010" s="13"/>
      <c r="DV1010" s="12"/>
      <c r="DW1010" s="12"/>
      <c r="DX1010" s="13"/>
      <c r="DY1010" s="13"/>
      <c r="DZ1010" s="11">
        <v>5.759E7</v>
      </c>
      <c r="EA1010" s="11">
        <v>5.184E7</v>
      </c>
      <c r="EB1010" s="11">
        <v>4.982E7</v>
      </c>
      <c r="EC1010" s="11">
        <v>4.527E7</v>
      </c>
      <c r="ED1010" s="11">
        <v>4.697E7</v>
      </c>
      <c r="EE1010" s="14">
        <v>0.048</v>
      </c>
      <c r="EF1010" s="14">
        <v>0.028</v>
      </c>
      <c r="EG1010" s="14">
        <v>0.088</v>
      </c>
      <c r="EH1010" s="14">
        <v>0.03</v>
      </c>
    </row>
    <row r="1011">
      <c r="A1011" s="9">
        <f t="shared" si="2"/>
        <v>1009</v>
      </c>
      <c r="B1011" s="10" t="s">
        <v>1146</v>
      </c>
      <c r="C1011" s="11">
        <v>6930000.0</v>
      </c>
      <c r="D1011" s="11">
        <v>6160000.0</v>
      </c>
      <c r="E1011" s="11">
        <v>7260000.0</v>
      </c>
      <c r="F1011" s="11">
        <v>7030000.0</v>
      </c>
      <c r="G1011" s="11">
        <v>6210000.0</v>
      </c>
      <c r="H1011" s="11">
        <v>5740000.0</v>
      </c>
      <c r="I1011" s="11">
        <v>5090000.0</v>
      </c>
      <c r="J1011" s="11">
        <v>1410000.0</v>
      </c>
      <c r="K1011" s="11">
        <v>1350000.0</v>
      </c>
      <c r="L1011" s="11">
        <v>1210000.0</v>
      </c>
      <c r="M1011" s="11">
        <v>1030000.0</v>
      </c>
      <c r="N1011" s="11">
        <v>968830.0</v>
      </c>
      <c r="O1011" s="11">
        <v>527410.0</v>
      </c>
      <c r="P1011" s="11">
        <v>512710.0</v>
      </c>
      <c r="Q1011" s="11">
        <v>460800.0</v>
      </c>
      <c r="R1011" s="11">
        <v>443320.0</v>
      </c>
      <c r="S1011" s="11">
        <v>424010.0</v>
      </c>
      <c r="T1011" s="11"/>
      <c r="U1011" s="11"/>
      <c r="V1011" s="11"/>
      <c r="W1011" s="11"/>
      <c r="X1011" s="11"/>
      <c r="Y1011" s="11">
        <v>882760.0</v>
      </c>
      <c r="Z1011" s="11">
        <v>836080.0</v>
      </c>
      <c r="AA1011" s="11">
        <v>755530.0</v>
      </c>
      <c r="AB1011" s="11">
        <v>585830.0</v>
      </c>
      <c r="AC1011" s="11">
        <v>3510.0</v>
      </c>
      <c r="AD1011" s="11">
        <v>1030000.0</v>
      </c>
      <c r="AE1011" s="11">
        <v>959730.0</v>
      </c>
      <c r="AF1011" s="11">
        <v>846910.0</v>
      </c>
      <c r="AG1011" s="11">
        <v>661700.0</v>
      </c>
      <c r="AH1011" s="11">
        <v>603210.0</v>
      </c>
      <c r="AI1011" s="11">
        <v>903770.0</v>
      </c>
      <c r="AJ1011" s="11">
        <v>855160.0</v>
      </c>
      <c r="AK1011" s="11">
        <v>776560.0</v>
      </c>
      <c r="AL1011" s="11">
        <v>611240.0</v>
      </c>
      <c r="AM1011" s="11">
        <v>566350.0</v>
      </c>
      <c r="AN1011" s="11">
        <v>878540.0</v>
      </c>
      <c r="AO1011" s="11">
        <v>797200.0</v>
      </c>
      <c r="AP1011" s="11">
        <v>537520.0</v>
      </c>
      <c r="AQ1011" s="11">
        <v>425260.0</v>
      </c>
      <c r="AR1011" s="11">
        <v>382930.0</v>
      </c>
      <c r="AS1011" s="11">
        <v>874780.0</v>
      </c>
      <c r="AT1011" s="11">
        <v>733640.0</v>
      </c>
      <c r="AU1011" s="11">
        <v>576110.0</v>
      </c>
      <c r="AV1011" s="11">
        <v>397060.0</v>
      </c>
      <c r="AW1011" s="11">
        <v>221880.0</v>
      </c>
      <c r="AX1011" s="11">
        <v>-22700.0</v>
      </c>
      <c r="AY1011" s="11">
        <v>-19670.0</v>
      </c>
      <c r="AZ1011" s="11">
        <v>-20270.0</v>
      </c>
      <c r="BA1011" s="11">
        <v>-22370.0</v>
      </c>
      <c r="BB1011" s="11">
        <v>-18280.0</v>
      </c>
      <c r="BC1011" s="12"/>
      <c r="BD1011" s="12"/>
      <c r="BE1011" s="13"/>
      <c r="BF1011" s="13"/>
      <c r="BG1011" s="13"/>
      <c r="BH1011" s="11">
        <v>1160000.0</v>
      </c>
      <c r="BI1011" s="11">
        <v>731930.0</v>
      </c>
      <c r="BJ1011" s="11">
        <v>688490.0</v>
      </c>
      <c r="BK1011" s="11">
        <v>414820.0</v>
      </c>
      <c r="BL1011" s="11">
        <v>449800.0</v>
      </c>
      <c r="BM1011" s="11">
        <v>18280.0</v>
      </c>
      <c r="BN1011" s="11">
        <v>18640.0</v>
      </c>
      <c r="BO1011" s="11">
        <v>20030.0</v>
      </c>
      <c r="BP1011" s="11">
        <v>18940.0</v>
      </c>
      <c r="BQ1011" s="11">
        <v>11480.0</v>
      </c>
      <c r="BR1011" s="11">
        <v>1350000.0</v>
      </c>
      <c r="BS1011" s="11">
        <v>1250000.0</v>
      </c>
      <c r="BT1011" s="11">
        <v>1250000.0</v>
      </c>
      <c r="BU1011" s="11">
        <v>1090000.0</v>
      </c>
      <c r="BV1011" s="11">
        <v>1010000.0</v>
      </c>
      <c r="BW1011" s="11">
        <v>2530000.0</v>
      </c>
      <c r="BX1011" s="11">
        <v>2000000.0</v>
      </c>
      <c r="BY1011" s="11">
        <v>1950000.0</v>
      </c>
      <c r="BZ1011" s="11">
        <v>1530000.0</v>
      </c>
      <c r="CA1011" s="11">
        <v>1470000.0</v>
      </c>
      <c r="CB1011" s="11">
        <v>135260.0</v>
      </c>
      <c r="CC1011" s="11">
        <v>48740.0</v>
      </c>
      <c r="CD1011" s="11">
        <v>49520.0</v>
      </c>
      <c r="CE1011" s="11">
        <v>50820.0</v>
      </c>
      <c r="CF1011" s="11">
        <v>49960.0</v>
      </c>
      <c r="CG1011" s="11">
        <v>441.0</v>
      </c>
      <c r="CH1011" s="11">
        <v>441.0</v>
      </c>
      <c r="CI1011" s="11">
        <v>441.0</v>
      </c>
      <c r="CJ1011" s="11">
        <v>441.0</v>
      </c>
      <c r="CK1011" s="11">
        <v>441.0</v>
      </c>
      <c r="CL1011" s="11">
        <v>3810000.0</v>
      </c>
      <c r="CM1011" s="11">
        <v>3170000.0</v>
      </c>
      <c r="CN1011" s="11">
        <v>2990000.0</v>
      </c>
      <c r="CO1011" s="11">
        <v>2640000.0</v>
      </c>
      <c r="CP1011" s="11">
        <v>2510000.0</v>
      </c>
      <c r="CQ1011" s="11">
        <v>288470.0</v>
      </c>
      <c r="CR1011" s="11">
        <v>272970.0</v>
      </c>
      <c r="CS1011" s="11">
        <v>294800.0</v>
      </c>
      <c r="CT1011" s="11">
        <v>283610.0</v>
      </c>
      <c r="CU1011" s="11">
        <v>259730.0</v>
      </c>
      <c r="CV1011" s="11">
        <v>784890.0</v>
      </c>
      <c r="CW1011" s="11"/>
      <c r="CX1011" s="11"/>
      <c r="CY1011" s="11"/>
      <c r="CZ1011" s="11"/>
      <c r="DA1011" s="11"/>
      <c r="DB1011" s="11">
        <v>784890.0</v>
      </c>
      <c r="DC1011" s="11">
        <v>759690.0</v>
      </c>
      <c r="DD1011" s="11">
        <v>786720.0</v>
      </c>
      <c r="DE1011" s="11">
        <v>742170.0</v>
      </c>
      <c r="DF1011" s="11">
        <v>1470000.0</v>
      </c>
      <c r="DG1011" s="11">
        <v>1360000.0</v>
      </c>
      <c r="DH1011" s="11">
        <v>1380000.0</v>
      </c>
      <c r="DI1011" s="11">
        <v>1340000.0</v>
      </c>
      <c r="DJ1011" s="11">
        <v>1270000.0</v>
      </c>
      <c r="DK1011" s="11">
        <v>526460.0</v>
      </c>
      <c r="DL1011" s="11">
        <v>488040.0</v>
      </c>
      <c r="DM1011" s="11">
        <v>398760.0</v>
      </c>
      <c r="DN1011" s="11">
        <v>353210.0</v>
      </c>
      <c r="DO1011" s="11">
        <v>321300.0</v>
      </c>
      <c r="DP1011" s="11">
        <v>683680.0</v>
      </c>
      <c r="DQ1011" s="11">
        <v>597680.0</v>
      </c>
      <c r="DR1011" s="11">
        <v>597070.0</v>
      </c>
      <c r="DS1011" s="11">
        <v>596460.0</v>
      </c>
      <c r="DT1011" s="11">
        <v>595850.0</v>
      </c>
      <c r="DU1011" s="12"/>
      <c r="DV1011" s="12"/>
      <c r="DW1011" s="12"/>
      <c r="DX1011" s="12"/>
      <c r="DY1011" s="12"/>
      <c r="DZ1011" s="11">
        <v>2340000.0</v>
      </c>
      <c r="EA1011" s="11">
        <v>1810000.0</v>
      </c>
      <c r="EB1011" s="11">
        <v>1610000.0</v>
      </c>
      <c r="EC1011" s="11">
        <v>1300000.0</v>
      </c>
      <c r="ED1011" s="11">
        <v>1240000.0</v>
      </c>
      <c r="EE1011" s="14">
        <v>0.0</v>
      </c>
      <c r="EF1011" s="14">
        <v>0.323232323</v>
      </c>
      <c r="EG1011" s="14">
        <v>0.012</v>
      </c>
      <c r="EH1011" s="14">
        <v>0.04625</v>
      </c>
    </row>
    <row r="1012">
      <c r="A1012" s="9">
        <f t="shared" si="2"/>
        <v>1010</v>
      </c>
      <c r="B1012" s="32" t="s">
        <v>1147</v>
      </c>
      <c r="C1012" s="11">
        <v>5.249E7</v>
      </c>
      <c r="D1012" s="11">
        <v>4.972E7</v>
      </c>
      <c r="E1012" s="11">
        <v>4.72E7</v>
      </c>
      <c r="F1012" s="11">
        <v>4.388E7</v>
      </c>
      <c r="G1012" s="11">
        <v>4.834E7</v>
      </c>
      <c r="H1012" s="11">
        <v>4.78E7</v>
      </c>
      <c r="I1012" s="11">
        <v>4.76E7</v>
      </c>
      <c r="J1012" s="11">
        <v>3.287E7</v>
      </c>
      <c r="K1012" s="11">
        <v>2.968E7</v>
      </c>
      <c r="L1012" s="11">
        <v>3.143E7</v>
      </c>
      <c r="M1012" s="11">
        <v>3.054E7</v>
      </c>
      <c r="N1012" s="11">
        <v>3.085E7</v>
      </c>
      <c r="O1012" s="11">
        <v>2.313E7</v>
      </c>
      <c r="P1012" s="12"/>
      <c r="Q1012" s="11">
        <v>2.34E7</v>
      </c>
      <c r="R1012" s="11">
        <v>2.255E7</v>
      </c>
      <c r="S1012" s="11">
        <v>2.194E7</v>
      </c>
      <c r="T1012" s="11">
        <v>9340000.0</v>
      </c>
      <c r="U1012" s="11">
        <v>8310000.0</v>
      </c>
      <c r="V1012" s="11">
        <v>8830000.0</v>
      </c>
      <c r="W1012" s="11">
        <v>8900000.0</v>
      </c>
      <c r="X1012" s="11">
        <v>8600000.0</v>
      </c>
      <c r="Y1012" s="11">
        <v>8210000.0</v>
      </c>
      <c r="Z1012" s="12"/>
      <c r="AA1012" s="11">
        <v>7760000.0</v>
      </c>
      <c r="AB1012" s="11">
        <v>7880000.0</v>
      </c>
      <c r="AC1012" s="11">
        <v>9070000.0</v>
      </c>
      <c r="AD1012" s="11">
        <v>8230000.0</v>
      </c>
      <c r="AE1012" s="11">
        <v>7490000.0</v>
      </c>
      <c r="AF1012" s="11">
        <v>7770000.0</v>
      </c>
      <c r="AG1012" s="11">
        <v>7010000.0</v>
      </c>
      <c r="AH1012" s="11">
        <v>7580000.0</v>
      </c>
      <c r="AI1012" s="11">
        <v>1.582E7</v>
      </c>
      <c r="AJ1012" s="12"/>
      <c r="AK1012" s="11">
        <v>1.417E7</v>
      </c>
      <c r="AL1012" s="11">
        <v>1.348E7</v>
      </c>
      <c r="AM1012" s="11">
        <v>1.462E7</v>
      </c>
      <c r="AN1012" s="11">
        <v>7100000.0</v>
      </c>
      <c r="AO1012" s="12"/>
      <c r="AP1012" s="11">
        <v>7580000.0</v>
      </c>
      <c r="AQ1012" s="11">
        <v>6610000.0</v>
      </c>
      <c r="AR1012" s="11">
        <v>6760000.0</v>
      </c>
      <c r="AS1012" s="11">
        <v>1.354E7</v>
      </c>
      <c r="AT1012" s="12"/>
      <c r="AU1012" s="11">
        <v>1.245E7</v>
      </c>
      <c r="AV1012" s="11">
        <v>1.13E7</v>
      </c>
      <c r="AW1012" s="11">
        <v>1.146E7</v>
      </c>
      <c r="AX1012" s="11">
        <v>-2300000.0</v>
      </c>
      <c r="AY1012" s="12"/>
      <c r="AZ1012" s="11">
        <v>-2700000.0</v>
      </c>
      <c r="BA1012" s="11">
        <v>-2840000.0</v>
      </c>
      <c r="BB1012" s="11">
        <v>-3370000.0</v>
      </c>
      <c r="BC1012" s="11">
        <v>-6600000.0</v>
      </c>
      <c r="BD1012" s="11">
        <v>-6820000.0</v>
      </c>
      <c r="BE1012" s="11">
        <v>-6390000.0</v>
      </c>
      <c r="BF1012" s="11">
        <v>-6380000.0</v>
      </c>
      <c r="BG1012" s="11">
        <v>-6400000.0</v>
      </c>
      <c r="BH1012" s="11">
        <v>1.108E7</v>
      </c>
      <c r="BI1012" s="11">
        <v>1.573E7</v>
      </c>
      <c r="BJ1012" s="11">
        <v>9240000.0</v>
      </c>
      <c r="BK1012" s="11">
        <v>7900000.0</v>
      </c>
      <c r="BL1012" s="11">
        <v>5450000.0</v>
      </c>
      <c r="BM1012" s="11">
        <v>8880000.0</v>
      </c>
      <c r="BN1012" s="11">
        <v>9540000.0</v>
      </c>
      <c r="BO1012" s="11">
        <v>9810000.0</v>
      </c>
      <c r="BP1012" s="11">
        <v>1.037E7</v>
      </c>
      <c r="BQ1012" s="11">
        <v>1.056E7</v>
      </c>
      <c r="BR1012" s="11">
        <v>5790000.0</v>
      </c>
      <c r="BS1012" s="11">
        <v>6860000.0</v>
      </c>
      <c r="BT1012" s="11">
        <v>6690000.0</v>
      </c>
      <c r="BU1012" s="11">
        <v>6360000.0</v>
      </c>
      <c r="BV1012" s="11">
        <v>6230000.0</v>
      </c>
      <c r="BW1012" s="11">
        <v>2.857E7</v>
      </c>
      <c r="BX1012" s="11">
        <v>3.506E7</v>
      </c>
      <c r="BY1012" s="11">
        <v>2.749E7</v>
      </c>
      <c r="BZ1012" s="11">
        <v>2.534E7</v>
      </c>
      <c r="CA1012" s="11">
        <v>2.287E7</v>
      </c>
      <c r="CB1012" s="11">
        <v>1.331E7</v>
      </c>
      <c r="CC1012" s="11">
        <v>1.547E7</v>
      </c>
      <c r="CD1012" s="11">
        <v>1.604E7</v>
      </c>
      <c r="CE1012" s="11">
        <v>1.59E7</v>
      </c>
      <c r="CF1012" s="11">
        <v>1.6E7</v>
      </c>
      <c r="CG1012" s="11">
        <v>2.568E7</v>
      </c>
      <c r="CH1012" s="11">
        <v>3.479E7</v>
      </c>
      <c r="CI1012" s="11">
        <v>3.094E7</v>
      </c>
      <c r="CJ1012" s="11">
        <v>3.149E7</v>
      </c>
      <c r="CK1012" s="11">
        <v>3.121E7</v>
      </c>
      <c r="CL1012" s="11">
        <v>1.1467E8</v>
      </c>
      <c r="CM1012" s="11">
        <v>1.4358E8</v>
      </c>
      <c r="CN1012" s="11">
        <v>1.2983E8</v>
      </c>
      <c r="CO1012" s="11">
        <v>1.3252E8</v>
      </c>
      <c r="CP1012" s="11">
        <v>1.3204E8</v>
      </c>
      <c r="CQ1012" s="11">
        <v>5250000.0</v>
      </c>
      <c r="CR1012" s="11">
        <v>5480000.0</v>
      </c>
      <c r="CS1012" s="11">
        <v>5040000.0</v>
      </c>
      <c r="CT1012" s="11">
        <v>4950000.0</v>
      </c>
      <c r="CU1012" s="11">
        <v>5670000.0</v>
      </c>
      <c r="CV1012" s="11">
        <v>2.737E7</v>
      </c>
      <c r="CW1012" s="11">
        <v>4690000.0</v>
      </c>
      <c r="CX1012" s="11">
        <v>6340000.0</v>
      </c>
      <c r="CY1012" s="11">
        <v>4720000.0</v>
      </c>
      <c r="CZ1012" s="11">
        <v>5820000.0</v>
      </c>
      <c r="DA1012" s="11">
        <v>3950000.0</v>
      </c>
      <c r="DB1012" s="11">
        <v>2.737E7</v>
      </c>
      <c r="DC1012" s="11">
        <v>2.919E7</v>
      </c>
      <c r="DD1012" s="11">
        <v>2.281E7</v>
      </c>
      <c r="DE1012" s="11">
        <v>2.257E7</v>
      </c>
      <c r="DF1012" s="11">
        <v>6.087E7</v>
      </c>
      <c r="DG1012" s="12"/>
      <c r="DH1012" s="11">
        <v>5.75E7</v>
      </c>
      <c r="DI1012" s="11">
        <v>5.64E7</v>
      </c>
      <c r="DJ1012" s="11">
        <v>5.484E7</v>
      </c>
      <c r="DK1012" s="11">
        <v>1.01E7</v>
      </c>
      <c r="DL1012" s="12"/>
      <c r="DM1012" s="11">
        <v>1.622E7</v>
      </c>
      <c r="DN1012" s="11">
        <v>1.565E7</v>
      </c>
      <c r="DO1012" s="11">
        <v>1.659E7</v>
      </c>
      <c r="DP1012" s="11">
        <v>2.136E7</v>
      </c>
      <c r="DQ1012" s="11">
        <v>2.215E7</v>
      </c>
      <c r="DR1012" s="11">
        <v>2.263E7</v>
      </c>
      <c r="DS1012" s="11">
        <v>1.819E7</v>
      </c>
      <c r="DT1012" s="11">
        <v>1.634E7</v>
      </c>
      <c r="DU1012" s="13"/>
      <c r="DV1012" s="12"/>
      <c r="DW1012" s="12"/>
      <c r="DX1012" s="12"/>
      <c r="DY1012" s="13"/>
      <c r="DZ1012" s="11">
        <v>5.372E7</v>
      </c>
      <c r="EA1012" s="11">
        <v>7.75E7</v>
      </c>
      <c r="EB1012" s="11">
        <v>7.228E7</v>
      </c>
      <c r="EC1012" s="11">
        <v>7.606E7</v>
      </c>
      <c r="ED1012" s="11">
        <v>7.712E7</v>
      </c>
      <c r="EE1012" s="14">
        <v>0.083</v>
      </c>
      <c r="EF1012" s="14">
        <v>0.108</v>
      </c>
      <c r="EG1012" s="14">
        <v>0.038</v>
      </c>
      <c r="EH1012" s="14">
        <v>0.061</v>
      </c>
    </row>
    <row r="1013">
      <c r="A1013" s="9">
        <f t="shared" si="2"/>
        <v>1011</v>
      </c>
      <c r="B1013" s="22" t="s">
        <v>1148</v>
      </c>
      <c r="C1013" s="11">
        <v>2410000.0</v>
      </c>
      <c r="D1013" s="11">
        <v>2040000.0</v>
      </c>
      <c r="E1013" s="11">
        <v>2750000.0</v>
      </c>
      <c r="F1013" s="11">
        <v>2840000.0</v>
      </c>
      <c r="G1013" s="11">
        <v>2810000.0</v>
      </c>
      <c r="H1013" s="11">
        <v>2790000.0</v>
      </c>
      <c r="I1013" s="12"/>
      <c r="J1013" s="11">
        <v>1520000.0</v>
      </c>
      <c r="K1013" s="11">
        <v>1610000.0</v>
      </c>
      <c r="L1013" s="11">
        <v>1630000.0</v>
      </c>
      <c r="M1013" s="11">
        <v>1610000.0</v>
      </c>
      <c r="N1013" s="12"/>
      <c r="O1013" s="11">
        <v>1230000.0</v>
      </c>
      <c r="P1013" s="11">
        <v>1290000.0</v>
      </c>
      <c r="Q1013" s="11">
        <v>1210000.0</v>
      </c>
      <c r="R1013" s="11">
        <v>1180000.0</v>
      </c>
      <c r="S1013" s="12"/>
      <c r="T1013" s="11">
        <v>154700.0</v>
      </c>
      <c r="U1013" s="11">
        <v>172000.0</v>
      </c>
      <c r="V1013" s="11">
        <v>172400.0</v>
      </c>
      <c r="W1013" s="11">
        <v>142800.0</v>
      </c>
      <c r="X1013" s="12"/>
      <c r="Y1013" s="11">
        <v>277500.0</v>
      </c>
      <c r="Z1013" s="11">
        <v>298400.0</v>
      </c>
      <c r="AA1013" s="11">
        <v>386600.0</v>
      </c>
      <c r="AB1013" s="11">
        <v>402800.0</v>
      </c>
      <c r="AC1013" s="12"/>
      <c r="AD1013" s="11">
        <v>275500.0</v>
      </c>
      <c r="AE1013" s="11">
        <v>301100.0</v>
      </c>
      <c r="AF1013" s="11">
        <v>386700.0</v>
      </c>
      <c r="AG1013" s="11">
        <v>401700.0</v>
      </c>
      <c r="AH1013" s="12"/>
      <c r="AI1013" s="11">
        <v>458600.0</v>
      </c>
      <c r="AJ1013" s="11">
        <v>452100.0</v>
      </c>
      <c r="AK1013" s="11">
        <v>543800.0</v>
      </c>
      <c r="AL1013" s="11">
        <v>564400.0</v>
      </c>
      <c r="AM1013" s="12"/>
      <c r="AN1013" s="11">
        <v>217600.0</v>
      </c>
      <c r="AO1013" s="11">
        <v>230700.0</v>
      </c>
      <c r="AP1013" s="11">
        <v>301100.0</v>
      </c>
      <c r="AQ1013" s="11">
        <v>272000.0</v>
      </c>
      <c r="AR1013" s="12"/>
      <c r="AS1013" s="11">
        <v>397500.0</v>
      </c>
      <c r="AT1013" s="11">
        <v>400100.0</v>
      </c>
      <c r="AU1013" s="11">
        <v>359100.0</v>
      </c>
      <c r="AV1013" s="11">
        <v>417000.0</v>
      </c>
      <c r="AW1013" s="12"/>
      <c r="AX1013" s="11">
        <v>-77800.0</v>
      </c>
      <c r="AY1013" s="11">
        <v>-72200.0</v>
      </c>
      <c r="AZ1013" s="11">
        <v>-48900.0</v>
      </c>
      <c r="BA1013" s="11">
        <v>-49100.0</v>
      </c>
      <c r="BB1013" s="12"/>
      <c r="BC1013" s="12"/>
      <c r="BD1013" s="12"/>
      <c r="BE1013" s="12"/>
      <c r="BF1013" s="12"/>
      <c r="BG1013" s="12"/>
      <c r="BH1013" s="11">
        <v>211200.0</v>
      </c>
      <c r="BI1013" s="12"/>
      <c r="BJ1013" s="12"/>
      <c r="BK1013" s="12"/>
      <c r="BL1013" s="12"/>
      <c r="BM1013" s="11">
        <v>443600.0</v>
      </c>
      <c r="BN1013" s="11">
        <v>459800.0</v>
      </c>
      <c r="BO1013" s="11">
        <v>463100.0</v>
      </c>
      <c r="BP1013" s="12"/>
      <c r="BQ1013" s="12"/>
      <c r="BR1013" s="11">
        <v>277900.0</v>
      </c>
      <c r="BS1013" s="11">
        <v>278700.0</v>
      </c>
      <c r="BT1013" s="11">
        <v>275700.0</v>
      </c>
      <c r="BU1013" s="12"/>
      <c r="BV1013" s="12"/>
      <c r="BW1013" s="11">
        <v>1000000.0</v>
      </c>
      <c r="BX1013" s="11">
        <v>786800.0</v>
      </c>
      <c r="BY1013" s="11">
        <v>794500.0</v>
      </c>
      <c r="BZ1013" s="12"/>
      <c r="CA1013" s="12"/>
      <c r="CB1013" s="11">
        <v>490400.0</v>
      </c>
      <c r="CC1013" s="11">
        <v>261600.0</v>
      </c>
      <c r="CD1013" s="11">
        <v>231200.0</v>
      </c>
      <c r="CE1013" s="12"/>
      <c r="CF1013" s="12"/>
      <c r="CG1013" s="11">
        <v>3310000.0</v>
      </c>
      <c r="CH1013" s="11">
        <v>3330000.0</v>
      </c>
      <c r="CI1013" s="11">
        <v>3370000.0</v>
      </c>
      <c r="CJ1013" s="12"/>
      <c r="CK1013" s="12"/>
      <c r="CL1013" s="11">
        <v>6160000.0</v>
      </c>
      <c r="CM1013" s="11">
        <v>5840000.0</v>
      </c>
      <c r="CN1013" s="11">
        <v>5990000.0</v>
      </c>
      <c r="CO1013" s="12"/>
      <c r="CP1013" s="12"/>
      <c r="CQ1013" s="11">
        <v>208000.0</v>
      </c>
      <c r="CR1013" s="11">
        <v>217400.0</v>
      </c>
      <c r="CS1013" s="11">
        <v>222400.0</v>
      </c>
      <c r="CT1013" s="12"/>
      <c r="CU1013" s="12"/>
      <c r="CV1013" s="11">
        <v>709200.0</v>
      </c>
      <c r="CW1013" s="11">
        <v>26700.0</v>
      </c>
      <c r="CX1013" s="12"/>
      <c r="CY1013" s="12"/>
      <c r="CZ1013" s="12"/>
      <c r="DA1013" s="12"/>
      <c r="DB1013" s="11">
        <v>709200.0</v>
      </c>
      <c r="DC1013" s="11">
        <v>641000.0</v>
      </c>
      <c r="DD1013" s="11">
        <v>628200.0</v>
      </c>
      <c r="DE1013" s="12"/>
      <c r="DF1013" s="11">
        <v>2620000.0</v>
      </c>
      <c r="DG1013" s="11">
        <v>1020000.0</v>
      </c>
      <c r="DH1013" s="11">
        <v>998200.0</v>
      </c>
      <c r="DI1013" s="12"/>
      <c r="DJ1013" s="12"/>
      <c r="DK1013" s="12"/>
      <c r="DL1013" s="12"/>
      <c r="DM1013" s="12"/>
      <c r="DN1013" s="12"/>
      <c r="DO1013" s="12"/>
      <c r="DP1013" s="11">
        <v>1510000.0</v>
      </c>
      <c r="DQ1013" s="12"/>
      <c r="DR1013" s="12"/>
      <c r="DS1013" s="12"/>
      <c r="DT1013" s="12"/>
      <c r="DU1013" s="13"/>
      <c r="DV1013" s="12"/>
      <c r="DW1013" s="12"/>
      <c r="DX1013" s="13"/>
      <c r="DY1013" s="13"/>
      <c r="DZ1013" s="11">
        <v>3540000.0</v>
      </c>
      <c r="EA1013" s="11">
        <v>4820000.0</v>
      </c>
      <c r="EB1013" s="11">
        <v>4990000.0</v>
      </c>
      <c r="EC1013" s="12"/>
      <c r="ED1013" s="12"/>
      <c r="EE1013" s="14">
        <v>0.103</v>
      </c>
      <c r="EF1013" s="14">
        <v>0.095</v>
      </c>
      <c r="EG1013" s="14">
        <v>0.545</v>
      </c>
      <c r="EH1013" s="14">
        <v>0.0</v>
      </c>
    </row>
    <row r="1014">
      <c r="A1014" s="9">
        <f t="shared" si="2"/>
        <v>1012</v>
      </c>
      <c r="B1014" s="10" t="s">
        <v>1149</v>
      </c>
      <c r="C1014" s="11">
        <v>492240.0</v>
      </c>
      <c r="D1014" s="11">
        <v>260030.0</v>
      </c>
      <c r="E1014" s="11">
        <v>216820.0</v>
      </c>
      <c r="F1014" s="11">
        <v>147700.0</v>
      </c>
      <c r="G1014" s="11">
        <v>68220.0</v>
      </c>
      <c r="H1014" s="11">
        <v>25050.0</v>
      </c>
      <c r="I1014" s="11">
        <v>8380.0</v>
      </c>
      <c r="J1014" s="11">
        <v>95440.0</v>
      </c>
      <c r="K1014" s="11">
        <v>67590.0</v>
      </c>
      <c r="L1014" s="11">
        <v>16280.0</v>
      </c>
      <c r="M1014" s="12"/>
      <c r="N1014" s="12"/>
      <c r="O1014" s="11">
        <v>331110.0</v>
      </c>
      <c r="P1014" s="11">
        <v>186030.0</v>
      </c>
      <c r="Q1014" s="11">
        <v>133740.0</v>
      </c>
      <c r="R1014" s="11">
        <v>97350.0</v>
      </c>
      <c r="S1014" s="11">
        <v>81330.0</v>
      </c>
      <c r="T1014" s="11">
        <v>141060.0</v>
      </c>
      <c r="U1014" s="11">
        <v>63500.0</v>
      </c>
      <c r="V1014" s="11">
        <v>46470.0</v>
      </c>
      <c r="W1014" s="11">
        <v>44630.0</v>
      </c>
      <c r="X1014" s="11">
        <v>42810.0</v>
      </c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3"/>
      <c r="BD1014" s="13"/>
      <c r="BE1014" s="13"/>
      <c r="BF1014" s="13"/>
      <c r="BG1014" s="13"/>
      <c r="BH1014" s="11">
        <v>391830.0</v>
      </c>
      <c r="BI1014" s="11">
        <v>125890.0</v>
      </c>
      <c r="BJ1014" s="11">
        <v>64660.0</v>
      </c>
      <c r="BK1014" s="11">
        <v>92620.0</v>
      </c>
      <c r="BL1014" s="11">
        <v>127020.0</v>
      </c>
      <c r="BM1014" s="11">
        <v>32540.0</v>
      </c>
      <c r="BN1014" s="11">
        <v>26300.0</v>
      </c>
      <c r="BO1014" s="11">
        <v>10420.0</v>
      </c>
      <c r="BP1014" s="12"/>
      <c r="BQ1014" s="12"/>
      <c r="BR1014" s="11">
        <v>6600.0</v>
      </c>
      <c r="BS1014" s="11">
        <v>8300.0</v>
      </c>
      <c r="BT1014" s="12"/>
      <c r="BU1014" s="12"/>
      <c r="BV1014" s="12"/>
      <c r="BW1014" s="11">
        <v>442400.0</v>
      </c>
      <c r="BX1014" s="11">
        <v>165440.0</v>
      </c>
      <c r="BY1014" s="11">
        <v>86680.0</v>
      </c>
      <c r="BZ1014" s="11">
        <v>101800.0</v>
      </c>
      <c r="CA1014" s="11">
        <v>131310.0</v>
      </c>
      <c r="CB1014" s="11">
        <v>74390.0</v>
      </c>
      <c r="CC1014" s="11">
        <v>27890.0</v>
      </c>
      <c r="CD1014" s="11">
        <v>30340.0</v>
      </c>
      <c r="CE1014" s="11">
        <v>23790.0</v>
      </c>
      <c r="CF1014" s="11">
        <v>18710.0</v>
      </c>
      <c r="CG1014" s="11">
        <v>126780.0</v>
      </c>
      <c r="CH1014" s="11">
        <v>50100.0</v>
      </c>
      <c r="CI1014" s="11">
        <v>46580.0</v>
      </c>
      <c r="CJ1014" s="12"/>
      <c r="CK1014" s="12"/>
      <c r="CL1014" s="11">
        <v>781600.0</v>
      </c>
      <c r="CM1014" s="11">
        <v>282960.0</v>
      </c>
      <c r="CN1014" s="11">
        <v>211080.0</v>
      </c>
      <c r="CO1014" s="11">
        <v>130650.0</v>
      </c>
      <c r="CP1014" s="11">
        <v>156680.0</v>
      </c>
      <c r="CQ1014" s="11">
        <v>10320.0</v>
      </c>
      <c r="CR1014" s="11">
        <v>7810.0</v>
      </c>
      <c r="CS1014" s="11">
        <v>8610.0</v>
      </c>
      <c r="CT1014" s="11">
        <v>3350.0</v>
      </c>
      <c r="CU1014" s="11">
        <v>3500.0</v>
      </c>
      <c r="CV1014" s="11">
        <v>81860.0</v>
      </c>
      <c r="CW1014" s="11">
        <v>4870.0</v>
      </c>
      <c r="CX1014" s="13"/>
      <c r="CY1014" s="12"/>
      <c r="CZ1014" s="12"/>
      <c r="DA1014" s="12"/>
      <c r="DB1014" s="11">
        <v>81860.0</v>
      </c>
      <c r="DC1014" s="11">
        <v>36310.0</v>
      </c>
      <c r="DD1014" s="11">
        <v>33390.0</v>
      </c>
      <c r="DE1014" s="11">
        <v>14750.0</v>
      </c>
      <c r="DF1014" s="11">
        <v>401960.0</v>
      </c>
      <c r="DG1014" s="11">
        <v>121120.0</v>
      </c>
      <c r="DH1014" s="11">
        <v>89280.0</v>
      </c>
      <c r="DI1014" s="11">
        <v>31580.0</v>
      </c>
      <c r="DJ1014" s="11">
        <v>18300.0</v>
      </c>
      <c r="DK1014" s="11">
        <v>6180.0</v>
      </c>
      <c r="DL1014" s="11">
        <v>6010.0</v>
      </c>
      <c r="DM1014" s="11">
        <v>11390.0</v>
      </c>
      <c r="DN1014" s="11">
        <v>4700.0</v>
      </c>
      <c r="DO1014" s="11">
        <v>4830.0</v>
      </c>
      <c r="DP1014" s="11">
        <v>312100.0</v>
      </c>
      <c r="DQ1014" s="11">
        <v>75850.0</v>
      </c>
      <c r="DR1014" s="11">
        <v>42460.0</v>
      </c>
      <c r="DS1014" s="11">
        <v>8990.0</v>
      </c>
      <c r="DT1014" s="11">
        <v>7080.0</v>
      </c>
      <c r="DU1014" s="13"/>
      <c r="DV1014" s="12"/>
      <c r="DW1014" s="12"/>
      <c r="DX1014" s="12"/>
      <c r="DY1014" s="12"/>
      <c r="DZ1014" s="11">
        <v>379640.0</v>
      </c>
      <c r="EA1014" s="11">
        <v>161840.0</v>
      </c>
      <c r="EB1014" s="11">
        <v>121790.0</v>
      </c>
      <c r="EC1014" s="11">
        <v>99070.0</v>
      </c>
      <c r="ED1014" s="11">
        <v>138380.0</v>
      </c>
      <c r="EE1014" s="14">
        <v>0.179</v>
      </c>
      <c r="EF1014" s="14">
        <v>0.31</v>
      </c>
      <c r="EG1014" s="14">
        <v>-0.241</v>
      </c>
      <c r="EH1014" s="14">
        <v>-0.151</v>
      </c>
    </row>
    <row r="1015">
      <c r="A1015" s="9">
        <f t="shared" si="2"/>
        <v>1013</v>
      </c>
      <c r="B1015" s="25" t="s">
        <v>1150</v>
      </c>
      <c r="C1015" s="15">
        <v>9420000.0</v>
      </c>
      <c r="D1015" s="15">
        <v>9000000.0</v>
      </c>
      <c r="E1015" s="15">
        <v>9710000.0</v>
      </c>
      <c r="F1015" s="15">
        <v>1.015E7</v>
      </c>
      <c r="G1015" s="15">
        <v>9550000.0</v>
      </c>
      <c r="H1015" s="15">
        <v>1.326E7</v>
      </c>
      <c r="I1015" s="15">
        <v>5920000.0</v>
      </c>
      <c r="J1015" s="15">
        <v>3220000.0</v>
      </c>
      <c r="K1015" s="15">
        <v>3530000.0</v>
      </c>
      <c r="L1015" s="15">
        <v>3260000.0</v>
      </c>
      <c r="M1015" s="15">
        <v>4390000.0</v>
      </c>
      <c r="N1015" s="15">
        <v>2290000.0</v>
      </c>
      <c r="O1015" s="15">
        <v>2410000.0</v>
      </c>
      <c r="P1015" s="15">
        <v>2640000.0</v>
      </c>
      <c r="Q1015" s="15">
        <v>2710000.0</v>
      </c>
      <c r="R1015" s="15">
        <v>3220000.0</v>
      </c>
      <c r="S1015" s="15">
        <v>1560000.0</v>
      </c>
      <c r="T1015" s="15">
        <v>149000.0</v>
      </c>
      <c r="U1015" s="15">
        <v>151000.0</v>
      </c>
      <c r="V1015" s="15">
        <v>158000.0</v>
      </c>
      <c r="W1015" s="15">
        <v>188000.0</v>
      </c>
      <c r="X1015" s="15">
        <v>112600.0</v>
      </c>
      <c r="Y1015" s="15">
        <v>-544900.0</v>
      </c>
      <c r="Z1015" s="15">
        <v>-8440000.0</v>
      </c>
      <c r="AA1015" s="15">
        <v>-245700.0</v>
      </c>
      <c r="AB1015" s="15">
        <v>-99600.0</v>
      </c>
      <c r="AC1015" s="15">
        <v>-316900.0</v>
      </c>
      <c r="AD1015" s="15">
        <v>-851600.0</v>
      </c>
      <c r="AE1015" s="15">
        <v>-7990000.0</v>
      </c>
      <c r="AF1015" s="15">
        <v>592400.0</v>
      </c>
      <c r="AG1015" s="15">
        <v>814500.0</v>
      </c>
      <c r="AH1015" s="15">
        <v>337500.0</v>
      </c>
      <c r="AI1015" s="15">
        <v>1250000.0</v>
      </c>
      <c r="AJ1015" s="15">
        <v>1270000.0</v>
      </c>
      <c r="AK1015" s="15">
        <v>903600.0</v>
      </c>
      <c r="AL1015" s="15">
        <v>1610000.0</v>
      </c>
      <c r="AM1015" s="15">
        <v>901000.0</v>
      </c>
      <c r="AN1015" s="15">
        <v>186100.0</v>
      </c>
      <c r="AO1015" s="15">
        <v>-6630000.0</v>
      </c>
      <c r="AP1015" s="15">
        <v>2170000.0</v>
      </c>
      <c r="AQ1015" s="15">
        <v>528500.0</v>
      </c>
      <c r="AR1015" s="15">
        <v>259400.0</v>
      </c>
      <c r="AS1015" s="15">
        <v>1040000.0</v>
      </c>
      <c r="AT1015" s="15">
        <v>680000.0</v>
      </c>
      <c r="AU1015" s="15">
        <v>966200.0</v>
      </c>
      <c r="AV1015" s="15">
        <v>1840000.0</v>
      </c>
      <c r="AW1015" s="15">
        <v>565800.0</v>
      </c>
      <c r="AX1015" s="15">
        <v>-264900.0</v>
      </c>
      <c r="AY1015" s="15">
        <v>-384400.0</v>
      </c>
      <c r="AZ1015" s="15">
        <v>-406200.0</v>
      </c>
      <c r="BA1015" s="15">
        <v>-441400.0</v>
      </c>
      <c r="BB1015" s="15">
        <v>-211400.0</v>
      </c>
      <c r="BC1015" s="15">
        <v>-561200.0</v>
      </c>
      <c r="BD1015" s="15">
        <v>-434600.0</v>
      </c>
      <c r="BE1015" s="15">
        <v>-590200.0</v>
      </c>
      <c r="BF1015" s="15">
        <v>-328600.0</v>
      </c>
      <c r="BG1015" s="15">
        <v>-206300.0</v>
      </c>
      <c r="BH1015" s="15">
        <v>370900.0</v>
      </c>
      <c r="BI1015" s="15">
        <v>495700.0</v>
      </c>
      <c r="BJ1015" s="15">
        <v>485700.0</v>
      </c>
      <c r="BK1015" s="15">
        <v>587500.0</v>
      </c>
      <c r="BL1015" s="15">
        <v>274800.0</v>
      </c>
      <c r="BM1015" s="15">
        <v>1840000.0</v>
      </c>
      <c r="BN1015" s="15">
        <v>2160000.0</v>
      </c>
      <c r="BO1015" s="15">
        <v>1880000.0</v>
      </c>
      <c r="BP1015" s="15">
        <v>2750000.0</v>
      </c>
      <c r="BQ1015" s="15">
        <v>1250000.0</v>
      </c>
      <c r="BR1015" s="15">
        <v>1610000.0</v>
      </c>
      <c r="BS1015" s="15">
        <v>1760000.0</v>
      </c>
      <c r="BT1015" s="15">
        <v>1660000.0</v>
      </c>
      <c r="BU1015" s="15">
        <v>2120000.0</v>
      </c>
      <c r="BV1015" s="15">
        <v>721800.0</v>
      </c>
      <c r="BW1015" s="15">
        <v>4110000.0</v>
      </c>
      <c r="BX1015" s="15">
        <v>5960000.0</v>
      </c>
      <c r="BY1015" s="15">
        <v>1.073E7</v>
      </c>
      <c r="BZ1015" s="15">
        <v>7480000.0</v>
      </c>
      <c r="CA1015" s="15">
        <v>2490000.0</v>
      </c>
      <c r="CB1015" s="15">
        <v>1770000.0</v>
      </c>
      <c r="CC1015" s="15">
        <v>1230000.0</v>
      </c>
      <c r="CD1015" s="15">
        <v>972400.0</v>
      </c>
      <c r="CE1015" s="15">
        <v>1540000.0</v>
      </c>
      <c r="CF1015" s="15">
        <v>599200.0</v>
      </c>
      <c r="CG1015" s="15">
        <v>3710000.0</v>
      </c>
      <c r="CH1015" s="15">
        <v>3870000.0</v>
      </c>
      <c r="CI1015" s="15">
        <v>6870000.0</v>
      </c>
      <c r="CJ1015" s="15">
        <v>1.022E7</v>
      </c>
      <c r="CK1015" s="15">
        <v>2790000.0</v>
      </c>
      <c r="CL1015" s="15">
        <v>1.564E7</v>
      </c>
      <c r="CM1015" s="15">
        <v>1.772E7</v>
      </c>
      <c r="CN1015" s="15">
        <v>3.314E7</v>
      </c>
      <c r="CO1015" s="15">
        <v>3.384E7</v>
      </c>
      <c r="CP1015" s="15">
        <v>7260000.0</v>
      </c>
      <c r="CQ1015" s="15">
        <v>1100000.0</v>
      </c>
      <c r="CR1015" s="15">
        <v>1190000.0</v>
      </c>
      <c r="CS1015" s="15">
        <v>1230000.0</v>
      </c>
      <c r="CT1015" s="15">
        <v>1520000.0</v>
      </c>
      <c r="CU1015" s="15">
        <v>642400.0</v>
      </c>
      <c r="CV1015" s="15">
        <v>2980000.0</v>
      </c>
      <c r="CW1015" s="15">
        <v>132400.0</v>
      </c>
      <c r="CX1015" s="15"/>
      <c r="CY1015" s="15">
        <v>661800.0</v>
      </c>
      <c r="CZ1015" s="15">
        <v>601900.0</v>
      </c>
      <c r="DA1015" s="15">
        <v>388800.0</v>
      </c>
      <c r="DB1015" s="15">
        <v>2980000.0</v>
      </c>
      <c r="DC1015" s="15">
        <v>3300000.0</v>
      </c>
      <c r="DD1015" s="15">
        <v>4910000.0</v>
      </c>
      <c r="DE1015" s="15">
        <v>4290000.0</v>
      </c>
      <c r="DF1015" s="15">
        <v>1.065E7</v>
      </c>
      <c r="DG1015" s="15">
        <v>1.247E7</v>
      </c>
      <c r="DH1015" s="15">
        <v>1.895E7</v>
      </c>
      <c r="DI1015" s="15">
        <v>2.245E7</v>
      </c>
      <c r="DJ1015" s="15">
        <v>5430000.0</v>
      </c>
      <c r="DK1015" s="15"/>
      <c r="DL1015" s="15"/>
      <c r="DM1015" s="15"/>
      <c r="DN1015" s="15"/>
      <c r="DO1015" s="15">
        <v>4900.0</v>
      </c>
      <c r="DP1015" s="15">
        <v>5930000.0</v>
      </c>
      <c r="DQ1015" s="15">
        <v>6700000.0</v>
      </c>
      <c r="DR1015" s="15">
        <v>9890000.0</v>
      </c>
      <c r="DS1015" s="15">
        <v>1.129E7</v>
      </c>
      <c r="DT1015" s="15">
        <v>2670000.0</v>
      </c>
      <c r="DU1015" s="13"/>
      <c r="DV1015" s="12"/>
      <c r="DW1015" s="12"/>
      <c r="DX1015" s="13"/>
      <c r="DY1015" s="13"/>
      <c r="DZ1015" s="15">
        <v>4960000.0</v>
      </c>
      <c r="EA1015" s="15">
        <v>5220000.0</v>
      </c>
      <c r="EB1015" s="15">
        <v>1.414E7</v>
      </c>
      <c r="EC1015" s="15">
        <v>1.135E7</v>
      </c>
      <c r="ED1015" s="15">
        <v>1820000.0</v>
      </c>
      <c r="EE1015" s="17">
        <v>0.036</v>
      </c>
      <c r="EF1015" s="17">
        <v>0.058</v>
      </c>
      <c r="EG1015" s="17">
        <v>0.667</v>
      </c>
      <c r="EH1015" s="17">
        <v>0.462</v>
      </c>
    </row>
    <row r="1016">
      <c r="A1016" s="9">
        <f t="shared" si="2"/>
        <v>1014</v>
      </c>
      <c r="B1016" s="10" t="s">
        <v>1151</v>
      </c>
      <c r="C1016" s="11">
        <v>833630.0</v>
      </c>
      <c r="D1016" s="11">
        <v>783590.0</v>
      </c>
      <c r="E1016" s="11">
        <v>893840.0</v>
      </c>
      <c r="F1016" s="11">
        <v>889790.0</v>
      </c>
      <c r="G1016" s="11">
        <v>866560.0</v>
      </c>
      <c r="H1016" s="11">
        <v>928180.0</v>
      </c>
      <c r="I1016" s="11">
        <v>645530.0</v>
      </c>
      <c r="J1016" s="11">
        <v>149840.0</v>
      </c>
      <c r="K1016" s="11">
        <v>140940.0</v>
      </c>
      <c r="L1016" s="11">
        <v>136900.0</v>
      </c>
      <c r="M1016" s="11">
        <v>164390.0</v>
      </c>
      <c r="N1016" s="11">
        <v>111210.0</v>
      </c>
      <c r="O1016" s="11">
        <v>101290.0</v>
      </c>
      <c r="P1016" s="11">
        <v>103760.0</v>
      </c>
      <c r="Q1016" s="11">
        <v>97980.0</v>
      </c>
      <c r="R1016" s="11">
        <v>114910.0</v>
      </c>
      <c r="S1016" s="11">
        <v>86540.0</v>
      </c>
      <c r="T1016" s="11"/>
      <c r="U1016" s="11"/>
      <c r="V1016" s="11"/>
      <c r="W1016" s="11"/>
      <c r="X1016" s="11"/>
      <c r="Y1016" s="11">
        <v>-26620.0</v>
      </c>
      <c r="Z1016" s="11">
        <v>-1500.0</v>
      </c>
      <c r="AA1016" s="11">
        <v>34280.0</v>
      </c>
      <c r="AB1016" s="11">
        <v>36430.0</v>
      </c>
      <c r="AC1016" s="11">
        <v>25330.0</v>
      </c>
      <c r="AD1016" s="11">
        <v>-35950.0</v>
      </c>
      <c r="AE1016" s="11">
        <v>25750.0</v>
      </c>
      <c r="AF1016" s="11">
        <v>25500.0</v>
      </c>
      <c r="AG1016" s="11">
        <v>-5620.0</v>
      </c>
      <c r="AH1016" s="11">
        <v>23150.0</v>
      </c>
      <c r="AI1016" s="11">
        <v>98130.0</v>
      </c>
      <c r="AJ1016" s="11">
        <v>89010.0</v>
      </c>
      <c r="AK1016" s="11">
        <v>96410.0</v>
      </c>
      <c r="AL1016" s="11">
        <v>102630.0</v>
      </c>
      <c r="AM1016" s="11">
        <v>59900.0</v>
      </c>
      <c r="AN1016" s="11">
        <v>-46730.0</v>
      </c>
      <c r="AO1016" s="11">
        <v>26550.0</v>
      </c>
      <c r="AP1016" s="11">
        <v>18680.0</v>
      </c>
      <c r="AQ1016" s="11">
        <v>-1860.0</v>
      </c>
      <c r="AR1016" s="11">
        <v>15610.0</v>
      </c>
      <c r="AS1016" s="11">
        <v>96370.0</v>
      </c>
      <c r="AT1016" s="11">
        <v>104610.0</v>
      </c>
      <c r="AU1016" s="11">
        <v>78550.0</v>
      </c>
      <c r="AV1016" s="11">
        <v>86420.0</v>
      </c>
      <c r="AW1016" s="11">
        <v>67090.0</v>
      </c>
      <c r="AX1016" s="11">
        <v>-24880.0</v>
      </c>
      <c r="AY1016" s="11">
        <v>-26480.0</v>
      </c>
      <c r="AZ1016" s="11">
        <v>-34560.0</v>
      </c>
      <c r="BA1016" s="11">
        <v>-37240.0</v>
      </c>
      <c r="BB1016" s="11">
        <v>-29980.0</v>
      </c>
      <c r="BC1016" s="24">
        <v>-10640.0</v>
      </c>
      <c r="BD1016" s="24">
        <v>-7020.0</v>
      </c>
      <c r="BE1016" s="24">
        <v>-5520.0</v>
      </c>
      <c r="BF1016" s="24">
        <v>-5470.0</v>
      </c>
      <c r="BG1016" s="24">
        <v>-5520.0</v>
      </c>
      <c r="BH1016" s="11">
        <v>30870.0</v>
      </c>
      <c r="BI1016" s="11">
        <v>29000.0</v>
      </c>
      <c r="BJ1016" s="11">
        <v>17460.0</v>
      </c>
      <c r="BK1016" s="11">
        <v>25530.0</v>
      </c>
      <c r="BL1016" s="11">
        <v>23170.0</v>
      </c>
      <c r="BM1016" s="11">
        <v>82950.0</v>
      </c>
      <c r="BN1016" s="11">
        <v>84010.0</v>
      </c>
      <c r="BO1016" s="11">
        <v>79410.0</v>
      </c>
      <c r="BP1016" s="11">
        <v>85230.0</v>
      </c>
      <c r="BQ1016" s="11">
        <v>64480.0</v>
      </c>
      <c r="BR1016" s="11">
        <v>67160.0</v>
      </c>
      <c r="BS1016" s="11">
        <v>70730.0</v>
      </c>
      <c r="BT1016" s="11">
        <v>87530.0</v>
      </c>
      <c r="BU1016" s="11">
        <v>84340.0</v>
      </c>
      <c r="BV1016" s="11">
        <v>63030.0</v>
      </c>
      <c r="BW1016" s="11">
        <v>190330.0</v>
      </c>
      <c r="BX1016" s="11">
        <v>191040.0</v>
      </c>
      <c r="BY1016" s="11">
        <v>191800.0</v>
      </c>
      <c r="BZ1016" s="11">
        <v>203970.0</v>
      </c>
      <c r="CA1016" s="11">
        <v>172250.0</v>
      </c>
      <c r="CB1016" s="11">
        <v>193600.0</v>
      </c>
      <c r="CC1016" s="11">
        <v>201370.0</v>
      </c>
      <c r="CD1016" s="11">
        <v>211130.0</v>
      </c>
      <c r="CE1016" s="11">
        <v>198500.0</v>
      </c>
      <c r="CF1016" s="11">
        <v>140670.0</v>
      </c>
      <c r="CG1016" s="11">
        <v>145560.0</v>
      </c>
      <c r="CH1016" s="11">
        <v>219630.0</v>
      </c>
      <c r="CI1016" s="11">
        <v>222190.0</v>
      </c>
      <c r="CJ1016" s="11">
        <v>217040.0</v>
      </c>
      <c r="CK1016" s="11">
        <v>129770.0</v>
      </c>
      <c r="CL1016" s="11">
        <v>660450.0</v>
      </c>
      <c r="CM1016" s="11">
        <v>759710.0</v>
      </c>
      <c r="CN1016" s="11">
        <v>773880.0</v>
      </c>
      <c r="CO1016" s="11">
        <v>780350.0</v>
      </c>
      <c r="CP1016" s="11">
        <v>572030.0</v>
      </c>
      <c r="CQ1016" s="11">
        <v>63600.0</v>
      </c>
      <c r="CR1016" s="11">
        <v>52390.0</v>
      </c>
      <c r="CS1016" s="11">
        <v>44150.0</v>
      </c>
      <c r="CT1016" s="11">
        <v>47780.0</v>
      </c>
      <c r="CU1016" s="11">
        <v>47780.0</v>
      </c>
      <c r="CV1016" s="11">
        <v>109750.0</v>
      </c>
      <c r="CW1016" s="11"/>
      <c r="CX1016" s="13"/>
      <c r="CY1016" s="12"/>
      <c r="CZ1016" s="12"/>
      <c r="DA1016" s="12"/>
      <c r="DB1016" s="11">
        <v>109750.0</v>
      </c>
      <c r="DC1016" s="11">
        <v>102360.0</v>
      </c>
      <c r="DD1016" s="11">
        <v>106460.0</v>
      </c>
      <c r="DE1016" s="11">
        <v>114130.0</v>
      </c>
      <c r="DF1016" s="11">
        <v>330260.0</v>
      </c>
      <c r="DG1016" s="11">
        <v>364490.0</v>
      </c>
      <c r="DH1016" s="11">
        <v>367030.0</v>
      </c>
      <c r="DI1016" s="11">
        <v>412520.0</v>
      </c>
      <c r="DJ1016" s="11">
        <v>176740.0</v>
      </c>
      <c r="DK1016" s="12"/>
      <c r="DL1016" s="12"/>
      <c r="DM1016" s="12"/>
      <c r="DN1016" s="12"/>
      <c r="DO1016" s="12"/>
      <c r="DP1016" s="11">
        <v>156410.0</v>
      </c>
      <c r="DQ1016" s="11">
        <v>209330.0</v>
      </c>
      <c r="DR1016" s="11">
        <v>218180.0</v>
      </c>
      <c r="DS1016" s="11">
        <v>259010.0</v>
      </c>
      <c r="DT1016" s="11">
        <v>55040.0</v>
      </c>
      <c r="DU1016" s="13"/>
      <c r="DV1016" s="12"/>
      <c r="DW1016" s="12"/>
      <c r="DX1016" s="11"/>
      <c r="DY1016" s="13"/>
      <c r="DZ1016" s="11">
        <v>330190.0</v>
      </c>
      <c r="EA1016" s="11">
        <v>395220.0</v>
      </c>
      <c r="EB1016" s="11">
        <v>406850.0</v>
      </c>
      <c r="EC1016" s="11">
        <v>367830.0</v>
      </c>
      <c r="ED1016" s="11">
        <v>395300.0</v>
      </c>
      <c r="EE1016" s="23">
        <v>0.037047436</v>
      </c>
      <c r="EF1016" s="23">
        <v>0.061778007</v>
      </c>
      <c r="EG1016" s="14">
        <v>2.8</v>
      </c>
      <c r="EH1016" s="23">
        <v>1.17775</v>
      </c>
    </row>
    <row r="1017">
      <c r="A1017" s="9">
        <f t="shared" si="2"/>
        <v>1015</v>
      </c>
      <c r="B1017" s="10" t="s">
        <v>1152</v>
      </c>
      <c r="C1017" s="15">
        <v>8780000.0</v>
      </c>
      <c r="D1017" s="15">
        <v>7730000.0</v>
      </c>
      <c r="E1017" s="15">
        <v>8880000.0</v>
      </c>
      <c r="F1017" s="15">
        <v>9410000.0</v>
      </c>
      <c r="G1017" s="15">
        <v>9260000.0</v>
      </c>
      <c r="H1017" s="15">
        <v>9500000.0</v>
      </c>
      <c r="I1017" s="15">
        <v>6100000.0</v>
      </c>
      <c r="J1017" s="15">
        <v>3190000.0</v>
      </c>
      <c r="K1017" s="15">
        <v>3400000.0</v>
      </c>
      <c r="L1017" s="15">
        <v>3080000.0</v>
      </c>
      <c r="M1017" s="15">
        <v>2490000.0</v>
      </c>
      <c r="N1017" s="15">
        <v>2550000.0</v>
      </c>
      <c r="O1017" s="15">
        <v>2540000.0</v>
      </c>
      <c r="P1017" s="15">
        <v>2690000.0</v>
      </c>
      <c r="Q1017" s="15">
        <v>2560000.0</v>
      </c>
      <c r="R1017" s="15">
        <v>2580000.0</v>
      </c>
      <c r="S1017" s="15">
        <v>1530000.0</v>
      </c>
      <c r="T1017" s="15">
        <v>1630000.0</v>
      </c>
      <c r="U1017" s="15">
        <v>1700000.0</v>
      </c>
      <c r="V1017" s="15">
        <v>1570000.0</v>
      </c>
      <c r="W1017" s="15">
        <v>1520000.0</v>
      </c>
      <c r="X1017" s="15">
        <v>799000.0</v>
      </c>
      <c r="Y1017" s="15">
        <v>605000.0</v>
      </c>
      <c r="Z1017" s="15">
        <v>624000.0</v>
      </c>
      <c r="AA1017" s="15">
        <v>486000.0</v>
      </c>
      <c r="AB1017" s="15">
        <v>-191000.0</v>
      </c>
      <c r="AC1017" s="15">
        <v>721000.0</v>
      </c>
      <c r="AD1017" s="15">
        <v>291000.0</v>
      </c>
      <c r="AE1017" s="15">
        <v>2380000.0</v>
      </c>
      <c r="AF1017" s="15">
        <v>1740000.0</v>
      </c>
      <c r="AG1017" s="15">
        <v>-603000.0</v>
      </c>
      <c r="AH1017" s="15">
        <v>1490000.0</v>
      </c>
      <c r="AI1017" s="15">
        <v>4130000.0</v>
      </c>
      <c r="AJ1017" s="15">
        <v>4150000.0</v>
      </c>
      <c r="AK1017" s="15">
        <v>2700000.0</v>
      </c>
      <c r="AL1017" s="15">
        <v>2200000.0</v>
      </c>
      <c r="AM1017" s="15">
        <v>1530000.0</v>
      </c>
      <c r="AN1017" s="15">
        <v>243000.0</v>
      </c>
      <c r="AO1017" s="15">
        <v>2210000.0</v>
      </c>
      <c r="AP1017" s="15">
        <v>2220000.0</v>
      </c>
      <c r="AQ1017" s="15">
        <v>200000.0</v>
      </c>
      <c r="AR1017" s="15">
        <v>1530000.0</v>
      </c>
      <c r="AS1017" s="15">
        <v>2370000.0</v>
      </c>
      <c r="AT1017" s="15">
        <v>4370000.0</v>
      </c>
      <c r="AU1017" s="15">
        <v>2450000.0</v>
      </c>
      <c r="AV1017" s="15">
        <v>2300000.0</v>
      </c>
      <c r="AW1017" s="15">
        <v>1330000.0</v>
      </c>
      <c r="AX1017" s="15">
        <v>-628000.0</v>
      </c>
      <c r="AY1017" s="15">
        <v>-661000.0</v>
      </c>
      <c r="AZ1017" s="15">
        <v>-618000.0</v>
      </c>
      <c r="BA1017" s="15">
        <v>-448000.0</v>
      </c>
      <c r="BB1017" s="15">
        <v>-353000.0</v>
      </c>
      <c r="BC1017" s="15">
        <v>-319000.0</v>
      </c>
      <c r="BD1017" s="15">
        <v>-74000.0</v>
      </c>
      <c r="BE1017" s="15">
        <v>0.0</v>
      </c>
      <c r="BF1017" s="15">
        <v>0.0</v>
      </c>
      <c r="BG1017" s="15">
        <v>0.0</v>
      </c>
      <c r="BH1017" s="15">
        <v>1050000.0</v>
      </c>
      <c r="BI1017" s="15">
        <v>2790000.0</v>
      </c>
      <c r="BJ1017" s="15">
        <v>3550000.0</v>
      </c>
      <c r="BK1017" s="15">
        <v>1890000.0</v>
      </c>
      <c r="BL1017" s="15">
        <v>1610000.0</v>
      </c>
      <c r="BM1017" s="15">
        <v>667000.0</v>
      </c>
      <c r="BN1017" s="15">
        <v>792000.0</v>
      </c>
      <c r="BO1017" s="15">
        <v>879000.0</v>
      </c>
      <c r="BP1017" s="15">
        <v>1030000.0</v>
      </c>
      <c r="BQ1017" s="15">
        <v>1130000.0</v>
      </c>
      <c r="BR1017" s="15">
        <v>1190000.0</v>
      </c>
      <c r="BS1017" s="15">
        <v>1280000.0</v>
      </c>
      <c r="BT1017" s="15">
        <v>1240000.0</v>
      </c>
      <c r="BU1017" s="15">
        <v>1110000.0</v>
      </c>
      <c r="BV1017" s="15">
        <v>1880000.0</v>
      </c>
      <c r="BW1017" s="15">
        <v>3270000.0</v>
      </c>
      <c r="BX1017" s="15">
        <v>5230000.0</v>
      </c>
      <c r="BY1017" s="15">
        <v>6040000.0</v>
      </c>
      <c r="BZ1017" s="15">
        <v>5400000.0</v>
      </c>
      <c r="CA1017" s="15">
        <v>4810000.0</v>
      </c>
      <c r="CB1017" s="15">
        <v>2670000.0</v>
      </c>
      <c r="CC1017" s="15">
        <v>2440000.0</v>
      </c>
      <c r="CD1017" s="15">
        <v>2300000.0</v>
      </c>
      <c r="CE1017" s="15">
        <v>2350000.0</v>
      </c>
      <c r="CF1017" s="15">
        <v>2920000.0</v>
      </c>
      <c r="CG1017" s="15">
        <v>9950000.0</v>
      </c>
      <c r="CH1017" s="15">
        <v>8860000.0</v>
      </c>
      <c r="CI1017" s="15">
        <v>8870000.0</v>
      </c>
      <c r="CJ1017" s="15">
        <v>8840000.0</v>
      </c>
      <c r="CK1017" s="15">
        <v>9230000.0</v>
      </c>
      <c r="CL1017" s="15">
        <v>2.002E7</v>
      </c>
      <c r="CM1017" s="15">
        <v>2.153E7</v>
      </c>
      <c r="CN1017" s="15">
        <v>2.405E7</v>
      </c>
      <c r="CO1017" s="15">
        <v>2.49E7</v>
      </c>
      <c r="CP1017" s="15">
        <v>2.635E7</v>
      </c>
      <c r="CQ1017" s="15">
        <v>944000.0</v>
      </c>
      <c r="CR1017" s="15">
        <v>999000.0</v>
      </c>
      <c r="CS1017" s="15">
        <v>1150000.0</v>
      </c>
      <c r="CT1017" s="15">
        <v>973000.0</v>
      </c>
      <c r="CU1017" s="15">
        <v>1010000.0</v>
      </c>
      <c r="CV1017" s="15">
        <v>1790000.0</v>
      </c>
      <c r="CW1017" s="15">
        <v>62000.0</v>
      </c>
      <c r="CX1017" s="15">
        <v>0.0</v>
      </c>
      <c r="CY1017" s="16">
        <v>0.0</v>
      </c>
      <c r="CZ1017" s="16">
        <v>0.0</v>
      </c>
      <c r="DA1017" s="15">
        <v>6000.0</v>
      </c>
      <c r="DB1017" s="15">
        <v>1790000.0</v>
      </c>
      <c r="DC1017" s="15">
        <v>3390000.0</v>
      </c>
      <c r="DD1017" s="15">
        <v>2720000.0</v>
      </c>
      <c r="DE1017" s="15">
        <v>2430000.0</v>
      </c>
      <c r="DF1017" s="15">
        <v>1.036E7</v>
      </c>
      <c r="DG1017" s="15">
        <v>1.084E7</v>
      </c>
      <c r="DH1017" s="15">
        <v>1.033E7</v>
      </c>
      <c r="DI1017" s="15">
        <v>1.374E7</v>
      </c>
      <c r="DJ1017" s="15">
        <v>1.455E7</v>
      </c>
      <c r="DK1017" s="15">
        <v>0.0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7560000.0</v>
      </c>
      <c r="DQ1017" s="15">
        <v>6250000.0</v>
      </c>
      <c r="DR1017" s="15">
        <v>5810000.0</v>
      </c>
      <c r="DS1017" s="15">
        <v>8770000.0</v>
      </c>
      <c r="DT1017" s="15">
        <v>8660000.0</v>
      </c>
      <c r="DU1017" s="16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9440000.0</v>
      </c>
      <c r="EA1017" s="15">
        <v>1.051E7</v>
      </c>
      <c r="EB1017" s="15">
        <v>1.353E7</v>
      </c>
      <c r="EC1017" s="15">
        <v>1.094E7</v>
      </c>
      <c r="ED1017" s="15">
        <v>1.152E7</v>
      </c>
      <c r="EE1017" s="17">
        <v>0.047</v>
      </c>
      <c r="EF1017" s="17">
        <v>0.123</v>
      </c>
      <c r="EG1017" s="17">
        <v>0.007</v>
      </c>
      <c r="EH1017" s="17">
        <v>0.029</v>
      </c>
    </row>
    <row r="1018">
      <c r="A1018" s="9">
        <f t="shared" si="2"/>
        <v>1016</v>
      </c>
      <c r="B1018" s="22" t="s">
        <v>1153</v>
      </c>
      <c r="C1018" s="11">
        <v>1940.0</v>
      </c>
      <c r="D1018" s="11">
        <v>22380.0</v>
      </c>
      <c r="E1018" s="11">
        <v>6350.0</v>
      </c>
      <c r="F1018" s="12"/>
      <c r="G1018" s="12"/>
      <c r="H1018" s="12"/>
      <c r="I1018" s="12"/>
      <c r="J1018" s="12"/>
      <c r="K1018" s="11">
        <v>-1680.0</v>
      </c>
      <c r="L1018" s="11">
        <v>-582.0</v>
      </c>
      <c r="M1018" s="12"/>
      <c r="N1018" s="12"/>
      <c r="O1018" s="11">
        <v>41140.0</v>
      </c>
      <c r="P1018" s="11">
        <v>21520.0</v>
      </c>
      <c r="Q1018" s="11">
        <v>14970.0</v>
      </c>
      <c r="R1018" s="12"/>
      <c r="S1018" s="12"/>
      <c r="T1018" s="11">
        <v>34220.0</v>
      </c>
      <c r="U1018" s="11">
        <v>19790.0</v>
      </c>
      <c r="V1018" s="11">
        <v>12950.0</v>
      </c>
      <c r="W1018" s="12"/>
      <c r="X1018" s="12"/>
      <c r="Y1018" s="12"/>
      <c r="Z1018" s="12"/>
      <c r="AA1018" s="12"/>
      <c r="AB1018" s="12"/>
      <c r="AC1018" s="12"/>
      <c r="AD1018" s="11">
        <v>-33740.0</v>
      </c>
      <c r="AE1018" s="11">
        <v>-22800.0</v>
      </c>
      <c r="AF1018" s="11">
        <v>-15470.0</v>
      </c>
      <c r="AG1018" s="12"/>
      <c r="AH1018" s="12"/>
      <c r="AI1018" s="11">
        <v>-34790.0</v>
      </c>
      <c r="AJ1018" s="11">
        <v>-21520.0</v>
      </c>
      <c r="AK1018" s="11">
        <v>-14970.0</v>
      </c>
      <c r="AL1018" s="12"/>
      <c r="AM1018" s="12"/>
      <c r="AN1018" s="11">
        <v>-33740.0</v>
      </c>
      <c r="AO1018" s="11">
        <v>-22800.0</v>
      </c>
      <c r="AP1018" s="11">
        <v>-15470.0</v>
      </c>
      <c r="AQ1018" s="12"/>
      <c r="AR1018" s="12"/>
      <c r="AS1018" s="11">
        <v>-35620.0</v>
      </c>
      <c r="AT1018" s="11">
        <v>7580.0</v>
      </c>
      <c r="AU1018" s="11">
        <v>-12510.0</v>
      </c>
      <c r="AV1018" s="12"/>
      <c r="AW1018" s="12"/>
      <c r="AX1018" s="11">
        <v>-3370.0</v>
      </c>
      <c r="AY1018" s="11">
        <v>-3060.0</v>
      </c>
      <c r="AZ1018" s="11">
        <v>-8650.0</v>
      </c>
      <c r="BA1018" s="12"/>
      <c r="BB1018" s="12"/>
      <c r="BC1018" s="12"/>
      <c r="BD1018" s="12"/>
      <c r="BE1018" s="12"/>
      <c r="BF1018" s="12"/>
      <c r="BG1018" s="12"/>
      <c r="BH1018" s="11">
        <v>336310.0</v>
      </c>
      <c r="BI1018" s="11">
        <v>135630.0</v>
      </c>
      <c r="BJ1018" s="11">
        <v>9290.0</v>
      </c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1">
        <v>340000.0</v>
      </c>
      <c r="BX1018" s="11">
        <v>135790.0</v>
      </c>
      <c r="BY1018" s="11">
        <v>9420.0</v>
      </c>
      <c r="BZ1018" s="12"/>
      <c r="CA1018" s="12"/>
      <c r="CB1018" s="11">
        <v>12090.0</v>
      </c>
      <c r="CC1018" s="11">
        <v>11410.0</v>
      </c>
      <c r="CD1018" s="11">
        <v>10020.0</v>
      </c>
      <c r="CE1018" s="12"/>
      <c r="CF1018" s="12"/>
      <c r="CG1018" s="12"/>
      <c r="CH1018" s="12"/>
      <c r="CI1018" s="12"/>
      <c r="CJ1018" s="12"/>
      <c r="CK1018" s="12"/>
      <c r="CL1018" s="11">
        <v>356170.0</v>
      </c>
      <c r="CM1018" s="11">
        <v>147630.0</v>
      </c>
      <c r="CN1018" s="11">
        <v>19470.0</v>
      </c>
      <c r="CO1018" s="12"/>
      <c r="CP1018" s="12"/>
      <c r="CQ1018" s="11">
        <v>1860.0</v>
      </c>
      <c r="CR1018" s="12"/>
      <c r="CS1018" s="12"/>
      <c r="CT1018" s="12"/>
      <c r="CU1018" s="12"/>
      <c r="CV1018" s="11">
        <v>15040.0</v>
      </c>
      <c r="CW1018" s="12"/>
      <c r="CX1018" s="12"/>
      <c r="CY1018" s="12"/>
      <c r="CZ1018" s="12"/>
      <c r="DA1018" s="12"/>
      <c r="DB1018" s="11">
        <v>15040.0</v>
      </c>
      <c r="DC1018" s="11">
        <v>10300.0</v>
      </c>
      <c r="DD1018" s="11">
        <v>3120.0</v>
      </c>
      <c r="DE1018" s="12"/>
      <c r="DF1018" s="11">
        <v>34680.0</v>
      </c>
      <c r="DG1018" s="11">
        <v>32350.0</v>
      </c>
      <c r="DH1018" s="11">
        <v>3880.0</v>
      </c>
      <c r="DI1018" s="12"/>
      <c r="DJ1018" s="12"/>
      <c r="DK1018" s="11">
        <v>3330.0</v>
      </c>
      <c r="DL1018" s="12"/>
      <c r="DM1018" s="12"/>
      <c r="DN1018" s="12"/>
      <c r="DO1018" s="12"/>
      <c r="DP1018" s="11">
        <v>3330.0</v>
      </c>
      <c r="DQ1018" s="11">
        <v>73.0</v>
      </c>
      <c r="DR1018" s="11">
        <v>460.0</v>
      </c>
      <c r="DS1018" s="12"/>
      <c r="DT1018" s="12"/>
      <c r="DU1018" s="13"/>
      <c r="DV1018" s="11">
        <v>162220.0</v>
      </c>
      <c r="DW1018" s="11">
        <v>40000.0</v>
      </c>
      <c r="DX1018" s="13"/>
      <c r="DY1018" s="13"/>
      <c r="DZ1018" s="11">
        <v>321480.0</v>
      </c>
      <c r="EA1018" s="11">
        <v>115280.0</v>
      </c>
      <c r="EB1018" s="11">
        <v>15590.0</v>
      </c>
      <c r="EC1018" s="12"/>
      <c r="ED1018" s="12"/>
      <c r="EE1018" s="14">
        <v>0.001</v>
      </c>
      <c r="EF1018" s="23"/>
      <c r="EG1018" s="14">
        <v>-0.06</v>
      </c>
      <c r="EH1018" s="14">
        <v>0.469</v>
      </c>
    </row>
    <row r="1019">
      <c r="A1019" s="9">
        <f t="shared" si="2"/>
        <v>1017</v>
      </c>
      <c r="B1019" s="10" t="s">
        <v>1154</v>
      </c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3"/>
      <c r="BD1019" s="13"/>
      <c r="BE1019" s="13"/>
      <c r="BF1019" s="13"/>
      <c r="BG1019" s="13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3"/>
      <c r="CY1019" s="13"/>
      <c r="CZ1019" s="13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3"/>
      <c r="DV1019" s="12"/>
      <c r="DW1019" s="12"/>
      <c r="DX1019" s="13"/>
      <c r="DY1019" s="12"/>
      <c r="DZ1019" s="12"/>
      <c r="EA1019" s="12"/>
      <c r="EB1019" s="12"/>
      <c r="EC1019" s="12"/>
      <c r="ED1019" s="12"/>
      <c r="EE1019" s="23"/>
      <c r="EF1019" s="23"/>
      <c r="EG1019" s="23"/>
      <c r="EH1019" s="23"/>
    </row>
    <row r="1020">
      <c r="A1020" s="9">
        <f t="shared" si="2"/>
        <v>1018</v>
      </c>
      <c r="B1020" s="32" t="s">
        <v>1155</v>
      </c>
      <c r="C1020" s="12"/>
      <c r="D1020" s="12"/>
      <c r="E1020" s="11">
        <v>201840.0</v>
      </c>
      <c r="F1020" s="11">
        <v>1980.0</v>
      </c>
      <c r="G1020" s="11">
        <v>3170.0</v>
      </c>
      <c r="H1020" s="11">
        <v>172.0</v>
      </c>
      <c r="I1020" s="11">
        <v>6370.0</v>
      </c>
      <c r="J1020" s="11">
        <v>-31090.0</v>
      </c>
      <c r="K1020" s="11">
        <v>-125870.0</v>
      </c>
      <c r="L1020" s="11">
        <v>-104840.0</v>
      </c>
      <c r="M1020" s="11">
        <v>-49350.0</v>
      </c>
      <c r="N1020" s="11">
        <v>-36290.0</v>
      </c>
      <c r="O1020" s="12"/>
      <c r="P1020" s="12"/>
      <c r="Q1020" s="12"/>
      <c r="R1020" s="12"/>
      <c r="S1020" s="12"/>
      <c r="T1020" s="12"/>
      <c r="U1020" s="12"/>
      <c r="V1020" s="12"/>
      <c r="W1020" s="11">
        <v>89960.0</v>
      </c>
      <c r="X1020" s="11">
        <v>96880.0</v>
      </c>
      <c r="Y1020" s="12"/>
      <c r="Z1020" s="11">
        <v>-150870.0</v>
      </c>
      <c r="AA1020" s="11">
        <v>-103540.0</v>
      </c>
      <c r="AB1020" s="12"/>
      <c r="AC1020" s="12"/>
      <c r="AD1020" s="11">
        <v>-43940.0</v>
      </c>
      <c r="AE1020" s="11">
        <v>-169060.0</v>
      </c>
      <c r="AF1020" s="11">
        <v>-118010.0</v>
      </c>
      <c r="AG1020" s="11">
        <v>-160240.0</v>
      </c>
      <c r="AH1020" s="11">
        <v>-141540.0</v>
      </c>
      <c r="AI1020" s="11">
        <v>-14610.0</v>
      </c>
      <c r="AJ1020" s="11">
        <v>-120660.0</v>
      </c>
      <c r="AK1020" s="11">
        <v>-100040.0</v>
      </c>
      <c r="AL1020" s="11">
        <v>-134800.0</v>
      </c>
      <c r="AM1020" s="11">
        <v>-128370.0</v>
      </c>
      <c r="AN1020" s="11">
        <v>-11110.0</v>
      </c>
      <c r="AO1020" s="11">
        <v>-201890.0</v>
      </c>
      <c r="AP1020" s="11">
        <v>-118010.0</v>
      </c>
      <c r="AQ1020" s="11">
        <v>-160240.0</v>
      </c>
      <c r="AR1020" s="11">
        <v>-141540.0</v>
      </c>
      <c r="AS1020" s="11">
        <v>-5520.0</v>
      </c>
      <c r="AT1020" s="11">
        <v>-118840.0</v>
      </c>
      <c r="AU1020" s="11">
        <v>-123630.0</v>
      </c>
      <c r="AV1020" s="11">
        <v>-133010.0</v>
      </c>
      <c r="AW1020" s="11">
        <v>-128130.0</v>
      </c>
      <c r="AX1020" s="11">
        <v>-14220.0</v>
      </c>
      <c r="AY1020" s="11">
        <v>-12030.0</v>
      </c>
      <c r="AZ1020" s="11">
        <v>-21450.0</v>
      </c>
      <c r="BA1020" s="11">
        <v>-7960.0</v>
      </c>
      <c r="BB1020" s="11">
        <v>-19930.0</v>
      </c>
      <c r="BC1020" s="12"/>
      <c r="BD1020" s="12"/>
      <c r="BE1020" s="12"/>
      <c r="BF1020" s="12"/>
      <c r="BG1020" s="12"/>
      <c r="BH1020" s="11">
        <v>435100.0</v>
      </c>
      <c r="BI1020" s="11">
        <v>116270.0</v>
      </c>
      <c r="BJ1020" s="11">
        <v>15580.0</v>
      </c>
      <c r="BK1020" s="11">
        <v>28000.0</v>
      </c>
      <c r="BL1020" s="11">
        <v>46210.0</v>
      </c>
      <c r="BM1020" s="11">
        <v>43910.0</v>
      </c>
      <c r="BN1020" s="11">
        <v>6550.0</v>
      </c>
      <c r="BO1020" s="11">
        <v>36730.0</v>
      </c>
      <c r="BP1020" s="11">
        <v>1430.0</v>
      </c>
      <c r="BQ1020" s="11">
        <v>6830.0</v>
      </c>
      <c r="BR1020" s="11">
        <v>28840.0</v>
      </c>
      <c r="BS1020" s="11">
        <v>7420.0</v>
      </c>
      <c r="BT1020" s="11">
        <v>9750.0</v>
      </c>
      <c r="BU1020" s="11">
        <v>13690.0</v>
      </c>
      <c r="BV1020" s="11">
        <v>16640.0</v>
      </c>
      <c r="BW1020" s="11">
        <v>532220.0</v>
      </c>
      <c r="BX1020" s="11">
        <v>144710.0</v>
      </c>
      <c r="BY1020" s="11">
        <v>80510.0</v>
      </c>
      <c r="BZ1020" s="11">
        <v>50120.0</v>
      </c>
      <c r="CA1020" s="11">
        <v>72570.0</v>
      </c>
      <c r="CB1020" s="11">
        <v>28010.0</v>
      </c>
      <c r="CC1020" s="11">
        <v>14700.0</v>
      </c>
      <c r="CD1020" s="11">
        <v>15530.0</v>
      </c>
      <c r="CE1020" s="11">
        <v>18370.0</v>
      </c>
      <c r="CF1020" s="11">
        <v>21170.0</v>
      </c>
      <c r="CG1020" s="12"/>
      <c r="CH1020" s="12"/>
      <c r="CI1020" s="12"/>
      <c r="CJ1020" s="12"/>
      <c r="CK1020" s="12"/>
      <c r="CL1020" s="11">
        <v>1010000.0</v>
      </c>
      <c r="CM1020" s="11">
        <v>614720.0</v>
      </c>
      <c r="CN1020" s="11">
        <v>568080.0</v>
      </c>
      <c r="CO1020" s="11">
        <v>521580.0</v>
      </c>
      <c r="CP1020" s="11">
        <v>515580.0</v>
      </c>
      <c r="CQ1020" s="11">
        <v>22520.0</v>
      </c>
      <c r="CR1020" s="11">
        <v>17670.0</v>
      </c>
      <c r="CS1020" s="11">
        <v>9260.0</v>
      </c>
      <c r="CT1020" s="11">
        <v>20840.0</v>
      </c>
      <c r="CU1020" s="11">
        <v>27240.0</v>
      </c>
      <c r="CV1020" s="11">
        <v>177110.0</v>
      </c>
      <c r="CW1020" s="11">
        <v>80000.0</v>
      </c>
      <c r="CX1020" s="11">
        <v>139570.0</v>
      </c>
      <c r="CY1020" s="11">
        <v>187260.0</v>
      </c>
      <c r="CZ1020" s="11">
        <v>168730.0</v>
      </c>
      <c r="DA1020" s="11">
        <v>139940.0</v>
      </c>
      <c r="DB1020" s="11">
        <v>177110.0</v>
      </c>
      <c r="DC1020" s="11">
        <v>188720.0</v>
      </c>
      <c r="DD1020" s="11">
        <v>223040.0</v>
      </c>
      <c r="DE1020" s="11">
        <v>221210.0</v>
      </c>
      <c r="DF1020" s="11">
        <v>185960.0</v>
      </c>
      <c r="DG1020" s="11">
        <v>221540.0</v>
      </c>
      <c r="DH1020" s="11">
        <v>223040.0</v>
      </c>
      <c r="DI1020" s="11">
        <v>221210.0</v>
      </c>
      <c r="DJ1020" s="11">
        <v>189530.0</v>
      </c>
      <c r="DK1020" s="11">
        <v>2000.0</v>
      </c>
      <c r="DL1020" s="11">
        <v>2000.0</v>
      </c>
      <c r="DM1020" s="11">
        <v>2.0</v>
      </c>
      <c r="DN1020" s="11">
        <v>2.0</v>
      </c>
      <c r="DO1020" s="11">
        <v>2.0</v>
      </c>
      <c r="DP1020" s="11">
        <v>8850.0</v>
      </c>
      <c r="DQ1020" s="12"/>
      <c r="DR1020" s="12"/>
      <c r="DS1020" s="12"/>
      <c r="DT1020" s="12"/>
      <c r="DU1020" s="13"/>
      <c r="DV1020" s="12"/>
      <c r="DW1020" s="12"/>
      <c r="DX1020" s="12"/>
      <c r="DY1020" s="13"/>
      <c r="DZ1020" s="11">
        <v>828490.0</v>
      </c>
      <c r="EA1020" s="11">
        <v>393180.0</v>
      </c>
      <c r="EB1020" s="11">
        <v>345040.0</v>
      </c>
      <c r="EC1020" s="11">
        <v>300370.0</v>
      </c>
      <c r="ED1020" s="11">
        <v>326050.0</v>
      </c>
      <c r="EE1020" s="23"/>
      <c r="EF1020" s="23"/>
      <c r="EG1020" s="23"/>
      <c r="EH1020" s="23"/>
    </row>
    <row r="1021">
      <c r="A1021" s="9">
        <f t="shared" si="2"/>
        <v>1019</v>
      </c>
      <c r="B1021" s="22" t="s">
        <v>1156</v>
      </c>
      <c r="C1021" s="12"/>
      <c r="D1021" s="12"/>
      <c r="E1021" s="12"/>
      <c r="F1021" s="12"/>
      <c r="G1021" s="12"/>
      <c r="H1021" s="12"/>
      <c r="I1021" s="12"/>
      <c r="J1021" s="11">
        <v>-737.0</v>
      </c>
      <c r="K1021" s="11">
        <v>-109.0</v>
      </c>
      <c r="L1021" s="11">
        <v>-70.0</v>
      </c>
      <c r="M1021" s="11">
        <v>-46.0</v>
      </c>
      <c r="N1021" s="11">
        <v>-36.0</v>
      </c>
      <c r="O1021" s="11">
        <v>106370.0</v>
      </c>
      <c r="P1021" s="11">
        <v>77060.0</v>
      </c>
      <c r="Q1021" s="11">
        <v>67410.0</v>
      </c>
      <c r="R1021" s="11">
        <v>30120.0</v>
      </c>
      <c r="S1021" s="11">
        <v>19810.0</v>
      </c>
      <c r="T1021" s="11">
        <v>87620.0</v>
      </c>
      <c r="U1021" s="11">
        <v>62810.0</v>
      </c>
      <c r="V1021" s="11">
        <v>54870.0</v>
      </c>
      <c r="W1021" s="11">
        <v>23680.0</v>
      </c>
      <c r="X1021" s="11">
        <v>16860.0</v>
      </c>
      <c r="Y1021" s="12"/>
      <c r="Z1021" s="12"/>
      <c r="AA1021" s="12"/>
      <c r="AB1021" s="12"/>
      <c r="AC1021" s="12"/>
      <c r="AD1021" s="11">
        <v>-108720.0</v>
      </c>
      <c r="AE1021" s="11">
        <v>-76760.0</v>
      </c>
      <c r="AF1021" s="11">
        <v>-66880.0</v>
      </c>
      <c r="AG1021" s="11">
        <v>-30200.0</v>
      </c>
      <c r="AH1021" s="11">
        <v>-19870.0</v>
      </c>
      <c r="AI1021" s="11">
        <v>-106370.0</v>
      </c>
      <c r="AJ1021" s="11">
        <v>-77060.0</v>
      </c>
      <c r="AK1021" s="11">
        <v>-67410.0</v>
      </c>
      <c r="AL1021" s="11">
        <v>-30120.0</v>
      </c>
      <c r="AM1021" s="11">
        <v>-19810.0</v>
      </c>
      <c r="AN1021" s="11">
        <v>-108790.0</v>
      </c>
      <c r="AO1021" s="11">
        <v>-76720.0</v>
      </c>
      <c r="AP1021" s="11">
        <v>-66930.0</v>
      </c>
      <c r="AQ1021" s="11">
        <v>-30200.0</v>
      </c>
      <c r="AR1021" s="11">
        <v>-19870.0</v>
      </c>
      <c r="AS1021" s="11">
        <v>-91430.0</v>
      </c>
      <c r="AT1021" s="11">
        <v>-63940.0</v>
      </c>
      <c r="AU1021" s="11">
        <v>-55720.0</v>
      </c>
      <c r="AV1021" s="11">
        <v>-28560.0</v>
      </c>
      <c r="AW1021" s="11">
        <v>-13910.0</v>
      </c>
      <c r="AX1021" s="11">
        <v>-5050.0</v>
      </c>
      <c r="AY1021" s="11">
        <v>-188.0</v>
      </c>
      <c r="AZ1021" s="11">
        <v>-5190.0</v>
      </c>
      <c r="BA1021" s="11">
        <v>-45.0</v>
      </c>
      <c r="BB1021" s="11">
        <v>-10050.0</v>
      </c>
      <c r="BC1021" s="12"/>
      <c r="BD1021" s="12"/>
      <c r="BE1021" s="12"/>
      <c r="BF1021" s="12"/>
      <c r="BG1021" s="12"/>
      <c r="BH1021" s="11">
        <v>69370.0</v>
      </c>
      <c r="BI1021" s="11">
        <v>138640.0</v>
      </c>
      <c r="BJ1021" s="11">
        <v>110840.0</v>
      </c>
      <c r="BK1021" s="11">
        <v>25510.0</v>
      </c>
      <c r="BL1021" s="11">
        <v>54280.0</v>
      </c>
      <c r="BM1021" s="11">
        <v>1040.0</v>
      </c>
      <c r="BN1021" s="11">
        <v>885.0</v>
      </c>
      <c r="BO1021" s="11">
        <v>783.0</v>
      </c>
      <c r="BP1021" s="11">
        <v>783.0</v>
      </c>
      <c r="BQ1021" s="11">
        <v>69.0</v>
      </c>
      <c r="BR1021" s="12"/>
      <c r="BS1021" s="12"/>
      <c r="BT1021" s="12"/>
      <c r="BU1021" s="12"/>
      <c r="BV1021" s="12"/>
      <c r="BW1021" s="11">
        <v>74770.0</v>
      </c>
      <c r="BX1021" s="11">
        <v>145240.0</v>
      </c>
      <c r="BY1021" s="11">
        <v>113110.0</v>
      </c>
      <c r="BZ1021" s="11">
        <v>28710.0</v>
      </c>
      <c r="CA1021" s="11">
        <v>54520.0</v>
      </c>
      <c r="CB1021" s="11">
        <v>2290.0</v>
      </c>
      <c r="CC1021" s="11">
        <v>319.0</v>
      </c>
      <c r="CD1021" s="11">
        <v>323.0</v>
      </c>
      <c r="CE1021" s="11">
        <v>121.0</v>
      </c>
      <c r="CF1021" s="11">
        <v>124.0</v>
      </c>
      <c r="CG1021" s="12"/>
      <c r="CH1021" s="12"/>
      <c r="CI1021" s="12"/>
      <c r="CJ1021" s="12"/>
      <c r="CK1021" s="12"/>
      <c r="CL1021" s="11">
        <v>103940.0</v>
      </c>
      <c r="CM1021" s="11">
        <v>167440.0</v>
      </c>
      <c r="CN1021" s="11">
        <v>135240.0</v>
      </c>
      <c r="CO1021" s="11">
        <v>45530.0</v>
      </c>
      <c r="CP1021" s="11">
        <v>71590.0</v>
      </c>
      <c r="CQ1021" s="12"/>
      <c r="CR1021" s="12"/>
      <c r="CS1021" s="12"/>
      <c r="CT1021" s="12"/>
      <c r="CU1021" s="12"/>
      <c r="CV1021" s="11">
        <v>19470.0</v>
      </c>
      <c r="CW1021" s="12"/>
      <c r="CX1021" s="12"/>
      <c r="CY1021" s="12"/>
      <c r="CZ1021" s="12"/>
      <c r="DA1021" s="12"/>
      <c r="DB1021" s="11">
        <v>19470.0</v>
      </c>
      <c r="DC1021" s="11">
        <v>16930.0</v>
      </c>
      <c r="DD1021" s="11">
        <v>9430.0</v>
      </c>
      <c r="DE1021" s="11">
        <v>6650.0</v>
      </c>
      <c r="DF1021" s="11">
        <v>54990.0</v>
      </c>
      <c r="DG1021" s="11">
        <v>20520.0</v>
      </c>
      <c r="DH1021" s="11">
        <v>12580.0</v>
      </c>
      <c r="DI1021" s="11">
        <v>9480.0</v>
      </c>
      <c r="DJ1021" s="11">
        <v>6920.0</v>
      </c>
      <c r="DK1021" s="12"/>
      <c r="DL1021" s="12"/>
      <c r="DM1021" s="12"/>
      <c r="DN1021" s="12"/>
      <c r="DO1021" s="24">
        <v>91.0</v>
      </c>
      <c r="DP1021" s="11">
        <v>26460.0</v>
      </c>
      <c r="DQ1021" s="12"/>
      <c r="DR1021" s="12"/>
      <c r="DS1021" s="12"/>
      <c r="DT1021" s="12"/>
      <c r="DU1021" s="13"/>
      <c r="DV1021" s="12"/>
      <c r="DW1021" s="12"/>
      <c r="DX1021" s="13"/>
      <c r="DY1021" s="13"/>
      <c r="DZ1021" s="11">
        <v>48960.0</v>
      </c>
      <c r="EA1021" s="11">
        <v>146920.0</v>
      </c>
      <c r="EB1021" s="11">
        <v>122650.0</v>
      </c>
      <c r="EC1021" s="11">
        <v>36040.0</v>
      </c>
      <c r="ED1021" s="11">
        <v>64680.0</v>
      </c>
      <c r="EE1021" s="23"/>
      <c r="EF1021" s="23"/>
      <c r="EG1021" s="14">
        <v>0.095</v>
      </c>
      <c r="EH1021" s="14">
        <v>0.125</v>
      </c>
    </row>
    <row r="1022">
      <c r="A1022" s="9">
        <f t="shared" si="2"/>
        <v>1020</v>
      </c>
      <c r="B1022" s="10" t="s">
        <v>1157</v>
      </c>
      <c r="C1022" s="11">
        <v>6860000.0</v>
      </c>
      <c r="D1022" s="11">
        <v>6430000.0</v>
      </c>
      <c r="E1022" s="11">
        <v>7160000.0</v>
      </c>
      <c r="F1022" s="11">
        <v>7060000.0</v>
      </c>
      <c r="G1022" s="11">
        <v>6380000.0</v>
      </c>
      <c r="H1022" s="11">
        <v>5680000.0</v>
      </c>
      <c r="I1022" s="11">
        <v>5350000.0</v>
      </c>
      <c r="J1022" s="11">
        <v>1630000.0</v>
      </c>
      <c r="K1022" s="11">
        <v>1650000.0</v>
      </c>
      <c r="L1022" s="11">
        <v>1590000.0</v>
      </c>
      <c r="M1022" s="11">
        <v>1420000.0</v>
      </c>
      <c r="N1022" s="11">
        <v>1170000.0</v>
      </c>
      <c r="O1022" s="11">
        <v>785000.0</v>
      </c>
      <c r="P1022" s="11">
        <v>782000.0</v>
      </c>
      <c r="Q1022" s="11">
        <v>699000.0</v>
      </c>
      <c r="R1022" s="11">
        <v>660000.0</v>
      </c>
      <c r="S1022" s="11">
        <v>598000.0</v>
      </c>
      <c r="T1022" s="11">
        <v>87000.0</v>
      </c>
      <c r="U1022" s="11">
        <v>89000.0</v>
      </c>
      <c r="V1022" s="11">
        <v>85000.0</v>
      </c>
      <c r="W1022" s="11">
        <v>82000.0</v>
      </c>
      <c r="X1022" s="11">
        <v>73000.0</v>
      </c>
      <c r="Y1022" s="11">
        <v>831000.0</v>
      </c>
      <c r="Z1022" s="11">
        <v>894000.0</v>
      </c>
      <c r="AA1022" s="11">
        <v>-146000.0</v>
      </c>
      <c r="AB1022" s="11">
        <v>712000.0</v>
      </c>
      <c r="AC1022" s="11">
        <v>8000.0</v>
      </c>
      <c r="AD1022" s="11">
        <v>590000.0</v>
      </c>
      <c r="AE1022" s="11">
        <v>704000.0</v>
      </c>
      <c r="AF1022" s="11">
        <v>559000.0</v>
      </c>
      <c r="AG1022" s="11">
        <v>590000.0</v>
      </c>
      <c r="AH1022" s="11">
        <v>453000.0</v>
      </c>
      <c r="AI1022" s="11">
        <v>1290000.0</v>
      </c>
      <c r="AJ1022" s="11">
        <v>1300000.0</v>
      </c>
      <c r="AK1022" s="11">
        <v>1270000.0</v>
      </c>
      <c r="AL1022" s="11">
        <v>1110000.0</v>
      </c>
      <c r="AM1022" s="11">
        <v>875000.0</v>
      </c>
      <c r="AN1022" s="11">
        <v>405000.0</v>
      </c>
      <c r="AO1022" s="11">
        <v>545000.0</v>
      </c>
      <c r="AP1022" s="11">
        <v>289000.0</v>
      </c>
      <c r="AQ1022" s="11">
        <v>393000.0</v>
      </c>
      <c r="AR1022" s="11">
        <v>330000.0</v>
      </c>
      <c r="AS1022" s="11">
        <v>1040000.0</v>
      </c>
      <c r="AT1022" s="11">
        <v>803000.0</v>
      </c>
      <c r="AU1022" s="11">
        <v>1020000.0</v>
      </c>
      <c r="AV1022" s="11">
        <v>943000.0</v>
      </c>
      <c r="AW1022" s="11">
        <v>742000.0</v>
      </c>
      <c r="AX1022" s="11">
        <v>-447000.0</v>
      </c>
      <c r="AY1022" s="11">
        <v>-537000.0</v>
      </c>
      <c r="AZ1022" s="11">
        <v>-337000.0</v>
      </c>
      <c r="BA1022" s="11">
        <v>-373000.0</v>
      </c>
      <c r="BB1022" s="11">
        <v>-393000.0</v>
      </c>
      <c r="BC1022" s="11">
        <v>-95000.0</v>
      </c>
      <c r="BD1022" s="24">
        <v>-92000.0</v>
      </c>
      <c r="BE1022" s="24">
        <v>-89000.0</v>
      </c>
      <c r="BF1022" s="24">
        <v>-81000.0</v>
      </c>
      <c r="BG1022" s="24">
        <v>-78000.0</v>
      </c>
      <c r="BH1022" s="11">
        <v>179000.0</v>
      </c>
      <c r="BI1022" s="11">
        <v>85000.0</v>
      </c>
      <c r="BJ1022" s="11">
        <v>253000.0</v>
      </c>
      <c r="BK1022" s="11">
        <v>118000.0</v>
      </c>
      <c r="BL1022" s="11">
        <v>96000.0</v>
      </c>
      <c r="BM1022" s="11">
        <v>770000.0</v>
      </c>
      <c r="BN1022" s="11">
        <v>794000.0</v>
      </c>
      <c r="BO1022" s="11">
        <v>806000.0</v>
      </c>
      <c r="BP1022" s="11">
        <v>678000.0</v>
      </c>
      <c r="BQ1022" s="11">
        <v>709000.0</v>
      </c>
      <c r="BR1022" s="11">
        <v>1030000.0</v>
      </c>
      <c r="BS1022" s="11">
        <v>1070000.0</v>
      </c>
      <c r="BT1022" s="11">
        <v>841000.0</v>
      </c>
      <c r="BU1022" s="11">
        <v>710000.0</v>
      </c>
      <c r="BV1022" s="11">
        <v>644000.0</v>
      </c>
      <c r="BW1022" s="11">
        <v>2060000.0</v>
      </c>
      <c r="BX1022" s="11">
        <v>2020000.0</v>
      </c>
      <c r="BY1022" s="11">
        <v>1990000.0</v>
      </c>
      <c r="BZ1022" s="11">
        <v>1590000.0</v>
      </c>
      <c r="CA1022" s="11">
        <v>1510000.0</v>
      </c>
      <c r="CB1022" s="11">
        <v>4060000.0</v>
      </c>
      <c r="CC1022" s="11">
        <v>3810000.0</v>
      </c>
      <c r="CD1022" s="11">
        <v>3430000.0</v>
      </c>
      <c r="CE1022" s="11">
        <v>3110000.0</v>
      </c>
      <c r="CF1022" s="11">
        <v>2960000.0</v>
      </c>
      <c r="CG1022" s="11">
        <v>1930000.0</v>
      </c>
      <c r="CH1022" s="11">
        <v>1950000.0</v>
      </c>
      <c r="CI1022" s="11">
        <v>1510000.0</v>
      </c>
      <c r="CJ1022" s="11">
        <v>1340000.0</v>
      </c>
      <c r="CK1022" s="11">
        <v>1170000.0</v>
      </c>
      <c r="CL1022" s="11">
        <v>1.001E7</v>
      </c>
      <c r="CM1022" s="11">
        <v>9770000.0</v>
      </c>
      <c r="CN1022" s="11">
        <v>8630000.0</v>
      </c>
      <c r="CO1022" s="11">
        <v>7740000.0</v>
      </c>
      <c r="CP1022" s="11">
        <v>7330000.0</v>
      </c>
      <c r="CQ1022" s="11">
        <v>815000.0</v>
      </c>
      <c r="CR1022" s="11">
        <v>851000.0</v>
      </c>
      <c r="CS1022" s="11">
        <v>834000.0</v>
      </c>
      <c r="CT1022" s="11">
        <v>615000.0</v>
      </c>
      <c r="CU1022" s="11">
        <v>535000.0</v>
      </c>
      <c r="CV1022" s="11">
        <v>1330000.0</v>
      </c>
      <c r="CW1022" s="11">
        <v>66000.0</v>
      </c>
      <c r="CX1022" s="24">
        <v>16000.0</v>
      </c>
      <c r="CY1022" s="24">
        <v>1000.0</v>
      </c>
      <c r="CZ1022" s="13"/>
      <c r="DA1022" s="11">
        <v>6000.0</v>
      </c>
      <c r="DB1022" s="11">
        <v>1330000.0</v>
      </c>
      <c r="DC1022" s="11">
        <v>1280000.0</v>
      </c>
      <c r="DD1022" s="11">
        <v>1280000.0</v>
      </c>
      <c r="DE1022" s="11">
        <v>963000.0</v>
      </c>
      <c r="DF1022" s="11">
        <v>5340000.0</v>
      </c>
      <c r="DG1022" s="11">
        <v>5450000.0</v>
      </c>
      <c r="DH1022" s="11">
        <v>4430000.0</v>
      </c>
      <c r="DI1022" s="11">
        <v>3850000.0</v>
      </c>
      <c r="DJ1022" s="11">
        <v>3550000.0</v>
      </c>
      <c r="DK1022" s="11">
        <v>52000.0</v>
      </c>
      <c r="DL1022" s="11">
        <v>51000.0</v>
      </c>
      <c r="DM1022" s="11">
        <v>52000.0</v>
      </c>
      <c r="DN1022" s="11">
        <v>50000.0</v>
      </c>
      <c r="DO1022" s="11">
        <v>54000.0</v>
      </c>
      <c r="DP1022" s="11">
        <v>3120000.0</v>
      </c>
      <c r="DQ1022" s="11">
        <v>3360000.0</v>
      </c>
      <c r="DR1022" s="11">
        <v>2410000.0</v>
      </c>
      <c r="DS1022" s="11">
        <v>2100000.0</v>
      </c>
      <c r="DT1022" s="11">
        <v>1700000.0</v>
      </c>
      <c r="DU1022" s="13"/>
      <c r="DV1022" s="12"/>
      <c r="DW1022" s="12"/>
      <c r="DX1022" s="13"/>
      <c r="DY1022" s="13"/>
      <c r="DZ1022" s="11">
        <v>4630000.0</v>
      </c>
      <c r="EA1022" s="11">
        <v>4280000.0</v>
      </c>
      <c r="EB1022" s="11">
        <v>4160000.0</v>
      </c>
      <c r="EC1022" s="11">
        <v>3850000.0</v>
      </c>
      <c r="ED1022" s="11">
        <v>3740000.0</v>
      </c>
      <c r="EE1022" s="23">
        <v>0.088646967</v>
      </c>
      <c r="EF1022" s="23">
        <v>0.056851312</v>
      </c>
      <c r="EG1022" s="14">
        <v>0.111</v>
      </c>
      <c r="EH1022" s="23">
        <v>0.0835</v>
      </c>
    </row>
    <row r="1023">
      <c r="A1023" s="9">
        <f t="shared" si="2"/>
        <v>1021</v>
      </c>
      <c r="B1023" s="22" t="s">
        <v>1158</v>
      </c>
      <c r="C1023" s="11">
        <v>54300.0</v>
      </c>
      <c r="D1023" s="11">
        <v>13830.0</v>
      </c>
      <c r="E1023" s="11">
        <v>4230.0</v>
      </c>
      <c r="F1023" s="11">
        <v>1990.0</v>
      </c>
      <c r="G1023" s="11">
        <v>1920.0</v>
      </c>
      <c r="H1023" s="11">
        <v>1890.0</v>
      </c>
      <c r="I1023" s="11">
        <v>1750.0</v>
      </c>
      <c r="J1023" s="11">
        <v>637.0</v>
      </c>
      <c r="K1023" s="11">
        <v>-761.0</v>
      </c>
      <c r="L1023" s="11">
        <v>-159.0</v>
      </c>
      <c r="M1023" s="11">
        <v>1000.0</v>
      </c>
      <c r="N1023" s="11">
        <v>677.0</v>
      </c>
      <c r="O1023" s="11">
        <v>86440.0</v>
      </c>
      <c r="P1023" s="11">
        <v>58360.0</v>
      </c>
      <c r="Q1023" s="11">
        <v>59260.0</v>
      </c>
      <c r="R1023" s="11">
        <v>44330.0</v>
      </c>
      <c r="S1023" s="11">
        <v>38870.0</v>
      </c>
      <c r="T1023" s="11">
        <v>41090.0</v>
      </c>
      <c r="U1023" s="11">
        <v>36920.0</v>
      </c>
      <c r="V1023" s="11">
        <v>30190.0</v>
      </c>
      <c r="W1023" s="11">
        <v>27070.0</v>
      </c>
      <c r="X1023" s="11">
        <v>26610.0</v>
      </c>
      <c r="Y1023" s="11">
        <v>-81490.0</v>
      </c>
      <c r="Z1023" s="12"/>
      <c r="AA1023" s="11">
        <v>-61920.0</v>
      </c>
      <c r="AB1023" s="12"/>
      <c r="AC1023" s="12"/>
      <c r="AD1023" s="11">
        <v>-86370.0</v>
      </c>
      <c r="AE1023" s="11">
        <v>-59980.0</v>
      </c>
      <c r="AF1023" s="11">
        <v>-63390.0</v>
      </c>
      <c r="AG1023" s="11">
        <v>-44700.0</v>
      </c>
      <c r="AH1023" s="11">
        <v>-39750.0</v>
      </c>
      <c r="AI1023" s="11">
        <v>-83270.0</v>
      </c>
      <c r="AJ1023" s="11">
        <v>-56830.0</v>
      </c>
      <c r="AK1023" s="11">
        <v>-57790.0</v>
      </c>
      <c r="AL1023" s="11">
        <v>-42450.0</v>
      </c>
      <c r="AM1023" s="11">
        <v>-37440.0</v>
      </c>
      <c r="AN1023" s="11">
        <v>-86370.0</v>
      </c>
      <c r="AO1023" s="11">
        <v>-59980.0</v>
      </c>
      <c r="AP1023" s="11">
        <v>-63390.0</v>
      </c>
      <c r="AQ1023" s="11">
        <v>-44700.0</v>
      </c>
      <c r="AR1023" s="11">
        <v>-39750.0</v>
      </c>
      <c r="AS1023" s="11">
        <v>-76730.0</v>
      </c>
      <c r="AT1023" s="11">
        <v>-49230.0</v>
      </c>
      <c r="AU1023" s="11">
        <v>-50470.0</v>
      </c>
      <c r="AV1023" s="11">
        <v>-34000.0</v>
      </c>
      <c r="AW1023" s="11">
        <v>-33740.0</v>
      </c>
      <c r="AX1023" s="11">
        <v>-2240.0</v>
      </c>
      <c r="AY1023" s="11">
        <v>-1890.0</v>
      </c>
      <c r="AZ1023" s="11">
        <v>-8250.0</v>
      </c>
      <c r="BA1023" s="11">
        <v>-1920.0</v>
      </c>
      <c r="BB1023" s="11">
        <v>-1780.0</v>
      </c>
      <c r="BC1023" s="12"/>
      <c r="BD1023" s="12"/>
      <c r="BE1023" s="12"/>
      <c r="BF1023" s="12"/>
      <c r="BG1023" s="12"/>
      <c r="BH1023" s="11">
        <v>54440.0</v>
      </c>
      <c r="BI1023" s="11">
        <v>54060.0</v>
      </c>
      <c r="BJ1023" s="11">
        <v>41540.0</v>
      </c>
      <c r="BK1023" s="11">
        <v>68150.0</v>
      </c>
      <c r="BL1023" s="11">
        <v>105060.0</v>
      </c>
      <c r="BM1023" s="11">
        <v>2550.0</v>
      </c>
      <c r="BN1023" s="11">
        <v>201.0</v>
      </c>
      <c r="BO1023" s="11">
        <v>226.0</v>
      </c>
      <c r="BP1023" s="11">
        <v>250.0</v>
      </c>
      <c r="BQ1023" s="11">
        <v>193.0</v>
      </c>
      <c r="BR1023" s="11">
        <v>954.0</v>
      </c>
      <c r="BS1023" s="11">
        <v>217.0</v>
      </c>
      <c r="BT1023" s="11">
        <v>122.0</v>
      </c>
      <c r="BU1023" s="11">
        <v>113.0</v>
      </c>
      <c r="BV1023" s="11">
        <v>134.0</v>
      </c>
      <c r="BW1023" s="11">
        <v>60170.0</v>
      </c>
      <c r="BX1023" s="11">
        <v>56190.0</v>
      </c>
      <c r="BY1023" s="11">
        <v>43230.0</v>
      </c>
      <c r="BZ1023" s="11">
        <v>69900.0</v>
      </c>
      <c r="CA1023" s="11">
        <v>106980.0</v>
      </c>
      <c r="CB1023" s="11">
        <v>16810.0</v>
      </c>
      <c r="CC1023" s="11">
        <v>10240.0</v>
      </c>
      <c r="CD1023" s="11">
        <v>10480.0</v>
      </c>
      <c r="CE1023" s="11">
        <v>3310.0</v>
      </c>
      <c r="CF1023" s="11">
        <v>3100.0</v>
      </c>
      <c r="CG1023" s="12"/>
      <c r="CH1023" s="12"/>
      <c r="CI1023" s="12"/>
      <c r="CJ1023" s="12"/>
      <c r="CK1023" s="12"/>
      <c r="CL1023" s="11">
        <v>78740.0</v>
      </c>
      <c r="CM1023" s="11">
        <v>73040.0</v>
      </c>
      <c r="CN1023" s="11">
        <v>55430.0</v>
      </c>
      <c r="CO1023" s="11">
        <v>74940.0</v>
      </c>
      <c r="CP1023" s="11">
        <v>110310.0</v>
      </c>
      <c r="CQ1023" s="11">
        <v>3270.0</v>
      </c>
      <c r="CR1023" s="11">
        <v>2970.0</v>
      </c>
      <c r="CS1023" s="11">
        <v>3570.0</v>
      </c>
      <c r="CT1023" s="11">
        <v>2120.0</v>
      </c>
      <c r="CU1023" s="11">
        <v>1960.0</v>
      </c>
      <c r="CV1023" s="11">
        <v>12030.0</v>
      </c>
      <c r="CW1023" s="11">
        <v>1130.0</v>
      </c>
      <c r="CX1023" s="12"/>
      <c r="CY1023" s="12"/>
      <c r="CZ1023" s="12"/>
      <c r="DA1023" s="12"/>
      <c r="DB1023" s="11">
        <v>12030.0</v>
      </c>
      <c r="DC1023" s="11">
        <v>9160.0</v>
      </c>
      <c r="DD1023" s="11">
        <v>13430.0</v>
      </c>
      <c r="DE1023" s="11">
        <v>8300.0</v>
      </c>
      <c r="DF1023" s="11">
        <v>82370.0</v>
      </c>
      <c r="DG1023" s="11">
        <v>37170.0</v>
      </c>
      <c r="DH1023" s="11">
        <v>29280.0</v>
      </c>
      <c r="DI1023" s="11">
        <v>22930.0</v>
      </c>
      <c r="DJ1023" s="11">
        <v>20720.0</v>
      </c>
      <c r="DK1023" s="11">
        <v>1760.0</v>
      </c>
      <c r="DL1023" s="11">
        <v>6610.0</v>
      </c>
      <c r="DM1023" s="11">
        <v>1610.0</v>
      </c>
      <c r="DN1023" s="11">
        <v>1730.0</v>
      </c>
      <c r="DO1023" s="24">
        <v>228.0</v>
      </c>
      <c r="DP1023" s="11">
        <v>58220.0</v>
      </c>
      <c r="DQ1023" s="11">
        <v>24790.0</v>
      </c>
      <c r="DR1023" s="11">
        <v>12470.0</v>
      </c>
      <c r="DS1023" s="11">
        <v>14090.0</v>
      </c>
      <c r="DT1023" s="11">
        <v>15270.0</v>
      </c>
      <c r="DU1023" s="13"/>
      <c r="DV1023" s="12"/>
      <c r="DW1023" s="12"/>
      <c r="DX1023" s="13"/>
      <c r="DY1023" s="13"/>
      <c r="DZ1023" s="11">
        <v>-3630.0</v>
      </c>
      <c r="EA1023" s="11">
        <v>35880.0</v>
      </c>
      <c r="EB1023" s="11">
        <v>26150.0</v>
      </c>
      <c r="EC1023" s="11">
        <v>52010.0</v>
      </c>
      <c r="ED1023" s="11">
        <v>89590.0</v>
      </c>
      <c r="EE1023" s="14">
        <v>0.304</v>
      </c>
      <c r="EF1023" s="14">
        <v>0.656</v>
      </c>
      <c r="EG1023" s="14">
        <v>-1.065</v>
      </c>
      <c r="EH1023" s="14">
        <v>-0.301</v>
      </c>
    </row>
    <row r="1024">
      <c r="A1024" s="9">
        <f t="shared" si="2"/>
        <v>1022</v>
      </c>
      <c r="B1024" s="25" t="s">
        <v>1159</v>
      </c>
      <c r="C1024" s="15"/>
      <c r="D1024" s="15"/>
      <c r="E1024" s="15">
        <v>277030.0</v>
      </c>
      <c r="F1024" s="15">
        <v>266000.0</v>
      </c>
      <c r="G1024" s="15">
        <v>262310.0</v>
      </c>
      <c r="H1024" s="15">
        <v>262310.0</v>
      </c>
      <c r="I1024" s="15">
        <v>261400.0</v>
      </c>
      <c r="J1024" s="15">
        <v>65660.0</v>
      </c>
      <c r="K1024" s="15">
        <v>71920.0</v>
      </c>
      <c r="L1024" s="15">
        <v>73710.0</v>
      </c>
      <c r="M1024" s="15">
        <v>77150.0</v>
      </c>
      <c r="N1024" s="15">
        <v>60160.0</v>
      </c>
      <c r="O1024" s="15">
        <v>55250.0</v>
      </c>
      <c r="P1024" s="15">
        <v>56050.0</v>
      </c>
      <c r="Q1024" s="15">
        <v>58480.0</v>
      </c>
      <c r="R1024" s="15">
        <v>61740.0</v>
      </c>
      <c r="S1024" s="15">
        <v>44890.0</v>
      </c>
      <c r="T1024" s="15">
        <v>3200.0</v>
      </c>
      <c r="U1024" s="15">
        <v>3430.0</v>
      </c>
      <c r="V1024" s="15">
        <v>3220.0</v>
      </c>
      <c r="W1024" s="15">
        <v>3030.0</v>
      </c>
      <c r="X1024" s="15">
        <v>2810.0</v>
      </c>
      <c r="Y1024" s="12"/>
      <c r="Z1024" s="12"/>
      <c r="AA1024" s="12"/>
      <c r="AB1024" s="15"/>
      <c r="AC1024" s="15">
        <v>15150.0</v>
      </c>
      <c r="AD1024" s="15">
        <v>14550.0</v>
      </c>
      <c r="AE1024" s="15">
        <v>14870.0</v>
      </c>
      <c r="AF1024" s="15">
        <v>14550.0</v>
      </c>
      <c r="AG1024" s="15">
        <v>14360.0</v>
      </c>
      <c r="AH1024" s="15">
        <v>14170.0</v>
      </c>
      <c r="AI1024" s="15">
        <v>23740.0</v>
      </c>
      <c r="AJ1024" s="15">
        <v>28630.0</v>
      </c>
      <c r="AK1024" s="15">
        <v>28000.0</v>
      </c>
      <c r="AL1024" s="15">
        <v>27610.0</v>
      </c>
      <c r="AM1024" s="15">
        <v>27260.0</v>
      </c>
      <c r="AN1024" s="15">
        <v>12120.0</v>
      </c>
      <c r="AO1024" s="15">
        <v>8050.0</v>
      </c>
      <c r="AP1024" s="15">
        <v>10540.0</v>
      </c>
      <c r="AQ1024" s="15">
        <v>13300.0</v>
      </c>
      <c r="AR1024" s="15">
        <v>11220.0</v>
      </c>
      <c r="AS1024" s="15">
        <v>26740.0</v>
      </c>
      <c r="AT1024" s="15">
        <v>10610.0</v>
      </c>
      <c r="AU1024" s="15">
        <v>26950.0</v>
      </c>
      <c r="AV1024" s="15">
        <v>25170.0</v>
      </c>
      <c r="AW1024" s="15">
        <v>26980.0</v>
      </c>
      <c r="AX1024" s="15">
        <v>-15030.0</v>
      </c>
      <c r="AY1024" s="15">
        <v>-15070.0</v>
      </c>
      <c r="AZ1024" s="15">
        <v>-14760.0</v>
      </c>
      <c r="BA1024" s="15">
        <v>-10680.0</v>
      </c>
      <c r="BB1024" s="15">
        <v>-15860.0</v>
      </c>
      <c r="BC1024" s="15">
        <v>-6660.0</v>
      </c>
      <c r="BD1024" s="15">
        <v>-6230.0</v>
      </c>
      <c r="BE1024" s="15">
        <v>-5930.0</v>
      </c>
      <c r="BF1024" s="15">
        <v>-5600.0</v>
      </c>
      <c r="BG1024" s="15">
        <v>-5250.0</v>
      </c>
      <c r="BH1024" s="15">
        <v>21860.0</v>
      </c>
      <c r="BI1024" s="15">
        <v>19880.0</v>
      </c>
      <c r="BJ1024" s="15">
        <v>32670.0</v>
      </c>
      <c r="BK1024" s="15">
        <v>28810.0</v>
      </c>
      <c r="BL1024" s="15">
        <v>22330.0</v>
      </c>
      <c r="BM1024" s="15">
        <v>35460.0</v>
      </c>
      <c r="BN1024" s="15">
        <v>33600.0</v>
      </c>
      <c r="BO1024" s="15">
        <v>32750.0</v>
      </c>
      <c r="BP1024" s="15">
        <v>30390.0</v>
      </c>
      <c r="BQ1024" s="15">
        <v>31470.0</v>
      </c>
      <c r="BR1024" s="15">
        <v>24160.0</v>
      </c>
      <c r="BS1024" s="15">
        <v>22520.0</v>
      </c>
      <c r="BT1024" s="15">
        <v>22620.0</v>
      </c>
      <c r="BU1024" s="15">
        <v>23250.0</v>
      </c>
      <c r="BV1024" s="15">
        <v>21370.0</v>
      </c>
      <c r="BW1024" s="15">
        <v>89280.0</v>
      </c>
      <c r="BX1024" s="15">
        <v>83010.0</v>
      </c>
      <c r="BY1024" s="15">
        <v>97020.0</v>
      </c>
      <c r="BZ1024" s="15">
        <v>91170.0</v>
      </c>
      <c r="CA1024" s="15">
        <v>82640.0</v>
      </c>
      <c r="CB1024" s="15">
        <v>90800.0</v>
      </c>
      <c r="CC1024" s="15">
        <v>86710.0</v>
      </c>
      <c r="CD1024" s="15">
        <v>84030.0</v>
      </c>
      <c r="CE1024" s="15">
        <v>80710.0</v>
      </c>
      <c r="CF1024" s="15">
        <v>79660.0</v>
      </c>
      <c r="CG1024" s="15">
        <v>9260.0</v>
      </c>
      <c r="CH1024" s="15">
        <v>9260.0</v>
      </c>
      <c r="CI1024" s="15">
        <v>9030.0</v>
      </c>
      <c r="CJ1024" s="15">
        <v>9030.0</v>
      </c>
      <c r="CK1024" s="15">
        <v>9030.0</v>
      </c>
      <c r="CL1024" s="15">
        <v>205230.0</v>
      </c>
      <c r="CM1024" s="15">
        <v>194680.0</v>
      </c>
      <c r="CN1024" s="15">
        <v>212580.0</v>
      </c>
      <c r="CO1024" s="15">
        <v>204820.0</v>
      </c>
      <c r="CP1024" s="15">
        <v>190030.0</v>
      </c>
      <c r="CQ1024" s="15">
        <v>8090.0</v>
      </c>
      <c r="CR1024" s="15">
        <v>6540.0</v>
      </c>
      <c r="CS1024" s="15">
        <v>9590.0</v>
      </c>
      <c r="CT1024" s="15">
        <v>6640.0</v>
      </c>
      <c r="CU1024" s="15">
        <v>7430.0</v>
      </c>
      <c r="CV1024" s="15">
        <v>32610.0</v>
      </c>
      <c r="CW1024" s="15"/>
      <c r="CX1024" s="15"/>
      <c r="CY1024" s="15"/>
      <c r="CZ1024" s="15"/>
      <c r="DA1024" s="15"/>
      <c r="DB1024" s="15">
        <v>32610.0</v>
      </c>
      <c r="DC1024" s="15">
        <v>30950.0</v>
      </c>
      <c r="DD1024" s="15">
        <v>32950.0</v>
      </c>
      <c r="DE1024" s="15">
        <v>30740.0</v>
      </c>
      <c r="DF1024" s="15">
        <v>69680.0</v>
      </c>
      <c r="DG1024" s="15">
        <v>62800.0</v>
      </c>
      <c r="DH1024" s="15">
        <v>86540.0</v>
      </c>
      <c r="DI1024" s="15">
        <v>89260.0</v>
      </c>
      <c r="DJ1024" s="15">
        <v>79500.0</v>
      </c>
      <c r="DK1024" s="15"/>
      <c r="DL1024" s="15"/>
      <c r="DM1024" s="15"/>
      <c r="DN1024" s="15"/>
      <c r="DO1024" s="15"/>
      <c r="DP1024" s="15">
        <v>3050.0</v>
      </c>
      <c r="DQ1024" s="15">
        <v>6110.0</v>
      </c>
      <c r="DR1024" s="15">
        <v>9160.0</v>
      </c>
      <c r="DS1024" s="15">
        <v>12220.0</v>
      </c>
      <c r="DT1024" s="15">
        <v>15420.0</v>
      </c>
      <c r="DU1024" s="15"/>
      <c r="DV1024" s="15"/>
      <c r="DW1024" s="15"/>
      <c r="DX1024" s="15"/>
      <c r="DY1024" s="15"/>
      <c r="DZ1024" s="15">
        <v>135560.0</v>
      </c>
      <c r="EA1024" s="15">
        <v>131900.0</v>
      </c>
      <c r="EB1024" s="15">
        <v>126040.0</v>
      </c>
      <c r="EC1024" s="15">
        <v>115550.0</v>
      </c>
      <c r="ED1024" s="15">
        <v>110530.0</v>
      </c>
      <c r="EE1024" s="17"/>
      <c r="EF1024" s="17"/>
      <c r="EG1024" s="23" t="s">
        <v>155</v>
      </c>
      <c r="EH1024" s="17"/>
    </row>
    <row r="1025">
      <c r="A1025" s="9">
        <f t="shared" si="2"/>
        <v>1023</v>
      </c>
      <c r="B1025" s="10" t="s">
        <v>1160</v>
      </c>
      <c r="C1025" s="11">
        <v>4360000.0</v>
      </c>
      <c r="D1025" s="11">
        <v>3910000.0</v>
      </c>
      <c r="E1025" s="11">
        <v>4110000.0</v>
      </c>
      <c r="F1025" s="11">
        <v>4040000.0</v>
      </c>
      <c r="G1025" s="11">
        <v>3360000.0</v>
      </c>
      <c r="H1025" s="11">
        <v>2990000.0</v>
      </c>
      <c r="I1025" s="11">
        <v>2970000.0</v>
      </c>
      <c r="J1025" s="11">
        <v>1120000.0</v>
      </c>
      <c r="K1025" s="11">
        <v>1110000.0</v>
      </c>
      <c r="L1025" s="11">
        <v>841650.0</v>
      </c>
      <c r="M1025" s="11">
        <v>714690.0</v>
      </c>
      <c r="N1025" s="11">
        <v>729750.0</v>
      </c>
      <c r="O1025" s="11">
        <v>153580.0</v>
      </c>
      <c r="P1025" s="11">
        <v>156700.0</v>
      </c>
      <c r="Q1025" s="11">
        <v>143470.0</v>
      </c>
      <c r="R1025" s="11">
        <v>122450.0</v>
      </c>
      <c r="S1025" s="11">
        <v>125840.0</v>
      </c>
      <c r="T1025" s="12"/>
      <c r="U1025" s="12"/>
      <c r="V1025" s="12"/>
      <c r="W1025" s="12"/>
      <c r="X1025" s="12"/>
      <c r="Y1025" s="12"/>
      <c r="Z1025" s="12"/>
      <c r="AA1025" s="11"/>
      <c r="AB1025" s="12"/>
      <c r="AC1025" s="12"/>
      <c r="AD1025" s="11">
        <v>823950.0</v>
      </c>
      <c r="AE1025" s="11">
        <v>815510.0</v>
      </c>
      <c r="AF1025" s="11">
        <v>575830.0</v>
      </c>
      <c r="AG1025" s="11">
        <v>477590.0</v>
      </c>
      <c r="AH1025" s="11">
        <v>490020.0</v>
      </c>
      <c r="AI1025" s="11">
        <v>1100000.0</v>
      </c>
      <c r="AJ1025" s="11">
        <v>1070000.0</v>
      </c>
      <c r="AK1025" s="11">
        <v>804160.0</v>
      </c>
      <c r="AL1025" s="11">
        <v>689680.0</v>
      </c>
      <c r="AM1025" s="11">
        <v>675960.0</v>
      </c>
      <c r="AN1025" s="11">
        <v>615520.0</v>
      </c>
      <c r="AO1025" s="11">
        <v>605670.0</v>
      </c>
      <c r="AP1025" s="11">
        <v>463770.0</v>
      </c>
      <c r="AQ1025" s="11">
        <v>295770.0</v>
      </c>
      <c r="AR1025" s="11">
        <v>304690.0</v>
      </c>
      <c r="AS1025" s="11">
        <v>983890.0</v>
      </c>
      <c r="AT1025" s="11">
        <v>900120.0</v>
      </c>
      <c r="AU1025" s="11">
        <v>536290.0</v>
      </c>
      <c r="AV1025" s="11">
        <v>565580.0</v>
      </c>
      <c r="AW1025" s="11">
        <v>553880.0</v>
      </c>
      <c r="AX1025" s="11">
        <v>-479330.0</v>
      </c>
      <c r="AY1025" s="11">
        <v>-588290.0</v>
      </c>
      <c r="AZ1025" s="11">
        <v>-382130.0</v>
      </c>
      <c r="BA1025" s="11">
        <v>-417940.0</v>
      </c>
      <c r="BB1025" s="11">
        <v>-462060.0</v>
      </c>
      <c r="BC1025" s="11">
        <v>-54550.0</v>
      </c>
      <c r="BD1025" s="11">
        <v>-42570.0</v>
      </c>
      <c r="BE1025" s="11">
        <v>-32930.0</v>
      </c>
      <c r="BF1025" s="12"/>
      <c r="BG1025" s="12"/>
      <c r="BH1025" s="11">
        <v>403570.0</v>
      </c>
      <c r="BI1025" s="11">
        <v>190280.0</v>
      </c>
      <c r="BJ1025" s="11">
        <v>127460.0</v>
      </c>
      <c r="BK1025" s="11">
        <v>10170.0</v>
      </c>
      <c r="BL1025" s="11">
        <v>11470.0</v>
      </c>
      <c r="BM1025" s="11">
        <v>408170.0</v>
      </c>
      <c r="BN1025" s="11">
        <v>468260.0</v>
      </c>
      <c r="BO1025" s="11">
        <v>415780.0</v>
      </c>
      <c r="BP1025" s="11">
        <v>334490.0</v>
      </c>
      <c r="BQ1025" s="11">
        <v>345050.0</v>
      </c>
      <c r="BR1025" s="12"/>
      <c r="BS1025" s="12"/>
      <c r="BT1025" s="12"/>
      <c r="BU1025" s="12"/>
      <c r="BV1025" s="12"/>
      <c r="BW1025" s="11">
        <v>866830.0</v>
      </c>
      <c r="BX1025" s="11">
        <v>706230.0</v>
      </c>
      <c r="BY1025" s="11">
        <v>584650.0</v>
      </c>
      <c r="BZ1025" s="11">
        <v>382620.0</v>
      </c>
      <c r="CA1025" s="11">
        <v>381730.0</v>
      </c>
      <c r="CB1025" s="11">
        <v>3030000.0</v>
      </c>
      <c r="CC1025" s="11">
        <v>2750000.0</v>
      </c>
      <c r="CD1025" s="11">
        <v>2400000.0</v>
      </c>
      <c r="CE1025" s="11">
        <v>2240000.0</v>
      </c>
      <c r="CF1025" s="11">
        <v>2020000.0</v>
      </c>
      <c r="CG1025" s="11">
        <v>19460.0</v>
      </c>
      <c r="CH1025" s="11">
        <v>19460.0</v>
      </c>
      <c r="CI1025" s="11">
        <v>19460.0</v>
      </c>
      <c r="CJ1025" s="11">
        <v>19460.0</v>
      </c>
      <c r="CK1025" s="11">
        <v>19460.0</v>
      </c>
      <c r="CL1025" s="11">
        <v>4000000.0</v>
      </c>
      <c r="CM1025" s="11">
        <v>3550000.0</v>
      </c>
      <c r="CN1025" s="11">
        <v>3070000.0</v>
      </c>
      <c r="CO1025" s="11">
        <v>2700000.0</v>
      </c>
      <c r="CP1025" s="11">
        <v>2470000.0</v>
      </c>
      <c r="CQ1025" s="11">
        <v>70250.0</v>
      </c>
      <c r="CR1025" s="11">
        <v>78520.0</v>
      </c>
      <c r="CS1025" s="11">
        <v>73730.0</v>
      </c>
      <c r="CT1025" s="11">
        <v>89220.0</v>
      </c>
      <c r="CU1025" s="11">
        <v>66770.0</v>
      </c>
      <c r="CV1025" s="11">
        <v>366090.0</v>
      </c>
      <c r="CW1025" s="11">
        <v>12840.0</v>
      </c>
      <c r="CX1025" s="12"/>
      <c r="CY1025" s="12"/>
      <c r="CZ1025" s="12"/>
      <c r="DA1025" s="12"/>
      <c r="DB1025" s="11">
        <v>366090.0</v>
      </c>
      <c r="DC1025" s="11">
        <v>356730.0</v>
      </c>
      <c r="DD1025" s="11">
        <v>351050.0</v>
      </c>
      <c r="DE1025" s="11">
        <v>288640.0</v>
      </c>
      <c r="DF1025" s="11">
        <v>914850.0</v>
      </c>
      <c r="DG1025" s="11">
        <v>864800.0</v>
      </c>
      <c r="DH1025" s="11">
        <v>791570.0</v>
      </c>
      <c r="DI1025" s="11">
        <v>845090.0</v>
      </c>
      <c r="DJ1025" s="11">
        <v>781870.0</v>
      </c>
      <c r="DK1025" s="12"/>
      <c r="DL1025" s="11"/>
      <c r="DM1025" s="11"/>
      <c r="DN1025" s="11"/>
      <c r="DO1025" s="12"/>
      <c r="DP1025" s="11">
        <v>98650.0</v>
      </c>
      <c r="DQ1025" s="11">
        <v>45000.0</v>
      </c>
      <c r="DR1025" s="11">
        <v>45000.0</v>
      </c>
      <c r="DS1025" s="11">
        <v>104980.0</v>
      </c>
      <c r="DT1025" s="11">
        <v>107320.0</v>
      </c>
      <c r="DU1025" s="13"/>
      <c r="DV1025" s="12"/>
      <c r="DW1025" s="12"/>
      <c r="DX1025" s="12"/>
      <c r="DY1025" s="12"/>
      <c r="DZ1025" s="11">
        <v>3080000.0</v>
      </c>
      <c r="EA1025" s="11">
        <v>2680000.0</v>
      </c>
      <c r="EB1025" s="11">
        <v>2280000.0</v>
      </c>
      <c r="EC1025" s="11">
        <v>1850000.0</v>
      </c>
      <c r="ED1025" s="11">
        <v>1680000.0</v>
      </c>
      <c r="EE1025" s="14">
        <v>0.046</v>
      </c>
      <c r="EF1025" s="14">
        <v>0.106</v>
      </c>
      <c r="EG1025" s="14">
        <v>0.168</v>
      </c>
      <c r="EH1025" s="14">
        <v>0.037</v>
      </c>
    </row>
    <row r="1026">
      <c r="A1026" s="9">
        <f t="shared" si="2"/>
        <v>1024</v>
      </c>
      <c r="B1026" s="10" t="s">
        <v>1161</v>
      </c>
      <c r="C1026" s="11">
        <v>9490000.0</v>
      </c>
      <c r="D1026" s="11">
        <v>9750000.0</v>
      </c>
      <c r="E1026" s="11">
        <v>1.065E7</v>
      </c>
      <c r="F1026" s="11">
        <v>1.102E7</v>
      </c>
      <c r="G1026" s="11">
        <v>1.024E7</v>
      </c>
      <c r="H1026" s="11">
        <v>1.102E7</v>
      </c>
      <c r="I1026" s="11">
        <v>1.173E7</v>
      </c>
      <c r="J1026" s="11">
        <v>2430000.0</v>
      </c>
      <c r="K1026" s="11">
        <v>2520000.0</v>
      </c>
      <c r="L1026" s="11">
        <v>2450000.0</v>
      </c>
      <c r="M1026" s="11">
        <v>2700000.0</v>
      </c>
      <c r="N1026" s="11">
        <v>2850000.0</v>
      </c>
      <c r="O1026" s="11">
        <v>2050000.0</v>
      </c>
      <c r="P1026" s="11">
        <v>2160000.0</v>
      </c>
      <c r="Q1026" s="11">
        <v>2030000.0</v>
      </c>
      <c r="R1026" s="11">
        <v>2230000.0</v>
      </c>
      <c r="S1026" s="11">
        <v>2410000.0</v>
      </c>
      <c r="T1026" s="11"/>
      <c r="U1026" s="11"/>
      <c r="V1026" s="11"/>
      <c r="W1026" s="11"/>
      <c r="X1026" s="11"/>
      <c r="Y1026" s="11">
        <v>210000.0</v>
      </c>
      <c r="Z1026" s="11">
        <v>239000.0</v>
      </c>
      <c r="AA1026" s="11">
        <v>-98000.0</v>
      </c>
      <c r="AB1026" s="11">
        <v>516000.0</v>
      </c>
      <c r="AC1026" s="11">
        <v>-255000.0</v>
      </c>
      <c r="AD1026" s="11">
        <v>146000.0</v>
      </c>
      <c r="AE1026" s="11">
        <v>158000.0</v>
      </c>
      <c r="AF1026" s="11">
        <v>299000.0</v>
      </c>
      <c r="AG1026" s="11">
        <v>459000.0</v>
      </c>
      <c r="AH1026" s="11">
        <v>115000.0</v>
      </c>
      <c r="AI1026" s="11">
        <v>586000.0</v>
      </c>
      <c r="AJ1026" s="11">
        <v>549000.0</v>
      </c>
      <c r="AK1026" s="11">
        <v>584000.0</v>
      </c>
      <c r="AL1026" s="11">
        <v>647000.0</v>
      </c>
      <c r="AM1026" s="11">
        <v>691000.0</v>
      </c>
      <c r="AN1026" s="11">
        <v>99000.0</v>
      </c>
      <c r="AO1026" s="11">
        <v>99000.0</v>
      </c>
      <c r="AP1026" s="11">
        <v>146000.0</v>
      </c>
      <c r="AQ1026" s="11">
        <v>679000.0</v>
      </c>
      <c r="AR1026" s="11">
        <v>92000.0</v>
      </c>
      <c r="AS1026" s="11">
        <v>366000.0</v>
      </c>
      <c r="AT1026" s="11">
        <v>616000.0</v>
      </c>
      <c r="AU1026" s="11">
        <v>467000.0</v>
      </c>
      <c r="AV1026" s="11">
        <v>486000.0</v>
      </c>
      <c r="AW1026" s="11">
        <v>137000.0</v>
      </c>
      <c r="AX1026" s="11">
        <v>-150000.0</v>
      </c>
      <c r="AY1026" s="11">
        <v>-187000.0</v>
      </c>
      <c r="AZ1026" s="11">
        <v>-183000.0</v>
      </c>
      <c r="BA1026" s="11">
        <v>-111000.0</v>
      </c>
      <c r="BB1026" s="11">
        <v>-144000.0</v>
      </c>
      <c r="BC1026" s="11">
        <v>-55000.0</v>
      </c>
      <c r="BD1026" s="11">
        <v>-55000.0</v>
      </c>
      <c r="BE1026" s="11">
        <v>-53000.0</v>
      </c>
      <c r="BF1026" s="11">
        <v>-26000.0</v>
      </c>
      <c r="BG1026" s="12"/>
      <c r="BH1026" s="11">
        <v>700000.0</v>
      </c>
      <c r="BI1026" s="11">
        <v>660000.0</v>
      </c>
      <c r="BJ1026" s="11">
        <v>625000.0</v>
      </c>
      <c r="BK1026" s="11">
        <v>763000.0</v>
      </c>
      <c r="BL1026" s="11">
        <v>860000.0</v>
      </c>
      <c r="BM1026" s="11">
        <v>1670000.0</v>
      </c>
      <c r="BN1026" s="11">
        <v>885000.0</v>
      </c>
      <c r="BO1026" s="11">
        <v>931000.0</v>
      </c>
      <c r="BP1026" s="11">
        <v>687000.0</v>
      </c>
      <c r="BQ1026" s="11">
        <v>746000.0</v>
      </c>
      <c r="BR1026" s="11">
        <v>1030000.0</v>
      </c>
      <c r="BS1026" s="11">
        <v>1070000.0</v>
      </c>
      <c r="BT1026" s="11">
        <v>1090000.0</v>
      </c>
      <c r="BU1026" s="11">
        <v>1280000.0</v>
      </c>
      <c r="BV1026" s="11">
        <v>1410000.0</v>
      </c>
      <c r="BW1026" s="11">
        <v>3450000.0</v>
      </c>
      <c r="BX1026" s="11">
        <v>2680000.0</v>
      </c>
      <c r="BY1026" s="11">
        <v>2870000.0</v>
      </c>
      <c r="BZ1026" s="11">
        <v>2970000.0</v>
      </c>
      <c r="CA1026" s="11">
        <v>4060000.0</v>
      </c>
      <c r="CB1026" s="11">
        <v>2090000.0</v>
      </c>
      <c r="CC1026" s="11">
        <v>763000.0</v>
      </c>
      <c r="CD1026" s="11">
        <v>725000.0</v>
      </c>
      <c r="CE1026" s="11">
        <v>601000.0</v>
      </c>
      <c r="CF1026" s="11">
        <v>665000.0</v>
      </c>
      <c r="CG1026" s="11">
        <v>944000.0</v>
      </c>
      <c r="CH1026" s="11">
        <v>914000.0</v>
      </c>
      <c r="CI1026" s="11">
        <v>851000.0</v>
      </c>
      <c r="CJ1026" s="11">
        <v>363000.0</v>
      </c>
      <c r="CK1026" s="11">
        <v>363000.0</v>
      </c>
      <c r="CL1026" s="11">
        <v>7310000.0</v>
      </c>
      <c r="CM1026" s="11">
        <v>6170000.0</v>
      </c>
      <c r="CN1026" s="11">
        <v>6320000.0</v>
      </c>
      <c r="CO1026" s="11">
        <v>5540000.0</v>
      </c>
      <c r="CP1026" s="11">
        <v>6440000.0</v>
      </c>
      <c r="CQ1026" s="11">
        <v>1030000.0</v>
      </c>
      <c r="CR1026" s="11">
        <v>1110000.0</v>
      </c>
      <c r="CS1026" s="11">
        <v>892000.0</v>
      </c>
      <c r="CT1026" s="11">
        <v>893000.0</v>
      </c>
      <c r="CU1026" s="11">
        <v>987000.0</v>
      </c>
      <c r="CV1026" s="11">
        <v>3090000.0</v>
      </c>
      <c r="CW1026" s="11">
        <v>373000.0</v>
      </c>
      <c r="CX1026" s="11"/>
      <c r="CY1026" s="11"/>
      <c r="CZ1026" s="11">
        <v>2000.0</v>
      </c>
      <c r="DA1026" s="11">
        <v>4000.0</v>
      </c>
      <c r="DB1026" s="11">
        <v>3090000.0</v>
      </c>
      <c r="DC1026" s="11">
        <v>2190000.0</v>
      </c>
      <c r="DD1026" s="11">
        <v>2050000.0</v>
      </c>
      <c r="DE1026" s="11">
        <v>2030000.0</v>
      </c>
      <c r="DF1026" s="11">
        <v>5140000.0</v>
      </c>
      <c r="DG1026" s="11">
        <v>4040000.0</v>
      </c>
      <c r="DH1026" s="11">
        <v>4190000.0</v>
      </c>
      <c r="DI1026" s="11">
        <v>3690000.0</v>
      </c>
      <c r="DJ1026" s="11">
        <v>4840000.0</v>
      </c>
      <c r="DK1026" s="11"/>
      <c r="DL1026" s="11"/>
      <c r="DM1026" s="11"/>
      <c r="DN1026" s="11"/>
      <c r="DO1026" s="11"/>
      <c r="DP1026" s="11">
        <v>1780000.0</v>
      </c>
      <c r="DQ1026" s="11">
        <v>1440000.0</v>
      </c>
      <c r="DR1026" s="11">
        <v>1710000.0</v>
      </c>
      <c r="DS1026" s="11">
        <v>1160000.0</v>
      </c>
      <c r="DT1026" s="11">
        <v>1450000.0</v>
      </c>
      <c r="DU1026" s="12"/>
      <c r="DV1026" s="12"/>
      <c r="DW1026" s="12"/>
      <c r="DX1026" s="12"/>
      <c r="DY1026" s="12"/>
      <c r="DZ1026" s="11">
        <v>2170000.0</v>
      </c>
      <c r="EA1026" s="11">
        <v>2130000.0</v>
      </c>
      <c r="EB1026" s="11">
        <v>2120000.0</v>
      </c>
      <c r="EC1026" s="11">
        <v>1850000.0</v>
      </c>
      <c r="ED1026" s="11">
        <v>1600000.0</v>
      </c>
      <c r="EE1026" s="14">
        <v>0.026</v>
      </c>
      <c r="EF1026" s="14">
        <v>0.07</v>
      </c>
      <c r="EG1026" s="14">
        <v>-1.875</v>
      </c>
      <c r="EH1026" s="14">
        <v>-0.164</v>
      </c>
    </row>
    <row r="1027">
      <c r="A1027" s="9">
        <f t="shared" si="2"/>
        <v>1025</v>
      </c>
      <c r="B1027" s="22" t="s">
        <v>1162</v>
      </c>
      <c r="C1027" s="11">
        <v>19170.0</v>
      </c>
      <c r="D1027" s="12"/>
      <c r="E1027" s="12"/>
      <c r="F1027" s="12"/>
      <c r="G1027" s="12"/>
      <c r="H1027" s="12"/>
      <c r="I1027" s="12"/>
      <c r="J1027" s="11">
        <v>-381.0</v>
      </c>
      <c r="K1027" s="11">
        <v>-350.0</v>
      </c>
      <c r="L1027" s="11">
        <v>-20.0</v>
      </c>
      <c r="M1027" s="12"/>
      <c r="N1027" s="12"/>
      <c r="O1027" s="11">
        <v>114550.0</v>
      </c>
      <c r="P1027" s="11">
        <v>90410.0</v>
      </c>
      <c r="Q1027" s="11">
        <v>32720.0</v>
      </c>
      <c r="R1027" s="11">
        <v>3090.0</v>
      </c>
      <c r="S1027" s="11">
        <v>158.0</v>
      </c>
      <c r="T1027" s="11">
        <v>104030.0</v>
      </c>
      <c r="U1027" s="11">
        <v>79950.0</v>
      </c>
      <c r="V1027" s="11">
        <v>27900.0</v>
      </c>
      <c r="W1027" s="11">
        <v>2620.0</v>
      </c>
      <c r="X1027" s="12"/>
      <c r="Y1027" s="12"/>
      <c r="Z1027" s="12"/>
      <c r="AA1027" s="12"/>
      <c r="AB1027" s="12"/>
      <c r="AC1027" s="12"/>
      <c r="AD1027" s="11">
        <v>-111830.0</v>
      </c>
      <c r="AE1027" s="11">
        <v>-88960.0</v>
      </c>
      <c r="AF1027" s="11">
        <v>-32740.0</v>
      </c>
      <c r="AG1027" s="11">
        <v>-3090.0</v>
      </c>
      <c r="AH1027" s="11">
        <v>-158.0</v>
      </c>
      <c r="AI1027" s="11">
        <v>-114550.0</v>
      </c>
      <c r="AJ1027" s="11">
        <v>-90410.0</v>
      </c>
      <c r="AK1027" s="11">
        <v>-32720.0</v>
      </c>
      <c r="AL1027" s="11">
        <v>-3090.0</v>
      </c>
      <c r="AM1027" s="11">
        <v>-158.0</v>
      </c>
      <c r="AN1027" s="11">
        <v>-111830.0</v>
      </c>
      <c r="AO1027" s="11">
        <v>-88960.0</v>
      </c>
      <c r="AP1027" s="11">
        <v>-32740.0</v>
      </c>
      <c r="AQ1027" s="11">
        <v>-3090.0</v>
      </c>
      <c r="AR1027" s="11">
        <v>-158.0</v>
      </c>
      <c r="AS1027" s="11">
        <v>-96640.0</v>
      </c>
      <c r="AT1027" s="11">
        <v>-67090.0</v>
      </c>
      <c r="AU1027" s="11">
        <v>-25860.0</v>
      </c>
      <c r="AV1027" s="11">
        <v>-1730.0</v>
      </c>
      <c r="AW1027" s="11">
        <v>-165.0</v>
      </c>
      <c r="AX1027" s="11">
        <v>-166.0</v>
      </c>
      <c r="AY1027" s="11">
        <v>-1910.0</v>
      </c>
      <c r="AZ1027" s="11">
        <v>-83.0</v>
      </c>
      <c r="BA1027" s="12"/>
      <c r="BB1027" s="12"/>
      <c r="BC1027" s="12"/>
      <c r="BD1027" s="12"/>
      <c r="BE1027" s="12"/>
      <c r="BF1027" s="24">
        <v>-791.0</v>
      </c>
      <c r="BG1027" s="12"/>
      <c r="BH1027" s="11">
        <v>180460.0</v>
      </c>
      <c r="BI1027" s="11">
        <v>139050.0</v>
      </c>
      <c r="BJ1027" s="11">
        <v>198110.0</v>
      </c>
      <c r="BK1027" s="11">
        <v>2600.0</v>
      </c>
      <c r="BL1027" s="11">
        <v>138.0</v>
      </c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1">
        <v>183930.0</v>
      </c>
      <c r="BX1027" s="11">
        <v>139800.0</v>
      </c>
      <c r="BY1027" s="11">
        <v>202950.0</v>
      </c>
      <c r="BZ1027" s="11">
        <v>2870.0</v>
      </c>
      <c r="CA1027" s="11">
        <v>140.0</v>
      </c>
      <c r="CB1027" s="11">
        <v>3240.0</v>
      </c>
      <c r="CC1027" s="11">
        <v>1900.0</v>
      </c>
      <c r="CD1027" s="11">
        <v>165.0</v>
      </c>
      <c r="CE1027" s="11">
        <v>14.0</v>
      </c>
      <c r="CF1027" s="12"/>
      <c r="CG1027" s="12"/>
      <c r="CH1027" s="12"/>
      <c r="CI1027" s="12"/>
      <c r="CJ1027" s="12"/>
      <c r="CK1027" s="12"/>
      <c r="CL1027" s="11">
        <v>188830.0</v>
      </c>
      <c r="CM1027" s="11">
        <v>142670.0</v>
      </c>
      <c r="CN1027" s="11">
        <v>203490.0</v>
      </c>
      <c r="CO1027" s="11">
        <v>2880.0</v>
      </c>
      <c r="CP1027" s="11">
        <v>140.0</v>
      </c>
      <c r="CQ1027" s="11">
        <v>15580.0</v>
      </c>
      <c r="CR1027" s="12"/>
      <c r="CS1027" s="12"/>
      <c r="CT1027" s="11">
        <v>572.0</v>
      </c>
      <c r="CU1027" s="11">
        <v>29.0</v>
      </c>
      <c r="CV1027" s="11">
        <v>24780.0</v>
      </c>
      <c r="CW1027" s="11">
        <v>315.0</v>
      </c>
      <c r="CX1027" s="12"/>
      <c r="CY1027" s="12"/>
      <c r="CZ1027" s="12"/>
      <c r="DA1027" s="12"/>
      <c r="DB1027" s="11">
        <v>24780.0</v>
      </c>
      <c r="DC1027" s="11">
        <v>18210.0</v>
      </c>
      <c r="DD1027" s="11">
        <v>7510.0</v>
      </c>
      <c r="DE1027" s="11">
        <v>598.0</v>
      </c>
      <c r="DF1027" s="11">
        <v>26530.0</v>
      </c>
      <c r="DG1027" s="11">
        <v>18670.0</v>
      </c>
      <c r="DH1027" s="11">
        <v>7510.0</v>
      </c>
      <c r="DI1027" s="11">
        <v>598.0</v>
      </c>
      <c r="DJ1027" s="11">
        <v>29.0</v>
      </c>
      <c r="DK1027" s="11">
        <v>714.0</v>
      </c>
      <c r="DL1027" s="11">
        <v>251.0</v>
      </c>
      <c r="DM1027" s="12"/>
      <c r="DN1027" s="12"/>
      <c r="DO1027" s="12"/>
      <c r="DP1027" s="11">
        <v>1750.0</v>
      </c>
      <c r="DQ1027" s="12"/>
      <c r="DR1027" s="12"/>
      <c r="DS1027" s="12"/>
      <c r="DT1027" s="12"/>
      <c r="DU1027" s="13"/>
      <c r="DV1027" s="12"/>
      <c r="DW1027" s="12"/>
      <c r="DX1027" s="13"/>
      <c r="DY1027" s="13"/>
      <c r="DZ1027" s="11">
        <v>162300.0</v>
      </c>
      <c r="EA1027" s="11">
        <v>124000.0</v>
      </c>
      <c r="EB1027" s="11">
        <v>195980.0</v>
      </c>
      <c r="EC1027" s="11">
        <v>2280.0</v>
      </c>
      <c r="ED1027" s="11">
        <v>111.0</v>
      </c>
      <c r="EE1027" s="23"/>
      <c r="EF1027" s="23"/>
      <c r="EG1027" s="14">
        <v>-0.112</v>
      </c>
      <c r="EH1027" s="14">
        <v>0.045</v>
      </c>
    </row>
    <row r="1028">
      <c r="A1028" s="9">
        <f t="shared" si="2"/>
        <v>1026</v>
      </c>
      <c r="B1028" s="25" t="s">
        <v>1163</v>
      </c>
      <c r="C1028" s="15">
        <v>1180000.0</v>
      </c>
      <c r="D1028" s="15">
        <v>1060000.0</v>
      </c>
      <c r="E1028" s="15">
        <v>1480000.0</v>
      </c>
      <c r="F1028" s="15">
        <v>1580000.0</v>
      </c>
      <c r="G1028" s="15">
        <v>1330000.0</v>
      </c>
      <c r="H1028" s="15">
        <v>1140000.0</v>
      </c>
      <c r="I1028" s="15">
        <v>1230000.0</v>
      </c>
      <c r="J1028" s="15">
        <v>389710.0</v>
      </c>
      <c r="K1028" s="15">
        <v>429970.0</v>
      </c>
      <c r="L1028" s="15">
        <v>377600.0</v>
      </c>
      <c r="M1028" s="15">
        <v>374100.0</v>
      </c>
      <c r="N1028" s="15">
        <v>355100.0</v>
      </c>
      <c r="O1028" s="15">
        <v>226760.0</v>
      </c>
      <c r="P1028" s="15">
        <v>252240.0</v>
      </c>
      <c r="Q1028" s="15">
        <v>225650.0</v>
      </c>
      <c r="R1028" s="15">
        <v>210080.0</v>
      </c>
      <c r="S1028" s="15">
        <v>207070.0</v>
      </c>
      <c r="T1028" s="15">
        <v>19870.0</v>
      </c>
      <c r="U1028" s="15">
        <v>20320.0</v>
      </c>
      <c r="V1028" s="15">
        <v>18160.0</v>
      </c>
      <c r="W1028" s="15">
        <v>16070.0</v>
      </c>
      <c r="X1028" s="15">
        <v>14860.0</v>
      </c>
      <c r="Y1028" s="15">
        <v>159320.0</v>
      </c>
      <c r="Z1028" s="15">
        <v>202370.0</v>
      </c>
      <c r="AA1028" s="15">
        <v>-6490.0</v>
      </c>
      <c r="AB1028" s="15">
        <v>123050.0</v>
      </c>
      <c r="AC1028" s="15">
        <v>132260.0</v>
      </c>
      <c r="AD1028" s="15">
        <v>119580.0</v>
      </c>
      <c r="AE1028" s="15">
        <v>167660.0</v>
      </c>
      <c r="AF1028" s="15">
        <v>84050.0</v>
      </c>
      <c r="AG1028" s="15">
        <v>74610.0</v>
      </c>
      <c r="AH1028" s="15">
        <v>73430.0</v>
      </c>
      <c r="AI1028" s="15">
        <v>259660.0</v>
      </c>
      <c r="AJ1028" s="15">
        <v>275890.0</v>
      </c>
      <c r="AK1028" s="15">
        <v>250300.0</v>
      </c>
      <c r="AL1028" s="15">
        <v>252080.0</v>
      </c>
      <c r="AM1028" s="15">
        <v>223570.0</v>
      </c>
      <c r="AN1028" s="15">
        <v>86920.0</v>
      </c>
      <c r="AO1028" s="15">
        <v>121310.0</v>
      </c>
      <c r="AP1028" s="15">
        <v>64860.0</v>
      </c>
      <c r="AQ1028" s="15">
        <v>49370.0</v>
      </c>
      <c r="AR1028" s="15">
        <v>47540.0</v>
      </c>
      <c r="AS1028" s="15">
        <v>231510.0</v>
      </c>
      <c r="AT1028" s="15">
        <v>121990.0</v>
      </c>
      <c r="AU1028" s="15">
        <v>147740.0</v>
      </c>
      <c r="AV1028" s="15">
        <v>176450.0</v>
      </c>
      <c r="AW1028" s="15">
        <v>192210.0</v>
      </c>
      <c r="AX1028" s="15">
        <v>-155850.0</v>
      </c>
      <c r="AY1028" s="15">
        <v>-116160.0</v>
      </c>
      <c r="AZ1028" s="15">
        <v>-90280.0</v>
      </c>
      <c r="BA1028" s="15">
        <v>-71120.0</v>
      </c>
      <c r="BB1028" s="15">
        <v>-57150.0</v>
      </c>
      <c r="BC1028" s="15">
        <v>-48030.0</v>
      </c>
      <c r="BD1028" s="15">
        <v>-47670.0</v>
      </c>
      <c r="BE1028" s="15">
        <v>-45710.0</v>
      </c>
      <c r="BF1028" s="15">
        <v>-44240.0</v>
      </c>
      <c r="BG1028" s="15">
        <v>-44360.0</v>
      </c>
      <c r="BH1028" s="15">
        <v>63730.0</v>
      </c>
      <c r="BI1028" s="15">
        <v>57020.0</v>
      </c>
      <c r="BJ1028" s="15">
        <v>72280.0</v>
      </c>
      <c r="BK1028" s="15">
        <v>77950.0</v>
      </c>
      <c r="BL1028" s="15">
        <v>70890.0</v>
      </c>
      <c r="BM1028" s="15">
        <v>266680.0</v>
      </c>
      <c r="BN1028" s="15">
        <v>320910.0</v>
      </c>
      <c r="BO1028" s="15">
        <v>285190.0</v>
      </c>
      <c r="BP1028" s="15">
        <v>224690.0</v>
      </c>
      <c r="BQ1028" s="15">
        <v>214970.0</v>
      </c>
      <c r="BR1028" s="15">
        <v>164800.0</v>
      </c>
      <c r="BS1028" s="15">
        <v>183630.0</v>
      </c>
      <c r="BT1028" s="15">
        <v>159330.0</v>
      </c>
      <c r="BU1028" s="15">
        <v>120610.0</v>
      </c>
      <c r="BV1028" s="15">
        <v>114180.0</v>
      </c>
      <c r="BW1028" s="15">
        <v>507720.0</v>
      </c>
      <c r="BX1028" s="15">
        <v>575320.0</v>
      </c>
      <c r="BY1028" s="15">
        <v>522110.0</v>
      </c>
      <c r="BZ1028" s="15">
        <v>436360.0</v>
      </c>
      <c r="CA1028" s="15">
        <v>407030.0</v>
      </c>
      <c r="CB1028" s="15">
        <v>561590.0</v>
      </c>
      <c r="CC1028" s="15">
        <v>483530.0</v>
      </c>
      <c r="CD1028" s="15">
        <v>462130.0</v>
      </c>
      <c r="CE1028" s="15">
        <v>408960.0</v>
      </c>
      <c r="CF1028" s="15">
        <v>419160.0</v>
      </c>
      <c r="CG1028" s="15">
        <v>77340.0</v>
      </c>
      <c r="CH1028" s="15">
        <v>55550.0</v>
      </c>
      <c r="CI1028" s="15">
        <v>58180.0</v>
      </c>
      <c r="CJ1028" s="15">
        <v>51170.0</v>
      </c>
      <c r="CK1028" s="15">
        <v>52700.0</v>
      </c>
      <c r="CL1028" s="15">
        <v>1310000.0</v>
      </c>
      <c r="CM1028" s="15">
        <v>1310000.0</v>
      </c>
      <c r="CN1028" s="15">
        <v>1210000.0</v>
      </c>
      <c r="CO1028" s="15">
        <v>1150000.0</v>
      </c>
      <c r="CP1028" s="15">
        <v>1100000.0</v>
      </c>
      <c r="CQ1028" s="15">
        <v>156300.0</v>
      </c>
      <c r="CR1028" s="15">
        <v>163590.0</v>
      </c>
      <c r="CS1028" s="15">
        <v>169620.0</v>
      </c>
      <c r="CT1028" s="15">
        <v>129640.0</v>
      </c>
      <c r="CU1028" s="15">
        <v>102340.0</v>
      </c>
      <c r="CV1028" s="15">
        <v>285210.0</v>
      </c>
      <c r="CW1028" s="15">
        <v>7600.0</v>
      </c>
      <c r="CX1028" s="15"/>
      <c r="CY1028" s="15"/>
      <c r="CZ1028" s="15">
        <v>4770.0</v>
      </c>
      <c r="DA1028" s="15">
        <v>4920.0</v>
      </c>
      <c r="DB1028" s="15">
        <v>285210.0</v>
      </c>
      <c r="DC1028" s="15">
        <v>320340.0</v>
      </c>
      <c r="DD1028" s="15">
        <v>285150.0</v>
      </c>
      <c r="DE1028" s="15">
        <v>230550.0</v>
      </c>
      <c r="DF1028" s="15">
        <v>1120000.0</v>
      </c>
      <c r="DG1028" s="15">
        <v>1150000.0</v>
      </c>
      <c r="DH1028" s="15">
        <v>1110000.0</v>
      </c>
      <c r="DI1028" s="15">
        <v>1090000.0</v>
      </c>
      <c r="DJ1028" s="15">
        <v>1050000.0</v>
      </c>
      <c r="DK1028" s="15">
        <v>7730.0</v>
      </c>
      <c r="DL1028" s="15">
        <v>8060.0</v>
      </c>
      <c r="DM1028" s="15">
        <v>9150.0</v>
      </c>
      <c r="DN1028" s="15">
        <v>6400.0</v>
      </c>
      <c r="DO1028" s="15">
        <v>7430.0</v>
      </c>
      <c r="DP1028" s="15">
        <v>651720.0</v>
      </c>
      <c r="DQ1028" s="15">
        <v>643750.0</v>
      </c>
      <c r="DR1028" s="15">
        <v>681140.0</v>
      </c>
      <c r="DS1028" s="15">
        <v>647260.0</v>
      </c>
      <c r="DT1028" s="15">
        <v>706710.0</v>
      </c>
      <c r="DU1028" s="13"/>
      <c r="DV1028" s="12"/>
      <c r="DW1028" s="15"/>
      <c r="DX1028" s="15"/>
      <c r="DY1028" s="15"/>
      <c r="DZ1028" s="15">
        <v>186010.0</v>
      </c>
      <c r="EA1028" s="15">
        <v>158900.0</v>
      </c>
      <c r="EB1028" s="15">
        <v>95310.0</v>
      </c>
      <c r="EC1028" s="15">
        <v>55780.0</v>
      </c>
      <c r="ED1028" s="15">
        <v>53970.0</v>
      </c>
      <c r="EE1028" s="23">
        <v>0.35</v>
      </c>
      <c r="EF1028" s="23">
        <v>0.356</v>
      </c>
      <c r="EG1028" s="23">
        <v>0.222</v>
      </c>
      <c r="EH1028" s="23">
        <v>0.11</v>
      </c>
    </row>
    <row r="1029">
      <c r="A1029" s="9">
        <f t="shared" si="2"/>
        <v>1027</v>
      </c>
      <c r="B1029" s="10" t="s">
        <v>1164</v>
      </c>
      <c r="C1029" s="11">
        <v>147460.0</v>
      </c>
      <c r="D1029" s="11">
        <v>109250.0</v>
      </c>
      <c r="E1029" s="11">
        <v>150840.0</v>
      </c>
      <c r="F1029" s="11">
        <v>65750.0</v>
      </c>
      <c r="G1029" s="11">
        <v>60300.0</v>
      </c>
      <c r="H1029" s="11">
        <v>70210.0</v>
      </c>
      <c r="I1029" s="11">
        <v>67640.0</v>
      </c>
      <c r="J1029" s="11">
        <v>37090.0</v>
      </c>
      <c r="K1029" s="11">
        <v>14280.0</v>
      </c>
      <c r="L1029" s="11">
        <v>14260.0</v>
      </c>
      <c r="M1029" s="11">
        <v>16510.0</v>
      </c>
      <c r="N1029" s="11">
        <v>15080.0</v>
      </c>
      <c r="O1029" s="11">
        <v>23590.0</v>
      </c>
      <c r="P1029" s="11">
        <v>20390.0</v>
      </c>
      <c r="Q1029" s="11">
        <v>24380.0</v>
      </c>
      <c r="R1029" s="11">
        <v>28890.0</v>
      </c>
      <c r="S1029" s="11">
        <v>27340.0</v>
      </c>
      <c r="T1029" s="11">
        <v>1720.0</v>
      </c>
      <c r="U1029" s="11">
        <v>1370.0</v>
      </c>
      <c r="V1029" s="11">
        <v>1830.0</v>
      </c>
      <c r="W1029" s="11">
        <v>2000.0</v>
      </c>
      <c r="X1029" s="11">
        <v>1670.0</v>
      </c>
      <c r="Y1029" s="11">
        <v>13010.0</v>
      </c>
      <c r="Z1029" s="11">
        <v>-6160.0</v>
      </c>
      <c r="AA1029" s="11">
        <v>-12980.0</v>
      </c>
      <c r="AB1029" s="11">
        <v>-12530.0</v>
      </c>
      <c r="AC1029" s="11">
        <v>-19920.0</v>
      </c>
      <c r="AD1029" s="11">
        <v>12620.0</v>
      </c>
      <c r="AE1029" s="11">
        <v>-6660.0</v>
      </c>
      <c r="AF1029" s="11">
        <v>-13140.0</v>
      </c>
      <c r="AG1029" s="11">
        <v>-12550.0</v>
      </c>
      <c r="AH1029" s="11">
        <v>-20090.0</v>
      </c>
      <c r="AI1029" s="11">
        <v>15060.0</v>
      </c>
      <c r="AJ1029" s="11">
        <v>-4330.0</v>
      </c>
      <c r="AK1029" s="11">
        <v>-8110.0</v>
      </c>
      <c r="AL1029" s="11">
        <v>-9950.0</v>
      </c>
      <c r="AM1029" s="11">
        <v>-8260.0</v>
      </c>
      <c r="AN1029" s="11">
        <v>12460.0</v>
      </c>
      <c r="AO1029" s="11">
        <v>-6670.0</v>
      </c>
      <c r="AP1029" s="11">
        <v>-13130.0</v>
      </c>
      <c r="AQ1029" s="11">
        <v>-12290.0</v>
      </c>
      <c r="AR1029" s="11">
        <v>-20130.0</v>
      </c>
      <c r="AS1029" s="11">
        <v>20340.0</v>
      </c>
      <c r="AT1029" s="11">
        <v>-5060.0</v>
      </c>
      <c r="AU1029" s="11">
        <v>-4420.0</v>
      </c>
      <c r="AV1029" s="11">
        <v>-1900.0</v>
      </c>
      <c r="AW1029" s="11">
        <v>-3470.0</v>
      </c>
      <c r="AX1029" s="11">
        <v>-945.0</v>
      </c>
      <c r="AY1029" s="11">
        <v>-449.0</v>
      </c>
      <c r="AZ1029" s="11">
        <v>-585.0</v>
      </c>
      <c r="BA1029" s="11">
        <v>-951.0</v>
      </c>
      <c r="BB1029" s="11">
        <v>-407.0</v>
      </c>
      <c r="BC1029" s="12"/>
      <c r="BD1029" s="12"/>
      <c r="BE1029" s="12"/>
      <c r="BF1029" s="12"/>
      <c r="BG1029" s="12"/>
      <c r="BH1029" s="11">
        <v>28750.0</v>
      </c>
      <c r="BI1029" s="11">
        <v>8730.0</v>
      </c>
      <c r="BJ1029" s="11">
        <v>9420.0</v>
      </c>
      <c r="BK1029" s="11">
        <v>17310.0</v>
      </c>
      <c r="BL1029" s="11">
        <v>15540.0</v>
      </c>
      <c r="BM1029" s="11">
        <v>10990.0</v>
      </c>
      <c r="BN1029" s="11">
        <v>18550.0</v>
      </c>
      <c r="BO1029" s="11">
        <v>10650.0</v>
      </c>
      <c r="BP1029" s="11">
        <v>11400.0</v>
      </c>
      <c r="BQ1029" s="11">
        <v>15200.0</v>
      </c>
      <c r="BR1029" s="11">
        <v>14510.0</v>
      </c>
      <c r="BS1029" s="11">
        <v>13400.0</v>
      </c>
      <c r="BT1029" s="11">
        <v>7830.0</v>
      </c>
      <c r="BU1029" s="11">
        <v>13590.0</v>
      </c>
      <c r="BV1029" s="11">
        <v>17020.0</v>
      </c>
      <c r="BW1029" s="11">
        <v>54970.0</v>
      </c>
      <c r="BX1029" s="11">
        <v>41380.0</v>
      </c>
      <c r="BY1029" s="11">
        <v>28450.0</v>
      </c>
      <c r="BZ1029" s="11">
        <v>42950.0</v>
      </c>
      <c r="CA1029" s="11">
        <v>48490.0</v>
      </c>
      <c r="CB1029" s="11">
        <v>14560.0</v>
      </c>
      <c r="CC1029" s="11">
        <v>12010.0</v>
      </c>
      <c r="CD1029" s="11">
        <v>12890.0</v>
      </c>
      <c r="CE1029" s="11">
        <v>13790.0</v>
      </c>
      <c r="CF1029" s="11">
        <v>17000.0</v>
      </c>
      <c r="CG1029" s="11"/>
      <c r="CH1029" s="11"/>
      <c r="CI1029" s="11"/>
      <c r="CJ1029" s="11"/>
      <c r="CK1029" s="11"/>
      <c r="CL1029" s="11">
        <v>72560.0</v>
      </c>
      <c r="CM1029" s="11">
        <v>56020.0</v>
      </c>
      <c r="CN1029" s="11">
        <v>45330.0</v>
      </c>
      <c r="CO1029" s="11">
        <v>62060.0</v>
      </c>
      <c r="CP1029" s="11">
        <v>70880.0</v>
      </c>
      <c r="CQ1029" s="11">
        <v>19830.0</v>
      </c>
      <c r="CR1029" s="11">
        <v>19710.0</v>
      </c>
      <c r="CS1029" s="11">
        <v>11680.0</v>
      </c>
      <c r="CT1029" s="11">
        <v>11640.0</v>
      </c>
      <c r="CU1029" s="11">
        <v>11720.0</v>
      </c>
      <c r="CV1029" s="11">
        <v>27200.0</v>
      </c>
      <c r="CW1029" s="11">
        <v>691.0</v>
      </c>
      <c r="CX1029" s="13"/>
      <c r="CY1029" s="13"/>
      <c r="CZ1029" s="13"/>
      <c r="DA1029" s="12"/>
      <c r="DB1029" s="11">
        <v>27200.0</v>
      </c>
      <c r="DC1029" s="11">
        <v>27340.0</v>
      </c>
      <c r="DD1029" s="11">
        <v>16420.0</v>
      </c>
      <c r="DE1029" s="11">
        <v>18400.0</v>
      </c>
      <c r="DF1029" s="11">
        <v>41530.0</v>
      </c>
      <c r="DG1029" s="11">
        <v>38050.0</v>
      </c>
      <c r="DH1029" s="11">
        <v>21900.0</v>
      </c>
      <c r="DI1029" s="11">
        <v>26600.0</v>
      </c>
      <c r="DJ1029" s="11">
        <v>24890.0</v>
      </c>
      <c r="DK1029" s="12"/>
      <c r="DL1029" s="12"/>
      <c r="DM1029" s="12"/>
      <c r="DN1029" s="12"/>
      <c r="DO1029" s="13"/>
      <c r="DP1029" s="11">
        <v>12890.0</v>
      </c>
      <c r="DQ1029" s="11">
        <v>9280.0</v>
      </c>
      <c r="DR1029" s="11">
        <v>4010.0</v>
      </c>
      <c r="DS1029" s="11">
        <v>6820.0</v>
      </c>
      <c r="DT1029" s="11">
        <v>4020.0</v>
      </c>
      <c r="DU1029" s="13"/>
      <c r="DV1029" s="12"/>
      <c r="DW1029" s="12"/>
      <c r="DX1029" s="13"/>
      <c r="DY1029" s="13"/>
      <c r="DZ1029" s="11">
        <v>31040.0</v>
      </c>
      <c r="EA1029" s="11">
        <v>17970.0</v>
      </c>
      <c r="EB1029" s="11">
        <v>23420.0</v>
      </c>
      <c r="EC1029" s="11">
        <v>35450.0</v>
      </c>
      <c r="ED1029" s="11">
        <v>45990.0</v>
      </c>
      <c r="EE1029" s="23">
        <v>0.714874142</v>
      </c>
      <c r="EF1029" s="23">
        <v>0.194154347</v>
      </c>
      <c r="EG1029" s="14">
        <v>-1.667</v>
      </c>
      <c r="EH1029" s="23">
        <v>1.31925</v>
      </c>
    </row>
    <row r="1030">
      <c r="A1030" s="9">
        <f t="shared" si="2"/>
        <v>1028</v>
      </c>
      <c r="B1030" s="10" t="s">
        <v>1165</v>
      </c>
      <c r="C1030" s="11">
        <v>1020000.0</v>
      </c>
      <c r="D1030" s="11">
        <v>989650.0</v>
      </c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3"/>
      <c r="BD1030" s="13"/>
      <c r="BE1030" s="13"/>
      <c r="BF1030" s="13"/>
      <c r="BG1030" s="13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3"/>
      <c r="CZ1030" s="13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3"/>
      <c r="DP1030" s="12"/>
      <c r="DQ1030" s="12"/>
      <c r="DR1030" s="12"/>
      <c r="DS1030" s="12"/>
      <c r="DT1030" s="12"/>
      <c r="DU1030" s="13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4">
        <v>0.075</v>
      </c>
      <c r="EF1030" s="14">
        <v>0.06</v>
      </c>
      <c r="EG1030" s="14">
        <v>-0.071</v>
      </c>
      <c r="EH1030" s="14">
        <v>0.038</v>
      </c>
    </row>
    <row r="1031">
      <c r="A1031" s="9">
        <f t="shared" si="2"/>
        <v>1029</v>
      </c>
      <c r="B1031" s="10" t="s">
        <v>1166</v>
      </c>
      <c r="C1031" s="11">
        <v>1640000.0</v>
      </c>
      <c r="D1031" s="11">
        <v>1810000.0</v>
      </c>
      <c r="E1031" s="11">
        <v>2050000.0</v>
      </c>
      <c r="F1031" s="11">
        <v>1910000.0</v>
      </c>
      <c r="G1031" s="11">
        <v>1920000.0</v>
      </c>
      <c r="H1031" s="11">
        <v>2270000.0</v>
      </c>
      <c r="I1031" s="11">
        <v>3060000.0</v>
      </c>
      <c r="J1031" s="11">
        <v>98240.0</v>
      </c>
      <c r="K1031" s="11">
        <v>129230.0</v>
      </c>
      <c r="L1031" s="11">
        <v>194610.0</v>
      </c>
      <c r="M1031" s="11">
        <v>279230.0</v>
      </c>
      <c r="N1031" s="11">
        <v>605430.0</v>
      </c>
      <c r="O1031" s="11">
        <v>214890.0</v>
      </c>
      <c r="P1031" s="11">
        <v>198260.0</v>
      </c>
      <c r="Q1031" s="11">
        <v>183950.0</v>
      </c>
      <c r="R1031" s="11">
        <v>208460.0</v>
      </c>
      <c r="S1031" s="11">
        <v>231620.0</v>
      </c>
      <c r="T1031" s="11"/>
      <c r="U1031" s="11"/>
      <c r="V1031" s="11"/>
      <c r="W1031" s="11"/>
      <c r="X1031" s="11"/>
      <c r="Y1031" s="11">
        <v>-290710.0</v>
      </c>
      <c r="Z1031" s="11">
        <v>-145480.0</v>
      </c>
      <c r="AA1031" s="11"/>
      <c r="AB1031" s="11"/>
      <c r="AC1031" s="11"/>
      <c r="AD1031" s="11">
        <v>-330820.0</v>
      </c>
      <c r="AE1031" s="11">
        <v>-185830.0</v>
      </c>
      <c r="AF1031" s="11">
        <v>-17840.0</v>
      </c>
      <c r="AG1031" s="11">
        <v>43350.0</v>
      </c>
      <c r="AH1031" s="11">
        <v>336260.0</v>
      </c>
      <c r="AI1031" s="11">
        <v>132070.0</v>
      </c>
      <c r="AJ1031" s="11">
        <v>224560.0</v>
      </c>
      <c r="AK1031" s="11">
        <v>224180.0</v>
      </c>
      <c r="AL1031" s="11">
        <v>321010.0</v>
      </c>
      <c r="AM1031" s="11">
        <v>615050.0</v>
      </c>
      <c r="AN1031" s="11">
        <v>-348440.0</v>
      </c>
      <c r="AO1031" s="11">
        <v>-212330.0</v>
      </c>
      <c r="AP1031" s="11">
        <v>166400.0</v>
      </c>
      <c r="AQ1031" s="11">
        <v>24590.0</v>
      </c>
      <c r="AR1031" s="11">
        <v>231010.0</v>
      </c>
      <c r="AS1031" s="11">
        <v>160960.0</v>
      </c>
      <c r="AT1031" s="11">
        <v>38940.0</v>
      </c>
      <c r="AU1031" s="11">
        <v>139030.0</v>
      </c>
      <c r="AV1031" s="11">
        <v>346990.0</v>
      </c>
      <c r="AW1031" s="11">
        <v>566370.0</v>
      </c>
      <c r="AX1031" s="11">
        <v>-147680.0</v>
      </c>
      <c r="AY1031" s="11">
        <v>-109470.0</v>
      </c>
      <c r="AZ1031" s="11">
        <v>-93680.0</v>
      </c>
      <c r="BA1031" s="11">
        <v>-112390.0</v>
      </c>
      <c r="BB1031" s="11">
        <v>-199970.0</v>
      </c>
      <c r="BC1031" s="11"/>
      <c r="BD1031" s="11"/>
      <c r="BE1031" s="11">
        <v>-44220.0</v>
      </c>
      <c r="BF1031" s="11">
        <v>-94140.0</v>
      </c>
      <c r="BG1031" s="11">
        <v>-106450.0</v>
      </c>
      <c r="BH1031" s="11">
        <v>383830.0</v>
      </c>
      <c r="BI1031" s="11">
        <v>354260.0</v>
      </c>
      <c r="BJ1031" s="11">
        <v>430320.0</v>
      </c>
      <c r="BK1031" s="11">
        <v>450190.0</v>
      </c>
      <c r="BL1031" s="11">
        <v>385240.0</v>
      </c>
      <c r="BM1031" s="11">
        <v>642650.0</v>
      </c>
      <c r="BN1031" s="11">
        <v>625090.0</v>
      </c>
      <c r="BO1031" s="11">
        <v>476900.0</v>
      </c>
      <c r="BP1031" s="11">
        <v>489750.0</v>
      </c>
      <c r="BQ1031" s="11">
        <v>612790.0</v>
      </c>
      <c r="BR1031" s="11">
        <v>174740.0</v>
      </c>
      <c r="BS1031" s="11">
        <v>194510.0</v>
      </c>
      <c r="BT1031" s="11">
        <v>215280.0</v>
      </c>
      <c r="BU1031" s="11">
        <v>280130.0</v>
      </c>
      <c r="BV1031" s="11">
        <v>328450.0</v>
      </c>
      <c r="BW1031" s="11">
        <v>1240000.0</v>
      </c>
      <c r="BX1031" s="11">
        <v>1240000.0</v>
      </c>
      <c r="BY1031" s="11">
        <v>1190000.0</v>
      </c>
      <c r="BZ1031" s="11">
        <v>1260000.0</v>
      </c>
      <c r="CA1031" s="11">
        <v>1520000.0</v>
      </c>
      <c r="CB1031" s="11">
        <v>939770.0</v>
      </c>
      <c r="CC1031" s="11">
        <v>964670.0</v>
      </c>
      <c r="CD1031" s="11">
        <v>1060000.0</v>
      </c>
      <c r="CE1031" s="11">
        <v>1150000.0</v>
      </c>
      <c r="CF1031" s="11">
        <v>1270000.0</v>
      </c>
      <c r="CG1031" s="11">
        <v>405080.0</v>
      </c>
      <c r="CH1031" s="11">
        <v>413120.0</v>
      </c>
      <c r="CI1031" s="11">
        <v>455600.0</v>
      </c>
      <c r="CJ1031" s="11">
        <v>443550.0</v>
      </c>
      <c r="CK1031" s="11">
        <v>426870.0</v>
      </c>
      <c r="CL1031" s="11">
        <v>2740000.0</v>
      </c>
      <c r="CM1031" s="11">
        <v>2820000.0</v>
      </c>
      <c r="CN1031" s="11">
        <v>3020000.0</v>
      </c>
      <c r="CO1031" s="11">
        <v>3130000.0</v>
      </c>
      <c r="CP1031" s="11">
        <v>3430000.0</v>
      </c>
      <c r="CQ1031" s="11">
        <v>145930.0</v>
      </c>
      <c r="CR1031" s="11">
        <v>102640.0</v>
      </c>
      <c r="CS1031" s="11">
        <v>85540.0</v>
      </c>
      <c r="CT1031" s="11">
        <v>77590.0</v>
      </c>
      <c r="CU1031" s="11">
        <v>118280.0</v>
      </c>
      <c r="CV1031" s="11">
        <v>600960.0</v>
      </c>
      <c r="CW1031" s="11">
        <v>19860.0</v>
      </c>
      <c r="CX1031" s="11"/>
      <c r="CY1031" s="11"/>
      <c r="CZ1031" s="11"/>
      <c r="DA1031" s="11"/>
      <c r="DB1031" s="11">
        <v>600960.0</v>
      </c>
      <c r="DC1031" s="11">
        <v>494740.0</v>
      </c>
      <c r="DD1031" s="11">
        <v>435800.0</v>
      </c>
      <c r="DE1031" s="11">
        <v>508360.0</v>
      </c>
      <c r="DF1031" s="11">
        <v>1670000.0</v>
      </c>
      <c r="DG1031" s="11">
        <v>1410000.0</v>
      </c>
      <c r="DH1031" s="11">
        <v>1360000.0</v>
      </c>
      <c r="DI1031" s="11">
        <v>1610000.0</v>
      </c>
      <c r="DJ1031" s="11">
        <v>1850000.0</v>
      </c>
      <c r="DK1031" s="11">
        <v>37900.0</v>
      </c>
      <c r="DL1031" s="11">
        <v>39330.0</v>
      </c>
      <c r="DM1031" s="11">
        <v>49090.0</v>
      </c>
      <c r="DN1031" s="11">
        <v>39830.0</v>
      </c>
      <c r="DO1031" s="11">
        <v>49140.0</v>
      </c>
      <c r="DP1031" s="11">
        <v>957500.0</v>
      </c>
      <c r="DQ1031" s="11">
        <v>786580.0</v>
      </c>
      <c r="DR1031" s="11">
        <v>792310.0</v>
      </c>
      <c r="DS1031" s="11">
        <v>793060.0</v>
      </c>
      <c r="DT1031" s="11">
        <v>795840.0</v>
      </c>
      <c r="DU1031" s="11"/>
      <c r="DV1031" s="11"/>
      <c r="DW1031" s="11"/>
      <c r="DX1031" s="12"/>
      <c r="DY1031" s="12"/>
      <c r="DZ1031" s="11">
        <v>1070000.0</v>
      </c>
      <c r="EA1031" s="11">
        <v>1410000.0</v>
      </c>
      <c r="EB1031" s="11">
        <v>1660000.0</v>
      </c>
      <c r="EC1031" s="11">
        <v>1520000.0</v>
      </c>
      <c r="ED1031" s="11">
        <v>1580000.0</v>
      </c>
      <c r="EE1031" s="14">
        <v>0.072</v>
      </c>
      <c r="EF1031" s="14">
        <v>0.226</v>
      </c>
      <c r="EG1031" s="14">
        <v>0.333</v>
      </c>
      <c r="EH1031" s="14">
        <v>0.581</v>
      </c>
    </row>
    <row r="1032">
      <c r="A1032" s="9">
        <f t="shared" si="2"/>
        <v>1030</v>
      </c>
      <c r="B1032" s="25" t="s">
        <v>1167</v>
      </c>
      <c r="C1032" s="15">
        <v>74700.0</v>
      </c>
      <c r="D1032" s="15">
        <v>68150.0</v>
      </c>
      <c r="E1032" s="15">
        <v>60930.0</v>
      </c>
      <c r="F1032" s="15">
        <v>62710.0</v>
      </c>
      <c r="G1032" s="15">
        <v>60200.0</v>
      </c>
      <c r="H1032" s="15">
        <v>56560.0</v>
      </c>
      <c r="I1032" s="15">
        <v>54840.0</v>
      </c>
      <c r="J1032" s="15">
        <v>31970.0</v>
      </c>
      <c r="K1032" s="15">
        <v>31970.0</v>
      </c>
      <c r="L1032" s="15">
        <v>30780.0</v>
      </c>
      <c r="M1032" s="15">
        <v>29240.0</v>
      </c>
      <c r="N1032" s="15">
        <v>27700.0</v>
      </c>
      <c r="O1032" s="15">
        <v>38350.0</v>
      </c>
      <c r="P1032" s="15">
        <v>40100.0</v>
      </c>
      <c r="Q1032" s="15">
        <v>37040.0</v>
      </c>
      <c r="R1032" s="15">
        <v>35130.0</v>
      </c>
      <c r="S1032" s="15">
        <v>42120.0</v>
      </c>
      <c r="T1032" s="15">
        <v>19060.0</v>
      </c>
      <c r="U1032" s="15">
        <v>19770.0</v>
      </c>
      <c r="V1032" s="15">
        <v>17990.0</v>
      </c>
      <c r="W1032" s="15">
        <v>15640.0</v>
      </c>
      <c r="X1032" s="15">
        <v>18490.0</v>
      </c>
      <c r="Y1032" s="15">
        <v>-5590.0</v>
      </c>
      <c r="Z1032" s="15">
        <v>1790.0</v>
      </c>
      <c r="AA1032" s="15">
        <v>-6240.0</v>
      </c>
      <c r="AB1032" s="15">
        <v>-5860.0</v>
      </c>
      <c r="AC1032" s="15">
        <v>-19380.0</v>
      </c>
      <c r="AD1032" s="15">
        <v>-3870.0</v>
      </c>
      <c r="AE1032" s="15">
        <v>3230.0</v>
      </c>
      <c r="AF1032" s="15">
        <v>-5130.0</v>
      </c>
      <c r="AG1032" s="15">
        <v>-1930.0</v>
      </c>
      <c r="AH1032" s="15">
        <v>-16450.0</v>
      </c>
      <c r="AI1032" s="15">
        <v>0.0</v>
      </c>
      <c r="AJ1032" s="15">
        <v>-6480.0</v>
      </c>
      <c r="AK1032" s="15">
        <v>-4610.0</v>
      </c>
      <c r="AL1032" s="15">
        <v>-4220.0</v>
      </c>
      <c r="AM1032" s="15">
        <v>-11980.0</v>
      </c>
      <c r="AN1032" s="15">
        <v>-5040.0</v>
      </c>
      <c r="AO1032" s="15">
        <v>2090.0</v>
      </c>
      <c r="AP1032" s="15">
        <v>-6140.0</v>
      </c>
      <c r="AQ1032" s="15">
        <v>-2990.0</v>
      </c>
      <c r="AR1032" s="15">
        <v>-21090.0</v>
      </c>
      <c r="AS1032" s="15">
        <v>-8030.0</v>
      </c>
      <c r="AT1032" s="15">
        <v>-7240.0</v>
      </c>
      <c r="AU1032" s="15">
        <v>-7800.0</v>
      </c>
      <c r="AV1032" s="15">
        <v>-8610.0</v>
      </c>
      <c r="AW1032" s="15">
        <v>0.0</v>
      </c>
      <c r="AX1032" s="15">
        <v>-1280.0</v>
      </c>
      <c r="AY1032" s="15">
        <v>0.0</v>
      </c>
      <c r="AZ1032" s="15">
        <v>0.0</v>
      </c>
      <c r="BA1032" s="15">
        <v>0.0</v>
      </c>
      <c r="BB1032" s="15">
        <v>0.0</v>
      </c>
      <c r="BC1032" s="15">
        <v>0.0</v>
      </c>
      <c r="BD1032" s="15">
        <v>0.0</v>
      </c>
      <c r="BE1032" s="15">
        <v>0.0</v>
      </c>
      <c r="BF1032" s="15">
        <v>0.0</v>
      </c>
      <c r="BG1032" s="15">
        <v>0.0</v>
      </c>
      <c r="BH1032" s="15">
        <v>46420.0</v>
      </c>
      <c r="BI1032" s="15">
        <v>38620.0</v>
      </c>
      <c r="BJ1032" s="15">
        <v>46160.0</v>
      </c>
      <c r="BK1032" s="15">
        <v>52900.0</v>
      </c>
      <c r="BL1032" s="15">
        <v>52460.0</v>
      </c>
      <c r="BM1032" s="15">
        <v>10330.0</v>
      </c>
      <c r="BN1032" s="15">
        <v>11680.0</v>
      </c>
      <c r="BO1032" s="15">
        <v>9440.0</v>
      </c>
      <c r="BP1032" s="15">
        <v>7620.0</v>
      </c>
      <c r="BQ1032" s="15">
        <v>5450.0</v>
      </c>
      <c r="BR1032" s="15">
        <v>8800.0</v>
      </c>
      <c r="BS1032" s="15">
        <v>10590.0</v>
      </c>
      <c r="BT1032" s="15">
        <v>9650.0</v>
      </c>
      <c r="BU1032" s="15">
        <v>9480.0</v>
      </c>
      <c r="BV1032" s="15">
        <v>9890.0</v>
      </c>
      <c r="BW1032" s="15">
        <v>66850.0</v>
      </c>
      <c r="BX1032" s="15">
        <v>62570.0</v>
      </c>
      <c r="BY1032" s="15">
        <v>65910.0</v>
      </c>
      <c r="BZ1032" s="15">
        <v>70480.0</v>
      </c>
      <c r="CA1032" s="15">
        <v>70400.0</v>
      </c>
      <c r="CB1032" s="15">
        <v>15550.0</v>
      </c>
      <c r="CC1032" s="15">
        <v>13710.0</v>
      </c>
      <c r="CD1032" s="15">
        <v>13750.0</v>
      </c>
      <c r="CE1032" s="15">
        <v>13740.0</v>
      </c>
      <c r="CF1032" s="15">
        <v>14010.0</v>
      </c>
      <c r="CG1032" s="15">
        <v>0.0</v>
      </c>
      <c r="CH1032" s="15">
        <v>0.0</v>
      </c>
      <c r="CI1032" s="15">
        <v>0.0</v>
      </c>
      <c r="CJ1032" s="15">
        <v>0.0</v>
      </c>
      <c r="CK1032" s="15">
        <v>0.0</v>
      </c>
      <c r="CL1032" s="15">
        <v>89000.0</v>
      </c>
      <c r="CM1032" s="15">
        <v>89310.0</v>
      </c>
      <c r="CN1032" s="15">
        <v>85080.0</v>
      </c>
      <c r="CO1032" s="15">
        <v>90690.0</v>
      </c>
      <c r="CP1032" s="15">
        <v>96210.0</v>
      </c>
      <c r="CQ1032" s="15">
        <v>4870.0</v>
      </c>
      <c r="CR1032" s="15">
        <v>4580.0</v>
      </c>
      <c r="CS1032" s="15">
        <v>2460.0</v>
      </c>
      <c r="CT1032" s="15">
        <v>4330.0</v>
      </c>
      <c r="CU1032" s="15">
        <v>3330.0</v>
      </c>
      <c r="CV1032" s="15">
        <v>11140.0</v>
      </c>
      <c r="CW1032" s="15">
        <v>0.0</v>
      </c>
      <c r="CX1032" s="15">
        <v>0.0</v>
      </c>
      <c r="CY1032" s="16">
        <v>0.0</v>
      </c>
      <c r="CZ1032" s="16">
        <v>0.0</v>
      </c>
      <c r="DA1032" s="15">
        <v>0.0</v>
      </c>
      <c r="DB1032" s="15">
        <v>11140.0</v>
      </c>
      <c r="DC1032" s="15">
        <v>9180.0</v>
      </c>
      <c r="DD1032" s="15">
        <v>7180.0</v>
      </c>
      <c r="DE1032" s="15">
        <v>8610.0</v>
      </c>
      <c r="DF1032" s="15">
        <v>13940.0</v>
      </c>
      <c r="DG1032" s="15">
        <v>10260.0</v>
      </c>
      <c r="DH1032" s="15">
        <v>8530.0</v>
      </c>
      <c r="DI1032" s="15">
        <v>9900.0</v>
      </c>
      <c r="DJ1032" s="15">
        <v>13090.0</v>
      </c>
      <c r="DK1032" s="15">
        <v>4170.0</v>
      </c>
      <c r="DL1032" s="15">
        <v>10440.0</v>
      </c>
      <c r="DM1032" s="15">
        <v>3110.0</v>
      </c>
      <c r="DN1032" s="15">
        <v>4250.0</v>
      </c>
      <c r="DO1032" s="15">
        <v>9300.0</v>
      </c>
      <c r="DP1032" s="15">
        <v>1930.0</v>
      </c>
      <c r="DQ1032" s="15">
        <v>0.0</v>
      </c>
      <c r="DR1032" s="15">
        <v>0.0</v>
      </c>
      <c r="DS1032" s="15">
        <v>0.0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75050.0</v>
      </c>
      <c r="EA1032" s="15">
        <v>79050.0</v>
      </c>
      <c r="EB1032" s="15">
        <v>76550.0</v>
      </c>
      <c r="EC1032" s="15">
        <v>80780.0</v>
      </c>
      <c r="ED1032" s="15">
        <v>83120.0</v>
      </c>
      <c r="EE1032" s="17">
        <v>0.016</v>
      </c>
      <c r="EF1032" s="17">
        <v>0.046</v>
      </c>
      <c r="EG1032" s="17">
        <v>0.0</v>
      </c>
      <c r="EH1032" s="17">
        <v>0.82</v>
      </c>
    </row>
    <row r="1033">
      <c r="A1033" s="9">
        <f t="shared" si="2"/>
        <v>1031</v>
      </c>
      <c r="B1033" s="10" t="s">
        <v>1168</v>
      </c>
      <c r="C1033" s="11">
        <v>1880000.0</v>
      </c>
      <c r="D1033" s="11">
        <v>1740000.0</v>
      </c>
      <c r="E1033" s="11">
        <v>1410000.0</v>
      </c>
      <c r="F1033" s="11">
        <v>1240000.0</v>
      </c>
      <c r="G1033" s="11">
        <v>1080000.0</v>
      </c>
      <c r="H1033" s="11">
        <v>890320.0</v>
      </c>
      <c r="I1033" s="11">
        <v>762370.0</v>
      </c>
      <c r="J1033" s="11">
        <v>541010.0</v>
      </c>
      <c r="K1033" s="11">
        <v>485990.0</v>
      </c>
      <c r="L1033" s="11">
        <v>421830.0</v>
      </c>
      <c r="M1033" s="11">
        <v>351970.0</v>
      </c>
      <c r="N1033" s="11">
        <v>295690.0</v>
      </c>
      <c r="O1033" s="11">
        <v>356060.0</v>
      </c>
      <c r="P1033" s="11">
        <v>312790.0</v>
      </c>
      <c r="Q1033" s="11">
        <v>278170.0</v>
      </c>
      <c r="R1033" s="11">
        <v>249770.0</v>
      </c>
      <c r="S1033" s="11">
        <v>216020.0</v>
      </c>
      <c r="T1033" s="11"/>
      <c r="U1033" s="11"/>
      <c r="V1033" s="11"/>
      <c r="W1033" s="11"/>
      <c r="X1033" s="11"/>
      <c r="Y1033" s="12"/>
      <c r="Z1033" s="11">
        <v>173050.0</v>
      </c>
      <c r="AA1033" s="11">
        <v>142860.0</v>
      </c>
      <c r="AB1033" s="11"/>
      <c r="AC1033" s="11">
        <v>-6810.0</v>
      </c>
      <c r="AD1033" s="11">
        <v>172730.0</v>
      </c>
      <c r="AE1033" s="11">
        <v>160640.0</v>
      </c>
      <c r="AF1033" s="11">
        <v>130490.0</v>
      </c>
      <c r="AG1033" s="11">
        <v>96260.0</v>
      </c>
      <c r="AH1033" s="11">
        <v>57450.0</v>
      </c>
      <c r="AI1033" s="11">
        <v>202490.0</v>
      </c>
      <c r="AJ1033" s="11">
        <v>187540.0</v>
      </c>
      <c r="AK1033" s="11">
        <v>155920.0</v>
      </c>
      <c r="AL1033" s="11">
        <v>112860.0</v>
      </c>
      <c r="AM1033" s="11">
        <v>89010.0</v>
      </c>
      <c r="AN1033" s="11">
        <v>141130.0</v>
      </c>
      <c r="AO1033" s="11">
        <v>135010.0</v>
      </c>
      <c r="AP1033" s="11">
        <v>127590.0</v>
      </c>
      <c r="AQ1033" s="11">
        <v>59760.0</v>
      </c>
      <c r="AR1033" s="11">
        <v>35840.0</v>
      </c>
      <c r="AS1033" s="11">
        <v>104790.0</v>
      </c>
      <c r="AT1033" s="11">
        <v>126080.0</v>
      </c>
      <c r="AU1033" s="11">
        <v>95940.0</v>
      </c>
      <c r="AV1033" s="11">
        <v>67090.0</v>
      </c>
      <c r="AW1033" s="11">
        <v>45850.0</v>
      </c>
      <c r="AX1033" s="11">
        <v>-76980.0</v>
      </c>
      <c r="AY1033" s="11">
        <v>-74180.0</v>
      </c>
      <c r="AZ1033" s="11">
        <v>-19290.0</v>
      </c>
      <c r="BA1033" s="11">
        <v>-16440.0</v>
      </c>
      <c r="BB1033" s="11">
        <v>-14360.0</v>
      </c>
      <c r="BC1033" s="12"/>
      <c r="BD1033" s="12"/>
      <c r="BE1033" s="12"/>
      <c r="BF1033" s="12"/>
      <c r="BG1033" s="11">
        <v>-48850.0</v>
      </c>
      <c r="BH1033" s="11">
        <v>89950.0</v>
      </c>
      <c r="BI1033" s="11">
        <v>51940.0</v>
      </c>
      <c r="BJ1033" s="11">
        <v>39230.0</v>
      </c>
      <c r="BK1033" s="11">
        <v>98680.0</v>
      </c>
      <c r="BL1033" s="11">
        <v>30260.0</v>
      </c>
      <c r="BM1033" s="11">
        <v>2840.0</v>
      </c>
      <c r="BN1033" s="11">
        <v>570.0</v>
      </c>
      <c r="BO1033" s="11">
        <v>1270.0</v>
      </c>
      <c r="BP1033" s="11">
        <v>301.0</v>
      </c>
      <c r="BQ1033" s="11">
        <v>183.0</v>
      </c>
      <c r="BR1033" s="11">
        <v>335180.0</v>
      </c>
      <c r="BS1033" s="11">
        <v>296410.0</v>
      </c>
      <c r="BT1033" s="11">
        <v>255190.0</v>
      </c>
      <c r="BU1033" s="11">
        <v>210110.0</v>
      </c>
      <c r="BV1033" s="11">
        <v>190610.0</v>
      </c>
      <c r="BW1033" s="11">
        <v>433540.0</v>
      </c>
      <c r="BX1033" s="11">
        <v>358500.0</v>
      </c>
      <c r="BY1033" s="11">
        <v>303680.0</v>
      </c>
      <c r="BZ1033" s="11">
        <v>312830.0</v>
      </c>
      <c r="CA1033" s="11">
        <v>223810.0</v>
      </c>
      <c r="CB1033" s="11">
        <v>484770.0</v>
      </c>
      <c r="CC1033" s="11">
        <v>119050.0</v>
      </c>
      <c r="CD1033" s="11">
        <v>54890.0</v>
      </c>
      <c r="CE1033" s="11">
        <v>46330.0</v>
      </c>
      <c r="CF1033" s="11">
        <v>39290.0</v>
      </c>
      <c r="CG1033" s="11">
        <v>444850.0</v>
      </c>
      <c r="CH1033" s="11">
        <v>444850.0</v>
      </c>
      <c r="CI1033" s="11">
        <v>444850.0</v>
      </c>
      <c r="CJ1033" s="11">
        <v>444850.0</v>
      </c>
      <c r="CK1033" s="11">
        <v>444850.0</v>
      </c>
      <c r="CL1033" s="11">
        <v>1690000.0</v>
      </c>
      <c r="CM1033" s="11">
        <v>1170000.0</v>
      </c>
      <c r="CN1033" s="11">
        <v>1050000.0</v>
      </c>
      <c r="CO1033" s="11">
        <v>1050000.0</v>
      </c>
      <c r="CP1033" s="11">
        <v>955540.0</v>
      </c>
      <c r="CQ1033" s="11">
        <v>63220.0</v>
      </c>
      <c r="CR1033" s="11">
        <v>77430.0</v>
      </c>
      <c r="CS1033" s="11">
        <v>74210.0</v>
      </c>
      <c r="CT1033" s="11">
        <v>50450.0</v>
      </c>
      <c r="CU1033" s="11">
        <v>52080.0</v>
      </c>
      <c r="CV1033" s="11">
        <v>177690.0</v>
      </c>
      <c r="CW1033" s="11">
        <v>53550.0</v>
      </c>
      <c r="CX1033" s="12"/>
      <c r="CY1033" s="12"/>
      <c r="CZ1033" s="12"/>
      <c r="DA1033" s="12"/>
      <c r="DB1033" s="11">
        <v>177690.0</v>
      </c>
      <c r="DC1033" s="11">
        <v>151000.0</v>
      </c>
      <c r="DD1033" s="11">
        <v>136730.0</v>
      </c>
      <c r="DE1033" s="11">
        <v>104820.0</v>
      </c>
      <c r="DF1033" s="11">
        <v>635680.0</v>
      </c>
      <c r="DG1033" s="11">
        <v>229580.0</v>
      </c>
      <c r="DH1033" s="11">
        <v>250020.0</v>
      </c>
      <c r="DI1033" s="11">
        <v>398670.0</v>
      </c>
      <c r="DJ1033" s="11">
        <v>393600.0</v>
      </c>
      <c r="DK1033" s="12"/>
      <c r="DL1033" s="12"/>
      <c r="DM1033" s="12"/>
      <c r="DN1033" s="12"/>
      <c r="DO1033" s="12"/>
      <c r="DP1033" s="11">
        <v>300270.0</v>
      </c>
      <c r="DQ1033" s="11">
        <v>441.0</v>
      </c>
      <c r="DR1033" s="11">
        <v>38840.0</v>
      </c>
      <c r="DS1033" s="11">
        <v>188920.0</v>
      </c>
      <c r="DT1033" s="11">
        <v>193430.0</v>
      </c>
      <c r="DU1033" s="13"/>
      <c r="DV1033" s="12"/>
      <c r="DW1033" s="12"/>
      <c r="DX1033" s="11"/>
      <c r="DY1033" s="12"/>
      <c r="DZ1033" s="11">
        <v>1060000.0</v>
      </c>
      <c r="EA1033" s="11">
        <v>942650.0</v>
      </c>
      <c r="EB1033" s="11">
        <v>796460.0</v>
      </c>
      <c r="EC1033" s="11">
        <v>651260.0</v>
      </c>
      <c r="ED1033" s="11">
        <v>561950.0</v>
      </c>
      <c r="EE1033" s="14">
        <v>0.115</v>
      </c>
      <c r="EF1033" s="14">
        <v>0.08</v>
      </c>
      <c r="EG1033" s="14">
        <v>0.485</v>
      </c>
      <c r="EH1033" s="14">
        <v>0.078</v>
      </c>
    </row>
    <row r="1034">
      <c r="A1034" s="9">
        <f t="shared" si="2"/>
        <v>1032</v>
      </c>
      <c r="B1034" s="25" t="s">
        <v>1169</v>
      </c>
      <c r="C1034" s="15">
        <v>6200000.0</v>
      </c>
      <c r="D1034" s="15">
        <v>5590000.0</v>
      </c>
      <c r="E1034" s="15">
        <v>6110000.0</v>
      </c>
      <c r="F1034" s="15">
        <v>6950000.0</v>
      </c>
      <c r="G1034" s="15">
        <v>6270000.0</v>
      </c>
      <c r="H1034" s="15">
        <v>5550000.0</v>
      </c>
      <c r="I1034" s="15">
        <v>2850000.0</v>
      </c>
      <c r="J1034" s="15">
        <v>701900.0</v>
      </c>
      <c r="K1034" s="15">
        <v>1120000.0</v>
      </c>
      <c r="L1034" s="15">
        <v>712000.0</v>
      </c>
      <c r="M1034" s="15">
        <v>642300.0</v>
      </c>
      <c r="N1034" s="15">
        <v>379500.0</v>
      </c>
      <c r="O1034" s="15">
        <v>412900.0</v>
      </c>
      <c r="P1034" s="15">
        <v>425200.0</v>
      </c>
      <c r="Q1034" s="15">
        <v>371600.0</v>
      </c>
      <c r="R1034" s="15">
        <v>312100.0</v>
      </c>
      <c r="S1034" s="15">
        <v>186400.0</v>
      </c>
      <c r="T1034" s="15">
        <v>16500.0</v>
      </c>
      <c r="U1034" s="15">
        <v>14900.0</v>
      </c>
      <c r="V1034" s="15">
        <v>14500.0</v>
      </c>
      <c r="W1034" s="15">
        <v>10900.0</v>
      </c>
      <c r="X1034" s="15">
        <v>4900.0</v>
      </c>
      <c r="Y1034" s="15">
        <v>205900.0</v>
      </c>
      <c r="Z1034" s="15">
        <v>671000.0</v>
      </c>
      <c r="AA1034" s="15">
        <v>-45600.0</v>
      </c>
      <c r="AB1034" s="15">
        <v>-158500.0</v>
      </c>
      <c r="AC1034" s="15">
        <v>-79400.0</v>
      </c>
      <c r="AD1034" s="15">
        <v>-36900.0</v>
      </c>
      <c r="AE1034" s="15">
        <v>437300.0</v>
      </c>
      <c r="AF1034" s="15">
        <v>117200.0</v>
      </c>
      <c r="AG1034" s="15">
        <v>-34200.0</v>
      </c>
      <c r="AH1034" s="15">
        <v>6700.0</v>
      </c>
      <c r="AI1034" s="15">
        <v>908000.0</v>
      </c>
      <c r="AJ1034" s="15">
        <v>1300000.0</v>
      </c>
      <c r="AK1034" s="15">
        <v>906800.0</v>
      </c>
      <c r="AL1034" s="15">
        <v>861200.0</v>
      </c>
      <c r="AM1034" s="15">
        <v>437000.0</v>
      </c>
      <c r="AN1034" s="15">
        <v>-11300.0</v>
      </c>
      <c r="AO1034" s="15">
        <v>327900.0</v>
      </c>
      <c r="AP1034" s="15">
        <v>549500.0</v>
      </c>
      <c r="AQ1034" s="15">
        <v>-3900.0</v>
      </c>
      <c r="AR1034" s="15">
        <v>-1400.0</v>
      </c>
      <c r="AS1034" s="15">
        <v>617300.0</v>
      </c>
      <c r="AT1034" s="15">
        <v>907800.0</v>
      </c>
      <c r="AU1034" s="15">
        <v>648800.0</v>
      </c>
      <c r="AV1034" s="15">
        <v>603200.0</v>
      </c>
      <c r="AW1034" s="15">
        <v>217100.0</v>
      </c>
      <c r="AX1034" s="15">
        <v>-385600.0</v>
      </c>
      <c r="AY1034" s="15">
        <v>-385200.0</v>
      </c>
      <c r="AZ1034" s="15">
        <v>-294300.0</v>
      </c>
      <c r="BA1034" s="15">
        <v>-278000.0</v>
      </c>
      <c r="BB1034" s="15">
        <v>-130900.0</v>
      </c>
      <c r="BC1034" s="15">
        <v>-129300.0</v>
      </c>
      <c r="BD1034" s="15">
        <v>-133600.0</v>
      </c>
      <c r="BE1034" s="15">
        <v>-133000.0</v>
      </c>
      <c r="BF1034" s="15">
        <v>-132100.0</v>
      </c>
      <c r="BG1034" s="15">
        <v>-79500.0</v>
      </c>
      <c r="BH1034" s="15">
        <v>220900.0</v>
      </c>
      <c r="BI1034" s="15">
        <v>178800.0</v>
      </c>
      <c r="BJ1034" s="15">
        <v>218400.0</v>
      </c>
      <c r="BK1034" s="15">
        <v>184500.0</v>
      </c>
      <c r="BL1034" s="15">
        <v>392000.0</v>
      </c>
      <c r="BM1034" s="15">
        <v>774300.0</v>
      </c>
      <c r="BN1034" s="15">
        <v>782200.0</v>
      </c>
      <c r="BO1034" s="15">
        <v>750100.0</v>
      </c>
      <c r="BP1034" s="15">
        <v>700500.0</v>
      </c>
      <c r="BQ1034" s="15">
        <v>816300.0</v>
      </c>
      <c r="BR1034" s="15">
        <v>695700.0</v>
      </c>
      <c r="BS1034" s="15">
        <v>711400.0</v>
      </c>
      <c r="BT1034" s="15">
        <v>682600.0</v>
      </c>
      <c r="BU1034" s="15">
        <v>630400.0</v>
      </c>
      <c r="BV1034" s="15">
        <v>685200.0</v>
      </c>
      <c r="BW1034" s="15">
        <v>1710000.0</v>
      </c>
      <c r="BX1034" s="15">
        <v>1710000.0</v>
      </c>
      <c r="BY1034" s="15">
        <v>1700000.0</v>
      </c>
      <c r="BZ1034" s="15">
        <v>1550000.0</v>
      </c>
      <c r="CA1034" s="15">
        <v>1930000.0</v>
      </c>
      <c r="CB1034" s="15">
        <v>3700000.0</v>
      </c>
      <c r="CC1034" s="15">
        <v>3480000.0</v>
      </c>
      <c r="CD1034" s="15">
        <v>3580000.0</v>
      </c>
      <c r="CE1034" s="15">
        <v>3700000.0</v>
      </c>
      <c r="CF1034" s="15">
        <v>3950000.0</v>
      </c>
      <c r="CG1034" s="15">
        <v>2120000.0</v>
      </c>
      <c r="CH1034" s="15">
        <v>2120000.0</v>
      </c>
      <c r="CI1034" s="15">
        <v>2120000.0</v>
      </c>
      <c r="CJ1034" s="15">
        <v>2120000.0</v>
      </c>
      <c r="CK1034" s="15">
        <v>2170000.0</v>
      </c>
      <c r="CL1034" s="15">
        <v>9190000.0</v>
      </c>
      <c r="CM1034" s="15">
        <v>9000000.0</v>
      </c>
      <c r="CN1034" s="15">
        <v>9220000.0</v>
      </c>
      <c r="CO1034" s="15">
        <v>8760000.0</v>
      </c>
      <c r="CP1034" s="15">
        <v>9290000.0</v>
      </c>
      <c r="CQ1034" s="15">
        <v>651900.0</v>
      </c>
      <c r="CR1034" s="15">
        <v>636500.0</v>
      </c>
      <c r="CS1034" s="15">
        <v>669800.0</v>
      </c>
      <c r="CT1034" s="15">
        <v>570800.0</v>
      </c>
      <c r="CU1034" s="15">
        <v>608200.0</v>
      </c>
      <c r="CV1034" s="15">
        <v>1080000.0</v>
      </c>
      <c r="CW1034" s="15">
        <v>79300.0</v>
      </c>
      <c r="CX1034" s="12"/>
      <c r="CY1034" s="13"/>
      <c r="CZ1034" s="13"/>
      <c r="DA1034" s="12"/>
      <c r="DB1034" s="15">
        <v>1080000.0</v>
      </c>
      <c r="DC1034" s="15">
        <v>1120000.0</v>
      </c>
      <c r="DD1034" s="15">
        <v>954300.0</v>
      </c>
      <c r="DE1034" s="15">
        <v>922600.0</v>
      </c>
      <c r="DF1034" s="15">
        <v>6770000.0</v>
      </c>
      <c r="DG1034" s="15">
        <v>6170000.0</v>
      </c>
      <c r="DH1034" s="15">
        <v>6460000.0</v>
      </c>
      <c r="DI1034" s="15">
        <v>6490000.0</v>
      </c>
      <c r="DJ1034" s="15">
        <v>6870000.0</v>
      </c>
      <c r="DK1034" s="15">
        <v>700.0</v>
      </c>
      <c r="DL1034" s="15">
        <v>9500.0</v>
      </c>
      <c r="DM1034" s="15">
        <v>32100.0</v>
      </c>
      <c r="DN1034" s="15">
        <v>34400.0</v>
      </c>
      <c r="DO1034" s="15">
        <v>25000.0</v>
      </c>
      <c r="DP1034" s="15">
        <v>3640000.0</v>
      </c>
      <c r="DQ1034" s="15">
        <v>3100000.0</v>
      </c>
      <c r="DR1034" s="15">
        <v>3610000.0</v>
      </c>
      <c r="DS1034" s="15">
        <v>3540000.0</v>
      </c>
      <c r="DT1034" s="15">
        <v>3640000.0</v>
      </c>
      <c r="DU1034" s="12"/>
      <c r="DV1034" s="12"/>
      <c r="DW1034" s="12"/>
      <c r="DX1034" s="12"/>
      <c r="DY1034" s="12"/>
      <c r="DZ1034" s="15">
        <v>2420000.0</v>
      </c>
      <c r="EA1034" s="15">
        <v>2830000.0</v>
      </c>
      <c r="EB1034" s="15">
        <v>2750000.0</v>
      </c>
      <c r="EC1034" s="15">
        <v>2270000.0</v>
      </c>
      <c r="ED1034" s="15">
        <v>2420000.0</v>
      </c>
      <c r="EE1034" s="23"/>
      <c r="EF1034" s="23"/>
      <c r="EG1034" s="17">
        <v>-0.5</v>
      </c>
      <c r="EH1034" s="23"/>
    </row>
    <row r="1035">
      <c r="A1035" s="9">
        <f t="shared" si="2"/>
        <v>1033</v>
      </c>
      <c r="B1035" s="10" t="s">
        <v>1170</v>
      </c>
      <c r="C1035" s="11">
        <v>291000.0</v>
      </c>
      <c r="D1035" s="11">
        <v>229210.0</v>
      </c>
      <c r="E1035" s="11">
        <v>8530000.0</v>
      </c>
      <c r="F1035" s="11">
        <v>7910000.0</v>
      </c>
      <c r="G1035" s="11">
        <v>7130000.0</v>
      </c>
      <c r="H1035" s="11">
        <v>5550000.0</v>
      </c>
      <c r="I1035" s="11">
        <v>4490000.0</v>
      </c>
      <c r="J1035" s="11">
        <v>5400000.0</v>
      </c>
      <c r="K1035" s="11">
        <v>4690000.0</v>
      </c>
      <c r="L1035" s="11">
        <v>3830000.0</v>
      </c>
      <c r="M1035" s="11">
        <v>3400000.0</v>
      </c>
      <c r="N1035" s="11">
        <v>2590000.0</v>
      </c>
      <c r="O1035" s="11">
        <v>542420.0</v>
      </c>
      <c r="P1035" s="11">
        <v>557190.0</v>
      </c>
      <c r="Q1035" s="11">
        <v>587920.0</v>
      </c>
      <c r="R1035" s="11">
        <v>642350.0</v>
      </c>
      <c r="S1035" s="11">
        <v>562060.0</v>
      </c>
      <c r="T1035" s="12"/>
      <c r="U1035" s="12"/>
      <c r="V1035" s="12"/>
      <c r="W1035" s="12"/>
      <c r="X1035" s="12"/>
      <c r="Y1035" s="12"/>
      <c r="Z1035" s="12"/>
      <c r="AA1035" s="11">
        <v>3240000.0</v>
      </c>
      <c r="AB1035" s="12"/>
      <c r="AC1035" s="11">
        <v>2030000.0</v>
      </c>
      <c r="AD1035" s="11">
        <v>4600000.0</v>
      </c>
      <c r="AE1035" s="11">
        <v>3990000.0</v>
      </c>
      <c r="AF1035" s="11">
        <v>2950000.0</v>
      </c>
      <c r="AG1035" s="11">
        <v>2620000.0</v>
      </c>
      <c r="AH1035" s="11">
        <v>1750000.0</v>
      </c>
      <c r="AI1035" s="11">
        <v>5270000.0</v>
      </c>
      <c r="AJ1035" s="11">
        <v>4480000.0</v>
      </c>
      <c r="AK1035" s="11">
        <v>3540000.0</v>
      </c>
      <c r="AL1035" s="11">
        <v>3040000.0</v>
      </c>
      <c r="AM1035" s="11">
        <v>2260000.0</v>
      </c>
      <c r="AN1035" s="11">
        <v>3220000.0</v>
      </c>
      <c r="AO1035" s="11">
        <v>2850000.0</v>
      </c>
      <c r="AP1035" s="11">
        <v>2130000.0</v>
      </c>
      <c r="AQ1035" s="11">
        <v>1870000.0</v>
      </c>
      <c r="AR1035" s="11">
        <v>1230000.0</v>
      </c>
      <c r="AS1035" s="11">
        <v>3560000.0</v>
      </c>
      <c r="AT1035" s="11">
        <v>3560000.0</v>
      </c>
      <c r="AU1035" s="11">
        <v>2690000.0</v>
      </c>
      <c r="AV1035" s="11">
        <v>2170000.0</v>
      </c>
      <c r="AW1035" s="11">
        <v>1820000.0</v>
      </c>
      <c r="AX1035" s="11">
        <v>-1140000.0</v>
      </c>
      <c r="AY1035" s="11">
        <v>-1280000.0</v>
      </c>
      <c r="AZ1035" s="11">
        <v>-1590000.0</v>
      </c>
      <c r="BA1035" s="11">
        <v>-615310.0</v>
      </c>
      <c r="BB1035" s="11">
        <v>-455280.0</v>
      </c>
      <c r="BC1035" s="11">
        <v>-1600000.0</v>
      </c>
      <c r="BD1035" s="11">
        <v>-1600000.0</v>
      </c>
      <c r="BE1035" s="11">
        <v>-1580000.0</v>
      </c>
      <c r="BF1035" s="11">
        <v>-1370000.0</v>
      </c>
      <c r="BG1035" s="12"/>
      <c r="BH1035" s="11">
        <v>3430000.0</v>
      </c>
      <c r="BI1035" s="11">
        <v>2980000.0</v>
      </c>
      <c r="BJ1035" s="11">
        <v>2380000.0</v>
      </c>
      <c r="BK1035" s="11">
        <v>3010000.0</v>
      </c>
      <c r="BL1035" s="11">
        <v>2670000.0</v>
      </c>
      <c r="BM1035" s="11">
        <v>1340000.0</v>
      </c>
      <c r="BN1035" s="11">
        <v>940750.0</v>
      </c>
      <c r="BO1035" s="11">
        <v>858980.0</v>
      </c>
      <c r="BP1035" s="11">
        <v>864280.0</v>
      </c>
      <c r="BQ1035" s="11">
        <v>489990.0</v>
      </c>
      <c r="BR1035" s="12"/>
      <c r="BS1035" s="12"/>
      <c r="BT1035" s="12"/>
      <c r="BU1035" s="12"/>
      <c r="BV1035" s="12"/>
      <c r="BW1035" s="11">
        <v>4810000.0</v>
      </c>
      <c r="BX1035" s="11">
        <v>3960000.0</v>
      </c>
      <c r="BY1035" s="11">
        <v>3500000.0</v>
      </c>
      <c r="BZ1035" s="11">
        <v>4100000.0</v>
      </c>
      <c r="CA1035" s="11">
        <v>3220000.0</v>
      </c>
      <c r="CB1035" s="11">
        <v>2860000.0</v>
      </c>
      <c r="CC1035" s="11">
        <v>2670000.0</v>
      </c>
      <c r="CD1035" s="11">
        <v>2600000.0</v>
      </c>
      <c r="CE1035" s="11">
        <v>2440000.0</v>
      </c>
      <c r="CF1035" s="11">
        <v>2370000.0</v>
      </c>
      <c r="CG1035" s="11"/>
      <c r="CH1035" s="11"/>
      <c r="CI1035" s="11"/>
      <c r="CJ1035" s="11"/>
      <c r="CK1035" s="11"/>
      <c r="CL1035" s="11">
        <v>1.728E7</v>
      </c>
      <c r="CM1035" s="11">
        <v>1.559E7</v>
      </c>
      <c r="CN1035" s="11">
        <v>1.42E7</v>
      </c>
      <c r="CO1035" s="11">
        <v>1.355E7</v>
      </c>
      <c r="CP1035" s="11">
        <v>1.251E7</v>
      </c>
      <c r="CQ1035" s="11">
        <v>140810.0</v>
      </c>
      <c r="CR1035" s="11">
        <v>155900.0</v>
      </c>
      <c r="CS1035" s="11">
        <v>207190.0</v>
      </c>
      <c r="CT1035" s="11">
        <v>212940.0</v>
      </c>
      <c r="CU1035" s="11">
        <v>157040.0</v>
      </c>
      <c r="CV1035" s="11">
        <v>1240000.0</v>
      </c>
      <c r="CW1035" s="11"/>
      <c r="CX1035" s="12"/>
      <c r="CY1035" s="12"/>
      <c r="CZ1035" s="12"/>
      <c r="DA1035" s="12"/>
      <c r="DB1035" s="11">
        <v>1240000.0</v>
      </c>
      <c r="DC1035" s="11">
        <v>1220000.0</v>
      </c>
      <c r="DD1035" s="11">
        <v>1100000.0</v>
      </c>
      <c r="DE1035" s="11">
        <v>1110000.0</v>
      </c>
      <c r="DF1035" s="11">
        <v>7390000.0</v>
      </c>
      <c r="DG1035" s="11">
        <v>7080000.0</v>
      </c>
      <c r="DH1035" s="11">
        <v>6970000.0</v>
      </c>
      <c r="DI1035" s="11">
        <v>6860000.0</v>
      </c>
      <c r="DJ1035" s="11">
        <v>6560000.0</v>
      </c>
      <c r="DK1035" s="12"/>
      <c r="DL1035" s="11"/>
      <c r="DM1035" s="11"/>
      <c r="DN1035" s="11"/>
      <c r="DO1035" s="12"/>
      <c r="DP1035" s="11">
        <v>4660000.0</v>
      </c>
      <c r="DQ1035" s="11">
        <v>4560000.0</v>
      </c>
      <c r="DR1035" s="11">
        <v>4610000.0</v>
      </c>
      <c r="DS1035" s="11">
        <v>4640000.0</v>
      </c>
      <c r="DT1035" s="11">
        <v>4660000.0</v>
      </c>
      <c r="DU1035" s="13"/>
      <c r="DV1035" s="12"/>
      <c r="DW1035" s="12"/>
      <c r="DX1035" s="12"/>
      <c r="DY1035" s="12"/>
      <c r="DZ1035" s="11">
        <v>9720000.0</v>
      </c>
      <c r="EA1035" s="11">
        <v>8350000.0</v>
      </c>
      <c r="EB1035" s="11">
        <v>7070000.0</v>
      </c>
      <c r="EC1035" s="11">
        <v>6550000.0</v>
      </c>
      <c r="ED1035" s="11">
        <v>5870000.0</v>
      </c>
      <c r="EE1035" s="14">
        <v>0.648</v>
      </c>
      <c r="EF1035" s="14">
        <v>0.355</v>
      </c>
      <c r="EG1035" s="14">
        <v>0.0</v>
      </c>
      <c r="EH1035" s="14">
        <v>0.027</v>
      </c>
    </row>
    <row r="1036">
      <c r="A1036" s="9">
        <f t="shared" si="2"/>
        <v>1034</v>
      </c>
      <c r="B1036" s="22" t="s">
        <v>1171</v>
      </c>
      <c r="C1036" s="11">
        <v>66790.0</v>
      </c>
      <c r="D1036" s="11">
        <v>68700.0</v>
      </c>
      <c r="E1036" s="11">
        <v>111810.0</v>
      </c>
      <c r="F1036" s="11">
        <v>29870.0</v>
      </c>
      <c r="G1036" s="11">
        <v>64830.0</v>
      </c>
      <c r="H1036" s="11">
        <v>41620.0</v>
      </c>
      <c r="I1036" s="11">
        <v>13510.0</v>
      </c>
      <c r="J1036" s="11">
        <v>109150.0</v>
      </c>
      <c r="K1036" s="11">
        <v>28880.0</v>
      </c>
      <c r="L1036" s="11">
        <v>63750.0</v>
      </c>
      <c r="M1036" s="11">
        <v>40210.0</v>
      </c>
      <c r="N1036" s="11">
        <v>12470.0</v>
      </c>
      <c r="O1036" s="11">
        <v>172530.0</v>
      </c>
      <c r="P1036" s="11">
        <v>141100.0</v>
      </c>
      <c r="Q1036" s="11">
        <v>107640.0</v>
      </c>
      <c r="R1036" s="11">
        <v>94480.0</v>
      </c>
      <c r="S1036" s="11">
        <v>83710.0</v>
      </c>
      <c r="T1036" s="11">
        <v>109700.0</v>
      </c>
      <c r="U1036" s="11">
        <v>89860.0</v>
      </c>
      <c r="V1036" s="11">
        <v>55600.0</v>
      </c>
      <c r="W1036" s="11">
        <v>50700.0</v>
      </c>
      <c r="X1036" s="11">
        <v>48380.0</v>
      </c>
      <c r="Y1036" s="12"/>
      <c r="Z1036" s="11">
        <v>-125220.0</v>
      </c>
      <c r="AA1036" s="12"/>
      <c r="AB1036" s="11">
        <v>-59870.0</v>
      </c>
      <c r="AC1036" s="11">
        <v>-72550.0</v>
      </c>
      <c r="AD1036" s="11">
        <v>-84490.0</v>
      </c>
      <c r="AE1036" s="11">
        <v>-139690.0</v>
      </c>
      <c r="AF1036" s="11">
        <v>-53480.0</v>
      </c>
      <c r="AG1036" s="11">
        <v>-66750.0</v>
      </c>
      <c r="AH1036" s="11">
        <v>-75100.0</v>
      </c>
      <c r="AI1036" s="11">
        <v>-61590.0</v>
      </c>
      <c r="AJ1036" s="11">
        <v>-111260.0</v>
      </c>
      <c r="AK1036" s="11">
        <v>-43340.0</v>
      </c>
      <c r="AL1036" s="11">
        <v>-53980.0</v>
      </c>
      <c r="AM1036" s="11">
        <v>-71030.0</v>
      </c>
      <c r="AN1036" s="11">
        <v>-84490.0</v>
      </c>
      <c r="AO1036" s="11">
        <v>-126760.0</v>
      </c>
      <c r="AP1036" s="11">
        <v>-53480.0</v>
      </c>
      <c r="AQ1036" s="11">
        <v>-66750.0</v>
      </c>
      <c r="AR1036" s="11">
        <v>-75100.0</v>
      </c>
      <c r="AS1036" s="11">
        <v>-60070.0</v>
      </c>
      <c r="AT1036" s="11">
        <v>-103740.0</v>
      </c>
      <c r="AU1036" s="11">
        <v>-36230.0</v>
      </c>
      <c r="AV1036" s="11">
        <v>-51500.0</v>
      </c>
      <c r="AW1036" s="11">
        <v>-65210.0</v>
      </c>
      <c r="AX1036" s="11">
        <v>-334.0</v>
      </c>
      <c r="AY1036" s="11">
        <v>-567.0</v>
      </c>
      <c r="AZ1036" s="11">
        <v>-350.0</v>
      </c>
      <c r="BA1036" s="11">
        <v>-126.0</v>
      </c>
      <c r="BB1036" s="11">
        <v>-240.0</v>
      </c>
      <c r="BC1036" s="12"/>
      <c r="BD1036" s="12"/>
      <c r="BE1036" s="12"/>
      <c r="BF1036" s="12"/>
      <c r="BG1036" s="12"/>
      <c r="BH1036" s="11">
        <v>60790.0</v>
      </c>
      <c r="BI1036" s="11">
        <v>60500.0</v>
      </c>
      <c r="BJ1036" s="11">
        <v>83750.0</v>
      </c>
      <c r="BK1036" s="11">
        <v>45330.0</v>
      </c>
      <c r="BL1036" s="11">
        <v>28260.0</v>
      </c>
      <c r="BM1036" s="11">
        <v>35190.0</v>
      </c>
      <c r="BN1036" s="11">
        <v>22820.0</v>
      </c>
      <c r="BO1036" s="11">
        <v>17140.0</v>
      </c>
      <c r="BP1036" s="11">
        <v>12040.0</v>
      </c>
      <c r="BQ1036" s="11">
        <v>6520.0</v>
      </c>
      <c r="BR1036" s="11">
        <v>1150.0</v>
      </c>
      <c r="BS1036" s="11">
        <v>88.0</v>
      </c>
      <c r="BT1036" s="11">
        <v>443.0</v>
      </c>
      <c r="BU1036" s="11">
        <v>1130.0</v>
      </c>
      <c r="BV1036" s="11">
        <v>472.0</v>
      </c>
      <c r="BW1036" s="11">
        <v>103750.0</v>
      </c>
      <c r="BX1036" s="11">
        <v>89870.0</v>
      </c>
      <c r="BY1036" s="11">
        <v>108370.0</v>
      </c>
      <c r="BZ1036" s="11">
        <v>60260.0</v>
      </c>
      <c r="CA1036" s="11">
        <v>37150.0</v>
      </c>
      <c r="CB1036" s="11">
        <v>30910.0</v>
      </c>
      <c r="CC1036" s="11">
        <v>3850.0</v>
      </c>
      <c r="CD1036" s="11">
        <v>2120.0</v>
      </c>
      <c r="CE1036" s="11">
        <v>1180.0</v>
      </c>
      <c r="CF1036" s="11">
        <v>951.0</v>
      </c>
      <c r="CG1036" s="12"/>
      <c r="CH1036" s="12"/>
      <c r="CI1036" s="12"/>
      <c r="CJ1036" s="12"/>
      <c r="CK1036" s="12"/>
      <c r="CL1036" s="11">
        <v>136970.0</v>
      </c>
      <c r="CM1036" s="11">
        <v>95940.0</v>
      </c>
      <c r="CN1036" s="11">
        <v>116330.0</v>
      </c>
      <c r="CO1036" s="11">
        <v>67280.0</v>
      </c>
      <c r="CP1036" s="11">
        <v>49000.0</v>
      </c>
      <c r="CQ1036" s="11">
        <v>5330.0</v>
      </c>
      <c r="CR1036" s="11">
        <v>6280.0</v>
      </c>
      <c r="CS1036" s="11">
        <v>6690.0</v>
      </c>
      <c r="CT1036" s="11">
        <v>2520.0</v>
      </c>
      <c r="CU1036" s="11">
        <v>6430.0</v>
      </c>
      <c r="CV1036" s="11">
        <v>55460.0</v>
      </c>
      <c r="CW1036" s="11">
        <v>2280.0</v>
      </c>
      <c r="CX1036" s="12"/>
      <c r="CY1036" s="12"/>
      <c r="CZ1036" s="12"/>
      <c r="DA1036" s="12"/>
      <c r="DB1036" s="11">
        <v>55460.0</v>
      </c>
      <c r="DC1036" s="11">
        <v>37360.0</v>
      </c>
      <c r="DD1036" s="11">
        <v>26310.0</v>
      </c>
      <c r="DE1036" s="11">
        <v>16070.0</v>
      </c>
      <c r="DF1036" s="11">
        <v>245990.0</v>
      </c>
      <c r="DG1036" s="11">
        <v>196090.0</v>
      </c>
      <c r="DH1036" s="11">
        <v>119140.0</v>
      </c>
      <c r="DI1036" s="11">
        <v>104730.0</v>
      </c>
      <c r="DJ1036" s="11">
        <v>75230.0</v>
      </c>
      <c r="DK1036" s="11">
        <v>1150.0</v>
      </c>
      <c r="DL1036" s="11">
        <v>1150.0</v>
      </c>
      <c r="DM1036" s="11">
        <v>5840.0</v>
      </c>
      <c r="DN1036" s="11">
        <v>5840.0</v>
      </c>
      <c r="DO1036" s="11">
        <v>10680.0</v>
      </c>
      <c r="DP1036" s="11">
        <v>190530.0</v>
      </c>
      <c r="DQ1036" s="11">
        <v>150560.0</v>
      </c>
      <c r="DR1036" s="11">
        <v>84120.0</v>
      </c>
      <c r="DS1036" s="11">
        <v>79510.0</v>
      </c>
      <c r="DT1036" s="11">
        <v>49770.0</v>
      </c>
      <c r="DU1036" s="13"/>
      <c r="DV1036" s="13"/>
      <c r="DW1036" s="13"/>
      <c r="DX1036" s="13"/>
      <c r="DY1036" s="13"/>
      <c r="DZ1036" s="11">
        <v>-109020.0</v>
      </c>
      <c r="EA1036" s="11">
        <v>-100160.0</v>
      </c>
      <c r="EB1036" s="11">
        <v>-2810.0</v>
      </c>
      <c r="EC1036" s="11">
        <v>-37450.0</v>
      </c>
      <c r="ED1036" s="11">
        <v>-26230.0</v>
      </c>
      <c r="EE1036" s="14">
        <v>0.614</v>
      </c>
      <c r="EF1036" s="14">
        <v>2.079</v>
      </c>
      <c r="EG1036" s="14">
        <v>0.047</v>
      </c>
      <c r="EH1036" s="14">
        <v>-0.119</v>
      </c>
    </row>
    <row r="1037">
      <c r="A1037" s="9">
        <f t="shared" si="2"/>
        <v>1035</v>
      </c>
      <c r="B1037" s="10" t="s">
        <v>1172</v>
      </c>
      <c r="C1037" s="11">
        <v>8640000.0</v>
      </c>
      <c r="D1037" s="11">
        <v>8450000.0</v>
      </c>
      <c r="E1037" s="11">
        <v>9210000.0</v>
      </c>
      <c r="F1037" s="11">
        <v>9420000.0</v>
      </c>
      <c r="G1037" s="11">
        <v>9320000.0</v>
      </c>
      <c r="H1037" s="11">
        <v>9720000.0</v>
      </c>
      <c r="I1037" s="11">
        <v>9770000.0</v>
      </c>
      <c r="J1037" s="11">
        <v>1030000.0</v>
      </c>
      <c r="K1037" s="11">
        <v>987130.0</v>
      </c>
      <c r="L1037" s="11">
        <v>1120000.0</v>
      </c>
      <c r="M1037" s="11">
        <v>1130000.0</v>
      </c>
      <c r="N1037" s="11">
        <v>1150000.0</v>
      </c>
      <c r="O1037" s="11">
        <v>926320.0</v>
      </c>
      <c r="P1037" s="11">
        <v>869470.0</v>
      </c>
      <c r="Q1037" s="11">
        <v>945240.0</v>
      </c>
      <c r="R1037" s="11">
        <v>915030.0</v>
      </c>
      <c r="S1037" s="11">
        <v>927800.0</v>
      </c>
      <c r="T1037" s="12"/>
      <c r="U1037" s="12"/>
      <c r="V1037" s="12"/>
      <c r="W1037" s="12"/>
      <c r="X1037" s="12"/>
      <c r="Y1037" s="11">
        <v>74060.0</v>
      </c>
      <c r="Z1037" s="12"/>
      <c r="AA1037" s="11">
        <v>110480.0</v>
      </c>
      <c r="AB1037" s="11">
        <v>191810.0</v>
      </c>
      <c r="AC1037" s="12"/>
      <c r="AD1037" s="12"/>
      <c r="AE1037" s="12"/>
      <c r="AF1037" s="11">
        <v>57480.0</v>
      </c>
      <c r="AG1037" s="11">
        <v>172540.0</v>
      </c>
      <c r="AH1037" s="11">
        <v>173210.0</v>
      </c>
      <c r="AI1037" s="11">
        <v>201660.0</v>
      </c>
      <c r="AJ1037" s="11">
        <v>201060.0</v>
      </c>
      <c r="AK1037" s="11">
        <v>230630.0</v>
      </c>
      <c r="AL1037" s="11">
        <v>272280.0</v>
      </c>
      <c r="AM1037" s="11">
        <v>286770.0</v>
      </c>
      <c r="AN1037" s="12"/>
      <c r="AO1037" s="12"/>
      <c r="AP1037" s="11">
        <v>71730.0</v>
      </c>
      <c r="AQ1037" s="11">
        <v>107640.0</v>
      </c>
      <c r="AR1037" s="11">
        <v>102480.0</v>
      </c>
      <c r="AS1037" s="11">
        <v>161770.0</v>
      </c>
      <c r="AT1037" s="11">
        <v>115590.0</v>
      </c>
      <c r="AU1037" s="11">
        <v>56770.0</v>
      </c>
      <c r="AV1037" s="11">
        <v>186930.0</v>
      </c>
      <c r="AW1037" s="11">
        <v>269600.0</v>
      </c>
      <c r="AX1037" s="12"/>
      <c r="AY1037" s="12"/>
      <c r="AZ1037" s="12"/>
      <c r="BA1037" s="12"/>
      <c r="BB1037" s="12"/>
      <c r="BC1037" s="13"/>
      <c r="BD1037" s="12"/>
      <c r="BE1037" s="12"/>
      <c r="BF1037" s="13"/>
      <c r="BG1037" s="13"/>
      <c r="BH1037" s="11">
        <v>67030.0</v>
      </c>
      <c r="BI1037" s="11">
        <v>66310.0</v>
      </c>
      <c r="BJ1037" s="11">
        <v>104520.0</v>
      </c>
      <c r="BK1037" s="11">
        <v>185490.0</v>
      </c>
      <c r="BL1037" s="11">
        <v>161020.0</v>
      </c>
      <c r="BM1037" s="11">
        <v>674710.0</v>
      </c>
      <c r="BN1037" s="11">
        <v>756690.0</v>
      </c>
      <c r="BO1037" s="11">
        <v>951040.0</v>
      </c>
      <c r="BP1037" s="11">
        <v>762580.0</v>
      </c>
      <c r="BQ1037" s="11">
        <v>786440.0</v>
      </c>
      <c r="BR1037" s="11">
        <v>1150000.0</v>
      </c>
      <c r="BS1037" s="11">
        <v>1270000.0</v>
      </c>
      <c r="BT1037" s="11">
        <v>990190.0</v>
      </c>
      <c r="BU1037" s="11">
        <v>916310.0</v>
      </c>
      <c r="BV1037" s="11">
        <v>940780.0</v>
      </c>
      <c r="BW1037" s="11">
        <v>2410000.0</v>
      </c>
      <c r="BX1037" s="11">
        <v>2540000.0</v>
      </c>
      <c r="BY1037" s="11">
        <v>2180000.0</v>
      </c>
      <c r="BZ1037" s="11">
        <v>1960000.0</v>
      </c>
      <c r="CA1037" s="11">
        <v>1970000.0</v>
      </c>
      <c r="CB1037" s="11">
        <v>457650.0</v>
      </c>
      <c r="CC1037" s="11">
        <v>323940.0</v>
      </c>
      <c r="CD1037" s="11">
        <v>206490.0</v>
      </c>
      <c r="CE1037" s="11">
        <v>191720.0</v>
      </c>
      <c r="CF1037" s="11">
        <v>208930.0</v>
      </c>
      <c r="CG1037" s="11">
        <v>393180.0</v>
      </c>
      <c r="CH1037" s="11">
        <v>414120.0</v>
      </c>
      <c r="CI1037" s="11">
        <v>713810.0</v>
      </c>
      <c r="CJ1037" s="11">
        <v>414940.0</v>
      </c>
      <c r="CK1037" s="11">
        <v>419620.0</v>
      </c>
      <c r="CL1037" s="11">
        <v>3640000.0</v>
      </c>
      <c r="CM1037" s="11">
        <v>3770000.0</v>
      </c>
      <c r="CN1037" s="11">
        <v>3380000.0</v>
      </c>
      <c r="CO1037" s="11">
        <v>2720000.0</v>
      </c>
      <c r="CP1037" s="11">
        <v>2770000.0</v>
      </c>
      <c r="CQ1037" s="11">
        <v>808040.0</v>
      </c>
      <c r="CR1037" s="11">
        <v>1070000.0</v>
      </c>
      <c r="CS1037" s="11">
        <v>1070000.0</v>
      </c>
      <c r="CT1037" s="11">
        <v>860750.0</v>
      </c>
      <c r="CU1037" s="11">
        <v>859110.0</v>
      </c>
      <c r="CV1037" s="11">
        <v>1420000.0</v>
      </c>
      <c r="CW1037" s="11">
        <v>31570.0</v>
      </c>
      <c r="CX1037" s="13"/>
      <c r="CY1037" s="13"/>
      <c r="CZ1037" s="13"/>
      <c r="DA1037" s="12"/>
      <c r="DB1037" s="11">
        <v>1420000.0</v>
      </c>
      <c r="DC1037" s="11">
        <v>1470000.0</v>
      </c>
      <c r="DD1037" s="11">
        <v>1310000.0</v>
      </c>
      <c r="DE1037" s="11">
        <v>1030000.0</v>
      </c>
      <c r="DF1037" s="11">
        <v>3180000.0</v>
      </c>
      <c r="DG1037" s="11">
        <v>3260000.0</v>
      </c>
      <c r="DH1037" s="11">
        <v>2360000.0</v>
      </c>
      <c r="DI1037" s="11">
        <v>1760000.0</v>
      </c>
      <c r="DJ1037" s="11">
        <v>1780000.0</v>
      </c>
      <c r="DK1037" s="11">
        <v>16260.0</v>
      </c>
      <c r="DL1037" s="12"/>
      <c r="DM1037" s="12"/>
      <c r="DN1037" s="12"/>
      <c r="DO1037" s="13"/>
      <c r="DP1037" s="11">
        <v>1630000.0</v>
      </c>
      <c r="DQ1037" s="11">
        <v>1650000.0</v>
      </c>
      <c r="DR1037" s="11">
        <v>900740.0</v>
      </c>
      <c r="DS1037" s="11">
        <v>564580.0</v>
      </c>
      <c r="DT1037" s="11">
        <v>568500.0</v>
      </c>
      <c r="DU1037" s="13"/>
      <c r="DV1037" s="12"/>
      <c r="DW1037" s="12"/>
      <c r="DX1037" s="12"/>
      <c r="DY1037" s="13"/>
      <c r="DZ1037" s="11">
        <v>462150.0</v>
      </c>
      <c r="EA1037" s="11">
        <v>518420.0</v>
      </c>
      <c r="EB1037" s="11">
        <v>1020000.0</v>
      </c>
      <c r="EC1037" s="11">
        <v>960040.0</v>
      </c>
      <c r="ED1037" s="11">
        <v>992590.0</v>
      </c>
      <c r="EE1037" s="14">
        <v>0.076</v>
      </c>
      <c r="EF1037" s="14">
        <v>0.124</v>
      </c>
      <c r="EG1037" s="14">
        <v>0.0</v>
      </c>
      <c r="EH1037" s="14">
        <v>0.131</v>
      </c>
    </row>
    <row r="1038">
      <c r="A1038" s="9">
        <f t="shared" si="2"/>
        <v>1036</v>
      </c>
      <c r="B1038" s="25" t="s">
        <v>1173</v>
      </c>
      <c r="C1038" s="15">
        <v>832000.0</v>
      </c>
      <c r="D1038" s="15">
        <v>807000.0</v>
      </c>
      <c r="E1038" s="15">
        <v>1.874E7</v>
      </c>
      <c r="F1038" s="15">
        <v>1.863E7</v>
      </c>
      <c r="G1038" s="15">
        <v>1.737E7</v>
      </c>
      <c r="H1038" s="15">
        <v>1.627E7</v>
      </c>
      <c r="I1038" s="15">
        <v>1.677E7</v>
      </c>
      <c r="J1038" s="15">
        <v>4180000.0</v>
      </c>
      <c r="K1038" s="15">
        <v>3740000.0</v>
      </c>
      <c r="L1038" s="15">
        <v>3630000.0</v>
      </c>
      <c r="M1038" s="15">
        <v>3220000.0</v>
      </c>
      <c r="N1038" s="15">
        <v>1880000.0</v>
      </c>
      <c r="O1038" s="15">
        <v>3240000.0</v>
      </c>
      <c r="P1038" s="15">
        <v>3410000.0</v>
      </c>
      <c r="Q1038" s="15">
        <v>2850000.0</v>
      </c>
      <c r="R1038" s="15">
        <v>2370000.0</v>
      </c>
      <c r="S1038" s="15">
        <v>2400000.0</v>
      </c>
      <c r="T1038" s="15">
        <v>27000.0</v>
      </c>
      <c r="U1038" s="15">
        <v>22000.0</v>
      </c>
      <c r="V1038" s="15">
        <v>18000.0</v>
      </c>
      <c r="W1038" s="15">
        <v>14000.0</v>
      </c>
      <c r="X1038" s="15">
        <v>24000.0</v>
      </c>
      <c r="Y1038" s="15">
        <v>917000.0</v>
      </c>
      <c r="Z1038" s="15">
        <v>26000.0</v>
      </c>
      <c r="AA1038" s="15">
        <v>769000.0</v>
      </c>
      <c r="AB1038" s="15">
        <v>940000.0</v>
      </c>
      <c r="AC1038" s="15">
        <v>4000.0</v>
      </c>
      <c r="AD1038" s="15">
        <v>340000.0</v>
      </c>
      <c r="AE1038" s="15">
        <v>-441000.0</v>
      </c>
      <c r="AF1038" s="15">
        <v>840000.0</v>
      </c>
      <c r="AG1038" s="15">
        <v>856000.0</v>
      </c>
      <c r="AH1038" s="15">
        <v>929000.0</v>
      </c>
      <c r="AI1038" s="15">
        <v>1880000.0</v>
      </c>
      <c r="AJ1038" s="15">
        <v>939000.0</v>
      </c>
      <c r="AK1038" s="15">
        <v>1260000.0</v>
      </c>
      <c r="AL1038" s="15">
        <v>1280000.0</v>
      </c>
      <c r="AM1038" s="15">
        <v>1450000.0</v>
      </c>
      <c r="AN1038" s="15">
        <v>124000.0</v>
      </c>
      <c r="AO1038" s="15">
        <v>-414000.0</v>
      </c>
      <c r="AP1038" s="15">
        <v>666000.0</v>
      </c>
      <c r="AQ1038" s="15">
        <v>593000.0</v>
      </c>
      <c r="AR1038" s="15">
        <v>641000.0</v>
      </c>
      <c r="AS1038" s="15">
        <v>1690000.0</v>
      </c>
      <c r="AT1038" s="15">
        <v>311000.0</v>
      </c>
      <c r="AU1038" s="15">
        <v>-767000.0</v>
      </c>
      <c r="AV1038" s="15">
        <v>886000.0</v>
      </c>
      <c r="AW1038" s="15">
        <v>1860000.0</v>
      </c>
      <c r="AX1038" s="15">
        <v>-514000.0</v>
      </c>
      <c r="AY1038" s="15">
        <v>-1120000.0</v>
      </c>
      <c r="AZ1038" s="15">
        <v>-887000.0</v>
      </c>
      <c r="BA1038" s="15">
        <v>-817000.0</v>
      </c>
      <c r="BB1038" s="15">
        <v>-494000.0</v>
      </c>
      <c r="BC1038" s="13"/>
      <c r="BD1038" s="15">
        <v>-153000.0</v>
      </c>
      <c r="BE1038" s="15">
        <v>-262000.0</v>
      </c>
      <c r="BF1038" s="15">
        <v>-233000.0</v>
      </c>
      <c r="BG1038" s="15">
        <v>-324000.0</v>
      </c>
      <c r="BH1038" s="15">
        <v>1360000.0</v>
      </c>
      <c r="BI1038" s="15">
        <v>644000.0</v>
      </c>
      <c r="BJ1038" s="15">
        <v>1210000.0</v>
      </c>
      <c r="BK1038" s="15">
        <v>1360000.0</v>
      </c>
      <c r="BL1038" s="15">
        <v>639000.0</v>
      </c>
      <c r="BM1038" s="15">
        <v>4260000.0</v>
      </c>
      <c r="BN1038" s="15">
        <v>3920000.0</v>
      </c>
      <c r="BO1038" s="15">
        <v>3820000.0</v>
      </c>
      <c r="BP1038" s="15">
        <v>3030000.0</v>
      </c>
      <c r="BQ1038" s="15">
        <v>3010000.0</v>
      </c>
      <c r="BR1038" s="15">
        <v>3650000.0</v>
      </c>
      <c r="BS1038" s="15">
        <v>3880000.0</v>
      </c>
      <c r="BT1038" s="15">
        <v>4190000.0</v>
      </c>
      <c r="BU1038" s="15">
        <v>3230000.0</v>
      </c>
      <c r="BV1038" s="15">
        <v>3850000.0</v>
      </c>
      <c r="BW1038" s="15">
        <v>9430000.0</v>
      </c>
      <c r="BX1038" s="15">
        <v>8510000.0</v>
      </c>
      <c r="BY1038" s="15">
        <v>9220000.0</v>
      </c>
      <c r="BZ1038" s="15">
        <v>7760000.0</v>
      </c>
      <c r="CA1038" s="15">
        <v>7620000.0</v>
      </c>
      <c r="CB1038" s="15">
        <v>5900000.0</v>
      </c>
      <c r="CC1038" s="15">
        <v>5430000.0</v>
      </c>
      <c r="CD1038" s="15">
        <v>4590000.0</v>
      </c>
      <c r="CE1038" s="15">
        <v>4280000.0</v>
      </c>
      <c r="CF1038" s="15">
        <v>4060000.0</v>
      </c>
      <c r="CG1038" s="15">
        <v>590000.0</v>
      </c>
      <c r="CH1038" s="15">
        <v>597000.0</v>
      </c>
      <c r="CI1038" s="15">
        <v>525000.0</v>
      </c>
      <c r="CJ1038" s="15">
        <v>333000.0</v>
      </c>
      <c r="CK1038" s="15">
        <v>333000.0</v>
      </c>
      <c r="CL1038" s="15">
        <v>1.809E7</v>
      </c>
      <c r="CM1038" s="15">
        <v>1.665E7</v>
      </c>
      <c r="CN1038" s="15">
        <v>1.54E7</v>
      </c>
      <c r="CO1038" s="15">
        <v>1.276E7</v>
      </c>
      <c r="CP1038" s="15">
        <v>1.232E7</v>
      </c>
      <c r="CQ1038" s="15">
        <v>3490000.0</v>
      </c>
      <c r="CR1038" s="15">
        <v>3300000.0</v>
      </c>
      <c r="CS1038" s="15">
        <v>3380000.0</v>
      </c>
      <c r="CT1038" s="15">
        <v>3320000.0</v>
      </c>
      <c r="CU1038" s="15">
        <v>3610000.0</v>
      </c>
      <c r="CV1038" s="15">
        <v>5470000.0</v>
      </c>
      <c r="CW1038" s="15">
        <v>93000.0</v>
      </c>
      <c r="CX1038" s="15">
        <v>2260000.0</v>
      </c>
      <c r="CY1038" s="15">
        <v>2570000.0</v>
      </c>
      <c r="CZ1038" s="15">
        <v>1040000.0</v>
      </c>
      <c r="DA1038" s="15">
        <v>262000.0</v>
      </c>
      <c r="DB1038" s="15">
        <v>5470000.0</v>
      </c>
      <c r="DC1038" s="15">
        <v>8330000.0</v>
      </c>
      <c r="DD1038" s="15">
        <v>6000000.0</v>
      </c>
      <c r="DE1038" s="15">
        <v>4390000.0</v>
      </c>
      <c r="DF1038" s="15">
        <v>8350000.0</v>
      </c>
      <c r="DG1038" s="15">
        <v>9420000.0</v>
      </c>
      <c r="DH1038" s="15">
        <v>7920000.0</v>
      </c>
      <c r="DI1038" s="15">
        <v>5220000.0</v>
      </c>
      <c r="DJ1038" s="15">
        <v>4720000.0</v>
      </c>
      <c r="DK1038" s="15">
        <v>11000.0</v>
      </c>
      <c r="DL1038" s="15">
        <v>49000.0</v>
      </c>
      <c r="DM1038" s="15">
        <v>71000.0</v>
      </c>
      <c r="DN1038" s="15"/>
      <c r="DO1038" s="15"/>
      <c r="DP1038" s="15">
        <v>2120000.0</v>
      </c>
      <c r="DQ1038" s="15">
        <v>45000.0</v>
      </c>
      <c r="DR1038" s="15">
        <v>1070000.0</v>
      </c>
      <c r="DS1038" s="15">
        <v>153000.0</v>
      </c>
      <c r="DT1038" s="15">
        <v>37000.0</v>
      </c>
      <c r="DU1038" s="13"/>
      <c r="DV1038" s="15"/>
      <c r="DW1038" s="15"/>
      <c r="DX1038" s="15"/>
      <c r="DY1038" s="13"/>
      <c r="DZ1038" s="15">
        <v>9620000.0</v>
      </c>
      <c r="EA1038" s="15">
        <v>7120000.0</v>
      </c>
      <c r="EB1038" s="15">
        <v>7490000.0</v>
      </c>
      <c r="EC1038" s="15">
        <v>7550000.0</v>
      </c>
      <c r="ED1038" s="15">
        <v>7610000.0</v>
      </c>
      <c r="EE1038" s="23"/>
      <c r="EF1038" s="23"/>
      <c r="EG1038" s="23">
        <v>-0.267</v>
      </c>
      <c r="EH1038" s="23">
        <v>-0.746</v>
      </c>
    </row>
    <row r="1039">
      <c r="A1039" s="9">
        <f t="shared" si="2"/>
        <v>1037</v>
      </c>
      <c r="B1039" s="40" t="s">
        <v>1174</v>
      </c>
      <c r="C1039" s="11"/>
      <c r="D1039" s="11"/>
      <c r="E1039" s="11">
        <v>6.7798E8</v>
      </c>
      <c r="F1039" s="11">
        <v>7.3258E8</v>
      </c>
      <c r="G1039" s="11">
        <v>8.5998E8</v>
      </c>
      <c r="H1039" s="11">
        <v>7.942E8</v>
      </c>
      <c r="I1039" s="11">
        <v>8.336E8</v>
      </c>
      <c r="J1039" s="11">
        <v>3.037E8</v>
      </c>
      <c r="K1039" s="11">
        <v>3.2548E8</v>
      </c>
      <c r="L1039" s="11">
        <v>3.5781E8</v>
      </c>
      <c r="M1039" s="11">
        <v>3.118E8</v>
      </c>
      <c r="N1039" s="11">
        <v>3.2081E8</v>
      </c>
      <c r="O1039" s="11">
        <v>2.4894E8</v>
      </c>
      <c r="P1039" s="11">
        <v>2.5823E8</v>
      </c>
      <c r="Q1039" s="11">
        <v>2.7156E8</v>
      </c>
      <c r="R1039" s="11">
        <v>2.4424E8</v>
      </c>
      <c r="S1039" s="11">
        <v>2.5853E8</v>
      </c>
      <c r="T1039" s="11">
        <v>4.599E7</v>
      </c>
      <c r="U1039" s="11">
        <v>4.934E7</v>
      </c>
      <c r="V1039" s="11">
        <v>5.908E7</v>
      </c>
      <c r="W1039" s="11">
        <v>5.07E7</v>
      </c>
      <c r="X1039" s="11">
        <v>5.279E7</v>
      </c>
      <c r="Y1039" s="11">
        <v>5.089E7</v>
      </c>
      <c r="Z1039" s="11">
        <v>-575000.0</v>
      </c>
      <c r="AA1039" s="11">
        <v>-1070000.0</v>
      </c>
      <c r="AB1039" s="11">
        <v>5.967E7</v>
      </c>
      <c r="AC1039" s="11">
        <v>6.124E7</v>
      </c>
      <c r="AD1039" s="11">
        <v>5.184E7</v>
      </c>
      <c r="AE1039" s="11">
        <v>6.591E7</v>
      </c>
      <c r="AF1039" s="11">
        <v>8.337E7</v>
      </c>
      <c r="AG1039" s="11">
        <v>6.549E7</v>
      </c>
      <c r="AH1039" s="11">
        <v>6.569E7</v>
      </c>
      <c r="AI1039" s="11">
        <v>8.047E7</v>
      </c>
      <c r="AJ1039" s="11">
        <v>9.771E7</v>
      </c>
      <c r="AK1039" s="11">
        <v>1.1572E8</v>
      </c>
      <c r="AL1039" s="11">
        <v>9.653E7</v>
      </c>
      <c r="AM1039" s="11">
        <v>9.375E7</v>
      </c>
      <c r="AN1039" s="11">
        <v>3.916E7</v>
      </c>
      <c r="AO1039" s="11">
        <v>4.665E7</v>
      </c>
      <c r="AP1039" s="11">
        <v>6.316E7</v>
      </c>
      <c r="AQ1039" s="11">
        <v>4.599E7</v>
      </c>
      <c r="AR1039" s="11">
        <v>4.729E7</v>
      </c>
      <c r="AS1039" s="11">
        <v>8.979E7</v>
      </c>
      <c r="AT1039" s="11">
        <v>7.125E7</v>
      </c>
      <c r="AU1039" s="11">
        <v>7.367E7</v>
      </c>
      <c r="AV1039" s="11">
        <v>7.788E7</v>
      </c>
      <c r="AW1039" s="11">
        <v>8.421E7</v>
      </c>
      <c r="AX1039" s="11">
        <v>-3.763E7</v>
      </c>
      <c r="AY1039" s="11">
        <v>-3.905E7</v>
      </c>
      <c r="AZ1039" s="11">
        <v>-3.854E7</v>
      </c>
      <c r="BA1039" s="11">
        <v>-2.582E7</v>
      </c>
      <c r="BB1039" s="11">
        <v>-3.79E7</v>
      </c>
      <c r="BC1039" s="11">
        <v>-1.725E7</v>
      </c>
      <c r="BD1039" s="11">
        <v>-1.678E7</v>
      </c>
      <c r="BE1039" s="11">
        <v>-1.538E7</v>
      </c>
      <c r="BF1039" s="11">
        <v>-1.454E7</v>
      </c>
      <c r="BG1039" s="11">
        <v>-1.608E7</v>
      </c>
      <c r="BH1039" s="11">
        <v>1.8553E8</v>
      </c>
      <c r="BI1039" s="11">
        <v>1.0385E8</v>
      </c>
      <c r="BJ1039" s="11">
        <v>1.1302E8</v>
      </c>
      <c r="BK1039" s="11">
        <v>1.2628E8</v>
      </c>
      <c r="BL1039" s="11">
        <v>8.553E7</v>
      </c>
      <c r="BM1039" s="11">
        <v>1.3403E8</v>
      </c>
      <c r="BN1039" s="11">
        <v>1.4831E8</v>
      </c>
      <c r="BO1039" s="11">
        <v>1.7295E8</v>
      </c>
      <c r="BP1039" s="11">
        <v>1.6789E8</v>
      </c>
      <c r="BQ1039" s="11">
        <v>1.6344E8</v>
      </c>
      <c r="BR1039" s="11">
        <v>1.043E8</v>
      </c>
      <c r="BS1039" s="11">
        <v>1.2038E8</v>
      </c>
      <c r="BT1039" s="11">
        <v>1.2958E8</v>
      </c>
      <c r="BU1039" s="11">
        <v>1.094E8</v>
      </c>
      <c r="BV1039" s="11">
        <v>1.0727E8</v>
      </c>
      <c r="BW1039" s="11">
        <v>4.4714E8</v>
      </c>
      <c r="BX1039" s="11">
        <v>4.5997E8</v>
      </c>
      <c r="BY1039" s="11">
        <v>4.3739E8</v>
      </c>
      <c r="BZ1039" s="11">
        <v>4.359E8</v>
      </c>
      <c r="CA1039" s="11">
        <v>3.8961E8</v>
      </c>
      <c r="CB1039" s="11">
        <v>1.4485E8</v>
      </c>
      <c r="CC1039" s="11">
        <v>1.1508E8</v>
      </c>
      <c r="CD1039" s="11">
        <v>1.351E8</v>
      </c>
      <c r="CE1039" s="11">
        <v>1.2762E8</v>
      </c>
      <c r="CF1039" s="11">
        <v>1.4657E8</v>
      </c>
      <c r="CG1039" s="11">
        <v>3.857E7</v>
      </c>
      <c r="CH1039" s="11">
        <v>4.053E7</v>
      </c>
      <c r="CI1039" s="11">
        <v>3.871E7</v>
      </c>
      <c r="CJ1039" s="11">
        <v>3.039E7</v>
      </c>
      <c r="CK1039" s="11">
        <v>3.025E7</v>
      </c>
      <c r="CL1039" s="11">
        <v>7.5812E8</v>
      </c>
      <c r="CM1039" s="11">
        <v>7.4988E8</v>
      </c>
      <c r="CN1039" s="11">
        <v>7.4495E8</v>
      </c>
      <c r="CO1039" s="11">
        <v>6.977E8</v>
      </c>
      <c r="CP1039" s="11">
        <v>6.8333E8</v>
      </c>
      <c r="CQ1039" s="11">
        <v>6.45E7</v>
      </c>
      <c r="CR1039" s="11">
        <v>7.136E7</v>
      </c>
      <c r="CS1039" s="11">
        <v>9.379E7</v>
      </c>
      <c r="CT1039" s="11">
        <v>8.936E7</v>
      </c>
      <c r="CU1039" s="11">
        <v>8.261E7</v>
      </c>
      <c r="CV1039" s="11">
        <v>1.513E8</v>
      </c>
      <c r="CW1039" s="11">
        <v>1.107E7</v>
      </c>
      <c r="CX1039" s="11"/>
      <c r="CY1039" s="11"/>
      <c r="CZ1039" s="11">
        <v>156000.0</v>
      </c>
      <c r="DA1039" s="11">
        <v>2000.0</v>
      </c>
      <c r="DB1039" s="11">
        <v>1.513E8</v>
      </c>
      <c r="DC1039" s="11">
        <v>1.7556E8</v>
      </c>
      <c r="DD1039" s="11">
        <v>1.8278E8</v>
      </c>
      <c r="DE1039" s="11">
        <v>1.7208E8</v>
      </c>
      <c r="DF1039" s="11">
        <v>2.2554E8</v>
      </c>
      <c r="DG1039" s="11">
        <v>2.4357E8</v>
      </c>
      <c r="DH1039" s="11">
        <v>2.3757E8</v>
      </c>
      <c r="DI1039" s="11">
        <v>2.2694E8</v>
      </c>
      <c r="DJ1039" s="11">
        <v>2.3629E8</v>
      </c>
      <c r="DK1039" s="11">
        <v>5.503E7</v>
      </c>
      <c r="DL1039" s="11">
        <v>5.502E7</v>
      </c>
      <c r="DM1039" s="11">
        <v>5.621E7</v>
      </c>
      <c r="DN1039" s="11">
        <v>5.231E7</v>
      </c>
      <c r="DO1039" s="11">
        <v>6.886E7</v>
      </c>
      <c r="DP1039" s="11">
        <v>1.982E7</v>
      </c>
      <c r="DQ1039" s="11"/>
      <c r="DR1039" s="11"/>
      <c r="DS1039" s="11"/>
      <c r="DT1039" s="11"/>
      <c r="DU1039" s="13"/>
      <c r="DV1039" s="13"/>
      <c r="DW1039" s="12"/>
      <c r="DX1039" s="12"/>
      <c r="DY1039" s="12"/>
      <c r="DZ1039" s="11">
        <v>5.3042E8</v>
      </c>
      <c r="EA1039" s="11">
        <v>5.0421E8</v>
      </c>
      <c r="EB1039" s="11">
        <v>5.0553E8</v>
      </c>
      <c r="EC1039" s="11">
        <v>4.6903E8</v>
      </c>
      <c r="ED1039" s="11">
        <v>4.4472E8</v>
      </c>
      <c r="EE1039" s="14"/>
      <c r="EF1039" s="14"/>
      <c r="EG1039" s="29" t="s">
        <v>155</v>
      </c>
      <c r="EH1039" s="14"/>
    </row>
    <row r="1040">
      <c r="A1040" s="9">
        <f t="shared" si="2"/>
        <v>1038</v>
      </c>
      <c r="B1040" s="10" t="s">
        <v>1175</v>
      </c>
      <c r="C1040" s="15">
        <v>5460000.0</v>
      </c>
      <c r="D1040" s="15">
        <v>5010000.0</v>
      </c>
      <c r="E1040" s="15">
        <v>5520000.0</v>
      </c>
      <c r="F1040" s="15">
        <v>5880000.0</v>
      </c>
      <c r="G1040" s="15">
        <v>5540000.0</v>
      </c>
      <c r="H1040" s="15">
        <v>3910000.0</v>
      </c>
      <c r="I1040" s="15">
        <v>3500000.0</v>
      </c>
      <c r="J1040" s="15">
        <v>1860000.0</v>
      </c>
      <c r="K1040" s="15">
        <v>2130000.0</v>
      </c>
      <c r="L1040" s="15">
        <v>1910000.0</v>
      </c>
      <c r="M1040" s="15">
        <v>1200000.0</v>
      </c>
      <c r="N1040" s="15">
        <v>1070000.0</v>
      </c>
      <c r="O1040" s="15">
        <v>1210000.0</v>
      </c>
      <c r="P1040" s="15">
        <v>1260000.0</v>
      </c>
      <c r="Q1040" s="15">
        <v>1190000.0</v>
      </c>
      <c r="R1040" s="15">
        <v>894800.0</v>
      </c>
      <c r="S1040" s="15">
        <v>779800.0</v>
      </c>
      <c r="T1040" s="15">
        <v>640900.0</v>
      </c>
      <c r="U1040" s="15">
        <v>650700.0</v>
      </c>
      <c r="V1040" s="15">
        <v>594700.0</v>
      </c>
      <c r="W1040" s="15">
        <v>452300.0</v>
      </c>
      <c r="X1040" s="15">
        <v>396700.0</v>
      </c>
      <c r="Y1040" s="15">
        <v>426500.0</v>
      </c>
      <c r="Z1040" s="15">
        <v>842600.0</v>
      </c>
      <c r="AA1040" s="15">
        <v>-84300.0</v>
      </c>
      <c r="AB1040" s="15">
        <v>229600.0</v>
      </c>
      <c r="AC1040" s="15">
        <v>268400.0</v>
      </c>
      <c r="AD1040" s="15">
        <v>276600.0</v>
      </c>
      <c r="AE1040" s="15">
        <v>755000.0</v>
      </c>
      <c r="AF1040" s="15">
        <v>547500.0</v>
      </c>
      <c r="AG1040" s="15">
        <v>180600.0</v>
      </c>
      <c r="AH1040" s="15">
        <v>219800.0</v>
      </c>
      <c r="AI1040" s="15">
        <v>1240000.0</v>
      </c>
      <c r="AJ1040" s="15">
        <v>1370000.0</v>
      </c>
      <c r="AK1040" s="15">
        <v>1200000.0</v>
      </c>
      <c r="AL1040" s="15">
        <v>661200.0</v>
      </c>
      <c r="AM1040" s="15">
        <v>643000.0</v>
      </c>
      <c r="AN1040" s="15">
        <v>211700.0</v>
      </c>
      <c r="AO1040" s="15">
        <v>627400.0</v>
      </c>
      <c r="AP1040" s="15">
        <v>810700.0</v>
      </c>
      <c r="AQ1040" s="15">
        <v>182100.0</v>
      </c>
      <c r="AR1040" s="15">
        <v>206200.0</v>
      </c>
      <c r="AS1040" s="15">
        <v>694700.0</v>
      </c>
      <c r="AT1040" s="15">
        <v>1270000.0</v>
      </c>
      <c r="AU1040" s="15">
        <v>1090000.0</v>
      </c>
      <c r="AV1040" s="15">
        <v>581200.0</v>
      </c>
      <c r="AW1040" s="15">
        <v>470600.0</v>
      </c>
      <c r="AX1040" s="15">
        <v>-634600.0</v>
      </c>
      <c r="AY1040" s="15">
        <v>-514800.0</v>
      </c>
      <c r="AZ1040" s="15">
        <v>-395700.0</v>
      </c>
      <c r="BA1040" s="15">
        <v>-210700.0</v>
      </c>
      <c r="BB1040" s="15">
        <v>-270800.0</v>
      </c>
      <c r="BC1040" s="15">
        <v>0.0</v>
      </c>
      <c r="BD1040" s="15">
        <v>0.0</v>
      </c>
      <c r="BE1040" s="15">
        <v>0.0</v>
      </c>
      <c r="BF1040" s="15">
        <v>0.0</v>
      </c>
      <c r="BG1040" s="15">
        <v>0.0</v>
      </c>
      <c r="BH1040" s="15">
        <v>894200.0</v>
      </c>
      <c r="BI1040" s="15">
        <v>1090000.0</v>
      </c>
      <c r="BJ1040" s="15">
        <v>949200.0</v>
      </c>
      <c r="BK1040" s="15">
        <v>1030000.0</v>
      </c>
      <c r="BL1040" s="15">
        <v>637200.0</v>
      </c>
      <c r="BM1040" s="15">
        <v>705000.0</v>
      </c>
      <c r="BN1040" s="15">
        <v>686000.0</v>
      </c>
      <c r="BO1040" s="15">
        <v>701500.0</v>
      </c>
      <c r="BP1040" s="15">
        <v>629800.0</v>
      </c>
      <c r="BQ1040" s="15">
        <v>456100.0</v>
      </c>
      <c r="BR1040" s="15">
        <v>1230000.0</v>
      </c>
      <c r="BS1040" s="15">
        <v>1230000.0</v>
      </c>
      <c r="BT1040" s="15">
        <v>1090000.0</v>
      </c>
      <c r="BU1040" s="15">
        <v>1030000.0</v>
      </c>
      <c r="BV1040" s="15">
        <v>750400.0</v>
      </c>
      <c r="BW1040" s="15">
        <v>3020000.0</v>
      </c>
      <c r="BX1040" s="15">
        <v>3170000.0</v>
      </c>
      <c r="BY1040" s="15">
        <v>2930000.0</v>
      </c>
      <c r="BZ1040" s="15">
        <v>2870000.0</v>
      </c>
      <c r="CA1040" s="15">
        <v>1890000.0</v>
      </c>
      <c r="CB1040" s="15">
        <v>2700000.0</v>
      </c>
      <c r="CC1040" s="15">
        <v>2550000.0</v>
      </c>
      <c r="CD1040" s="15">
        <v>2280000.0</v>
      </c>
      <c r="CE1040" s="15">
        <v>2160000.0</v>
      </c>
      <c r="CF1040" s="15">
        <v>1270000.0</v>
      </c>
      <c r="CG1040" s="15">
        <v>1660000.0</v>
      </c>
      <c r="CH1040" s="15">
        <v>932500.0</v>
      </c>
      <c r="CI1040" s="15">
        <v>916900.0</v>
      </c>
      <c r="CJ1040" s="15">
        <v>924700.0</v>
      </c>
      <c r="CK1040" s="15">
        <v>270600.0</v>
      </c>
      <c r="CL1040" s="15">
        <v>8430000.0</v>
      </c>
      <c r="CM1040" s="15">
        <v>7590000.0</v>
      </c>
      <c r="CN1040" s="15">
        <v>7200000.0</v>
      </c>
      <c r="CO1040" s="15">
        <v>6920000.0</v>
      </c>
      <c r="CP1040" s="15">
        <v>3870000.0</v>
      </c>
      <c r="CQ1040" s="15">
        <v>543600.0</v>
      </c>
      <c r="CR1040" s="15">
        <v>671700.0</v>
      </c>
      <c r="CS1040" s="15">
        <v>548000.0</v>
      </c>
      <c r="CT1040" s="15">
        <v>434000.0</v>
      </c>
      <c r="CU1040" s="15">
        <v>337700.0</v>
      </c>
      <c r="CV1040" s="15">
        <v>1820000.0</v>
      </c>
      <c r="CW1040" s="15">
        <v>26100.0</v>
      </c>
      <c r="CX1040" s="15">
        <v>0.0</v>
      </c>
      <c r="CY1040" s="16">
        <v>0.0</v>
      </c>
      <c r="CZ1040" s="16">
        <v>0.0</v>
      </c>
      <c r="DA1040" s="15">
        <v>0.0</v>
      </c>
      <c r="DB1040" s="15">
        <v>1820000.0</v>
      </c>
      <c r="DC1040" s="15">
        <v>1470000.0</v>
      </c>
      <c r="DD1040" s="15">
        <v>1410000.0</v>
      </c>
      <c r="DE1040" s="15">
        <v>1500000.0</v>
      </c>
      <c r="DF1040" s="15">
        <v>5100000.0</v>
      </c>
      <c r="DG1040" s="15">
        <v>4390000.0</v>
      </c>
      <c r="DH1040" s="15">
        <v>4390000.0</v>
      </c>
      <c r="DI1040" s="15">
        <v>5050000.0</v>
      </c>
      <c r="DJ1040" s="15">
        <v>2240000.0</v>
      </c>
      <c r="DK1040" s="15">
        <v>0.0</v>
      </c>
      <c r="DL1040" s="15">
        <v>0.0</v>
      </c>
      <c r="DM1040" s="15">
        <v>0.0</v>
      </c>
      <c r="DN1040" s="15">
        <v>0.0</v>
      </c>
      <c r="DO1040" s="15">
        <v>0.0</v>
      </c>
      <c r="DP1040" s="15">
        <v>2960000.0</v>
      </c>
      <c r="DQ1040" s="15">
        <v>2630000.0</v>
      </c>
      <c r="DR1040" s="15">
        <v>2700000.0</v>
      </c>
      <c r="DS1040" s="15">
        <v>3070000.0</v>
      </c>
      <c r="DT1040" s="15">
        <v>850500.0</v>
      </c>
      <c r="DU1040" s="16">
        <v>0.0</v>
      </c>
      <c r="DV1040" s="15">
        <v>0.0</v>
      </c>
      <c r="DW1040" s="15">
        <v>0.0</v>
      </c>
      <c r="DX1040" s="15">
        <v>32900.0</v>
      </c>
      <c r="DY1040" s="15">
        <v>0.0</v>
      </c>
      <c r="DZ1040" s="15">
        <v>3300000.0</v>
      </c>
      <c r="EA1040" s="15">
        <v>3170000.0</v>
      </c>
      <c r="EB1040" s="15">
        <v>2780000.0</v>
      </c>
      <c r="EC1040" s="15">
        <v>1860000.0</v>
      </c>
      <c r="ED1040" s="15">
        <v>1610000.0</v>
      </c>
      <c r="EE1040" s="17">
        <v>0.074</v>
      </c>
      <c r="EF1040" s="17">
        <v>0.103</v>
      </c>
      <c r="EG1040" s="17">
        <v>-0.333</v>
      </c>
      <c r="EH1040" s="17">
        <v>-0.12</v>
      </c>
    </row>
    <row r="1041">
      <c r="A1041" s="9">
        <f t="shared" si="2"/>
        <v>1039</v>
      </c>
      <c r="B1041" s="22" t="s">
        <v>1176</v>
      </c>
      <c r="C1041" s="12"/>
      <c r="D1041" s="12"/>
      <c r="E1041" s="12"/>
      <c r="F1041" s="12"/>
      <c r="G1041" s="12"/>
      <c r="H1041" s="12"/>
      <c r="I1041" s="12"/>
      <c r="J1041" s="11">
        <v>-244.0</v>
      </c>
      <c r="K1041" s="11">
        <v>-334.0</v>
      </c>
      <c r="L1041" s="11">
        <v>-380.0</v>
      </c>
      <c r="M1041" s="11">
        <v>-356.0</v>
      </c>
      <c r="N1041" s="11">
        <v>-665.0</v>
      </c>
      <c r="O1041" s="11">
        <v>30170.0</v>
      </c>
      <c r="P1041" s="11">
        <v>35770.0</v>
      </c>
      <c r="Q1041" s="11">
        <v>21070.0</v>
      </c>
      <c r="R1041" s="11">
        <v>26530.0</v>
      </c>
      <c r="S1041" s="11">
        <v>20580.0</v>
      </c>
      <c r="T1041" s="11">
        <v>18450.0</v>
      </c>
      <c r="U1041" s="11">
        <v>17420.0</v>
      </c>
      <c r="V1041" s="11">
        <v>11950.0</v>
      </c>
      <c r="W1041" s="11">
        <v>14740.0</v>
      </c>
      <c r="X1041" s="11">
        <v>13130.0</v>
      </c>
      <c r="Y1041" s="12"/>
      <c r="Z1041" s="12"/>
      <c r="AA1041" s="12"/>
      <c r="AB1041" s="12"/>
      <c r="AC1041" s="12"/>
      <c r="AD1041" s="11">
        <v>-30270.0</v>
      </c>
      <c r="AE1041" s="11">
        <v>-39140.0</v>
      </c>
      <c r="AF1041" s="11">
        <v>-21450.0</v>
      </c>
      <c r="AG1041" s="11">
        <v>-26890.0</v>
      </c>
      <c r="AH1041" s="11">
        <v>-21240.0</v>
      </c>
      <c r="AI1041" s="11">
        <v>-30170.0</v>
      </c>
      <c r="AJ1041" s="11">
        <v>-35770.0</v>
      </c>
      <c r="AK1041" s="11">
        <v>-21070.0</v>
      </c>
      <c r="AL1041" s="11">
        <v>-26530.0</v>
      </c>
      <c r="AM1041" s="11">
        <v>-20580.0</v>
      </c>
      <c r="AN1041" s="11">
        <v>-30280.0</v>
      </c>
      <c r="AO1041" s="11">
        <v>-39140.0</v>
      </c>
      <c r="AP1041" s="11">
        <v>-21450.0</v>
      </c>
      <c r="AQ1041" s="11">
        <v>-26890.0</v>
      </c>
      <c r="AR1041" s="11">
        <v>-21240.0</v>
      </c>
      <c r="AS1041" s="11">
        <v>-29000.0</v>
      </c>
      <c r="AT1041" s="11">
        <v>-23220.0</v>
      </c>
      <c r="AU1041" s="11">
        <v>-17340.0</v>
      </c>
      <c r="AV1041" s="11">
        <v>-17810.0</v>
      </c>
      <c r="AW1041" s="11">
        <v>-17650.0</v>
      </c>
      <c r="AX1041" s="11">
        <v>-10.0</v>
      </c>
      <c r="AY1041" s="11">
        <v>-65.0</v>
      </c>
      <c r="AZ1041" s="11">
        <v>-22.0</v>
      </c>
      <c r="BA1041" s="11">
        <v>-1550.0</v>
      </c>
      <c r="BB1041" s="11">
        <v>-1430.0</v>
      </c>
      <c r="BC1041" s="12"/>
      <c r="BD1041" s="12"/>
      <c r="BE1041" s="12"/>
      <c r="BF1041" s="12"/>
      <c r="BG1041" s="12"/>
      <c r="BH1041" s="11">
        <v>25150.0</v>
      </c>
      <c r="BI1041" s="11">
        <v>26980.0</v>
      </c>
      <c r="BJ1041" s="11">
        <v>11440.0</v>
      </c>
      <c r="BK1041" s="11">
        <v>28750.0</v>
      </c>
      <c r="BL1041" s="11">
        <v>32040.0</v>
      </c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1">
        <v>28510.0</v>
      </c>
      <c r="BX1041" s="11">
        <v>28620.0</v>
      </c>
      <c r="BY1041" s="11">
        <v>12510.0</v>
      </c>
      <c r="BZ1041" s="11">
        <v>29420.0</v>
      </c>
      <c r="CA1041" s="11">
        <v>33570.0</v>
      </c>
      <c r="CB1041" s="11">
        <v>1030.0</v>
      </c>
      <c r="CC1041" s="11">
        <v>1270.0</v>
      </c>
      <c r="CD1041" s="11">
        <v>2410.0</v>
      </c>
      <c r="CE1041" s="11">
        <v>2800.0</v>
      </c>
      <c r="CF1041" s="11">
        <v>1810.0</v>
      </c>
      <c r="CG1041" s="12"/>
      <c r="CH1041" s="12"/>
      <c r="CI1041" s="12"/>
      <c r="CJ1041" s="12"/>
      <c r="CK1041" s="12"/>
      <c r="CL1041" s="11">
        <v>29890.0</v>
      </c>
      <c r="CM1041" s="11">
        <v>30250.0</v>
      </c>
      <c r="CN1041" s="11">
        <v>15230.0</v>
      </c>
      <c r="CO1041" s="11">
        <v>32410.0</v>
      </c>
      <c r="CP1041" s="11">
        <v>35590.0</v>
      </c>
      <c r="CQ1041" s="11">
        <v>2380.0</v>
      </c>
      <c r="CR1041" s="11">
        <v>3800.0</v>
      </c>
      <c r="CS1041" s="11">
        <v>1540.0</v>
      </c>
      <c r="CT1041" s="12"/>
      <c r="CU1041" s="12"/>
      <c r="CV1041" s="11">
        <v>4980.0</v>
      </c>
      <c r="CW1041" s="11">
        <v>84.0</v>
      </c>
      <c r="CX1041" s="12"/>
      <c r="CY1041" s="12"/>
      <c r="CZ1041" s="12"/>
      <c r="DA1041" s="12"/>
      <c r="DB1041" s="11">
        <v>4980.0</v>
      </c>
      <c r="DC1041" s="11">
        <v>5850.0</v>
      </c>
      <c r="DD1041" s="11">
        <v>3400.0</v>
      </c>
      <c r="DE1041" s="11">
        <v>3470.0</v>
      </c>
      <c r="DF1041" s="11">
        <v>5610.0</v>
      </c>
      <c r="DG1041" s="11">
        <v>7320.0</v>
      </c>
      <c r="DH1041" s="11">
        <v>4540.0</v>
      </c>
      <c r="DI1041" s="11">
        <v>4350.0</v>
      </c>
      <c r="DJ1041" s="11">
        <v>2890.0</v>
      </c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3"/>
      <c r="DV1041" s="12"/>
      <c r="DW1041" s="12"/>
      <c r="DX1041" s="13"/>
      <c r="DY1041" s="13"/>
      <c r="DZ1041" s="11">
        <v>24280.0</v>
      </c>
      <c r="EA1041" s="11">
        <v>22920.0</v>
      </c>
      <c r="EB1041" s="11">
        <v>10700.0</v>
      </c>
      <c r="EC1041" s="11">
        <v>28050.0</v>
      </c>
      <c r="ED1041" s="11">
        <v>32700.0</v>
      </c>
      <c r="EE1041" s="23"/>
      <c r="EF1041" s="23"/>
      <c r="EG1041" s="14">
        <v>-0.023</v>
      </c>
      <c r="EH1041" s="14">
        <v>-0.414</v>
      </c>
    </row>
    <row r="1042">
      <c r="A1042" s="9">
        <f t="shared" si="2"/>
        <v>1040</v>
      </c>
      <c r="B1042" s="22" t="s">
        <v>1177</v>
      </c>
      <c r="C1042" s="11">
        <v>7630.0</v>
      </c>
      <c r="D1042" s="11">
        <v>2820.0</v>
      </c>
      <c r="E1042" s="11">
        <v>2180.0</v>
      </c>
      <c r="F1042" s="11">
        <v>1230.0</v>
      </c>
      <c r="G1042" s="11">
        <v>787.0</v>
      </c>
      <c r="H1042" s="11">
        <v>5550.0</v>
      </c>
      <c r="I1042" s="11">
        <v>11460.0</v>
      </c>
      <c r="J1042" s="12"/>
      <c r="K1042" s="12"/>
      <c r="L1042" s="12"/>
      <c r="M1042" s="12"/>
      <c r="N1042" s="12"/>
      <c r="O1042" s="11">
        <v>23870.0</v>
      </c>
      <c r="P1042" s="11">
        <v>24460.0</v>
      </c>
      <c r="Q1042" s="11">
        <v>26440.0</v>
      </c>
      <c r="R1042" s="11">
        <v>29150.0</v>
      </c>
      <c r="S1042" s="11">
        <v>35280.0</v>
      </c>
      <c r="T1042" s="11">
        <v>15520.0</v>
      </c>
      <c r="U1042" s="11">
        <v>16870.0</v>
      </c>
      <c r="V1042" s="11">
        <v>19030.0</v>
      </c>
      <c r="W1042" s="11">
        <v>20070.0</v>
      </c>
      <c r="X1042" s="11">
        <v>25900.0</v>
      </c>
      <c r="Y1042" s="11">
        <v>-21640.0</v>
      </c>
      <c r="Z1042" s="11">
        <v>-21690.0</v>
      </c>
      <c r="AA1042" s="11">
        <v>-24110.0</v>
      </c>
      <c r="AB1042" s="11">
        <v>-19720.0</v>
      </c>
      <c r="AC1042" s="12"/>
      <c r="AD1042" s="11">
        <v>-21490.0</v>
      </c>
      <c r="AE1042" s="11">
        <v>-20530.0</v>
      </c>
      <c r="AF1042" s="11">
        <v>-24080.0</v>
      </c>
      <c r="AG1042" s="11">
        <v>-19650.0</v>
      </c>
      <c r="AH1042" s="11">
        <v>-24010.0</v>
      </c>
      <c r="AI1042" s="11">
        <v>-21690.0</v>
      </c>
      <c r="AJ1042" s="11">
        <v>-23230.0</v>
      </c>
      <c r="AK1042" s="11">
        <v>-25650.0</v>
      </c>
      <c r="AL1042" s="11">
        <v>-23610.0</v>
      </c>
      <c r="AM1042" s="11">
        <v>-23820.0</v>
      </c>
      <c r="AN1042" s="11">
        <v>-21500.0</v>
      </c>
      <c r="AO1042" s="11">
        <v>-20570.0</v>
      </c>
      <c r="AP1042" s="11">
        <v>-24090.0</v>
      </c>
      <c r="AQ1042" s="11">
        <v>-19670.0</v>
      </c>
      <c r="AR1042" s="11">
        <v>-23980.0</v>
      </c>
      <c r="AS1042" s="11">
        <v>-20830.0</v>
      </c>
      <c r="AT1042" s="11">
        <v>-22700.0</v>
      </c>
      <c r="AU1042" s="11">
        <v>-23820.0</v>
      </c>
      <c r="AV1042" s="11">
        <v>-15810.0</v>
      </c>
      <c r="AW1042" s="11">
        <v>-31310.0</v>
      </c>
      <c r="AX1042" s="11">
        <v>-55.0</v>
      </c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1">
        <v>22730.0</v>
      </c>
      <c r="BI1042" s="11">
        <v>16970.0</v>
      </c>
      <c r="BJ1042" s="11">
        <v>4020.0</v>
      </c>
      <c r="BK1042" s="11">
        <v>21450.0</v>
      </c>
      <c r="BL1042" s="11">
        <v>19850.0</v>
      </c>
      <c r="BM1042" s="11">
        <v>98.0</v>
      </c>
      <c r="BN1042" s="11">
        <v>35.0</v>
      </c>
      <c r="BO1042" s="11">
        <v>59.0</v>
      </c>
      <c r="BP1042" s="11">
        <v>31.0</v>
      </c>
      <c r="BQ1042" s="11">
        <v>1500.0</v>
      </c>
      <c r="BR1042" s="12"/>
      <c r="BS1042" s="12"/>
      <c r="BT1042" s="12"/>
      <c r="BU1042" s="12"/>
      <c r="BV1042" s="12"/>
      <c r="BW1042" s="11">
        <v>23470.0</v>
      </c>
      <c r="BX1042" s="11">
        <v>17770.0</v>
      </c>
      <c r="BY1042" s="11">
        <v>4900.0</v>
      </c>
      <c r="BZ1042" s="11">
        <v>23070.0</v>
      </c>
      <c r="CA1042" s="11">
        <v>23190.0</v>
      </c>
      <c r="CB1042" s="11">
        <v>50.0</v>
      </c>
      <c r="CC1042" s="11">
        <v>9.0</v>
      </c>
      <c r="CD1042" s="11">
        <v>64.0</v>
      </c>
      <c r="CE1042" s="11">
        <v>152.0</v>
      </c>
      <c r="CF1042" s="11">
        <v>248.0</v>
      </c>
      <c r="CG1042" s="12"/>
      <c r="CH1042" s="12"/>
      <c r="CI1042" s="12"/>
      <c r="CJ1042" s="12"/>
      <c r="CK1042" s="12"/>
      <c r="CL1042" s="11">
        <v>23670.0</v>
      </c>
      <c r="CM1042" s="11">
        <v>17920.0</v>
      </c>
      <c r="CN1042" s="11">
        <v>4980.0</v>
      </c>
      <c r="CO1042" s="11">
        <v>23230.0</v>
      </c>
      <c r="CP1042" s="11">
        <v>23450.0</v>
      </c>
      <c r="CQ1042" s="11">
        <v>4270.0</v>
      </c>
      <c r="CR1042" s="11">
        <v>4040.0</v>
      </c>
      <c r="CS1042" s="11">
        <v>6190.0</v>
      </c>
      <c r="CT1042" s="11">
        <v>5320.0</v>
      </c>
      <c r="CU1042" s="11">
        <v>3420.0</v>
      </c>
      <c r="CV1042" s="11">
        <v>8290.0</v>
      </c>
      <c r="CW1042" s="12"/>
      <c r="CX1042" s="12"/>
      <c r="CY1042" s="12"/>
      <c r="CZ1042" s="12"/>
      <c r="DA1042" s="12"/>
      <c r="DB1042" s="11">
        <v>8290.0</v>
      </c>
      <c r="DC1042" s="11">
        <v>8440.0</v>
      </c>
      <c r="DD1042" s="11">
        <v>9980.0</v>
      </c>
      <c r="DE1042" s="11">
        <v>10160.0</v>
      </c>
      <c r="DF1042" s="11">
        <v>12100.0</v>
      </c>
      <c r="DG1042" s="11">
        <v>12540.0</v>
      </c>
      <c r="DH1042" s="11">
        <v>15840.0</v>
      </c>
      <c r="DI1042" s="11">
        <v>18110.0</v>
      </c>
      <c r="DJ1042" s="11">
        <v>12610.0</v>
      </c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3"/>
      <c r="DV1042" s="12"/>
      <c r="DW1042" s="12"/>
      <c r="DX1042" s="13"/>
      <c r="DY1042" s="13"/>
      <c r="DZ1042" s="11">
        <v>11570.0</v>
      </c>
      <c r="EA1042" s="11">
        <v>5390.0</v>
      </c>
      <c r="EB1042" s="11">
        <v>-11690.0</v>
      </c>
      <c r="EC1042" s="11">
        <v>4300.0</v>
      </c>
      <c r="ED1042" s="11">
        <v>10010.0</v>
      </c>
      <c r="EE1042" s="23"/>
      <c r="EF1042" s="23"/>
      <c r="EG1042" s="14">
        <v>-0.333</v>
      </c>
      <c r="EH1042" s="14">
        <v>-0.218</v>
      </c>
    </row>
    <row r="1043">
      <c r="A1043" s="9">
        <f t="shared" si="2"/>
        <v>1041</v>
      </c>
      <c r="B1043" s="22" t="s">
        <v>1178</v>
      </c>
      <c r="C1043" s="11">
        <v>1470000.0</v>
      </c>
      <c r="D1043" s="11">
        <v>1280000.0</v>
      </c>
      <c r="E1043" s="11">
        <v>901940.0</v>
      </c>
      <c r="F1043" s="11">
        <v>990270.0</v>
      </c>
      <c r="G1043" s="11">
        <v>966010.0</v>
      </c>
      <c r="H1043" s="11">
        <v>1220000.0</v>
      </c>
      <c r="I1043" s="11">
        <v>500440.0</v>
      </c>
      <c r="J1043" s="11">
        <v>264670.0</v>
      </c>
      <c r="K1043" s="11">
        <v>317700.0</v>
      </c>
      <c r="L1043" s="11">
        <v>274390.0</v>
      </c>
      <c r="M1043" s="11">
        <v>545770.0</v>
      </c>
      <c r="N1043" s="11">
        <v>237220.0</v>
      </c>
      <c r="O1043" s="11">
        <v>461180.0</v>
      </c>
      <c r="P1043" s="11">
        <v>483930.0</v>
      </c>
      <c r="Q1043" s="11">
        <v>541060.0</v>
      </c>
      <c r="R1043" s="11">
        <v>586860.0</v>
      </c>
      <c r="S1043" s="11">
        <v>298380.0</v>
      </c>
      <c r="T1043" s="11">
        <v>117870.0</v>
      </c>
      <c r="U1043" s="11">
        <v>125590.0</v>
      </c>
      <c r="V1043" s="11">
        <v>126440.0</v>
      </c>
      <c r="W1043" s="11">
        <v>113870.0</v>
      </c>
      <c r="X1043" s="11">
        <v>101800.0</v>
      </c>
      <c r="Y1043" s="11">
        <v>-273880.0</v>
      </c>
      <c r="Z1043" s="11">
        <v>-168150.0</v>
      </c>
      <c r="AA1043" s="11">
        <v>-9720.0</v>
      </c>
      <c r="AB1043" s="11">
        <v>-75160.0</v>
      </c>
      <c r="AC1043" s="11">
        <v>-51430.0</v>
      </c>
      <c r="AD1043" s="11">
        <v>-304970.0</v>
      </c>
      <c r="AE1043" s="11">
        <v>-177270.0</v>
      </c>
      <c r="AF1043" s="11">
        <v>-271920.0</v>
      </c>
      <c r="AG1043" s="11">
        <v>-73550.0</v>
      </c>
      <c r="AH1043" s="11">
        <v>-138000.0</v>
      </c>
      <c r="AI1043" s="11">
        <v>-102700.0</v>
      </c>
      <c r="AJ1043" s="11">
        <v>-68890.0</v>
      </c>
      <c r="AK1043" s="11">
        <v>-164580.0</v>
      </c>
      <c r="AL1043" s="11">
        <v>55490.0</v>
      </c>
      <c r="AM1043" s="11">
        <v>-44800.0</v>
      </c>
      <c r="AN1043" s="11">
        <v>-314930.0</v>
      </c>
      <c r="AO1043" s="11">
        <v>-153040.0</v>
      </c>
      <c r="AP1043" s="11">
        <v>-305250.0</v>
      </c>
      <c r="AQ1043" s="11">
        <v>-25080.0</v>
      </c>
      <c r="AR1043" s="11">
        <v>-30030.0</v>
      </c>
      <c r="AS1043" s="11">
        <v>-172520.0</v>
      </c>
      <c r="AT1043" s="11">
        <v>-109140.0</v>
      </c>
      <c r="AU1043" s="11">
        <v>-92080.0</v>
      </c>
      <c r="AV1043" s="11">
        <v>32050.0</v>
      </c>
      <c r="AW1043" s="11">
        <v>164020.0</v>
      </c>
      <c r="AX1043" s="11">
        <v>-12740.0</v>
      </c>
      <c r="AY1043" s="11">
        <v>-27860.0</v>
      </c>
      <c r="AZ1043" s="11">
        <v>-46520.0</v>
      </c>
      <c r="BA1043" s="11">
        <v>-23550.0</v>
      </c>
      <c r="BB1043" s="11">
        <v>-15850.0</v>
      </c>
      <c r="BC1043" s="12"/>
      <c r="BD1043" s="12"/>
      <c r="BE1043" s="12"/>
      <c r="BF1043" s="12"/>
      <c r="BG1043" s="12"/>
      <c r="BH1043" s="11">
        <v>85450.0</v>
      </c>
      <c r="BI1043" s="11">
        <v>96470.0</v>
      </c>
      <c r="BJ1043" s="11">
        <v>91500.0</v>
      </c>
      <c r="BK1043" s="11">
        <v>168730.0</v>
      </c>
      <c r="BL1043" s="11">
        <v>193600.0</v>
      </c>
      <c r="BM1043" s="11">
        <v>157690.0</v>
      </c>
      <c r="BN1043" s="11">
        <v>161980.0</v>
      </c>
      <c r="BO1043" s="11">
        <v>187050.0</v>
      </c>
      <c r="BP1043" s="11">
        <v>249490.0</v>
      </c>
      <c r="BQ1043" s="11">
        <v>208900.0</v>
      </c>
      <c r="BR1043" s="11">
        <v>53430.0</v>
      </c>
      <c r="BS1043" s="11">
        <v>42300.0</v>
      </c>
      <c r="BT1043" s="11">
        <v>49330.0</v>
      </c>
      <c r="BU1043" s="11">
        <v>47230.0</v>
      </c>
      <c r="BV1043" s="11">
        <v>39680.0</v>
      </c>
      <c r="BW1043" s="11">
        <v>324050.0</v>
      </c>
      <c r="BX1043" s="11">
        <v>317730.0</v>
      </c>
      <c r="BY1043" s="11">
        <v>348860.0</v>
      </c>
      <c r="BZ1043" s="11">
        <v>483600.0</v>
      </c>
      <c r="CA1043" s="11">
        <v>454060.0</v>
      </c>
      <c r="CB1043" s="11">
        <v>166490.0</v>
      </c>
      <c r="CC1043" s="11">
        <v>144670.0</v>
      </c>
      <c r="CD1043" s="11">
        <v>146560.0</v>
      </c>
      <c r="CE1043" s="11">
        <v>122830.0</v>
      </c>
      <c r="CF1043" s="11">
        <v>131800.0</v>
      </c>
      <c r="CG1043" s="11">
        <v>671940.0</v>
      </c>
      <c r="CH1043" s="11">
        <v>700190.0</v>
      </c>
      <c r="CI1043" s="11">
        <v>717100.0</v>
      </c>
      <c r="CJ1043" s="11">
        <v>704600.0</v>
      </c>
      <c r="CK1043" s="11">
        <v>743350.0</v>
      </c>
      <c r="CL1043" s="11">
        <v>2310000.0</v>
      </c>
      <c r="CM1043" s="11">
        <v>2450000.0</v>
      </c>
      <c r="CN1043" s="11">
        <v>2590000.0</v>
      </c>
      <c r="CO1043" s="11">
        <v>2770000.0</v>
      </c>
      <c r="CP1043" s="11">
        <v>2800000.0</v>
      </c>
      <c r="CQ1043" s="11">
        <v>62540.0</v>
      </c>
      <c r="CR1043" s="11">
        <v>47400.0</v>
      </c>
      <c r="CS1043" s="11">
        <v>74310.0</v>
      </c>
      <c r="CT1043" s="11">
        <v>53360.0</v>
      </c>
      <c r="CU1043" s="11">
        <v>72540.0</v>
      </c>
      <c r="CV1043" s="11">
        <v>249120.0</v>
      </c>
      <c r="CW1043" s="11">
        <v>12040.0</v>
      </c>
      <c r="CX1043" s="12"/>
      <c r="CY1043" s="12"/>
      <c r="CZ1043" s="11">
        <v>8300.0</v>
      </c>
      <c r="DA1043" s="11">
        <v>10410.0</v>
      </c>
      <c r="DB1043" s="11">
        <v>249120.0</v>
      </c>
      <c r="DC1043" s="11">
        <v>288320.0</v>
      </c>
      <c r="DD1043" s="11">
        <v>312030.0</v>
      </c>
      <c r="DE1043" s="11">
        <v>263300.0</v>
      </c>
      <c r="DF1043" s="11">
        <v>694510.0</v>
      </c>
      <c r="DG1043" s="11">
        <v>659780.0</v>
      </c>
      <c r="DH1043" s="11">
        <v>746330.0</v>
      </c>
      <c r="DI1043" s="11">
        <v>674810.0</v>
      </c>
      <c r="DJ1043" s="11">
        <v>819390.0</v>
      </c>
      <c r="DK1043" s="11">
        <v>20750.0</v>
      </c>
      <c r="DL1043" s="11">
        <v>31230.0</v>
      </c>
      <c r="DM1043" s="11">
        <v>40640.0</v>
      </c>
      <c r="DN1043" s="11">
        <v>41140.0</v>
      </c>
      <c r="DO1043" s="11">
        <v>34720.0</v>
      </c>
      <c r="DP1043" s="11">
        <v>291570.0</v>
      </c>
      <c r="DQ1043" s="11">
        <v>172770.0</v>
      </c>
      <c r="DR1043" s="11">
        <v>142670.0</v>
      </c>
      <c r="DS1043" s="11">
        <v>90440.0</v>
      </c>
      <c r="DT1043" s="11">
        <v>132900.0</v>
      </c>
      <c r="DU1043" s="13"/>
      <c r="DV1043" s="12"/>
      <c r="DW1043" s="12"/>
      <c r="DX1043" s="13"/>
      <c r="DY1043" s="13"/>
      <c r="DZ1043" s="11">
        <v>1610000.0</v>
      </c>
      <c r="EA1043" s="11">
        <v>1790000.0</v>
      </c>
      <c r="EB1043" s="11">
        <v>1840000.0</v>
      </c>
      <c r="EC1043" s="11">
        <v>2090000.0</v>
      </c>
      <c r="ED1043" s="11">
        <v>1980000.0</v>
      </c>
      <c r="EE1043" s="14">
        <v>0.07</v>
      </c>
      <c r="EF1043" s="14">
        <v>0.476</v>
      </c>
      <c r="EG1043" s="14">
        <v>1.714</v>
      </c>
      <c r="EH1043" s="14">
        <v>0.54</v>
      </c>
    </row>
    <row r="1044">
      <c r="A1044" s="9">
        <f t="shared" si="2"/>
        <v>1042</v>
      </c>
      <c r="B1044" s="22" t="s">
        <v>1179</v>
      </c>
      <c r="C1044" s="11">
        <v>109380.0</v>
      </c>
      <c r="D1044" s="11">
        <v>50520.0</v>
      </c>
      <c r="E1044" s="11">
        <v>34630.0</v>
      </c>
      <c r="F1044" s="11">
        <v>7070.0</v>
      </c>
      <c r="G1044" s="12"/>
      <c r="H1044" s="11">
        <v>47500.0</v>
      </c>
      <c r="I1044" s="11">
        <v>85.0</v>
      </c>
      <c r="J1044" s="11">
        <v>29340.0</v>
      </c>
      <c r="K1044" s="11">
        <v>5480.0</v>
      </c>
      <c r="L1044" s="11">
        <v>-164.0</v>
      </c>
      <c r="M1044" s="12"/>
      <c r="N1044" s="12"/>
      <c r="O1044" s="11">
        <v>124940.0</v>
      </c>
      <c r="P1044" s="11">
        <v>105720.0</v>
      </c>
      <c r="Q1044" s="11">
        <v>48370.0</v>
      </c>
      <c r="R1044" s="11">
        <v>22100.0</v>
      </c>
      <c r="S1044" s="11">
        <v>28090.0</v>
      </c>
      <c r="T1044" s="11">
        <v>20780.0</v>
      </c>
      <c r="U1044" s="11">
        <v>10100.0</v>
      </c>
      <c r="V1044" s="11">
        <v>16830.0</v>
      </c>
      <c r="W1044" s="11">
        <v>15310.0</v>
      </c>
      <c r="X1044" s="11">
        <v>22160.0</v>
      </c>
      <c r="Y1044" s="11">
        <v>-102760.0</v>
      </c>
      <c r="Z1044" s="12"/>
      <c r="AA1044" s="12"/>
      <c r="AB1044" s="12"/>
      <c r="AC1044" s="12"/>
      <c r="AD1044" s="11">
        <v>-110050.0</v>
      </c>
      <c r="AE1044" s="11">
        <v>-106660.0</v>
      </c>
      <c r="AF1044" s="11">
        <v>-48900.0</v>
      </c>
      <c r="AG1044" s="11">
        <v>22610.0</v>
      </c>
      <c r="AH1044" s="11">
        <v>-28310.0</v>
      </c>
      <c r="AI1044" s="11">
        <v>-94500.0</v>
      </c>
      <c r="AJ1044" s="11">
        <v>-99710.0</v>
      </c>
      <c r="AK1044" s="11">
        <v>-48370.0</v>
      </c>
      <c r="AL1044" s="11">
        <v>25400.0</v>
      </c>
      <c r="AM1044" s="11">
        <v>-28000.0</v>
      </c>
      <c r="AN1044" s="11">
        <v>-110050.0</v>
      </c>
      <c r="AO1044" s="11">
        <v>-106660.0</v>
      </c>
      <c r="AP1044" s="11">
        <v>-50000.0</v>
      </c>
      <c r="AQ1044" s="11">
        <v>12620.0</v>
      </c>
      <c r="AR1044" s="11">
        <v>-30380.0</v>
      </c>
      <c r="AS1044" s="11">
        <v>-90820.0</v>
      </c>
      <c r="AT1044" s="11">
        <v>-98360.0</v>
      </c>
      <c r="AU1044" s="11">
        <v>-35650.0</v>
      </c>
      <c r="AV1044" s="11">
        <v>21720.0</v>
      </c>
      <c r="AW1044" s="11">
        <v>-28710.0</v>
      </c>
      <c r="AX1044" s="11">
        <v>-557.0</v>
      </c>
      <c r="AY1044" s="11">
        <v>-1690.0</v>
      </c>
      <c r="AZ1044" s="11">
        <v>-2410.0</v>
      </c>
      <c r="BA1044" s="11">
        <v>-215.0</v>
      </c>
      <c r="BB1044" s="11">
        <v>-80.0</v>
      </c>
      <c r="BC1044" s="12"/>
      <c r="BD1044" s="12"/>
      <c r="BE1044" s="12"/>
      <c r="BF1044" s="12"/>
      <c r="BG1044" s="12"/>
      <c r="BH1044" s="11">
        <v>147170.0</v>
      </c>
      <c r="BI1044" s="11">
        <v>201010.0</v>
      </c>
      <c r="BJ1044" s="11">
        <v>234850.0</v>
      </c>
      <c r="BK1044" s="11">
        <v>36800.0</v>
      </c>
      <c r="BL1044" s="11">
        <v>15200.0</v>
      </c>
      <c r="BM1044" s="11">
        <v>13820.0</v>
      </c>
      <c r="BN1044" s="11">
        <v>2550.0</v>
      </c>
      <c r="BO1044" s="11">
        <v>46.0</v>
      </c>
      <c r="BP1044" s="11">
        <v>2420.0</v>
      </c>
      <c r="BQ1044" s="11">
        <v>448.0</v>
      </c>
      <c r="BR1044" s="11">
        <v>3480.0</v>
      </c>
      <c r="BS1044" s="11">
        <v>7130.0</v>
      </c>
      <c r="BT1044" s="11">
        <v>2010.0</v>
      </c>
      <c r="BU1044" s="12"/>
      <c r="BV1044" s="12"/>
      <c r="BW1044" s="11">
        <v>168060.0</v>
      </c>
      <c r="BX1044" s="11">
        <v>212860.0</v>
      </c>
      <c r="BY1044" s="11">
        <v>238170.0</v>
      </c>
      <c r="BZ1044" s="11">
        <v>40680.0</v>
      </c>
      <c r="CA1044" s="11">
        <v>15820.0</v>
      </c>
      <c r="CB1044" s="11">
        <v>4440.0</v>
      </c>
      <c r="CC1044" s="11">
        <v>3880.0</v>
      </c>
      <c r="CD1044" s="11">
        <v>2560.0</v>
      </c>
      <c r="CE1044" s="11">
        <v>323.0</v>
      </c>
      <c r="CF1044" s="11">
        <v>191.0</v>
      </c>
      <c r="CG1044" s="12"/>
      <c r="CH1044" s="12"/>
      <c r="CI1044" s="12"/>
      <c r="CJ1044" s="12"/>
      <c r="CK1044" s="12"/>
      <c r="CL1044" s="11">
        <v>172650.0</v>
      </c>
      <c r="CM1044" s="11">
        <v>216990.0</v>
      </c>
      <c r="CN1044" s="11">
        <v>241140.0</v>
      </c>
      <c r="CO1044" s="11">
        <v>41550.0</v>
      </c>
      <c r="CP1044" s="11">
        <v>16010.0</v>
      </c>
      <c r="CQ1044" s="11">
        <v>3630.0</v>
      </c>
      <c r="CR1044" s="11">
        <v>7120.0</v>
      </c>
      <c r="CS1044" s="11">
        <v>5890.0</v>
      </c>
      <c r="CT1044" s="11">
        <v>3370.0</v>
      </c>
      <c r="CU1044" s="11">
        <v>3510.0</v>
      </c>
      <c r="CV1044" s="11">
        <v>36140.0</v>
      </c>
      <c r="CW1044" s="11">
        <v>1140.0</v>
      </c>
      <c r="CX1044" s="12"/>
      <c r="CY1044" s="12"/>
      <c r="CZ1044" s="12"/>
      <c r="DA1044" s="12"/>
      <c r="DB1044" s="11">
        <v>36140.0</v>
      </c>
      <c r="DC1044" s="11">
        <v>25700.0</v>
      </c>
      <c r="DD1044" s="11">
        <v>14780.0</v>
      </c>
      <c r="DE1044" s="11">
        <v>5910.0</v>
      </c>
      <c r="DF1044" s="11">
        <v>111070.0</v>
      </c>
      <c r="DG1044" s="11">
        <v>98380.0</v>
      </c>
      <c r="DH1044" s="11">
        <v>86640.0</v>
      </c>
      <c r="DI1044" s="11">
        <v>24580.0</v>
      </c>
      <c r="DJ1044" s="11">
        <v>22340.0</v>
      </c>
      <c r="DK1044" s="12"/>
      <c r="DL1044" s="12"/>
      <c r="DM1044" s="12"/>
      <c r="DN1044" s="12"/>
      <c r="DO1044" s="12"/>
      <c r="DP1044" s="11">
        <v>74930.0</v>
      </c>
      <c r="DQ1044" s="11">
        <v>72500.0</v>
      </c>
      <c r="DR1044" s="11">
        <v>71860.0</v>
      </c>
      <c r="DS1044" s="11">
        <v>15260.0</v>
      </c>
      <c r="DT1044" s="11">
        <v>14480.0</v>
      </c>
      <c r="DU1044" s="13"/>
      <c r="DV1044" s="12"/>
      <c r="DW1044" s="12"/>
      <c r="DX1044" s="11">
        <v>168170.0</v>
      </c>
      <c r="DY1044" s="11">
        <v>155060.0</v>
      </c>
      <c r="DZ1044" s="11">
        <v>61580.0</v>
      </c>
      <c r="EA1044" s="11">
        <v>118610.0</v>
      </c>
      <c r="EB1044" s="11">
        <v>154500.0</v>
      </c>
      <c r="EC1044" s="11">
        <v>16980.0</v>
      </c>
      <c r="ED1044" s="11">
        <v>-6330.0</v>
      </c>
      <c r="EE1044" s="14">
        <v>0.139</v>
      </c>
      <c r="EF1044" s="14">
        <v>0.226</v>
      </c>
      <c r="EG1044" s="14">
        <v>0.0</v>
      </c>
      <c r="EH1044" s="14">
        <v>0.024</v>
      </c>
    </row>
    <row r="1045">
      <c r="A1045" s="9">
        <f t="shared" si="2"/>
        <v>1043</v>
      </c>
      <c r="B1045" s="25" t="s">
        <v>1180</v>
      </c>
      <c r="C1045" s="12"/>
      <c r="D1045" s="12"/>
      <c r="E1045" s="12">
        <v>392600.0</v>
      </c>
      <c r="F1045" s="12">
        <v>490470.0</v>
      </c>
      <c r="G1045" s="12">
        <v>213220.0</v>
      </c>
      <c r="H1045" s="12">
        <v>62680.0</v>
      </c>
      <c r="I1045" s="12">
        <v>45420.0</v>
      </c>
      <c r="J1045" s="12">
        <v>81260.0</v>
      </c>
      <c r="K1045" s="12">
        <v>66200.0</v>
      </c>
      <c r="L1045" s="12">
        <v>59160.0</v>
      </c>
      <c r="M1045" s="12">
        <v>0.0</v>
      </c>
      <c r="N1045" s="12">
        <v>0.0</v>
      </c>
      <c r="O1045" s="12">
        <v>28540.0</v>
      </c>
      <c r="P1045" s="12">
        <v>22510.0</v>
      </c>
      <c r="Q1045" s="12">
        <v>44740.0</v>
      </c>
      <c r="R1045" s="12">
        <v>23680.0</v>
      </c>
      <c r="S1045" s="12">
        <v>26020.0</v>
      </c>
      <c r="T1045" s="12">
        <v>0.0</v>
      </c>
      <c r="U1045" s="12">
        <v>0.0</v>
      </c>
      <c r="V1045" s="12">
        <v>0.0</v>
      </c>
      <c r="W1045" s="12">
        <v>0.0</v>
      </c>
      <c r="X1045" s="12">
        <v>0.0</v>
      </c>
      <c r="Y1045" s="12">
        <v>-211860.0</v>
      </c>
      <c r="Z1045" s="12">
        <v>-126980.0</v>
      </c>
      <c r="AA1045" s="12">
        <v>-44450.0</v>
      </c>
      <c r="AB1045" s="12">
        <v>53150.0</v>
      </c>
      <c r="AC1045" s="12">
        <v>13050.0</v>
      </c>
      <c r="AD1045" s="12">
        <v>-252390.0</v>
      </c>
      <c r="AE1045" s="12">
        <v>-131720.0</v>
      </c>
      <c r="AF1045" s="12">
        <v>-59820.0</v>
      </c>
      <c r="AG1045" s="12">
        <v>58200.0</v>
      </c>
      <c r="AH1045" s="12">
        <v>40240.0</v>
      </c>
      <c r="AI1045" s="12">
        <v>100980.0</v>
      </c>
      <c r="AJ1045" s="12">
        <v>96480.0</v>
      </c>
      <c r="AK1045" s="12">
        <v>42630.0</v>
      </c>
      <c r="AL1045" s="12">
        <v>39000.0</v>
      </c>
      <c r="AM1045" s="12">
        <v>19400.0</v>
      </c>
      <c r="AN1045" s="12">
        <v>-234200.0</v>
      </c>
      <c r="AO1045" s="12">
        <v>-105590.0</v>
      </c>
      <c r="AP1045" s="12">
        <v>-42500.0</v>
      </c>
      <c r="AQ1045" s="12">
        <v>42110.0</v>
      </c>
      <c r="AR1045" s="12">
        <v>28750.0</v>
      </c>
      <c r="AS1045" s="12">
        <v>91600.0</v>
      </c>
      <c r="AT1045" s="12">
        <v>82160.0</v>
      </c>
      <c r="AU1045" s="12">
        <v>48720.0</v>
      </c>
      <c r="AV1045" s="12">
        <v>53440.0</v>
      </c>
      <c r="AW1045" s="12">
        <v>29140.0</v>
      </c>
      <c r="AX1045" s="12">
        <v>-84140.0</v>
      </c>
      <c r="AY1045" s="12">
        <v>-141210.0</v>
      </c>
      <c r="AZ1045" s="12">
        <v>-81380.0</v>
      </c>
      <c r="BA1045" s="12">
        <v>-63680.0</v>
      </c>
      <c r="BB1045" s="12">
        <v>-38790.0</v>
      </c>
      <c r="BC1045" s="12">
        <v>-27460.0</v>
      </c>
      <c r="BD1045" s="12">
        <v>-27810.0</v>
      </c>
      <c r="BE1045" s="12">
        <v>-19330.0</v>
      </c>
      <c r="BF1045" s="12">
        <v>-15320.0</v>
      </c>
      <c r="BG1045" s="12">
        <v>-9830.0</v>
      </c>
      <c r="BH1045" s="12">
        <v>128930.0</v>
      </c>
      <c r="BI1045" s="12">
        <v>184270.0</v>
      </c>
      <c r="BJ1045" s="12">
        <v>333710.0</v>
      </c>
      <c r="BK1045" s="12">
        <v>501350.0</v>
      </c>
      <c r="BL1045" s="12">
        <v>258710.0</v>
      </c>
      <c r="BM1045" s="12">
        <v>6330.0</v>
      </c>
      <c r="BN1045" s="12">
        <v>12320.0</v>
      </c>
      <c r="BO1045" s="12">
        <v>8390.0</v>
      </c>
      <c r="BP1045" s="12">
        <v>8420.0</v>
      </c>
      <c r="BQ1045" s="12">
        <v>6240.0</v>
      </c>
      <c r="BR1045" s="12">
        <v>1660.0</v>
      </c>
      <c r="BS1045" s="12">
        <v>0.0</v>
      </c>
      <c r="BT1045" s="12">
        <v>9860.0</v>
      </c>
      <c r="BU1045" s="12">
        <v>0.0</v>
      </c>
      <c r="BV1045" s="12">
        <v>0.0</v>
      </c>
      <c r="BW1045" s="12">
        <v>140430.0</v>
      </c>
      <c r="BX1045" s="12">
        <v>197600.0</v>
      </c>
      <c r="BY1045" s="12">
        <v>352930.0</v>
      </c>
      <c r="BZ1045" s="12">
        <v>510560.0</v>
      </c>
      <c r="CA1045" s="12">
        <v>265180.0</v>
      </c>
      <c r="CB1045" s="12">
        <v>1470000.0</v>
      </c>
      <c r="CC1045" s="12">
        <v>1410000.0</v>
      </c>
      <c r="CD1045" s="12">
        <v>1580000.0</v>
      </c>
      <c r="CE1045" s="12">
        <v>495030.0</v>
      </c>
      <c r="CF1045" s="12">
        <v>450270.0</v>
      </c>
      <c r="CG1045" s="12">
        <v>111200.0</v>
      </c>
      <c r="CH1045" s="12">
        <v>111200.0</v>
      </c>
      <c r="CI1045" s="12">
        <v>111200.0</v>
      </c>
      <c r="CJ1045" s="12">
        <v>111200.0</v>
      </c>
      <c r="CK1045" s="12">
        <v>111200.0</v>
      </c>
      <c r="CL1045" s="12">
        <v>1980000.0</v>
      </c>
      <c r="CM1045" s="12">
        <v>2230000.0</v>
      </c>
      <c r="CN1045" s="12">
        <v>2520000.0</v>
      </c>
      <c r="CO1045" s="12">
        <v>1420000.0</v>
      </c>
      <c r="CP1045" s="12">
        <v>1080000.0</v>
      </c>
      <c r="CQ1045" s="12">
        <v>6840.0</v>
      </c>
      <c r="CR1045" s="12">
        <v>0.0</v>
      </c>
      <c r="CS1045" s="12">
        <v>0.0</v>
      </c>
      <c r="CT1045" s="12">
        <v>1390.0</v>
      </c>
      <c r="CU1045" s="12">
        <v>0.0</v>
      </c>
      <c r="CV1045" s="12">
        <v>27940.0</v>
      </c>
      <c r="CW1045" s="12">
        <v>0.0</v>
      </c>
      <c r="CX1045" s="16">
        <v>0.0</v>
      </c>
      <c r="CY1045" s="16">
        <v>0.0</v>
      </c>
      <c r="CZ1045" s="16">
        <v>0.0</v>
      </c>
      <c r="DA1045" s="15">
        <v>0.0</v>
      </c>
      <c r="DB1045" s="12">
        <v>27940.0</v>
      </c>
      <c r="DC1045" s="12">
        <v>23010.0</v>
      </c>
      <c r="DD1045" s="12">
        <v>28830.0</v>
      </c>
      <c r="DE1045" s="12">
        <v>15860.0</v>
      </c>
      <c r="DF1045" s="12">
        <v>485700.0</v>
      </c>
      <c r="DG1045" s="12">
        <v>463050.0</v>
      </c>
      <c r="DH1045" s="12">
        <v>639540.0</v>
      </c>
      <c r="DI1045" s="12">
        <v>205090.0</v>
      </c>
      <c r="DJ1045" s="12">
        <v>144190.0</v>
      </c>
      <c r="DK1045" s="12">
        <v>176890.0</v>
      </c>
      <c r="DL1045" s="12">
        <v>414510.0</v>
      </c>
      <c r="DM1045" s="12">
        <v>372570.0</v>
      </c>
      <c r="DN1045" s="12">
        <v>191310.0</v>
      </c>
      <c r="DO1045" s="12">
        <v>139200.0</v>
      </c>
      <c r="DP1045" s="12">
        <v>358370.0</v>
      </c>
      <c r="DQ1045" s="12">
        <v>352770.0</v>
      </c>
      <c r="DR1045" s="12">
        <v>481910.0</v>
      </c>
      <c r="DS1045" s="12">
        <v>48870.0</v>
      </c>
      <c r="DT1045" s="12">
        <v>0.0</v>
      </c>
      <c r="DU1045" s="16">
        <v>0.0</v>
      </c>
      <c r="DV1045" s="15">
        <v>0.0</v>
      </c>
      <c r="DW1045" s="15">
        <v>0.0</v>
      </c>
      <c r="DX1045" s="16">
        <v>0.0</v>
      </c>
      <c r="DY1045" s="16">
        <v>0.0</v>
      </c>
      <c r="DZ1045" s="12">
        <v>1490000.0</v>
      </c>
      <c r="EA1045" s="12">
        <v>1770000.0</v>
      </c>
      <c r="EB1045" s="12">
        <v>1880000.0</v>
      </c>
      <c r="EC1045" s="12">
        <v>1210000.0</v>
      </c>
      <c r="ED1045" s="12">
        <v>935840.0</v>
      </c>
      <c r="EE1045" s="23"/>
      <c r="EF1045" s="23"/>
      <c r="EG1045" s="23"/>
      <c r="EH1045" s="23"/>
    </row>
    <row r="1046">
      <c r="A1046" s="9">
        <f t="shared" si="2"/>
        <v>1044</v>
      </c>
      <c r="B1046" s="22" t="s">
        <v>1181</v>
      </c>
      <c r="C1046" s="11">
        <v>288260.0</v>
      </c>
      <c r="D1046" s="11">
        <v>275120.0</v>
      </c>
      <c r="E1046" s="11">
        <v>260980.0</v>
      </c>
      <c r="F1046" s="11">
        <v>193450.0</v>
      </c>
      <c r="G1046" s="12"/>
      <c r="H1046" s="12"/>
      <c r="I1046" s="12"/>
      <c r="J1046" s="11">
        <v>175600.0</v>
      </c>
      <c r="K1046" s="11">
        <v>124640.0</v>
      </c>
      <c r="L1046" s="12"/>
      <c r="M1046" s="12"/>
      <c r="N1046" s="12"/>
      <c r="O1046" s="11">
        <v>205060.0</v>
      </c>
      <c r="P1046" s="11">
        <v>168360.0</v>
      </c>
      <c r="Q1046" s="11">
        <v>4590.0</v>
      </c>
      <c r="R1046" s="11">
        <v>209.0</v>
      </c>
      <c r="S1046" s="12"/>
      <c r="T1046" s="11">
        <v>14800.0</v>
      </c>
      <c r="U1046" s="11">
        <v>10740.0</v>
      </c>
      <c r="V1046" s="12"/>
      <c r="W1046" s="12"/>
      <c r="X1046" s="12"/>
      <c r="Y1046" s="11">
        <v>-31320.0</v>
      </c>
      <c r="Z1046" s="11">
        <v>-54120.0</v>
      </c>
      <c r="AA1046" s="12"/>
      <c r="AB1046" s="12"/>
      <c r="AC1046" s="12"/>
      <c r="AD1046" s="11">
        <v>-40300.0</v>
      </c>
      <c r="AE1046" s="11">
        <v>-64750.0</v>
      </c>
      <c r="AF1046" s="11">
        <v>-2090.0</v>
      </c>
      <c r="AG1046" s="11">
        <v>-209.0</v>
      </c>
      <c r="AH1046" s="12"/>
      <c r="AI1046" s="11">
        <v>-20030.0</v>
      </c>
      <c r="AJ1046" s="11">
        <v>-36740.0</v>
      </c>
      <c r="AK1046" s="11">
        <v>-4590.0</v>
      </c>
      <c r="AL1046" s="11">
        <v>-209.0</v>
      </c>
      <c r="AM1046" s="12"/>
      <c r="AN1046" s="11">
        <v>-40450.0</v>
      </c>
      <c r="AO1046" s="11">
        <v>-64830.0</v>
      </c>
      <c r="AP1046" s="11">
        <v>-4440.0</v>
      </c>
      <c r="AQ1046" s="11">
        <v>-209.0</v>
      </c>
      <c r="AR1046" s="12"/>
      <c r="AS1046" s="11">
        <v>-33530.0</v>
      </c>
      <c r="AT1046" s="11">
        <v>-60740.0</v>
      </c>
      <c r="AU1046" s="11">
        <v>-587.0</v>
      </c>
      <c r="AV1046" s="11">
        <v>-17.0</v>
      </c>
      <c r="AW1046" s="12"/>
      <c r="AX1046" s="11">
        <v>-6230.0</v>
      </c>
      <c r="AY1046" s="11">
        <v>-1860.0</v>
      </c>
      <c r="AZ1046" s="12"/>
      <c r="BA1046" s="12"/>
      <c r="BB1046" s="12"/>
      <c r="BC1046" s="12"/>
      <c r="BD1046" s="12"/>
      <c r="BE1046" s="12"/>
      <c r="BF1046" s="12"/>
      <c r="BG1046" s="12"/>
      <c r="BH1046" s="11">
        <v>60370.0</v>
      </c>
      <c r="BI1046" s="11">
        <v>21410.0</v>
      </c>
      <c r="BJ1046" s="11">
        <v>126.0</v>
      </c>
      <c r="BK1046" s="11">
        <v>1040.0</v>
      </c>
      <c r="BL1046" s="12"/>
      <c r="BM1046" s="11">
        <v>39360.0</v>
      </c>
      <c r="BN1046" s="11">
        <v>34080.0</v>
      </c>
      <c r="BO1046" s="12"/>
      <c r="BP1046" s="12"/>
      <c r="BQ1046" s="12"/>
      <c r="BR1046" s="11">
        <v>22920.0</v>
      </c>
      <c r="BS1046" s="11">
        <v>13320.0</v>
      </c>
      <c r="BT1046" s="12"/>
      <c r="BU1046" s="12"/>
      <c r="BV1046" s="12"/>
      <c r="BW1046" s="11">
        <v>125600.0</v>
      </c>
      <c r="BX1046" s="11">
        <v>71130.0</v>
      </c>
      <c r="BY1046" s="11">
        <v>294.0</v>
      </c>
      <c r="BZ1046" s="11">
        <v>1440.0</v>
      </c>
      <c r="CA1046" s="12"/>
      <c r="CB1046" s="11">
        <v>47180.0</v>
      </c>
      <c r="CC1046" s="11">
        <v>39620.0</v>
      </c>
      <c r="CD1046" s="12"/>
      <c r="CE1046" s="12"/>
      <c r="CF1046" s="12"/>
      <c r="CG1046" s="11">
        <v>25540.0</v>
      </c>
      <c r="CH1046" s="11">
        <v>25540.0</v>
      </c>
      <c r="CI1046" s="12"/>
      <c r="CJ1046" s="12"/>
      <c r="CK1046" s="12"/>
      <c r="CL1046" s="11">
        <v>220690.0</v>
      </c>
      <c r="CM1046" s="11">
        <v>163680.0</v>
      </c>
      <c r="CN1046" s="11">
        <v>312790.0</v>
      </c>
      <c r="CO1046" s="11">
        <v>311440.0</v>
      </c>
      <c r="CP1046" s="12"/>
      <c r="CQ1046" s="11">
        <v>28390.0</v>
      </c>
      <c r="CR1046" s="11">
        <v>19170.0</v>
      </c>
      <c r="CS1046" s="12"/>
      <c r="CT1046" s="12"/>
      <c r="CU1046" s="12"/>
      <c r="CV1046" s="11">
        <v>59890.0</v>
      </c>
      <c r="CW1046" s="12"/>
      <c r="CX1046" s="11">
        <v>6760.0</v>
      </c>
      <c r="CY1046" s="12"/>
      <c r="CZ1046" s="12"/>
      <c r="DA1046" s="12"/>
      <c r="DB1046" s="11">
        <v>59890.0</v>
      </c>
      <c r="DC1046" s="11">
        <v>66390.0</v>
      </c>
      <c r="DD1046" s="11">
        <v>3930.0</v>
      </c>
      <c r="DE1046" s="11">
        <v>478.0</v>
      </c>
      <c r="DF1046" s="11">
        <v>165100.0</v>
      </c>
      <c r="DG1046" s="11">
        <v>116640.0</v>
      </c>
      <c r="DH1046" s="11">
        <v>14780.0</v>
      </c>
      <c r="DI1046" s="11">
        <v>11330.0</v>
      </c>
      <c r="DJ1046" s="12"/>
      <c r="DK1046" s="12"/>
      <c r="DL1046" s="12"/>
      <c r="DM1046" s="11">
        <v>312500.0</v>
      </c>
      <c r="DN1046" s="11">
        <v>310000.0</v>
      </c>
      <c r="DO1046" s="12"/>
      <c r="DP1046" s="11">
        <v>91230.0</v>
      </c>
      <c r="DQ1046" s="11">
        <v>49220.0</v>
      </c>
      <c r="DR1046" s="12"/>
      <c r="DS1046" s="12"/>
      <c r="DT1046" s="12"/>
      <c r="DU1046" s="13"/>
      <c r="DV1046" s="12"/>
      <c r="DW1046" s="11">
        <v>293010.0</v>
      </c>
      <c r="DX1046" s="11">
        <v>295110.0</v>
      </c>
      <c r="DY1046" s="13"/>
      <c r="DZ1046" s="11">
        <v>55580.0</v>
      </c>
      <c r="EA1046" s="11">
        <v>47040.0</v>
      </c>
      <c r="EB1046" s="11">
        <v>298010.0</v>
      </c>
      <c r="EC1046" s="11">
        <v>300110.0</v>
      </c>
      <c r="ED1046" s="12"/>
      <c r="EE1046" s="14">
        <v>0.004</v>
      </c>
      <c r="EF1046" s="14">
        <v>0.113</v>
      </c>
      <c r="EG1046" s="14">
        <v>0.773</v>
      </c>
      <c r="EH1046" s="14">
        <v>0.294</v>
      </c>
    </row>
    <row r="1047">
      <c r="A1047" s="9">
        <f t="shared" si="2"/>
        <v>1045</v>
      </c>
      <c r="B1047" s="22" t="s">
        <v>1182</v>
      </c>
      <c r="C1047" s="12"/>
      <c r="D1047" s="11">
        <v>51700.0</v>
      </c>
      <c r="E1047" s="11">
        <v>33260.0</v>
      </c>
      <c r="F1047" s="11">
        <v>18660.0</v>
      </c>
      <c r="G1047" s="11">
        <v>10090.0</v>
      </c>
      <c r="H1047" s="11">
        <v>6400.0</v>
      </c>
      <c r="I1047" s="11">
        <v>2970.0</v>
      </c>
      <c r="J1047" s="11">
        <v>12200.0</v>
      </c>
      <c r="K1047" s="11">
        <v>5600.0</v>
      </c>
      <c r="L1047" s="11">
        <v>1540.0</v>
      </c>
      <c r="M1047" s="11">
        <v>-2880.0</v>
      </c>
      <c r="N1047" s="11">
        <v>-2110.0</v>
      </c>
      <c r="O1047" s="11">
        <v>37030.0</v>
      </c>
      <c r="P1047" s="11">
        <v>22450.0</v>
      </c>
      <c r="Q1047" s="11">
        <v>11560.0</v>
      </c>
      <c r="R1047" s="11">
        <v>8400.0</v>
      </c>
      <c r="S1047" s="11">
        <v>4840.0</v>
      </c>
      <c r="T1047" s="11">
        <v>11900.0</v>
      </c>
      <c r="U1047" s="11">
        <v>6140.0</v>
      </c>
      <c r="V1047" s="11">
        <v>2370.0</v>
      </c>
      <c r="W1047" s="11">
        <v>2160.0</v>
      </c>
      <c r="X1047" s="11">
        <v>1070.0</v>
      </c>
      <c r="Y1047" s="11">
        <v>-24900.0</v>
      </c>
      <c r="Z1047" s="11">
        <v>-16900.0</v>
      </c>
      <c r="AA1047" s="11">
        <v>-9110.0</v>
      </c>
      <c r="AB1047" s="11">
        <v>-332.0</v>
      </c>
      <c r="AC1047" s="11">
        <v>-4620.0</v>
      </c>
      <c r="AD1047" s="11">
        <v>-25480.0</v>
      </c>
      <c r="AE1047" s="11">
        <v>-17770.0</v>
      </c>
      <c r="AF1047" s="11">
        <v>-13680.0</v>
      </c>
      <c r="AG1047" s="11">
        <v>-12660.0</v>
      </c>
      <c r="AH1047" s="11">
        <v>-5360.0</v>
      </c>
      <c r="AI1047" s="11">
        <v>-21030.0</v>
      </c>
      <c r="AJ1047" s="11">
        <v>-14230.0</v>
      </c>
      <c r="AK1047" s="11">
        <v>-7420.0</v>
      </c>
      <c r="AL1047" s="11">
        <v>-8350.0</v>
      </c>
      <c r="AM1047" s="11">
        <v>-4960.0</v>
      </c>
      <c r="AN1047" s="11">
        <v>-28220.0</v>
      </c>
      <c r="AO1047" s="11">
        <v>-19180.0</v>
      </c>
      <c r="AP1047" s="11">
        <v>-12370.0</v>
      </c>
      <c r="AQ1047" s="11">
        <v>-11110.0</v>
      </c>
      <c r="AR1047" s="11">
        <v>-4460.0</v>
      </c>
      <c r="AS1047" s="11">
        <v>-15830.0</v>
      </c>
      <c r="AT1047" s="11">
        <v>-15680.0</v>
      </c>
      <c r="AU1047" s="11">
        <v>-3830.0</v>
      </c>
      <c r="AV1047" s="11">
        <v>-3780.0</v>
      </c>
      <c r="AW1047" s="11">
        <v>-2710.0</v>
      </c>
      <c r="AX1047" s="11">
        <v>-12130.0</v>
      </c>
      <c r="AY1047" s="11">
        <v>-5560.0</v>
      </c>
      <c r="AZ1047" s="11">
        <v>-975.0</v>
      </c>
      <c r="BA1047" s="11">
        <v>-1430.0</v>
      </c>
      <c r="BB1047" s="11">
        <v>-982.0</v>
      </c>
      <c r="BC1047" s="12"/>
      <c r="BD1047" s="12"/>
      <c r="BE1047" s="12"/>
      <c r="BF1047" s="12"/>
      <c r="BG1047" s="12"/>
      <c r="BH1047" s="11">
        <v>12040.0</v>
      </c>
      <c r="BI1047" s="11">
        <v>16460.0</v>
      </c>
      <c r="BJ1047" s="11">
        <v>3520.0</v>
      </c>
      <c r="BK1047" s="11">
        <v>891.0</v>
      </c>
      <c r="BL1047" s="11">
        <v>4170.0</v>
      </c>
      <c r="BM1047" s="11">
        <v>10670.0</v>
      </c>
      <c r="BN1047" s="11">
        <v>11190.0</v>
      </c>
      <c r="BO1047" s="11">
        <v>2210.0</v>
      </c>
      <c r="BP1047" s="11">
        <v>2140.0</v>
      </c>
      <c r="BQ1047" s="11">
        <v>2620.0</v>
      </c>
      <c r="BR1047" s="11">
        <v>2040.0</v>
      </c>
      <c r="BS1047" s="11">
        <v>1740.0</v>
      </c>
      <c r="BT1047" s="11">
        <v>725.0</v>
      </c>
      <c r="BU1047" s="11">
        <v>400.0</v>
      </c>
      <c r="BV1047" s="11">
        <v>301.0</v>
      </c>
      <c r="BW1047" s="11">
        <v>25980.0</v>
      </c>
      <c r="BX1047" s="11">
        <v>30300.0</v>
      </c>
      <c r="BY1047" s="11">
        <v>7300.0</v>
      </c>
      <c r="BZ1047" s="11">
        <v>4210.0</v>
      </c>
      <c r="CA1047" s="11">
        <v>8210.0</v>
      </c>
      <c r="CB1047" s="11">
        <v>34040.0</v>
      </c>
      <c r="CC1047" s="11">
        <v>11900.0</v>
      </c>
      <c r="CD1047" s="11">
        <v>5100.0</v>
      </c>
      <c r="CE1047" s="11">
        <v>4570.0</v>
      </c>
      <c r="CF1047" s="11">
        <v>4300.0</v>
      </c>
      <c r="CG1047" s="11">
        <v>14940.0</v>
      </c>
      <c r="CH1047" s="11">
        <v>15170.0</v>
      </c>
      <c r="CI1047" s="11">
        <v>10680.0</v>
      </c>
      <c r="CJ1047" s="11">
        <v>9580.0</v>
      </c>
      <c r="CK1047" s="11">
        <v>9540.0</v>
      </c>
      <c r="CL1047" s="11">
        <v>92500.0</v>
      </c>
      <c r="CM1047" s="11">
        <v>75450.0</v>
      </c>
      <c r="CN1047" s="11">
        <v>39870.0</v>
      </c>
      <c r="CO1047" s="11">
        <v>33490.0</v>
      </c>
      <c r="CP1047" s="11">
        <v>38750.0</v>
      </c>
      <c r="CQ1047" s="11">
        <v>11310.0</v>
      </c>
      <c r="CR1047" s="11">
        <v>3800.0</v>
      </c>
      <c r="CS1047" s="11">
        <v>3910.0</v>
      </c>
      <c r="CT1047" s="11">
        <v>4550.0</v>
      </c>
      <c r="CU1047" s="11">
        <v>3480.0</v>
      </c>
      <c r="CV1047" s="11">
        <v>31580.0</v>
      </c>
      <c r="CW1047" s="11">
        <v>2110.0</v>
      </c>
      <c r="CX1047" s="24">
        <v>647.0</v>
      </c>
      <c r="CY1047" s="24">
        <v>378.0</v>
      </c>
      <c r="CZ1047" s="11">
        <v>2950.0</v>
      </c>
      <c r="DA1047" s="11">
        <v>6770.0</v>
      </c>
      <c r="DB1047" s="11">
        <v>31580.0</v>
      </c>
      <c r="DC1047" s="11">
        <v>17150.0</v>
      </c>
      <c r="DD1047" s="11">
        <v>16910.0</v>
      </c>
      <c r="DE1047" s="11">
        <v>14500.0</v>
      </c>
      <c r="DF1047" s="11">
        <v>55460.0</v>
      </c>
      <c r="DG1047" s="11">
        <v>22650.0</v>
      </c>
      <c r="DH1047" s="11">
        <v>22140.0</v>
      </c>
      <c r="DI1047" s="11">
        <v>20990.0</v>
      </c>
      <c r="DJ1047" s="11">
        <v>23730.0</v>
      </c>
      <c r="DK1047" s="12"/>
      <c r="DL1047" s="12"/>
      <c r="DM1047" s="11">
        <v>1660.0</v>
      </c>
      <c r="DN1047" s="12"/>
      <c r="DO1047" s="24">
        <v>5.0</v>
      </c>
      <c r="DP1047" s="11">
        <v>21590.0</v>
      </c>
      <c r="DQ1047" s="11">
        <v>2700.0</v>
      </c>
      <c r="DR1047" s="11">
        <v>4530.0</v>
      </c>
      <c r="DS1047" s="11">
        <v>4350.0</v>
      </c>
      <c r="DT1047" s="11">
        <v>2540.0</v>
      </c>
      <c r="DU1047" s="13"/>
      <c r="DV1047" s="12"/>
      <c r="DW1047" s="12"/>
      <c r="DX1047" s="13"/>
      <c r="DY1047" s="11">
        <v>21460.0</v>
      </c>
      <c r="DZ1047" s="11">
        <v>5480.0</v>
      </c>
      <c r="EA1047" s="11">
        <v>28350.0</v>
      </c>
      <c r="EB1047" s="11">
        <v>14120.0</v>
      </c>
      <c r="EC1047" s="11">
        <v>12500.0</v>
      </c>
      <c r="ED1047" s="11">
        <v>15020.0</v>
      </c>
      <c r="EE1047" s="14">
        <v>0.0</v>
      </c>
      <c r="EF1047" s="23"/>
      <c r="EG1047" s="14">
        <v>-0.95</v>
      </c>
      <c r="EH1047" s="23"/>
    </row>
    <row r="1048">
      <c r="A1048" s="9">
        <f t="shared" si="2"/>
        <v>1046</v>
      </c>
      <c r="B1048" s="22" t="s">
        <v>1183</v>
      </c>
      <c r="C1048" s="12"/>
      <c r="D1048" s="12"/>
      <c r="E1048" s="12"/>
      <c r="F1048" s="12"/>
      <c r="G1048" s="12"/>
      <c r="H1048" s="12"/>
      <c r="I1048" s="12"/>
      <c r="J1048" s="11">
        <v>-1000.0</v>
      </c>
      <c r="K1048" s="11">
        <v>-900.0</v>
      </c>
      <c r="L1048" s="11">
        <v>-900.0</v>
      </c>
      <c r="M1048" s="12"/>
      <c r="N1048" s="12"/>
      <c r="O1048" s="11">
        <v>27570.0</v>
      </c>
      <c r="P1048" s="11">
        <v>21470.0</v>
      </c>
      <c r="Q1048" s="11">
        <v>21640.0</v>
      </c>
      <c r="R1048" s="12"/>
      <c r="S1048" s="12"/>
      <c r="T1048" s="11">
        <v>22840.0</v>
      </c>
      <c r="U1048" s="11">
        <v>19030.0</v>
      </c>
      <c r="V1048" s="11">
        <v>19130.0</v>
      </c>
      <c r="W1048" s="12"/>
      <c r="X1048" s="12"/>
      <c r="Y1048" s="12"/>
      <c r="Z1048" s="12"/>
      <c r="AA1048" s="12"/>
      <c r="AB1048" s="12"/>
      <c r="AC1048" s="12"/>
      <c r="AD1048" s="11">
        <v>-26880.0</v>
      </c>
      <c r="AE1048" s="11">
        <v>-21360.0</v>
      </c>
      <c r="AF1048" s="11">
        <v>-22030.0</v>
      </c>
      <c r="AG1048" s="12"/>
      <c r="AH1048" s="12"/>
      <c r="AI1048" s="11">
        <v>-27570.0</v>
      </c>
      <c r="AJ1048" s="11">
        <v>-21470.0</v>
      </c>
      <c r="AK1048" s="11">
        <v>-21640.0</v>
      </c>
      <c r="AL1048" s="12"/>
      <c r="AM1048" s="12"/>
      <c r="AN1048" s="11">
        <v>-26880.0</v>
      </c>
      <c r="AO1048" s="11">
        <v>-21360.0</v>
      </c>
      <c r="AP1048" s="11">
        <v>-22030.0</v>
      </c>
      <c r="AQ1048" s="12"/>
      <c r="AR1048" s="12"/>
      <c r="AS1048" s="11">
        <v>-23630.0</v>
      </c>
      <c r="AT1048" s="11">
        <v>-20680.0</v>
      </c>
      <c r="AU1048" s="11">
        <v>-20830.0</v>
      </c>
      <c r="AV1048" s="12"/>
      <c r="AW1048" s="12"/>
      <c r="AX1048" s="11">
        <v>-768.0</v>
      </c>
      <c r="AY1048" s="11">
        <v>-525.0</v>
      </c>
      <c r="AZ1048" s="11">
        <v>-486.0</v>
      </c>
      <c r="BA1048" s="12"/>
      <c r="BB1048" s="12"/>
      <c r="BC1048" s="12"/>
      <c r="BD1048" s="12"/>
      <c r="BE1048" s="12"/>
      <c r="BF1048" s="12"/>
      <c r="BG1048" s="12"/>
      <c r="BH1048" s="11">
        <v>89160.0</v>
      </c>
      <c r="BI1048" s="11">
        <v>42640.0</v>
      </c>
      <c r="BJ1048" s="11">
        <v>25820.0</v>
      </c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1">
        <v>90000.0</v>
      </c>
      <c r="BX1048" s="11">
        <v>43720.0</v>
      </c>
      <c r="BY1048" s="11">
        <v>26610.0</v>
      </c>
      <c r="BZ1048" s="12"/>
      <c r="CA1048" s="12"/>
      <c r="CB1048" s="11">
        <v>2240.0</v>
      </c>
      <c r="CC1048" s="11">
        <v>2510.0</v>
      </c>
      <c r="CD1048" s="11">
        <v>2900.0</v>
      </c>
      <c r="CE1048" s="12"/>
      <c r="CF1048" s="12"/>
      <c r="CG1048" s="12"/>
      <c r="CH1048" s="12"/>
      <c r="CI1048" s="12"/>
      <c r="CJ1048" s="12"/>
      <c r="CK1048" s="12"/>
      <c r="CL1048" s="11">
        <v>94090.0</v>
      </c>
      <c r="CM1048" s="11">
        <v>46730.0</v>
      </c>
      <c r="CN1048" s="11">
        <v>30030.0</v>
      </c>
      <c r="CO1048" s="12"/>
      <c r="CP1048" s="12"/>
      <c r="CQ1048" s="11">
        <v>152.0</v>
      </c>
      <c r="CR1048" s="11">
        <v>446.0</v>
      </c>
      <c r="CS1048" s="11">
        <v>940.0</v>
      </c>
      <c r="CT1048" s="12"/>
      <c r="CU1048" s="12"/>
      <c r="CV1048" s="11">
        <v>5350.0</v>
      </c>
      <c r="CW1048" s="12"/>
      <c r="CX1048" s="12"/>
      <c r="CY1048" s="12"/>
      <c r="CZ1048" s="12"/>
      <c r="DA1048" s="12"/>
      <c r="DB1048" s="11">
        <v>5350.0</v>
      </c>
      <c r="DC1048" s="11">
        <v>2600.0</v>
      </c>
      <c r="DD1048" s="11">
        <v>2610.0</v>
      </c>
      <c r="DE1048" s="12"/>
      <c r="DF1048" s="11">
        <v>6120.0</v>
      </c>
      <c r="DG1048" s="11">
        <v>3890.0</v>
      </c>
      <c r="DH1048" s="11">
        <v>4300.0</v>
      </c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1">
        <v>178060.0</v>
      </c>
      <c r="DV1048" s="11">
        <v>107270.0</v>
      </c>
      <c r="DW1048" s="11">
        <v>69340.0</v>
      </c>
      <c r="DX1048" s="13"/>
      <c r="DY1048" s="13"/>
      <c r="DZ1048" s="11">
        <v>87970.0</v>
      </c>
      <c r="EA1048" s="11">
        <v>42840.0</v>
      </c>
      <c r="EB1048" s="11">
        <v>25730.0</v>
      </c>
      <c r="EC1048" s="12"/>
      <c r="ED1048" s="12"/>
      <c r="EE1048" s="23"/>
      <c r="EF1048" s="23"/>
      <c r="EG1048" s="14">
        <v>-0.275</v>
      </c>
      <c r="EH1048" s="23"/>
    </row>
    <row r="1049">
      <c r="A1049" s="9">
        <f t="shared" si="2"/>
        <v>1047</v>
      </c>
      <c r="B1049" s="10" t="s">
        <v>1184</v>
      </c>
      <c r="C1049" s="11">
        <v>1.144E7</v>
      </c>
      <c r="D1049" s="11">
        <v>1.109E7</v>
      </c>
      <c r="E1049" s="11">
        <v>1.015E7</v>
      </c>
      <c r="F1049" s="11">
        <v>9540000.0</v>
      </c>
      <c r="G1049" s="11">
        <v>8980000.0</v>
      </c>
      <c r="H1049" s="11">
        <v>8590000.0</v>
      </c>
      <c r="I1049" s="11">
        <v>7970000.0</v>
      </c>
      <c r="J1049" s="11">
        <v>5130000.0</v>
      </c>
      <c r="K1049" s="11">
        <v>4790000.0</v>
      </c>
      <c r="L1049" s="11">
        <v>4490000.0</v>
      </c>
      <c r="M1049" s="11">
        <v>4290000.0</v>
      </c>
      <c r="N1049" s="11">
        <v>4160000.0</v>
      </c>
      <c r="O1049" s="11">
        <v>3200000.0</v>
      </c>
      <c r="P1049" s="11">
        <v>2970000.0</v>
      </c>
      <c r="Q1049" s="11">
        <v>2750000.0</v>
      </c>
      <c r="R1049" s="11">
        <v>2590000.0</v>
      </c>
      <c r="S1049" s="11">
        <v>2630000.0</v>
      </c>
      <c r="T1049" s="11"/>
      <c r="U1049" s="11"/>
      <c r="V1049" s="11"/>
      <c r="W1049" s="11"/>
      <c r="X1049" s="11"/>
      <c r="Y1049" s="11">
        <v>1930000.0</v>
      </c>
      <c r="Z1049" s="11">
        <v>1810000.0</v>
      </c>
      <c r="AA1049" s="11">
        <v>1730000.0</v>
      </c>
      <c r="AB1049" s="11">
        <v>1700000.0</v>
      </c>
      <c r="AC1049" s="11">
        <v>1510000.0</v>
      </c>
      <c r="AD1049" s="11">
        <v>1790000.0</v>
      </c>
      <c r="AE1049" s="11">
        <v>1690000.0</v>
      </c>
      <c r="AF1049" s="11">
        <v>1640000.0</v>
      </c>
      <c r="AG1049" s="11">
        <v>1640000.0</v>
      </c>
      <c r="AH1049" s="11">
        <v>1460000.0</v>
      </c>
      <c r="AI1049" s="11">
        <v>2190000.0</v>
      </c>
      <c r="AJ1049" s="11">
        <v>2070000.0</v>
      </c>
      <c r="AK1049" s="11">
        <v>1960000.0</v>
      </c>
      <c r="AL1049" s="11">
        <v>1920000.0</v>
      </c>
      <c r="AM1049" s="11">
        <v>1740000.0</v>
      </c>
      <c r="AN1049" s="11">
        <v>1390000.0</v>
      </c>
      <c r="AO1049" s="11">
        <v>1320000.0</v>
      </c>
      <c r="AP1049" s="11">
        <v>1130000.0</v>
      </c>
      <c r="AQ1049" s="11">
        <v>1040000.0</v>
      </c>
      <c r="AR1049" s="11">
        <v>931220.0</v>
      </c>
      <c r="AS1049" s="11">
        <v>1710000.0</v>
      </c>
      <c r="AT1049" s="11">
        <v>1730000.0</v>
      </c>
      <c r="AU1049" s="11">
        <v>1400000.0</v>
      </c>
      <c r="AV1049" s="11">
        <v>1450000.0</v>
      </c>
      <c r="AW1049" s="11">
        <v>1280000.0</v>
      </c>
      <c r="AX1049" s="11">
        <v>-628060.0</v>
      </c>
      <c r="AY1049" s="11">
        <v>-504270.0</v>
      </c>
      <c r="AZ1049" s="11">
        <v>-465940.0</v>
      </c>
      <c r="BA1049" s="11">
        <v>-476340.0</v>
      </c>
      <c r="BB1049" s="11">
        <v>-414020.0</v>
      </c>
      <c r="BC1049" s="12"/>
      <c r="BD1049" s="12"/>
      <c r="BE1049" s="12"/>
      <c r="BF1049" s="12"/>
      <c r="BG1049" s="12"/>
      <c r="BH1049" s="11">
        <v>40410.0</v>
      </c>
      <c r="BI1049" s="11">
        <v>31320.0</v>
      </c>
      <c r="BJ1049" s="11">
        <v>46350.0</v>
      </c>
      <c r="BK1049" s="11">
        <v>146600.0</v>
      </c>
      <c r="BL1049" s="11">
        <v>116300.0</v>
      </c>
      <c r="BM1049" s="11">
        <v>294410.0</v>
      </c>
      <c r="BN1049" s="11">
        <v>270180.0</v>
      </c>
      <c r="BO1049" s="11">
        <v>292490.0</v>
      </c>
      <c r="BP1049" s="11">
        <v>279380.0</v>
      </c>
      <c r="BQ1049" s="11">
        <v>233690.0</v>
      </c>
      <c r="BR1049" s="11">
        <v>3450000.0</v>
      </c>
      <c r="BS1049" s="11">
        <v>3190000.0</v>
      </c>
      <c r="BT1049" s="11">
        <v>3010000.0</v>
      </c>
      <c r="BU1049" s="11">
        <v>2780000.0</v>
      </c>
      <c r="BV1049" s="11">
        <v>2630000.0</v>
      </c>
      <c r="BW1049" s="11">
        <v>3830000.0</v>
      </c>
      <c r="BX1049" s="11">
        <v>3540000.0</v>
      </c>
      <c r="BY1049" s="11">
        <v>3400000.0</v>
      </c>
      <c r="BZ1049" s="11">
        <v>3260000.0</v>
      </c>
      <c r="CA1049" s="11">
        <v>3010000.0</v>
      </c>
      <c r="CB1049" s="11">
        <v>5880000.0</v>
      </c>
      <c r="CC1049" s="11">
        <v>3590000.0</v>
      </c>
      <c r="CD1049" s="11">
        <v>3340000.0</v>
      </c>
      <c r="CE1049" s="11">
        <v>3120000.0</v>
      </c>
      <c r="CF1049" s="11">
        <v>2860000.0</v>
      </c>
      <c r="CG1049" s="11">
        <v>936810.0</v>
      </c>
      <c r="CH1049" s="11">
        <v>807260.0</v>
      </c>
      <c r="CI1049" s="11">
        <v>789060.0</v>
      </c>
      <c r="CJ1049" s="11">
        <v>785400.0</v>
      </c>
      <c r="CK1049" s="11">
        <v>757140.0</v>
      </c>
      <c r="CL1049" s="11">
        <v>1.133E7</v>
      </c>
      <c r="CM1049" s="11">
        <v>8110000.0</v>
      </c>
      <c r="CN1049" s="11">
        <v>7690000.0</v>
      </c>
      <c r="CO1049" s="11">
        <v>7390000.0</v>
      </c>
      <c r="CP1049" s="11">
        <v>6860000.0</v>
      </c>
      <c r="CQ1049" s="11">
        <v>3600000.0</v>
      </c>
      <c r="CR1049" s="11">
        <v>3380000.0</v>
      </c>
      <c r="CS1049" s="11">
        <v>3190000.0</v>
      </c>
      <c r="CT1049" s="11">
        <v>2940000.0</v>
      </c>
      <c r="CU1049" s="11">
        <v>2610000.0</v>
      </c>
      <c r="CV1049" s="11">
        <v>4470000.0</v>
      </c>
      <c r="CW1049" s="11">
        <v>316060.0</v>
      </c>
      <c r="CX1049" s="12"/>
      <c r="CY1049" s="13"/>
      <c r="CZ1049" s="13"/>
      <c r="DA1049" s="12"/>
      <c r="DB1049" s="11">
        <v>4470000.0</v>
      </c>
      <c r="DC1049" s="11">
        <v>3890000.0</v>
      </c>
      <c r="DD1049" s="11">
        <v>3650000.0</v>
      </c>
      <c r="DE1049" s="11">
        <v>3400000.0</v>
      </c>
      <c r="DF1049" s="11">
        <v>1.093E7</v>
      </c>
      <c r="DG1049" s="11">
        <v>7760000.0</v>
      </c>
      <c r="DH1049" s="11">
        <v>7040000.0</v>
      </c>
      <c r="DI1049" s="11">
        <v>5760000.0</v>
      </c>
      <c r="DJ1049" s="11">
        <v>4900000.0</v>
      </c>
      <c r="DK1049" s="11">
        <v>32200.0</v>
      </c>
      <c r="DL1049" s="11">
        <v>25490.0</v>
      </c>
      <c r="DM1049" s="11">
        <v>25710.0</v>
      </c>
      <c r="DN1049" s="11">
        <v>20460.0</v>
      </c>
      <c r="DO1049" s="12"/>
      <c r="DP1049" s="11">
        <v>5550000.0</v>
      </c>
      <c r="DQ1049" s="11">
        <v>3420000.0</v>
      </c>
      <c r="DR1049" s="11">
        <v>2980000.0</v>
      </c>
      <c r="DS1049" s="11">
        <v>1890000.0</v>
      </c>
      <c r="DT1049" s="11">
        <v>1390000.0</v>
      </c>
      <c r="DU1049" s="13"/>
      <c r="DV1049" s="12"/>
      <c r="DW1049" s="12"/>
      <c r="DX1049" s="12"/>
      <c r="DY1049" s="12"/>
      <c r="DZ1049" s="11">
        <v>397340.0</v>
      </c>
      <c r="EA1049" s="11">
        <v>353670.0</v>
      </c>
      <c r="EB1049" s="11">
        <v>653050.0</v>
      </c>
      <c r="EC1049" s="11">
        <v>1630000.0</v>
      </c>
      <c r="ED1049" s="11">
        <v>1960000.0</v>
      </c>
      <c r="EE1049" s="14">
        <v>0.087</v>
      </c>
      <c r="EF1049" s="14">
        <v>0.079</v>
      </c>
      <c r="EG1049" s="14">
        <v>0.651</v>
      </c>
      <c r="EH1049" s="14">
        <v>0.178</v>
      </c>
    </row>
    <row r="1050">
      <c r="A1050" s="9">
        <f t="shared" si="2"/>
        <v>1048</v>
      </c>
      <c r="B1050" s="10" t="s">
        <v>1185</v>
      </c>
      <c r="C1050" s="11">
        <v>2890.0</v>
      </c>
      <c r="D1050" s="11">
        <v>3780.0</v>
      </c>
      <c r="E1050" s="11">
        <v>2700.0</v>
      </c>
      <c r="F1050" s="11">
        <v>2450.0</v>
      </c>
      <c r="G1050" s="11">
        <v>2460.0</v>
      </c>
      <c r="H1050" s="11">
        <v>641.0</v>
      </c>
      <c r="I1050" s="12"/>
      <c r="J1050" s="11">
        <v>2610.0</v>
      </c>
      <c r="K1050" s="11">
        <v>2530.0</v>
      </c>
      <c r="L1050" s="11">
        <v>2270.0</v>
      </c>
      <c r="M1050" s="11">
        <v>151.0</v>
      </c>
      <c r="N1050" s="11">
        <v>-4.0</v>
      </c>
      <c r="O1050" s="11">
        <v>17240.0</v>
      </c>
      <c r="P1050" s="11">
        <v>16060.0</v>
      </c>
      <c r="Q1050" s="11">
        <v>13040.0</v>
      </c>
      <c r="R1050" s="11">
        <v>10160.0</v>
      </c>
      <c r="S1050" s="11">
        <v>7430.0</v>
      </c>
      <c r="T1050" s="11">
        <v>13520.0</v>
      </c>
      <c r="U1050" s="11">
        <v>11980.0</v>
      </c>
      <c r="V1050" s="11">
        <v>10280.0</v>
      </c>
      <c r="W1050" s="11">
        <v>7710.0</v>
      </c>
      <c r="X1050" s="11">
        <v>4830.0</v>
      </c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1">
        <v>4660.0</v>
      </c>
      <c r="AW1050" s="12"/>
      <c r="AX1050" s="11">
        <v>-15.0</v>
      </c>
      <c r="AY1050" s="11">
        <v>-5.0</v>
      </c>
      <c r="AZ1050" s="11">
        <v>-7.0</v>
      </c>
      <c r="BA1050" s="11">
        <v>-9.0</v>
      </c>
      <c r="BB1050" s="11">
        <v>-1.0</v>
      </c>
      <c r="BC1050" s="13"/>
      <c r="BD1050" s="13"/>
      <c r="BE1050" s="12"/>
      <c r="BF1050" s="13"/>
      <c r="BG1050" s="13"/>
      <c r="BH1050" s="11">
        <v>32280.0</v>
      </c>
      <c r="BI1050" s="11">
        <v>30460.0</v>
      </c>
      <c r="BJ1050" s="11">
        <v>20100.0</v>
      </c>
      <c r="BK1050" s="11">
        <v>31030.0</v>
      </c>
      <c r="BL1050" s="11">
        <v>17250.0</v>
      </c>
      <c r="BM1050" s="12"/>
      <c r="BN1050" s="12"/>
      <c r="BO1050" s="11">
        <v>41.0</v>
      </c>
      <c r="BP1050" s="12"/>
      <c r="BQ1050" s="12"/>
      <c r="BR1050" s="12"/>
      <c r="BS1050" s="12"/>
      <c r="BT1050" s="12"/>
      <c r="BU1050" s="12"/>
      <c r="BV1050" s="12"/>
      <c r="BW1050" s="11">
        <v>33320.0</v>
      </c>
      <c r="BX1050" s="11">
        <v>31040.0</v>
      </c>
      <c r="BY1050" s="11">
        <v>20300.0</v>
      </c>
      <c r="BZ1050" s="11">
        <v>31230.0</v>
      </c>
      <c r="CA1050" s="11">
        <v>17370.0</v>
      </c>
      <c r="CB1050" s="11">
        <v>24.0</v>
      </c>
      <c r="CC1050" s="11">
        <v>17.0</v>
      </c>
      <c r="CD1050" s="11">
        <v>18.0</v>
      </c>
      <c r="CE1050" s="11">
        <v>16.0</v>
      </c>
      <c r="CF1050" s="11">
        <v>11.0</v>
      </c>
      <c r="CG1050" s="12"/>
      <c r="CH1050" s="12"/>
      <c r="CI1050" s="12"/>
      <c r="CJ1050" s="12"/>
      <c r="CK1050" s="12"/>
      <c r="CL1050" s="11">
        <v>34660.0</v>
      </c>
      <c r="CM1050" s="11">
        <v>47400.0</v>
      </c>
      <c r="CN1050" s="11">
        <v>38710.0</v>
      </c>
      <c r="CO1050" s="11">
        <v>42830.0</v>
      </c>
      <c r="CP1050" s="11">
        <v>26350.0</v>
      </c>
      <c r="CQ1050" s="11">
        <v>1340.0</v>
      </c>
      <c r="CR1050" s="11">
        <v>1140.0</v>
      </c>
      <c r="CS1050" s="11">
        <v>2720.0</v>
      </c>
      <c r="CT1050" s="11">
        <v>1460.0</v>
      </c>
      <c r="CU1050" s="12"/>
      <c r="CV1050" s="11">
        <v>5310.0</v>
      </c>
      <c r="CW1050" s="12"/>
      <c r="CX1050" s="13"/>
      <c r="CY1050" s="12"/>
      <c r="CZ1050" s="13"/>
      <c r="DA1050" s="12"/>
      <c r="DB1050" s="11">
        <v>5310.0</v>
      </c>
      <c r="DC1050" s="11">
        <v>4550.0</v>
      </c>
      <c r="DD1050" s="11">
        <v>5170.0</v>
      </c>
      <c r="DE1050" s="11">
        <v>3620.0</v>
      </c>
      <c r="DF1050" s="11">
        <v>15270.0</v>
      </c>
      <c r="DG1050" s="11">
        <v>16290.0</v>
      </c>
      <c r="DH1050" s="11">
        <v>19470.0</v>
      </c>
      <c r="DI1050" s="11">
        <v>16640.0</v>
      </c>
      <c r="DJ1050" s="11">
        <v>1530.0</v>
      </c>
      <c r="DK1050" s="11">
        <v>1300.0</v>
      </c>
      <c r="DL1050" s="11">
        <v>16330.0</v>
      </c>
      <c r="DM1050" s="11">
        <v>18380.0</v>
      </c>
      <c r="DN1050" s="11">
        <v>11570.0</v>
      </c>
      <c r="DO1050" s="11">
        <v>8960.0</v>
      </c>
      <c r="DP1050" s="12"/>
      <c r="DQ1050" s="12"/>
      <c r="DR1050" s="12"/>
      <c r="DS1050" s="12"/>
      <c r="DT1050" s="12"/>
      <c r="DU1050" s="12"/>
      <c r="DV1050" s="12"/>
      <c r="DW1050" s="12"/>
      <c r="DX1050" s="13"/>
      <c r="DY1050" s="13"/>
      <c r="DZ1050" s="11">
        <v>19390.0</v>
      </c>
      <c r="EA1050" s="11">
        <v>31110.0</v>
      </c>
      <c r="EB1050" s="11">
        <v>19240.0</v>
      </c>
      <c r="EC1050" s="11">
        <v>26190.0</v>
      </c>
      <c r="ED1050" s="11">
        <v>24830.0</v>
      </c>
      <c r="EE1050" s="14">
        <v>1.508</v>
      </c>
      <c r="EF1050" s="23"/>
      <c r="EG1050" s="14">
        <v>0.412</v>
      </c>
      <c r="EH1050" s="14">
        <v>0.253</v>
      </c>
    </row>
    <row r="1051">
      <c r="A1051" s="9">
        <f t="shared" si="2"/>
        <v>1049</v>
      </c>
      <c r="B1051" s="22" t="s">
        <v>1186</v>
      </c>
      <c r="C1051" s="11">
        <v>5860.0</v>
      </c>
      <c r="D1051" s="12"/>
      <c r="E1051" s="11">
        <v>2520.0</v>
      </c>
      <c r="F1051" s="11">
        <v>2070.0</v>
      </c>
      <c r="G1051" s="12"/>
      <c r="H1051" s="12"/>
      <c r="I1051" s="12"/>
      <c r="J1051" s="11">
        <v>33.0</v>
      </c>
      <c r="K1051" s="11">
        <v>454.0</v>
      </c>
      <c r="L1051" s="11">
        <v>-305.0</v>
      </c>
      <c r="M1051" s="11">
        <v>-6.0</v>
      </c>
      <c r="N1051" s="12"/>
      <c r="O1051" s="11">
        <v>191260.0</v>
      </c>
      <c r="P1051" s="11">
        <v>235090.0</v>
      </c>
      <c r="Q1051" s="11">
        <v>38620.0</v>
      </c>
      <c r="R1051" s="11">
        <v>19150.0</v>
      </c>
      <c r="S1051" s="12"/>
      <c r="T1051" s="11">
        <v>135490.0</v>
      </c>
      <c r="U1051" s="11">
        <v>204970.0</v>
      </c>
      <c r="V1051" s="11">
        <v>32880.0</v>
      </c>
      <c r="W1051" s="11">
        <v>16160.0</v>
      </c>
      <c r="X1051" s="12"/>
      <c r="Y1051" s="12"/>
      <c r="Z1051" s="12"/>
      <c r="AA1051" s="12"/>
      <c r="AB1051" s="11">
        <v>-18860.0</v>
      </c>
      <c r="AC1051" s="12"/>
      <c r="AD1051" s="11">
        <v>-183980.0</v>
      </c>
      <c r="AE1051" s="11">
        <v>-229140.0</v>
      </c>
      <c r="AF1051" s="11">
        <v>-40120.0</v>
      </c>
      <c r="AG1051" s="11">
        <v>-19010.0</v>
      </c>
      <c r="AH1051" s="12"/>
      <c r="AI1051" s="11">
        <v>-189540.0</v>
      </c>
      <c r="AJ1051" s="11">
        <v>-233440.0</v>
      </c>
      <c r="AK1051" s="11">
        <v>-38620.0</v>
      </c>
      <c r="AL1051" s="11">
        <v>-19150.0</v>
      </c>
      <c r="AM1051" s="12"/>
      <c r="AN1051" s="11">
        <v>-164100.0</v>
      </c>
      <c r="AO1051" s="11">
        <v>-230110.0</v>
      </c>
      <c r="AP1051" s="11">
        <v>-40170.0</v>
      </c>
      <c r="AQ1051" s="11">
        <v>-19030.0</v>
      </c>
      <c r="AR1051" s="12"/>
      <c r="AS1051" s="11">
        <v>-164420.0</v>
      </c>
      <c r="AT1051" s="11">
        <v>-97370.0</v>
      </c>
      <c r="AU1051" s="11">
        <v>-32840.0</v>
      </c>
      <c r="AV1051" s="11">
        <v>-14530.0</v>
      </c>
      <c r="AW1051" s="12"/>
      <c r="AX1051" s="11">
        <v>-4390.0</v>
      </c>
      <c r="AY1051" s="11">
        <v>-4030.0</v>
      </c>
      <c r="AZ1051" s="11">
        <v>-1580.0</v>
      </c>
      <c r="BA1051" s="11">
        <v>-190.0</v>
      </c>
      <c r="BB1051" s="12"/>
      <c r="BC1051" s="12"/>
      <c r="BD1051" s="12"/>
      <c r="BE1051" s="12"/>
      <c r="BF1051" s="12"/>
      <c r="BG1051" s="12"/>
      <c r="BH1051" s="11">
        <v>324990.0</v>
      </c>
      <c r="BI1051" s="11">
        <v>335840.0</v>
      </c>
      <c r="BJ1051" s="11">
        <v>89860.0</v>
      </c>
      <c r="BK1051" s="11">
        <v>3500.0</v>
      </c>
      <c r="BL1051" s="12"/>
      <c r="BM1051" s="11">
        <v>16380.0</v>
      </c>
      <c r="BN1051" s="11">
        <v>12740.0</v>
      </c>
      <c r="BO1051" s="11">
        <v>1250.0</v>
      </c>
      <c r="BP1051" s="11">
        <v>33.0</v>
      </c>
      <c r="BQ1051" s="12"/>
      <c r="BR1051" s="12"/>
      <c r="BS1051" s="12"/>
      <c r="BT1051" s="12"/>
      <c r="BU1051" s="12"/>
      <c r="BV1051" s="12"/>
      <c r="BW1051" s="11">
        <v>349900.0</v>
      </c>
      <c r="BX1051" s="11">
        <v>355520.0</v>
      </c>
      <c r="BY1051" s="11">
        <v>94220.0</v>
      </c>
      <c r="BZ1051" s="11">
        <v>3980.0</v>
      </c>
      <c r="CA1051" s="12"/>
      <c r="CB1051" s="11">
        <v>27010.0</v>
      </c>
      <c r="CC1051" s="11">
        <v>5480.0</v>
      </c>
      <c r="CD1051" s="11">
        <v>2710.0</v>
      </c>
      <c r="CE1051" s="11">
        <v>184.0</v>
      </c>
      <c r="CF1051" s="12"/>
      <c r="CG1051" s="12"/>
      <c r="CH1051" s="12"/>
      <c r="CI1051" s="12"/>
      <c r="CJ1051" s="12"/>
      <c r="CK1051" s="12"/>
      <c r="CL1051" s="11">
        <v>399280.0</v>
      </c>
      <c r="CM1051" s="11">
        <v>366040.0</v>
      </c>
      <c r="CN1051" s="11">
        <v>97290.0</v>
      </c>
      <c r="CO1051" s="11">
        <v>4280.0</v>
      </c>
      <c r="CP1051" s="12"/>
      <c r="CQ1051" s="11">
        <v>11980.0</v>
      </c>
      <c r="CR1051" s="11">
        <v>18130.0</v>
      </c>
      <c r="CS1051" s="11">
        <v>3890.0</v>
      </c>
      <c r="CT1051" s="11">
        <v>698.0</v>
      </c>
      <c r="CU1051" s="12"/>
      <c r="CV1051" s="11">
        <v>55860.0</v>
      </c>
      <c r="CW1051" s="11">
        <v>5890.0</v>
      </c>
      <c r="CX1051" s="12"/>
      <c r="CY1051" s="12"/>
      <c r="CZ1051" s="11">
        <v>1400.0</v>
      </c>
      <c r="DA1051" s="12"/>
      <c r="DB1051" s="11">
        <v>55860.0</v>
      </c>
      <c r="DC1051" s="11">
        <v>47910.0</v>
      </c>
      <c r="DD1051" s="11">
        <v>10760.0</v>
      </c>
      <c r="DE1051" s="11">
        <v>3820.0</v>
      </c>
      <c r="DF1051" s="11">
        <v>100090.0</v>
      </c>
      <c r="DG1051" s="11">
        <v>54700.0</v>
      </c>
      <c r="DH1051" s="11">
        <v>10890.0</v>
      </c>
      <c r="DI1051" s="11">
        <v>3840.0</v>
      </c>
      <c r="DJ1051" s="12"/>
      <c r="DK1051" s="11">
        <v>4260.0</v>
      </c>
      <c r="DL1051" s="11">
        <v>3840.0</v>
      </c>
      <c r="DM1051" s="12"/>
      <c r="DN1051" s="12"/>
      <c r="DO1051" s="12"/>
      <c r="DP1051" s="11">
        <v>40020.0</v>
      </c>
      <c r="DQ1051" s="12"/>
      <c r="DR1051" s="12"/>
      <c r="DS1051" s="12"/>
      <c r="DT1051" s="12"/>
      <c r="DU1051" s="13"/>
      <c r="DV1051" s="12"/>
      <c r="DW1051" s="11">
        <v>134070.0</v>
      </c>
      <c r="DX1051" s="11">
        <v>16970.0</v>
      </c>
      <c r="DY1051" s="13"/>
      <c r="DZ1051" s="11">
        <v>299190.0</v>
      </c>
      <c r="EA1051" s="11">
        <v>311340.0</v>
      </c>
      <c r="EB1051" s="11">
        <v>86410.0</v>
      </c>
      <c r="EC1051" s="11">
        <v>446.0</v>
      </c>
      <c r="ED1051" s="12"/>
      <c r="EE1051" s="23"/>
      <c r="EF1051" s="23"/>
      <c r="EG1051" s="14">
        <v>-0.143</v>
      </c>
      <c r="EH1051" s="14">
        <v>-0.018</v>
      </c>
    </row>
    <row r="1052">
      <c r="A1052" s="9">
        <f t="shared" si="2"/>
        <v>1050</v>
      </c>
      <c r="B1052" s="10" t="s">
        <v>1187</v>
      </c>
      <c r="C1052" s="11">
        <v>2300000.0</v>
      </c>
      <c r="D1052" s="11">
        <v>2240000.0</v>
      </c>
      <c r="E1052" s="11">
        <v>2300000.0</v>
      </c>
      <c r="F1052" s="11">
        <v>3140000.0</v>
      </c>
      <c r="G1052" s="11">
        <v>2830000.0</v>
      </c>
      <c r="H1052" s="11">
        <v>2340000.0</v>
      </c>
      <c r="I1052" s="11">
        <v>1930000.0</v>
      </c>
      <c r="J1052" s="11">
        <v>17250.0</v>
      </c>
      <c r="K1052" s="11">
        <v>782870.0</v>
      </c>
      <c r="L1052" s="11">
        <v>741160.0</v>
      </c>
      <c r="M1052" s="11">
        <v>388200.0</v>
      </c>
      <c r="N1052" s="11">
        <v>60130.0</v>
      </c>
      <c r="O1052" s="11">
        <v>18580.0</v>
      </c>
      <c r="P1052" s="11">
        <v>16850.0</v>
      </c>
      <c r="Q1052" s="11">
        <v>12980.0</v>
      </c>
      <c r="R1052" s="11">
        <v>18550.0</v>
      </c>
      <c r="S1052" s="11">
        <v>20470.0</v>
      </c>
      <c r="T1052" s="11"/>
      <c r="U1052" s="11"/>
      <c r="V1052" s="11"/>
      <c r="W1052" s="11"/>
      <c r="X1052" s="11"/>
      <c r="Y1052" s="11">
        <v>-30520.0</v>
      </c>
      <c r="Z1052" s="11">
        <v>659740.0</v>
      </c>
      <c r="AA1052" s="12"/>
      <c r="AB1052" s="11">
        <v>370980.0</v>
      </c>
      <c r="AC1052" s="11">
        <v>-0.002</v>
      </c>
      <c r="AD1052" s="11">
        <v>-91560.0</v>
      </c>
      <c r="AE1052" s="11">
        <v>610490.0</v>
      </c>
      <c r="AF1052" s="11">
        <v>671070.0</v>
      </c>
      <c r="AG1052" s="11">
        <v>323280.0</v>
      </c>
      <c r="AH1052" s="11">
        <v>-106190.0</v>
      </c>
      <c r="AI1052" s="11">
        <v>179130.0</v>
      </c>
      <c r="AJ1052" s="11">
        <v>939710.0</v>
      </c>
      <c r="AK1052" s="11">
        <v>867070.0</v>
      </c>
      <c r="AL1052" s="11">
        <v>494200.0</v>
      </c>
      <c r="AM1052" s="11">
        <v>149690.0</v>
      </c>
      <c r="AN1052" s="11">
        <v>-55730.0</v>
      </c>
      <c r="AO1052" s="11">
        <v>480870.0</v>
      </c>
      <c r="AP1052" s="11">
        <v>565930.0</v>
      </c>
      <c r="AQ1052" s="11">
        <v>242460.0</v>
      </c>
      <c r="AR1052" s="11">
        <v>-71650.0</v>
      </c>
      <c r="AS1052" s="11">
        <v>25210.0</v>
      </c>
      <c r="AT1052" s="11">
        <v>788060.0</v>
      </c>
      <c r="AU1052" s="11">
        <v>789190.0</v>
      </c>
      <c r="AV1052" s="11">
        <v>414700.0</v>
      </c>
      <c r="AW1052" s="11">
        <v>30710.0</v>
      </c>
      <c r="AX1052" s="11">
        <v>-199030.0</v>
      </c>
      <c r="AY1052" s="11">
        <v>-273490.0</v>
      </c>
      <c r="AZ1052" s="11">
        <v>-316710.0</v>
      </c>
      <c r="BA1052" s="11">
        <v>-133820.0</v>
      </c>
      <c r="BB1052" s="11">
        <v>-87000.0</v>
      </c>
      <c r="BC1052" s="24">
        <v>-114110.0</v>
      </c>
      <c r="BD1052" s="24">
        <v>-532720.0</v>
      </c>
      <c r="BE1052" s="24">
        <v>-131100.0</v>
      </c>
      <c r="BF1052" s="24">
        <v>-34450.0</v>
      </c>
      <c r="BG1052" s="24">
        <v>-51180.0</v>
      </c>
      <c r="BH1052" s="11">
        <v>25940.0</v>
      </c>
      <c r="BI1052" s="11">
        <v>174820.0</v>
      </c>
      <c r="BJ1052" s="11">
        <v>301960.0</v>
      </c>
      <c r="BK1052" s="11">
        <v>215910.0</v>
      </c>
      <c r="BL1052" s="11">
        <v>12500.0</v>
      </c>
      <c r="BM1052" s="11">
        <v>258050.0</v>
      </c>
      <c r="BN1052" s="11">
        <v>203500.0</v>
      </c>
      <c r="BO1052" s="11">
        <v>219270.0</v>
      </c>
      <c r="BP1052" s="11">
        <v>189090.0</v>
      </c>
      <c r="BQ1052" s="11">
        <v>187530.0</v>
      </c>
      <c r="BR1052" s="11">
        <v>298250.0</v>
      </c>
      <c r="BS1052" s="11">
        <v>300480.0</v>
      </c>
      <c r="BT1052" s="11">
        <v>280660.0</v>
      </c>
      <c r="BU1052" s="11">
        <v>248090.0</v>
      </c>
      <c r="BV1052" s="11">
        <v>251430.0</v>
      </c>
      <c r="BW1052" s="11">
        <v>599100.0</v>
      </c>
      <c r="BX1052" s="11">
        <v>695190.0</v>
      </c>
      <c r="BY1052" s="11">
        <v>815670.0</v>
      </c>
      <c r="BZ1052" s="11">
        <v>666500.0</v>
      </c>
      <c r="CA1052" s="11">
        <v>465350.0</v>
      </c>
      <c r="CB1052" s="11">
        <v>1850000.0</v>
      </c>
      <c r="CC1052" s="11">
        <v>1910000.0</v>
      </c>
      <c r="CD1052" s="11">
        <v>1780000.0</v>
      </c>
      <c r="CE1052" s="11">
        <v>1690000.0</v>
      </c>
      <c r="CF1052" s="11">
        <v>1750000.0</v>
      </c>
      <c r="CG1052" s="11"/>
      <c r="CH1052" s="11"/>
      <c r="CI1052" s="11"/>
      <c r="CJ1052" s="11"/>
      <c r="CK1052" s="11"/>
      <c r="CL1052" s="11">
        <v>2490000.0</v>
      </c>
      <c r="CM1052" s="11">
        <v>2650000.0</v>
      </c>
      <c r="CN1052" s="11">
        <v>2630000.0</v>
      </c>
      <c r="CO1052" s="11">
        <v>2410000.0</v>
      </c>
      <c r="CP1052" s="11">
        <v>2270000.0</v>
      </c>
      <c r="CQ1052" s="11">
        <v>333260.0</v>
      </c>
      <c r="CR1052" s="11">
        <v>397450.0</v>
      </c>
      <c r="CS1052" s="11">
        <v>353330.0</v>
      </c>
      <c r="CT1052" s="11">
        <v>291010.0</v>
      </c>
      <c r="CU1052" s="11">
        <v>279210.0</v>
      </c>
      <c r="CV1052" s="11">
        <v>337160.0</v>
      </c>
      <c r="CW1052" s="11"/>
      <c r="CX1052" s="13"/>
      <c r="CY1052" s="13"/>
      <c r="CZ1052" s="13"/>
      <c r="DA1052" s="12"/>
      <c r="DB1052" s="11">
        <v>337160.0</v>
      </c>
      <c r="DC1052" s="11">
        <v>495790.0</v>
      </c>
      <c r="DD1052" s="11">
        <v>446050.0</v>
      </c>
      <c r="DE1052" s="11">
        <v>561900.0</v>
      </c>
      <c r="DF1052" s="11">
        <v>1580000.0</v>
      </c>
      <c r="DG1052" s="11">
        <v>1530000.0</v>
      </c>
      <c r="DH1052" s="11">
        <v>1360000.0</v>
      </c>
      <c r="DI1052" s="11">
        <v>1540000.0</v>
      </c>
      <c r="DJ1052" s="11">
        <v>1550000.0</v>
      </c>
      <c r="DK1052" s="12"/>
      <c r="DL1052" s="12"/>
      <c r="DM1052" s="11">
        <v>1250.0</v>
      </c>
      <c r="DN1052" s="12"/>
      <c r="DO1052" s="12"/>
      <c r="DP1052" s="11">
        <v>955700.0</v>
      </c>
      <c r="DQ1052" s="11">
        <v>751190.0</v>
      </c>
      <c r="DR1052" s="11">
        <v>686620.0</v>
      </c>
      <c r="DS1052" s="11">
        <v>732210.0</v>
      </c>
      <c r="DT1052" s="11">
        <v>1080000.0</v>
      </c>
      <c r="DU1052" s="13"/>
      <c r="DV1052" s="12"/>
      <c r="DW1052" s="12"/>
      <c r="DX1052" s="13"/>
      <c r="DY1052" s="13"/>
      <c r="DZ1052" s="11">
        <v>912910.0</v>
      </c>
      <c r="EA1052" s="11">
        <v>1120000.0</v>
      </c>
      <c r="EB1052" s="11">
        <v>1280000.0</v>
      </c>
      <c r="EC1052" s="11">
        <v>871680.0</v>
      </c>
      <c r="ED1052" s="11">
        <v>720940.0</v>
      </c>
      <c r="EE1052" s="23">
        <v>0.147321429</v>
      </c>
      <c r="EF1052" s="23">
        <v>0.195652174</v>
      </c>
      <c r="EG1052" s="14">
        <v>0.076</v>
      </c>
      <c r="EH1052" s="23">
        <v>0.04025</v>
      </c>
    </row>
    <row r="1053">
      <c r="A1053" s="9">
        <f t="shared" si="2"/>
        <v>1051</v>
      </c>
      <c r="B1053" s="10" t="s">
        <v>1188</v>
      </c>
      <c r="C1053" s="12"/>
      <c r="D1053" s="12"/>
      <c r="E1053" s="11">
        <v>355550.0</v>
      </c>
      <c r="F1053" s="11">
        <v>366160.0</v>
      </c>
      <c r="G1053" s="11">
        <v>390430.0</v>
      </c>
      <c r="H1053" s="11">
        <v>462420.0</v>
      </c>
      <c r="I1053" s="11">
        <v>466870.0</v>
      </c>
      <c r="J1053" s="11">
        <v>57660.0</v>
      </c>
      <c r="K1053" s="11">
        <v>49890.0</v>
      </c>
      <c r="L1053" s="11">
        <v>74630.0</v>
      </c>
      <c r="M1053" s="11">
        <v>123950.0</v>
      </c>
      <c r="N1053" s="11">
        <v>142150.0</v>
      </c>
      <c r="O1053" s="11">
        <v>27700.0</v>
      </c>
      <c r="P1053" s="11">
        <v>26880.0</v>
      </c>
      <c r="Q1053" s="11">
        <v>27460.0</v>
      </c>
      <c r="R1053" s="11">
        <v>41610.0</v>
      </c>
      <c r="S1053" s="11">
        <v>61540.0</v>
      </c>
      <c r="T1053" s="12"/>
      <c r="U1053" s="12"/>
      <c r="V1053" s="12"/>
      <c r="W1053" s="12"/>
      <c r="X1053" s="12"/>
      <c r="Y1053" s="11">
        <v>29890.0</v>
      </c>
      <c r="Z1053" s="11">
        <v>19610.0</v>
      </c>
      <c r="AA1053" s="11">
        <v>-3440.0</v>
      </c>
      <c r="AB1053" s="11">
        <v>77290.0</v>
      </c>
      <c r="AC1053" s="11">
        <v>-34570.0</v>
      </c>
      <c r="AD1053" s="11">
        <v>9210.0</v>
      </c>
      <c r="AE1053" s="11">
        <v>-4230.0</v>
      </c>
      <c r="AF1053" s="11">
        <v>-1650.0</v>
      </c>
      <c r="AG1053" s="11">
        <v>-66160.0</v>
      </c>
      <c r="AH1053" s="11">
        <v>-20470.0</v>
      </c>
      <c r="AI1053" s="11">
        <v>173380.0</v>
      </c>
      <c r="AJ1053" s="11">
        <v>73520.0</v>
      </c>
      <c r="AK1053" s="11">
        <v>105840.0</v>
      </c>
      <c r="AL1053" s="11">
        <v>171910.0</v>
      </c>
      <c r="AM1053" s="11">
        <v>157460.0</v>
      </c>
      <c r="AN1053" s="11">
        <v>8680.0</v>
      </c>
      <c r="AO1053" s="11">
        <v>13490.0</v>
      </c>
      <c r="AP1053" s="11">
        <v>55980.0</v>
      </c>
      <c r="AQ1053" s="11">
        <v>-1060.0</v>
      </c>
      <c r="AR1053" s="11">
        <v>80570.0</v>
      </c>
      <c r="AS1053" s="11">
        <v>157060.0</v>
      </c>
      <c r="AT1053" s="11">
        <v>45260.0</v>
      </c>
      <c r="AU1053" s="11">
        <v>43620.0</v>
      </c>
      <c r="AV1053" s="11">
        <v>328860.0</v>
      </c>
      <c r="AW1053" s="11">
        <v>276330.0</v>
      </c>
      <c r="AX1053" s="11">
        <v>-122510.0</v>
      </c>
      <c r="AY1053" s="11">
        <v>-22190.0</v>
      </c>
      <c r="AZ1053" s="12">
        <v>-11.0</v>
      </c>
      <c r="BA1053" s="12">
        <v>-666.0</v>
      </c>
      <c r="BB1053" s="12">
        <v>-128.0</v>
      </c>
      <c r="BC1053" s="12"/>
      <c r="BD1053" s="12"/>
      <c r="BE1053" s="12"/>
      <c r="BF1053" s="11">
        <v>-31910.0</v>
      </c>
      <c r="BG1053" s="12"/>
      <c r="BH1053" s="11">
        <v>41560.0</v>
      </c>
      <c r="BI1053" s="11">
        <v>80480.0</v>
      </c>
      <c r="BJ1053" s="11">
        <v>166050.0</v>
      </c>
      <c r="BK1053" s="11">
        <v>198360.0</v>
      </c>
      <c r="BL1053" s="11">
        <v>204560.0</v>
      </c>
      <c r="BM1053" s="11">
        <v>13480.0</v>
      </c>
      <c r="BN1053" s="11">
        <v>19560.0</v>
      </c>
      <c r="BO1053" s="11">
        <v>27890.0</v>
      </c>
      <c r="BP1053" s="11">
        <v>27710.0</v>
      </c>
      <c r="BQ1053" s="11">
        <v>11060.0</v>
      </c>
      <c r="BR1053" s="11">
        <v>1180.0</v>
      </c>
      <c r="BS1053" s="12"/>
      <c r="BT1053" s="12"/>
      <c r="BU1053" s="12"/>
      <c r="BV1053" s="12"/>
      <c r="BW1053" s="11">
        <v>57510.0</v>
      </c>
      <c r="BX1053" s="11">
        <v>112380.0</v>
      </c>
      <c r="BY1053" s="11">
        <v>207300.0</v>
      </c>
      <c r="BZ1053" s="11">
        <v>238320.0</v>
      </c>
      <c r="CA1053" s="11">
        <v>623930.0</v>
      </c>
      <c r="CB1053" s="11">
        <v>1020000.0</v>
      </c>
      <c r="CC1053" s="11">
        <v>597660.0</v>
      </c>
      <c r="CD1053" s="11">
        <v>632510.0</v>
      </c>
      <c r="CE1053" s="11">
        <v>684470.0</v>
      </c>
      <c r="CF1053" s="11">
        <v>844450.0</v>
      </c>
      <c r="CG1053" s="11"/>
      <c r="CH1053" s="11"/>
      <c r="CI1053" s="11"/>
      <c r="CJ1053" s="11"/>
      <c r="CK1053" s="11"/>
      <c r="CL1053" s="11">
        <v>1310000.0</v>
      </c>
      <c r="CM1053" s="11">
        <v>889700.0</v>
      </c>
      <c r="CN1053" s="11">
        <v>988810.0</v>
      </c>
      <c r="CO1053" s="11">
        <v>1130000.0</v>
      </c>
      <c r="CP1053" s="11">
        <v>3230000.0</v>
      </c>
      <c r="CQ1053" s="11">
        <v>5940.0</v>
      </c>
      <c r="CR1053" s="11">
        <v>3360.0</v>
      </c>
      <c r="CS1053" s="11">
        <v>3830.0</v>
      </c>
      <c r="CT1053" s="11">
        <v>2540.0</v>
      </c>
      <c r="CU1053" s="11">
        <v>2590.0</v>
      </c>
      <c r="CV1053" s="11">
        <v>161540.0</v>
      </c>
      <c r="CW1053" s="11">
        <v>90150.0</v>
      </c>
      <c r="CX1053" s="12"/>
      <c r="CY1053" s="12"/>
      <c r="CZ1053" s="12"/>
      <c r="DA1053" s="12"/>
      <c r="DB1053" s="11">
        <v>161540.0</v>
      </c>
      <c r="DC1053" s="11">
        <v>57920.0</v>
      </c>
      <c r="DD1053" s="11">
        <v>62530.0</v>
      </c>
      <c r="DE1053" s="11">
        <v>57530.0</v>
      </c>
      <c r="DF1053" s="11">
        <v>967040.0</v>
      </c>
      <c r="DG1053" s="11">
        <v>560240.0</v>
      </c>
      <c r="DH1053" s="11">
        <v>675570.0</v>
      </c>
      <c r="DI1053" s="11">
        <v>876990.0</v>
      </c>
      <c r="DJ1053" s="11">
        <v>1650000.0</v>
      </c>
      <c r="DK1053" s="11">
        <v>3710.0</v>
      </c>
      <c r="DL1053" s="11">
        <v>3750.0</v>
      </c>
      <c r="DM1053" s="11">
        <v>4000.0</v>
      </c>
      <c r="DN1053" s="11">
        <v>12270.0</v>
      </c>
      <c r="DO1053" s="11">
        <v>3830.0</v>
      </c>
      <c r="DP1053" s="11">
        <v>579580.0</v>
      </c>
      <c r="DQ1053" s="11">
        <v>322300.0</v>
      </c>
      <c r="DR1053" s="11">
        <v>420780.0</v>
      </c>
      <c r="DS1053" s="11">
        <v>525080.0</v>
      </c>
      <c r="DT1053" s="11">
        <v>634290.0</v>
      </c>
      <c r="DU1053" s="13"/>
      <c r="DV1053" s="12"/>
      <c r="DW1053" s="12"/>
      <c r="DX1053" s="12"/>
      <c r="DY1053" s="12"/>
      <c r="DZ1053" s="11">
        <v>341550.0</v>
      </c>
      <c r="EA1053" s="11">
        <v>329470.0</v>
      </c>
      <c r="EB1053" s="11">
        <v>313240.0</v>
      </c>
      <c r="EC1053" s="11">
        <v>254330.0</v>
      </c>
      <c r="ED1053" s="11">
        <v>1580000.0</v>
      </c>
      <c r="EE1053" s="23"/>
      <c r="EF1053" s="23"/>
      <c r="EG1053" s="29" t="s">
        <v>155</v>
      </c>
      <c r="EH1053" s="23"/>
    </row>
    <row r="1054">
      <c r="A1054" s="9">
        <f t="shared" si="2"/>
        <v>1052</v>
      </c>
      <c r="B1054" s="22" t="s">
        <v>1189</v>
      </c>
      <c r="C1054" s="11">
        <v>191660.0</v>
      </c>
      <c r="D1054" s="11">
        <v>165670.0</v>
      </c>
      <c r="E1054" s="11">
        <v>240030.0</v>
      </c>
      <c r="F1054" s="11">
        <v>263700.0</v>
      </c>
      <c r="G1054" s="11">
        <v>245750.0</v>
      </c>
      <c r="H1054" s="11">
        <v>218460.0</v>
      </c>
      <c r="I1054" s="12"/>
      <c r="J1054" s="11">
        <v>126340.0</v>
      </c>
      <c r="K1054" s="11">
        <v>121750.0</v>
      </c>
      <c r="L1054" s="11">
        <v>119470.0</v>
      </c>
      <c r="M1054" s="11">
        <v>91610.0</v>
      </c>
      <c r="N1054" s="12"/>
      <c r="O1054" s="11">
        <v>123290.0</v>
      </c>
      <c r="P1054" s="11">
        <v>116060.0</v>
      </c>
      <c r="Q1054" s="11">
        <v>98550.0</v>
      </c>
      <c r="R1054" s="11">
        <v>90590.0</v>
      </c>
      <c r="S1054" s="12"/>
      <c r="T1054" s="11">
        <v>32320.0</v>
      </c>
      <c r="U1054" s="11">
        <v>43690.0</v>
      </c>
      <c r="V1054" s="11">
        <v>42690.0</v>
      </c>
      <c r="W1054" s="11">
        <v>29060.0</v>
      </c>
      <c r="X1054" s="12"/>
      <c r="Y1054" s="11">
        <v>-280700.0</v>
      </c>
      <c r="Z1054" s="11">
        <v>-104220.0</v>
      </c>
      <c r="AA1054" s="11">
        <v>-72990.0</v>
      </c>
      <c r="AB1054" s="11">
        <v>-32050.0</v>
      </c>
      <c r="AC1054" s="12"/>
      <c r="AD1054" s="11">
        <v>-298020.0</v>
      </c>
      <c r="AE1054" s="11">
        <v>-118660.0</v>
      </c>
      <c r="AF1054" s="11">
        <v>-85640.0</v>
      </c>
      <c r="AG1054" s="11">
        <v>-52070.0</v>
      </c>
      <c r="AH1054" s="12"/>
      <c r="AI1054" s="11">
        <v>60110.0</v>
      </c>
      <c r="AJ1054" s="11">
        <v>87280.0</v>
      </c>
      <c r="AK1054" s="11">
        <v>67370.0</v>
      </c>
      <c r="AL1054" s="11">
        <v>24610.0</v>
      </c>
      <c r="AM1054" s="12"/>
      <c r="AN1054" s="11">
        <v>-270900.0</v>
      </c>
      <c r="AO1054" s="11">
        <v>-109680.0</v>
      </c>
      <c r="AP1054" s="11">
        <v>-41140.0</v>
      </c>
      <c r="AQ1054" s="11">
        <v>-41820.0</v>
      </c>
      <c r="AR1054" s="12"/>
      <c r="AS1054" s="11">
        <v>33570.0</v>
      </c>
      <c r="AT1054" s="11">
        <v>37560.0</v>
      </c>
      <c r="AU1054" s="11">
        <v>57840.0</v>
      </c>
      <c r="AV1054" s="11">
        <v>-44790.0</v>
      </c>
      <c r="AW1054" s="12"/>
      <c r="AX1054" s="11">
        <v>-4040.0</v>
      </c>
      <c r="AY1054" s="11">
        <v>-4140.0</v>
      </c>
      <c r="AZ1054" s="11">
        <v>-6900.0</v>
      </c>
      <c r="BA1054" s="11">
        <v>-15930.0</v>
      </c>
      <c r="BB1054" s="12"/>
      <c r="BC1054" s="12"/>
      <c r="BD1054" s="24">
        <v>-2.0</v>
      </c>
      <c r="BE1054" s="12"/>
      <c r="BF1054" s="11">
        <v>-23310.0</v>
      </c>
      <c r="BG1054" s="12"/>
      <c r="BH1054" s="11">
        <v>95870.0</v>
      </c>
      <c r="BI1054" s="11">
        <v>70830.0</v>
      </c>
      <c r="BJ1054" s="11">
        <v>34740.0</v>
      </c>
      <c r="BK1054" s="11">
        <v>19560.0</v>
      </c>
      <c r="BL1054" s="12"/>
      <c r="BM1054" s="11">
        <v>43910.0</v>
      </c>
      <c r="BN1054" s="11">
        <v>56420.0</v>
      </c>
      <c r="BO1054" s="11">
        <v>37640.0</v>
      </c>
      <c r="BP1054" s="11">
        <v>45320.0</v>
      </c>
      <c r="BQ1054" s="12"/>
      <c r="BR1054" s="11">
        <v>21310.0</v>
      </c>
      <c r="BS1054" s="11">
        <v>24380.0</v>
      </c>
      <c r="BT1054" s="11">
        <v>16950.0</v>
      </c>
      <c r="BU1054" s="11">
        <v>19840.0</v>
      </c>
      <c r="BV1054" s="12"/>
      <c r="BW1054" s="11">
        <v>172630.0</v>
      </c>
      <c r="BX1054" s="11">
        <v>172360.0</v>
      </c>
      <c r="BY1054" s="11">
        <v>114830.0</v>
      </c>
      <c r="BZ1054" s="11">
        <v>94210.0</v>
      </c>
      <c r="CA1054" s="12"/>
      <c r="CB1054" s="11">
        <v>35220.0</v>
      </c>
      <c r="CC1054" s="11">
        <v>31260.0</v>
      </c>
      <c r="CD1054" s="11">
        <v>31410.0</v>
      </c>
      <c r="CE1054" s="11">
        <v>27730.0</v>
      </c>
      <c r="CF1054" s="12"/>
      <c r="CG1054" s="11">
        <v>100860.0</v>
      </c>
      <c r="CH1054" s="11">
        <v>100860.0</v>
      </c>
      <c r="CI1054" s="11">
        <v>187170.0</v>
      </c>
      <c r="CJ1054" s="11">
        <v>152820.0</v>
      </c>
      <c r="CK1054" s="12"/>
      <c r="CL1054" s="11">
        <v>470630.0</v>
      </c>
      <c r="CM1054" s="11">
        <v>827140.0</v>
      </c>
      <c r="CN1054" s="11">
        <v>919740.0</v>
      </c>
      <c r="CO1054" s="11">
        <v>978500.0</v>
      </c>
      <c r="CP1054" s="12"/>
      <c r="CQ1054" s="11">
        <v>8500.0</v>
      </c>
      <c r="CR1054" s="11">
        <v>24870.0</v>
      </c>
      <c r="CS1054" s="11">
        <v>36070.0</v>
      </c>
      <c r="CT1054" s="11">
        <v>34980.0</v>
      </c>
      <c r="CU1054" s="12"/>
      <c r="CV1054" s="11">
        <v>75940.0</v>
      </c>
      <c r="CW1054" s="11">
        <v>2060.0</v>
      </c>
      <c r="CX1054" s="12"/>
      <c r="CY1054" s="12"/>
      <c r="CZ1054" s="12"/>
      <c r="DA1054" s="12"/>
      <c r="DB1054" s="11">
        <v>75940.0</v>
      </c>
      <c r="DC1054" s="11">
        <v>114000.0</v>
      </c>
      <c r="DD1054" s="11">
        <v>124680.0</v>
      </c>
      <c r="DE1054" s="11">
        <v>117830.0</v>
      </c>
      <c r="DF1054" s="11">
        <v>355920.0</v>
      </c>
      <c r="DG1054" s="11">
        <v>443300.0</v>
      </c>
      <c r="DH1054" s="11">
        <v>483960.0</v>
      </c>
      <c r="DI1054" s="11">
        <v>513300.0</v>
      </c>
      <c r="DJ1054" s="12"/>
      <c r="DK1054" s="12"/>
      <c r="DL1054" s="12"/>
      <c r="DM1054" s="12"/>
      <c r="DN1054" s="12"/>
      <c r="DO1054" s="12"/>
      <c r="DP1054" s="11">
        <v>271110.0</v>
      </c>
      <c r="DQ1054" s="11">
        <v>266940.0</v>
      </c>
      <c r="DR1054" s="11">
        <v>314010.0</v>
      </c>
      <c r="DS1054" s="11">
        <v>323740.0</v>
      </c>
      <c r="DT1054" s="12"/>
      <c r="DU1054" s="13"/>
      <c r="DV1054" s="12"/>
      <c r="DW1054" s="12"/>
      <c r="DX1054" s="13"/>
      <c r="DY1054" s="13"/>
      <c r="DZ1054" s="11">
        <v>114710.0</v>
      </c>
      <c r="EA1054" s="11">
        <v>383850.0</v>
      </c>
      <c r="EB1054" s="11">
        <v>435780.0</v>
      </c>
      <c r="EC1054" s="11">
        <v>465210.0</v>
      </c>
      <c r="ED1054" s="12"/>
      <c r="EE1054" s="14">
        <v>0.13</v>
      </c>
      <c r="EF1054" s="14">
        <v>0.343</v>
      </c>
      <c r="EG1054" s="14">
        <v>-0.833</v>
      </c>
      <c r="EH1054" s="14">
        <v>-4.36</v>
      </c>
    </row>
    <row r="1055">
      <c r="A1055" s="9">
        <f t="shared" si="2"/>
        <v>1053</v>
      </c>
      <c r="B1055" s="10" t="s">
        <v>1190</v>
      </c>
      <c r="C1055" s="12"/>
      <c r="D1055" s="12"/>
      <c r="E1055" s="12">
        <v>139140.0</v>
      </c>
      <c r="F1055" s="12">
        <v>135980.0</v>
      </c>
      <c r="G1055" s="12">
        <v>132830.0</v>
      </c>
      <c r="H1055" s="12">
        <v>116790.0</v>
      </c>
      <c r="I1055" s="12">
        <v>117850.0</v>
      </c>
      <c r="J1055" s="12">
        <v>22400.0</v>
      </c>
      <c r="K1055" s="12">
        <v>20500.0</v>
      </c>
      <c r="L1055" s="12">
        <v>14700.0</v>
      </c>
      <c r="M1055" s="12">
        <v>16060.0</v>
      </c>
      <c r="N1055" s="12">
        <v>15700.0</v>
      </c>
      <c r="O1055" s="12">
        <v>6520.0</v>
      </c>
      <c r="P1055" s="12">
        <v>5590.0</v>
      </c>
      <c r="Q1055" s="12">
        <v>6620.0</v>
      </c>
      <c r="R1055" s="12">
        <v>7100.0</v>
      </c>
      <c r="S1055" s="12">
        <v>5460.0</v>
      </c>
      <c r="T1055" s="12">
        <v>4420.0</v>
      </c>
      <c r="U1055" s="12">
        <v>3340.0</v>
      </c>
      <c r="V1055" s="12">
        <v>4280.0</v>
      </c>
      <c r="W1055" s="12">
        <v>3860.0</v>
      </c>
      <c r="X1055" s="12">
        <v>3400.0</v>
      </c>
      <c r="Y1055" s="15">
        <v>0.0</v>
      </c>
      <c r="Z1055" s="15">
        <v>0.0</v>
      </c>
      <c r="AA1055" s="15">
        <v>0.0</v>
      </c>
      <c r="AB1055" s="12">
        <v>0.0</v>
      </c>
      <c r="AC1055" s="12">
        <v>0.0</v>
      </c>
      <c r="AD1055" s="15">
        <v>13780.0</v>
      </c>
      <c r="AE1055" s="15">
        <v>13500.0</v>
      </c>
      <c r="AF1055" s="15">
        <v>6610.0</v>
      </c>
      <c r="AG1055" s="12">
        <v>6240.0</v>
      </c>
      <c r="AH1055" s="12">
        <v>7790.0</v>
      </c>
      <c r="AI1055" s="15">
        <v>16390.0</v>
      </c>
      <c r="AJ1055" s="15">
        <v>15460.0</v>
      </c>
      <c r="AK1055" s="15">
        <v>8790.0</v>
      </c>
      <c r="AL1055" s="12">
        <v>9760.0</v>
      </c>
      <c r="AM1055" s="12">
        <v>11660.0</v>
      </c>
      <c r="AN1055" s="15">
        <v>11110.0</v>
      </c>
      <c r="AO1055" s="15">
        <v>10370.0</v>
      </c>
      <c r="AP1055" s="15">
        <v>5360.0</v>
      </c>
      <c r="AQ1055" s="12">
        <v>4810.0</v>
      </c>
      <c r="AR1055" s="12">
        <v>5890.0</v>
      </c>
      <c r="AS1055" s="15">
        <v>0.0</v>
      </c>
      <c r="AT1055" s="15">
        <v>7610.0</v>
      </c>
      <c r="AU1055" s="15">
        <v>-3030.0</v>
      </c>
      <c r="AV1055" s="12">
        <v>15500.0</v>
      </c>
      <c r="AW1055" s="12">
        <v>12440.0</v>
      </c>
      <c r="AX1055" s="15">
        <v>0.0</v>
      </c>
      <c r="AY1055" s="15">
        <v>0.0</v>
      </c>
      <c r="AZ1055" s="15">
        <v>0.0</v>
      </c>
      <c r="BA1055" s="12">
        <v>0.0</v>
      </c>
      <c r="BB1055" s="12">
        <v>0.0</v>
      </c>
      <c r="BC1055" s="12">
        <v>0.0</v>
      </c>
      <c r="BD1055" s="12">
        <v>0.0</v>
      </c>
      <c r="BE1055" s="12">
        <v>0.0</v>
      </c>
      <c r="BF1055" s="12">
        <v>0.0</v>
      </c>
      <c r="BG1055" s="12">
        <v>0.0</v>
      </c>
      <c r="BH1055" s="12">
        <v>8600.0</v>
      </c>
      <c r="BI1055" s="12">
        <v>7510.0</v>
      </c>
      <c r="BJ1055" s="12">
        <v>8140.0</v>
      </c>
      <c r="BK1055" s="12">
        <v>6920.0</v>
      </c>
      <c r="BL1055" s="12">
        <v>9750.0</v>
      </c>
      <c r="BM1055" s="12">
        <v>73100.0</v>
      </c>
      <c r="BN1055" s="12">
        <v>60610.0</v>
      </c>
      <c r="BO1055" s="12">
        <v>51740.0</v>
      </c>
      <c r="BP1055" s="12">
        <v>52780.0</v>
      </c>
      <c r="BQ1055" s="12">
        <v>52020.0</v>
      </c>
      <c r="BR1055" s="12">
        <v>89490.0</v>
      </c>
      <c r="BS1055" s="12">
        <v>87160.0</v>
      </c>
      <c r="BT1055" s="12">
        <v>84760.0</v>
      </c>
      <c r="BU1055" s="12">
        <v>72730.0</v>
      </c>
      <c r="BV1055" s="12">
        <v>83010.0</v>
      </c>
      <c r="BW1055" s="12">
        <v>171200.0</v>
      </c>
      <c r="BX1055" s="12">
        <v>155290.0</v>
      </c>
      <c r="BY1055" s="12">
        <v>144640.0</v>
      </c>
      <c r="BZ1055" s="12">
        <v>132430.0</v>
      </c>
      <c r="CA1055" s="12">
        <v>144770.0</v>
      </c>
      <c r="CB1055" s="12">
        <v>2950.0</v>
      </c>
      <c r="CC1055" s="12">
        <v>3370.0</v>
      </c>
      <c r="CD1055" s="12">
        <v>4030.0</v>
      </c>
      <c r="CE1055" s="12">
        <v>4450.0</v>
      </c>
      <c r="CF1055" s="12">
        <v>5560.0</v>
      </c>
      <c r="CG1055" s="12">
        <v>0.0</v>
      </c>
      <c r="CH1055" s="12">
        <v>0.0</v>
      </c>
      <c r="CI1055" s="12">
        <v>0.0</v>
      </c>
      <c r="CJ1055" s="12">
        <v>0.0</v>
      </c>
      <c r="CK1055" s="12">
        <v>0.0</v>
      </c>
      <c r="CL1055" s="12">
        <v>177640.0</v>
      </c>
      <c r="CM1055" s="12">
        <v>162240.0</v>
      </c>
      <c r="CN1055" s="12">
        <v>152520.0</v>
      </c>
      <c r="CO1055" s="12">
        <v>140450.0</v>
      </c>
      <c r="CP1055" s="12">
        <v>154240.0</v>
      </c>
      <c r="CQ1055" s="12">
        <v>0.0</v>
      </c>
      <c r="CR1055" s="12">
        <v>0.0</v>
      </c>
      <c r="CS1055" s="12">
        <v>0.0</v>
      </c>
      <c r="CT1055" s="12">
        <v>1500.0</v>
      </c>
      <c r="CU1055" s="12">
        <v>1900.0</v>
      </c>
      <c r="CV1055" s="12">
        <v>41000.0</v>
      </c>
      <c r="CW1055" s="12">
        <v>25970.0</v>
      </c>
      <c r="CX1055" s="12">
        <v>22320.0</v>
      </c>
      <c r="CY1055" s="12">
        <v>24200.0</v>
      </c>
      <c r="CZ1055" s="12">
        <v>26500.0</v>
      </c>
      <c r="DA1055" s="12">
        <v>30190.0</v>
      </c>
      <c r="DB1055" s="12">
        <v>41000.0</v>
      </c>
      <c r="DC1055" s="12">
        <v>42180.0</v>
      </c>
      <c r="DD1055" s="12">
        <v>29920.0</v>
      </c>
      <c r="DE1055" s="12">
        <v>30790.0</v>
      </c>
      <c r="DF1055" s="12">
        <v>47100.0</v>
      </c>
      <c r="DG1055" s="12">
        <v>42180.0</v>
      </c>
      <c r="DH1055" s="12">
        <v>37570.0</v>
      </c>
      <c r="DI1055" s="12">
        <v>38000.0</v>
      </c>
      <c r="DJ1055" s="12">
        <v>50110.0</v>
      </c>
      <c r="DK1055" s="12">
        <v>0.0</v>
      </c>
      <c r="DL1055" s="12">
        <v>0.0</v>
      </c>
      <c r="DM1055" s="12">
        <v>0.0</v>
      </c>
      <c r="DN1055" s="12">
        <v>0.0</v>
      </c>
      <c r="DO1055" s="12">
        <v>0.0</v>
      </c>
      <c r="DP1055" s="12">
        <v>6100.0</v>
      </c>
      <c r="DQ1055" s="12">
        <v>0.0</v>
      </c>
      <c r="DR1055" s="12">
        <v>7650.0</v>
      </c>
      <c r="DS1055" s="12">
        <v>7210.0</v>
      </c>
      <c r="DT1055" s="12">
        <v>0.0</v>
      </c>
      <c r="DU1055" s="12">
        <v>0.0</v>
      </c>
      <c r="DV1055" s="12">
        <v>0.0</v>
      </c>
      <c r="DW1055" s="12">
        <v>0.0</v>
      </c>
      <c r="DX1055" s="12">
        <v>0.0</v>
      </c>
      <c r="DY1055" s="12">
        <v>0.0</v>
      </c>
      <c r="DZ1055" s="15">
        <v>115720.0</v>
      </c>
      <c r="EA1055" s="12">
        <v>106370.0</v>
      </c>
      <c r="EB1055" s="12">
        <v>102260.0</v>
      </c>
      <c r="EC1055" s="12">
        <v>90320.0</v>
      </c>
      <c r="ED1055" s="12">
        <v>92500.0</v>
      </c>
      <c r="EE1055" s="31"/>
      <c r="EF1055" s="31"/>
      <c r="EG1055" s="31"/>
      <c r="EH1055" s="31"/>
    </row>
    <row r="1056">
      <c r="A1056" s="9">
        <f t="shared" si="2"/>
        <v>1054</v>
      </c>
      <c r="B1056" s="10" t="s">
        <v>1191</v>
      </c>
      <c r="C1056" s="11">
        <v>169660.0</v>
      </c>
      <c r="D1056" s="11">
        <v>149390.0</v>
      </c>
      <c r="E1056" s="11">
        <v>154610.0</v>
      </c>
      <c r="F1056" s="11">
        <v>181740.0</v>
      </c>
      <c r="G1056" s="11">
        <v>167060.0</v>
      </c>
      <c r="H1056" s="11">
        <v>122800.0</v>
      </c>
      <c r="I1056" s="11">
        <v>119720.0</v>
      </c>
      <c r="J1056" s="11">
        <v>94580.0</v>
      </c>
      <c r="K1056" s="11">
        <v>113610.0</v>
      </c>
      <c r="L1056" s="11">
        <v>98960.0</v>
      </c>
      <c r="M1056" s="11">
        <v>82630.0</v>
      </c>
      <c r="N1056" s="11">
        <v>80290.0</v>
      </c>
      <c r="O1056" s="11">
        <v>85590.0</v>
      </c>
      <c r="P1056" s="11">
        <v>74350.0</v>
      </c>
      <c r="Q1056" s="11">
        <v>71220.0</v>
      </c>
      <c r="R1056" s="11">
        <v>67760.0</v>
      </c>
      <c r="S1056" s="11">
        <v>72240.0</v>
      </c>
      <c r="T1056" s="11">
        <v>19630.0</v>
      </c>
      <c r="U1056" s="11">
        <v>16250.0</v>
      </c>
      <c r="V1056" s="11">
        <v>13370.0</v>
      </c>
      <c r="W1056" s="11">
        <v>9750.0</v>
      </c>
      <c r="X1056" s="11">
        <v>11650.0</v>
      </c>
      <c r="Y1056" s="11">
        <v>8460.0</v>
      </c>
      <c r="Z1056" s="11">
        <v>28430.0</v>
      </c>
      <c r="AA1056" s="11">
        <v>40240.0</v>
      </c>
      <c r="AB1056" s="11">
        <v>20270.0</v>
      </c>
      <c r="AC1056" s="12"/>
      <c r="AD1056" s="11">
        <v>21330.0</v>
      </c>
      <c r="AE1056" s="11">
        <v>31720.0</v>
      </c>
      <c r="AF1056" s="11">
        <v>41030.0</v>
      </c>
      <c r="AG1056" s="11">
        <v>20320.0</v>
      </c>
      <c r="AH1056" s="11">
        <v>8830.0</v>
      </c>
      <c r="AI1056" s="11">
        <v>16340.0</v>
      </c>
      <c r="AJ1056" s="11">
        <v>45720.0</v>
      </c>
      <c r="AK1056" s="11">
        <v>34140.0</v>
      </c>
      <c r="AL1056" s="11">
        <v>20550.0</v>
      </c>
      <c r="AM1056" s="11">
        <v>13750.0</v>
      </c>
      <c r="AN1056" s="11">
        <v>16660.0</v>
      </c>
      <c r="AO1056" s="11">
        <v>20400.0</v>
      </c>
      <c r="AP1056" s="11">
        <v>30950.0</v>
      </c>
      <c r="AQ1056" s="11">
        <v>19720.0</v>
      </c>
      <c r="AR1056" s="11">
        <v>8170.0</v>
      </c>
      <c r="AS1056" s="11">
        <v>9800.0</v>
      </c>
      <c r="AT1056" s="11">
        <v>39090.0</v>
      </c>
      <c r="AU1056" s="11">
        <v>28160.0</v>
      </c>
      <c r="AV1056" s="11">
        <v>24600.0</v>
      </c>
      <c r="AW1056" s="11">
        <v>15770.0</v>
      </c>
      <c r="AX1056" s="12"/>
      <c r="AY1056" s="12"/>
      <c r="AZ1056" s="12"/>
      <c r="BA1056" s="12"/>
      <c r="BB1056" s="12"/>
      <c r="BC1056" s="13"/>
      <c r="BD1056" s="13"/>
      <c r="BE1056" s="13"/>
      <c r="BF1056" s="13"/>
      <c r="BG1056" s="13"/>
      <c r="BH1056" s="11">
        <v>156340.0</v>
      </c>
      <c r="BI1056" s="11">
        <v>156570.0</v>
      </c>
      <c r="BJ1056" s="11">
        <v>155900.0</v>
      </c>
      <c r="BK1056" s="11">
        <v>120950.0</v>
      </c>
      <c r="BL1056" s="11">
        <v>101320.0</v>
      </c>
      <c r="BM1056" s="11">
        <v>36950.0</v>
      </c>
      <c r="BN1056" s="11">
        <v>34840.0</v>
      </c>
      <c r="BO1056" s="11">
        <v>42520.0</v>
      </c>
      <c r="BP1056" s="11">
        <v>19830.0</v>
      </c>
      <c r="BQ1056" s="11">
        <v>19270.0</v>
      </c>
      <c r="BR1056" s="11">
        <v>23160.0</v>
      </c>
      <c r="BS1056" s="11">
        <v>22890.0</v>
      </c>
      <c r="BT1056" s="11">
        <v>19340.0</v>
      </c>
      <c r="BU1056" s="11">
        <v>11800.0</v>
      </c>
      <c r="BV1056" s="11">
        <v>13240.0</v>
      </c>
      <c r="BW1056" s="11">
        <v>224550.0</v>
      </c>
      <c r="BX1056" s="11">
        <v>219310.0</v>
      </c>
      <c r="BY1056" s="11">
        <v>221910.0</v>
      </c>
      <c r="BZ1056" s="11">
        <v>156440.0</v>
      </c>
      <c r="CA1056" s="11">
        <v>136710.0</v>
      </c>
      <c r="CB1056" s="11">
        <v>35340.0</v>
      </c>
      <c r="CC1056" s="11">
        <v>24300.0</v>
      </c>
      <c r="CD1056" s="11">
        <v>21370.0</v>
      </c>
      <c r="CE1056" s="11">
        <v>20030.0</v>
      </c>
      <c r="CF1056" s="11">
        <v>20080.0</v>
      </c>
      <c r="CG1056" s="11">
        <v>36200.0</v>
      </c>
      <c r="CH1056" s="11">
        <v>18520.0</v>
      </c>
      <c r="CI1056" s="11">
        <v>20080.0</v>
      </c>
      <c r="CJ1056" s="11">
        <v>18790.0</v>
      </c>
      <c r="CK1056" s="11">
        <v>18250.0</v>
      </c>
      <c r="CL1056" s="11">
        <v>349300.0</v>
      </c>
      <c r="CM1056" s="11">
        <v>315570.0</v>
      </c>
      <c r="CN1056" s="11">
        <v>296200.0</v>
      </c>
      <c r="CO1056" s="11">
        <v>207940.0</v>
      </c>
      <c r="CP1056" s="11">
        <v>189320.0</v>
      </c>
      <c r="CQ1056" s="11">
        <v>9570.0</v>
      </c>
      <c r="CR1056" s="11">
        <v>10600.0</v>
      </c>
      <c r="CS1056" s="11">
        <v>10230.0</v>
      </c>
      <c r="CT1056" s="11">
        <v>4630.0</v>
      </c>
      <c r="CU1056" s="11">
        <v>5090.0</v>
      </c>
      <c r="CV1056" s="11">
        <v>32710.0</v>
      </c>
      <c r="CW1056" s="11">
        <v>1030.0</v>
      </c>
      <c r="CX1056" s="13"/>
      <c r="CY1056" s="12"/>
      <c r="CZ1056" s="13"/>
      <c r="DA1056" s="12"/>
      <c r="DB1056" s="11">
        <v>32710.0</v>
      </c>
      <c r="DC1056" s="11">
        <v>27980.0</v>
      </c>
      <c r="DD1056" s="11">
        <v>32240.0</v>
      </c>
      <c r="DE1056" s="11">
        <v>17340.0</v>
      </c>
      <c r="DF1056" s="11">
        <v>42150.0</v>
      </c>
      <c r="DG1056" s="11">
        <v>32190.0</v>
      </c>
      <c r="DH1056" s="11">
        <v>38120.0</v>
      </c>
      <c r="DI1056" s="11">
        <v>22090.0</v>
      </c>
      <c r="DJ1056" s="11">
        <v>29890.0</v>
      </c>
      <c r="DK1056" s="11">
        <v>33420.0</v>
      </c>
      <c r="DL1056" s="11">
        <v>44750.0</v>
      </c>
      <c r="DM1056" s="11">
        <v>20690.0</v>
      </c>
      <c r="DN1056" s="12"/>
      <c r="DO1056" s="12"/>
      <c r="DP1056" s="28">
        <v>5580.0</v>
      </c>
      <c r="DQ1056" s="12"/>
      <c r="DR1056" s="12"/>
      <c r="DS1056" s="12"/>
      <c r="DT1056" s="12"/>
      <c r="DU1056" s="13"/>
      <c r="DV1056" s="12"/>
      <c r="DW1056" s="12"/>
      <c r="DX1056" s="13"/>
      <c r="DY1056" s="13"/>
      <c r="DZ1056" s="11">
        <v>307150.0</v>
      </c>
      <c r="EA1056" s="11">
        <v>283380.0</v>
      </c>
      <c r="EB1056" s="11">
        <v>258080.0</v>
      </c>
      <c r="EC1056" s="11">
        <v>185850.0</v>
      </c>
      <c r="ED1056" s="11">
        <v>159440.0</v>
      </c>
      <c r="EE1056" s="14">
        <v>0.089</v>
      </c>
      <c r="EF1056" s="14">
        <v>0.027</v>
      </c>
      <c r="EG1056" s="14">
        <v>-1.0</v>
      </c>
      <c r="EH1056" s="14">
        <v>0.601</v>
      </c>
    </row>
    <row r="1057">
      <c r="A1057" s="9">
        <f t="shared" si="2"/>
        <v>1055</v>
      </c>
      <c r="B1057" s="22" t="s">
        <v>1192</v>
      </c>
      <c r="C1057" s="11">
        <v>7820.0</v>
      </c>
      <c r="D1057" s="12"/>
      <c r="E1057" s="11">
        <v>600.0</v>
      </c>
      <c r="F1057" s="11">
        <v>745.0</v>
      </c>
      <c r="G1057" s="11">
        <v>1240.0</v>
      </c>
      <c r="H1057" s="11">
        <v>683.0</v>
      </c>
      <c r="I1057" s="12"/>
      <c r="J1057" s="11">
        <v>-1460.0</v>
      </c>
      <c r="K1057" s="11">
        <v>-794.0</v>
      </c>
      <c r="L1057" s="11">
        <v>-1460.0</v>
      </c>
      <c r="M1057" s="11">
        <v>-981.0</v>
      </c>
      <c r="N1057" s="11">
        <v>-358.0</v>
      </c>
      <c r="O1057" s="11">
        <v>59250.0</v>
      </c>
      <c r="P1057" s="11">
        <v>65560.0</v>
      </c>
      <c r="Q1057" s="11">
        <v>85740.0</v>
      </c>
      <c r="R1057" s="11">
        <v>109900.0</v>
      </c>
      <c r="S1057" s="11">
        <v>61620.0</v>
      </c>
      <c r="T1057" s="11">
        <v>48710.0</v>
      </c>
      <c r="U1057" s="11">
        <v>46140.0</v>
      </c>
      <c r="V1057" s="11">
        <v>42700.0</v>
      </c>
      <c r="W1057" s="11">
        <v>60120.0</v>
      </c>
      <c r="X1057" s="11">
        <v>38760.0</v>
      </c>
      <c r="Y1057" s="12"/>
      <c r="Z1057" s="12"/>
      <c r="AA1057" s="11">
        <v>-91400.0</v>
      </c>
      <c r="AB1057" s="11">
        <v>-111480.0</v>
      </c>
      <c r="AC1057" s="12"/>
      <c r="AD1057" s="11">
        <v>-60580.0</v>
      </c>
      <c r="AE1057" s="11">
        <v>-64670.0</v>
      </c>
      <c r="AF1057" s="11">
        <v>-90130.0</v>
      </c>
      <c r="AG1057" s="11">
        <v>-110580.0</v>
      </c>
      <c r="AH1057" s="11">
        <v>-61670.0</v>
      </c>
      <c r="AI1057" s="11">
        <v>-59560.0</v>
      </c>
      <c r="AJ1057" s="11">
        <v>-65170.0</v>
      </c>
      <c r="AK1057" s="11">
        <v>-85910.0</v>
      </c>
      <c r="AL1057" s="11">
        <v>-110170.0</v>
      </c>
      <c r="AM1057" s="11">
        <v>-61620.0</v>
      </c>
      <c r="AN1057" s="11">
        <v>-44680.0</v>
      </c>
      <c r="AO1057" s="11">
        <v>-50370.0</v>
      </c>
      <c r="AP1057" s="11">
        <v>-90130.0</v>
      </c>
      <c r="AQ1057" s="11">
        <v>-110580.0</v>
      </c>
      <c r="AR1057" s="11">
        <v>-61670.0</v>
      </c>
      <c r="AS1057" s="11">
        <v>-36980.0</v>
      </c>
      <c r="AT1057" s="11">
        <v>-38430.0</v>
      </c>
      <c r="AU1057" s="11">
        <v>-75310.0</v>
      </c>
      <c r="AV1057" s="11">
        <v>-94310.0</v>
      </c>
      <c r="AW1057" s="11">
        <v>-49900.0</v>
      </c>
      <c r="AX1057" s="11">
        <v>-700.0</v>
      </c>
      <c r="AY1057" s="11">
        <v>-496.0</v>
      </c>
      <c r="AZ1057" s="11">
        <v>-1260.0</v>
      </c>
      <c r="BA1057" s="11">
        <v>-2550.0</v>
      </c>
      <c r="BB1057" s="11">
        <v>-2020.0</v>
      </c>
      <c r="BC1057" s="12"/>
      <c r="BD1057" s="12"/>
      <c r="BE1057" s="12"/>
      <c r="BF1057" s="12"/>
      <c r="BG1057" s="12"/>
      <c r="BH1057" s="11">
        <v>60670.0</v>
      </c>
      <c r="BI1057" s="11">
        <v>97280.0</v>
      </c>
      <c r="BJ1057" s="11">
        <v>120000.0</v>
      </c>
      <c r="BK1057" s="11">
        <v>196380.0</v>
      </c>
      <c r="BL1057" s="11">
        <v>184840.0</v>
      </c>
      <c r="BM1057" s="11">
        <v>48.0</v>
      </c>
      <c r="BN1057" s="11">
        <v>108.0</v>
      </c>
      <c r="BO1057" s="11">
        <v>107.0</v>
      </c>
      <c r="BP1057" s="11">
        <v>91.0</v>
      </c>
      <c r="BQ1057" s="12"/>
      <c r="BR1057" s="12"/>
      <c r="BS1057" s="12"/>
      <c r="BT1057" s="11">
        <v>6.0</v>
      </c>
      <c r="BU1057" s="11">
        <v>1440.0</v>
      </c>
      <c r="BV1057" s="12"/>
      <c r="BW1057" s="11">
        <v>63150.0</v>
      </c>
      <c r="BX1057" s="11">
        <v>100070.0</v>
      </c>
      <c r="BY1057" s="11">
        <v>122450.0</v>
      </c>
      <c r="BZ1057" s="11">
        <v>202220.0</v>
      </c>
      <c r="CA1057" s="11">
        <v>188160.0</v>
      </c>
      <c r="CB1057" s="11">
        <v>19170.0</v>
      </c>
      <c r="CC1057" s="11">
        <v>4000.0</v>
      </c>
      <c r="CD1057" s="11">
        <v>4680.0</v>
      </c>
      <c r="CE1057" s="11">
        <v>4980.0</v>
      </c>
      <c r="CF1057" s="11">
        <v>3090.0</v>
      </c>
      <c r="CG1057" s="12"/>
      <c r="CH1057" s="12"/>
      <c r="CI1057" s="12"/>
      <c r="CJ1057" s="12"/>
      <c r="CK1057" s="12"/>
      <c r="CL1057" s="11">
        <v>83020.0</v>
      </c>
      <c r="CM1057" s="11">
        <v>104990.0</v>
      </c>
      <c r="CN1057" s="11">
        <v>128360.0</v>
      </c>
      <c r="CO1057" s="11">
        <v>208600.0</v>
      </c>
      <c r="CP1057" s="11">
        <v>193030.0</v>
      </c>
      <c r="CQ1057" s="11">
        <v>1160.0</v>
      </c>
      <c r="CR1057" s="11">
        <v>1030.0</v>
      </c>
      <c r="CS1057" s="11">
        <v>961.0</v>
      </c>
      <c r="CT1057" s="11">
        <v>1290.0</v>
      </c>
      <c r="CU1057" s="12"/>
      <c r="CV1057" s="11">
        <v>12500.0</v>
      </c>
      <c r="CW1057" s="11">
        <v>3230.0</v>
      </c>
      <c r="CX1057" s="12"/>
      <c r="CY1057" s="12"/>
      <c r="CZ1057" s="12"/>
      <c r="DA1057" s="12"/>
      <c r="DB1057" s="11">
        <v>12500.0</v>
      </c>
      <c r="DC1057" s="11">
        <v>7490.0</v>
      </c>
      <c r="DD1057" s="11">
        <v>8190.0</v>
      </c>
      <c r="DE1057" s="11">
        <v>15230.0</v>
      </c>
      <c r="DF1057" s="11">
        <v>42790.0</v>
      </c>
      <c r="DG1057" s="11">
        <v>25260.0</v>
      </c>
      <c r="DH1057" s="11">
        <v>11090.0</v>
      </c>
      <c r="DI1057" s="11">
        <v>15860.0</v>
      </c>
      <c r="DJ1057" s="11">
        <v>11500.0</v>
      </c>
      <c r="DK1057" s="11">
        <v>701.0</v>
      </c>
      <c r="DL1057" s="11">
        <v>696.0</v>
      </c>
      <c r="DM1057" s="11">
        <v>1160.0</v>
      </c>
      <c r="DN1057" s="11">
        <v>697.0</v>
      </c>
      <c r="DO1057" s="24">
        <v>695.0</v>
      </c>
      <c r="DP1057" s="11">
        <v>30290.0</v>
      </c>
      <c r="DQ1057" s="11">
        <v>14760.0</v>
      </c>
      <c r="DR1057" s="12"/>
      <c r="DS1057" s="12"/>
      <c r="DT1057" s="12"/>
      <c r="DU1057" s="13"/>
      <c r="DV1057" s="12"/>
      <c r="DW1057" s="12"/>
      <c r="DX1057" s="13"/>
      <c r="DY1057" s="13"/>
      <c r="DZ1057" s="11">
        <v>40230.0</v>
      </c>
      <c r="EA1057" s="11">
        <v>79740.0</v>
      </c>
      <c r="EB1057" s="11">
        <v>117280.0</v>
      </c>
      <c r="EC1057" s="11">
        <v>192740.0</v>
      </c>
      <c r="ED1057" s="11">
        <v>181530.0</v>
      </c>
      <c r="EE1057" s="23"/>
      <c r="EF1057" s="23"/>
      <c r="EG1057" s="14">
        <v>0.051</v>
      </c>
      <c r="EH1057" s="14">
        <v>0.111</v>
      </c>
    </row>
    <row r="1058">
      <c r="A1058" s="9">
        <f t="shared" si="2"/>
        <v>1056</v>
      </c>
      <c r="B1058" s="22" t="s">
        <v>1193</v>
      </c>
      <c r="C1058" s="12"/>
      <c r="D1058" s="12"/>
      <c r="E1058" s="11">
        <v>8150.0</v>
      </c>
      <c r="F1058" s="11">
        <v>3090.0</v>
      </c>
      <c r="G1058" s="11">
        <v>3810.0</v>
      </c>
      <c r="H1058" s="11">
        <v>2980.0</v>
      </c>
      <c r="I1058" s="11">
        <v>5220.0</v>
      </c>
      <c r="J1058" s="12"/>
      <c r="K1058" s="12"/>
      <c r="L1058" s="12"/>
      <c r="M1058" s="12"/>
      <c r="N1058" s="12"/>
      <c r="O1058" s="11">
        <v>29330.0</v>
      </c>
      <c r="P1058" s="11">
        <v>25480.0</v>
      </c>
      <c r="Q1058" s="11">
        <v>37000.0</v>
      </c>
      <c r="R1058" s="11">
        <v>51930.0</v>
      </c>
      <c r="S1058" s="11">
        <v>49960.0</v>
      </c>
      <c r="T1058" s="11">
        <v>23810.0</v>
      </c>
      <c r="U1058" s="11">
        <v>18500.0</v>
      </c>
      <c r="V1058" s="11">
        <v>23810.0</v>
      </c>
      <c r="W1058" s="11">
        <v>32760.0</v>
      </c>
      <c r="X1058" s="11">
        <v>38880.0</v>
      </c>
      <c r="Y1058" s="11">
        <v>-34470.0</v>
      </c>
      <c r="Z1058" s="11">
        <v>-29850.0</v>
      </c>
      <c r="AA1058" s="11">
        <v>-32720.0</v>
      </c>
      <c r="AB1058" s="12"/>
      <c r="AC1058" s="12"/>
      <c r="AD1058" s="11">
        <v>-37930.0</v>
      </c>
      <c r="AE1058" s="11">
        <v>-33740.0</v>
      </c>
      <c r="AF1058" s="11">
        <v>-38350.0</v>
      </c>
      <c r="AG1058" s="11">
        <v>-53200.0</v>
      </c>
      <c r="AH1058" s="11">
        <v>-48860.0</v>
      </c>
      <c r="AI1058" s="11">
        <v>-21180.0</v>
      </c>
      <c r="AJ1058" s="11">
        <v>-22390.0</v>
      </c>
      <c r="AK1058" s="11">
        <v>-33190.0</v>
      </c>
      <c r="AL1058" s="11">
        <v>-48950.0</v>
      </c>
      <c r="AM1058" s="11">
        <v>-44740.0</v>
      </c>
      <c r="AN1058" s="11">
        <v>-34590.0</v>
      </c>
      <c r="AO1058" s="11">
        <v>-46110.0</v>
      </c>
      <c r="AP1058" s="11">
        <v>-40030.0</v>
      </c>
      <c r="AQ1058" s="11">
        <v>-53300.0</v>
      </c>
      <c r="AR1058" s="11">
        <v>-47390.0</v>
      </c>
      <c r="AS1058" s="11">
        <v>-32290.0</v>
      </c>
      <c r="AT1058" s="11">
        <v>-33040.0</v>
      </c>
      <c r="AU1058" s="11">
        <v>-15510.0</v>
      </c>
      <c r="AV1058" s="11">
        <v>-45480.0</v>
      </c>
      <c r="AW1058" s="11">
        <v>-27480.0</v>
      </c>
      <c r="AX1058" s="11">
        <v>-437.0</v>
      </c>
      <c r="AY1058" s="11">
        <v>-2780.0</v>
      </c>
      <c r="AZ1058" s="11">
        <v>-292.0</v>
      </c>
      <c r="BA1058" s="11">
        <v>-1100.0</v>
      </c>
      <c r="BB1058" s="11">
        <v>-8800.0</v>
      </c>
      <c r="BC1058" s="12"/>
      <c r="BD1058" s="12"/>
      <c r="BE1058" s="12"/>
      <c r="BF1058" s="12"/>
      <c r="BG1058" s="12"/>
      <c r="BH1058" s="11">
        <v>8020.0</v>
      </c>
      <c r="BI1058" s="11">
        <v>1720.0</v>
      </c>
      <c r="BJ1058" s="11">
        <v>3190.0</v>
      </c>
      <c r="BK1058" s="11">
        <v>2350.0</v>
      </c>
      <c r="BL1058" s="11">
        <v>9070.0</v>
      </c>
      <c r="BM1058" s="12"/>
      <c r="BN1058" s="12"/>
      <c r="BO1058" s="12"/>
      <c r="BP1058" s="12"/>
      <c r="BQ1058" s="11">
        <v>4300.0</v>
      </c>
      <c r="BR1058" s="12"/>
      <c r="BS1058" s="12"/>
      <c r="BT1058" s="12"/>
      <c r="BU1058" s="12"/>
      <c r="BV1058" s="12"/>
      <c r="BW1058" s="11">
        <v>13500.0</v>
      </c>
      <c r="BX1058" s="11">
        <v>3300.0</v>
      </c>
      <c r="BY1058" s="11">
        <v>3900.0</v>
      </c>
      <c r="BZ1058" s="11">
        <v>5680.0</v>
      </c>
      <c r="CA1058" s="11">
        <v>15160.0</v>
      </c>
      <c r="CB1058" s="11">
        <v>3180.0</v>
      </c>
      <c r="CC1058" s="11">
        <v>18490.0</v>
      </c>
      <c r="CD1058" s="11">
        <v>16090.0</v>
      </c>
      <c r="CE1058" s="11">
        <v>18660.0</v>
      </c>
      <c r="CF1058" s="11">
        <v>17760.0</v>
      </c>
      <c r="CG1058" s="12"/>
      <c r="CH1058" s="12"/>
      <c r="CI1058" s="12"/>
      <c r="CJ1058" s="12"/>
      <c r="CK1058" s="12"/>
      <c r="CL1058" s="11">
        <v>17130.0</v>
      </c>
      <c r="CM1058" s="11">
        <v>22280.0</v>
      </c>
      <c r="CN1058" s="11">
        <v>20730.0</v>
      </c>
      <c r="CO1058" s="11">
        <v>25410.0</v>
      </c>
      <c r="CP1058" s="11">
        <v>35010.0</v>
      </c>
      <c r="CQ1058" s="11">
        <v>2280.0</v>
      </c>
      <c r="CR1058" s="11">
        <v>3610.0</v>
      </c>
      <c r="CS1058" s="11">
        <v>10950.0</v>
      </c>
      <c r="CT1058" s="11">
        <v>5070.0</v>
      </c>
      <c r="CU1058" s="11">
        <v>11560.0</v>
      </c>
      <c r="CV1058" s="11">
        <v>20290.0</v>
      </c>
      <c r="CW1058" s="11">
        <v>10310.0</v>
      </c>
      <c r="CX1058" s="11">
        <v>13180.0</v>
      </c>
      <c r="CY1058" s="12"/>
      <c r="CZ1058" s="12"/>
      <c r="DA1058" s="12"/>
      <c r="DB1058" s="11">
        <v>20290.0</v>
      </c>
      <c r="DC1058" s="11">
        <v>32040.0</v>
      </c>
      <c r="DD1058" s="11">
        <v>28740.0</v>
      </c>
      <c r="DE1058" s="11">
        <v>20440.0</v>
      </c>
      <c r="DF1058" s="11">
        <v>27900.0</v>
      </c>
      <c r="DG1058" s="11">
        <v>43090.0</v>
      </c>
      <c r="DH1058" s="11">
        <v>51460.0</v>
      </c>
      <c r="DI1058" s="11">
        <v>30580.0</v>
      </c>
      <c r="DJ1058" s="11">
        <v>62560.0</v>
      </c>
      <c r="DK1058" s="12"/>
      <c r="DL1058" s="12"/>
      <c r="DM1058" s="12"/>
      <c r="DN1058" s="11">
        <v>216.0</v>
      </c>
      <c r="DO1058" s="24">
        <v>214.0</v>
      </c>
      <c r="DP1058" s="11">
        <v>3420.0</v>
      </c>
      <c r="DQ1058" s="11">
        <v>3550.0</v>
      </c>
      <c r="DR1058" s="11">
        <v>13410.0</v>
      </c>
      <c r="DS1058" s="11">
        <v>2550.0</v>
      </c>
      <c r="DT1058" s="11">
        <v>6140.0</v>
      </c>
      <c r="DU1058" s="11">
        <v>5360.0</v>
      </c>
      <c r="DV1058" s="11">
        <v>4730.0</v>
      </c>
      <c r="DW1058" s="11">
        <v>2920.0</v>
      </c>
      <c r="DX1058" s="13"/>
      <c r="DY1058" s="11">
        <v>10190.0</v>
      </c>
      <c r="DZ1058" s="11">
        <v>-10770.0</v>
      </c>
      <c r="EA1058" s="11">
        <v>-20810.0</v>
      </c>
      <c r="EB1058" s="11">
        <v>-30730.0</v>
      </c>
      <c r="EC1058" s="11">
        <v>-5170.0</v>
      </c>
      <c r="ED1058" s="11">
        <v>-44030.0</v>
      </c>
      <c r="EE1058" s="23"/>
      <c r="EF1058" s="23"/>
      <c r="EG1058" s="14">
        <v>0.0</v>
      </c>
      <c r="EH1058" s="14">
        <v>0.157</v>
      </c>
    </row>
    <row r="1059">
      <c r="A1059" s="9">
        <f t="shared" si="2"/>
        <v>1057</v>
      </c>
      <c r="B1059" s="22" t="s">
        <v>1194</v>
      </c>
      <c r="C1059" s="11">
        <v>4670.0</v>
      </c>
      <c r="D1059" s="12"/>
      <c r="E1059" s="12"/>
      <c r="F1059" s="12"/>
      <c r="G1059" s="12"/>
      <c r="H1059" s="12"/>
      <c r="I1059" s="12"/>
      <c r="J1059" s="11">
        <v>-255.0</v>
      </c>
      <c r="K1059" s="11">
        <v>-142.0</v>
      </c>
      <c r="L1059" s="11">
        <v>-80.0</v>
      </c>
      <c r="M1059" s="11">
        <v>-57.0</v>
      </c>
      <c r="N1059" s="11">
        <v>-12.0</v>
      </c>
      <c r="O1059" s="11">
        <v>61150.0</v>
      </c>
      <c r="P1059" s="11">
        <v>52790.0</v>
      </c>
      <c r="Q1059" s="11">
        <v>64930.0</v>
      </c>
      <c r="R1059" s="11">
        <v>22480.0</v>
      </c>
      <c r="S1059" s="11">
        <v>13180.0</v>
      </c>
      <c r="T1059" s="11">
        <v>42120.0</v>
      </c>
      <c r="U1059" s="11">
        <v>33790.0</v>
      </c>
      <c r="V1059" s="11">
        <v>49970.0</v>
      </c>
      <c r="W1059" s="11">
        <v>9590.0</v>
      </c>
      <c r="X1059" s="11">
        <v>6610.0</v>
      </c>
      <c r="Y1059" s="12"/>
      <c r="Z1059" s="12"/>
      <c r="AA1059" s="12"/>
      <c r="AB1059" s="12"/>
      <c r="AC1059" s="12"/>
      <c r="AD1059" s="11">
        <v>-60460.0</v>
      </c>
      <c r="AE1059" s="11">
        <v>-51980.0</v>
      </c>
      <c r="AF1059" s="11">
        <v>-64810.0</v>
      </c>
      <c r="AG1059" s="11">
        <v>-22410.0</v>
      </c>
      <c r="AH1059" s="11">
        <v>-13160.0</v>
      </c>
      <c r="AI1059" s="11">
        <v>-61150.0</v>
      </c>
      <c r="AJ1059" s="11">
        <v>-52790.0</v>
      </c>
      <c r="AK1059" s="11">
        <v>-64930.0</v>
      </c>
      <c r="AL1059" s="11">
        <v>-22480.0</v>
      </c>
      <c r="AM1059" s="11">
        <v>-13180.0</v>
      </c>
      <c r="AN1059" s="11">
        <v>-60460.0</v>
      </c>
      <c r="AO1059" s="11">
        <v>-51980.0</v>
      </c>
      <c r="AP1059" s="11">
        <v>-64810.0</v>
      </c>
      <c r="AQ1059" s="11">
        <v>-22410.0</v>
      </c>
      <c r="AR1059" s="11">
        <v>-13160.0</v>
      </c>
      <c r="AS1059" s="11">
        <v>-51090.0</v>
      </c>
      <c r="AT1059" s="11">
        <v>-45560.0</v>
      </c>
      <c r="AU1059" s="11">
        <v>-31470.0</v>
      </c>
      <c r="AV1059" s="11">
        <v>-17800.0</v>
      </c>
      <c r="AW1059" s="11">
        <v>-5490.0</v>
      </c>
      <c r="AX1059" s="11">
        <v>-244.0</v>
      </c>
      <c r="AY1059" s="11">
        <v>-352.0</v>
      </c>
      <c r="AZ1059" s="11">
        <v>-47.0</v>
      </c>
      <c r="BA1059" s="11">
        <v>-189.0</v>
      </c>
      <c r="BB1059" s="11">
        <v>-56.0</v>
      </c>
      <c r="BC1059" s="12"/>
      <c r="BD1059" s="12"/>
      <c r="BE1059" s="12"/>
      <c r="BF1059" s="12"/>
      <c r="BG1059" s="12"/>
      <c r="BH1059" s="11">
        <v>76740.0</v>
      </c>
      <c r="BI1059" s="11">
        <v>41500.0</v>
      </c>
      <c r="BJ1059" s="11">
        <v>87130.0</v>
      </c>
      <c r="BK1059" s="11">
        <v>51940.0</v>
      </c>
      <c r="BL1059" s="11">
        <v>69940.0</v>
      </c>
      <c r="BM1059" s="11">
        <v>1130.0</v>
      </c>
      <c r="BN1059" s="12"/>
      <c r="BO1059" s="12"/>
      <c r="BP1059" s="11">
        <v>7.0</v>
      </c>
      <c r="BQ1059" s="11">
        <v>59.0</v>
      </c>
      <c r="BR1059" s="12"/>
      <c r="BS1059" s="12"/>
      <c r="BT1059" s="12"/>
      <c r="BU1059" s="12"/>
      <c r="BV1059" s="12"/>
      <c r="BW1059" s="11">
        <v>79810.0</v>
      </c>
      <c r="BX1059" s="11">
        <v>44270.0</v>
      </c>
      <c r="BY1059" s="11">
        <v>88590.0</v>
      </c>
      <c r="BZ1059" s="11">
        <v>52170.0</v>
      </c>
      <c r="CA1059" s="11">
        <v>70280.0</v>
      </c>
      <c r="CB1059" s="11">
        <v>68.0</v>
      </c>
      <c r="CC1059" s="11">
        <v>70.0</v>
      </c>
      <c r="CD1059" s="11">
        <v>52.0</v>
      </c>
      <c r="CE1059" s="11">
        <v>44.0</v>
      </c>
      <c r="CF1059" s="11">
        <v>30.0</v>
      </c>
      <c r="CG1059" s="12"/>
      <c r="CH1059" s="12"/>
      <c r="CI1059" s="12"/>
      <c r="CJ1059" s="12"/>
      <c r="CK1059" s="12"/>
      <c r="CL1059" s="11">
        <v>80840.0</v>
      </c>
      <c r="CM1059" s="11">
        <v>47650.0</v>
      </c>
      <c r="CN1059" s="11">
        <v>89460.0</v>
      </c>
      <c r="CO1059" s="11">
        <v>53030.0</v>
      </c>
      <c r="CP1059" s="11">
        <v>70380.0</v>
      </c>
      <c r="CQ1059" s="11">
        <v>3260.0</v>
      </c>
      <c r="CR1059" s="11">
        <v>3760.0</v>
      </c>
      <c r="CS1059" s="11">
        <v>2030.0</v>
      </c>
      <c r="CT1059" s="11">
        <v>857.0</v>
      </c>
      <c r="CU1059" s="11">
        <v>671.0</v>
      </c>
      <c r="CV1059" s="11">
        <v>10530.0</v>
      </c>
      <c r="CW1059" s="12"/>
      <c r="CX1059" s="12"/>
      <c r="CY1059" s="12"/>
      <c r="CZ1059" s="12"/>
      <c r="DA1059" s="12"/>
      <c r="DB1059" s="11">
        <v>10530.0</v>
      </c>
      <c r="DC1059" s="11">
        <v>8840.0</v>
      </c>
      <c r="DD1059" s="11">
        <v>6020.0</v>
      </c>
      <c r="DE1059" s="11">
        <v>3730.0</v>
      </c>
      <c r="DF1059" s="11">
        <v>10820.0</v>
      </c>
      <c r="DG1059" s="11">
        <v>8840.0</v>
      </c>
      <c r="DH1059" s="11">
        <v>6020.0</v>
      </c>
      <c r="DI1059" s="11">
        <v>3730.0</v>
      </c>
      <c r="DJ1059" s="11">
        <v>2310.0</v>
      </c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24">
        <v>0.0</v>
      </c>
      <c r="DV1059" s="12"/>
      <c r="DW1059" s="12"/>
      <c r="DX1059" s="24">
        <v>8.0</v>
      </c>
      <c r="DY1059" s="24">
        <v>8.0</v>
      </c>
      <c r="DZ1059" s="11">
        <v>70020.0</v>
      </c>
      <c r="EA1059" s="11">
        <v>38810.0</v>
      </c>
      <c r="EB1059" s="11">
        <v>83440.0</v>
      </c>
      <c r="EC1059" s="11">
        <v>49290.0</v>
      </c>
      <c r="ED1059" s="11">
        <v>68070.0</v>
      </c>
      <c r="EE1059" s="23"/>
      <c r="EF1059" s="23"/>
      <c r="EG1059" s="14">
        <v>-0.139</v>
      </c>
      <c r="EH1059" s="14">
        <v>-0.077</v>
      </c>
    </row>
    <row r="1060">
      <c r="A1060" s="9">
        <f t="shared" si="2"/>
        <v>1058</v>
      </c>
      <c r="B1060" s="22" t="s">
        <v>1195</v>
      </c>
      <c r="C1060" s="11">
        <v>80470.0</v>
      </c>
      <c r="D1060" s="11">
        <v>56990.0</v>
      </c>
      <c r="E1060" s="11">
        <v>73710.0</v>
      </c>
      <c r="F1060" s="11">
        <v>59750.0</v>
      </c>
      <c r="G1060" s="11">
        <v>54730.0</v>
      </c>
      <c r="H1060" s="11">
        <v>86080.0</v>
      </c>
      <c r="I1060" s="11">
        <v>62780.0</v>
      </c>
      <c r="J1060" s="11">
        <v>54420.0</v>
      </c>
      <c r="K1060" s="11">
        <v>42930.0</v>
      </c>
      <c r="L1060" s="11">
        <v>36260.0</v>
      </c>
      <c r="M1060" s="11">
        <v>46610.0</v>
      </c>
      <c r="N1060" s="11">
        <v>33240.0</v>
      </c>
      <c r="O1060" s="11">
        <v>59440.0</v>
      </c>
      <c r="P1060" s="11">
        <v>57270.0</v>
      </c>
      <c r="Q1060" s="11">
        <v>65340.0</v>
      </c>
      <c r="R1060" s="11">
        <v>71550.0</v>
      </c>
      <c r="S1060" s="11">
        <v>56830.0</v>
      </c>
      <c r="T1060" s="11">
        <v>8700.0</v>
      </c>
      <c r="U1060" s="11">
        <v>8120.0</v>
      </c>
      <c r="V1060" s="11">
        <v>10840.0</v>
      </c>
      <c r="W1060" s="11">
        <v>13880.0</v>
      </c>
      <c r="X1060" s="11">
        <v>10420.0</v>
      </c>
      <c r="Y1060" s="11">
        <v>-6120.0</v>
      </c>
      <c r="Z1060" s="11">
        <v>-22820.0</v>
      </c>
      <c r="AA1060" s="11">
        <v>2650.0</v>
      </c>
      <c r="AB1060" s="11">
        <v>-25980.0</v>
      </c>
      <c r="AC1060" s="11">
        <v>-24180.0</v>
      </c>
      <c r="AD1060" s="11">
        <v>-3760.0</v>
      </c>
      <c r="AE1060" s="11">
        <v>-24780.0</v>
      </c>
      <c r="AF1060" s="11">
        <v>-31590.0</v>
      </c>
      <c r="AG1060" s="11">
        <v>-26120.0</v>
      </c>
      <c r="AH1060" s="11">
        <v>-24330.0</v>
      </c>
      <c r="AI1060" s="11">
        <v>-3260.0</v>
      </c>
      <c r="AJ1060" s="11">
        <v>-12690.0</v>
      </c>
      <c r="AK1060" s="11">
        <v>-27460.0</v>
      </c>
      <c r="AL1060" s="11">
        <v>-21850.0</v>
      </c>
      <c r="AM1060" s="11">
        <v>-21450.0</v>
      </c>
      <c r="AN1060" s="11">
        <v>-1340.0</v>
      </c>
      <c r="AO1060" s="11">
        <v>12510.0</v>
      </c>
      <c r="AP1060" s="11">
        <v>-33230.0</v>
      </c>
      <c r="AQ1060" s="11">
        <v>-22350.0</v>
      </c>
      <c r="AR1060" s="11">
        <v>-24480.0</v>
      </c>
      <c r="AS1060" s="11">
        <v>-7160.0</v>
      </c>
      <c r="AT1060" s="11">
        <v>-32120.0</v>
      </c>
      <c r="AU1060" s="11">
        <v>-13120.0</v>
      </c>
      <c r="AV1060" s="11">
        <v>-21920.0</v>
      </c>
      <c r="AW1060" s="11">
        <v>-16550.0</v>
      </c>
      <c r="AX1060" s="11">
        <v>-1660.0</v>
      </c>
      <c r="AY1060" s="11">
        <v>-5350.0</v>
      </c>
      <c r="AZ1060" s="11">
        <v>-1300.0</v>
      </c>
      <c r="BA1060" s="11">
        <v>-2380.0</v>
      </c>
      <c r="BB1060" s="11">
        <v>-3470.0</v>
      </c>
      <c r="BC1060" s="12"/>
      <c r="BD1060" s="12"/>
      <c r="BE1060" s="12"/>
      <c r="BF1060" s="12"/>
      <c r="BG1060" s="12"/>
      <c r="BH1060" s="11">
        <v>181270.0</v>
      </c>
      <c r="BI1060" s="11">
        <v>192840.0</v>
      </c>
      <c r="BJ1060" s="11">
        <v>90330.0</v>
      </c>
      <c r="BK1060" s="11">
        <v>59110.0</v>
      </c>
      <c r="BL1060" s="11">
        <v>83720.0</v>
      </c>
      <c r="BM1060" s="11">
        <v>18330.0</v>
      </c>
      <c r="BN1060" s="11">
        <v>13660.0</v>
      </c>
      <c r="BO1060" s="11">
        <v>6020.0</v>
      </c>
      <c r="BP1060" s="11">
        <v>13270.0</v>
      </c>
      <c r="BQ1060" s="11">
        <v>7060.0</v>
      </c>
      <c r="BR1060" s="11">
        <v>11100.0</v>
      </c>
      <c r="BS1060" s="11">
        <v>7770.0</v>
      </c>
      <c r="BT1060" s="11">
        <v>7140.0</v>
      </c>
      <c r="BU1060" s="11">
        <v>7440.0</v>
      </c>
      <c r="BV1060" s="11">
        <v>7100.0</v>
      </c>
      <c r="BW1060" s="11">
        <v>215880.0</v>
      </c>
      <c r="BX1060" s="11">
        <v>216780.0</v>
      </c>
      <c r="BY1060" s="11">
        <v>120480.0</v>
      </c>
      <c r="BZ1060" s="11">
        <v>82200.0</v>
      </c>
      <c r="CA1060" s="11">
        <v>101460.0</v>
      </c>
      <c r="CB1060" s="11">
        <v>14540.0</v>
      </c>
      <c r="CC1060" s="11">
        <v>7140.0</v>
      </c>
      <c r="CD1060" s="11">
        <v>2760.0</v>
      </c>
      <c r="CE1060" s="11">
        <v>7790.0</v>
      </c>
      <c r="CF1060" s="11">
        <v>6280.0</v>
      </c>
      <c r="CG1060" s="11">
        <v>2480.0</v>
      </c>
      <c r="CH1060" s="11">
        <v>2480.0</v>
      </c>
      <c r="CI1060" s="11">
        <v>2480.0</v>
      </c>
      <c r="CJ1060" s="11">
        <v>3820.0</v>
      </c>
      <c r="CK1060" s="11">
        <v>45.0</v>
      </c>
      <c r="CL1060" s="11">
        <v>235250.0</v>
      </c>
      <c r="CM1060" s="11">
        <v>232120.0</v>
      </c>
      <c r="CN1060" s="11">
        <v>144240.0</v>
      </c>
      <c r="CO1060" s="11">
        <v>124010.0</v>
      </c>
      <c r="CP1060" s="11">
        <v>109850.0</v>
      </c>
      <c r="CQ1060" s="11">
        <v>2420.0</v>
      </c>
      <c r="CR1060" s="11">
        <v>2800.0</v>
      </c>
      <c r="CS1060" s="11">
        <v>5550.0</v>
      </c>
      <c r="CT1060" s="11">
        <v>3200.0</v>
      </c>
      <c r="CU1060" s="11">
        <v>3800.0</v>
      </c>
      <c r="CV1060" s="11">
        <v>13820.0</v>
      </c>
      <c r="CW1060" s="11">
        <v>984.0</v>
      </c>
      <c r="CX1060" s="12"/>
      <c r="CY1060" s="12"/>
      <c r="CZ1060" s="12"/>
      <c r="DA1060" s="12"/>
      <c r="DB1060" s="11">
        <v>13820.0</v>
      </c>
      <c r="DC1060" s="11">
        <v>18010.0</v>
      </c>
      <c r="DD1060" s="11">
        <v>22450.0</v>
      </c>
      <c r="DE1060" s="11">
        <v>18490.0</v>
      </c>
      <c r="DF1060" s="11">
        <v>21560.0</v>
      </c>
      <c r="DG1060" s="11">
        <v>18110.0</v>
      </c>
      <c r="DH1060" s="11">
        <v>56610.0</v>
      </c>
      <c r="DI1060" s="11">
        <v>51050.0</v>
      </c>
      <c r="DJ1060" s="11">
        <v>17160.0</v>
      </c>
      <c r="DK1060" s="11">
        <v>100.0</v>
      </c>
      <c r="DL1060" s="11">
        <v>100.0</v>
      </c>
      <c r="DM1060" s="11">
        <v>200.0</v>
      </c>
      <c r="DN1060" s="11">
        <v>200.0</v>
      </c>
      <c r="DO1060" s="24">
        <v>80.0</v>
      </c>
      <c r="DP1060" s="11">
        <v>7740.0</v>
      </c>
      <c r="DQ1060" s="11">
        <v>106.0</v>
      </c>
      <c r="DR1060" s="11">
        <v>29860.0</v>
      </c>
      <c r="DS1060" s="11">
        <v>29600.0</v>
      </c>
      <c r="DT1060" s="11">
        <v>386.0</v>
      </c>
      <c r="DU1060" s="13"/>
      <c r="DV1060" s="12"/>
      <c r="DW1060" s="12"/>
      <c r="DX1060" s="13"/>
      <c r="DY1060" s="13"/>
      <c r="DZ1060" s="11">
        <v>213690.0</v>
      </c>
      <c r="EA1060" s="11">
        <v>214010.0</v>
      </c>
      <c r="EB1060" s="11">
        <v>87630.0</v>
      </c>
      <c r="EC1060" s="11">
        <v>72960.0</v>
      </c>
      <c r="ED1060" s="11">
        <v>92690.0</v>
      </c>
      <c r="EE1060" s="14">
        <v>0.005</v>
      </c>
      <c r="EF1060" s="14">
        <v>0.068</v>
      </c>
      <c r="EG1060" s="14">
        <v>-0.233</v>
      </c>
      <c r="EH1060" s="14">
        <v>0.542</v>
      </c>
    </row>
    <row r="1061">
      <c r="A1061" s="9">
        <f t="shared" si="2"/>
        <v>1059</v>
      </c>
      <c r="B1061" s="25" t="s">
        <v>1196</v>
      </c>
      <c r="C1061" s="15">
        <v>1010000.0</v>
      </c>
      <c r="D1061" s="15">
        <v>813330.0</v>
      </c>
      <c r="E1061" s="15">
        <v>1120000.0</v>
      </c>
      <c r="F1061" s="15">
        <v>1110000.0</v>
      </c>
      <c r="G1061" s="15">
        <v>1090000.0</v>
      </c>
      <c r="H1061" s="15">
        <v>1020000.0</v>
      </c>
      <c r="I1061" s="15">
        <v>969290.0</v>
      </c>
      <c r="J1061" s="15">
        <v>644360.0</v>
      </c>
      <c r="K1061" s="15">
        <v>635070.0</v>
      </c>
      <c r="L1061" s="15">
        <v>610640.0</v>
      </c>
      <c r="M1061" s="15">
        <v>580620.0</v>
      </c>
      <c r="N1061" s="15">
        <v>556150.0</v>
      </c>
      <c r="O1061" s="15">
        <v>561310.0</v>
      </c>
      <c r="P1061" s="15">
        <v>554280.0</v>
      </c>
      <c r="Q1061" s="15">
        <v>537660.0</v>
      </c>
      <c r="R1061" s="15">
        <v>504160.0</v>
      </c>
      <c r="S1061" s="15">
        <v>473080.0</v>
      </c>
      <c r="T1061" s="15"/>
      <c r="U1061" s="15"/>
      <c r="V1061" s="15"/>
      <c r="W1061" s="15"/>
      <c r="X1061" s="15"/>
      <c r="Y1061" s="15">
        <v>78820.0</v>
      </c>
      <c r="Z1061" s="15">
        <v>76620.0</v>
      </c>
      <c r="AA1061" s="15">
        <v>-870.0</v>
      </c>
      <c r="AB1061" s="15">
        <v>75700.0</v>
      </c>
      <c r="AC1061" s="15"/>
      <c r="AD1061" s="15">
        <v>92430.0</v>
      </c>
      <c r="AE1061" s="15">
        <v>88310.0</v>
      </c>
      <c r="AF1061" s="15">
        <v>82890.0</v>
      </c>
      <c r="AG1061" s="15">
        <v>86460.0</v>
      </c>
      <c r="AH1061" s="15">
        <v>95060.0</v>
      </c>
      <c r="AI1061" s="15">
        <v>123330.0</v>
      </c>
      <c r="AJ1061" s="15">
        <v>123280.0</v>
      </c>
      <c r="AK1061" s="15">
        <v>115390.0</v>
      </c>
      <c r="AL1061" s="15">
        <v>118690.0</v>
      </c>
      <c r="AM1061" s="15">
        <v>119500.0</v>
      </c>
      <c r="AN1061" s="15">
        <v>68490.0</v>
      </c>
      <c r="AO1061" s="15">
        <v>66290.0</v>
      </c>
      <c r="AP1061" s="15">
        <v>64700.0</v>
      </c>
      <c r="AQ1061" s="15">
        <v>54500.0</v>
      </c>
      <c r="AR1061" s="15">
        <v>58540.0</v>
      </c>
      <c r="AS1061" s="15">
        <v>121930.0</v>
      </c>
      <c r="AT1061" s="15">
        <v>96380.0</v>
      </c>
      <c r="AU1061" s="15">
        <v>118590.0</v>
      </c>
      <c r="AV1061" s="15">
        <v>118570.0</v>
      </c>
      <c r="AW1061" s="15">
        <v>105370.0</v>
      </c>
      <c r="AX1061" s="15">
        <v>-37420.0</v>
      </c>
      <c r="AY1061" s="15">
        <v>-37040.0</v>
      </c>
      <c r="AZ1061" s="15">
        <v>-38750.0</v>
      </c>
      <c r="BA1061" s="15">
        <v>-49420.0</v>
      </c>
      <c r="BB1061" s="15">
        <v>-73080.0</v>
      </c>
      <c r="BC1061" s="15">
        <v>-25220.0</v>
      </c>
      <c r="BD1061" s="15">
        <v>-23050.0</v>
      </c>
      <c r="BE1061" s="15">
        <v>-18190.0</v>
      </c>
      <c r="BF1061" s="15">
        <v>-18120.0</v>
      </c>
      <c r="BG1061" s="15">
        <v>-16640.0</v>
      </c>
      <c r="BH1061" s="15">
        <v>52460.0</v>
      </c>
      <c r="BI1061" s="15">
        <v>8330.0</v>
      </c>
      <c r="BJ1061" s="15">
        <v>6340.0</v>
      </c>
      <c r="BK1061" s="15">
        <v>6330.0</v>
      </c>
      <c r="BL1061" s="15">
        <v>6320.0</v>
      </c>
      <c r="BM1061" s="15">
        <v>58720.0</v>
      </c>
      <c r="BN1061" s="15">
        <v>69040.0</v>
      </c>
      <c r="BO1061" s="15">
        <v>67540.0</v>
      </c>
      <c r="BP1061" s="15">
        <v>58280.0</v>
      </c>
      <c r="BQ1061" s="15">
        <v>59070.0</v>
      </c>
      <c r="BR1061" s="15">
        <v>152230.0</v>
      </c>
      <c r="BS1061" s="15">
        <v>160660.0</v>
      </c>
      <c r="BT1061" s="15">
        <v>126810.0</v>
      </c>
      <c r="BU1061" s="15">
        <v>142180.0</v>
      </c>
      <c r="BV1061" s="15">
        <v>129140.0</v>
      </c>
      <c r="BW1061" s="15">
        <v>288830.0</v>
      </c>
      <c r="BX1061" s="15">
        <v>269790.0</v>
      </c>
      <c r="BY1061" s="15">
        <v>236120.0</v>
      </c>
      <c r="BZ1061" s="15">
        <v>231630.0</v>
      </c>
      <c r="CA1061" s="15">
        <v>216800.0</v>
      </c>
      <c r="CB1061" s="15">
        <v>478700.0</v>
      </c>
      <c r="CC1061" s="15">
        <v>192580.0</v>
      </c>
      <c r="CD1061" s="15">
        <v>193530.0</v>
      </c>
      <c r="CE1061" s="15">
        <v>193930.0</v>
      </c>
      <c r="CF1061" s="15">
        <v>184090.0</v>
      </c>
      <c r="CG1061" s="15">
        <v>66580.0</v>
      </c>
      <c r="CH1061" s="15">
        <v>66620.0</v>
      </c>
      <c r="CI1061" s="15">
        <v>66700.0</v>
      </c>
      <c r="CJ1061" s="15">
        <v>60020.0</v>
      </c>
      <c r="CK1061" s="15">
        <v>17220.0</v>
      </c>
      <c r="CL1061" s="15">
        <v>1030000.0</v>
      </c>
      <c r="CM1061" s="15">
        <v>727250.0</v>
      </c>
      <c r="CN1061" s="15">
        <v>699940.0</v>
      </c>
      <c r="CO1061" s="15">
        <v>685160.0</v>
      </c>
      <c r="CP1061" s="15">
        <v>582690.0</v>
      </c>
      <c r="CQ1061" s="15">
        <v>65490.0</v>
      </c>
      <c r="CR1061" s="15">
        <v>81610.0</v>
      </c>
      <c r="CS1061" s="15">
        <v>68270.0</v>
      </c>
      <c r="CT1061" s="15">
        <v>76830.0</v>
      </c>
      <c r="CU1061" s="15">
        <v>68310.0</v>
      </c>
      <c r="CV1061" s="15">
        <v>177780.0</v>
      </c>
      <c r="CW1061" s="15">
        <v>50200.0</v>
      </c>
      <c r="CX1061" s="15"/>
      <c r="CY1061" s="15"/>
      <c r="CZ1061" s="15"/>
      <c r="DA1061" s="15"/>
      <c r="DB1061" s="15">
        <v>177780.0</v>
      </c>
      <c r="DC1061" s="15">
        <v>142210.0</v>
      </c>
      <c r="DD1061" s="15">
        <v>135010.0</v>
      </c>
      <c r="DE1061" s="15">
        <v>131400.0</v>
      </c>
      <c r="DF1061" s="15">
        <v>504770.0</v>
      </c>
      <c r="DG1061" s="15">
        <v>248900.0</v>
      </c>
      <c r="DH1061" s="15">
        <v>270120.0</v>
      </c>
      <c r="DI1061" s="15">
        <v>309030.0</v>
      </c>
      <c r="DJ1061" s="15">
        <v>248290.0</v>
      </c>
      <c r="DK1061" s="15"/>
      <c r="DL1061" s="15"/>
      <c r="DM1061" s="15"/>
      <c r="DN1061" s="12"/>
      <c r="DO1061" s="15"/>
      <c r="DP1061" s="15">
        <v>291890.0</v>
      </c>
      <c r="DQ1061" s="15">
        <v>12990.0</v>
      </c>
      <c r="DR1061" s="15">
        <v>45810.0</v>
      </c>
      <c r="DS1061" s="15">
        <v>91510.0</v>
      </c>
      <c r="DT1061" s="15">
        <v>43980.0</v>
      </c>
      <c r="DU1061" s="13"/>
      <c r="DV1061" s="12"/>
      <c r="DW1061" s="12"/>
      <c r="DX1061" s="13"/>
      <c r="DY1061" s="13"/>
      <c r="DZ1061" s="15">
        <v>528600.0</v>
      </c>
      <c r="EA1061" s="15">
        <v>478360.0</v>
      </c>
      <c r="EB1061" s="15">
        <v>429820.0</v>
      </c>
      <c r="EC1061" s="15">
        <v>376130.0</v>
      </c>
      <c r="ED1061" s="15">
        <v>334400.0</v>
      </c>
      <c r="EE1061" s="17">
        <v>0.106</v>
      </c>
      <c r="EF1061" s="17">
        <v>0.161</v>
      </c>
      <c r="EG1061" s="17">
        <v>-3.148</v>
      </c>
      <c r="EH1061" s="17">
        <v>-0.73</v>
      </c>
    </row>
    <row r="1062">
      <c r="A1062" s="9">
        <f t="shared" si="2"/>
        <v>1060</v>
      </c>
      <c r="B1062" s="22" t="s">
        <v>1197</v>
      </c>
      <c r="C1062" s="11">
        <v>14000.0</v>
      </c>
      <c r="D1062" s="12"/>
      <c r="E1062" s="12"/>
      <c r="F1062" s="12"/>
      <c r="G1062" s="12"/>
      <c r="H1062" s="12"/>
      <c r="I1062" s="12"/>
      <c r="J1062" s="24">
        <v>-19.0</v>
      </c>
      <c r="K1062" s="12"/>
      <c r="L1062" s="12"/>
      <c r="M1062" s="12"/>
      <c r="N1062" s="12"/>
      <c r="O1062" s="11">
        <v>47280.0</v>
      </c>
      <c r="P1062" s="11">
        <v>16740.0</v>
      </c>
      <c r="Q1062" s="11">
        <v>5680.0</v>
      </c>
      <c r="R1062" s="12"/>
      <c r="S1062" s="12"/>
      <c r="T1062" s="11">
        <v>33630.0</v>
      </c>
      <c r="U1062" s="11">
        <v>13760.0</v>
      </c>
      <c r="V1062" s="11">
        <v>3630.0</v>
      </c>
      <c r="W1062" s="12"/>
      <c r="X1062" s="12"/>
      <c r="Y1062" s="12"/>
      <c r="Z1062" s="12"/>
      <c r="AA1062" s="11">
        <v>-6160.0</v>
      </c>
      <c r="AB1062" s="12"/>
      <c r="AC1062" s="12"/>
      <c r="AD1062" s="11">
        <v>-45710.0</v>
      </c>
      <c r="AE1062" s="11">
        <v>-16500.0</v>
      </c>
      <c r="AF1062" s="11">
        <v>-6600.0</v>
      </c>
      <c r="AG1062" s="12"/>
      <c r="AH1062" s="12"/>
      <c r="AI1062" s="11">
        <v>-47280.0</v>
      </c>
      <c r="AJ1062" s="12"/>
      <c r="AK1062" s="12"/>
      <c r="AL1062" s="12"/>
      <c r="AM1062" s="12"/>
      <c r="AN1062" s="11">
        <v>-45710.0</v>
      </c>
      <c r="AO1062" s="11">
        <v>-16500.0</v>
      </c>
      <c r="AP1062" s="11">
        <v>-6600.0</v>
      </c>
      <c r="AQ1062" s="12"/>
      <c r="AR1062" s="12"/>
      <c r="AS1062" s="11">
        <v>-41560.0</v>
      </c>
      <c r="AT1062" s="11">
        <v>-17080.0</v>
      </c>
      <c r="AU1062" s="11">
        <v>-4670.0</v>
      </c>
      <c r="AV1062" s="12"/>
      <c r="AW1062" s="12"/>
      <c r="AX1062" s="11">
        <v>-200.0</v>
      </c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1">
        <v>139150.0</v>
      </c>
      <c r="BI1062" s="11">
        <v>5230.0</v>
      </c>
      <c r="BJ1062" s="11">
        <v>22310.0</v>
      </c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1">
        <v>142180.0</v>
      </c>
      <c r="BX1062" s="11">
        <v>5620.0</v>
      </c>
      <c r="BY1062" s="11">
        <v>23170.0</v>
      </c>
      <c r="BZ1062" s="12"/>
      <c r="CA1062" s="12"/>
      <c r="CB1062" s="24">
        <v>978.0</v>
      </c>
      <c r="CC1062" s="11">
        <v>66.0</v>
      </c>
      <c r="CD1062" s="12"/>
      <c r="CE1062" s="12"/>
      <c r="CF1062" s="12"/>
      <c r="CG1062" s="12"/>
      <c r="CH1062" s="12"/>
      <c r="CI1062" s="12"/>
      <c r="CJ1062" s="12"/>
      <c r="CK1062" s="12"/>
      <c r="CL1062" s="11">
        <v>143210.0</v>
      </c>
      <c r="CM1062" s="11">
        <v>5700.0</v>
      </c>
      <c r="CN1062" s="11">
        <v>23170.0</v>
      </c>
      <c r="CO1062" s="12"/>
      <c r="CP1062" s="12"/>
      <c r="CQ1062" s="11">
        <v>500.0</v>
      </c>
      <c r="CR1062" s="12"/>
      <c r="CS1062" s="12"/>
      <c r="CT1062" s="12"/>
      <c r="CU1062" s="12"/>
      <c r="CV1062" s="11">
        <v>5400.0</v>
      </c>
      <c r="CW1062" s="11">
        <v>296.0</v>
      </c>
      <c r="CX1062" s="24">
        <v>56.0</v>
      </c>
      <c r="CY1062" s="12"/>
      <c r="CZ1062" s="12"/>
      <c r="DA1062" s="12"/>
      <c r="DB1062" s="11">
        <v>5400.0</v>
      </c>
      <c r="DC1062" s="11">
        <v>940.0</v>
      </c>
      <c r="DD1062" s="11">
        <v>2070.0</v>
      </c>
      <c r="DE1062" s="12"/>
      <c r="DF1062" s="11">
        <v>5910.0</v>
      </c>
      <c r="DG1062" s="11">
        <v>946.0</v>
      </c>
      <c r="DH1062" s="11">
        <v>2070.0</v>
      </c>
      <c r="DI1062" s="12"/>
      <c r="DJ1062" s="12"/>
      <c r="DK1062" s="11">
        <v>51.0</v>
      </c>
      <c r="DL1062" s="12"/>
      <c r="DM1062" s="12"/>
      <c r="DN1062" s="12"/>
      <c r="DO1062" s="12"/>
      <c r="DP1062" s="11">
        <v>512.0</v>
      </c>
      <c r="DQ1062" s="11">
        <v>6.0</v>
      </c>
      <c r="DR1062" s="12"/>
      <c r="DS1062" s="12"/>
      <c r="DT1062" s="12"/>
      <c r="DU1062" s="13"/>
      <c r="DV1062" s="11">
        <v>43000.0</v>
      </c>
      <c r="DW1062" s="11">
        <v>43000.0</v>
      </c>
      <c r="DX1062" s="13"/>
      <c r="DY1062" s="13"/>
      <c r="DZ1062" s="11">
        <v>137300.0</v>
      </c>
      <c r="EA1062" s="11">
        <v>4760.0</v>
      </c>
      <c r="EB1062" s="11">
        <v>21110.0</v>
      </c>
      <c r="EC1062" s="12"/>
      <c r="ED1062" s="12"/>
      <c r="EE1062" s="23"/>
      <c r="EF1062" s="14">
        <v>1.786</v>
      </c>
      <c r="EG1062" s="14">
        <v>0.175</v>
      </c>
      <c r="EH1062" s="14">
        <v>-3.966</v>
      </c>
    </row>
    <row r="1063">
      <c r="A1063" s="9">
        <f t="shared" si="2"/>
        <v>1061</v>
      </c>
      <c r="B1063" s="10" t="s">
        <v>1198</v>
      </c>
      <c r="C1063" s="15">
        <v>1840000.0</v>
      </c>
      <c r="D1063" s="15">
        <v>1480000.0</v>
      </c>
      <c r="E1063" s="15">
        <v>1790000.0</v>
      </c>
      <c r="F1063" s="15">
        <v>1020000.0</v>
      </c>
      <c r="G1063" s="15">
        <v>1060000.0</v>
      </c>
      <c r="H1063" s="15">
        <v>1030000.0</v>
      </c>
      <c r="I1063" s="15">
        <v>863180.0</v>
      </c>
      <c r="J1063" s="15">
        <v>275600.0</v>
      </c>
      <c r="K1063" s="15">
        <v>107880.0</v>
      </c>
      <c r="L1063" s="15">
        <v>190210.0</v>
      </c>
      <c r="M1063" s="15">
        <v>242700.0</v>
      </c>
      <c r="N1063" s="15">
        <v>-60470.0</v>
      </c>
      <c r="O1063" s="15">
        <v>42130.0</v>
      </c>
      <c r="P1063" s="15">
        <v>29360.0</v>
      </c>
      <c r="Q1063" s="15">
        <v>27770.0</v>
      </c>
      <c r="R1063" s="15">
        <v>31350.0</v>
      </c>
      <c r="S1063" s="15">
        <v>23060.0</v>
      </c>
      <c r="T1063" s="15">
        <v>0.0</v>
      </c>
      <c r="U1063" s="15">
        <v>0.0</v>
      </c>
      <c r="V1063" s="15">
        <v>0.0</v>
      </c>
      <c r="W1063" s="15">
        <v>0.0</v>
      </c>
      <c r="X1063" s="15">
        <v>0.0</v>
      </c>
      <c r="Y1063" s="15">
        <v>157390.0</v>
      </c>
      <c r="Z1063" s="15">
        <v>44450.0</v>
      </c>
      <c r="AA1063" s="15">
        <v>231110.0</v>
      </c>
      <c r="AB1063" s="15">
        <v>204800.0</v>
      </c>
      <c r="AC1063" s="15">
        <v>-285470.0</v>
      </c>
      <c r="AD1063" s="15">
        <v>239830.0</v>
      </c>
      <c r="AE1063" s="15">
        <v>42510.0</v>
      </c>
      <c r="AF1063" s="15">
        <v>237150.0</v>
      </c>
      <c r="AG1063" s="15">
        <v>223020.0</v>
      </c>
      <c r="AH1063" s="15">
        <v>-301620.0</v>
      </c>
      <c r="AI1063" s="15">
        <v>551220.0</v>
      </c>
      <c r="AJ1063" s="15">
        <v>274050.0</v>
      </c>
      <c r="AK1063" s="15">
        <v>318810.0</v>
      </c>
      <c r="AL1063" s="15">
        <v>370760.0</v>
      </c>
      <c r="AM1063" s="15">
        <v>107300.0</v>
      </c>
      <c r="AN1063" s="15">
        <v>146940.0</v>
      </c>
      <c r="AO1063" s="15">
        <v>13340.0</v>
      </c>
      <c r="AP1063" s="15">
        <v>157050.0</v>
      </c>
      <c r="AQ1063" s="15">
        <v>132600.0</v>
      </c>
      <c r="AR1063" s="15">
        <v>-289970.0</v>
      </c>
      <c r="AS1063" s="15">
        <v>374220.0</v>
      </c>
      <c r="AT1063" s="15">
        <v>200870.0</v>
      </c>
      <c r="AU1063" s="15">
        <v>291480.0</v>
      </c>
      <c r="AV1063" s="15">
        <v>284600.0</v>
      </c>
      <c r="AW1063" s="15">
        <v>113470.0</v>
      </c>
      <c r="AX1063" s="15">
        <v>-275130.0</v>
      </c>
      <c r="AY1063" s="15">
        <v>-196820.0</v>
      </c>
      <c r="AZ1063" s="15">
        <v>-210860.0</v>
      </c>
      <c r="BA1063" s="15">
        <v>-268510.0</v>
      </c>
      <c r="BB1063" s="15">
        <v>-187730.0</v>
      </c>
      <c r="BC1063" s="15">
        <v>-38920.0</v>
      </c>
      <c r="BD1063" s="15">
        <v>-27590.0</v>
      </c>
      <c r="BE1063" s="15">
        <v>-19880.0</v>
      </c>
      <c r="BF1063" s="15">
        <v>-10080.0</v>
      </c>
      <c r="BG1063" s="15">
        <v>-53350.0</v>
      </c>
      <c r="BH1063" s="15">
        <v>309070.0</v>
      </c>
      <c r="BI1063" s="15">
        <v>290250.0</v>
      </c>
      <c r="BJ1063" s="15">
        <v>286470.0</v>
      </c>
      <c r="BK1063" s="15">
        <v>291830.0</v>
      </c>
      <c r="BL1063" s="15">
        <v>314830.0</v>
      </c>
      <c r="BM1063" s="15">
        <v>241150.0</v>
      </c>
      <c r="BN1063" s="15">
        <v>149140.0</v>
      </c>
      <c r="BO1063" s="15">
        <v>158800.0</v>
      </c>
      <c r="BP1063" s="15">
        <v>197910.0</v>
      </c>
      <c r="BQ1063" s="15">
        <v>158930.0</v>
      </c>
      <c r="BR1063" s="15">
        <v>449330.0</v>
      </c>
      <c r="BS1063" s="15">
        <v>292920.0</v>
      </c>
      <c r="BT1063" s="15">
        <v>274040.0</v>
      </c>
      <c r="BU1063" s="15">
        <v>318270.0</v>
      </c>
      <c r="BV1063" s="15">
        <v>283880.0</v>
      </c>
      <c r="BW1063" s="15">
        <v>1020000.0</v>
      </c>
      <c r="BX1063" s="15">
        <v>748970.0</v>
      </c>
      <c r="BY1063" s="15">
        <v>746090.0</v>
      </c>
      <c r="BZ1063" s="15">
        <v>821870.0</v>
      </c>
      <c r="CA1063" s="15">
        <v>767010.0</v>
      </c>
      <c r="CB1063" s="15">
        <v>3250000.0</v>
      </c>
      <c r="CC1063" s="15">
        <v>1440000.0</v>
      </c>
      <c r="CD1063" s="15">
        <v>1360000.0</v>
      </c>
      <c r="CE1063" s="15">
        <v>1290000.0</v>
      </c>
      <c r="CF1063" s="15">
        <v>1210000.0</v>
      </c>
      <c r="CG1063" s="15">
        <v>3960.0</v>
      </c>
      <c r="CH1063" s="15">
        <v>4180.0</v>
      </c>
      <c r="CI1063" s="15">
        <v>3830.0</v>
      </c>
      <c r="CJ1063" s="15">
        <v>4100.0</v>
      </c>
      <c r="CK1063" s="15">
        <v>4250.0</v>
      </c>
      <c r="CL1063" s="15">
        <v>4490000.0</v>
      </c>
      <c r="CM1063" s="15">
        <v>2650000.0</v>
      </c>
      <c r="CN1063" s="15">
        <v>2500000.0</v>
      </c>
      <c r="CO1063" s="15">
        <v>2550000.0</v>
      </c>
      <c r="CP1063" s="15">
        <v>2380000.0</v>
      </c>
      <c r="CQ1063" s="15">
        <v>163670.0</v>
      </c>
      <c r="CR1063" s="15">
        <v>118960.0</v>
      </c>
      <c r="CS1063" s="15">
        <v>96260.0</v>
      </c>
      <c r="CT1063" s="15">
        <v>126210.0</v>
      </c>
      <c r="CU1063" s="15">
        <v>114410.0</v>
      </c>
      <c r="CV1063" s="15">
        <v>352290.0</v>
      </c>
      <c r="CW1063" s="15">
        <v>0.0</v>
      </c>
      <c r="CX1063" s="16">
        <v>0.0</v>
      </c>
      <c r="CY1063" s="15">
        <v>3760.0</v>
      </c>
      <c r="CZ1063" s="16">
        <v>0.0</v>
      </c>
      <c r="DA1063" s="15">
        <v>27200.0</v>
      </c>
      <c r="DB1063" s="15">
        <v>352290.0</v>
      </c>
      <c r="DC1063" s="15">
        <v>205590.0</v>
      </c>
      <c r="DD1063" s="15">
        <v>231440.0</v>
      </c>
      <c r="DE1063" s="15">
        <v>247140.0</v>
      </c>
      <c r="DF1063" s="15">
        <v>1290000.0</v>
      </c>
      <c r="DG1063" s="15">
        <v>579270.0</v>
      </c>
      <c r="DH1063" s="15">
        <v>591740.0</v>
      </c>
      <c r="DI1063" s="15">
        <v>669370.0</v>
      </c>
      <c r="DJ1063" s="15">
        <v>578450.0</v>
      </c>
      <c r="DK1063" s="15">
        <v>109340.0</v>
      </c>
      <c r="DL1063" s="15">
        <v>96650.0</v>
      </c>
      <c r="DM1063" s="15">
        <v>69180.0</v>
      </c>
      <c r="DN1063" s="15">
        <v>66960.0</v>
      </c>
      <c r="DO1063" s="15">
        <v>2290.0</v>
      </c>
      <c r="DP1063" s="15">
        <v>391630.0</v>
      </c>
      <c r="DQ1063" s="15">
        <v>1800.0</v>
      </c>
      <c r="DR1063" s="15">
        <v>2290.0</v>
      </c>
      <c r="DS1063" s="15">
        <v>53300.0</v>
      </c>
      <c r="DT1063" s="15">
        <v>52730.0</v>
      </c>
      <c r="DU1063" s="16">
        <v>0.0</v>
      </c>
      <c r="DV1063" s="15">
        <v>0.0</v>
      </c>
      <c r="DW1063" s="15">
        <v>0.0</v>
      </c>
      <c r="DX1063" s="16">
        <v>0.0</v>
      </c>
      <c r="DY1063" s="16">
        <v>0.0</v>
      </c>
      <c r="DZ1063" s="15">
        <v>3190000.0</v>
      </c>
      <c r="EA1063" s="15">
        <v>2060000.0</v>
      </c>
      <c r="EB1063" s="15">
        <v>1900000.0</v>
      </c>
      <c r="EC1063" s="15">
        <v>1870000.0</v>
      </c>
      <c r="ED1063" s="15">
        <v>1800000.0</v>
      </c>
      <c r="EE1063" s="17">
        <v>0.277</v>
      </c>
      <c r="EF1063" s="17">
        <v>0.321</v>
      </c>
      <c r="EG1063" s="17">
        <v>-1.308</v>
      </c>
      <c r="EH1063" s="17">
        <v>0.427</v>
      </c>
    </row>
    <row r="1064">
      <c r="A1064" s="9">
        <f t="shared" si="2"/>
        <v>1062</v>
      </c>
      <c r="B1064" s="10" t="s">
        <v>1199</v>
      </c>
      <c r="C1064" s="11">
        <v>669300.0</v>
      </c>
      <c r="D1064" s="11">
        <v>568740.0</v>
      </c>
      <c r="E1064" s="11">
        <v>1.623E7</v>
      </c>
      <c r="F1064" s="11">
        <v>1.412E7</v>
      </c>
      <c r="G1064" s="11">
        <v>1.237E7</v>
      </c>
      <c r="H1064" s="11">
        <v>1.111E7</v>
      </c>
      <c r="I1064" s="11">
        <v>8110000.0</v>
      </c>
      <c r="J1064" s="11">
        <v>8020000.0</v>
      </c>
      <c r="K1064" s="11">
        <v>7170000.0</v>
      </c>
      <c r="L1064" s="11">
        <v>6200000.0</v>
      </c>
      <c r="M1064" s="11">
        <v>5230000.0</v>
      </c>
      <c r="N1064" s="11">
        <v>3830000.0</v>
      </c>
      <c r="O1064" s="11"/>
      <c r="P1064" s="11"/>
      <c r="Q1064" s="11"/>
      <c r="R1064" s="11"/>
      <c r="S1064" s="11"/>
      <c r="T1064" s="12"/>
      <c r="U1064" s="12"/>
      <c r="V1064" s="12"/>
      <c r="W1064" s="12"/>
      <c r="X1064" s="12"/>
      <c r="Y1064" s="11">
        <v>7870000.0</v>
      </c>
      <c r="Z1064" s="11">
        <v>7260000.0</v>
      </c>
      <c r="AA1064" s="11">
        <v>6330000.0</v>
      </c>
      <c r="AB1064" s="11">
        <v>5310000.0</v>
      </c>
      <c r="AC1064" s="11">
        <v>3850000.0</v>
      </c>
      <c r="AD1064" s="11">
        <v>7350000.0</v>
      </c>
      <c r="AE1064" s="11">
        <v>7010000.0</v>
      </c>
      <c r="AF1064" s="11">
        <v>6180000.0</v>
      </c>
      <c r="AG1064" s="11">
        <v>4630000.0</v>
      </c>
      <c r="AH1064" s="11">
        <v>3630000.0</v>
      </c>
      <c r="AI1064" s="11">
        <v>9790000.0</v>
      </c>
      <c r="AJ1064" s="11">
        <v>8740000.0</v>
      </c>
      <c r="AK1064" s="11">
        <v>7640000.0</v>
      </c>
      <c r="AL1064" s="11">
        <v>6580000.0</v>
      </c>
      <c r="AM1064" s="11">
        <v>4980000.0</v>
      </c>
      <c r="AN1064" s="11">
        <v>5360000.0</v>
      </c>
      <c r="AO1064" s="11">
        <v>5040000.0</v>
      </c>
      <c r="AP1064" s="11">
        <v>4650000.0</v>
      </c>
      <c r="AQ1064" s="11">
        <v>3280000.0</v>
      </c>
      <c r="AR1064" s="11">
        <v>2730000.0</v>
      </c>
      <c r="AS1064" s="11">
        <v>7020000.0</v>
      </c>
      <c r="AT1064" s="11">
        <v>6330000.0</v>
      </c>
      <c r="AU1064" s="11">
        <v>5590000.0</v>
      </c>
      <c r="AV1064" s="11">
        <v>5300000.0</v>
      </c>
      <c r="AW1064" s="11">
        <v>4730000.0</v>
      </c>
      <c r="AX1064" s="11">
        <v>-2580000.0</v>
      </c>
      <c r="AY1064" s="11">
        <v>-2500000.0</v>
      </c>
      <c r="AZ1064" s="11">
        <v>-1920000.0</v>
      </c>
      <c r="BA1064" s="11">
        <v>-1860000.0</v>
      </c>
      <c r="BB1064" s="11">
        <v>-1130000.0</v>
      </c>
      <c r="BC1064" s="11">
        <v>-4430000.0</v>
      </c>
      <c r="BD1064" s="11">
        <v>-4000000.0</v>
      </c>
      <c r="BE1064" s="11">
        <v>-4760000.0</v>
      </c>
      <c r="BF1064" s="11">
        <v>-2140000.0</v>
      </c>
      <c r="BG1064" s="11">
        <v>-1740000.0</v>
      </c>
      <c r="BH1064" s="11">
        <v>7500000.0</v>
      </c>
      <c r="BI1064" s="11">
        <v>6150000.0</v>
      </c>
      <c r="BJ1064" s="11">
        <v>7730000.0</v>
      </c>
      <c r="BK1064" s="11">
        <v>5190000.0</v>
      </c>
      <c r="BL1064" s="11">
        <v>3000000.0</v>
      </c>
      <c r="BM1064" s="11">
        <v>1770000.0</v>
      </c>
      <c r="BN1064" s="11">
        <v>1620000.0</v>
      </c>
      <c r="BO1064" s="11">
        <v>1200000.0</v>
      </c>
      <c r="BP1064" s="11">
        <v>754220.0</v>
      </c>
      <c r="BQ1064" s="11">
        <v>334770.0</v>
      </c>
      <c r="BR1064" s="12"/>
      <c r="BS1064" s="12"/>
      <c r="BT1064" s="12"/>
      <c r="BU1064" s="12"/>
      <c r="BV1064" s="12"/>
      <c r="BW1064" s="11">
        <v>9370000.0</v>
      </c>
      <c r="BX1064" s="11">
        <v>7840000.0</v>
      </c>
      <c r="BY1064" s="11">
        <v>8980000.0</v>
      </c>
      <c r="BZ1064" s="11">
        <v>6000000.0</v>
      </c>
      <c r="CA1064" s="11">
        <v>3390000.0</v>
      </c>
      <c r="CB1064" s="11">
        <v>2180000.0</v>
      </c>
      <c r="CC1064" s="11">
        <v>1950000.0</v>
      </c>
      <c r="CD1064" s="11">
        <v>1660000.0</v>
      </c>
      <c r="CE1064" s="11">
        <v>1630000.0</v>
      </c>
      <c r="CF1064" s="11">
        <v>1560000.0</v>
      </c>
      <c r="CG1064" s="11"/>
      <c r="CH1064" s="11"/>
      <c r="CI1064" s="11"/>
      <c r="CJ1064" s="11"/>
      <c r="CK1064" s="11"/>
      <c r="CL1064" s="11">
        <v>4.158E7</v>
      </c>
      <c r="CM1064" s="11">
        <v>3.955E7</v>
      </c>
      <c r="CN1064" s="11">
        <v>3.952E7</v>
      </c>
      <c r="CO1064" s="11">
        <v>3.605E7</v>
      </c>
      <c r="CP1064" s="11">
        <v>3.147E7</v>
      </c>
      <c r="CQ1064" s="11">
        <v>735730.0</v>
      </c>
      <c r="CR1064" s="11">
        <v>730360.0</v>
      </c>
      <c r="CS1064" s="11">
        <v>1040000.0</v>
      </c>
      <c r="CT1064" s="11">
        <v>693100.0</v>
      </c>
      <c r="CU1064" s="11">
        <v>437240.0</v>
      </c>
      <c r="CV1064" s="11">
        <v>4680000.0</v>
      </c>
      <c r="CW1064" s="11"/>
      <c r="CX1064" s="12"/>
      <c r="CY1064" s="12"/>
      <c r="CZ1064" s="12"/>
      <c r="DA1064" s="12"/>
      <c r="DB1064" s="11">
        <v>4680000.0</v>
      </c>
      <c r="DC1064" s="11">
        <v>2170000.0</v>
      </c>
      <c r="DD1064" s="11">
        <v>2300000.0</v>
      </c>
      <c r="DE1064" s="11">
        <v>1940000.0</v>
      </c>
      <c r="DF1064" s="11">
        <v>2.091E7</v>
      </c>
      <c r="DG1064" s="11">
        <v>1.778E7</v>
      </c>
      <c r="DH1064" s="11">
        <v>1.744E7</v>
      </c>
      <c r="DI1064" s="11">
        <v>1.365E7</v>
      </c>
      <c r="DJ1064" s="11">
        <v>9320000.0</v>
      </c>
      <c r="DK1064" s="11">
        <v>4800.0</v>
      </c>
      <c r="DL1064" s="11">
        <v>136490.0</v>
      </c>
      <c r="DM1064" s="11">
        <v>117830.0</v>
      </c>
      <c r="DN1064" s="11">
        <v>94090.0</v>
      </c>
      <c r="DO1064" s="11">
        <v>92230.0</v>
      </c>
      <c r="DP1064" s="11">
        <v>1.426E7</v>
      </c>
      <c r="DQ1064" s="11">
        <v>1.357E7</v>
      </c>
      <c r="DR1064" s="11">
        <v>1.311E7</v>
      </c>
      <c r="DS1064" s="11">
        <v>9730000.0</v>
      </c>
      <c r="DT1064" s="11">
        <v>3020000.0</v>
      </c>
      <c r="DU1064" s="13"/>
      <c r="DV1064" s="12"/>
      <c r="DW1064" s="12"/>
      <c r="DX1064" s="12"/>
      <c r="DY1064" s="12"/>
      <c r="DZ1064" s="11">
        <v>1.963E7</v>
      </c>
      <c r="EA1064" s="11">
        <v>2.071E7</v>
      </c>
      <c r="EB1064" s="11">
        <v>2.103E7</v>
      </c>
      <c r="EC1064" s="11">
        <v>2.133E7</v>
      </c>
      <c r="ED1064" s="11">
        <v>2.127E7</v>
      </c>
      <c r="EE1064" s="14">
        <v>0.671</v>
      </c>
      <c r="EF1064" s="14">
        <v>0.414</v>
      </c>
      <c r="EG1064" s="14">
        <v>0.312</v>
      </c>
      <c r="EH1064" s="14">
        <v>0.125</v>
      </c>
    </row>
    <row r="1065">
      <c r="A1065" s="9">
        <f t="shared" si="2"/>
        <v>1063</v>
      </c>
      <c r="B1065" s="22" t="s">
        <v>1200</v>
      </c>
      <c r="C1065" s="11">
        <v>130730.0</v>
      </c>
      <c r="D1065" s="11">
        <v>79640.0</v>
      </c>
      <c r="E1065" s="11">
        <v>90890.0</v>
      </c>
      <c r="F1065" s="11">
        <v>78630.0</v>
      </c>
      <c r="G1065" s="11">
        <v>93470.0</v>
      </c>
      <c r="H1065" s="11">
        <v>90710.0</v>
      </c>
      <c r="I1065" s="11">
        <v>92780.0</v>
      </c>
      <c r="J1065" s="11">
        <v>34580.0</v>
      </c>
      <c r="K1065" s="11">
        <v>25100.0</v>
      </c>
      <c r="L1065" s="11">
        <v>34660.0</v>
      </c>
      <c r="M1065" s="11">
        <v>44160.0</v>
      </c>
      <c r="N1065" s="11">
        <v>53450.0</v>
      </c>
      <c r="O1065" s="11">
        <v>135120.0</v>
      </c>
      <c r="P1065" s="11">
        <v>126080.0</v>
      </c>
      <c r="Q1065" s="11">
        <v>124440.0</v>
      </c>
      <c r="R1065" s="11">
        <v>115400.0</v>
      </c>
      <c r="S1065" s="11">
        <v>105630.0</v>
      </c>
      <c r="T1065" s="11">
        <v>59630.0</v>
      </c>
      <c r="U1065" s="11">
        <v>62590.0</v>
      </c>
      <c r="V1065" s="11">
        <v>65320.0</v>
      </c>
      <c r="W1065" s="11">
        <v>67620.0</v>
      </c>
      <c r="X1065" s="11">
        <v>60440.0</v>
      </c>
      <c r="Y1065" s="11">
        <v>-100560.0</v>
      </c>
      <c r="Z1065" s="11">
        <v>-101150.0</v>
      </c>
      <c r="AA1065" s="11">
        <v>-89540.0</v>
      </c>
      <c r="AB1065" s="11">
        <v>-71000.0</v>
      </c>
      <c r="AC1065" s="11">
        <v>-28790.0</v>
      </c>
      <c r="AD1065" s="11">
        <v>-84130.0</v>
      </c>
      <c r="AE1065" s="11">
        <v>-102560.0</v>
      </c>
      <c r="AF1065" s="11">
        <v>-92190.0</v>
      </c>
      <c r="AG1065" s="11">
        <v>-74380.0</v>
      </c>
      <c r="AH1065" s="11">
        <v>-31700.0</v>
      </c>
      <c r="AI1065" s="11">
        <v>-90600.0</v>
      </c>
      <c r="AJ1065" s="11">
        <v>-93770.0</v>
      </c>
      <c r="AK1065" s="11">
        <v>-81340.0</v>
      </c>
      <c r="AL1065" s="11">
        <v>-67370.0</v>
      </c>
      <c r="AM1065" s="11">
        <v>-48500.0</v>
      </c>
      <c r="AN1065" s="11">
        <v>-84130.0</v>
      </c>
      <c r="AO1065" s="11">
        <v>-102560.0</v>
      </c>
      <c r="AP1065" s="11">
        <v>-92190.0</v>
      </c>
      <c r="AQ1065" s="11">
        <v>-74380.0</v>
      </c>
      <c r="AR1065" s="11">
        <v>-31700.0</v>
      </c>
      <c r="AS1065" s="11">
        <v>-74880.0</v>
      </c>
      <c r="AT1065" s="11">
        <v>-66430.0</v>
      </c>
      <c r="AU1065" s="11">
        <v>-67520.0</v>
      </c>
      <c r="AV1065" s="11">
        <v>-67930.0</v>
      </c>
      <c r="AW1065" s="11">
        <v>-47890.0</v>
      </c>
      <c r="AX1065" s="11">
        <v>-2840.0</v>
      </c>
      <c r="AY1065" s="11">
        <v>-1850.0</v>
      </c>
      <c r="AZ1065" s="11">
        <v>-10430.0</v>
      </c>
      <c r="BA1065" s="11">
        <v>-8210.0</v>
      </c>
      <c r="BB1065" s="11">
        <v>-3010.0</v>
      </c>
      <c r="BC1065" s="12"/>
      <c r="BD1065" s="12"/>
      <c r="BE1065" s="12"/>
      <c r="BF1065" s="12"/>
      <c r="BG1065" s="12"/>
      <c r="BH1065" s="11">
        <v>49100.0</v>
      </c>
      <c r="BI1065" s="11">
        <v>102350.0</v>
      </c>
      <c r="BJ1065" s="11">
        <v>62870.0</v>
      </c>
      <c r="BK1065" s="11">
        <v>71980.0</v>
      </c>
      <c r="BL1065" s="11">
        <v>82270.0</v>
      </c>
      <c r="BM1065" s="11">
        <v>15270.0</v>
      </c>
      <c r="BN1065" s="11">
        <v>8600.0</v>
      </c>
      <c r="BO1065" s="11">
        <v>13430.0</v>
      </c>
      <c r="BP1065" s="11">
        <v>16420.0</v>
      </c>
      <c r="BQ1065" s="11">
        <v>15250.0</v>
      </c>
      <c r="BR1065" s="11">
        <v>13310.0</v>
      </c>
      <c r="BS1065" s="11">
        <v>17880.0</v>
      </c>
      <c r="BT1065" s="11">
        <v>23070.0</v>
      </c>
      <c r="BU1065" s="11">
        <v>15630.0</v>
      </c>
      <c r="BV1065" s="11">
        <v>10960.0</v>
      </c>
      <c r="BW1065" s="11">
        <v>80450.0</v>
      </c>
      <c r="BX1065" s="11">
        <v>131660.0</v>
      </c>
      <c r="BY1065" s="11">
        <v>101620.0</v>
      </c>
      <c r="BZ1065" s="11">
        <v>109010.0</v>
      </c>
      <c r="CA1065" s="11">
        <v>110540.0</v>
      </c>
      <c r="CB1065" s="11">
        <v>62900.0</v>
      </c>
      <c r="CC1065" s="11">
        <v>34070.0</v>
      </c>
      <c r="CD1065" s="11">
        <v>37920.0</v>
      </c>
      <c r="CE1065" s="11">
        <v>14560.0</v>
      </c>
      <c r="CF1065" s="11">
        <v>8550.0</v>
      </c>
      <c r="CG1065" s="12"/>
      <c r="CH1065" s="12"/>
      <c r="CI1065" s="12"/>
      <c r="CJ1065" s="12"/>
      <c r="CK1065" s="12"/>
      <c r="CL1065" s="11">
        <v>147990.0</v>
      </c>
      <c r="CM1065" s="11">
        <v>170280.0</v>
      </c>
      <c r="CN1065" s="11">
        <v>144080.0</v>
      </c>
      <c r="CO1065" s="11">
        <v>137880.0</v>
      </c>
      <c r="CP1065" s="11">
        <v>131110.0</v>
      </c>
      <c r="CQ1065" s="11">
        <v>8370.0</v>
      </c>
      <c r="CR1065" s="11">
        <v>6740.0</v>
      </c>
      <c r="CS1065" s="11">
        <v>9090.0</v>
      </c>
      <c r="CT1065" s="11">
        <v>8360.0</v>
      </c>
      <c r="CU1065" s="11">
        <v>4750.0</v>
      </c>
      <c r="CV1065" s="11">
        <v>49150.0</v>
      </c>
      <c r="CW1065" s="11">
        <v>19710.0</v>
      </c>
      <c r="CX1065" s="12"/>
      <c r="CY1065" s="12"/>
      <c r="CZ1065" s="12"/>
      <c r="DA1065" s="12"/>
      <c r="DB1065" s="11">
        <v>49150.0</v>
      </c>
      <c r="DC1065" s="11">
        <v>26880.0</v>
      </c>
      <c r="DD1065" s="11">
        <v>28640.0</v>
      </c>
      <c r="DE1065" s="11">
        <v>33770.0</v>
      </c>
      <c r="DF1065" s="11">
        <v>93070.0</v>
      </c>
      <c r="DG1065" s="11">
        <v>56210.0</v>
      </c>
      <c r="DH1065" s="11">
        <v>57980.0</v>
      </c>
      <c r="DI1065" s="11">
        <v>53220.0</v>
      </c>
      <c r="DJ1065" s="11">
        <v>57570.0</v>
      </c>
      <c r="DK1065" s="11">
        <v>4000.0</v>
      </c>
      <c r="DL1065" s="11">
        <v>4500.0</v>
      </c>
      <c r="DM1065" s="11">
        <v>4500.0</v>
      </c>
      <c r="DN1065" s="11">
        <v>4500.0</v>
      </c>
      <c r="DO1065" s="11">
        <v>4500.0</v>
      </c>
      <c r="DP1065" s="11">
        <v>41960.0</v>
      </c>
      <c r="DQ1065" s="11">
        <v>14660.0</v>
      </c>
      <c r="DR1065" s="11">
        <v>13640.0</v>
      </c>
      <c r="DS1065" s="11">
        <v>16460.0</v>
      </c>
      <c r="DT1065" s="11">
        <v>15550.0</v>
      </c>
      <c r="DU1065" s="13"/>
      <c r="DV1065" s="12"/>
      <c r="DW1065" s="12"/>
      <c r="DX1065" s="13"/>
      <c r="DY1065" s="13"/>
      <c r="DZ1065" s="11">
        <v>54920.0</v>
      </c>
      <c r="EA1065" s="11">
        <v>114060.0</v>
      </c>
      <c r="EB1065" s="11">
        <v>86100.0</v>
      </c>
      <c r="EC1065" s="11">
        <v>84670.0</v>
      </c>
      <c r="ED1065" s="11">
        <v>73540.0</v>
      </c>
      <c r="EE1065" s="14">
        <v>0.085</v>
      </c>
      <c r="EF1065" s="14">
        <v>0.199</v>
      </c>
      <c r="EG1065" s="14">
        <v>0.167</v>
      </c>
      <c r="EH1065" s="14">
        <v>0.491</v>
      </c>
    </row>
    <row r="1066">
      <c r="A1066" s="9">
        <f t="shared" si="2"/>
        <v>1064</v>
      </c>
      <c r="B1066" s="10" t="s">
        <v>1201</v>
      </c>
      <c r="C1066" s="11">
        <v>2.216E7</v>
      </c>
      <c r="D1066" s="11">
        <v>1.996E7</v>
      </c>
      <c r="E1066" s="11">
        <v>2.318E7</v>
      </c>
      <c r="F1066" s="11">
        <v>2.279E7</v>
      </c>
      <c r="G1066" s="11">
        <v>2.139E7</v>
      </c>
      <c r="H1066" s="11">
        <v>2.012E7</v>
      </c>
      <c r="I1066" s="11">
        <v>1.928E7</v>
      </c>
      <c r="J1066" s="11">
        <v>3350000.0</v>
      </c>
      <c r="K1066" s="11">
        <v>3310000.0</v>
      </c>
      <c r="L1066" s="11">
        <v>3130000.0</v>
      </c>
      <c r="M1066" s="11">
        <v>2880000.0</v>
      </c>
      <c r="N1066" s="11">
        <v>2790000.0</v>
      </c>
      <c r="O1066" s="11">
        <v>2690000.0</v>
      </c>
      <c r="P1066" s="11">
        <v>2650000.0</v>
      </c>
      <c r="Q1066" s="11">
        <v>2520000.0</v>
      </c>
      <c r="R1066" s="11">
        <v>2300000.0</v>
      </c>
      <c r="S1066" s="11">
        <v>2220000.0</v>
      </c>
      <c r="T1066" s="12"/>
      <c r="U1066" s="12"/>
      <c r="V1066" s="12"/>
      <c r="W1066" s="12"/>
      <c r="X1066" s="12"/>
      <c r="Y1066" s="11"/>
      <c r="Z1066" s="11"/>
      <c r="AA1066" s="12"/>
      <c r="AB1066" s="11"/>
      <c r="AC1066" s="11"/>
      <c r="AD1066" s="11">
        <v>591500.0</v>
      </c>
      <c r="AE1066" s="11">
        <v>604100.0</v>
      </c>
      <c r="AF1066" s="11">
        <v>548200.0</v>
      </c>
      <c r="AG1066" s="11">
        <v>508100.0</v>
      </c>
      <c r="AH1066" s="11">
        <v>491900.0</v>
      </c>
      <c r="AI1066" s="11">
        <v>762300.0</v>
      </c>
      <c r="AJ1066" s="11">
        <v>768600.0</v>
      </c>
      <c r="AK1066" s="11">
        <v>706500.0</v>
      </c>
      <c r="AL1066" s="11">
        <v>664600.0</v>
      </c>
      <c r="AM1066" s="11">
        <v>644500.0</v>
      </c>
      <c r="AN1066" s="11">
        <v>435500.0</v>
      </c>
      <c r="AO1066" s="11">
        <v>470500.0</v>
      </c>
      <c r="AP1066" s="11">
        <v>613500.0</v>
      </c>
      <c r="AQ1066" s="11">
        <v>343900.0</v>
      </c>
      <c r="AR1066" s="11">
        <v>329600.0</v>
      </c>
      <c r="AS1066" s="11">
        <v>434400.0</v>
      </c>
      <c r="AT1066" s="11">
        <v>586800.0</v>
      </c>
      <c r="AU1066" s="11">
        <v>346700.0</v>
      </c>
      <c r="AV1066" s="11">
        <v>534100.0</v>
      </c>
      <c r="AW1066" s="11">
        <v>30700.0</v>
      </c>
      <c r="AX1066" s="11">
        <v>-245300.0</v>
      </c>
      <c r="AY1066" s="11">
        <v>-305600.0</v>
      </c>
      <c r="AZ1066" s="11">
        <v>-247000.0</v>
      </c>
      <c r="BA1066" s="11">
        <v>-203100.0</v>
      </c>
      <c r="BB1066" s="11">
        <v>-199500.0</v>
      </c>
      <c r="BC1066" s="11">
        <v>-130800.0</v>
      </c>
      <c r="BD1066" s="11">
        <v>-121200.0</v>
      </c>
      <c r="BE1066" s="11">
        <v>-108400.0</v>
      </c>
      <c r="BF1066" s="11">
        <v>-95100.0</v>
      </c>
      <c r="BG1066" s="11">
        <v>-84800.0</v>
      </c>
      <c r="BH1066" s="11">
        <v>28100.0</v>
      </c>
      <c r="BI1066" s="11">
        <v>39400.0</v>
      </c>
      <c r="BJ1066" s="11">
        <v>45700.0</v>
      </c>
      <c r="BK1066" s="11">
        <v>24000.0</v>
      </c>
      <c r="BL1066" s="11">
        <v>62400.0</v>
      </c>
      <c r="BM1066" s="11">
        <v>960300.0</v>
      </c>
      <c r="BN1066" s="11">
        <v>929100.0</v>
      </c>
      <c r="BO1066" s="11">
        <v>954900.0</v>
      </c>
      <c r="BP1066" s="11">
        <v>879000.0</v>
      </c>
      <c r="BQ1066" s="11">
        <v>782300.0</v>
      </c>
      <c r="BR1066" s="11">
        <v>4260000.0</v>
      </c>
      <c r="BS1066" s="11">
        <v>4040000.0</v>
      </c>
      <c r="BT1066" s="11">
        <v>3940000.0</v>
      </c>
      <c r="BU1066" s="11">
        <v>3410000.0</v>
      </c>
      <c r="BV1066" s="11">
        <v>3460000.0</v>
      </c>
      <c r="BW1066" s="11">
        <v>5330000.0</v>
      </c>
      <c r="BX1066" s="11">
        <v>5100000.0</v>
      </c>
      <c r="BY1066" s="11">
        <v>5030000.0</v>
      </c>
      <c r="BZ1066" s="11">
        <v>4390000.0</v>
      </c>
      <c r="CA1066" s="11">
        <v>4410000.0</v>
      </c>
      <c r="CB1066" s="11">
        <v>4730000.0</v>
      </c>
      <c r="CC1066" s="11">
        <v>2250000.0</v>
      </c>
      <c r="CD1066" s="11">
        <v>2110000.0</v>
      </c>
      <c r="CE1066" s="11">
        <v>1810000.0</v>
      </c>
      <c r="CF1066" s="11">
        <v>1520000.0</v>
      </c>
      <c r="CG1066" s="11">
        <v>1910000.0</v>
      </c>
      <c r="CH1066" s="11">
        <v>1750000.0</v>
      </c>
      <c r="CI1066" s="11">
        <v>1660000.0</v>
      </c>
      <c r="CJ1066" s="11">
        <v>1290000.0</v>
      </c>
      <c r="CK1066" s="11">
        <v>1320000.0</v>
      </c>
      <c r="CL1066" s="11">
        <v>1.462E7</v>
      </c>
      <c r="CM1066" s="11">
        <v>1.102E7</v>
      </c>
      <c r="CN1066" s="11">
        <v>1.071E7</v>
      </c>
      <c r="CO1066" s="11">
        <v>8940000.0</v>
      </c>
      <c r="CP1066" s="11">
        <v>8010000.0</v>
      </c>
      <c r="CQ1066" s="11">
        <v>638800.0</v>
      </c>
      <c r="CR1066" s="11">
        <v>598200.0</v>
      </c>
      <c r="CS1066" s="11">
        <v>641600.0</v>
      </c>
      <c r="CT1066" s="11">
        <v>497400.0</v>
      </c>
      <c r="CU1066" s="11">
        <v>493800.0</v>
      </c>
      <c r="CV1066" s="11">
        <v>5450000.0</v>
      </c>
      <c r="CW1066" s="11">
        <v>4100000.0</v>
      </c>
      <c r="CX1066" s="11">
        <v>3790000.0</v>
      </c>
      <c r="CY1066" s="11">
        <v>3760000.0</v>
      </c>
      <c r="CZ1066" s="11">
        <v>3320000.0</v>
      </c>
      <c r="DA1066" s="11">
        <v>3380000.0</v>
      </c>
      <c r="DB1066" s="11">
        <v>5450000.0</v>
      </c>
      <c r="DC1066" s="11">
        <v>5050000.0</v>
      </c>
      <c r="DD1066" s="11">
        <v>5000000.0</v>
      </c>
      <c r="DE1066" s="11">
        <v>4230000.0</v>
      </c>
      <c r="DF1066" s="11">
        <v>1.181E7</v>
      </c>
      <c r="DG1066" s="11">
        <v>8390000.0</v>
      </c>
      <c r="DH1066" s="11">
        <v>8280000.0</v>
      </c>
      <c r="DI1066" s="11">
        <v>7160000.0</v>
      </c>
      <c r="DJ1066" s="11">
        <v>6180000.0</v>
      </c>
      <c r="DK1066" s="11">
        <v>1400000.0</v>
      </c>
      <c r="DL1066" s="11">
        <v>1310000.0</v>
      </c>
      <c r="DM1066" s="11">
        <v>1260000.0</v>
      </c>
      <c r="DN1066" s="11">
        <v>893400.0</v>
      </c>
      <c r="DO1066" s="11">
        <v>336400.0</v>
      </c>
      <c r="DP1066" s="11">
        <v>4560000.0</v>
      </c>
      <c r="DQ1066" s="11">
        <v>2120000.0</v>
      </c>
      <c r="DR1066" s="11">
        <v>2090000.0</v>
      </c>
      <c r="DS1066" s="11">
        <v>1830000.0</v>
      </c>
      <c r="DT1066" s="11">
        <v>1250000.0</v>
      </c>
      <c r="DU1066" s="13"/>
      <c r="DV1066" s="12"/>
      <c r="DW1066" s="12"/>
      <c r="DX1066" s="12"/>
      <c r="DY1066" s="12"/>
      <c r="DZ1066" s="11">
        <v>2790000.0</v>
      </c>
      <c r="EA1066" s="11">
        <v>2610000.0</v>
      </c>
      <c r="EB1066" s="11">
        <v>2400000.0</v>
      </c>
      <c r="EC1066" s="11">
        <v>1750000.0</v>
      </c>
      <c r="ED1066" s="11">
        <v>1790000.0</v>
      </c>
      <c r="EE1066" s="14">
        <v>0.085</v>
      </c>
      <c r="EF1066" s="14">
        <v>0.151</v>
      </c>
      <c r="EG1066" s="14">
        <v>0.037</v>
      </c>
      <c r="EH1066" s="14">
        <v>0.001</v>
      </c>
    </row>
    <row r="1067">
      <c r="A1067" s="9">
        <f t="shared" si="2"/>
        <v>1065</v>
      </c>
      <c r="B1067" s="22" t="s">
        <v>1202</v>
      </c>
      <c r="C1067" s="11">
        <v>823590.0</v>
      </c>
      <c r="D1067" s="11">
        <v>804160.0</v>
      </c>
      <c r="E1067" s="11">
        <v>828000.0</v>
      </c>
      <c r="F1067" s="11">
        <v>819980.0</v>
      </c>
      <c r="G1067" s="11">
        <v>764280.0</v>
      </c>
      <c r="H1067" s="11">
        <v>751530.0</v>
      </c>
      <c r="I1067" s="11">
        <v>748590.0</v>
      </c>
      <c r="J1067" s="11">
        <v>263560.0</v>
      </c>
      <c r="K1067" s="11">
        <v>265410.0</v>
      </c>
      <c r="L1067" s="11">
        <v>248240.0</v>
      </c>
      <c r="M1067" s="11">
        <v>241600.0</v>
      </c>
      <c r="N1067" s="11">
        <v>236370.0</v>
      </c>
      <c r="O1067" s="11">
        <v>176410.0</v>
      </c>
      <c r="P1067" s="11">
        <v>167550.0</v>
      </c>
      <c r="Q1067" s="11">
        <v>155830.0</v>
      </c>
      <c r="R1067" s="11">
        <v>152670.0</v>
      </c>
      <c r="S1067" s="11">
        <v>148700.0</v>
      </c>
      <c r="T1067" s="11">
        <v>12080.0</v>
      </c>
      <c r="U1067" s="11">
        <v>10000.0</v>
      </c>
      <c r="V1067" s="11">
        <v>9440.0</v>
      </c>
      <c r="W1067" s="11">
        <v>11030.0</v>
      </c>
      <c r="X1067" s="11">
        <v>9510.0</v>
      </c>
      <c r="Y1067" s="11">
        <v>83230.0</v>
      </c>
      <c r="Z1067" s="11">
        <v>98930.0</v>
      </c>
      <c r="AA1067" s="11">
        <v>95340.0</v>
      </c>
      <c r="AB1067" s="11">
        <v>-3180.0</v>
      </c>
      <c r="AC1067" s="12"/>
      <c r="AD1067" s="11">
        <v>71510.0</v>
      </c>
      <c r="AE1067" s="11">
        <v>88070.0</v>
      </c>
      <c r="AF1067" s="11">
        <v>80540.0</v>
      </c>
      <c r="AG1067" s="11">
        <v>76760.0</v>
      </c>
      <c r="AH1067" s="11">
        <v>78760.0</v>
      </c>
      <c r="AI1067" s="11">
        <v>114710.0</v>
      </c>
      <c r="AJ1067" s="11">
        <v>124800.0</v>
      </c>
      <c r="AK1067" s="11">
        <v>118410.0</v>
      </c>
      <c r="AL1067" s="11">
        <v>112380.0</v>
      </c>
      <c r="AM1067" s="11">
        <v>109270.0</v>
      </c>
      <c r="AN1067" s="11">
        <v>54710.0</v>
      </c>
      <c r="AO1067" s="11">
        <v>64880.0</v>
      </c>
      <c r="AP1067" s="11">
        <v>64620.0</v>
      </c>
      <c r="AQ1067" s="11">
        <v>82730.0</v>
      </c>
      <c r="AR1067" s="11">
        <v>60280.0</v>
      </c>
      <c r="AS1067" s="11">
        <v>47170.0</v>
      </c>
      <c r="AT1067" s="11">
        <v>70010.0</v>
      </c>
      <c r="AU1067" s="11">
        <v>98390.0</v>
      </c>
      <c r="AV1067" s="11">
        <v>37220.0</v>
      </c>
      <c r="AW1067" s="11">
        <v>68700.0</v>
      </c>
      <c r="AX1067" s="11">
        <v>-29890.0</v>
      </c>
      <c r="AY1067" s="11">
        <v>-18550.0</v>
      </c>
      <c r="AZ1067" s="11">
        <v>-20880.0</v>
      </c>
      <c r="BA1067" s="11">
        <v>-36350.0</v>
      </c>
      <c r="BB1067" s="11">
        <v>-20060.0</v>
      </c>
      <c r="BC1067" s="11">
        <v>-18590.0</v>
      </c>
      <c r="BD1067" s="11">
        <v>-16070.0</v>
      </c>
      <c r="BE1067" s="11">
        <v>-15830.0</v>
      </c>
      <c r="BF1067" s="11">
        <v>-15710.0</v>
      </c>
      <c r="BG1067" s="11">
        <v>-15600.0</v>
      </c>
      <c r="BH1067" s="11">
        <v>81570.0</v>
      </c>
      <c r="BI1067" s="11">
        <v>79240.0</v>
      </c>
      <c r="BJ1067" s="11">
        <v>58770.0</v>
      </c>
      <c r="BK1067" s="11">
        <v>36630.0</v>
      </c>
      <c r="BL1067" s="11">
        <v>29710.0</v>
      </c>
      <c r="BM1067" s="11">
        <v>159020.0</v>
      </c>
      <c r="BN1067" s="11">
        <v>135740.0</v>
      </c>
      <c r="BO1067" s="11">
        <v>125850.0</v>
      </c>
      <c r="BP1067" s="11">
        <v>123790.0</v>
      </c>
      <c r="BQ1067" s="11">
        <v>111100.0</v>
      </c>
      <c r="BR1067" s="11">
        <v>198320.0</v>
      </c>
      <c r="BS1067" s="11">
        <v>178170.0</v>
      </c>
      <c r="BT1067" s="11">
        <v>161230.0</v>
      </c>
      <c r="BU1067" s="11">
        <v>167690.0</v>
      </c>
      <c r="BV1067" s="11">
        <v>149790.0</v>
      </c>
      <c r="BW1067" s="11">
        <v>466160.0</v>
      </c>
      <c r="BX1067" s="11">
        <v>415460.0</v>
      </c>
      <c r="BY1067" s="11">
        <v>363670.0</v>
      </c>
      <c r="BZ1067" s="11">
        <v>342830.0</v>
      </c>
      <c r="CA1067" s="11">
        <v>313730.0</v>
      </c>
      <c r="CB1067" s="11">
        <v>140240.0</v>
      </c>
      <c r="CC1067" s="11">
        <v>130110.0</v>
      </c>
      <c r="CD1067" s="11">
        <v>127350.0</v>
      </c>
      <c r="CE1067" s="11">
        <v>127320.0</v>
      </c>
      <c r="CF1067" s="11">
        <v>104410.0</v>
      </c>
      <c r="CG1067" s="11">
        <v>27350.0</v>
      </c>
      <c r="CH1067" s="11">
        <v>27350.0</v>
      </c>
      <c r="CI1067" s="11">
        <v>23980.0</v>
      </c>
      <c r="CJ1067" s="11">
        <v>21120.0</v>
      </c>
      <c r="CK1067" s="11">
        <v>12610.0</v>
      </c>
      <c r="CL1067" s="11">
        <v>726670.0</v>
      </c>
      <c r="CM1067" s="11">
        <v>671680.0</v>
      </c>
      <c r="CN1067" s="11">
        <v>623400.0</v>
      </c>
      <c r="CO1067" s="11">
        <v>610370.0</v>
      </c>
      <c r="CP1067" s="11">
        <v>493320.0</v>
      </c>
      <c r="CQ1067" s="11">
        <v>73190.0</v>
      </c>
      <c r="CR1067" s="11">
        <v>59500.0</v>
      </c>
      <c r="CS1067" s="11">
        <v>56890.0</v>
      </c>
      <c r="CT1067" s="11">
        <v>60170.0</v>
      </c>
      <c r="CU1067" s="11">
        <v>63060.0</v>
      </c>
      <c r="CV1067" s="11">
        <v>154230.0</v>
      </c>
      <c r="CW1067" s="12"/>
      <c r="CX1067" s="12"/>
      <c r="CY1067" s="12"/>
      <c r="CZ1067" s="12"/>
      <c r="DA1067" s="12"/>
      <c r="DB1067" s="11">
        <v>154230.0</v>
      </c>
      <c r="DC1067" s="11">
        <v>143220.0</v>
      </c>
      <c r="DD1067" s="11">
        <v>115800.0</v>
      </c>
      <c r="DE1067" s="11">
        <v>108670.0</v>
      </c>
      <c r="DF1067" s="11">
        <v>510660.0</v>
      </c>
      <c r="DG1067" s="11">
        <v>486730.0</v>
      </c>
      <c r="DH1067" s="11">
        <v>472240.0</v>
      </c>
      <c r="DI1067" s="11">
        <v>519890.0</v>
      </c>
      <c r="DJ1067" s="11">
        <v>463690.0</v>
      </c>
      <c r="DK1067" s="11">
        <v>9630.0</v>
      </c>
      <c r="DL1067" s="11">
        <v>14260.0</v>
      </c>
      <c r="DM1067" s="11">
        <v>9330.0</v>
      </c>
      <c r="DN1067" s="11">
        <v>9410.0</v>
      </c>
      <c r="DO1067" s="11">
        <v>9510.0</v>
      </c>
      <c r="DP1067" s="11">
        <v>313640.0</v>
      </c>
      <c r="DQ1067" s="11">
        <v>299800.0</v>
      </c>
      <c r="DR1067" s="11">
        <v>306890.0</v>
      </c>
      <c r="DS1067" s="11">
        <v>349910.0</v>
      </c>
      <c r="DT1067" s="11">
        <v>286710.0</v>
      </c>
      <c r="DU1067" s="13"/>
      <c r="DV1067" s="13"/>
      <c r="DW1067" s="13"/>
      <c r="DX1067" s="13"/>
      <c r="DY1067" s="13"/>
      <c r="DZ1067" s="11">
        <v>216020.0</v>
      </c>
      <c r="EA1067" s="11">
        <v>184950.0</v>
      </c>
      <c r="EB1067" s="11">
        <v>151160.0</v>
      </c>
      <c r="EC1067" s="11">
        <v>90480.0</v>
      </c>
      <c r="ED1067" s="11">
        <v>29630.0</v>
      </c>
      <c r="EE1067" s="14">
        <v>0.014</v>
      </c>
      <c r="EF1067" s="14">
        <v>0.061</v>
      </c>
      <c r="EG1067" s="14">
        <v>0.118</v>
      </c>
      <c r="EH1067" s="14">
        <v>0.01</v>
      </c>
    </row>
    <row r="1068">
      <c r="A1068" s="9">
        <f t="shared" si="2"/>
        <v>1066</v>
      </c>
      <c r="B1068" s="22" t="s">
        <v>1203</v>
      </c>
      <c r="C1068" s="11">
        <v>2340.0</v>
      </c>
      <c r="D1068" s="11">
        <v>7000.0</v>
      </c>
      <c r="E1068" s="11">
        <v>967.0</v>
      </c>
      <c r="F1068" s="12"/>
      <c r="G1068" s="12"/>
      <c r="H1068" s="12"/>
      <c r="I1068" s="12"/>
      <c r="J1068" s="12"/>
      <c r="K1068" s="11">
        <v>-94.0</v>
      </c>
      <c r="L1068" s="12"/>
      <c r="M1068" s="12"/>
      <c r="N1068" s="12"/>
      <c r="O1068" s="11">
        <v>22940.0</v>
      </c>
      <c r="P1068" s="11">
        <v>10960.0</v>
      </c>
      <c r="Q1068" s="12"/>
      <c r="R1068" s="12"/>
      <c r="S1068" s="12"/>
      <c r="T1068" s="11">
        <v>18180.0</v>
      </c>
      <c r="U1068" s="11">
        <v>8390.0</v>
      </c>
      <c r="V1068" s="12"/>
      <c r="W1068" s="12"/>
      <c r="X1068" s="12"/>
      <c r="Y1068" s="11">
        <v>-22110.0</v>
      </c>
      <c r="Z1068" s="12"/>
      <c r="AA1068" s="12"/>
      <c r="AB1068" s="12"/>
      <c r="AC1068" s="12"/>
      <c r="AD1068" s="11">
        <v>-21880.0</v>
      </c>
      <c r="AE1068" s="11">
        <v>-10890.0</v>
      </c>
      <c r="AF1068" s="12"/>
      <c r="AG1068" s="12"/>
      <c r="AH1068" s="12"/>
      <c r="AI1068" s="11">
        <v>-21980.0</v>
      </c>
      <c r="AJ1068" s="11">
        <v>-10960.0</v>
      </c>
      <c r="AK1068" s="12"/>
      <c r="AL1068" s="12"/>
      <c r="AM1068" s="12"/>
      <c r="AN1068" s="11">
        <v>-21880.0</v>
      </c>
      <c r="AO1068" s="11">
        <v>-10890.0</v>
      </c>
      <c r="AP1068" s="12"/>
      <c r="AQ1068" s="12"/>
      <c r="AR1068" s="12"/>
      <c r="AS1068" s="11">
        <v>-13430.0</v>
      </c>
      <c r="AT1068" s="11">
        <v>-10610.0</v>
      </c>
      <c r="AU1068" s="12"/>
      <c r="AV1068" s="12"/>
      <c r="AW1068" s="12"/>
      <c r="AX1068" s="11">
        <v>-635.0</v>
      </c>
      <c r="AY1068" s="11">
        <v>-637.0</v>
      </c>
      <c r="AZ1068" s="12"/>
      <c r="BA1068" s="12"/>
      <c r="BB1068" s="12"/>
      <c r="BC1068" s="12"/>
      <c r="BD1068" s="12"/>
      <c r="BE1068" s="12"/>
      <c r="BF1068" s="12"/>
      <c r="BG1068" s="12"/>
      <c r="BH1068" s="11">
        <v>15970.0</v>
      </c>
      <c r="BI1068" s="11">
        <v>10170.0</v>
      </c>
      <c r="BJ1068" s="12"/>
      <c r="BK1068" s="12"/>
      <c r="BL1068" s="12"/>
      <c r="BM1068" s="11">
        <v>3240.0</v>
      </c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1">
        <v>19970.0</v>
      </c>
      <c r="BX1068" s="11">
        <v>11460.0</v>
      </c>
      <c r="BY1068" s="12"/>
      <c r="BZ1068" s="12"/>
      <c r="CA1068" s="12"/>
      <c r="CB1068" s="11">
        <v>1050.0</v>
      </c>
      <c r="CC1068" s="11">
        <v>765.0</v>
      </c>
      <c r="CD1068" s="12"/>
      <c r="CE1068" s="12"/>
      <c r="CF1068" s="12"/>
      <c r="CG1068" s="12"/>
      <c r="CH1068" s="12"/>
      <c r="CI1068" s="12"/>
      <c r="CJ1068" s="12"/>
      <c r="CK1068" s="12"/>
      <c r="CL1068" s="11">
        <v>21020.0</v>
      </c>
      <c r="CM1068" s="11">
        <v>12220.0</v>
      </c>
      <c r="CN1068" s="12"/>
      <c r="CO1068" s="12"/>
      <c r="CP1068" s="12"/>
      <c r="CQ1068" s="11">
        <v>1210.0</v>
      </c>
      <c r="CR1068" s="11">
        <v>951.0</v>
      </c>
      <c r="CS1068" s="12"/>
      <c r="CT1068" s="12"/>
      <c r="CU1068" s="12"/>
      <c r="CV1068" s="11">
        <v>7030.0</v>
      </c>
      <c r="CW1068" s="12"/>
      <c r="CX1068" s="12"/>
      <c r="CY1068" s="12"/>
      <c r="CZ1068" s="12"/>
      <c r="DA1068" s="12"/>
      <c r="DB1068" s="11">
        <v>7030.0</v>
      </c>
      <c r="DC1068" s="11">
        <v>2290.0</v>
      </c>
      <c r="DD1068" s="12"/>
      <c r="DE1068" s="12"/>
      <c r="DF1068" s="11">
        <v>16840.0</v>
      </c>
      <c r="DG1068" s="11">
        <v>4300.0</v>
      </c>
      <c r="DH1068" s="12"/>
      <c r="DI1068" s="12"/>
      <c r="DJ1068" s="12"/>
      <c r="DK1068" s="12"/>
      <c r="DL1068" s="12"/>
      <c r="DM1068" s="12"/>
      <c r="DN1068" s="12"/>
      <c r="DO1068" s="12"/>
      <c r="DP1068" s="11">
        <v>3680.0</v>
      </c>
      <c r="DQ1068" s="11">
        <v>2010.0</v>
      </c>
      <c r="DR1068" s="12"/>
      <c r="DS1068" s="12"/>
      <c r="DT1068" s="12"/>
      <c r="DU1068" s="11">
        <v>46970.0</v>
      </c>
      <c r="DV1068" s="11">
        <v>24980.0</v>
      </c>
      <c r="DW1068" s="12"/>
      <c r="DX1068" s="13"/>
      <c r="DY1068" s="13"/>
      <c r="DZ1068" s="11">
        <v>4180.0</v>
      </c>
      <c r="EA1068" s="11">
        <v>7920.0</v>
      </c>
      <c r="EB1068" s="12"/>
      <c r="EC1068" s="12"/>
      <c r="ED1068" s="12"/>
      <c r="EE1068" s="14">
        <v>0.429</v>
      </c>
      <c r="EF1068" s="14">
        <v>1.269</v>
      </c>
      <c r="EG1068" s="23" t="s">
        <v>155</v>
      </c>
      <c r="EH1068" s="23"/>
    </row>
    <row r="1069">
      <c r="A1069" s="9">
        <f t="shared" si="2"/>
        <v>1067</v>
      </c>
      <c r="B1069" s="10" t="s">
        <v>1204</v>
      </c>
      <c r="C1069" s="12"/>
      <c r="D1069" s="11">
        <v>390030.0</v>
      </c>
      <c r="E1069" s="11">
        <v>412200.0</v>
      </c>
      <c r="F1069" s="11">
        <v>372970.0</v>
      </c>
      <c r="G1069" s="11">
        <v>385950.0</v>
      </c>
      <c r="H1069" s="11">
        <v>238020.0</v>
      </c>
      <c r="I1069" s="11">
        <v>287330.0</v>
      </c>
      <c r="J1069" s="11">
        <v>49970.0</v>
      </c>
      <c r="K1069" s="11">
        <v>53420.0</v>
      </c>
      <c r="L1069" s="11">
        <v>40460.0</v>
      </c>
      <c r="M1069" s="11">
        <v>25670.0</v>
      </c>
      <c r="N1069" s="11">
        <v>41490.0</v>
      </c>
      <c r="O1069" s="11">
        <v>17380.0</v>
      </c>
      <c r="P1069" s="11">
        <v>16480.0</v>
      </c>
      <c r="Q1069" s="11">
        <v>15160.0</v>
      </c>
      <c r="R1069" s="11">
        <v>12770.0</v>
      </c>
      <c r="S1069" s="11">
        <v>14970.0</v>
      </c>
      <c r="T1069" s="12"/>
      <c r="U1069" s="12"/>
      <c r="V1069" s="12"/>
      <c r="W1069" s="12"/>
      <c r="X1069" s="12"/>
      <c r="Y1069" s="11">
        <v>30600.0</v>
      </c>
      <c r="Z1069" s="11">
        <v>33060.0</v>
      </c>
      <c r="AA1069" s="12">
        <v>360.0</v>
      </c>
      <c r="AB1069" s="11">
        <v>15060.0</v>
      </c>
      <c r="AC1069" s="11">
        <v>20790.0</v>
      </c>
      <c r="AD1069" s="11">
        <v>17050.0</v>
      </c>
      <c r="AE1069" s="11">
        <v>23980.0</v>
      </c>
      <c r="AF1069" s="11">
        <v>9100.0</v>
      </c>
      <c r="AG1069" s="11">
        <v>9160.0</v>
      </c>
      <c r="AH1069" s="11">
        <v>13370.0</v>
      </c>
      <c r="AI1069" s="11">
        <v>51120.0</v>
      </c>
      <c r="AJ1069" s="11">
        <v>54550.0</v>
      </c>
      <c r="AK1069" s="11">
        <v>40920.0</v>
      </c>
      <c r="AL1069" s="11">
        <v>27000.0</v>
      </c>
      <c r="AM1069" s="11">
        <v>39250.0</v>
      </c>
      <c r="AN1069" s="11">
        <v>11660.0</v>
      </c>
      <c r="AO1069" s="11">
        <v>17760.0</v>
      </c>
      <c r="AP1069" s="11">
        <v>7810.0</v>
      </c>
      <c r="AQ1069" s="11">
        <v>7460.0</v>
      </c>
      <c r="AR1069" s="11">
        <v>11280.0</v>
      </c>
      <c r="AS1069" s="11">
        <v>44460.0</v>
      </c>
      <c r="AT1069" s="11">
        <v>39410.0</v>
      </c>
      <c r="AU1069" s="11">
        <v>29220.0</v>
      </c>
      <c r="AV1069" s="11">
        <v>17710.0</v>
      </c>
      <c r="AW1069" s="11">
        <v>27010.0</v>
      </c>
      <c r="AX1069" s="11">
        <v>-41630.0</v>
      </c>
      <c r="AY1069" s="11">
        <v>-17540.0</v>
      </c>
      <c r="AZ1069" s="11">
        <v>-64030.0</v>
      </c>
      <c r="BA1069" s="12">
        <v>-635.0</v>
      </c>
      <c r="BB1069" s="11">
        <v>-44850.0</v>
      </c>
      <c r="BC1069" s="11">
        <v>-8090.0</v>
      </c>
      <c r="BD1069" s="11">
        <v>-2270.0</v>
      </c>
      <c r="BE1069" s="11">
        <v>-1000.0</v>
      </c>
      <c r="BF1069" s="11">
        <v>-100.0</v>
      </c>
      <c r="BG1069" s="11">
        <v>-100.0</v>
      </c>
      <c r="BH1069" s="11">
        <v>50560.0</v>
      </c>
      <c r="BI1069" s="11">
        <v>53610.0</v>
      </c>
      <c r="BJ1069" s="11">
        <v>34530.0</v>
      </c>
      <c r="BK1069" s="11">
        <v>28420.0</v>
      </c>
      <c r="BL1069" s="11">
        <v>39520.0</v>
      </c>
      <c r="BM1069" s="11">
        <v>34780.0</v>
      </c>
      <c r="BN1069" s="11">
        <v>30960.0</v>
      </c>
      <c r="BO1069" s="11">
        <v>27240.0</v>
      </c>
      <c r="BP1069" s="11">
        <v>20480.0</v>
      </c>
      <c r="BQ1069" s="11">
        <v>19620.0</v>
      </c>
      <c r="BR1069" s="11">
        <v>24990.0</v>
      </c>
      <c r="BS1069" s="11">
        <v>25070.0</v>
      </c>
      <c r="BT1069" s="11">
        <v>18990.0</v>
      </c>
      <c r="BU1069" s="11">
        <v>15440.0</v>
      </c>
      <c r="BV1069" s="11">
        <v>8630.0</v>
      </c>
      <c r="BW1069" s="11">
        <v>126960.0</v>
      </c>
      <c r="BX1069" s="11">
        <v>113510.0</v>
      </c>
      <c r="BY1069" s="11">
        <v>83010.0</v>
      </c>
      <c r="BZ1069" s="11">
        <v>68540.0</v>
      </c>
      <c r="CA1069" s="11">
        <v>69310.0</v>
      </c>
      <c r="CB1069" s="11">
        <v>335090.0</v>
      </c>
      <c r="CC1069" s="11">
        <v>337470.0</v>
      </c>
      <c r="CD1069" s="11">
        <v>336290.0</v>
      </c>
      <c r="CE1069" s="11">
        <v>275270.0</v>
      </c>
      <c r="CF1069" s="11">
        <v>255150.0</v>
      </c>
      <c r="CG1069" s="11"/>
      <c r="CH1069" s="11"/>
      <c r="CI1069" s="11"/>
      <c r="CJ1069" s="11"/>
      <c r="CK1069" s="11"/>
      <c r="CL1069" s="11">
        <v>479900.0</v>
      </c>
      <c r="CM1069" s="11">
        <v>453470.0</v>
      </c>
      <c r="CN1069" s="11">
        <v>423300.0</v>
      </c>
      <c r="CO1069" s="11">
        <v>362190.0</v>
      </c>
      <c r="CP1069" s="11">
        <v>366960.0</v>
      </c>
      <c r="CQ1069" s="11">
        <v>24170.0</v>
      </c>
      <c r="CR1069" s="11">
        <v>19890.0</v>
      </c>
      <c r="CS1069" s="11">
        <v>15690.0</v>
      </c>
      <c r="CT1069" s="11">
        <v>15440.0</v>
      </c>
      <c r="CU1069" s="11">
        <v>14060.0</v>
      </c>
      <c r="CV1069" s="11">
        <v>90850.0</v>
      </c>
      <c r="CW1069" s="12">
        <v>333.0</v>
      </c>
      <c r="CX1069" s="11">
        <v>2880.0</v>
      </c>
      <c r="CY1069" s="11">
        <v>7010.0</v>
      </c>
      <c r="CZ1069" s="11">
        <v>15970.0</v>
      </c>
      <c r="DA1069" s="11">
        <v>13320.0</v>
      </c>
      <c r="DB1069" s="11">
        <v>90850.0</v>
      </c>
      <c r="DC1069" s="11">
        <v>79050.0</v>
      </c>
      <c r="DD1069" s="11">
        <v>70010.0</v>
      </c>
      <c r="DE1069" s="11">
        <v>77880.0</v>
      </c>
      <c r="DF1069" s="11">
        <v>236830.0</v>
      </c>
      <c r="DG1069" s="11">
        <v>220110.0</v>
      </c>
      <c r="DH1069" s="11">
        <v>212640.0</v>
      </c>
      <c r="DI1069" s="11">
        <v>185520.0</v>
      </c>
      <c r="DJ1069" s="11">
        <v>201650.0</v>
      </c>
      <c r="DK1069" s="11">
        <v>17860.0</v>
      </c>
      <c r="DL1069" s="11">
        <v>2500.0</v>
      </c>
      <c r="DM1069" s="11">
        <v>4000.0</v>
      </c>
      <c r="DN1069" s="11">
        <v>18380.0</v>
      </c>
      <c r="DO1069" s="11">
        <v>42510.0</v>
      </c>
      <c r="DP1069" s="11">
        <v>141150.0</v>
      </c>
      <c r="DQ1069" s="11">
        <v>141060.0</v>
      </c>
      <c r="DR1069" s="11">
        <v>142630.0</v>
      </c>
      <c r="DS1069" s="11">
        <v>107640.0</v>
      </c>
      <c r="DT1069" s="11">
        <v>129500.0</v>
      </c>
      <c r="DU1069" s="13"/>
      <c r="DV1069" s="12"/>
      <c r="DW1069" s="12"/>
      <c r="DX1069" s="12"/>
      <c r="DY1069" s="12"/>
      <c r="DZ1069" s="11">
        <v>170250.0</v>
      </c>
      <c r="EA1069" s="11">
        <v>161690.0</v>
      </c>
      <c r="EB1069" s="11">
        <v>145350.0</v>
      </c>
      <c r="EC1069" s="11">
        <v>116270.0</v>
      </c>
      <c r="ED1069" s="11">
        <v>108210.0</v>
      </c>
      <c r="EE1069" s="14">
        <v>0.0</v>
      </c>
      <c r="EF1069" s="23"/>
      <c r="EG1069" s="14">
        <v>1.643</v>
      </c>
      <c r="EH1069" s="14">
        <v>-1.234</v>
      </c>
    </row>
    <row r="1070">
      <c r="A1070" s="9">
        <f t="shared" si="2"/>
        <v>1068</v>
      </c>
      <c r="B1070" s="22" t="s">
        <v>1205</v>
      </c>
      <c r="C1070" s="12"/>
      <c r="D1070" s="12"/>
      <c r="E1070" s="12"/>
      <c r="F1070" s="12"/>
      <c r="G1070" s="12"/>
      <c r="H1070" s="12"/>
      <c r="I1070" s="12"/>
      <c r="J1070" s="11">
        <v>-134.0</v>
      </c>
      <c r="K1070" s="12"/>
      <c r="L1070" s="12"/>
      <c r="M1070" s="12"/>
      <c r="N1070" s="12"/>
      <c r="O1070" s="11">
        <v>36560.0</v>
      </c>
      <c r="P1070" s="11">
        <v>10100.0</v>
      </c>
      <c r="Q1070" s="12"/>
      <c r="R1070" s="12"/>
      <c r="S1070" s="12"/>
      <c r="T1070" s="11">
        <v>29740.0</v>
      </c>
      <c r="U1070" s="11">
        <v>9170.0</v>
      </c>
      <c r="V1070" s="12"/>
      <c r="W1070" s="12"/>
      <c r="X1070" s="12"/>
      <c r="Y1070" s="11">
        <v>-46330.0</v>
      </c>
      <c r="Z1070" s="11">
        <v>-12770.0</v>
      </c>
      <c r="AA1070" s="12"/>
      <c r="AB1070" s="12"/>
      <c r="AC1070" s="12"/>
      <c r="AD1070" s="11">
        <v>-45630.0</v>
      </c>
      <c r="AE1070" s="11">
        <v>-12770.0</v>
      </c>
      <c r="AF1070" s="12"/>
      <c r="AG1070" s="12"/>
      <c r="AH1070" s="12"/>
      <c r="AI1070" s="11">
        <v>-36560.0</v>
      </c>
      <c r="AJ1070" s="11">
        <v>-10100.0</v>
      </c>
      <c r="AK1070" s="12"/>
      <c r="AL1070" s="12"/>
      <c r="AM1070" s="12"/>
      <c r="AN1070" s="11">
        <v>-45630.0</v>
      </c>
      <c r="AO1070" s="11">
        <v>-12770.0</v>
      </c>
      <c r="AP1070" s="12"/>
      <c r="AQ1070" s="12"/>
      <c r="AR1070" s="12"/>
      <c r="AS1070" s="11">
        <v>-39900.0</v>
      </c>
      <c r="AT1070" s="11">
        <v>-18570.0</v>
      </c>
      <c r="AU1070" s="12"/>
      <c r="AV1070" s="12"/>
      <c r="AW1070" s="12"/>
      <c r="AX1070" s="11">
        <v>-1690.0</v>
      </c>
      <c r="AY1070" s="11">
        <v>-2540.0</v>
      </c>
      <c r="AZ1070" s="12"/>
      <c r="BA1070" s="12"/>
      <c r="BB1070" s="12"/>
      <c r="BC1070" s="12"/>
      <c r="BD1070" s="12"/>
      <c r="BE1070" s="12"/>
      <c r="BF1070" s="12"/>
      <c r="BG1070" s="12"/>
      <c r="BH1070" s="11">
        <v>158870.0</v>
      </c>
      <c r="BI1070" s="11">
        <v>24860.0</v>
      </c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1">
        <v>165780.0</v>
      </c>
      <c r="BX1070" s="11">
        <v>33400.0</v>
      </c>
      <c r="BY1070" s="12"/>
      <c r="BZ1070" s="12"/>
      <c r="CA1070" s="12"/>
      <c r="CB1070" s="11">
        <v>1090.0</v>
      </c>
      <c r="CC1070" s="11">
        <v>28.0</v>
      </c>
      <c r="CD1070" s="12"/>
      <c r="CE1070" s="12"/>
      <c r="CF1070" s="12"/>
      <c r="CG1070" s="12"/>
      <c r="CH1070" s="12"/>
      <c r="CI1070" s="12"/>
      <c r="CJ1070" s="12"/>
      <c r="CK1070" s="12"/>
      <c r="CL1070" s="11">
        <v>178610.0</v>
      </c>
      <c r="CM1070" s="11">
        <v>33460.0</v>
      </c>
      <c r="CN1070" s="12"/>
      <c r="CO1070" s="12"/>
      <c r="CP1070" s="12"/>
      <c r="CQ1070" s="11">
        <v>629.0</v>
      </c>
      <c r="CR1070" s="11">
        <v>212.0</v>
      </c>
      <c r="CS1070" s="12"/>
      <c r="CT1070" s="12"/>
      <c r="CU1070" s="12"/>
      <c r="CV1070" s="11">
        <v>3680.0</v>
      </c>
      <c r="CW1070" s="12"/>
      <c r="CX1070" s="12"/>
      <c r="CY1070" s="12"/>
      <c r="CZ1070" s="12"/>
      <c r="DA1070" s="12"/>
      <c r="DB1070" s="11">
        <v>3680.0</v>
      </c>
      <c r="DC1070" s="11">
        <v>307.0</v>
      </c>
      <c r="DD1070" s="12"/>
      <c r="DE1070" s="12"/>
      <c r="DF1070" s="11">
        <v>4260.0</v>
      </c>
      <c r="DG1070" s="11">
        <v>2520.0</v>
      </c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3"/>
      <c r="DV1070" s="12"/>
      <c r="DW1070" s="12"/>
      <c r="DX1070" s="13"/>
      <c r="DY1070" s="13"/>
      <c r="DZ1070" s="11">
        <v>-56250.0</v>
      </c>
      <c r="EA1070" s="11">
        <v>-12170.0</v>
      </c>
      <c r="EB1070" s="12"/>
      <c r="EC1070" s="12"/>
      <c r="ED1070" s="12"/>
      <c r="EE1070" s="23"/>
      <c r="EF1070" s="23"/>
      <c r="EG1070" s="14">
        <v>-0.053</v>
      </c>
      <c r="EH1070" s="23"/>
    </row>
    <row r="1071">
      <c r="A1071" s="9">
        <f t="shared" si="2"/>
        <v>1069</v>
      </c>
      <c r="B1071" s="10" t="s">
        <v>1206</v>
      </c>
      <c r="C1071" s="11">
        <v>2370000.0</v>
      </c>
      <c r="D1071" s="11">
        <v>2120000.0</v>
      </c>
      <c r="E1071" s="11">
        <v>2340000.0</v>
      </c>
      <c r="F1071" s="11">
        <v>2260000.0</v>
      </c>
      <c r="G1071" s="11">
        <v>1640000.0</v>
      </c>
      <c r="H1071" s="11">
        <v>1220000.0</v>
      </c>
      <c r="I1071" s="11">
        <v>920330.0</v>
      </c>
      <c r="J1071" s="11">
        <v>386960.0</v>
      </c>
      <c r="K1071" s="11">
        <v>381650.0</v>
      </c>
      <c r="L1071" s="11">
        <v>259540.0</v>
      </c>
      <c r="M1071" s="11">
        <v>189100.0</v>
      </c>
      <c r="N1071" s="11">
        <v>143490.0</v>
      </c>
      <c r="O1071" s="11">
        <v>232520.0</v>
      </c>
      <c r="P1071" s="11">
        <v>203240.0</v>
      </c>
      <c r="Q1071" s="11">
        <v>137640.0</v>
      </c>
      <c r="R1071" s="11">
        <v>98260.0</v>
      </c>
      <c r="S1071" s="11">
        <v>73570.0</v>
      </c>
      <c r="T1071" s="12"/>
      <c r="U1071" s="12"/>
      <c r="V1071" s="12"/>
      <c r="W1071" s="12"/>
      <c r="X1071" s="12"/>
      <c r="Y1071" s="11"/>
      <c r="Z1071" s="11"/>
      <c r="AA1071" s="11"/>
      <c r="AB1071" s="11"/>
      <c r="AC1071" s="11"/>
      <c r="AD1071" s="11">
        <v>117830.0</v>
      </c>
      <c r="AE1071" s="11">
        <v>151980.0</v>
      </c>
      <c r="AF1071" s="11">
        <v>113110.0</v>
      </c>
      <c r="AG1071" s="11">
        <v>83650.0</v>
      </c>
      <c r="AH1071" s="11">
        <v>65600.0</v>
      </c>
      <c r="AI1071" s="11">
        <v>217240.0</v>
      </c>
      <c r="AJ1071" s="11">
        <v>233470.0</v>
      </c>
      <c r="AK1071" s="11">
        <v>155440.0</v>
      </c>
      <c r="AL1071" s="11">
        <v>115200.0</v>
      </c>
      <c r="AM1071" s="11">
        <v>86690.0</v>
      </c>
      <c r="AN1071" s="11">
        <v>89570.0</v>
      </c>
      <c r="AO1071" s="11">
        <v>119830.0</v>
      </c>
      <c r="AP1071" s="11">
        <v>85720.0</v>
      </c>
      <c r="AQ1071" s="11">
        <v>55580.0</v>
      </c>
      <c r="AR1071" s="11">
        <v>42220.0</v>
      </c>
      <c r="AS1071" s="11">
        <v>192410.0</v>
      </c>
      <c r="AT1071" s="11">
        <v>200010.0</v>
      </c>
      <c r="AU1071" s="11">
        <v>99900.0</v>
      </c>
      <c r="AV1071" s="11">
        <v>97150.0</v>
      </c>
      <c r="AW1071" s="11">
        <v>66860.0</v>
      </c>
      <c r="AX1071" s="11">
        <v>-27660.0</v>
      </c>
      <c r="AY1071" s="11">
        <v>-34490.0</v>
      </c>
      <c r="AZ1071" s="11">
        <v>-22500.0</v>
      </c>
      <c r="BA1071" s="11">
        <v>-15410.0</v>
      </c>
      <c r="BB1071" s="11">
        <v>-7960.0</v>
      </c>
      <c r="BC1071" s="24">
        <v>-5800.0</v>
      </c>
      <c r="BD1071" s="13"/>
      <c r="BE1071" s="13"/>
      <c r="BF1071" s="13"/>
      <c r="BG1071" s="13"/>
      <c r="BH1071" s="11">
        <v>139390.0</v>
      </c>
      <c r="BI1071" s="11">
        <v>6900.0</v>
      </c>
      <c r="BJ1071" s="11">
        <v>2770.0</v>
      </c>
      <c r="BK1071" s="11">
        <v>6450.0</v>
      </c>
      <c r="BL1071" s="11">
        <v>87.0</v>
      </c>
      <c r="BM1071" s="11">
        <v>102960.0</v>
      </c>
      <c r="BN1071" s="11">
        <v>82500.0</v>
      </c>
      <c r="BO1071" s="11">
        <v>77780.0</v>
      </c>
      <c r="BP1071" s="11">
        <v>38460.0</v>
      </c>
      <c r="BQ1071" s="11">
        <v>38210.0</v>
      </c>
      <c r="BR1071" s="11">
        <v>253870.0</v>
      </c>
      <c r="BS1071" s="11">
        <v>272900.0</v>
      </c>
      <c r="BT1071" s="11">
        <v>175270.0</v>
      </c>
      <c r="BU1071" s="11">
        <v>120020.0</v>
      </c>
      <c r="BV1071" s="11">
        <v>89480.0</v>
      </c>
      <c r="BW1071" s="11">
        <v>516830.0</v>
      </c>
      <c r="BX1071" s="11">
        <v>385170.0</v>
      </c>
      <c r="BY1071" s="11">
        <v>273950.0</v>
      </c>
      <c r="BZ1071" s="11">
        <v>172770.0</v>
      </c>
      <c r="CA1071" s="11">
        <v>133900.0</v>
      </c>
      <c r="CB1071" s="11">
        <v>274400.0</v>
      </c>
      <c r="CC1071" s="11">
        <v>177150.0</v>
      </c>
      <c r="CD1071" s="11">
        <v>118490.0</v>
      </c>
      <c r="CE1071" s="11">
        <v>85480.0</v>
      </c>
      <c r="CF1071" s="11">
        <v>67880.0</v>
      </c>
      <c r="CG1071" s="11">
        <v>319350.0</v>
      </c>
      <c r="CH1071" s="11">
        <v>281730.0</v>
      </c>
      <c r="CI1071" s="11">
        <v>208040.0</v>
      </c>
      <c r="CJ1071" s="11">
        <v>109890.0</v>
      </c>
      <c r="CK1071" s="11">
        <v>68610.0</v>
      </c>
      <c r="CL1071" s="11">
        <v>1470000.0</v>
      </c>
      <c r="CM1071" s="11">
        <v>1230000.0</v>
      </c>
      <c r="CN1071" s="11">
        <v>866640.0</v>
      </c>
      <c r="CO1071" s="11">
        <v>534950.0</v>
      </c>
      <c r="CP1071" s="11">
        <v>381580.0</v>
      </c>
      <c r="CQ1071" s="11">
        <v>96210.0</v>
      </c>
      <c r="CR1071" s="11">
        <v>89800.0</v>
      </c>
      <c r="CS1071" s="11">
        <v>84110.0</v>
      </c>
      <c r="CT1071" s="11">
        <v>46750.0</v>
      </c>
      <c r="CU1071" s="11">
        <v>28740.0</v>
      </c>
      <c r="CV1071" s="11">
        <v>186940.0</v>
      </c>
      <c r="CW1071" s="11">
        <v>27690.0</v>
      </c>
      <c r="CX1071" s="13"/>
      <c r="CY1071" s="13"/>
      <c r="CZ1071" s="13"/>
      <c r="DA1071" s="12"/>
      <c r="DB1071" s="11">
        <v>186940.0</v>
      </c>
      <c r="DC1071" s="11">
        <v>157760.0</v>
      </c>
      <c r="DD1071" s="11">
        <v>136430.0</v>
      </c>
      <c r="DE1071" s="11">
        <v>86090.0</v>
      </c>
      <c r="DF1071" s="11">
        <v>973510.0</v>
      </c>
      <c r="DG1071" s="11">
        <v>822480.0</v>
      </c>
      <c r="DH1071" s="11">
        <v>495960.0</v>
      </c>
      <c r="DI1071" s="11">
        <v>349500.0</v>
      </c>
      <c r="DJ1071" s="11">
        <v>252990.0</v>
      </c>
      <c r="DK1071" s="12"/>
      <c r="DL1071" s="11"/>
      <c r="DM1071" s="11"/>
      <c r="DN1071" s="11"/>
      <c r="DO1071" s="11"/>
      <c r="DP1071" s="11">
        <v>736820.0</v>
      </c>
      <c r="DQ1071" s="11">
        <v>621750.0</v>
      </c>
      <c r="DR1071" s="11">
        <v>338110.0</v>
      </c>
      <c r="DS1071" s="11">
        <v>256810.0</v>
      </c>
      <c r="DT1071" s="11">
        <v>193140.0</v>
      </c>
      <c r="DU1071" s="13"/>
      <c r="DV1071" s="12"/>
      <c r="DW1071" s="12"/>
      <c r="DX1071" s="13"/>
      <c r="DY1071" s="13"/>
      <c r="DZ1071" s="11">
        <v>497480.0</v>
      </c>
      <c r="EA1071" s="11">
        <v>408750.0</v>
      </c>
      <c r="EB1071" s="11">
        <v>370690.0</v>
      </c>
      <c r="EC1071" s="11">
        <v>185450.0</v>
      </c>
      <c r="ED1071" s="11">
        <v>128600.0</v>
      </c>
      <c r="EE1071" s="23">
        <v>0.216981132</v>
      </c>
      <c r="EF1071" s="23">
        <v>0.063291139</v>
      </c>
      <c r="EG1071" s="14">
        <v>0.319</v>
      </c>
      <c r="EH1071" s="23">
        <v>0.128</v>
      </c>
    </row>
    <row r="1072">
      <c r="A1072" s="9">
        <f t="shared" si="2"/>
        <v>1070</v>
      </c>
      <c r="B1072" s="25" t="s">
        <v>1207</v>
      </c>
      <c r="C1072" s="15">
        <v>949200.0</v>
      </c>
      <c r="D1072" s="15">
        <v>939540.0</v>
      </c>
      <c r="E1072" s="15">
        <v>963010.0</v>
      </c>
      <c r="F1072" s="15">
        <v>975780.0</v>
      </c>
      <c r="G1072" s="15">
        <v>1040000.0</v>
      </c>
      <c r="H1072" s="15">
        <v>882060.0</v>
      </c>
      <c r="I1072" s="15">
        <v>806250.0</v>
      </c>
      <c r="J1072" s="15">
        <v>536660.0</v>
      </c>
      <c r="K1072" s="15">
        <v>528730.0</v>
      </c>
      <c r="L1072" s="15">
        <v>551780.0</v>
      </c>
      <c r="M1072" s="15">
        <v>477940.0</v>
      </c>
      <c r="N1072" s="15">
        <v>444940.0</v>
      </c>
      <c r="O1072" s="15">
        <v>236310.0</v>
      </c>
      <c r="P1072" s="15">
        <v>228550.0</v>
      </c>
      <c r="Q1072" s="15">
        <v>229780.0</v>
      </c>
      <c r="R1072" s="15">
        <v>199300.0</v>
      </c>
      <c r="S1072" s="15">
        <v>180820.0</v>
      </c>
      <c r="T1072" s="15"/>
      <c r="U1072" s="15"/>
      <c r="V1072" s="12"/>
      <c r="W1072" s="12"/>
      <c r="X1072" s="12"/>
      <c r="Y1072" s="15">
        <v>289000.0</v>
      </c>
      <c r="Z1072" s="15">
        <v>66220.0</v>
      </c>
      <c r="AA1072" s="15">
        <v>-109430.0</v>
      </c>
      <c r="AB1072" s="15">
        <v>256010.0</v>
      </c>
      <c r="AC1072" s="15">
        <v>242350.0</v>
      </c>
      <c r="AD1072" s="15">
        <v>191150.0</v>
      </c>
      <c r="AE1072" s="15">
        <v>-38060.0</v>
      </c>
      <c r="AF1072" s="15">
        <v>107090.0</v>
      </c>
      <c r="AG1072" s="15">
        <v>110850.0</v>
      </c>
      <c r="AH1072" s="15">
        <v>157190.0</v>
      </c>
      <c r="AI1072" s="15">
        <v>338140.0</v>
      </c>
      <c r="AJ1072" s="15">
        <v>331960.0</v>
      </c>
      <c r="AK1072" s="15">
        <v>355420.0</v>
      </c>
      <c r="AL1072" s="15">
        <v>304430.0</v>
      </c>
      <c r="AM1072" s="15">
        <v>287790.0</v>
      </c>
      <c r="AN1072" s="15">
        <v>142280.0</v>
      </c>
      <c r="AO1072" s="15">
        <v>-35800.0</v>
      </c>
      <c r="AP1072" s="15">
        <v>339570.0</v>
      </c>
      <c r="AQ1072" s="15">
        <v>69400.0</v>
      </c>
      <c r="AR1072" s="15">
        <v>99910.0</v>
      </c>
      <c r="AS1072" s="15">
        <v>225950.0</v>
      </c>
      <c r="AT1072" s="15">
        <v>189280.0</v>
      </c>
      <c r="AU1072" s="15">
        <v>210110.0</v>
      </c>
      <c r="AV1072" s="15">
        <v>147770.0</v>
      </c>
      <c r="AW1072" s="15">
        <v>174350.0</v>
      </c>
      <c r="AX1072" s="15">
        <v>-17320.0</v>
      </c>
      <c r="AY1072" s="15">
        <v>-10480.0</v>
      </c>
      <c r="AZ1072" s="15">
        <v>-12530.0</v>
      </c>
      <c r="BA1072" s="15">
        <v>-2980.0</v>
      </c>
      <c r="BB1072" s="15">
        <v>-3570.0</v>
      </c>
      <c r="BC1072" s="13"/>
      <c r="BD1072" s="13"/>
      <c r="BE1072" s="13"/>
      <c r="BF1072" s="13"/>
      <c r="BG1072" s="13"/>
      <c r="BH1072" s="15">
        <v>94760.0</v>
      </c>
      <c r="BI1072" s="15">
        <v>27530.0</v>
      </c>
      <c r="BJ1072" s="15">
        <v>32550.0</v>
      </c>
      <c r="BK1072" s="15">
        <v>41860.0</v>
      </c>
      <c r="BL1072" s="15">
        <v>27230.0</v>
      </c>
      <c r="BM1072" s="15">
        <v>150520.0</v>
      </c>
      <c r="BN1072" s="15">
        <v>148790.0</v>
      </c>
      <c r="BO1072" s="15">
        <v>140880.0</v>
      </c>
      <c r="BP1072" s="15">
        <v>136740.0</v>
      </c>
      <c r="BQ1072" s="15">
        <v>95250.0</v>
      </c>
      <c r="BR1072" s="15">
        <v>116030.0</v>
      </c>
      <c r="BS1072" s="15">
        <v>119880.0</v>
      </c>
      <c r="BT1072" s="15">
        <v>118550.0</v>
      </c>
      <c r="BU1072" s="15">
        <v>115610.0</v>
      </c>
      <c r="BV1072" s="15">
        <v>91260.0</v>
      </c>
      <c r="BW1072" s="15">
        <v>365650.0</v>
      </c>
      <c r="BX1072" s="15">
        <v>300940.0</v>
      </c>
      <c r="BY1072" s="15">
        <v>303480.0</v>
      </c>
      <c r="BZ1072" s="15">
        <v>334430.0</v>
      </c>
      <c r="CA1072" s="15">
        <v>249010.0</v>
      </c>
      <c r="CB1072" s="15">
        <v>90720.0</v>
      </c>
      <c r="CC1072" s="15">
        <v>51180.0</v>
      </c>
      <c r="CD1072" s="15">
        <v>52550.0</v>
      </c>
      <c r="CE1072" s="15">
        <v>50600.0</v>
      </c>
      <c r="CF1072" s="15">
        <v>15540.0</v>
      </c>
      <c r="CG1072" s="15">
        <v>575180.0</v>
      </c>
      <c r="CH1072" s="15">
        <v>578580.0</v>
      </c>
      <c r="CI1072" s="15">
        <v>620100.0</v>
      </c>
      <c r="CJ1072" s="15">
        <v>615250.0</v>
      </c>
      <c r="CK1072" s="15">
        <v>360190.0</v>
      </c>
      <c r="CL1072" s="15">
        <v>3510000.0</v>
      </c>
      <c r="CM1072" s="15">
        <v>3440000.0</v>
      </c>
      <c r="CN1072" s="15">
        <v>3760000.0</v>
      </c>
      <c r="CO1072" s="15">
        <v>3910000.0</v>
      </c>
      <c r="CP1072" s="15">
        <v>2950000.0</v>
      </c>
      <c r="CQ1072" s="15">
        <v>62380.0</v>
      </c>
      <c r="CR1072" s="15">
        <v>56560.0</v>
      </c>
      <c r="CS1072" s="15">
        <v>61390.0</v>
      </c>
      <c r="CT1072" s="15">
        <v>70220.0</v>
      </c>
      <c r="CU1072" s="15">
        <v>38300.0</v>
      </c>
      <c r="CV1072" s="15">
        <v>149880.0</v>
      </c>
      <c r="CW1072" s="15">
        <v>5610.0</v>
      </c>
      <c r="CX1072" s="15"/>
      <c r="CY1072" s="15"/>
      <c r="CZ1072" s="15"/>
      <c r="DA1072" s="15"/>
      <c r="DB1072" s="15">
        <v>149880.0</v>
      </c>
      <c r="DC1072" s="15">
        <v>126980.0</v>
      </c>
      <c r="DD1072" s="15">
        <v>123200.0</v>
      </c>
      <c r="DE1072" s="15">
        <v>162010.0</v>
      </c>
      <c r="DF1072" s="15">
        <v>2340000.0</v>
      </c>
      <c r="DG1072" s="15">
        <v>2350000.0</v>
      </c>
      <c r="DH1072" s="15">
        <v>2580000.0</v>
      </c>
      <c r="DI1072" s="15">
        <v>3090000.0</v>
      </c>
      <c r="DJ1072" s="15">
        <v>2200000.0</v>
      </c>
      <c r="DK1072" s="15"/>
      <c r="DL1072" s="15"/>
      <c r="DM1072" s="15"/>
      <c r="DN1072" s="15"/>
      <c r="DO1072" s="15"/>
      <c r="DP1072" s="15">
        <v>1760000.0</v>
      </c>
      <c r="DQ1072" s="15">
        <v>1800000.0</v>
      </c>
      <c r="DR1072" s="15">
        <v>1990000.0</v>
      </c>
      <c r="DS1072" s="15">
        <v>2190000.0</v>
      </c>
      <c r="DT1072" s="15">
        <v>1630000.0</v>
      </c>
      <c r="DU1072" s="13"/>
      <c r="DV1072" s="12"/>
      <c r="DW1072" s="12"/>
      <c r="DX1072" s="13"/>
      <c r="DY1072" s="13"/>
      <c r="DZ1072" s="15">
        <v>1170000.0</v>
      </c>
      <c r="EA1072" s="15">
        <v>1100000.0</v>
      </c>
      <c r="EB1072" s="15">
        <v>1180000.0</v>
      </c>
      <c r="EC1072" s="15">
        <v>822550.0</v>
      </c>
      <c r="ED1072" s="15">
        <v>744340.0</v>
      </c>
      <c r="EE1072" s="17">
        <v>0.014</v>
      </c>
      <c r="EF1072" s="17">
        <v>0.031</v>
      </c>
      <c r="EG1072" s="17">
        <v>0.229</v>
      </c>
      <c r="EH1072" s="17">
        <v>0.112</v>
      </c>
    </row>
    <row r="1073">
      <c r="A1073" s="9">
        <f t="shared" si="2"/>
        <v>1071</v>
      </c>
      <c r="B1073" s="22" t="s">
        <v>1208</v>
      </c>
      <c r="C1073" s="11">
        <v>253900.0</v>
      </c>
      <c r="D1073" s="11">
        <v>233060.0</v>
      </c>
      <c r="E1073" s="11">
        <v>272260.0</v>
      </c>
      <c r="F1073" s="11">
        <v>250990.0</v>
      </c>
      <c r="G1073" s="11">
        <v>27690.0</v>
      </c>
      <c r="H1073" s="12"/>
      <c r="I1073" s="12"/>
      <c r="J1073" s="11">
        <v>235450.0</v>
      </c>
      <c r="K1073" s="11">
        <v>216370.0</v>
      </c>
      <c r="L1073" s="11">
        <v>22110.0</v>
      </c>
      <c r="M1073" s="11">
        <v>-1150.0</v>
      </c>
      <c r="N1073" s="11">
        <v>-776.0</v>
      </c>
      <c r="O1073" s="11">
        <v>274540.0</v>
      </c>
      <c r="P1073" s="11">
        <v>311040.0</v>
      </c>
      <c r="Q1073" s="11">
        <v>314500.0</v>
      </c>
      <c r="R1073" s="11">
        <v>275450.0</v>
      </c>
      <c r="S1073" s="11">
        <v>239500.0</v>
      </c>
      <c r="T1073" s="11">
        <v>132850.0</v>
      </c>
      <c r="U1073" s="11">
        <v>164850.0</v>
      </c>
      <c r="V1073" s="11">
        <v>207810.0</v>
      </c>
      <c r="W1073" s="11">
        <v>222800.0</v>
      </c>
      <c r="X1073" s="11">
        <v>208470.0</v>
      </c>
      <c r="Y1073" s="11">
        <v>-63550.0</v>
      </c>
      <c r="Z1073" s="12"/>
      <c r="AA1073" s="12"/>
      <c r="AB1073" s="12"/>
      <c r="AC1073" s="12"/>
      <c r="AD1073" s="11">
        <v>-75600.0</v>
      </c>
      <c r="AE1073" s="11">
        <v>-113580.0</v>
      </c>
      <c r="AF1073" s="11">
        <v>-291960.0</v>
      </c>
      <c r="AG1073" s="11">
        <v>-276010.0</v>
      </c>
      <c r="AH1073" s="11">
        <v>-239280.0</v>
      </c>
      <c r="AI1073" s="11">
        <v>-31020.0</v>
      </c>
      <c r="AJ1073" s="11">
        <v>-87290.0</v>
      </c>
      <c r="AK1073" s="11">
        <v>-289580.0</v>
      </c>
      <c r="AL1073" s="11">
        <v>-275450.0</v>
      </c>
      <c r="AM1073" s="11">
        <v>-239500.0</v>
      </c>
      <c r="AN1073" s="11">
        <v>-75600.0</v>
      </c>
      <c r="AO1073" s="11">
        <v>-113580.0</v>
      </c>
      <c r="AP1073" s="11">
        <v>-291960.0</v>
      </c>
      <c r="AQ1073" s="11">
        <v>-276010.0</v>
      </c>
      <c r="AR1073" s="11">
        <v>-239280.0</v>
      </c>
      <c r="AS1073" s="11">
        <v>22380.0</v>
      </c>
      <c r="AT1073" s="11">
        <v>-24110.0</v>
      </c>
      <c r="AU1073" s="11">
        <v>-172470.0</v>
      </c>
      <c r="AV1073" s="11">
        <v>-141690.0</v>
      </c>
      <c r="AW1073" s="11">
        <v>-154470.0</v>
      </c>
      <c r="AX1073" s="11">
        <v>-306.0</v>
      </c>
      <c r="AY1073" s="11">
        <v>-609.0</v>
      </c>
      <c r="AZ1073" s="11">
        <v>-50430.0</v>
      </c>
      <c r="BA1073" s="11">
        <v>-7280.0</v>
      </c>
      <c r="BB1073" s="11">
        <v>-1180.0</v>
      </c>
      <c r="BC1073" s="12"/>
      <c r="BD1073" s="12"/>
      <c r="BE1073" s="12"/>
      <c r="BF1073" s="12"/>
      <c r="BG1073" s="12"/>
      <c r="BH1073" s="11">
        <v>120490.0</v>
      </c>
      <c r="BI1073" s="11">
        <v>165420.0</v>
      </c>
      <c r="BJ1073" s="11">
        <v>81700.0</v>
      </c>
      <c r="BK1073" s="11">
        <v>229480.0</v>
      </c>
      <c r="BL1073" s="11">
        <v>215890.0</v>
      </c>
      <c r="BM1073" s="11">
        <v>28900.0</v>
      </c>
      <c r="BN1073" s="11">
        <v>21950.0</v>
      </c>
      <c r="BO1073" s="11">
        <v>9670.0</v>
      </c>
      <c r="BP1073" s="12"/>
      <c r="BQ1073" s="12"/>
      <c r="BR1073" s="11">
        <v>3170.0</v>
      </c>
      <c r="BS1073" s="11">
        <v>2630.0</v>
      </c>
      <c r="BT1073" s="11">
        <v>2030.0</v>
      </c>
      <c r="BU1073" s="12"/>
      <c r="BV1073" s="12"/>
      <c r="BW1073" s="11">
        <v>166140.0</v>
      </c>
      <c r="BX1073" s="11">
        <v>203000.0</v>
      </c>
      <c r="BY1073" s="11">
        <v>106390.0</v>
      </c>
      <c r="BZ1073" s="11">
        <v>236470.0</v>
      </c>
      <c r="CA1073" s="11">
        <v>223550.0</v>
      </c>
      <c r="CB1073" s="11">
        <v>21830.0</v>
      </c>
      <c r="CC1073" s="11">
        <v>3960.0</v>
      </c>
      <c r="CD1073" s="11">
        <v>4470.0</v>
      </c>
      <c r="CE1073" s="11">
        <v>5150.0</v>
      </c>
      <c r="CF1073" s="11">
        <v>2380.0</v>
      </c>
      <c r="CG1073" s="12"/>
      <c r="CH1073" s="12"/>
      <c r="CI1073" s="12"/>
      <c r="CJ1073" s="12"/>
      <c r="CK1073" s="12"/>
      <c r="CL1073" s="11">
        <v>234910.0</v>
      </c>
      <c r="CM1073" s="11">
        <v>259120.0</v>
      </c>
      <c r="CN1073" s="11">
        <v>165530.0</v>
      </c>
      <c r="CO1073" s="11">
        <v>252790.0</v>
      </c>
      <c r="CP1073" s="11">
        <v>239840.0</v>
      </c>
      <c r="CQ1073" s="11">
        <v>19180.0</v>
      </c>
      <c r="CR1073" s="11">
        <v>20680.0</v>
      </c>
      <c r="CS1073" s="11">
        <v>27690.0</v>
      </c>
      <c r="CT1073" s="11">
        <v>20040.0</v>
      </c>
      <c r="CU1073" s="12"/>
      <c r="CV1073" s="11">
        <v>90840.0</v>
      </c>
      <c r="CW1073" s="11">
        <v>2620.0</v>
      </c>
      <c r="CX1073" s="12"/>
      <c r="CY1073" s="12"/>
      <c r="CZ1073" s="12"/>
      <c r="DA1073" s="12"/>
      <c r="DB1073" s="11">
        <v>90840.0</v>
      </c>
      <c r="DC1073" s="11">
        <v>67120.0</v>
      </c>
      <c r="DD1073" s="11">
        <v>58340.0</v>
      </c>
      <c r="DE1073" s="11">
        <v>37460.0</v>
      </c>
      <c r="DF1073" s="11">
        <v>217440.0</v>
      </c>
      <c r="DG1073" s="11">
        <v>224820.0</v>
      </c>
      <c r="DH1073" s="11">
        <v>112220.0</v>
      </c>
      <c r="DI1073" s="11">
        <v>42970.0</v>
      </c>
      <c r="DJ1073" s="11">
        <v>33840.0</v>
      </c>
      <c r="DK1073" s="11">
        <v>4320.0</v>
      </c>
      <c r="DL1073" s="11">
        <v>4320.0</v>
      </c>
      <c r="DM1073" s="11">
        <v>4320.0</v>
      </c>
      <c r="DN1073" s="11">
        <v>4320.0</v>
      </c>
      <c r="DO1073" s="11">
        <v>4310.0</v>
      </c>
      <c r="DP1073" s="11">
        <v>117610.0</v>
      </c>
      <c r="DQ1073" s="11">
        <v>151890.0</v>
      </c>
      <c r="DR1073" s="11">
        <v>48480.0</v>
      </c>
      <c r="DS1073" s="12"/>
      <c r="DT1073" s="12"/>
      <c r="DU1073" s="13"/>
      <c r="DV1073" s="12"/>
      <c r="DW1073" s="12"/>
      <c r="DX1073" s="13"/>
      <c r="DY1073" s="13"/>
      <c r="DZ1073" s="11">
        <v>17460.0</v>
      </c>
      <c r="EA1073" s="11">
        <v>34310.0</v>
      </c>
      <c r="EB1073" s="11">
        <v>53300.0</v>
      </c>
      <c r="EC1073" s="11">
        <v>209820.0</v>
      </c>
      <c r="ED1073" s="11">
        <v>206010.0</v>
      </c>
      <c r="EE1073" s="14">
        <v>0.045</v>
      </c>
      <c r="EF1073" s="14">
        <v>0.252</v>
      </c>
      <c r="EG1073" s="14">
        <v>1.267</v>
      </c>
      <c r="EH1073" s="14">
        <v>0.621</v>
      </c>
    </row>
    <row r="1074">
      <c r="A1074" s="9">
        <f t="shared" si="2"/>
        <v>1072</v>
      </c>
      <c r="B1074" s="22" t="s">
        <v>1209</v>
      </c>
      <c r="C1074" s="11">
        <v>553670.0</v>
      </c>
      <c r="D1074" s="11">
        <v>422480.0</v>
      </c>
      <c r="E1074" s="11">
        <v>421030.0</v>
      </c>
      <c r="F1074" s="11">
        <v>337280.0</v>
      </c>
      <c r="G1074" s="11">
        <v>286630.0</v>
      </c>
      <c r="H1074" s="11">
        <v>276370.0</v>
      </c>
      <c r="I1074" s="11">
        <v>249000.0</v>
      </c>
      <c r="J1074" s="11">
        <v>308610.0</v>
      </c>
      <c r="K1074" s="11">
        <v>250430.0</v>
      </c>
      <c r="L1074" s="11">
        <v>198720.0</v>
      </c>
      <c r="M1074" s="11">
        <v>166270.0</v>
      </c>
      <c r="N1074" s="11">
        <v>177160.0</v>
      </c>
      <c r="O1074" s="11">
        <v>272900.0</v>
      </c>
      <c r="P1074" s="11">
        <v>225850.0</v>
      </c>
      <c r="Q1074" s="11">
        <v>211680.0</v>
      </c>
      <c r="R1074" s="11">
        <v>191190.0</v>
      </c>
      <c r="S1074" s="11">
        <v>167710.0</v>
      </c>
      <c r="T1074" s="11">
        <v>72120.0</v>
      </c>
      <c r="U1074" s="11">
        <v>55690.0</v>
      </c>
      <c r="V1074" s="11">
        <v>57290.0</v>
      </c>
      <c r="W1074" s="11">
        <v>45680.0</v>
      </c>
      <c r="X1074" s="11">
        <v>28660.0</v>
      </c>
      <c r="Y1074" s="11">
        <v>4780.0</v>
      </c>
      <c r="Z1074" s="11">
        <v>15920.0</v>
      </c>
      <c r="AA1074" s="11">
        <v>-28670.0</v>
      </c>
      <c r="AB1074" s="11">
        <v>-32020.0</v>
      </c>
      <c r="AC1074" s="11">
        <v>-52.0</v>
      </c>
      <c r="AD1074" s="11">
        <v>-10750.0</v>
      </c>
      <c r="AE1074" s="11">
        <v>-425.0</v>
      </c>
      <c r="AF1074" s="11">
        <v>-42470.0</v>
      </c>
      <c r="AG1074" s="11">
        <v>-37840.0</v>
      </c>
      <c r="AH1074" s="11">
        <v>2120.0</v>
      </c>
      <c r="AI1074" s="11">
        <v>55290.0</v>
      </c>
      <c r="AJ1074" s="11">
        <v>37740.0</v>
      </c>
      <c r="AK1074" s="11">
        <v>864.0</v>
      </c>
      <c r="AL1074" s="11">
        <v>-12010.0</v>
      </c>
      <c r="AM1074" s="11">
        <v>20930.0</v>
      </c>
      <c r="AN1074" s="11">
        <v>-11020.0</v>
      </c>
      <c r="AO1074" s="11">
        <v>-471.0</v>
      </c>
      <c r="AP1074" s="11">
        <v>-42610.0</v>
      </c>
      <c r="AQ1074" s="11">
        <v>-37950.0</v>
      </c>
      <c r="AR1074" s="11">
        <v>1860.0</v>
      </c>
      <c r="AS1074" s="11">
        <v>70520.0</v>
      </c>
      <c r="AT1074" s="11">
        <v>48870.0</v>
      </c>
      <c r="AU1074" s="11">
        <v>17790.0</v>
      </c>
      <c r="AV1074" s="11">
        <v>33450.0</v>
      </c>
      <c r="AW1074" s="11">
        <v>26790.0</v>
      </c>
      <c r="AX1074" s="11">
        <v>-10160.0</v>
      </c>
      <c r="AY1074" s="11">
        <v>-14510.0</v>
      </c>
      <c r="AZ1074" s="11">
        <v>-19270.0</v>
      </c>
      <c r="BA1074" s="11">
        <v>-24710.0</v>
      </c>
      <c r="BB1074" s="11">
        <v>-40300.0</v>
      </c>
      <c r="BC1074" s="12"/>
      <c r="BD1074" s="12"/>
      <c r="BE1074" s="12"/>
      <c r="BF1074" s="12"/>
      <c r="BG1074" s="12"/>
      <c r="BH1074" s="11">
        <v>291950.0</v>
      </c>
      <c r="BI1074" s="11">
        <v>383450.0</v>
      </c>
      <c r="BJ1074" s="11">
        <v>311350.0</v>
      </c>
      <c r="BK1074" s="11">
        <v>172600.0</v>
      </c>
      <c r="BL1074" s="11">
        <v>158970.0</v>
      </c>
      <c r="BM1074" s="11">
        <v>47530.0</v>
      </c>
      <c r="BN1074" s="11">
        <v>38000.0</v>
      </c>
      <c r="BO1074" s="11">
        <v>31660.0</v>
      </c>
      <c r="BP1074" s="11">
        <v>29940.0</v>
      </c>
      <c r="BQ1074" s="11">
        <v>25860.0</v>
      </c>
      <c r="BR1074" s="11">
        <v>58300.0</v>
      </c>
      <c r="BS1074" s="11">
        <v>48570.0</v>
      </c>
      <c r="BT1074" s="11">
        <v>41410.0</v>
      </c>
      <c r="BU1074" s="11">
        <v>31280.0</v>
      </c>
      <c r="BV1074" s="11">
        <v>61650.0</v>
      </c>
      <c r="BW1074" s="11">
        <v>408560.0</v>
      </c>
      <c r="BX1074" s="11">
        <v>477970.0</v>
      </c>
      <c r="BY1074" s="11">
        <v>391110.0</v>
      </c>
      <c r="BZ1074" s="11">
        <v>243090.0</v>
      </c>
      <c r="CA1074" s="11">
        <v>252580.0</v>
      </c>
      <c r="CB1074" s="11">
        <v>142810.0</v>
      </c>
      <c r="CC1074" s="11">
        <v>108670.0</v>
      </c>
      <c r="CD1074" s="11">
        <v>107050.0</v>
      </c>
      <c r="CE1074" s="11">
        <v>101020.0</v>
      </c>
      <c r="CF1074" s="11">
        <v>90320.0</v>
      </c>
      <c r="CG1074" s="11">
        <v>99550.0</v>
      </c>
      <c r="CH1074" s="11">
        <v>62040.0</v>
      </c>
      <c r="CI1074" s="11">
        <v>55200.0</v>
      </c>
      <c r="CJ1074" s="11">
        <v>46740.0</v>
      </c>
      <c r="CK1074" s="11">
        <v>30880.0</v>
      </c>
      <c r="CL1074" s="11">
        <v>831070.0</v>
      </c>
      <c r="CM1074" s="11">
        <v>689350.0</v>
      </c>
      <c r="CN1074" s="11">
        <v>628370.0</v>
      </c>
      <c r="CO1074" s="11">
        <v>391470.0</v>
      </c>
      <c r="CP1074" s="11">
        <v>387740.0</v>
      </c>
      <c r="CQ1074" s="11">
        <v>12800.0</v>
      </c>
      <c r="CR1074" s="11">
        <v>14370.0</v>
      </c>
      <c r="CS1074" s="11">
        <v>14660.0</v>
      </c>
      <c r="CT1074" s="11">
        <v>7510.0</v>
      </c>
      <c r="CU1074" s="11">
        <v>8740.0</v>
      </c>
      <c r="CV1074" s="11">
        <v>107670.0</v>
      </c>
      <c r="CW1074" s="11">
        <v>4940.0</v>
      </c>
      <c r="CX1074" s="24">
        <v>338.0</v>
      </c>
      <c r="CY1074" s="24">
        <v>324.0</v>
      </c>
      <c r="CZ1074" s="12"/>
      <c r="DA1074" s="11">
        <v>104040.0</v>
      </c>
      <c r="DB1074" s="11">
        <v>107670.0</v>
      </c>
      <c r="DC1074" s="11">
        <v>60660.0</v>
      </c>
      <c r="DD1074" s="11">
        <v>56220.0</v>
      </c>
      <c r="DE1074" s="11">
        <v>44840.0</v>
      </c>
      <c r="DF1074" s="11">
        <v>476120.0</v>
      </c>
      <c r="DG1074" s="11">
        <v>368130.0</v>
      </c>
      <c r="DH1074" s="11">
        <v>348890.0</v>
      </c>
      <c r="DI1074" s="11">
        <v>172490.0</v>
      </c>
      <c r="DJ1074" s="11">
        <v>169340.0</v>
      </c>
      <c r="DK1074" s="11">
        <v>64800.0</v>
      </c>
      <c r="DL1074" s="11">
        <v>40020.0</v>
      </c>
      <c r="DM1074" s="11">
        <v>74190.0</v>
      </c>
      <c r="DN1074" s="12"/>
      <c r="DO1074" s="11">
        <v>13460.0</v>
      </c>
      <c r="DP1074" s="11">
        <v>346980.0</v>
      </c>
      <c r="DQ1074" s="11">
        <v>290590.0</v>
      </c>
      <c r="DR1074" s="11">
        <v>276170.0</v>
      </c>
      <c r="DS1074" s="11">
        <v>108740.0</v>
      </c>
      <c r="DT1074" s="12"/>
      <c r="DU1074" s="13"/>
      <c r="DV1074" s="12"/>
      <c r="DW1074" s="12"/>
      <c r="DX1074" s="13"/>
      <c r="DY1074" s="13"/>
      <c r="DZ1074" s="11">
        <v>354940.0</v>
      </c>
      <c r="EA1074" s="11">
        <v>321230.0</v>
      </c>
      <c r="EB1074" s="11">
        <v>279480.0</v>
      </c>
      <c r="EC1074" s="11">
        <v>218980.0</v>
      </c>
      <c r="ED1074" s="11">
        <v>218390.0</v>
      </c>
      <c r="EE1074" s="14">
        <v>0.149</v>
      </c>
      <c r="EF1074" s="14">
        <v>0.217</v>
      </c>
      <c r="EG1074" s="14">
        <v>0.333</v>
      </c>
      <c r="EH1074" s="14">
        <v>0.457</v>
      </c>
    </row>
    <row r="1075">
      <c r="A1075" s="9">
        <f t="shared" si="2"/>
        <v>1073</v>
      </c>
      <c r="B1075" s="22" t="s">
        <v>1210</v>
      </c>
      <c r="C1075" s="11">
        <v>1500.0</v>
      </c>
      <c r="D1075" s="12"/>
      <c r="E1075" s="12"/>
      <c r="F1075" s="12"/>
      <c r="G1075" s="12"/>
      <c r="H1075" s="12"/>
      <c r="I1075" s="12"/>
      <c r="J1075" s="11">
        <v>-1230.0</v>
      </c>
      <c r="K1075" s="11">
        <v>-1040.0</v>
      </c>
      <c r="L1075" s="12"/>
      <c r="M1075" s="12"/>
      <c r="N1075" s="12"/>
      <c r="O1075" s="11">
        <v>52920.0</v>
      </c>
      <c r="P1075" s="11">
        <v>34500.0</v>
      </c>
      <c r="Q1075" s="12"/>
      <c r="R1075" s="12"/>
      <c r="S1075" s="12"/>
      <c r="T1075" s="11">
        <v>45610.0</v>
      </c>
      <c r="U1075" s="11">
        <v>30150.0</v>
      </c>
      <c r="V1075" s="12"/>
      <c r="W1075" s="12"/>
      <c r="X1075" s="12"/>
      <c r="Y1075" s="11">
        <v>-50970.0</v>
      </c>
      <c r="Z1075" s="11">
        <v>-30360.0</v>
      </c>
      <c r="AA1075" s="12"/>
      <c r="AB1075" s="12"/>
      <c r="AC1075" s="12"/>
      <c r="AD1075" s="11">
        <v>-50270.0</v>
      </c>
      <c r="AE1075" s="11">
        <v>-29490.0</v>
      </c>
      <c r="AF1075" s="12"/>
      <c r="AG1075" s="12"/>
      <c r="AH1075" s="12"/>
      <c r="AI1075" s="11">
        <v>-52920.0</v>
      </c>
      <c r="AJ1075" s="11">
        <v>-34500.0</v>
      </c>
      <c r="AK1075" s="12"/>
      <c r="AL1075" s="12"/>
      <c r="AM1075" s="12"/>
      <c r="AN1075" s="11">
        <v>-50270.0</v>
      </c>
      <c r="AO1075" s="11">
        <v>-29490.0</v>
      </c>
      <c r="AP1075" s="12"/>
      <c r="AQ1075" s="12"/>
      <c r="AR1075" s="12"/>
      <c r="AS1075" s="11">
        <v>-48240.0</v>
      </c>
      <c r="AT1075" s="11">
        <v>-30470.0</v>
      </c>
      <c r="AU1075" s="12"/>
      <c r="AV1075" s="12"/>
      <c r="AW1075" s="12"/>
      <c r="AX1075" s="11">
        <v>-1200.0</v>
      </c>
      <c r="AY1075" s="11">
        <v>-1770.0</v>
      </c>
      <c r="AZ1075" s="12"/>
      <c r="BA1075" s="12"/>
      <c r="BB1075" s="12"/>
      <c r="BC1075" s="12"/>
      <c r="BD1075" s="12"/>
      <c r="BE1075" s="12"/>
      <c r="BF1075" s="12"/>
      <c r="BG1075" s="12"/>
      <c r="BH1075" s="11">
        <v>58980.0</v>
      </c>
      <c r="BI1075" s="11">
        <v>66090.0</v>
      </c>
      <c r="BJ1075" s="12"/>
      <c r="BK1075" s="12"/>
      <c r="BL1075" s="12"/>
      <c r="BM1075" s="11">
        <v>200.0</v>
      </c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1">
        <v>61720.0</v>
      </c>
      <c r="BX1075" s="11">
        <v>66670.0</v>
      </c>
      <c r="BY1075" s="12"/>
      <c r="BZ1075" s="12"/>
      <c r="CA1075" s="12"/>
      <c r="CB1075" s="11">
        <v>3390.0</v>
      </c>
      <c r="CC1075" s="11">
        <v>3410.0</v>
      </c>
      <c r="CD1075" s="12"/>
      <c r="CE1075" s="12"/>
      <c r="CF1075" s="12"/>
      <c r="CG1075" s="12"/>
      <c r="CH1075" s="12"/>
      <c r="CI1075" s="12"/>
      <c r="CJ1075" s="12"/>
      <c r="CK1075" s="12"/>
      <c r="CL1075" s="11">
        <v>65700.0</v>
      </c>
      <c r="CM1075" s="11">
        <v>70800.0</v>
      </c>
      <c r="CN1075" s="12"/>
      <c r="CO1075" s="12"/>
      <c r="CP1075" s="12"/>
      <c r="CQ1075" s="11">
        <v>3380.0</v>
      </c>
      <c r="CR1075" s="11">
        <v>2830.0</v>
      </c>
      <c r="CS1075" s="12"/>
      <c r="CT1075" s="12"/>
      <c r="CU1075" s="12"/>
      <c r="CV1075" s="11">
        <v>11050.0</v>
      </c>
      <c r="CW1075" s="12"/>
      <c r="CX1075" s="12"/>
      <c r="CY1075" s="12"/>
      <c r="CZ1075" s="12"/>
      <c r="DA1075" s="12"/>
      <c r="DB1075" s="11">
        <v>11050.0</v>
      </c>
      <c r="DC1075" s="11">
        <v>6710.0</v>
      </c>
      <c r="DD1075" s="12"/>
      <c r="DE1075" s="12"/>
      <c r="DF1075" s="11">
        <v>11760.0</v>
      </c>
      <c r="DG1075" s="11">
        <v>10720.0</v>
      </c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1">
        <v>161.0</v>
      </c>
      <c r="DR1075" s="12"/>
      <c r="DS1075" s="12"/>
      <c r="DT1075" s="12"/>
      <c r="DU1075" s="11">
        <v>160310.0</v>
      </c>
      <c r="DV1075" s="11">
        <v>117810.0</v>
      </c>
      <c r="DW1075" s="12"/>
      <c r="DX1075" s="13"/>
      <c r="DY1075" s="13"/>
      <c r="DZ1075" s="11">
        <v>53940.0</v>
      </c>
      <c r="EA1075" s="11">
        <v>60080.0</v>
      </c>
      <c r="EB1075" s="12"/>
      <c r="EC1075" s="12"/>
      <c r="ED1075" s="12"/>
      <c r="EE1075" s="23"/>
      <c r="EF1075" s="23"/>
      <c r="EG1075" s="14">
        <v>-0.354</v>
      </c>
      <c r="EH1075" s="23"/>
    </row>
    <row r="1076">
      <c r="A1076" s="9">
        <f t="shared" si="2"/>
        <v>1074</v>
      </c>
      <c r="B1076" s="10" t="s">
        <v>1211</v>
      </c>
      <c r="C1076" s="11">
        <v>5670000.0</v>
      </c>
      <c r="D1076" s="11">
        <v>5330000.0</v>
      </c>
      <c r="E1076" s="11">
        <v>5490000.0</v>
      </c>
      <c r="F1076" s="11">
        <v>5570000.0</v>
      </c>
      <c r="G1076" s="11">
        <v>5470000.0</v>
      </c>
      <c r="H1076" s="11">
        <v>5590000.0</v>
      </c>
      <c r="I1076" s="11">
        <v>5390000.0</v>
      </c>
      <c r="J1076" s="11">
        <v>1200000.0</v>
      </c>
      <c r="K1076" s="11">
        <v>1190000.0</v>
      </c>
      <c r="L1076" s="11">
        <v>1200000.0</v>
      </c>
      <c r="M1076" s="11">
        <v>1300000.0</v>
      </c>
      <c r="N1076" s="11">
        <v>1320000.0</v>
      </c>
      <c r="O1076" s="11">
        <v>1050000.0</v>
      </c>
      <c r="P1076" s="11">
        <v>1020000.0</v>
      </c>
      <c r="Q1076" s="11">
        <v>979480.0</v>
      </c>
      <c r="R1076" s="11">
        <v>977170.0</v>
      </c>
      <c r="S1076" s="11">
        <v>964640.0</v>
      </c>
      <c r="T1076" s="12"/>
      <c r="U1076" s="12"/>
      <c r="V1076" s="12"/>
      <c r="W1076" s="12"/>
      <c r="X1076" s="12"/>
      <c r="Y1076" s="12"/>
      <c r="Z1076" s="11">
        <v>142440.0</v>
      </c>
      <c r="AA1076" s="12"/>
      <c r="AB1076" s="11">
        <v>287930.0</v>
      </c>
      <c r="AC1076" s="11">
        <v>347710.0</v>
      </c>
      <c r="AD1076" s="12"/>
      <c r="AE1076" s="11">
        <v>106230.0</v>
      </c>
      <c r="AF1076" s="11">
        <v>179260.0</v>
      </c>
      <c r="AG1076" s="11">
        <v>250880.0</v>
      </c>
      <c r="AH1076" s="11">
        <v>301690.0</v>
      </c>
      <c r="AI1076" s="11">
        <v>233260.0</v>
      </c>
      <c r="AJ1076" s="11">
        <v>256410.0</v>
      </c>
      <c r="AK1076" s="11">
        <v>303710.0</v>
      </c>
      <c r="AL1076" s="11">
        <v>408050.0</v>
      </c>
      <c r="AM1076" s="11">
        <v>440500.0</v>
      </c>
      <c r="AN1076" s="12"/>
      <c r="AO1076" s="11">
        <v>83630.0</v>
      </c>
      <c r="AP1076" s="11">
        <v>200970.0</v>
      </c>
      <c r="AQ1076" s="11">
        <v>173790.0</v>
      </c>
      <c r="AR1076" s="11">
        <v>185680.0</v>
      </c>
      <c r="AS1076" s="12"/>
      <c r="AT1076" s="11">
        <v>48160.0</v>
      </c>
      <c r="AU1076" s="11">
        <v>178900.0</v>
      </c>
      <c r="AV1076" s="11">
        <v>162720.0</v>
      </c>
      <c r="AW1076" s="11">
        <v>156330.0</v>
      </c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1">
        <v>77940.0</v>
      </c>
      <c r="BI1076" s="11">
        <v>95650.0</v>
      </c>
      <c r="BJ1076" s="11">
        <v>62980.0</v>
      </c>
      <c r="BK1076" s="11">
        <v>94960.0</v>
      </c>
      <c r="BL1076" s="11">
        <v>137450.0</v>
      </c>
      <c r="BM1076" s="11">
        <v>416520.0</v>
      </c>
      <c r="BN1076" s="11">
        <v>582090.0</v>
      </c>
      <c r="BO1076" s="11">
        <v>826880.0</v>
      </c>
      <c r="BP1076" s="11">
        <v>884800.0</v>
      </c>
      <c r="BQ1076" s="11">
        <v>796690.0</v>
      </c>
      <c r="BR1076" s="11">
        <v>812190.0</v>
      </c>
      <c r="BS1076" s="11">
        <v>761020.0</v>
      </c>
      <c r="BT1076" s="11">
        <v>779830.0</v>
      </c>
      <c r="BU1076" s="11">
        <v>711900.0</v>
      </c>
      <c r="BV1076" s="11">
        <v>722140.0</v>
      </c>
      <c r="BW1076" s="11">
        <v>1540000.0</v>
      </c>
      <c r="BX1076" s="11">
        <v>1600000.0</v>
      </c>
      <c r="BY1076" s="11">
        <v>1770000.0</v>
      </c>
      <c r="BZ1076" s="11">
        <v>1800000.0</v>
      </c>
      <c r="CA1076" s="11">
        <v>1750000.0</v>
      </c>
      <c r="CB1076" s="11">
        <v>382750.0</v>
      </c>
      <c r="CC1076" s="11">
        <v>305790.0</v>
      </c>
      <c r="CD1076" s="11">
        <v>290590.0</v>
      </c>
      <c r="CE1076" s="11">
        <v>298450.0</v>
      </c>
      <c r="CF1076" s="11">
        <v>293320.0</v>
      </c>
      <c r="CG1076" s="11">
        <v>138720.0</v>
      </c>
      <c r="CH1076" s="11">
        <v>816230.0</v>
      </c>
      <c r="CI1076" s="11">
        <v>815980.0</v>
      </c>
      <c r="CJ1076" s="11">
        <v>813550.0</v>
      </c>
      <c r="CK1076" s="11">
        <v>816590.0</v>
      </c>
      <c r="CL1076" s="11">
        <v>2720000.0</v>
      </c>
      <c r="CM1076" s="11">
        <v>3270000.0</v>
      </c>
      <c r="CN1076" s="11">
        <v>3470000.0</v>
      </c>
      <c r="CO1076" s="11">
        <v>3550000.0</v>
      </c>
      <c r="CP1076" s="11">
        <v>3520000.0</v>
      </c>
      <c r="CQ1076" s="11">
        <v>862090.0</v>
      </c>
      <c r="CR1076" s="11">
        <v>648420.0</v>
      </c>
      <c r="CS1076" s="11">
        <v>610370.0</v>
      </c>
      <c r="CT1076" s="11">
        <v>616860.0</v>
      </c>
      <c r="CU1076" s="11">
        <v>566250.0</v>
      </c>
      <c r="CV1076" s="11">
        <v>1070000.0</v>
      </c>
      <c r="CW1076" s="11">
        <v>30710.0</v>
      </c>
      <c r="CX1076" s="13"/>
      <c r="CY1076" s="11">
        <v>16000.0</v>
      </c>
      <c r="CZ1076" s="11">
        <v>59000.0</v>
      </c>
      <c r="DA1076" s="11">
        <v>20000.0</v>
      </c>
      <c r="DB1076" s="11">
        <v>1070000.0</v>
      </c>
      <c r="DC1076" s="11">
        <v>875710.0</v>
      </c>
      <c r="DD1076" s="11">
        <v>908380.0</v>
      </c>
      <c r="DE1076" s="11">
        <v>903930.0</v>
      </c>
      <c r="DF1076" s="11">
        <v>1880000.0</v>
      </c>
      <c r="DG1076" s="11">
        <v>1790000.0</v>
      </c>
      <c r="DH1076" s="11">
        <v>2010000.0</v>
      </c>
      <c r="DI1076" s="11">
        <v>2160000.0</v>
      </c>
      <c r="DJ1076" s="11">
        <v>2080000.0</v>
      </c>
      <c r="DK1076" s="11">
        <v>204.0</v>
      </c>
      <c r="DL1076" s="11">
        <v>380.0</v>
      </c>
      <c r="DM1076" s="12"/>
      <c r="DN1076" s="12"/>
      <c r="DO1076" s="12"/>
      <c r="DP1076" s="11">
        <v>637620.0</v>
      </c>
      <c r="DQ1076" s="11">
        <v>725340.0</v>
      </c>
      <c r="DR1076" s="11">
        <v>922030.0</v>
      </c>
      <c r="DS1076" s="11">
        <v>998270.0</v>
      </c>
      <c r="DT1076" s="11">
        <v>1020000.0</v>
      </c>
      <c r="DU1076" s="12"/>
      <c r="DV1076" s="12"/>
      <c r="DW1076" s="12"/>
      <c r="DX1076" s="12"/>
      <c r="DY1076" s="12"/>
      <c r="DZ1076" s="11">
        <v>834120.0</v>
      </c>
      <c r="EA1076" s="11">
        <v>1480000.0</v>
      </c>
      <c r="EB1076" s="11">
        <v>1460000.0</v>
      </c>
      <c r="EC1076" s="11">
        <v>1390000.0</v>
      </c>
      <c r="ED1076" s="11">
        <v>1440000.0</v>
      </c>
      <c r="EE1076" s="14">
        <v>0.083</v>
      </c>
      <c r="EF1076" s="14">
        <v>0.164</v>
      </c>
      <c r="EG1076" s="14">
        <v>1.867</v>
      </c>
      <c r="EH1076" s="14">
        <v>0.611</v>
      </c>
    </row>
    <row r="1077">
      <c r="A1077" s="9">
        <f t="shared" si="2"/>
        <v>1075</v>
      </c>
      <c r="B1077" s="10" t="s">
        <v>1212</v>
      </c>
      <c r="C1077" s="15">
        <v>110160.0</v>
      </c>
      <c r="D1077" s="15">
        <v>92550.0</v>
      </c>
      <c r="E1077" s="15">
        <v>85590.0</v>
      </c>
      <c r="F1077" s="15">
        <v>85790.0</v>
      </c>
      <c r="G1077" s="15">
        <v>101870.0</v>
      </c>
      <c r="H1077" s="15">
        <v>107460.0</v>
      </c>
      <c r="I1077" s="15">
        <v>97980.0</v>
      </c>
      <c r="J1077" s="15">
        <v>51500.0</v>
      </c>
      <c r="K1077" s="15">
        <v>42560.0</v>
      </c>
      <c r="L1077" s="15">
        <v>53950.0</v>
      </c>
      <c r="M1077" s="15">
        <v>62580.0</v>
      </c>
      <c r="N1077" s="15">
        <v>58760.0</v>
      </c>
      <c r="O1077" s="15">
        <v>59050.0</v>
      </c>
      <c r="P1077" s="15">
        <v>51930.0</v>
      </c>
      <c r="Q1077" s="15">
        <v>53760.0</v>
      </c>
      <c r="R1077" s="15">
        <v>49620.0</v>
      </c>
      <c r="S1077" s="15">
        <v>38220.0</v>
      </c>
      <c r="T1077" s="15">
        <v>32750.0</v>
      </c>
      <c r="U1077" s="15">
        <v>28000.0</v>
      </c>
      <c r="V1077" s="15">
        <v>30080.0</v>
      </c>
      <c r="W1077" s="15">
        <v>27560.0</v>
      </c>
      <c r="X1077" s="15">
        <v>19000.0</v>
      </c>
      <c r="Y1077" s="15">
        <v>-7640.0</v>
      </c>
      <c r="Z1077" s="15">
        <v>-9950.0</v>
      </c>
      <c r="AA1077" s="15">
        <v>0.0</v>
      </c>
      <c r="AB1077" s="15">
        <v>0.0</v>
      </c>
      <c r="AC1077" s="15">
        <v>19240.0</v>
      </c>
      <c r="AD1077" s="15">
        <v>-7360.0</v>
      </c>
      <c r="AE1077" s="15">
        <v>-9460.0</v>
      </c>
      <c r="AF1077" s="15">
        <v>0.0</v>
      </c>
      <c r="AG1077" s="15">
        <v>12960.0</v>
      </c>
      <c r="AH1077" s="15">
        <v>19420.0</v>
      </c>
      <c r="AI1077" s="15">
        <v>0.0</v>
      </c>
      <c r="AJ1077" s="15">
        <v>-3400.0</v>
      </c>
      <c r="AK1077" s="15">
        <v>5850.0</v>
      </c>
      <c r="AL1077" s="15">
        <v>17360.0</v>
      </c>
      <c r="AM1077" s="15">
        <v>23560.0</v>
      </c>
      <c r="AN1077" s="15">
        <v>-5420.0</v>
      </c>
      <c r="AO1077" s="15">
        <v>-7720.0</v>
      </c>
      <c r="AP1077" s="15">
        <v>-1340.0</v>
      </c>
      <c r="AQ1077" s="15">
        <v>9100.0</v>
      </c>
      <c r="AR1077" s="15">
        <v>12410.0</v>
      </c>
      <c r="AS1077" s="15">
        <v>25920.0</v>
      </c>
      <c r="AT1077" s="15">
        <v>13340.0</v>
      </c>
      <c r="AU1077" s="15">
        <v>10550.0</v>
      </c>
      <c r="AV1077" s="15">
        <v>2000.0</v>
      </c>
      <c r="AW1077" s="15">
        <v>28530.0</v>
      </c>
      <c r="AX1077" s="15">
        <v>-10550.0</v>
      </c>
      <c r="AY1077" s="15">
        <v>-13120.0</v>
      </c>
      <c r="AZ1077" s="15">
        <v>-10260.0</v>
      </c>
      <c r="BA1077" s="15">
        <v>-11280.0</v>
      </c>
      <c r="BB1077" s="15">
        <v>-5180.0</v>
      </c>
      <c r="BC1077" s="15">
        <v>0.0</v>
      </c>
      <c r="BD1077" s="15">
        <v>0.0</v>
      </c>
      <c r="BE1077" s="15">
        <v>0.0</v>
      </c>
      <c r="BF1077" s="15">
        <v>0.0</v>
      </c>
      <c r="BG1077" s="15">
        <v>0.0</v>
      </c>
      <c r="BH1077" s="15">
        <v>97610.0</v>
      </c>
      <c r="BI1077" s="15">
        <v>96090.0</v>
      </c>
      <c r="BJ1077" s="15">
        <v>101270.0</v>
      </c>
      <c r="BK1077" s="15">
        <v>116790.0</v>
      </c>
      <c r="BL1077" s="15">
        <v>126160.0</v>
      </c>
      <c r="BM1077" s="15">
        <v>44250.0</v>
      </c>
      <c r="BN1077" s="15">
        <v>51570.0</v>
      </c>
      <c r="BO1077" s="15">
        <v>57560.0</v>
      </c>
      <c r="BP1077" s="15">
        <v>48160.0</v>
      </c>
      <c r="BQ1077" s="15">
        <v>33440.0</v>
      </c>
      <c r="BR1077" s="15">
        <v>0.0</v>
      </c>
      <c r="BS1077" s="15">
        <v>0.0</v>
      </c>
      <c r="BT1077" s="15">
        <v>0.0</v>
      </c>
      <c r="BU1077" s="15">
        <v>0.0</v>
      </c>
      <c r="BV1077" s="15">
        <v>0.0</v>
      </c>
      <c r="BW1077" s="15">
        <v>146880.0</v>
      </c>
      <c r="BX1077" s="15">
        <v>157220.0</v>
      </c>
      <c r="BY1077" s="15">
        <v>163900.0</v>
      </c>
      <c r="BZ1077" s="15">
        <v>170280.0</v>
      </c>
      <c r="CA1077" s="15">
        <v>163250.0</v>
      </c>
      <c r="CB1077" s="15">
        <v>48410.0</v>
      </c>
      <c r="CC1077" s="15">
        <v>35680.0</v>
      </c>
      <c r="CD1077" s="15">
        <v>25390.0</v>
      </c>
      <c r="CE1077" s="15">
        <v>19340.0</v>
      </c>
      <c r="CF1077" s="15">
        <v>11330.0</v>
      </c>
      <c r="CG1077" s="15">
        <v>2290.0</v>
      </c>
      <c r="CH1077" s="15">
        <v>1920.0</v>
      </c>
      <c r="CI1077" s="15">
        <v>1920.0</v>
      </c>
      <c r="CJ1077" s="15">
        <v>0.0</v>
      </c>
      <c r="CK1077" s="15">
        <v>0.0</v>
      </c>
      <c r="CL1077" s="15">
        <v>239540.0</v>
      </c>
      <c r="CM1077" s="15">
        <v>225910.0</v>
      </c>
      <c r="CN1077" s="15">
        <v>224180.0</v>
      </c>
      <c r="CO1077" s="15">
        <v>222330.0</v>
      </c>
      <c r="CP1077" s="15">
        <v>191770.0</v>
      </c>
      <c r="CQ1077" s="15">
        <v>7640.0</v>
      </c>
      <c r="CR1077" s="15">
        <v>2450.0</v>
      </c>
      <c r="CS1077" s="15">
        <v>2540.0</v>
      </c>
      <c r="CT1077" s="15">
        <v>2210.0</v>
      </c>
      <c r="CU1077" s="15">
        <v>1290.0</v>
      </c>
      <c r="CV1077" s="15">
        <v>28000.0</v>
      </c>
      <c r="CW1077" s="15">
        <v>1870.0</v>
      </c>
      <c r="CX1077" s="15">
        <v>0.0</v>
      </c>
      <c r="CY1077" s="16">
        <v>0.0</v>
      </c>
      <c r="CZ1077" s="16">
        <v>0.0</v>
      </c>
      <c r="DA1077" s="15">
        <v>0.0</v>
      </c>
      <c r="DB1077" s="15">
        <v>28000.0</v>
      </c>
      <c r="DC1077" s="15">
        <v>19530.0</v>
      </c>
      <c r="DD1077" s="15">
        <v>19640.0</v>
      </c>
      <c r="DE1077" s="15">
        <v>18520.0</v>
      </c>
      <c r="DF1077" s="15">
        <v>43390.0</v>
      </c>
      <c r="DG1077" s="15">
        <v>26110.0</v>
      </c>
      <c r="DH1077" s="15">
        <v>25810.0</v>
      </c>
      <c r="DI1077" s="15">
        <v>23530.0</v>
      </c>
      <c r="DJ1077" s="15">
        <v>17460.0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7680.0</v>
      </c>
      <c r="DQ1077" s="15">
        <v>0.0</v>
      </c>
      <c r="DR1077" s="15">
        <v>0.0</v>
      </c>
      <c r="DS1077" s="15">
        <v>0.0</v>
      </c>
      <c r="DT1077" s="15">
        <v>0.0</v>
      </c>
      <c r="DU1077" s="16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196160.0</v>
      </c>
      <c r="EA1077" s="15">
        <v>199800.0</v>
      </c>
      <c r="EB1077" s="15">
        <v>198370.0</v>
      </c>
      <c r="EC1077" s="15">
        <v>198800.0</v>
      </c>
      <c r="ED1077" s="15">
        <v>174310.0</v>
      </c>
      <c r="EE1077" s="17">
        <v>0.05</v>
      </c>
      <c r="EF1077" s="17">
        <v>0.086</v>
      </c>
      <c r="EG1077" s="17">
        <v>-1.0</v>
      </c>
      <c r="EH1077" s="17">
        <v>-0.413</v>
      </c>
    </row>
    <row r="1078">
      <c r="A1078" s="9">
        <f t="shared" si="2"/>
        <v>1076</v>
      </c>
      <c r="B1078" s="22" t="s">
        <v>1213</v>
      </c>
      <c r="C1078" s="11">
        <v>31300.0</v>
      </c>
      <c r="D1078" s="11">
        <v>17450.0</v>
      </c>
      <c r="E1078" s="11">
        <v>54760.0</v>
      </c>
      <c r="F1078" s="11">
        <v>198110.0</v>
      </c>
      <c r="G1078" s="11">
        <v>320060.0</v>
      </c>
      <c r="H1078" s="11">
        <v>242480.0</v>
      </c>
      <c r="I1078" s="11">
        <v>585060.0</v>
      </c>
      <c r="J1078" s="11">
        <v>-5170.0</v>
      </c>
      <c r="K1078" s="11">
        <v>133820.0</v>
      </c>
      <c r="L1078" s="11">
        <v>264830.0</v>
      </c>
      <c r="M1078" s="11">
        <v>226390.0</v>
      </c>
      <c r="N1078" s="11">
        <v>585060.0</v>
      </c>
      <c r="O1078" s="11">
        <v>61390.0</v>
      </c>
      <c r="P1078" s="11">
        <v>65510.0</v>
      </c>
      <c r="Q1078" s="11">
        <v>70710.0</v>
      </c>
      <c r="R1078" s="11">
        <v>44150.0</v>
      </c>
      <c r="S1078" s="11">
        <v>36090.0</v>
      </c>
      <c r="T1078" s="11">
        <v>7310.0</v>
      </c>
      <c r="U1078" s="11">
        <v>2960.0</v>
      </c>
      <c r="V1078" s="11">
        <v>7380.0</v>
      </c>
      <c r="W1078" s="11">
        <v>3820.0</v>
      </c>
      <c r="X1078" s="12"/>
      <c r="Y1078" s="11">
        <v>-71840.0</v>
      </c>
      <c r="Z1078" s="11">
        <v>-50590.0</v>
      </c>
      <c r="AA1078" s="11">
        <v>193780.0</v>
      </c>
      <c r="AB1078" s="11">
        <v>125230.0</v>
      </c>
      <c r="AC1078" s="11">
        <v>2470.0</v>
      </c>
      <c r="AD1078" s="11">
        <v>-73740.0</v>
      </c>
      <c r="AE1078" s="11">
        <v>-55920.0</v>
      </c>
      <c r="AF1078" s="11">
        <v>184530.0</v>
      </c>
      <c r="AG1078" s="11">
        <v>109370.0</v>
      </c>
      <c r="AH1078" s="11">
        <v>530140.0</v>
      </c>
      <c r="AI1078" s="11">
        <v>-56460.0</v>
      </c>
      <c r="AJ1078" s="11">
        <v>84140.0</v>
      </c>
      <c r="AK1078" s="11">
        <v>218820.0</v>
      </c>
      <c r="AL1078" s="11">
        <v>194270.0</v>
      </c>
      <c r="AM1078" s="11">
        <v>548970.0</v>
      </c>
      <c r="AN1078" s="11">
        <v>-70410.0</v>
      </c>
      <c r="AO1078" s="11">
        <v>-68860.0</v>
      </c>
      <c r="AP1078" s="11">
        <v>110750.0</v>
      </c>
      <c r="AQ1078" s="11">
        <v>63610.0</v>
      </c>
      <c r="AR1078" s="11">
        <v>332800.0</v>
      </c>
      <c r="AS1078" s="11">
        <v>-32440.0</v>
      </c>
      <c r="AT1078" s="11">
        <v>-13430.0</v>
      </c>
      <c r="AU1078" s="11">
        <v>40620.0</v>
      </c>
      <c r="AV1078" s="11">
        <v>101720.0</v>
      </c>
      <c r="AW1078" s="11">
        <v>301470.0</v>
      </c>
      <c r="AX1078" s="11">
        <v>-2460.0</v>
      </c>
      <c r="AY1078" s="11">
        <v>-24520.0</v>
      </c>
      <c r="AZ1078" s="11">
        <v>-1300.0</v>
      </c>
      <c r="BA1078" s="11">
        <v>-59530.0</v>
      </c>
      <c r="BB1078" s="11">
        <v>-115010.0</v>
      </c>
      <c r="BC1078" s="24">
        <v>-9.0</v>
      </c>
      <c r="BD1078" s="24">
        <v>-48.0</v>
      </c>
      <c r="BE1078" s="24">
        <v>-222.0</v>
      </c>
      <c r="BF1078" s="11">
        <v>-16580.0</v>
      </c>
      <c r="BG1078" s="11">
        <v>-98310.0</v>
      </c>
      <c r="BH1078" s="11">
        <v>193450.0</v>
      </c>
      <c r="BI1078" s="11">
        <v>394590.0</v>
      </c>
      <c r="BJ1078" s="11">
        <v>532110.0</v>
      </c>
      <c r="BK1078" s="11">
        <v>242140.0</v>
      </c>
      <c r="BL1078" s="11">
        <v>220350.0</v>
      </c>
      <c r="BM1078" s="11">
        <v>69650.0</v>
      </c>
      <c r="BN1078" s="11">
        <v>87290.0</v>
      </c>
      <c r="BO1078" s="11">
        <v>84800.0</v>
      </c>
      <c r="BP1078" s="11">
        <v>151300.0</v>
      </c>
      <c r="BQ1078" s="11">
        <v>58400.0</v>
      </c>
      <c r="BR1078" s="11">
        <v>39770.0</v>
      </c>
      <c r="BS1078" s="11">
        <v>18940.0</v>
      </c>
      <c r="BT1078" s="11">
        <v>9150.0</v>
      </c>
      <c r="BU1078" s="11">
        <v>2880.0</v>
      </c>
      <c r="BV1078" s="12"/>
      <c r="BW1078" s="11">
        <v>313900.0</v>
      </c>
      <c r="BX1078" s="11">
        <v>517220.0</v>
      </c>
      <c r="BY1078" s="11">
        <v>640440.0</v>
      </c>
      <c r="BZ1078" s="11">
        <v>398030.0</v>
      </c>
      <c r="CA1078" s="11">
        <v>282710.0</v>
      </c>
      <c r="CB1078" s="11">
        <v>7160.0</v>
      </c>
      <c r="CC1078" s="11">
        <v>7390.0</v>
      </c>
      <c r="CD1078" s="11">
        <v>7220.0</v>
      </c>
      <c r="CE1078" s="11">
        <v>38.0</v>
      </c>
      <c r="CF1078" s="11">
        <v>31.0</v>
      </c>
      <c r="CG1078" s="12"/>
      <c r="CH1078" s="12"/>
      <c r="CI1078" s="12"/>
      <c r="CJ1078" s="12"/>
      <c r="CK1078" s="12"/>
      <c r="CL1078" s="11">
        <v>716120.0</v>
      </c>
      <c r="CM1078" s="11">
        <v>963740.0</v>
      </c>
      <c r="CN1078" s="11">
        <v>1240000.0</v>
      </c>
      <c r="CO1078" s="11">
        <v>1220000.0</v>
      </c>
      <c r="CP1078" s="11">
        <v>1010000.0</v>
      </c>
      <c r="CQ1078" s="11">
        <v>17370.0</v>
      </c>
      <c r="CR1078" s="11">
        <v>13140.0</v>
      </c>
      <c r="CS1078" s="11">
        <v>19790.0</v>
      </c>
      <c r="CT1078" s="11">
        <v>7020.0</v>
      </c>
      <c r="CU1078" s="11">
        <v>394.0</v>
      </c>
      <c r="CV1078" s="11">
        <v>45690.0</v>
      </c>
      <c r="CW1078" s="11">
        <v>918.0</v>
      </c>
      <c r="CX1078" s="12"/>
      <c r="CY1078" s="12"/>
      <c r="CZ1078" s="12"/>
      <c r="DA1078" s="11">
        <v>24970.0</v>
      </c>
      <c r="DB1078" s="11">
        <v>45690.0</v>
      </c>
      <c r="DC1078" s="11">
        <v>52470.0</v>
      </c>
      <c r="DD1078" s="11">
        <v>193110.0</v>
      </c>
      <c r="DE1078" s="11">
        <v>130320.0</v>
      </c>
      <c r="DF1078" s="11">
        <v>122840.0</v>
      </c>
      <c r="DG1078" s="11">
        <v>233960.0</v>
      </c>
      <c r="DH1078" s="11">
        <v>397230.0</v>
      </c>
      <c r="DI1078" s="11">
        <v>459960.0</v>
      </c>
      <c r="DJ1078" s="11">
        <v>316250.0</v>
      </c>
      <c r="DK1078" s="11">
        <v>82270.0</v>
      </c>
      <c r="DL1078" s="12"/>
      <c r="DM1078" s="11">
        <v>6600.0</v>
      </c>
      <c r="DN1078" s="12"/>
      <c r="DO1078" s="12"/>
      <c r="DP1078" s="11">
        <v>28000.0</v>
      </c>
      <c r="DQ1078" s="11">
        <v>124640.0</v>
      </c>
      <c r="DR1078" s="11">
        <v>117420.0</v>
      </c>
      <c r="DS1078" s="11">
        <v>232440.0</v>
      </c>
      <c r="DT1078" s="11">
        <v>228860.0</v>
      </c>
      <c r="DU1078" s="13"/>
      <c r="DV1078" s="12"/>
      <c r="DW1078" s="12"/>
      <c r="DX1078" s="13"/>
      <c r="DY1078" s="13"/>
      <c r="DZ1078" s="11">
        <v>593200.0</v>
      </c>
      <c r="EA1078" s="11">
        <v>729780.0</v>
      </c>
      <c r="EB1078" s="11">
        <v>845890.0</v>
      </c>
      <c r="EC1078" s="11">
        <v>751140.0</v>
      </c>
      <c r="ED1078" s="11">
        <v>695950.0</v>
      </c>
      <c r="EE1078" s="14">
        <v>0.66</v>
      </c>
      <c r="EF1078" s="14">
        <v>0.083</v>
      </c>
      <c r="EG1078" s="14">
        <v>-5.3</v>
      </c>
      <c r="EH1078" s="14">
        <v>-6.575</v>
      </c>
    </row>
    <row r="1079">
      <c r="A1079" s="9">
        <f t="shared" si="2"/>
        <v>1077</v>
      </c>
      <c r="B1079" s="10" t="s">
        <v>1214</v>
      </c>
      <c r="C1079" s="15">
        <v>4690000.0</v>
      </c>
      <c r="D1079" s="15">
        <v>3020000.0</v>
      </c>
      <c r="E1079" s="15">
        <v>5300000.0</v>
      </c>
      <c r="F1079" s="15">
        <v>3590000.0</v>
      </c>
      <c r="G1079" s="15">
        <v>3150000.0</v>
      </c>
      <c r="H1079" s="15">
        <v>3030000.0</v>
      </c>
      <c r="I1079" s="15">
        <v>2840000.0</v>
      </c>
      <c r="J1079" s="15">
        <v>1930000.0</v>
      </c>
      <c r="K1079" s="15">
        <v>1270000.0</v>
      </c>
      <c r="L1079" s="15">
        <v>1070000.0</v>
      </c>
      <c r="M1079" s="15">
        <v>1010000.0</v>
      </c>
      <c r="N1079" s="15">
        <v>957320.0</v>
      </c>
      <c r="O1079" s="15">
        <v>1180000.0</v>
      </c>
      <c r="P1079" s="15">
        <v>528870.0</v>
      </c>
      <c r="Q1079" s="15">
        <v>610400.0</v>
      </c>
      <c r="R1079" s="15">
        <v>460730.0</v>
      </c>
      <c r="S1079" s="15">
        <v>452930.0</v>
      </c>
      <c r="T1079" s="15">
        <v>0.0</v>
      </c>
      <c r="U1079" s="15">
        <v>0.0</v>
      </c>
      <c r="V1079" s="15">
        <v>0.0</v>
      </c>
      <c r="W1079" s="15">
        <v>0.0</v>
      </c>
      <c r="X1079" s="15">
        <v>0.0</v>
      </c>
      <c r="Y1079" s="15">
        <v>571900.0</v>
      </c>
      <c r="Z1079" s="15">
        <v>613130.0</v>
      </c>
      <c r="AA1079" s="15">
        <v>421750.0</v>
      </c>
      <c r="AB1079" s="15">
        <v>543020.0</v>
      </c>
      <c r="AC1079" s="15">
        <v>467850.0</v>
      </c>
      <c r="AD1079" s="15">
        <v>86100.0</v>
      </c>
      <c r="AE1079" s="15">
        <v>89920.0</v>
      </c>
      <c r="AF1079" s="15">
        <v>-25040.0</v>
      </c>
      <c r="AG1079" s="15">
        <v>120620.0</v>
      </c>
      <c r="AH1079" s="15">
        <v>56610.0</v>
      </c>
      <c r="AI1079" s="15">
        <v>1260000.0</v>
      </c>
      <c r="AJ1079" s="15">
        <v>1010000.0</v>
      </c>
      <c r="AK1079" s="15">
        <v>724670.0</v>
      </c>
      <c r="AL1079" s="15">
        <v>815800.0</v>
      </c>
      <c r="AM1079" s="15">
        <v>763850.0</v>
      </c>
      <c r="AN1079" s="15">
        <v>43900.0</v>
      </c>
      <c r="AO1079" s="15">
        <v>93520.0</v>
      </c>
      <c r="AP1079" s="15">
        <v>473460.0</v>
      </c>
      <c r="AQ1079" s="15">
        <v>109310.0</v>
      </c>
      <c r="AR1079" s="15">
        <v>0.0</v>
      </c>
      <c r="AS1079" s="15">
        <v>843000.0</v>
      </c>
      <c r="AT1079" s="15">
        <v>352790.0</v>
      </c>
      <c r="AU1079" s="15">
        <v>459080.0</v>
      </c>
      <c r="AV1079" s="15">
        <v>404820.0</v>
      </c>
      <c r="AW1079" s="15">
        <v>398980.0</v>
      </c>
      <c r="AX1079" s="15">
        <v>-202300.0</v>
      </c>
      <c r="AY1079" s="15">
        <v>-174160.0</v>
      </c>
      <c r="AZ1079" s="15">
        <v>-100760.0</v>
      </c>
      <c r="BA1079" s="15">
        <v>-100310.0</v>
      </c>
      <c r="BB1079" s="15">
        <v>-249850.0</v>
      </c>
      <c r="BC1079" s="16">
        <v>0.0</v>
      </c>
      <c r="BD1079" s="16">
        <v>0.0</v>
      </c>
      <c r="BE1079" s="16">
        <v>0.0</v>
      </c>
      <c r="BF1079" s="16">
        <v>0.0</v>
      </c>
      <c r="BG1079" s="16">
        <v>0.0</v>
      </c>
      <c r="BH1079" s="15">
        <v>452900.0</v>
      </c>
      <c r="BI1079" s="15">
        <v>479600.0</v>
      </c>
      <c r="BJ1079" s="15">
        <v>277950.0</v>
      </c>
      <c r="BK1079" s="15">
        <v>229510.0</v>
      </c>
      <c r="BL1079" s="15">
        <v>237010.0</v>
      </c>
      <c r="BM1079" s="15">
        <v>88700.0</v>
      </c>
      <c r="BN1079" s="15">
        <v>106840.0</v>
      </c>
      <c r="BO1079" s="15">
        <v>62810.0</v>
      </c>
      <c r="BP1079" s="15">
        <v>61860.0</v>
      </c>
      <c r="BQ1079" s="15">
        <v>45190.0</v>
      </c>
      <c r="BR1079" s="15">
        <v>0.0</v>
      </c>
      <c r="BS1079" s="15">
        <v>0.0</v>
      </c>
      <c r="BT1079" s="15">
        <v>0.0</v>
      </c>
      <c r="BU1079" s="15">
        <v>0.0</v>
      </c>
      <c r="BV1079" s="15">
        <v>0.0</v>
      </c>
      <c r="BW1079" s="15">
        <v>642800.0</v>
      </c>
      <c r="BX1079" s="15">
        <v>677660.0</v>
      </c>
      <c r="BY1079" s="15">
        <v>401030.0</v>
      </c>
      <c r="BZ1079" s="15">
        <v>399270.0</v>
      </c>
      <c r="CA1079" s="15">
        <v>372480.0</v>
      </c>
      <c r="CB1079" s="15">
        <v>9960000.0</v>
      </c>
      <c r="CC1079" s="15">
        <v>6870000.0</v>
      </c>
      <c r="CD1079" s="15">
        <v>2760000.0</v>
      </c>
      <c r="CE1079" s="15">
        <v>2820000.0</v>
      </c>
      <c r="CF1079" s="15">
        <v>2980000.0</v>
      </c>
      <c r="CG1079" s="15">
        <v>1270000.0</v>
      </c>
      <c r="CH1079" s="15">
        <v>1230000.0</v>
      </c>
      <c r="CI1079" s="15">
        <v>1010000.0</v>
      </c>
      <c r="CJ1079" s="15">
        <v>989690.0</v>
      </c>
      <c r="CK1079" s="15">
        <v>911940.0</v>
      </c>
      <c r="CL1079" s="15">
        <v>1.538E7</v>
      </c>
      <c r="CM1079" s="15">
        <v>1.29E7</v>
      </c>
      <c r="CN1079" s="15">
        <v>5780000.0</v>
      </c>
      <c r="CO1079" s="15">
        <v>5670000.0</v>
      </c>
      <c r="CP1079" s="15">
        <v>5140000.0</v>
      </c>
      <c r="CQ1079" s="15">
        <v>40300.0</v>
      </c>
      <c r="CR1079" s="15">
        <v>30550.0</v>
      </c>
      <c r="CS1079" s="15">
        <v>26050.0</v>
      </c>
      <c r="CT1079" s="15">
        <v>35090.0</v>
      </c>
      <c r="CU1079" s="15">
        <v>72820.0</v>
      </c>
      <c r="CV1079" s="15">
        <v>905600.0</v>
      </c>
      <c r="CW1079" s="15">
        <v>124100.0</v>
      </c>
      <c r="CX1079" s="16">
        <v>0.0</v>
      </c>
      <c r="CY1079" s="16">
        <v>0.0</v>
      </c>
      <c r="CZ1079" s="16">
        <v>0.0</v>
      </c>
      <c r="DA1079" s="15">
        <v>0.0</v>
      </c>
      <c r="DB1079" s="15">
        <v>905600.0</v>
      </c>
      <c r="DC1079" s="15">
        <v>738440.0</v>
      </c>
      <c r="DD1079" s="15">
        <v>530010.0</v>
      </c>
      <c r="DE1079" s="15">
        <v>536320.0</v>
      </c>
      <c r="DF1079" s="15">
        <v>1.378E7</v>
      </c>
      <c r="DG1079" s="15">
        <v>1.216E7</v>
      </c>
      <c r="DH1079" s="15">
        <v>5850000.0</v>
      </c>
      <c r="DI1079" s="15">
        <v>6220000.0</v>
      </c>
      <c r="DJ1079" s="15">
        <v>5820000.0</v>
      </c>
      <c r="DK1079" s="15">
        <v>128300.0</v>
      </c>
      <c r="DL1079" s="15">
        <v>128490.0</v>
      </c>
      <c r="DM1079" s="15">
        <v>148910.0</v>
      </c>
      <c r="DN1079" s="15">
        <v>156180.0</v>
      </c>
      <c r="DO1079" s="15">
        <v>168150.0</v>
      </c>
      <c r="DP1079" s="15">
        <v>1.109E7</v>
      </c>
      <c r="DQ1079" s="15">
        <v>9430000.0</v>
      </c>
      <c r="DR1079" s="15">
        <v>4700000.0</v>
      </c>
      <c r="DS1079" s="15">
        <v>4790000.0</v>
      </c>
      <c r="DT1079" s="15">
        <v>5130000.0</v>
      </c>
      <c r="DU1079" s="16">
        <v>0.0</v>
      </c>
      <c r="DV1079" s="15">
        <v>0.0</v>
      </c>
      <c r="DW1079" s="15">
        <v>0.0</v>
      </c>
      <c r="DX1079" s="15">
        <v>0.0</v>
      </c>
      <c r="DY1079" s="15">
        <v>0.0</v>
      </c>
      <c r="DZ1079" s="15">
        <v>1850000.0</v>
      </c>
      <c r="EA1079" s="15">
        <v>731230.0</v>
      </c>
      <c r="EB1079" s="15">
        <v>-73150.0</v>
      </c>
      <c r="EC1079" s="15">
        <v>-543320.0</v>
      </c>
      <c r="ED1079" s="15">
        <v>-678040.0</v>
      </c>
      <c r="EE1079" s="17">
        <v>0.444</v>
      </c>
      <c r="EF1079" s="17">
        <v>0.328</v>
      </c>
      <c r="EG1079" s="17">
        <v>-57.444</v>
      </c>
      <c r="EH1079" s="17">
        <v>-14.103</v>
      </c>
    </row>
    <row r="1080">
      <c r="A1080" s="9">
        <f t="shared" si="2"/>
        <v>1078</v>
      </c>
      <c r="B1080" s="10" t="s">
        <v>1215</v>
      </c>
      <c r="C1080" s="15">
        <v>7.132E7</v>
      </c>
      <c r="D1080" s="15">
        <v>6.799E7</v>
      </c>
      <c r="E1080" s="15">
        <v>6.716E7</v>
      </c>
      <c r="F1080" s="15">
        <v>6.466E7</v>
      </c>
      <c r="G1080" s="15">
        <v>6.353E7</v>
      </c>
      <c r="H1080" s="15">
        <v>6.28E7</v>
      </c>
      <c r="I1080" s="15">
        <v>6.305E7</v>
      </c>
      <c r="J1080" s="15">
        <v>3.715E7</v>
      </c>
      <c r="K1080" s="15">
        <v>3.528E7</v>
      </c>
      <c r="L1080" s="15">
        <v>3.474E7</v>
      </c>
      <c r="M1080" s="15">
        <v>3.448E7</v>
      </c>
      <c r="N1080" s="15">
        <v>3.451E7</v>
      </c>
      <c r="O1080" s="15">
        <v>2.65E7</v>
      </c>
      <c r="P1080" s="15">
        <v>2.488E7</v>
      </c>
      <c r="Q1080" s="15">
        <v>2.445E7</v>
      </c>
      <c r="R1080" s="15">
        <v>2.433E7</v>
      </c>
      <c r="S1080" s="15">
        <v>2.445E7</v>
      </c>
      <c r="T1080" s="12">
        <v>711000.0</v>
      </c>
      <c r="U1080" s="12">
        <v>680000.0</v>
      </c>
      <c r="V1080" s="12">
        <v>737000.0</v>
      </c>
      <c r="W1080" s="12">
        <v>760000.0</v>
      </c>
      <c r="X1080" s="12">
        <v>754000.0</v>
      </c>
      <c r="Y1080" s="15">
        <v>1.036E7</v>
      </c>
      <c r="Z1080" s="15">
        <v>9910000.0</v>
      </c>
      <c r="AA1080" s="15">
        <v>-349000.0</v>
      </c>
      <c r="AB1080" s="15">
        <v>-738000.0</v>
      </c>
      <c r="AC1080" s="15">
        <v>8260000.0</v>
      </c>
      <c r="AD1080" s="15">
        <v>9310000.0</v>
      </c>
      <c r="AE1080" s="15">
        <v>9190000.0</v>
      </c>
      <c r="AF1080" s="15">
        <v>9600000.0</v>
      </c>
      <c r="AG1080" s="15">
        <v>8550000.0</v>
      </c>
      <c r="AH1080" s="15">
        <v>7440000.0</v>
      </c>
      <c r="AI1080" s="15">
        <v>1.308E7</v>
      </c>
      <c r="AJ1080" s="15">
        <v>1.28E7</v>
      </c>
      <c r="AK1080" s="15">
        <v>1.267E7</v>
      </c>
      <c r="AL1080" s="15">
        <v>1.252E7</v>
      </c>
      <c r="AM1080" s="15">
        <v>1.248E7</v>
      </c>
      <c r="AN1080" s="15">
        <v>7310000.0</v>
      </c>
      <c r="AO1080" s="15">
        <v>1.252E7</v>
      </c>
      <c r="AP1080" s="15">
        <v>4860000.0</v>
      </c>
      <c r="AQ1080" s="15">
        <v>6330000.0</v>
      </c>
      <c r="AR1080" s="15">
        <v>5450000.0</v>
      </c>
      <c r="AS1080" s="15">
        <v>9650000.0</v>
      </c>
      <c r="AT1080" s="15">
        <v>9420000.0</v>
      </c>
      <c r="AU1080" s="15">
        <v>1.003E7</v>
      </c>
      <c r="AV1080" s="15">
        <v>1.04E7</v>
      </c>
      <c r="AW1080" s="15">
        <v>1.058E7</v>
      </c>
      <c r="AX1080" s="15">
        <v>-4230000.0</v>
      </c>
      <c r="AY1080" s="15">
        <v>-3280000.0</v>
      </c>
      <c r="AZ1080" s="15">
        <v>-2970000.0</v>
      </c>
      <c r="BA1080" s="15">
        <v>-3040000.0</v>
      </c>
      <c r="BB1080" s="15">
        <v>-2760000.0</v>
      </c>
      <c r="BC1080" s="13">
        <v>-5300000.0</v>
      </c>
      <c r="BD1080" s="13">
        <v>-4930000.0</v>
      </c>
      <c r="BE1080" s="13">
        <v>-4470000.0</v>
      </c>
      <c r="BF1080" s="13">
        <v>-4230000.0</v>
      </c>
      <c r="BG1080" s="13">
        <v>-4040000.0</v>
      </c>
      <c r="BH1080" s="15">
        <v>5740000.0</v>
      </c>
      <c r="BI1080" s="15">
        <v>1.099E7</v>
      </c>
      <c r="BJ1080" s="15">
        <v>1.951E7</v>
      </c>
      <c r="BK1080" s="15">
        <v>1.613E7</v>
      </c>
      <c r="BL1080" s="15">
        <v>1.201E7</v>
      </c>
      <c r="BM1080" s="15">
        <v>7820000.0</v>
      </c>
      <c r="BN1080" s="15">
        <v>7140000.0</v>
      </c>
      <c r="BO1080" s="15">
        <v>7020000.0</v>
      </c>
      <c r="BP1080" s="15">
        <v>6690000.0</v>
      </c>
      <c r="BQ1080" s="15">
        <v>6440000.0</v>
      </c>
      <c r="BR1080" s="15">
        <v>3340000.0</v>
      </c>
      <c r="BS1080" s="15">
        <v>3130000.0</v>
      </c>
      <c r="BT1080" s="15">
        <v>2950000.0</v>
      </c>
      <c r="BU1080" s="15">
        <v>2720000.0</v>
      </c>
      <c r="BV1080" s="15">
        <v>2720000.0</v>
      </c>
      <c r="BW1080" s="15">
        <v>1.759E7</v>
      </c>
      <c r="BX1080" s="15">
        <v>2.185E7</v>
      </c>
      <c r="BY1080" s="15">
        <v>3.098E7</v>
      </c>
      <c r="BZ1080" s="15">
        <v>2.706E7</v>
      </c>
      <c r="CA1080" s="15">
        <v>2.299E7</v>
      </c>
      <c r="CB1080" s="15">
        <v>2.085E7</v>
      </c>
      <c r="CC1080" s="15">
        <v>1.759E7</v>
      </c>
      <c r="CD1080" s="15">
        <v>1.724E7</v>
      </c>
      <c r="CE1080" s="15">
        <v>1.659E7</v>
      </c>
      <c r="CF1080" s="15">
        <v>1.632E7</v>
      </c>
      <c r="CG1080" s="15">
        <v>1.55E7</v>
      </c>
      <c r="CH1080" s="15">
        <v>1.481E7</v>
      </c>
      <c r="CI1080" s="15">
        <v>1.474E7</v>
      </c>
      <c r="CJ1080" s="15">
        <v>1.443E7</v>
      </c>
      <c r="CK1080" s="15">
        <v>1.418E7</v>
      </c>
      <c r="CL1080" s="15">
        <v>7.855E7</v>
      </c>
      <c r="CM1080" s="15">
        <v>7.765E7</v>
      </c>
      <c r="CN1080" s="15">
        <v>8.176E7</v>
      </c>
      <c r="CO1080" s="15">
        <v>7.687E7</v>
      </c>
      <c r="CP1080" s="15">
        <v>7.248E7</v>
      </c>
      <c r="CQ1080" s="15">
        <v>8010000.0</v>
      </c>
      <c r="CR1080" s="15">
        <v>7210000.0</v>
      </c>
      <c r="CS1080" s="15">
        <v>6730000.0</v>
      </c>
      <c r="CT1080" s="15">
        <v>6160000.0</v>
      </c>
      <c r="CU1080" s="15">
        <v>5550000.0</v>
      </c>
      <c r="CV1080" s="15">
        <v>2.046E7</v>
      </c>
      <c r="CW1080" s="15">
        <v>514000.0</v>
      </c>
      <c r="CX1080" s="13">
        <v>73000.0</v>
      </c>
      <c r="CY1080" s="13">
        <v>1470000.0</v>
      </c>
      <c r="CZ1080" s="13">
        <v>2490000.0</v>
      </c>
      <c r="DA1080" s="15">
        <v>962000.0</v>
      </c>
      <c r="DB1080" s="15">
        <v>2.046E7</v>
      </c>
      <c r="DC1080" s="15">
        <v>2.214E7</v>
      </c>
      <c r="DD1080" s="15">
        <v>2.05E7</v>
      </c>
      <c r="DE1080" s="15">
        <v>2.114E7</v>
      </c>
      <c r="DF1080" s="15">
        <v>6.368E7</v>
      </c>
      <c r="DG1080" s="15">
        <v>6.305E7</v>
      </c>
      <c r="DH1080" s="15">
        <v>7.078E7</v>
      </c>
      <c r="DI1080" s="15">
        <v>6.567E7</v>
      </c>
      <c r="DJ1080" s="15">
        <v>6.045E7</v>
      </c>
      <c r="DK1080" s="12">
        <v>2680000.0</v>
      </c>
      <c r="DL1080" s="12">
        <v>2410000.0</v>
      </c>
      <c r="DM1080" s="12">
        <v>2040000.0</v>
      </c>
      <c r="DN1080" s="12">
        <v>1950000.0</v>
      </c>
      <c r="DO1080" s="15">
        <v>2310000.0</v>
      </c>
      <c r="DP1080" s="15">
        <v>3.027E7</v>
      </c>
      <c r="DQ1080" s="15">
        <v>2.83E7</v>
      </c>
      <c r="DR1080" s="15">
        <v>3.38E7</v>
      </c>
      <c r="DS1080" s="15">
        <v>3.005E7</v>
      </c>
      <c r="DT1080" s="15">
        <v>2.921E7</v>
      </c>
      <c r="DU1080" s="13"/>
      <c r="DV1080" s="12"/>
      <c r="DW1080" s="12">
        <v>-156000.0</v>
      </c>
      <c r="DX1080" s="13">
        <v>-151000.0</v>
      </c>
      <c r="DY1080" s="13">
        <v>-145000.0</v>
      </c>
      <c r="DZ1080" s="15">
        <v>1.479E7</v>
      </c>
      <c r="EA1080" s="15">
        <v>1.452E7</v>
      </c>
      <c r="EB1080" s="15">
        <v>1.089E7</v>
      </c>
      <c r="EC1080" s="15">
        <v>1.11E7</v>
      </c>
      <c r="ED1080" s="15">
        <v>1.192E7</v>
      </c>
      <c r="EE1080" s="23">
        <v>0.036328872</v>
      </c>
      <c r="EF1080" s="23">
        <v>0.057767807</v>
      </c>
      <c r="EG1080" s="17">
        <v>0.056</v>
      </c>
      <c r="EH1080" s="23">
        <v>0.0355</v>
      </c>
    </row>
    <row r="1081">
      <c r="A1081" s="9">
        <f t="shared" si="2"/>
        <v>1079</v>
      </c>
      <c r="B1081" s="25" t="s">
        <v>1216</v>
      </c>
      <c r="C1081" s="15">
        <v>914370.0</v>
      </c>
      <c r="D1081" s="15">
        <v>798830.0</v>
      </c>
      <c r="E1081" s="15">
        <v>709430.0</v>
      </c>
      <c r="F1081" s="15">
        <v>528610.0</v>
      </c>
      <c r="G1081" s="15">
        <v>266690.0</v>
      </c>
      <c r="H1081" s="15">
        <v>200160.0</v>
      </c>
      <c r="I1081" s="15">
        <v>205690.0</v>
      </c>
      <c r="J1081" s="15">
        <v>107380.0</v>
      </c>
      <c r="K1081" s="15">
        <v>83290.0</v>
      </c>
      <c r="L1081" s="15">
        <v>51190.0</v>
      </c>
      <c r="M1081" s="15">
        <v>32550.0</v>
      </c>
      <c r="N1081" s="15">
        <v>39160.0</v>
      </c>
      <c r="O1081" s="15">
        <v>96100.0</v>
      </c>
      <c r="P1081" s="15">
        <v>72260.0</v>
      </c>
      <c r="Q1081" s="15">
        <v>37910.0</v>
      </c>
      <c r="R1081" s="15">
        <v>31850.0</v>
      </c>
      <c r="S1081" s="15">
        <v>35590.0</v>
      </c>
      <c r="T1081" s="15">
        <v>1300.0</v>
      </c>
      <c r="U1081" s="15">
        <v>203.0</v>
      </c>
      <c r="V1081" s="15">
        <v>514.0</v>
      </c>
      <c r="W1081" s="15">
        <v>310.0</v>
      </c>
      <c r="X1081" s="15">
        <v>380.0</v>
      </c>
      <c r="Y1081" s="15">
        <v>-3140.0</v>
      </c>
      <c r="Z1081" s="15">
        <v>7750.0</v>
      </c>
      <c r="AA1081" s="12"/>
      <c r="AB1081" s="15">
        <v>-1680.0</v>
      </c>
      <c r="AC1081" s="15">
        <v>2120.0</v>
      </c>
      <c r="AD1081" s="15">
        <v>-17610.0</v>
      </c>
      <c r="AE1081" s="15">
        <v>-574.0</v>
      </c>
      <c r="AF1081" s="15">
        <v>11790.0</v>
      </c>
      <c r="AG1081" s="15">
        <v>-3400.0</v>
      </c>
      <c r="AH1081" s="15">
        <v>-1350.0</v>
      </c>
      <c r="AI1081" s="15">
        <v>26420.0</v>
      </c>
      <c r="AJ1081" s="15">
        <v>22930.0</v>
      </c>
      <c r="AK1081" s="15">
        <v>16690.0</v>
      </c>
      <c r="AL1081" s="15">
        <v>3680.0</v>
      </c>
      <c r="AM1081" s="15">
        <v>6150.0</v>
      </c>
      <c r="AN1081" s="15">
        <v>-11450.0</v>
      </c>
      <c r="AO1081" s="15">
        <v>-782.0</v>
      </c>
      <c r="AP1081" s="15">
        <v>-3490.0</v>
      </c>
      <c r="AQ1081" s="15"/>
      <c r="AR1081" s="15">
        <v>-1340.0</v>
      </c>
      <c r="AS1081" s="15">
        <v>20830.0</v>
      </c>
      <c r="AT1081" s="15">
        <v>-12410.0</v>
      </c>
      <c r="AU1081" s="15">
        <v>5880.0</v>
      </c>
      <c r="AV1081" s="15">
        <v>-926.0</v>
      </c>
      <c r="AW1081" s="15">
        <v>-6420.0</v>
      </c>
      <c r="AX1081" s="15">
        <v>-10280.0</v>
      </c>
      <c r="AY1081" s="15">
        <v>-7180.0</v>
      </c>
      <c r="AZ1081" s="15">
        <v>-4130.0</v>
      </c>
      <c r="BA1081" s="15">
        <v>-2040.0</v>
      </c>
      <c r="BB1081" s="15">
        <v>-1550.0</v>
      </c>
      <c r="BC1081" s="13"/>
      <c r="BD1081" s="13"/>
      <c r="BE1081" s="13"/>
      <c r="BF1081" s="13"/>
      <c r="BG1081" s="13"/>
      <c r="BH1081" s="15">
        <v>27270.0</v>
      </c>
      <c r="BI1081" s="15">
        <v>66360.0</v>
      </c>
      <c r="BJ1081" s="15">
        <v>37900.0</v>
      </c>
      <c r="BK1081" s="15">
        <v>767.0</v>
      </c>
      <c r="BL1081" s="15">
        <v>3250.0</v>
      </c>
      <c r="BM1081" s="15">
        <v>71380.0</v>
      </c>
      <c r="BN1081" s="15">
        <v>45010.0</v>
      </c>
      <c r="BO1081" s="15">
        <v>21760.0</v>
      </c>
      <c r="BP1081" s="15">
        <v>17200.0</v>
      </c>
      <c r="BQ1081" s="15">
        <v>14510.0</v>
      </c>
      <c r="BR1081" s="15">
        <v>79700.0</v>
      </c>
      <c r="BS1081" s="15">
        <v>92140.0</v>
      </c>
      <c r="BT1081" s="15">
        <v>44060.0</v>
      </c>
      <c r="BU1081" s="15">
        <v>34230.0</v>
      </c>
      <c r="BV1081" s="15">
        <v>33690.0</v>
      </c>
      <c r="BW1081" s="15">
        <v>185420.0</v>
      </c>
      <c r="BX1081" s="15">
        <v>207720.0</v>
      </c>
      <c r="BY1081" s="15">
        <v>108880.0</v>
      </c>
      <c r="BZ1081" s="15">
        <v>56540.0</v>
      </c>
      <c r="CA1081" s="15">
        <v>60320.0</v>
      </c>
      <c r="CB1081" s="15">
        <v>73310.0</v>
      </c>
      <c r="CC1081" s="15">
        <v>27340.0</v>
      </c>
      <c r="CD1081" s="15">
        <v>15000.0</v>
      </c>
      <c r="CE1081" s="15">
        <v>13040.0</v>
      </c>
      <c r="CF1081" s="15">
        <v>12960.0</v>
      </c>
      <c r="CG1081" s="15">
        <v>231050.0</v>
      </c>
      <c r="CH1081" s="15">
        <v>125030.0</v>
      </c>
      <c r="CI1081" s="15">
        <v>5060.0</v>
      </c>
      <c r="CJ1081" s="15">
        <v>4620.0</v>
      </c>
      <c r="CK1081" s="15">
        <v>5580.0</v>
      </c>
      <c r="CL1081" s="15">
        <v>672730.0</v>
      </c>
      <c r="CM1081" s="15">
        <v>495430.0</v>
      </c>
      <c r="CN1081" s="15">
        <v>140850.0</v>
      </c>
      <c r="CO1081" s="15">
        <v>81330.0</v>
      </c>
      <c r="CP1081" s="15">
        <v>92340.0</v>
      </c>
      <c r="CQ1081" s="15">
        <v>51540.0</v>
      </c>
      <c r="CR1081" s="15">
        <v>54770.0</v>
      </c>
      <c r="CS1081" s="15">
        <v>14230.0</v>
      </c>
      <c r="CT1081" s="15">
        <v>9330.0</v>
      </c>
      <c r="CU1081" s="15">
        <v>9210.0</v>
      </c>
      <c r="CV1081" s="15">
        <v>73010.0</v>
      </c>
      <c r="CW1081" s="15">
        <v>4620.0</v>
      </c>
      <c r="CX1081" s="15"/>
      <c r="CY1081" s="15"/>
      <c r="CZ1081" s="15"/>
      <c r="DA1081" s="15"/>
      <c r="DB1081" s="15">
        <v>73010.0</v>
      </c>
      <c r="DC1081" s="15">
        <v>64200.0</v>
      </c>
      <c r="DD1081" s="15">
        <v>18190.0</v>
      </c>
      <c r="DE1081" s="15">
        <v>13080.0</v>
      </c>
      <c r="DF1081" s="15">
        <v>344420.0</v>
      </c>
      <c r="DG1081" s="15">
        <v>174460.0</v>
      </c>
      <c r="DH1081" s="15">
        <v>36000.0</v>
      </c>
      <c r="DI1081" s="15">
        <v>40350.0</v>
      </c>
      <c r="DJ1081" s="15">
        <v>46060.0</v>
      </c>
      <c r="DK1081" s="15"/>
      <c r="DL1081" s="15"/>
      <c r="DM1081" s="15">
        <v>200.0</v>
      </c>
      <c r="DN1081" s="15">
        <v>250.0</v>
      </c>
      <c r="DO1081" s="15">
        <v>7140.0</v>
      </c>
      <c r="DP1081" s="15">
        <v>271290.0</v>
      </c>
      <c r="DQ1081" s="15">
        <v>109740.0</v>
      </c>
      <c r="DR1081" s="15">
        <v>17570.0</v>
      </c>
      <c r="DS1081" s="15">
        <v>25590.0</v>
      </c>
      <c r="DT1081" s="15">
        <v>32450.0</v>
      </c>
      <c r="DU1081" s="13"/>
      <c r="DV1081" s="12"/>
      <c r="DW1081" s="12"/>
      <c r="DX1081" s="13"/>
      <c r="DY1081" s="13"/>
      <c r="DZ1081" s="15">
        <v>283110.0</v>
      </c>
      <c r="EA1081" s="15">
        <v>256480.0</v>
      </c>
      <c r="EB1081" s="15">
        <v>66710.0</v>
      </c>
      <c r="EC1081" s="15">
        <v>41000.0</v>
      </c>
      <c r="ED1081" s="15">
        <v>46300.0</v>
      </c>
      <c r="EE1081" s="17">
        <v>0.068</v>
      </c>
      <c r="EF1081" s="17">
        <v>0.097</v>
      </c>
      <c r="EG1081" s="17">
        <v>0.578</v>
      </c>
      <c r="EH1081" s="17">
        <v>0.086</v>
      </c>
    </row>
    <row r="1082">
      <c r="A1082" s="9">
        <f t="shared" si="2"/>
        <v>1080</v>
      </c>
      <c r="B1082" s="32" t="s">
        <v>1217</v>
      </c>
      <c r="C1082" s="11">
        <v>5.259E7</v>
      </c>
      <c r="D1082" s="11">
        <v>4.914E7</v>
      </c>
      <c r="E1082" s="11">
        <v>5.175E7</v>
      </c>
      <c r="F1082" s="11">
        <v>5.365E7</v>
      </c>
      <c r="G1082" s="11">
        <v>5.255E7</v>
      </c>
      <c r="H1082" s="11">
        <v>5.282E7</v>
      </c>
      <c r="I1082" s="11">
        <v>4.885E7</v>
      </c>
      <c r="J1082" s="11">
        <v>3.701E7</v>
      </c>
      <c r="K1082" s="11">
        <v>3.764E7</v>
      </c>
      <c r="L1082" s="11">
        <v>3.677E7</v>
      </c>
      <c r="M1082" s="11">
        <v>3.687E7</v>
      </c>
      <c r="N1082" s="11">
        <v>3.569E7</v>
      </c>
      <c r="O1082" s="11">
        <v>2.289E7</v>
      </c>
      <c r="P1082" s="11">
        <v>2.235E7</v>
      </c>
      <c r="Q1082" s="11">
        <v>2.238E7</v>
      </c>
      <c r="R1082" s="11">
        <v>2.26E7</v>
      </c>
      <c r="S1082" s="11">
        <v>2.24E7</v>
      </c>
      <c r="T1082" s="11">
        <v>8620000.0</v>
      </c>
      <c r="U1082" s="11">
        <v>7970000.0</v>
      </c>
      <c r="V1082" s="11">
        <v>7650000.0</v>
      </c>
      <c r="W1082" s="11">
        <v>7840000.0</v>
      </c>
      <c r="X1082" s="11">
        <v>7670000.0</v>
      </c>
      <c r="Y1082" s="11">
        <v>9590000.0</v>
      </c>
      <c r="Z1082" s="11">
        <v>1.167E7</v>
      </c>
      <c r="AA1082" s="11">
        <v>-2240000.0</v>
      </c>
      <c r="AB1082" s="11">
        <v>7620000.0</v>
      </c>
      <c r="AC1082" s="11">
        <v>-3970000.0</v>
      </c>
      <c r="AD1082" s="11">
        <v>1.768E7</v>
      </c>
      <c r="AE1082" s="11">
        <v>1.189E7</v>
      </c>
      <c r="AF1082" s="11">
        <v>1.231E7</v>
      </c>
      <c r="AG1082" s="11">
        <v>8350000.0</v>
      </c>
      <c r="AH1082" s="11">
        <v>8970000.0</v>
      </c>
      <c r="AI1082" s="11">
        <v>2.013E7</v>
      </c>
      <c r="AJ1082" s="11">
        <v>2.167E7</v>
      </c>
      <c r="AK1082" s="11">
        <v>2.066E7</v>
      </c>
      <c r="AL1082" s="11">
        <v>2.003E7</v>
      </c>
      <c r="AM1082" s="11">
        <v>1.845E7</v>
      </c>
      <c r="AN1082" s="11">
        <v>1.627E7</v>
      </c>
      <c r="AO1082" s="11">
        <v>1.114E7</v>
      </c>
      <c r="AP1082" s="11">
        <v>2.131E7</v>
      </c>
      <c r="AQ1082" s="11">
        <v>7200000.0</v>
      </c>
      <c r="AR1082" s="11">
        <v>6950000.0</v>
      </c>
      <c r="AS1082" s="11">
        <v>1.259E7</v>
      </c>
      <c r="AT1082" s="11">
        <v>1.583E7</v>
      </c>
      <c r="AU1082" s="11">
        <v>1.68E7</v>
      </c>
      <c r="AV1082" s="11">
        <v>1.59E7</v>
      </c>
      <c r="AW1082" s="11">
        <v>1.469E7</v>
      </c>
      <c r="AX1082" s="11">
        <v>-2590000.0</v>
      </c>
      <c r="AY1082" s="11">
        <v>-2200000.0</v>
      </c>
      <c r="AZ1082" s="11">
        <v>-2220000.0</v>
      </c>
      <c r="BA1082" s="11">
        <v>-2000000.0</v>
      </c>
      <c r="BB1082" s="11">
        <v>-1500000.0</v>
      </c>
      <c r="BC1082" s="11">
        <v>-8040000.0</v>
      </c>
      <c r="BD1082" s="11">
        <v>-7980000.0</v>
      </c>
      <c r="BE1082" s="11">
        <v>-7660000.0</v>
      </c>
      <c r="BF1082" s="11">
        <v>-7320000.0</v>
      </c>
      <c r="BG1082" s="11">
        <v>-6940000.0</v>
      </c>
      <c r="BH1082" s="11">
        <v>9830000.0</v>
      </c>
      <c r="BI1082" s="11">
        <v>1.883E7</v>
      </c>
      <c r="BJ1082" s="11">
        <v>2.001E7</v>
      </c>
      <c r="BK1082" s="11">
        <v>1.785E7</v>
      </c>
      <c r="BL1082" s="11">
        <v>2.329E7</v>
      </c>
      <c r="BM1082" s="11">
        <v>8720000.0</v>
      </c>
      <c r="BN1082" s="11">
        <v>8030000.0</v>
      </c>
      <c r="BO1082" s="11">
        <v>8220000.0</v>
      </c>
      <c r="BP1082" s="11">
        <v>8230000.0</v>
      </c>
      <c r="BQ1082" s="11">
        <v>8180000.0</v>
      </c>
      <c r="BR1082" s="11">
        <v>8280000.0</v>
      </c>
      <c r="BS1082" s="11">
        <v>7510000.0</v>
      </c>
      <c r="BT1082" s="11">
        <v>7580000.0</v>
      </c>
      <c r="BU1082" s="11">
        <v>6780000.0</v>
      </c>
      <c r="BV1082" s="11">
        <v>7510000.0</v>
      </c>
      <c r="BW1082" s="11">
        <v>3.28E7</v>
      </c>
      <c r="BX1082" s="11">
        <v>4.993E7</v>
      </c>
      <c r="BY1082" s="11">
        <v>4.114E7</v>
      </c>
      <c r="BZ1082" s="11">
        <v>3.895E7</v>
      </c>
      <c r="CA1082" s="11">
        <v>4.38E7</v>
      </c>
      <c r="CB1082" s="11">
        <v>1.528E7</v>
      </c>
      <c r="CC1082" s="11">
        <v>1.339E7</v>
      </c>
      <c r="CD1082" s="11">
        <v>1.387E7</v>
      </c>
      <c r="CE1082" s="11">
        <v>1.332E7</v>
      </c>
      <c r="CF1082" s="11">
        <v>1.377E7</v>
      </c>
      <c r="CG1082" s="11">
        <v>5.865E7</v>
      </c>
      <c r="CH1082" s="11">
        <v>5.341E7</v>
      </c>
      <c r="CI1082" s="11">
        <v>5.595E7</v>
      </c>
      <c r="CJ1082" s="11">
        <v>5.445E7</v>
      </c>
      <c r="CK1082" s="11">
        <v>4.824E7</v>
      </c>
      <c r="CL1082" s="11">
        <v>1.6749E8</v>
      </c>
      <c r="CM1082" s="11">
        <v>1.5942E8</v>
      </c>
      <c r="CN1082" s="11">
        <v>1.718E8</v>
      </c>
      <c r="CO1082" s="11">
        <v>1.7162E8</v>
      </c>
      <c r="CP1082" s="11">
        <v>1.6738E8</v>
      </c>
      <c r="CQ1082" s="11">
        <v>4220000.0</v>
      </c>
      <c r="CR1082" s="11">
        <v>4670000.0</v>
      </c>
      <c r="CS1082" s="11">
        <v>4660000.0</v>
      </c>
      <c r="CT1082" s="11">
        <v>4540000.0</v>
      </c>
      <c r="CU1082" s="11">
        <v>3620000.0</v>
      </c>
      <c r="CV1082" s="11">
        <v>3.73E7</v>
      </c>
      <c r="CW1082" s="11">
        <v>1.501E7</v>
      </c>
      <c r="CX1082" s="11">
        <v>4060000.0</v>
      </c>
      <c r="CY1082" s="11">
        <v>6410000.0</v>
      </c>
      <c r="CZ1082" s="11">
        <v>6460000.0</v>
      </c>
      <c r="DA1082" s="11">
        <v>6440000.0</v>
      </c>
      <c r="DB1082" s="11">
        <v>3.73E7</v>
      </c>
      <c r="DC1082" s="11">
        <v>3.186E7</v>
      </c>
      <c r="DD1082" s="11">
        <v>3.043E7</v>
      </c>
      <c r="DE1082" s="11">
        <v>3.112E7</v>
      </c>
      <c r="DF1082" s="11">
        <v>1.0404E8</v>
      </c>
      <c r="DG1082" s="11">
        <v>9.566E7</v>
      </c>
      <c r="DH1082" s="11">
        <v>1.0014E8</v>
      </c>
      <c r="DI1082" s="11">
        <v>1.1178E8</v>
      </c>
      <c r="DJ1082" s="11">
        <v>1.0238E8</v>
      </c>
      <c r="DK1082" s="11">
        <v>2.015E7</v>
      </c>
      <c r="DL1082" s="11">
        <v>2770000.0</v>
      </c>
      <c r="DM1082" s="11">
        <v>7090000.0</v>
      </c>
      <c r="DN1082" s="11">
        <v>7120000.0</v>
      </c>
      <c r="DO1082" s="11">
        <v>1.6E7</v>
      </c>
      <c r="DP1082" s="11">
        <v>3.7E7</v>
      </c>
      <c r="DQ1082" s="11">
        <v>3.291E7</v>
      </c>
      <c r="DR1082" s="11">
        <v>3.354E7</v>
      </c>
      <c r="DS1082" s="11">
        <v>3.14E7</v>
      </c>
      <c r="DT1082" s="11">
        <v>2.874E7</v>
      </c>
      <c r="DU1082" s="11">
        <v>17000.0</v>
      </c>
      <c r="DV1082" s="11">
        <v>19000.0</v>
      </c>
      <c r="DW1082" s="11">
        <v>21000.0</v>
      </c>
      <c r="DX1082" s="11">
        <v>24000.0</v>
      </c>
      <c r="DY1082" s="11">
        <v>26000.0</v>
      </c>
      <c r="DZ1082" s="11">
        <v>6.314E7</v>
      </c>
      <c r="EA1082" s="11">
        <v>6.341E7</v>
      </c>
      <c r="EB1082" s="11">
        <v>7.131E7</v>
      </c>
      <c r="EC1082" s="11">
        <v>5.954E7</v>
      </c>
      <c r="ED1082" s="11">
        <v>6.472E7</v>
      </c>
      <c r="EE1082" s="14">
        <v>0.066</v>
      </c>
      <c r="EF1082" s="14">
        <v>0.294</v>
      </c>
      <c r="EG1082" s="14">
        <v>0.096</v>
      </c>
      <c r="EH1082" s="14">
        <v>0.085</v>
      </c>
    </row>
    <row r="1083">
      <c r="A1083" s="9">
        <f t="shared" si="2"/>
        <v>1081</v>
      </c>
      <c r="B1083" s="10" t="s">
        <v>1218</v>
      </c>
      <c r="C1083" s="15">
        <v>2.725E7</v>
      </c>
      <c r="D1083" s="15">
        <v>2.478E7</v>
      </c>
      <c r="E1083" s="15">
        <v>1.974E7</v>
      </c>
      <c r="F1083" s="15">
        <v>1.762E7</v>
      </c>
      <c r="G1083" s="15">
        <v>1.676E7</v>
      </c>
      <c r="H1083" s="15">
        <v>1.61E7</v>
      </c>
      <c r="I1083" s="15">
        <v>1.527E7</v>
      </c>
      <c r="J1083" s="15">
        <v>2400000.0</v>
      </c>
      <c r="K1083" s="15">
        <v>2190000.0</v>
      </c>
      <c r="L1083" s="15">
        <v>2030000.0</v>
      </c>
      <c r="M1083" s="15">
        <v>1930000.0</v>
      </c>
      <c r="N1083" s="15">
        <v>1770000.0</v>
      </c>
      <c r="O1083" s="15">
        <v>2110000.0</v>
      </c>
      <c r="P1083" s="15">
        <v>1940000.0</v>
      </c>
      <c r="Q1083" s="15">
        <v>1820000.0</v>
      </c>
      <c r="R1083" s="15">
        <v>1720000.0</v>
      </c>
      <c r="S1083" s="15">
        <v>1610000.0</v>
      </c>
      <c r="T1083" s="15"/>
      <c r="U1083" s="15"/>
      <c r="V1083" s="15"/>
      <c r="W1083" s="15"/>
      <c r="X1083" s="15"/>
      <c r="Y1083" s="12"/>
      <c r="Z1083" s="12"/>
      <c r="AA1083" s="12"/>
      <c r="AB1083" s="15">
        <v>193700.0</v>
      </c>
      <c r="AC1083" s="15">
        <v>159500.0</v>
      </c>
      <c r="AD1083" s="15">
        <v>218300.0</v>
      </c>
      <c r="AE1083" s="15">
        <v>193600.0</v>
      </c>
      <c r="AF1083" s="15">
        <v>157700.0</v>
      </c>
      <c r="AG1083" s="15">
        <v>114500.0</v>
      </c>
      <c r="AH1083" s="15">
        <v>96600.0</v>
      </c>
      <c r="AI1083" s="15">
        <v>438300.0</v>
      </c>
      <c r="AJ1083" s="15">
        <v>387100.0</v>
      </c>
      <c r="AK1083" s="15">
        <v>340200.0</v>
      </c>
      <c r="AL1083" s="15">
        <v>327600.0</v>
      </c>
      <c r="AM1083" s="15">
        <v>290900.0</v>
      </c>
      <c r="AN1083" s="15">
        <v>166800.0</v>
      </c>
      <c r="AO1083" s="15">
        <v>198700.0</v>
      </c>
      <c r="AP1083" s="15">
        <v>96300.0</v>
      </c>
      <c r="AQ1083" s="15">
        <v>68300.0</v>
      </c>
      <c r="AR1083" s="15">
        <v>56500.0</v>
      </c>
      <c r="AS1083" s="15">
        <v>317400.0</v>
      </c>
      <c r="AT1083" s="15">
        <v>367000.0</v>
      </c>
      <c r="AU1083" s="15">
        <v>201700.0</v>
      </c>
      <c r="AV1083" s="15">
        <v>234900.0</v>
      </c>
      <c r="AW1083" s="15">
        <v>127400.0</v>
      </c>
      <c r="AX1083" s="15">
        <v>-139100.0</v>
      </c>
      <c r="AY1083" s="15">
        <v>-140100.0</v>
      </c>
      <c r="AZ1083" s="15">
        <v>-140200.0</v>
      </c>
      <c r="BA1083" s="15">
        <v>-119700.0</v>
      </c>
      <c r="BB1083" s="15">
        <v>-98600.0</v>
      </c>
      <c r="BC1083" s="13"/>
      <c r="BD1083" s="13"/>
      <c r="BE1083" s="13"/>
      <c r="BF1083" s="13"/>
      <c r="BG1083" s="13"/>
      <c r="BH1083" s="15">
        <v>14700.0</v>
      </c>
      <c r="BI1083" s="15">
        <v>7500.0</v>
      </c>
      <c r="BJ1083" s="15">
        <v>8100.0</v>
      </c>
      <c r="BK1083" s="15">
        <v>10900.0</v>
      </c>
      <c r="BL1083" s="15">
        <v>9200.0</v>
      </c>
      <c r="BM1083" s="15">
        <v>1230000.0</v>
      </c>
      <c r="BN1083" s="15">
        <v>1070000.0</v>
      </c>
      <c r="BO1083" s="15">
        <v>1030000.0</v>
      </c>
      <c r="BP1083" s="15">
        <v>968200.0</v>
      </c>
      <c r="BQ1083" s="15">
        <v>964600.0</v>
      </c>
      <c r="BR1083" s="12">
        <v>1360000.0</v>
      </c>
      <c r="BS1083" s="12">
        <v>1050000.0</v>
      </c>
      <c r="BT1083" s="12">
        <v>1010000.0</v>
      </c>
      <c r="BU1083" s="12">
        <v>919700.0</v>
      </c>
      <c r="BV1083" s="12">
        <v>882600.0</v>
      </c>
      <c r="BW1083" s="15">
        <v>2670000.0</v>
      </c>
      <c r="BX1083" s="15">
        <v>2200000.0</v>
      </c>
      <c r="BY1083" s="15">
        <v>2080000.0</v>
      </c>
      <c r="BZ1083" s="15">
        <v>1940000.0</v>
      </c>
      <c r="CA1083" s="15">
        <v>1900000.0</v>
      </c>
      <c r="CB1083" s="15">
        <v>950500.0</v>
      </c>
      <c r="CC1083" s="15">
        <v>795500.0</v>
      </c>
      <c r="CD1083" s="15">
        <v>740700.0</v>
      </c>
      <c r="CE1083" s="15">
        <v>637000.0</v>
      </c>
      <c r="CF1083" s="15">
        <v>594700.0</v>
      </c>
      <c r="CG1083" s="15">
        <v>765800.0</v>
      </c>
      <c r="CH1083" s="15">
        <v>740500.0</v>
      </c>
      <c r="CI1083" s="15">
        <v>718600.0</v>
      </c>
      <c r="CJ1083" s="15">
        <v>674000.0</v>
      </c>
      <c r="CK1083" s="15">
        <v>664000.0</v>
      </c>
      <c r="CL1083" s="15">
        <v>4680000.0</v>
      </c>
      <c r="CM1083" s="15">
        <v>4030000.0</v>
      </c>
      <c r="CN1083" s="15">
        <v>3850000.0</v>
      </c>
      <c r="CO1083" s="15">
        <v>3500000.0</v>
      </c>
      <c r="CP1083" s="15">
        <v>3390000.0</v>
      </c>
      <c r="CQ1083" s="15">
        <v>1340000.0</v>
      </c>
      <c r="CR1083" s="15">
        <v>1230000.0</v>
      </c>
      <c r="CS1083" s="15">
        <v>1130000.0</v>
      </c>
      <c r="CT1083" s="15">
        <v>1080000.0</v>
      </c>
      <c r="CU1083" s="15">
        <v>1020000.0</v>
      </c>
      <c r="CV1083" s="15">
        <v>1700000.0</v>
      </c>
      <c r="CW1083" s="15"/>
      <c r="CX1083" s="13"/>
      <c r="CY1083" s="13"/>
      <c r="CZ1083" s="13"/>
      <c r="DA1083" s="12"/>
      <c r="DB1083" s="15">
        <v>1700000.0</v>
      </c>
      <c r="DC1083" s="15">
        <v>1470000.0</v>
      </c>
      <c r="DD1083" s="15">
        <v>1380000.0</v>
      </c>
      <c r="DE1083" s="15">
        <v>1320000.0</v>
      </c>
      <c r="DF1083" s="15">
        <v>3380000.0</v>
      </c>
      <c r="DG1083" s="15">
        <v>2890000.0</v>
      </c>
      <c r="DH1083" s="15">
        <v>2920000.0</v>
      </c>
      <c r="DI1083" s="15">
        <v>2700000.0</v>
      </c>
      <c r="DJ1083" s="15">
        <v>2900000.0</v>
      </c>
      <c r="DK1083" s="12">
        <v>11200.0</v>
      </c>
      <c r="DL1083" s="15">
        <v>18700.0</v>
      </c>
      <c r="DM1083" s="15">
        <v>17900.0</v>
      </c>
      <c r="DN1083" s="15">
        <v>13000.0</v>
      </c>
      <c r="DO1083" s="15">
        <v>20400.0</v>
      </c>
      <c r="DP1083" s="15">
        <v>1330000.0</v>
      </c>
      <c r="DQ1083" s="15">
        <v>1180000.0</v>
      </c>
      <c r="DR1083" s="15">
        <v>1290000.0</v>
      </c>
      <c r="DS1083" s="15">
        <v>1140000.0</v>
      </c>
      <c r="DT1083" s="15">
        <v>1430000.0</v>
      </c>
      <c r="DU1083" s="13"/>
      <c r="DV1083" s="12"/>
      <c r="DW1083" s="12"/>
      <c r="DX1083" s="13"/>
      <c r="DY1083" s="13"/>
      <c r="DZ1083" s="15">
        <v>1300000.0</v>
      </c>
      <c r="EA1083" s="15">
        <v>1140000.0</v>
      </c>
      <c r="EB1083" s="15">
        <v>925500.0</v>
      </c>
      <c r="EC1083" s="15">
        <v>802800.0</v>
      </c>
      <c r="ED1083" s="15">
        <v>493000.0</v>
      </c>
      <c r="EE1083" s="23">
        <v>0.060936239</v>
      </c>
      <c r="EF1083" s="23">
        <v>0.146788991</v>
      </c>
      <c r="EG1083" s="17">
        <v>1.636</v>
      </c>
      <c r="EH1083" s="23">
        <v>0.662</v>
      </c>
    </row>
    <row r="1084">
      <c r="A1084" s="9">
        <f t="shared" si="2"/>
        <v>1082</v>
      </c>
      <c r="B1084" s="25" t="s">
        <v>1219</v>
      </c>
      <c r="C1084" s="15">
        <v>7.55E7</v>
      </c>
      <c r="D1084" s="15">
        <v>7.286E7</v>
      </c>
      <c r="E1084" s="15">
        <v>7.095E7</v>
      </c>
      <c r="F1084" s="15">
        <v>6.768E7</v>
      </c>
      <c r="G1084" s="15">
        <v>6.683E7</v>
      </c>
      <c r="H1084" s="15">
        <v>6.506E7</v>
      </c>
      <c r="I1084" s="15">
        <v>6.53E7</v>
      </c>
      <c r="J1084" s="15">
        <v>3.631E7</v>
      </c>
      <c r="K1084" s="15">
        <v>3.344E7</v>
      </c>
      <c r="L1084" s="15">
        <v>3.322E7</v>
      </c>
      <c r="M1084" s="15">
        <v>3.312E7</v>
      </c>
      <c r="N1084" s="15">
        <v>3.311E7</v>
      </c>
      <c r="O1084" s="15">
        <v>1.992E7</v>
      </c>
      <c r="P1084" s="15">
        <v>1.893E7</v>
      </c>
      <c r="Q1084" s="15">
        <v>1.88E7</v>
      </c>
      <c r="R1084" s="15">
        <v>1.856E7</v>
      </c>
      <c r="S1084" s="15">
        <v>1.852E7</v>
      </c>
      <c r="T1084" s="15">
        <v>1800000.0</v>
      </c>
      <c r="U1084" s="15">
        <v>1860000.0</v>
      </c>
      <c r="V1084" s="15">
        <v>1910000.0</v>
      </c>
      <c r="W1084" s="15">
        <v>1870000.0</v>
      </c>
      <c r="X1084" s="15">
        <v>1880000.0</v>
      </c>
      <c r="Y1084" s="15">
        <v>1.579E7</v>
      </c>
      <c r="Z1084" s="15">
        <v>5570000.0</v>
      </c>
      <c r="AA1084" s="15">
        <v>-1180000.0</v>
      </c>
      <c r="AB1084" s="15">
        <v>1.389E7</v>
      </c>
      <c r="AC1084" s="15">
        <v>1.355E7</v>
      </c>
      <c r="AD1084" s="15">
        <v>1.583E7</v>
      </c>
      <c r="AE1084" s="15">
        <v>6070000.0</v>
      </c>
      <c r="AF1084" s="15">
        <v>1.333E7</v>
      </c>
      <c r="AG1084" s="15">
        <v>1.326E7</v>
      </c>
      <c r="AH1084" s="15">
        <v>1.337E7</v>
      </c>
      <c r="AI1084" s="15">
        <v>1.941E7</v>
      </c>
      <c r="AJ1084" s="15">
        <v>1.734E7</v>
      </c>
      <c r="AK1084" s="15">
        <v>1.725E7</v>
      </c>
      <c r="AL1084" s="15">
        <v>1.735E7</v>
      </c>
      <c r="AM1084" s="15">
        <v>1.756E7</v>
      </c>
      <c r="AN1084" s="15">
        <v>1.303E7</v>
      </c>
      <c r="AO1084" s="15">
        <v>3900000.0</v>
      </c>
      <c r="AP1084" s="15">
        <v>9750000.0</v>
      </c>
      <c r="AQ1084" s="15">
        <v>1.011E7</v>
      </c>
      <c r="AR1084" s="15">
        <v>9930000.0</v>
      </c>
      <c r="AS1084" s="15">
        <v>1.74E7</v>
      </c>
      <c r="AT1084" s="15">
        <v>1.524E7</v>
      </c>
      <c r="AU1084" s="15">
        <v>1.487E7</v>
      </c>
      <c r="AV1084" s="15">
        <v>1.275E7</v>
      </c>
      <c r="AW1084" s="15">
        <v>1.544E7</v>
      </c>
      <c r="AX1084" s="15">
        <v>-3070000.0</v>
      </c>
      <c r="AY1084" s="15">
        <v>-3350000.0</v>
      </c>
      <c r="AZ1084" s="15">
        <v>-3720000.0</v>
      </c>
      <c r="BA1084" s="15">
        <v>-3380000.0</v>
      </c>
      <c r="BB1084" s="15">
        <v>-3310000.0</v>
      </c>
      <c r="BC1084" s="15">
        <v>-7790000.0</v>
      </c>
      <c r="BD1084" s="15">
        <v>-7500000.0</v>
      </c>
      <c r="BE1084" s="15">
        <v>-7310000.0</v>
      </c>
      <c r="BF1084" s="15">
        <v>-7240000.0</v>
      </c>
      <c r="BG1084" s="15">
        <v>-7440000.0</v>
      </c>
      <c r="BH1084" s="15">
        <v>1.618E7</v>
      </c>
      <c r="BI1084" s="15">
        <v>1.029E7</v>
      </c>
      <c r="BJ1084" s="15">
        <v>1.185E7</v>
      </c>
      <c r="BK1084" s="15">
        <v>1.514E7</v>
      </c>
      <c r="BL1084" s="15">
        <v>1.335E7</v>
      </c>
      <c r="BM1084" s="15">
        <v>4180000.0</v>
      </c>
      <c r="BN1084" s="15">
        <v>4950000.0</v>
      </c>
      <c r="BO1084" s="15">
        <v>4690000.0</v>
      </c>
      <c r="BP1084" s="15">
        <v>4590000.0</v>
      </c>
      <c r="BQ1084" s="15">
        <v>4370000.0</v>
      </c>
      <c r="BR1084" s="15">
        <v>5500000.0</v>
      </c>
      <c r="BS1084" s="15">
        <v>5020000.0</v>
      </c>
      <c r="BT1084" s="15">
        <v>4740000.0</v>
      </c>
      <c r="BU1084" s="15">
        <v>4620000.0</v>
      </c>
      <c r="BV1084" s="15">
        <v>4720000.0</v>
      </c>
      <c r="BW1084" s="15">
        <v>2.799E7</v>
      </c>
      <c r="BX1084" s="15">
        <v>2.247E7</v>
      </c>
      <c r="BY1084" s="15">
        <v>2.332E7</v>
      </c>
      <c r="BZ1084" s="15">
        <v>2.649E7</v>
      </c>
      <c r="CA1084" s="15">
        <v>3.378E7</v>
      </c>
      <c r="CB1084" s="15">
        <v>2.154E7</v>
      </c>
      <c r="CC1084" s="15">
        <v>2.127E7</v>
      </c>
      <c r="CD1084" s="15">
        <v>2.06E7</v>
      </c>
      <c r="CE1084" s="15">
        <v>1.989E7</v>
      </c>
      <c r="CF1084" s="15">
        <v>1.939E7</v>
      </c>
      <c r="CG1084" s="15">
        <v>3.99E7</v>
      </c>
      <c r="CH1084" s="15">
        <v>4.027E7</v>
      </c>
      <c r="CI1084" s="15">
        <v>4.518E7</v>
      </c>
      <c r="CJ1084" s="15">
        <v>4.47E7</v>
      </c>
      <c r="CK1084" s="15">
        <v>4.435E7</v>
      </c>
      <c r="CL1084" s="15">
        <v>1.207E8</v>
      </c>
      <c r="CM1084" s="15">
        <v>1.151E8</v>
      </c>
      <c r="CN1084" s="15">
        <v>1.1831E8</v>
      </c>
      <c r="CO1084" s="15">
        <v>1.2041E8</v>
      </c>
      <c r="CP1084" s="15">
        <v>1.2714E8</v>
      </c>
      <c r="CQ1084" s="15">
        <v>1.207E7</v>
      </c>
      <c r="CR1084" s="15">
        <v>1.126E7</v>
      </c>
      <c r="CS1084" s="15">
        <v>1.034E7</v>
      </c>
      <c r="CT1084" s="15">
        <v>9630000.0</v>
      </c>
      <c r="CU1084" s="15">
        <v>9330000.0</v>
      </c>
      <c r="CV1084" s="15">
        <v>3.298E7</v>
      </c>
      <c r="CW1084" s="12"/>
      <c r="CX1084" s="15">
        <v>6310000.0</v>
      </c>
      <c r="CY1084" s="15">
        <v>8650000.0</v>
      </c>
      <c r="CZ1084" s="15">
        <v>1.188E7</v>
      </c>
      <c r="DA1084" s="15">
        <v>8890000.0</v>
      </c>
      <c r="DB1084" s="15">
        <v>3.298E7</v>
      </c>
      <c r="DC1084" s="15">
        <v>3.001E7</v>
      </c>
      <c r="DD1084" s="15">
        <v>2.824E7</v>
      </c>
      <c r="DE1084" s="15">
        <v>3.021E7</v>
      </c>
      <c r="DF1084" s="15">
        <v>7.382E7</v>
      </c>
      <c r="DG1084" s="15">
        <v>6.752E7</v>
      </c>
      <c r="DH1084" s="15">
        <v>6.543E7</v>
      </c>
      <c r="DI1084" s="15">
        <v>6.463E7</v>
      </c>
      <c r="DJ1084" s="15">
        <v>6.915E7</v>
      </c>
      <c r="DK1084" s="15">
        <v>67000.0</v>
      </c>
      <c r="DL1084" s="15">
        <v>169000.0</v>
      </c>
      <c r="DM1084" s="15">
        <v>141000.0</v>
      </c>
      <c r="DN1084" s="15">
        <v>132000.0</v>
      </c>
      <c r="DO1084" s="15">
        <v>28000.0</v>
      </c>
      <c r="DP1084" s="15">
        <v>2.419E7</v>
      </c>
      <c r="DQ1084" s="15">
        <v>2.04E7</v>
      </c>
      <c r="DR1084" s="15">
        <v>2.086E7</v>
      </c>
      <c r="DS1084" s="15">
        <v>1.804E7</v>
      </c>
      <c r="DT1084" s="15">
        <v>1.895E7</v>
      </c>
      <c r="DU1084" s="15">
        <v>897000.0</v>
      </c>
      <c r="DV1084" s="15">
        <v>928000.0</v>
      </c>
      <c r="DW1084" s="15">
        <v>967000.0</v>
      </c>
      <c r="DX1084" s="15">
        <v>1010000.0</v>
      </c>
      <c r="DY1084" s="15">
        <v>1040000.0</v>
      </c>
      <c r="DZ1084" s="15">
        <v>4.652E7</v>
      </c>
      <c r="EA1084" s="15">
        <v>4.719E7</v>
      </c>
      <c r="EB1084" s="15">
        <v>5.229E7</v>
      </c>
      <c r="EC1084" s="15">
        <v>5.518E7</v>
      </c>
      <c r="ED1084" s="15">
        <v>5.734E7</v>
      </c>
      <c r="EE1084" s="17">
        <v>0.029</v>
      </c>
      <c r="EF1084" s="17">
        <v>0.051</v>
      </c>
      <c r="EG1084" s="17">
        <v>0.149</v>
      </c>
      <c r="EH1084" s="17">
        <v>0.081</v>
      </c>
    </row>
    <row r="1085">
      <c r="A1085" s="9">
        <f t="shared" si="2"/>
        <v>1083</v>
      </c>
      <c r="B1085" s="22" t="s">
        <v>1220</v>
      </c>
      <c r="C1085" s="11">
        <v>543010.0</v>
      </c>
      <c r="D1085" s="11">
        <v>337320.0</v>
      </c>
      <c r="E1085" s="11">
        <v>229680.0</v>
      </c>
      <c r="F1085" s="11">
        <v>105400.0</v>
      </c>
      <c r="G1085" s="11">
        <v>48580.0</v>
      </c>
      <c r="H1085" s="12"/>
      <c r="I1085" s="12"/>
      <c r="J1085" s="11">
        <v>45510.0</v>
      </c>
      <c r="K1085" s="11">
        <v>19430.0</v>
      </c>
      <c r="L1085" s="11">
        <v>7400.0</v>
      </c>
      <c r="M1085" s="12"/>
      <c r="N1085" s="12"/>
      <c r="O1085" s="11">
        <v>35830.0</v>
      </c>
      <c r="P1085" s="11">
        <v>22890.0</v>
      </c>
      <c r="Q1085" s="11">
        <v>18410.0</v>
      </c>
      <c r="R1085" s="12"/>
      <c r="S1085" s="12"/>
      <c r="T1085" s="12"/>
      <c r="U1085" s="12"/>
      <c r="V1085" s="12"/>
      <c r="W1085" s="12"/>
      <c r="X1085" s="12"/>
      <c r="Y1085" s="11">
        <v>-8500.0</v>
      </c>
      <c r="Z1085" s="11">
        <v>-6480.0</v>
      </c>
      <c r="AA1085" s="11">
        <v>-11720.0</v>
      </c>
      <c r="AB1085" s="12"/>
      <c r="AC1085" s="12"/>
      <c r="AD1085" s="11">
        <v>-8560.0</v>
      </c>
      <c r="AE1085" s="11">
        <v>-6890.0</v>
      </c>
      <c r="AF1085" s="11">
        <v>-12460.0</v>
      </c>
      <c r="AG1085" s="12"/>
      <c r="AH1085" s="12"/>
      <c r="AI1085" s="11">
        <v>11810.0</v>
      </c>
      <c r="AJ1085" s="11">
        <v>-1570.0</v>
      </c>
      <c r="AK1085" s="11">
        <v>-9450.0</v>
      </c>
      <c r="AL1085" s="12"/>
      <c r="AM1085" s="12"/>
      <c r="AN1085" s="11">
        <v>-8570.0</v>
      </c>
      <c r="AO1085" s="11">
        <v>-5120.0</v>
      </c>
      <c r="AP1085" s="11">
        <v>-12460.0</v>
      </c>
      <c r="AQ1085" s="12"/>
      <c r="AR1085" s="12"/>
      <c r="AS1085" s="11">
        <v>-1530.0</v>
      </c>
      <c r="AT1085" s="11">
        <v>2270.0</v>
      </c>
      <c r="AU1085" s="11">
        <v>-9470.0</v>
      </c>
      <c r="AV1085" s="12"/>
      <c r="AW1085" s="12"/>
      <c r="AX1085" s="11">
        <v>-2960.0</v>
      </c>
      <c r="AY1085" s="11">
        <v>-579.0</v>
      </c>
      <c r="AZ1085" s="11">
        <v>-612.0</v>
      </c>
      <c r="BA1085" s="12"/>
      <c r="BB1085" s="12"/>
      <c r="BC1085" s="12"/>
      <c r="BD1085" s="12"/>
      <c r="BE1085" s="12"/>
      <c r="BF1085" s="12"/>
      <c r="BG1085" s="12"/>
      <c r="BH1085" s="11">
        <v>80380.0</v>
      </c>
      <c r="BI1085" s="11">
        <v>127.0</v>
      </c>
      <c r="BJ1085" s="11">
        <v>4690.0</v>
      </c>
      <c r="BK1085" s="12"/>
      <c r="BL1085" s="12"/>
      <c r="BM1085" s="11">
        <v>47060.0</v>
      </c>
      <c r="BN1085" s="11">
        <v>23330.0</v>
      </c>
      <c r="BO1085" s="11">
        <v>11370.0</v>
      </c>
      <c r="BP1085" s="12"/>
      <c r="BQ1085" s="12"/>
      <c r="BR1085" s="12"/>
      <c r="BS1085" s="12"/>
      <c r="BT1085" s="12"/>
      <c r="BU1085" s="12"/>
      <c r="BV1085" s="12"/>
      <c r="BW1085" s="11">
        <v>132440.0</v>
      </c>
      <c r="BX1085" s="11">
        <v>24540.0</v>
      </c>
      <c r="BY1085" s="11">
        <v>16770.0</v>
      </c>
      <c r="BZ1085" s="12"/>
      <c r="CA1085" s="12"/>
      <c r="CB1085" s="11">
        <v>3080.0</v>
      </c>
      <c r="CC1085" s="11">
        <v>776.0</v>
      </c>
      <c r="CD1085" s="11">
        <v>597.0</v>
      </c>
      <c r="CE1085" s="12"/>
      <c r="CF1085" s="12"/>
      <c r="CG1085" s="11">
        <v>11880.0</v>
      </c>
      <c r="CH1085" s="11">
        <v>11880.0</v>
      </c>
      <c r="CI1085" s="11">
        <v>11880.0</v>
      </c>
      <c r="CJ1085" s="12"/>
      <c r="CK1085" s="12"/>
      <c r="CL1085" s="11">
        <v>150430.0</v>
      </c>
      <c r="CM1085" s="11">
        <v>41320.0</v>
      </c>
      <c r="CN1085" s="11">
        <v>34960.0</v>
      </c>
      <c r="CO1085" s="12"/>
      <c r="CP1085" s="12"/>
      <c r="CQ1085" s="11">
        <v>19390.0</v>
      </c>
      <c r="CR1085" s="11">
        <v>15580.0</v>
      </c>
      <c r="CS1085" s="11">
        <v>5130.0</v>
      </c>
      <c r="CT1085" s="12"/>
      <c r="CU1085" s="12"/>
      <c r="CV1085" s="11">
        <v>36160.0</v>
      </c>
      <c r="CW1085" s="12"/>
      <c r="CX1085" s="24">
        <v>253.0</v>
      </c>
      <c r="CY1085" s="12"/>
      <c r="CZ1085" s="12"/>
      <c r="DA1085" s="12"/>
      <c r="DB1085" s="11">
        <v>36160.0</v>
      </c>
      <c r="DC1085" s="11">
        <v>30200.0</v>
      </c>
      <c r="DD1085" s="11">
        <v>17770.0</v>
      </c>
      <c r="DE1085" s="12"/>
      <c r="DF1085" s="11">
        <v>36160.0</v>
      </c>
      <c r="DG1085" s="11">
        <v>136440.0</v>
      </c>
      <c r="DH1085" s="11">
        <v>132580.0</v>
      </c>
      <c r="DI1085" s="12"/>
      <c r="DJ1085" s="12"/>
      <c r="DK1085" s="12"/>
      <c r="DL1085" s="12"/>
      <c r="DM1085" s="12"/>
      <c r="DN1085" s="12"/>
      <c r="DO1085" s="12"/>
      <c r="DP1085" s="12"/>
      <c r="DQ1085" s="11">
        <v>106240.0</v>
      </c>
      <c r="DR1085" s="11">
        <v>109940.0</v>
      </c>
      <c r="DS1085" s="12"/>
      <c r="DT1085" s="12"/>
      <c r="DU1085" s="13"/>
      <c r="DV1085" s="12"/>
      <c r="DW1085" s="12"/>
      <c r="DX1085" s="13"/>
      <c r="DY1085" s="13"/>
      <c r="DZ1085" s="11">
        <v>114270.0</v>
      </c>
      <c r="EA1085" s="11">
        <v>-95120.0</v>
      </c>
      <c r="EB1085" s="11">
        <v>-97620.0</v>
      </c>
      <c r="EC1085" s="12"/>
      <c r="ED1085" s="12"/>
      <c r="EE1085" s="14">
        <v>0.008</v>
      </c>
      <c r="EF1085" s="14">
        <v>0.046</v>
      </c>
      <c r="EG1085" s="14">
        <v>0.333</v>
      </c>
      <c r="EH1085" s="14">
        <v>0.458</v>
      </c>
    </row>
    <row r="1086">
      <c r="A1086" s="9">
        <f t="shared" si="2"/>
        <v>1084</v>
      </c>
      <c r="B1086" s="10" t="s">
        <v>1221</v>
      </c>
      <c r="C1086" s="11">
        <v>867000.0</v>
      </c>
      <c r="D1086" s="11">
        <v>805680.0</v>
      </c>
      <c r="E1086" s="11">
        <v>744960.0</v>
      </c>
      <c r="F1086" s="11">
        <v>698490.0</v>
      </c>
      <c r="G1086" s="11">
        <v>511080.0</v>
      </c>
      <c r="H1086" s="11">
        <v>458550.0</v>
      </c>
      <c r="I1086" s="11">
        <v>389810.0</v>
      </c>
      <c r="J1086" s="11">
        <v>249540.0</v>
      </c>
      <c r="K1086" s="11">
        <v>245610.0</v>
      </c>
      <c r="L1086" s="11">
        <v>165180.0</v>
      </c>
      <c r="M1086" s="11">
        <v>148600.0</v>
      </c>
      <c r="N1086" s="11">
        <v>126060.0</v>
      </c>
      <c r="O1086" s="11">
        <v>149160.0</v>
      </c>
      <c r="P1086" s="11">
        <v>142710.0</v>
      </c>
      <c r="Q1086" s="11">
        <v>94330.0</v>
      </c>
      <c r="R1086" s="11">
        <v>80530.0</v>
      </c>
      <c r="S1086" s="11">
        <v>66730.0</v>
      </c>
      <c r="T1086" s="11"/>
      <c r="U1086" s="11">
        <v>1900.0</v>
      </c>
      <c r="V1086" s="11">
        <v>1400.0</v>
      </c>
      <c r="W1086" s="11">
        <v>1700.0</v>
      </c>
      <c r="X1086" s="11">
        <v>2000.0</v>
      </c>
      <c r="Y1086" s="11">
        <v>87570.0</v>
      </c>
      <c r="Z1086" s="11">
        <v>89420.0</v>
      </c>
      <c r="AA1086" s="12"/>
      <c r="AB1086" s="11">
        <v>-1330.0</v>
      </c>
      <c r="AC1086" s="12"/>
      <c r="AD1086" s="11">
        <v>56130.0</v>
      </c>
      <c r="AE1086" s="11">
        <v>65210.0</v>
      </c>
      <c r="AF1086" s="11">
        <v>39900.0</v>
      </c>
      <c r="AG1086" s="11">
        <v>35550.0</v>
      </c>
      <c r="AH1086" s="11">
        <v>38850.0</v>
      </c>
      <c r="AI1086" s="11">
        <v>124520.0</v>
      </c>
      <c r="AJ1086" s="11">
        <v>121050.0</v>
      </c>
      <c r="AK1086" s="11">
        <v>79710.0</v>
      </c>
      <c r="AL1086" s="11">
        <v>72680.0</v>
      </c>
      <c r="AM1086" s="11">
        <v>61490.0</v>
      </c>
      <c r="AN1086" s="11">
        <v>43690.0</v>
      </c>
      <c r="AO1086" s="11">
        <v>53930.0</v>
      </c>
      <c r="AP1086" s="11">
        <v>39840.0</v>
      </c>
      <c r="AQ1086" s="11">
        <v>23750.0</v>
      </c>
      <c r="AR1086" s="11">
        <v>23550.0</v>
      </c>
      <c r="AS1086" s="11">
        <v>81220.0</v>
      </c>
      <c r="AT1086" s="11">
        <v>100310.0</v>
      </c>
      <c r="AU1086" s="11">
        <v>49030.0</v>
      </c>
      <c r="AV1086" s="11">
        <v>46370.0</v>
      </c>
      <c r="AW1086" s="11">
        <v>32460.0</v>
      </c>
      <c r="AX1086" s="11">
        <v>-31270.0</v>
      </c>
      <c r="AY1086" s="11">
        <v>-29770.0</v>
      </c>
      <c r="AZ1086" s="11">
        <v>-17820.0</v>
      </c>
      <c r="BA1086" s="11">
        <v>-17690.0</v>
      </c>
      <c r="BB1086" s="12">
        <v>-17390.0</v>
      </c>
      <c r="BC1086" s="13"/>
      <c r="BD1086" s="13"/>
      <c r="BE1086" s="13"/>
      <c r="BF1086" s="13"/>
      <c r="BG1086" s="13"/>
      <c r="BH1086" s="11">
        <v>97240.0</v>
      </c>
      <c r="BI1086" s="11">
        <v>52650.0</v>
      </c>
      <c r="BJ1086" s="11">
        <v>34030.0</v>
      </c>
      <c r="BK1086" s="11">
        <v>39210.0</v>
      </c>
      <c r="BL1086" s="11">
        <v>61490.0</v>
      </c>
      <c r="BM1086" s="11">
        <v>78640.0</v>
      </c>
      <c r="BN1086" s="11">
        <v>87470.0</v>
      </c>
      <c r="BO1086" s="11">
        <v>60310.0</v>
      </c>
      <c r="BP1086" s="11">
        <v>41650.0</v>
      </c>
      <c r="BQ1086" s="11">
        <v>31780.0</v>
      </c>
      <c r="BR1086" s="11">
        <v>43850.0</v>
      </c>
      <c r="BS1086" s="11">
        <v>44670.0</v>
      </c>
      <c r="BT1086" s="11">
        <v>37820.0</v>
      </c>
      <c r="BU1086" s="11">
        <v>30510.0</v>
      </c>
      <c r="BV1086" s="11">
        <v>23050.0</v>
      </c>
      <c r="BW1086" s="11">
        <v>233610.0</v>
      </c>
      <c r="BX1086" s="11">
        <v>195560.0</v>
      </c>
      <c r="BY1086" s="11">
        <v>144520.0</v>
      </c>
      <c r="BZ1086" s="11">
        <v>122380.0</v>
      </c>
      <c r="CA1086" s="11">
        <v>126970.0</v>
      </c>
      <c r="CB1086" s="11">
        <v>154590.0</v>
      </c>
      <c r="CC1086" s="11">
        <v>115710.0</v>
      </c>
      <c r="CD1086" s="11">
        <v>84130.0</v>
      </c>
      <c r="CE1086" s="11">
        <v>84210.0</v>
      </c>
      <c r="CF1086" s="11">
        <v>71500.0</v>
      </c>
      <c r="CG1086" s="11">
        <v>277600.0</v>
      </c>
      <c r="CH1086" s="11">
        <v>277830.0</v>
      </c>
      <c r="CI1086" s="11">
        <v>108060.0</v>
      </c>
      <c r="CJ1086" s="11">
        <v>108060.0</v>
      </c>
      <c r="CK1086" s="11">
        <v>65640.0</v>
      </c>
      <c r="CL1086" s="11">
        <v>943860.0</v>
      </c>
      <c r="CM1086" s="11">
        <v>862150.0</v>
      </c>
      <c r="CN1086" s="11">
        <v>453120.0</v>
      </c>
      <c r="CO1086" s="11">
        <v>436650.0</v>
      </c>
      <c r="CP1086" s="11">
        <v>344030.0</v>
      </c>
      <c r="CQ1086" s="11">
        <v>13440.0</v>
      </c>
      <c r="CR1086" s="11">
        <v>15290.0</v>
      </c>
      <c r="CS1086" s="11">
        <v>12910.0</v>
      </c>
      <c r="CT1086" s="11">
        <v>7890.0</v>
      </c>
      <c r="CU1086" s="11">
        <v>8180.0</v>
      </c>
      <c r="CV1086" s="11">
        <v>56100.0</v>
      </c>
      <c r="CW1086" s="11">
        <v>4700.0</v>
      </c>
      <c r="CX1086" s="12"/>
      <c r="CY1086" s="12"/>
      <c r="CZ1086" s="12"/>
      <c r="DA1086" s="12"/>
      <c r="DB1086" s="11">
        <v>56100.0</v>
      </c>
      <c r="DC1086" s="11">
        <v>68720.0</v>
      </c>
      <c r="DD1086" s="11">
        <v>41380.0</v>
      </c>
      <c r="DE1086" s="11">
        <v>22800.0</v>
      </c>
      <c r="DF1086" s="11">
        <v>512310.0</v>
      </c>
      <c r="DG1086" s="11">
        <v>476610.0</v>
      </c>
      <c r="DH1086" s="11">
        <v>277790.0</v>
      </c>
      <c r="DI1086" s="11">
        <v>303800.0</v>
      </c>
      <c r="DJ1086" s="11">
        <v>237070.0</v>
      </c>
      <c r="DK1086" s="12"/>
      <c r="DL1086" s="12"/>
      <c r="DM1086" s="12"/>
      <c r="DN1086" s="12"/>
      <c r="DO1086" s="12"/>
      <c r="DP1086" s="11">
        <v>393010.0</v>
      </c>
      <c r="DQ1086" s="11">
        <v>366610.0</v>
      </c>
      <c r="DR1086" s="11">
        <v>212680.0</v>
      </c>
      <c r="DS1086" s="11">
        <v>247870.0</v>
      </c>
      <c r="DT1086" s="11">
        <v>188820.0</v>
      </c>
      <c r="DU1086" s="13"/>
      <c r="DV1086" s="12"/>
      <c r="DW1086" s="12"/>
      <c r="DX1086" s="13"/>
      <c r="DY1086" s="13"/>
      <c r="DZ1086" s="11">
        <v>431550.0</v>
      </c>
      <c r="EA1086" s="11">
        <v>385540.0</v>
      </c>
      <c r="EB1086" s="11">
        <v>175330.0</v>
      </c>
      <c r="EC1086" s="11">
        <v>132850.0</v>
      </c>
      <c r="ED1086" s="11">
        <v>106960.0</v>
      </c>
      <c r="EE1086" s="23">
        <v>0.052129878</v>
      </c>
      <c r="EF1086" s="23">
        <v>0.036897347</v>
      </c>
      <c r="EG1086" s="14">
        <v>1.154</v>
      </c>
      <c r="EH1086" s="23">
        <v>0.3065</v>
      </c>
    </row>
    <row r="1087">
      <c r="A1087" s="9">
        <f t="shared" si="2"/>
        <v>1085</v>
      </c>
      <c r="B1087" s="10" t="s">
        <v>1222</v>
      </c>
      <c r="C1087" s="11">
        <v>1.403E7</v>
      </c>
      <c r="D1087" s="11">
        <v>1.276E7</v>
      </c>
      <c r="E1087" s="11">
        <v>1.37E7</v>
      </c>
      <c r="F1087" s="11">
        <v>1.432E7</v>
      </c>
      <c r="G1087" s="11">
        <v>1.43E7</v>
      </c>
      <c r="H1087" s="11">
        <v>1.203E7</v>
      </c>
      <c r="I1087" s="11">
        <v>1.136E7</v>
      </c>
      <c r="J1087" s="11">
        <v>3410000.0</v>
      </c>
      <c r="K1087" s="11">
        <v>3650000.0</v>
      </c>
      <c r="L1087" s="11">
        <v>3620000.0</v>
      </c>
      <c r="M1087" s="11">
        <v>2880000.0</v>
      </c>
      <c r="N1087" s="11">
        <v>2640000.0</v>
      </c>
      <c r="O1087" s="11">
        <v>1660000.0</v>
      </c>
      <c r="P1087" s="11">
        <v>1530000.0</v>
      </c>
      <c r="Q1087" s="11">
        <v>1600000.0</v>
      </c>
      <c r="R1087" s="11">
        <v>1430000.0</v>
      </c>
      <c r="S1087" s="11">
        <v>1340000.0</v>
      </c>
      <c r="T1087" s="12"/>
      <c r="U1087" s="11">
        <v>294850.0</v>
      </c>
      <c r="V1087" s="11">
        <v>327880.0</v>
      </c>
      <c r="W1087" s="11">
        <v>336680.0</v>
      </c>
      <c r="X1087" s="11">
        <v>359800.0</v>
      </c>
      <c r="Y1087" s="11"/>
      <c r="Z1087" s="11">
        <v>2080000.0</v>
      </c>
      <c r="AA1087" s="11">
        <v>-83000.0</v>
      </c>
      <c r="AB1087" s="11">
        <v>1390000.0</v>
      </c>
      <c r="AC1087" s="11">
        <v>-97360.0</v>
      </c>
      <c r="AD1087" s="11">
        <v>1510000.0</v>
      </c>
      <c r="AE1087" s="11">
        <v>1930000.0</v>
      </c>
      <c r="AF1087" s="11">
        <v>1700000.0</v>
      </c>
      <c r="AG1087" s="11">
        <v>1330000.0</v>
      </c>
      <c r="AH1087" s="11">
        <v>1110000.0</v>
      </c>
      <c r="AI1087" s="11">
        <v>2290000.0</v>
      </c>
      <c r="AJ1087" s="11">
        <v>2560000.0</v>
      </c>
      <c r="AK1087" s="11">
        <v>2480000.0</v>
      </c>
      <c r="AL1087" s="11">
        <v>1810000.0</v>
      </c>
      <c r="AM1087" s="11">
        <v>1600000.0</v>
      </c>
      <c r="AN1087" s="11">
        <v>1210000.0</v>
      </c>
      <c r="AO1087" s="11">
        <v>1510000.0</v>
      </c>
      <c r="AP1087" s="11">
        <v>1060000.0</v>
      </c>
      <c r="AQ1087" s="11">
        <v>983410.0</v>
      </c>
      <c r="AR1087" s="11">
        <v>806840.0</v>
      </c>
      <c r="AS1087" s="11">
        <v>2070000.0</v>
      </c>
      <c r="AT1087" s="11">
        <v>1730000.0</v>
      </c>
      <c r="AU1087" s="11">
        <v>1600000.0</v>
      </c>
      <c r="AV1087" s="11">
        <v>1300000.0</v>
      </c>
      <c r="AW1087" s="11">
        <v>1170000.0</v>
      </c>
      <c r="AX1087" s="11">
        <v>-232590.0</v>
      </c>
      <c r="AY1087" s="11">
        <v>-195090.0</v>
      </c>
      <c r="AZ1087" s="11">
        <v>-247670.0</v>
      </c>
      <c r="BA1087" s="11">
        <v>-203750.0</v>
      </c>
      <c r="BB1087" s="11">
        <v>-149410.0</v>
      </c>
      <c r="BC1087" s="11">
        <v>-453840.0</v>
      </c>
      <c r="BD1087" s="11">
        <v>-412470.0</v>
      </c>
      <c r="BE1087" s="11">
        <v>-365290.0</v>
      </c>
      <c r="BF1087" s="11">
        <v>-345380.0</v>
      </c>
      <c r="BG1087" s="11">
        <v>-341920.0</v>
      </c>
      <c r="BH1087" s="11">
        <v>756320.0</v>
      </c>
      <c r="BI1087" s="11">
        <v>3370000.0</v>
      </c>
      <c r="BJ1087" s="11">
        <v>855130.0</v>
      </c>
      <c r="BK1087" s="11">
        <v>924200.0</v>
      </c>
      <c r="BL1087" s="11">
        <v>2100000.0</v>
      </c>
      <c r="BM1087" s="11">
        <v>2100000.0</v>
      </c>
      <c r="BN1087" s="11">
        <v>2460000.0</v>
      </c>
      <c r="BO1087" s="11">
        <v>2470000.0</v>
      </c>
      <c r="BP1087" s="11">
        <v>2190000.0</v>
      </c>
      <c r="BQ1087" s="11">
        <v>1830000.0</v>
      </c>
      <c r="BR1087" s="11">
        <v>1810000.0</v>
      </c>
      <c r="BS1087" s="11">
        <v>1680000.0</v>
      </c>
      <c r="BT1087" s="11">
        <v>1620000.0</v>
      </c>
      <c r="BU1087" s="11">
        <v>1550000.0</v>
      </c>
      <c r="BV1087" s="11">
        <v>1170000.0</v>
      </c>
      <c r="BW1087" s="11">
        <v>4890000.0</v>
      </c>
      <c r="BX1087" s="11">
        <v>7670000.0</v>
      </c>
      <c r="BY1087" s="11">
        <v>5090000.0</v>
      </c>
      <c r="BZ1087" s="11">
        <v>4780000.0</v>
      </c>
      <c r="CA1087" s="11">
        <v>5210000.0</v>
      </c>
      <c r="CB1087" s="11">
        <v>2290000.0</v>
      </c>
      <c r="CC1087" s="11">
        <v>1770000.0</v>
      </c>
      <c r="CD1087" s="11">
        <v>1860000.0</v>
      </c>
      <c r="CE1087" s="11">
        <v>1940000.0</v>
      </c>
      <c r="CF1087" s="11">
        <v>1570000.0</v>
      </c>
      <c r="CG1087" s="11">
        <v>7870000.0</v>
      </c>
      <c r="CH1087" s="11">
        <v>5450000.0</v>
      </c>
      <c r="CI1087" s="11">
        <v>5500000.0</v>
      </c>
      <c r="CJ1087" s="11">
        <v>5590000.0</v>
      </c>
      <c r="CK1087" s="11">
        <v>2900000.0</v>
      </c>
      <c r="CL1087" s="11">
        <v>1.974E7</v>
      </c>
      <c r="CM1087" s="11">
        <v>1.758E7</v>
      </c>
      <c r="CN1087" s="11">
        <v>1.532E7</v>
      </c>
      <c r="CO1087" s="11">
        <v>1.549E7</v>
      </c>
      <c r="CP1087" s="11">
        <v>1.206E7</v>
      </c>
      <c r="CQ1087" s="11">
        <v>1110000.0</v>
      </c>
      <c r="CR1087" s="11">
        <v>1410000.0</v>
      </c>
      <c r="CS1087" s="11">
        <v>1430000.0</v>
      </c>
      <c r="CT1087" s="11">
        <v>1300000.0</v>
      </c>
      <c r="CU1087" s="11">
        <v>1030000.0</v>
      </c>
      <c r="CV1087" s="11">
        <v>3150000.0</v>
      </c>
      <c r="CW1087" s="11"/>
      <c r="CX1087" s="11">
        <v>586790.0</v>
      </c>
      <c r="CY1087" s="11">
        <v>538060.0</v>
      </c>
      <c r="CZ1087" s="11">
        <v>534200.0</v>
      </c>
      <c r="DA1087" s="11">
        <v>303700.0</v>
      </c>
      <c r="DB1087" s="11">
        <v>3150000.0</v>
      </c>
      <c r="DC1087" s="11">
        <v>3150000.0</v>
      </c>
      <c r="DD1087" s="11">
        <v>3200000.0</v>
      </c>
      <c r="DE1087" s="11">
        <v>3400000.0</v>
      </c>
      <c r="DF1087" s="11">
        <v>1.361E7</v>
      </c>
      <c r="DG1087" s="11">
        <v>1.161E7</v>
      </c>
      <c r="DH1087" s="11">
        <v>9450000.0</v>
      </c>
      <c r="DI1087" s="11">
        <v>1.022E7</v>
      </c>
      <c r="DJ1087" s="11">
        <v>7480000.0</v>
      </c>
      <c r="DK1087" s="11"/>
      <c r="DL1087" s="11">
        <v>117780.0</v>
      </c>
      <c r="DM1087" s="11">
        <v>58090.0</v>
      </c>
      <c r="DN1087" s="11">
        <v>42350.0</v>
      </c>
      <c r="DO1087" s="11">
        <v>355880.0</v>
      </c>
      <c r="DP1087" s="11">
        <v>7650000.0</v>
      </c>
      <c r="DQ1087" s="11">
        <v>6520000.0</v>
      </c>
      <c r="DR1087" s="11">
        <v>4320000.0</v>
      </c>
      <c r="DS1087" s="11">
        <v>4860000.0</v>
      </c>
      <c r="DT1087" s="11">
        <v>2680000.0</v>
      </c>
      <c r="DU1087" s="13"/>
      <c r="DV1087" s="13"/>
      <c r="DW1087" s="13"/>
      <c r="DX1087" s="13"/>
      <c r="DY1087" s="13"/>
      <c r="DZ1087" s="11">
        <v>6110000.0</v>
      </c>
      <c r="EA1087" s="11">
        <v>5960000.0</v>
      </c>
      <c r="EB1087" s="11">
        <v>5860000.0</v>
      </c>
      <c r="EC1087" s="11">
        <v>5260000.0</v>
      </c>
      <c r="ED1087" s="11">
        <v>4580000.0</v>
      </c>
      <c r="EE1087" s="14">
        <v>0.061</v>
      </c>
      <c r="EF1087" s="14">
        <v>0.128</v>
      </c>
      <c r="EG1087" s="14">
        <v>0.689</v>
      </c>
      <c r="EH1087" s="14">
        <v>0.284</v>
      </c>
    </row>
    <row r="1088">
      <c r="A1088" s="9">
        <f t="shared" si="2"/>
        <v>1086</v>
      </c>
      <c r="B1088" s="22" t="s">
        <v>1223</v>
      </c>
      <c r="C1088" s="12"/>
      <c r="D1088" s="12"/>
      <c r="E1088" s="11">
        <v>575.0</v>
      </c>
      <c r="F1088" s="12"/>
      <c r="G1088" s="12"/>
      <c r="H1088" s="12"/>
      <c r="I1088" s="12"/>
      <c r="J1088" s="12"/>
      <c r="K1088" s="11">
        <v>-105.0</v>
      </c>
      <c r="L1088" s="11">
        <v>-96.0</v>
      </c>
      <c r="M1088" s="11">
        <v>-92.0</v>
      </c>
      <c r="N1088" s="12"/>
      <c r="O1088" s="11">
        <v>46120.0</v>
      </c>
      <c r="P1088" s="11">
        <v>23610.0</v>
      </c>
      <c r="Q1088" s="11">
        <v>11640.0</v>
      </c>
      <c r="R1088" s="11">
        <v>9410.0</v>
      </c>
      <c r="S1088" s="12"/>
      <c r="T1088" s="11">
        <v>35110.0</v>
      </c>
      <c r="U1088" s="11">
        <v>18860.0</v>
      </c>
      <c r="V1088" s="11">
        <v>9410.0</v>
      </c>
      <c r="W1088" s="11">
        <v>7380.0</v>
      </c>
      <c r="X1088" s="12"/>
      <c r="Y1088" s="12"/>
      <c r="Z1088" s="11">
        <v>-24380.0</v>
      </c>
      <c r="AA1088" s="11">
        <v>-10780.0</v>
      </c>
      <c r="AB1088" s="11">
        <v>-9250.0</v>
      </c>
      <c r="AC1088" s="12"/>
      <c r="AD1088" s="11">
        <v>-43450.0</v>
      </c>
      <c r="AE1088" s="11">
        <v>-27250.0</v>
      </c>
      <c r="AF1088" s="11">
        <v>-13450.0</v>
      </c>
      <c r="AG1088" s="11">
        <v>-9220.0</v>
      </c>
      <c r="AH1088" s="12"/>
      <c r="AI1088" s="11">
        <v>-45550.0</v>
      </c>
      <c r="AJ1088" s="11">
        <v>-23610.0</v>
      </c>
      <c r="AK1088" s="11">
        <v>-11640.0</v>
      </c>
      <c r="AL1088" s="11">
        <v>-9410.0</v>
      </c>
      <c r="AM1088" s="12"/>
      <c r="AN1088" s="11">
        <v>-39250.0</v>
      </c>
      <c r="AO1088" s="11">
        <v>-23850.0</v>
      </c>
      <c r="AP1088" s="11">
        <v>-10250.0</v>
      </c>
      <c r="AQ1088" s="11">
        <v>-9220.0</v>
      </c>
      <c r="AR1088" s="12"/>
      <c r="AS1088" s="11">
        <v>-39590.0</v>
      </c>
      <c r="AT1088" s="11">
        <v>-17050.0</v>
      </c>
      <c r="AU1088" s="11">
        <v>-8260.0</v>
      </c>
      <c r="AV1088" s="11">
        <v>-9690.0</v>
      </c>
      <c r="AW1088" s="12"/>
      <c r="AX1088" s="11">
        <v>-960.0</v>
      </c>
      <c r="AY1088" s="11">
        <v>-119.0</v>
      </c>
      <c r="AZ1088" s="11">
        <v>-216.0</v>
      </c>
      <c r="BA1088" s="11">
        <v>-94.0</v>
      </c>
      <c r="BB1088" s="12"/>
      <c r="BC1088" s="12"/>
      <c r="BD1088" s="12"/>
      <c r="BE1088" s="12"/>
      <c r="BF1088" s="12"/>
      <c r="BG1088" s="12"/>
      <c r="BH1088" s="11">
        <v>74030.0</v>
      </c>
      <c r="BI1088" s="11">
        <v>61050.0</v>
      </c>
      <c r="BJ1088" s="11">
        <v>13410.0</v>
      </c>
      <c r="BK1088" s="11">
        <v>3720.0</v>
      </c>
      <c r="BL1088" s="12"/>
      <c r="BM1088" s="11">
        <v>1230.0</v>
      </c>
      <c r="BN1088" s="11">
        <v>233.0</v>
      </c>
      <c r="BO1088" s="12"/>
      <c r="BP1088" s="12"/>
      <c r="BQ1088" s="12"/>
      <c r="BR1088" s="12"/>
      <c r="BS1088" s="12"/>
      <c r="BT1088" s="12"/>
      <c r="BU1088" s="12"/>
      <c r="BV1088" s="12"/>
      <c r="BW1088" s="11">
        <v>78820.0</v>
      </c>
      <c r="BX1088" s="11">
        <v>62630.0</v>
      </c>
      <c r="BY1088" s="11">
        <v>13750.0</v>
      </c>
      <c r="BZ1088" s="11">
        <v>3880.0</v>
      </c>
      <c r="CA1088" s="12"/>
      <c r="CB1088" s="11">
        <v>3640.0</v>
      </c>
      <c r="CC1088" s="11">
        <v>355.0</v>
      </c>
      <c r="CD1088" s="11">
        <v>302.0</v>
      </c>
      <c r="CE1088" s="11">
        <v>182.0</v>
      </c>
      <c r="CF1088" s="12"/>
      <c r="CG1088" s="12"/>
      <c r="CH1088" s="12"/>
      <c r="CI1088" s="12"/>
      <c r="CJ1088" s="12"/>
      <c r="CK1088" s="12"/>
      <c r="CL1088" s="11">
        <v>82490.0</v>
      </c>
      <c r="CM1088" s="11">
        <v>63030.0</v>
      </c>
      <c r="CN1088" s="11">
        <v>14100.0</v>
      </c>
      <c r="CO1088" s="11">
        <v>4120.0</v>
      </c>
      <c r="CP1088" s="12"/>
      <c r="CQ1088" s="11">
        <v>2920.0</v>
      </c>
      <c r="CR1088" s="11">
        <v>1810.0</v>
      </c>
      <c r="CS1088" s="11">
        <v>430.0</v>
      </c>
      <c r="CT1088" s="11">
        <v>433.0</v>
      </c>
      <c r="CU1088" s="12"/>
      <c r="CV1088" s="11">
        <v>8480.0</v>
      </c>
      <c r="CW1088" s="11">
        <v>265.0</v>
      </c>
      <c r="CX1088" s="12"/>
      <c r="CY1088" s="11">
        <v>12100.0</v>
      </c>
      <c r="CZ1088" s="12"/>
      <c r="DA1088" s="12"/>
      <c r="DB1088" s="11">
        <v>8480.0</v>
      </c>
      <c r="DC1088" s="11">
        <v>4580.0</v>
      </c>
      <c r="DD1088" s="11">
        <v>17600.0</v>
      </c>
      <c r="DE1088" s="11">
        <v>844.0</v>
      </c>
      <c r="DF1088" s="11">
        <v>22520.0</v>
      </c>
      <c r="DG1088" s="11">
        <v>12100.0</v>
      </c>
      <c r="DH1088" s="11">
        <v>21880.0</v>
      </c>
      <c r="DI1088" s="11">
        <v>1730.0</v>
      </c>
      <c r="DJ1088" s="12"/>
      <c r="DK1088" s="12"/>
      <c r="DL1088" s="12"/>
      <c r="DM1088" s="11">
        <v>20.0</v>
      </c>
      <c r="DN1088" s="11">
        <v>20.0</v>
      </c>
      <c r="DO1088" s="12"/>
      <c r="DP1088" s="11">
        <v>13830.0</v>
      </c>
      <c r="DQ1088" s="11">
        <v>7500.0</v>
      </c>
      <c r="DR1088" s="11">
        <v>2630.0</v>
      </c>
      <c r="DS1088" s="12"/>
      <c r="DT1088" s="12"/>
      <c r="DU1088" s="13"/>
      <c r="DV1088" s="12"/>
      <c r="DW1088" s="11">
        <v>89630.0</v>
      </c>
      <c r="DX1088" s="11">
        <v>89570.0</v>
      </c>
      <c r="DY1088" s="13"/>
      <c r="DZ1088" s="11">
        <v>59980.0</v>
      </c>
      <c r="EA1088" s="11">
        <v>50930.0</v>
      </c>
      <c r="EB1088" s="11">
        <v>-7780.0</v>
      </c>
      <c r="EC1088" s="11">
        <v>2390.0</v>
      </c>
      <c r="ED1088" s="12"/>
      <c r="EE1088" s="23"/>
      <c r="EF1088" s="23"/>
      <c r="EG1088" s="14">
        <v>-0.885</v>
      </c>
      <c r="EH1088" s="14">
        <v>-0.337</v>
      </c>
    </row>
    <row r="1089">
      <c r="A1089" s="9">
        <f t="shared" si="2"/>
        <v>1087</v>
      </c>
      <c r="B1089" s="22" t="s">
        <v>1224</v>
      </c>
      <c r="C1089" s="12"/>
      <c r="D1089" s="12"/>
      <c r="E1089" s="12"/>
      <c r="F1089" s="12"/>
      <c r="G1089" s="12"/>
      <c r="H1089" s="12"/>
      <c r="I1089" s="12"/>
      <c r="J1089" s="11">
        <v>-8.0</v>
      </c>
      <c r="K1089" s="12"/>
      <c r="L1089" s="12"/>
      <c r="M1089" s="12"/>
      <c r="N1089" s="12"/>
      <c r="O1089" s="11">
        <v>27310.0</v>
      </c>
      <c r="P1089" s="11">
        <v>1230.0</v>
      </c>
      <c r="Q1089" s="12"/>
      <c r="R1089" s="12"/>
      <c r="S1089" s="12"/>
      <c r="T1089" s="11">
        <v>20370.0</v>
      </c>
      <c r="U1089" s="11">
        <v>20.0</v>
      </c>
      <c r="V1089" s="12"/>
      <c r="W1089" s="12"/>
      <c r="X1089" s="12"/>
      <c r="Y1089" s="11">
        <v>-252030.0</v>
      </c>
      <c r="Z1089" s="11">
        <v>-1280.0</v>
      </c>
      <c r="AA1089" s="12"/>
      <c r="AB1089" s="12"/>
      <c r="AC1089" s="12"/>
      <c r="AD1089" s="11">
        <v>-255130.0</v>
      </c>
      <c r="AE1089" s="11">
        <v>-1290.0</v>
      </c>
      <c r="AF1089" s="12"/>
      <c r="AG1089" s="12"/>
      <c r="AH1089" s="12"/>
      <c r="AI1089" s="11">
        <v>-27310.0</v>
      </c>
      <c r="AJ1089" s="11">
        <v>-1230.0</v>
      </c>
      <c r="AK1089" s="12"/>
      <c r="AL1089" s="12"/>
      <c r="AM1089" s="12"/>
      <c r="AN1089" s="11">
        <v>-255130.0</v>
      </c>
      <c r="AO1089" s="11">
        <v>-1290.0</v>
      </c>
      <c r="AP1089" s="12"/>
      <c r="AQ1089" s="12"/>
      <c r="AR1089" s="12"/>
      <c r="AS1089" s="11">
        <v>-36560.0</v>
      </c>
      <c r="AT1089" s="11">
        <v>-1020.0</v>
      </c>
      <c r="AU1089" s="12"/>
      <c r="AV1089" s="12"/>
      <c r="AW1089" s="12"/>
      <c r="AX1089" s="11">
        <v>-25250.0</v>
      </c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1">
        <v>243770.0</v>
      </c>
      <c r="BI1089" s="11">
        <v>879.0</v>
      </c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1">
        <v>255600.0</v>
      </c>
      <c r="BX1089" s="11">
        <v>902.0</v>
      </c>
      <c r="BY1089" s="12"/>
      <c r="BZ1089" s="12"/>
      <c r="CA1089" s="12"/>
      <c r="CB1089" s="11">
        <v>1400.0</v>
      </c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1">
        <v>257180.0</v>
      </c>
      <c r="CM1089" s="11">
        <v>902.0</v>
      </c>
      <c r="CN1089" s="12"/>
      <c r="CO1089" s="12"/>
      <c r="CP1089" s="12"/>
      <c r="CQ1089" s="11">
        <v>699.0</v>
      </c>
      <c r="CR1089" s="11">
        <v>55.0</v>
      </c>
      <c r="CS1089" s="12"/>
      <c r="CT1089" s="12"/>
      <c r="CU1089" s="12"/>
      <c r="CV1089" s="11">
        <v>3750.0</v>
      </c>
      <c r="CW1089" s="11">
        <v>161.0</v>
      </c>
      <c r="CX1089" s="11">
        <v>1950.0</v>
      </c>
      <c r="CY1089" s="12"/>
      <c r="CZ1089" s="12"/>
      <c r="DA1089" s="12"/>
      <c r="DB1089" s="11">
        <v>3750.0</v>
      </c>
      <c r="DC1089" s="11">
        <v>2190.0</v>
      </c>
      <c r="DD1089" s="12"/>
      <c r="DE1089" s="12"/>
      <c r="DF1089" s="11">
        <v>29220.0</v>
      </c>
      <c r="DG1089" s="11">
        <v>2190.0</v>
      </c>
      <c r="DH1089" s="12"/>
      <c r="DI1089" s="12"/>
      <c r="DJ1089" s="12"/>
      <c r="DK1089" s="12"/>
      <c r="DL1089" s="12"/>
      <c r="DM1089" s="12"/>
      <c r="DN1089" s="12"/>
      <c r="DO1089" s="12"/>
      <c r="DP1089" s="11">
        <v>23410.0</v>
      </c>
      <c r="DQ1089" s="12"/>
      <c r="DR1089" s="12"/>
      <c r="DS1089" s="12"/>
      <c r="DT1089" s="12"/>
      <c r="DU1089" s="13"/>
      <c r="DV1089" s="12"/>
      <c r="DW1089" s="12"/>
      <c r="DX1089" s="13"/>
      <c r="DY1089" s="13"/>
      <c r="DZ1089" s="11">
        <v>227960.0</v>
      </c>
      <c r="EA1089" s="11">
        <v>-1290.0</v>
      </c>
      <c r="EB1089" s="12"/>
      <c r="EC1089" s="12"/>
      <c r="ED1089" s="12"/>
      <c r="EE1089" s="23"/>
      <c r="EF1089" s="23"/>
      <c r="EG1089" s="14">
        <v>-0.143</v>
      </c>
      <c r="EH1089" s="14">
        <v>-2.335</v>
      </c>
    </row>
    <row r="1090">
      <c r="A1090" s="9">
        <f t="shared" si="2"/>
        <v>1088</v>
      </c>
      <c r="B1090" s="25" t="s">
        <v>1225</v>
      </c>
      <c r="C1090" s="15"/>
      <c r="D1090" s="15"/>
      <c r="E1090" s="15">
        <v>1.948E7</v>
      </c>
      <c r="F1090" s="15">
        <v>1.812E7</v>
      </c>
      <c r="G1090" s="15">
        <v>1.778E7</v>
      </c>
      <c r="H1090" s="15">
        <v>1.742E7</v>
      </c>
      <c r="I1090" s="15">
        <v>2.424E7</v>
      </c>
      <c r="J1090" s="15">
        <v>9040000.0</v>
      </c>
      <c r="K1090" s="15">
        <v>8330000.0</v>
      </c>
      <c r="L1090" s="15">
        <v>8060000.0</v>
      </c>
      <c r="M1090" s="15">
        <v>7740000.0</v>
      </c>
      <c r="N1090" s="15">
        <v>9830000.0</v>
      </c>
      <c r="O1090" s="15">
        <v>6590000.0</v>
      </c>
      <c r="P1090" s="15">
        <v>6200000.0</v>
      </c>
      <c r="Q1090" s="15">
        <v>6150000.0</v>
      </c>
      <c r="R1090" s="15">
        <v>6020000.0</v>
      </c>
      <c r="S1090" s="15">
        <v>8480000.0</v>
      </c>
      <c r="T1090" s="15">
        <v>1630000.0</v>
      </c>
      <c r="U1090" s="15">
        <v>1460000.0</v>
      </c>
      <c r="V1090" s="15">
        <v>1380000.0</v>
      </c>
      <c r="W1090" s="15">
        <v>1420000.0</v>
      </c>
      <c r="X1090" s="15">
        <v>1660000.0</v>
      </c>
      <c r="Y1090" s="15">
        <v>1580000.0</v>
      </c>
      <c r="Z1090" s="15">
        <v>1620000.0</v>
      </c>
      <c r="AA1090" s="15">
        <v>-435000.0</v>
      </c>
      <c r="AB1090" s="15">
        <v>-124000.0</v>
      </c>
      <c r="AC1090" s="15">
        <v>901000.0</v>
      </c>
      <c r="AD1090" s="15">
        <v>1530000.0</v>
      </c>
      <c r="AE1090" s="15">
        <v>1510000.0</v>
      </c>
      <c r="AF1090" s="15">
        <v>1380000.0</v>
      </c>
      <c r="AG1090" s="15">
        <v>1020000.0</v>
      </c>
      <c r="AH1090" s="15">
        <v>623000.0</v>
      </c>
      <c r="AI1090" s="15">
        <v>3430000.0</v>
      </c>
      <c r="AJ1090" s="15">
        <v>3080000.0</v>
      </c>
      <c r="AK1090" s="15">
        <v>2930000.0</v>
      </c>
      <c r="AL1090" s="15">
        <v>2690000.0</v>
      </c>
      <c r="AM1090" s="15">
        <v>2630000.0</v>
      </c>
      <c r="AN1090" s="15">
        <v>1190000.0</v>
      </c>
      <c r="AO1090" s="15">
        <v>1300000.0</v>
      </c>
      <c r="AP1090" s="15">
        <v>814000.0</v>
      </c>
      <c r="AQ1090" s="15">
        <v>788000.0</v>
      </c>
      <c r="AR1090" s="15">
        <v>400000.0</v>
      </c>
      <c r="AS1090" s="15">
        <v>2030000.0</v>
      </c>
      <c r="AT1090" s="15">
        <v>1780000.0</v>
      </c>
      <c r="AU1090" s="15">
        <v>1870000.0</v>
      </c>
      <c r="AV1090" s="15">
        <v>1170000.0</v>
      </c>
      <c r="AW1090" s="15">
        <v>1170000.0</v>
      </c>
      <c r="AX1090" s="15">
        <v>-1010000.0</v>
      </c>
      <c r="AY1090" s="15">
        <v>-843000.0</v>
      </c>
      <c r="AZ1090" s="15">
        <v>-859000.0</v>
      </c>
      <c r="BA1090" s="15">
        <v>-755000.0</v>
      </c>
      <c r="BB1090" s="15">
        <v>-957000.0</v>
      </c>
      <c r="BC1090" s="15">
        <v>-453000.0</v>
      </c>
      <c r="BD1090" s="15">
        <v>-401000.0</v>
      </c>
      <c r="BE1090" s="15">
        <v>-384000.0</v>
      </c>
      <c r="BF1090" s="15">
        <v>-330000.0</v>
      </c>
      <c r="BG1090" s="15">
        <v>-298000.0</v>
      </c>
      <c r="BH1090" s="15">
        <v>1430000.0</v>
      </c>
      <c r="BI1090" s="15">
        <v>1690000.0</v>
      </c>
      <c r="BJ1090" s="15">
        <v>2000000.0</v>
      </c>
      <c r="BK1090" s="15">
        <v>2440000.0</v>
      </c>
      <c r="BL1090" s="15">
        <v>1870000.0</v>
      </c>
      <c r="BM1090" s="15">
        <v>5020000.0</v>
      </c>
      <c r="BN1090" s="15">
        <v>4460000.0</v>
      </c>
      <c r="BO1090" s="15">
        <v>4200000.0</v>
      </c>
      <c r="BP1090" s="15">
        <v>5710000.0</v>
      </c>
      <c r="BQ1090" s="15">
        <v>5110000.0</v>
      </c>
      <c r="BR1090" s="15">
        <v>2770000.0</v>
      </c>
      <c r="BS1090" s="15">
        <v>2670000.0</v>
      </c>
      <c r="BT1090" s="15">
        <v>2350000.0</v>
      </c>
      <c r="BU1090" s="15">
        <v>3390000.0</v>
      </c>
      <c r="BV1090" s="15">
        <v>3460000.0</v>
      </c>
      <c r="BW1090" s="15">
        <v>9460000.0</v>
      </c>
      <c r="BX1090" s="15">
        <v>9570000.0</v>
      </c>
      <c r="BY1090" s="15">
        <v>1.012E7</v>
      </c>
      <c r="BZ1090" s="15">
        <v>1.408E7</v>
      </c>
      <c r="CA1090" s="15">
        <v>1.269E7</v>
      </c>
      <c r="CB1090" s="15">
        <v>2870000.0</v>
      </c>
      <c r="CC1090" s="15">
        <v>1710000.0</v>
      </c>
      <c r="CD1090" s="15">
        <v>1590000.0</v>
      </c>
      <c r="CE1090" s="15">
        <v>2160000.0</v>
      </c>
      <c r="CF1090" s="15">
        <v>2320000.0</v>
      </c>
      <c r="CG1090" s="15">
        <v>8650000.0</v>
      </c>
      <c r="CH1090" s="15">
        <v>8500000.0</v>
      </c>
      <c r="CI1090" s="15">
        <v>7730000.0</v>
      </c>
      <c r="CJ1090" s="15">
        <v>8900000.0</v>
      </c>
      <c r="CK1090" s="15">
        <v>8520000.0</v>
      </c>
      <c r="CL1090" s="15">
        <v>2.702E7</v>
      </c>
      <c r="CM1090" s="15">
        <v>2.602E7</v>
      </c>
      <c r="CN1090" s="15">
        <v>2.532E7</v>
      </c>
      <c r="CO1090" s="15">
        <v>3.227E7</v>
      </c>
      <c r="CP1090" s="15">
        <v>3.098E7</v>
      </c>
      <c r="CQ1090" s="15">
        <v>2090000.0</v>
      </c>
      <c r="CR1090" s="15">
        <v>2300000.0</v>
      </c>
      <c r="CS1090" s="15">
        <v>2090000.0</v>
      </c>
      <c r="CT1090" s="15">
        <v>2850000.0</v>
      </c>
      <c r="CU1090" s="15">
        <v>2670000.0</v>
      </c>
      <c r="CV1090" s="15">
        <v>6980000.0</v>
      </c>
      <c r="CW1090" s="15">
        <v>92000.0</v>
      </c>
      <c r="CX1090" s="15">
        <v>164000.0</v>
      </c>
      <c r="CY1090" s="15">
        <v>120000.0</v>
      </c>
      <c r="CZ1090" s="15">
        <v>210000.0</v>
      </c>
      <c r="DA1090" s="15">
        <v>1520000.0</v>
      </c>
      <c r="DB1090" s="15">
        <v>6980000.0</v>
      </c>
      <c r="DC1090" s="15">
        <v>7940000.0</v>
      </c>
      <c r="DD1090" s="15">
        <v>6870000.0</v>
      </c>
      <c r="DE1090" s="15">
        <v>1.047E7</v>
      </c>
      <c r="DF1090" s="15">
        <v>1.439E7</v>
      </c>
      <c r="DG1090" s="15">
        <v>1.39E7</v>
      </c>
      <c r="DH1090" s="15">
        <v>1.329E7</v>
      </c>
      <c r="DI1090" s="15">
        <v>1.882E7</v>
      </c>
      <c r="DJ1090" s="15">
        <v>1.92E7</v>
      </c>
      <c r="DK1090" s="15">
        <v>482000.0</v>
      </c>
      <c r="DL1090" s="15">
        <v>605000.0</v>
      </c>
      <c r="DM1090" s="15">
        <v>637000.0</v>
      </c>
      <c r="DN1090" s="15">
        <v>450000.0</v>
      </c>
      <c r="DO1090" s="15">
        <v>506000.0</v>
      </c>
      <c r="DP1090" s="15">
        <v>4940000.0</v>
      </c>
      <c r="DQ1090" s="15">
        <v>3430000.0</v>
      </c>
      <c r="DR1090" s="15">
        <v>4040000.0</v>
      </c>
      <c r="DS1090" s="15">
        <v>4020000.0</v>
      </c>
      <c r="DT1090" s="15">
        <v>4100000.0</v>
      </c>
      <c r="DU1090" s="13"/>
      <c r="DV1090" s="12"/>
      <c r="DW1090" s="12"/>
      <c r="DX1090" s="13"/>
      <c r="DY1090" s="13"/>
      <c r="DZ1090" s="15">
        <v>1.26E7</v>
      </c>
      <c r="EA1090" s="15">
        <v>1.209E7</v>
      </c>
      <c r="EB1090" s="15">
        <v>1.2E7</v>
      </c>
      <c r="EC1090" s="15">
        <v>1.255E7</v>
      </c>
      <c r="ED1090" s="15">
        <v>1.166E7</v>
      </c>
      <c r="EE1090" s="17"/>
      <c r="EF1090" s="17"/>
      <c r="EG1090" s="23" t="s">
        <v>155</v>
      </c>
      <c r="EH1090" s="17"/>
    </row>
    <row r="1091">
      <c r="A1091" s="9">
        <f t="shared" si="2"/>
        <v>1089</v>
      </c>
      <c r="B1091" s="10" t="s">
        <v>1226</v>
      </c>
      <c r="C1091" s="11">
        <v>1.176E7</v>
      </c>
      <c r="D1091" s="11">
        <v>1.055E7</v>
      </c>
      <c r="E1091" s="11">
        <v>1.021E7</v>
      </c>
      <c r="F1091" s="11">
        <v>1.019E7</v>
      </c>
      <c r="G1091" s="11">
        <v>8580000.0</v>
      </c>
      <c r="H1091" s="11">
        <v>7670000.0</v>
      </c>
      <c r="I1091" s="11">
        <v>5980000.0</v>
      </c>
      <c r="J1091" s="11">
        <v>2380000.0</v>
      </c>
      <c r="K1091" s="11">
        <v>2360000.0</v>
      </c>
      <c r="L1091" s="11">
        <v>1850000.0</v>
      </c>
      <c r="M1091" s="11">
        <v>1930000.0</v>
      </c>
      <c r="N1091" s="11">
        <v>1620000.0</v>
      </c>
      <c r="O1091" s="11">
        <v>1070000.0</v>
      </c>
      <c r="P1091" s="11">
        <v>1050000.0</v>
      </c>
      <c r="Q1091" s="11">
        <v>959750.0</v>
      </c>
      <c r="R1091" s="11">
        <v>948850.0</v>
      </c>
      <c r="S1091" s="11">
        <v>822930.0</v>
      </c>
      <c r="T1091" s="12"/>
      <c r="U1091" s="12"/>
      <c r="V1091" s="12"/>
      <c r="W1091" s="12"/>
      <c r="X1091" s="12"/>
      <c r="Y1091" s="11">
        <v>1330000.0</v>
      </c>
      <c r="Z1091" s="11">
        <v>1350000.0</v>
      </c>
      <c r="AA1091" s="11">
        <v>-39370.0</v>
      </c>
      <c r="AB1091" s="11">
        <v>941560.0</v>
      </c>
      <c r="AC1091" s="11">
        <v>5740.0</v>
      </c>
      <c r="AD1091" s="11">
        <v>1340000.0</v>
      </c>
      <c r="AE1091" s="11">
        <v>1350000.0</v>
      </c>
      <c r="AF1091" s="11">
        <v>938830.0</v>
      </c>
      <c r="AG1091" s="11">
        <v>933850.0</v>
      </c>
      <c r="AH1091" s="11">
        <v>816020.0</v>
      </c>
      <c r="AI1091" s="11">
        <v>1420000.0</v>
      </c>
      <c r="AJ1091" s="11">
        <v>1400000.0</v>
      </c>
      <c r="AK1091" s="11">
        <v>1040000.0</v>
      </c>
      <c r="AL1091" s="11">
        <v>1030000.0</v>
      </c>
      <c r="AM1091" s="11">
        <v>838510.0</v>
      </c>
      <c r="AN1091" s="11">
        <v>1010000.0</v>
      </c>
      <c r="AO1091" s="11">
        <v>1010000.0</v>
      </c>
      <c r="AP1091" s="11">
        <v>442650.0</v>
      </c>
      <c r="AQ1091" s="11">
        <v>597980.0</v>
      </c>
      <c r="AR1091" s="11">
        <v>490890.0</v>
      </c>
      <c r="AS1091" s="11">
        <v>1080000.0</v>
      </c>
      <c r="AT1091" s="11">
        <v>1450000.0</v>
      </c>
      <c r="AU1091" s="11">
        <v>663080.0</v>
      </c>
      <c r="AV1091" s="11">
        <v>68270.0</v>
      </c>
      <c r="AW1091" s="11">
        <v>-337590.0</v>
      </c>
      <c r="AX1091" s="11">
        <v>-58120.0</v>
      </c>
      <c r="AY1091" s="11">
        <v>-59040.0</v>
      </c>
      <c r="AZ1091" s="11">
        <v>-32050.0</v>
      </c>
      <c r="BA1091" s="11">
        <v>-39300.0</v>
      </c>
      <c r="BB1091" s="11">
        <v>-45440.0</v>
      </c>
      <c r="BC1091" s="24">
        <v>-122350.0</v>
      </c>
      <c r="BD1091" s="24">
        <v>-104020.0</v>
      </c>
      <c r="BE1091" s="24">
        <v>-112750.0</v>
      </c>
      <c r="BF1091" s="24">
        <v>-124670.0</v>
      </c>
      <c r="BG1091" s="24">
        <v>-115960.0</v>
      </c>
      <c r="BH1091" s="11">
        <v>1250000.0</v>
      </c>
      <c r="BI1091" s="11">
        <v>1130000.0</v>
      </c>
      <c r="BJ1091" s="11">
        <v>306170.0</v>
      </c>
      <c r="BK1091" s="11">
        <v>723250.0</v>
      </c>
      <c r="BL1091" s="11">
        <v>775440.0</v>
      </c>
      <c r="BM1091" s="11">
        <v>132070.0</v>
      </c>
      <c r="BN1091" s="11">
        <v>194410.0</v>
      </c>
      <c r="BO1091" s="11">
        <v>100040.0</v>
      </c>
      <c r="BP1091" s="11">
        <v>129100.0</v>
      </c>
      <c r="BQ1091" s="11">
        <v>134950.0</v>
      </c>
      <c r="BR1091" s="11">
        <v>8000000.0</v>
      </c>
      <c r="BS1091" s="11">
        <v>7510000.0</v>
      </c>
      <c r="BT1091" s="11">
        <v>7420000.0</v>
      </c>
      <c r="BU1091" s="11">
        <v>7000000.0</v>
      </c>
      <c r="BV1091" s="11">
        <v>5690000.0</v>
      </c>
      <c r="BW1091" s="11">
        <v>9510000.0</v>
      </c>
      <c r="BX1091" s="11">
        <v>8970000.0</v>
      </c>
      <c r="BY1091" s="11">
        <v>7950000.0</v>
      </c>
      <c r="BZ1091" s="11">
        <v>7960000.0</v>
      </c>
      <c r="CA1091" s="11">
        <v>6710000.0</v>
      </c>
      <c r="CB1091" s="11">
        <v>181740.0</v>
      </c>
      <c r="CC1091" s="11">
        <v>92940.0</v>
      </c>
      <c r="CD1091" s="11">
        <v>70710.0</v>
      </c>
      <c r="CE1091" s="11">
        <v>77440.0</v>
      </c>
      <c r="CF1091" s="11">
        <v>86310.0</v>
      </c>
      <c r="CG1091" s="11">
        <v>40390.0</v>
      </c>
      <c r="CH1091" s="11">
        <v>40390.0</v>
      </c>
      <c r="CI1091" s="11">
        <v>40390.0</v>
      </c>
      <c r="CJ1091" s="11">
        <v>40390.0</v>
      </c>
      <c r="CK1091" s="11"/>
      <c r="CL1091" s="11">
        <v>1.072E7</v>
      </c>
      <c r="CM1091" s="11">
        <v>1.017E7</v>
      </c>
      <c r="CN1091" s="11">
        <v>9690000.0</v>
      </c>
      <c r="CO1091" s="11">
        <v>1.018E7</v>
      </c>
      <c r="CP1091" s="11">
        <v>9190000.0</v>
      </c>
      <c r="CQ1091" s="11">
        <v>435920.0</v>
      </c>
      <c r="CR1091" s="11">
        <v>352030.0</v>
      </c>
      <c r="CS1091" s="11">
        <v>393820.0</v>
      </c>
      <c r="CT1091" s="11">
        <v>405460.0</v>
      </c>
      <c r="CU1091" s="11">
        <v>327730.0</v>
      </c>
      <c r="CV1091" s="11">
        <v>2420000.0</v>
      </c>
      <c r="CW1091" s="11">
        <v>345570.0</v>
      </c>
      <c r="CX1091" s="24">
        <v>348410.0</v>
      </c>
      <c r="CY1091" s="24">
        <v>437800.0</v>
      </c>
      <c r="CZ1091" s="24">
        <v>331620.0</v>
      </c>
      <c r="DA1091" s="11">
        <v>267880.0</v>
      </c>
      <c r="DB1091" s="11">
        <v>2420000.0</v>
      </c>
      <c r="DC1091" s="11">
        <v>2330000.0</v>
      </c>
      <c r="DD1091" s="11">
        <v>2530000.0</v>
      </c>
      <c r="DE1091" s="11">
        <v>2510000.0</v>
      </c>
      <c r="DF1091" s="11">
        <v>5260000.0</v>
      </c>
      <c r="DG1091" s="11">
        <v>5360000.0</v>
      </c>
      <c r="DH1091" s="11">
        <v>5530000.0</v>
      </c>
      <c r="DI1091" s="11">
        <v>5520000.0</v>
      </c>
      <c r="DJ1091" s="11">
        <v>4430000.0</v>
      </c>
      <c r="DK1091" s="11">
        <v>578260.0</v>
      </c>
      <c r="DL1091" s="11">
        <v>525850.0</v>
      </c>
      <c r="DM1091" s="11">
        <v>640770.0</v>
      </c>
      <c r="DN1091" s="11">
        <v>609360.0</v>
      </c>
      <c r="DO1091" s="11">
        <v>491370.0</v>
      </c>
      <c r="DP1091" s="11">
        <v>2840000.0</v>
      </c>
      <c r="DQ1091" s="11">
        <v>3030000.0</v>
      </c>
      <c r="DR1091" s="11">
        <v>3010000.0</v>
      </c>
      <c r="DS1091" s="11">
        <v>3010000.0</v>
      </c>
      <c r="DT1091" s="11">
        <v>1990000.0</v>
      </c>
      <c r="DU1091" s="13"/>
      <c r="DV1091" s="12"/>
      <c r="DW1091" s="12"/>
      <c r="DX1091" s="12"/>
      <c r="DY1091" s="12"/>
      <c r="DZ1091" s="11">
        <v>5460000.0</v>
      </c>
      <c r="EA1091" s="11">
        <v>4820000.0</v>
      </c>
      <c r="EB1091" s="11">
        <v>4150000.0</v>
      </c>
      <c r="EC1091" s="11">
        <v>4660000.0</v>
      </c>
      <c r="ED1091" s="11">
        <v>4760000.0</v>
      </c>
      <c r="EE1091" s="23">
        <v>0.163033175</v>
      </c>
      <c r="EF1091" s="23">
        <v>0.298469388</v>
      </c>
      <c r="EG1091" s="14">
        <v>0.483</v>
      </c>
      <c r="EH1091" s="23">
        <v>0.18375</v>
      </c>
    </row>
    <row r="1092">
      <c r="A1092" s="9">
        <f t="shared" si="2"/>
        <v>1090</v>
      </c>
      <c r="B1092" s="25" t="s">
        <v>1227</v>
      </c>
      <c r="C1092" s="15">
        <v>7030000.0</v>
      </c>
      <c r="D1092" s="15">
        <v>6760000.0</v>
      </c>
      <c r="E1092" s="15">
        <v>6780000.0</v>
      </c>
      <c r="F1092" s="15">
        <v>6080000.0</v>
      </c>
      <c r="G1092" s="15">
        <v>5430000.0</v>
      </c>
      <c r="H1092" s="15">
        <v>4520000.0</v>
      </c>
      <c r="I1092" s="15">
        <v>4720000.0</v>
      </c>
      <c r="J1092" s="15">
        <v>1570000.0</v>
      </c>
      <c r="K1092" s="15">
        <v>1430000.0</v>
      </c>
      <c r="L1092" s="15">
        <v>1410000.0</v>
      </c>
      <c r="M1092" s="15">
        <v>1100000.0</v>
      </c>
      <c r="N1092" s="15">
        <v>1340000.0</v>
      </c>
      <c r="O1092" s="15">
        <v>1170000.0</v>
      </c>
      <c r="P1092" s="15">
        <v>920870.0</v>
      </c>
      <c r="Q1092" s="15">
        <v>862400.0</v>
      </c>
      <c r="R1092" s="15">
        <v>638810.0</v>
      </c>
      <c r="S1092" s="15">
        <v>618490.0</v>
      </c>
      <c r="T1092" s="15">
        <v>292940.0</v>
      </c>
      <c r="U1092" s="15">
        <v>259680.0</v>
      </c>
      <c r="V1092" s="15">
        <v>238300.0</v>
      </c>
      <c r="W1092" s="15">
        <v>185130.0</v>
      </c>
      <c r="X1092" s="15">
        <v>166460.0</v>
      </c>
      <c r="Y1092" s="12"/>
      <c r="Z1092" s="12"/>
      <c r="AA1092" s="15">
        <v>283200.0</v>
      </c>
      <c r="AB1092" s="15">
        <v>268500.0</v>
      </c>
      <c r="AC1092" s="15">
        <v>-2990.0</v>
      </c>
      <c r="AD1092" s="15">
        <v>407800.0</v>
      </c>
      <c r="AE1092" s="15">
        <v>429250.0</v>
      </c>
      <c r="AF1092" s="15">
        <v>318790.0</v>
      </c>
      <c r="AG1092" s="15">
        <v>313250.0</v>
      </c>
      <c r="AH1092" s="15">
        <v>685740.0</v>
      </c>
      <c r="AI1092" s="15">
        <v>636400.0</v>
      </c>
      <c r="AJ1092" s="15">
        <v>610330.0</v>
      </c>
      <c r="AK1092" s="15">
        <v>591300.0</v>
      </c>
      <c r="AL1092" s="15">
        <v>436140.0</v>
      </c>
      <c r="AM1092" s="15">
        <v>797420.0</v>
      </c>
      <c r="AN1092" s="15">
        <v>323960.0</v>
      </c>
      <c r="AO1092" s="15">
        <v>335260.0</v>
      </c>
      <c r="AP1092" s="15">
        <v>172490.0</v>
      </c>
      <c r="AQ1092" s="15">
        <v>212950.0</v>
      </c>
      <c r="AR1092" s="15">
        <v>455360.0</v>
      </c>
      <c r="AS1092" s="15">
        <v>685880.0</v>
      </c>
      <c r="AT1092" s="15">
        <v>516240.0</v>
      </c>
      <c r="AU1092" s="15">
        <v>637480.0</v>
      </c>
      <c r="AV1092" s="15">
        <v>615600.0</v>
      </c>
      <c r="AW1092" s="15">
        <v>482760.0</v>
      </c>
      <c r="AX1092" s="15">
        <v>-251370.0</v>
      </c>
      <c r="AY1092" s="15">
        <v>-225410.0</v>
      </c>
      <c r="AZ1092" s="15">
        <v>-184390.0</v>
      </c>
      <c r="BA1092" s="15">
        <v>-209140.0</v>
      </c>
      <c r="BB1092" s="15">
        <v>-249490.0</v>
      </c>
      <c r="BC1092" s="15">
        <v>-149100.0</v>
      </c>
      <c r="BD1092" s="15">
        <v>-149030.0</v>
      </c>
      <c r="BE1092" s="15">
        <v>-145420.0</v>
      </c>
      <c r="BF1092" s="15">
        <v>-140340.0</v>
      </c>
      <c r="BG1092" s="15">
        <v>-139290.0</v>
      </c>
      <c r="BH1092" s="15">
        <v>157060.0</v>
      </c>
      <c r="BI1092" s="15">
        <v>161160.0</v>
      </c>
      <c r="BJ1092" s="15">
        <v>138350.0</v>
      </c>
      <c r="BK1092" s="15">
        <v>127330.0</v>
      </c>
      <c r="BL1092" s="15">
        <v>155350.0</v>
      </c>
      <c r="BM1092" s="15">
        <v>222880.0</v>
      </c>
      <c r="BN1092" s="15">
        <v>233560.0</v>
      </c>
      <c r="BO1092" s="15">
        <v>229750.0</v>
      </c>
      <c r="BP1092" s="15">
        <v>225490.0</v>
      </c>
      <c r="BQ1092" s="15">
        <v>196950.0</v>
      </c>
      <c r="BR1092" s="15">
        <v>1120000.0</v>
      </c>
      <c r="BS1092" s="15">
        <v>969510.0</v>
      </c>
      <c r="BT1092" s="15">
        <v>783960.0</v>
      </c>
      <c r="BU1092" s="15">
        <v>746530.0</v>
      </c>
      <c r="BV1092" s="15">
        <v>710000.0</v>
      </c>
      <c r="BW1092" s="15">
        <v>1630000.0</v>
      </c>
      <c r="BX1092" s="15">
        <v>1490000.0</v>
      </c>
      <c r="BY1092" s="15">
        <v>1250000.0</v>
      </c>
      <c r="BZ1092" s="15">
        <v>1190000.0</v>
      </c>
      <c r="CA1092" s="15">
        <v>1150000.0</v>
      </c>
      <c r="CB1092" s="15">
        <v>1010000.0</v>
      </c>
      <c r="CC1092" s="15">
        <v>843120.0</v>
      </c>
      <c r="CD1092" s="15">
        <v>747190.0</v>
      </c>
      <c r="CE1092" s="15">
        <v>727600.0</v>
      </c>
      <c r="CF1092" s="15">
        <v>650680.0</v>
      </c>
      <c r="CG1092" s="15">
        <v>659940.0</v>
      </c>
      <c r="CH1092" s="15">
        <v>647080.0</v>
      </c>
      <c r="CI1092" s="15">
        <v>433370.0</v>
      </c>
      <c r="CJ1092" s="15">
        <v>421560.0</v>
      </c>
      <c r="CK1092" s="15">
        <v>131010.0</v>
      </c>
      <c r="CL1092" s="15">
        <v>4430000.0</v>
      </c>
      <c r="CM1092" s="15">
        <v>4120000.0</v>
      </c>
      <c r="CN1092" s="15">
        <v>3090000.0</v>
      </c>
      <c r="CO1092" s="15">
        <v>3100000.0</v>
      </c>
      <c r="CP1092" s="15">
        <v>2390000.0</v>
      </c>
      <c r="CQ1092" s="15">
        <v>450230.0</v>
      </c>
      <c r="CR1092" s="15">
        <v>346290.0</v>
      </c>
      <c r="CS1092" s="15">
        <v>317380.0</v>
      </c>
      <c r="CT1092" s="15">
        <v>273740.0</v>
      </c>
      <c r="CU1092" s="15">
        <v>299660.0</v>
      </c>
      <c r="CV1092" s="15">
        <v>1530000.0</v>
      </c>
      <c r="CW1092" s="15">
        <v>34900.0</v>
      </c>
      <c r="CX1092" s="15"/>
      <c r="CY1092" s="15"/>
      <c r="CZ1092" s="15"/>
      <c r="DA1092" s="15"/>
      <c r="DB1092" s="15">
        <v>1530000.0</v>
      </c>
      <c r="DC1092" s="15">
        <v>1200000.0</v>
      </c>
      <c r="DD1092" s="15">
        <v>1130000.0</v>
      </c>
      <c r="DE1092" s="15">
        <v>959750.0</v>
      </c>
      <c r="DF1092" s="15">
        <v>3310000.0</v>
      </c>
      <c r="DG1092" s="15">
        <v>3250000.0</v>
      </c>
      <c r="DH1092" s="15">
        <v>2150000.0</v>
      </c>
      <c r="DI1092" s="15">
        <v>2220000.0</v>
      </c>
      <c r="DJ1092" s="15">
        <v>1390000.0</v>
      </c>
      <c r="DK1092" s="15">
        <v>110640.0</v>
      </c>
      <c r="DL1092" s="15">
        <v>92060.0</v>
      </c>
      <c r="DM1092" s="15">
        <v>107380.0</v>
      </c>
      <c r="DN1092" s="15">
        <v>114190.0</v>
      </c>
      <c r="DO1092" s="15">
        <v>117960.0</v>
      </c>
      <c r="DP1092" s="15">
        <v>1600000.0</v>
      </c>
      <c r="DQ1092" s="15">
        <v>1900000.0</v>
      </c>
      <c r="DR1092" s="15">
        <v>865270.0</v>
      </c>
      <c r="DS1092" s="15">
        <v>1140000.0</v>
      </c>
      <c r="DT1092" s="15">
        <v>456420.0</v>
      </c>
      <c r="DU1092" s="13"/>
      <c r="DV1092" s="12"/>
      <c r="DW1092" s="12"/>
      <c r="DX1092" s="13"/>
      <c r="DY1092" s="13"/>
      <c r="DZ1092" s="15">
        <v>1110000.0</v>
      </c>
      <c r="EA1092" s="15">
        <v>867020.0</v>
      </c>
      <c r="EB1092" s="15">
        <v>931660.0</v>
      </c>
      <c r="EC1092" s="15">
        <v>867040.0</v>
      </c>
      <c r="ED1092" s="15">
        <v>981480.0</v>
      </c>
      <c r="EE1092" s="17">
        <v>0.049</v>
      </c>
      <c r="EF1092" s="17">
        <v>0.112</v>
      </c>
      <c r="EG1092" s="17">
        <v>1.063</v>
      </c>
      <c r="EH1092" s="17">
        <v>0.137</v>
      </c>
    </row>
    <row r="1093">
      <c r="A1093" s="9">
        <f t="shared" si="2"/>
        <v>1091</v>
      </c>
      <c r="B1093" s="10" t="s">
        <v>1228</v>
      </c>
      <c r="C1093" s="11">
        <v>1310000.0</v>
      </c>
      <c r="D1093" s="11">
        <v>1270000.0</v>
      </c>
      <c r="E1093" s="11">
        <v>1220000.0</v>
      </c>
      <c r="F1093" s="11">
        <v>1180000.0</v>
      </c>
      <c r="G1093" s="11">
        <v>1450000.0</v>
      </c>
      <c r="H1093" s="11">
        <v>1160000.0</v>
      </c>
      <c r="I1093" s="11">
        <v>1010000.0</v>
      </c>
      <c r="J1093" s="11">
        <v>808720.0</v>
      </c>
      <c r="K1093" s="11">
        <v>789860.0</v>
      </c>
      <c r="L1093" s="11">
        <v>726300.0</v>
      </c>
      <c r="M1093" s="11">
        <v>672480.0</v>
      </c>
      <c r="N1093" s="11">
        <v>600980.0</v>
      </c>
      <c r="O1093" s="11">
        <v>437940.0</v>
      </c>
      <c r="P1093" s="11">
        <v>426860.0</v>
      </c>
      <c r="Q1093" s="11">
        <v>401560.0</v>
      </c>
      <c r="R1093" s="11">
        <v>402240.0</v>
      </c>
      <c r="S1093" s="11">
        <v>324530.0</v>
      </c>
      <c r="T1093" s="11">
        <v>1220.0</v>
      </c>
      <c r="U1093" s="11">
        <v>1420.0</v>
      </c>
      <c r="V1093" s="11">
        <v>3110.0</v>
      </c>
      <c r="W1093" s="11">
        <v>2930.0</v>
      </c>
      <c r="X1093" s="11">
        <v>2940.0</v>
      </c>
      <c r="Y1093" s="11">
        <v>368500.0</v>
      </c>
      <c r="Z1093" s="11">
        <v>155320.0</v>
      </c>
      <c r="AA1093" s="11">
        <v>518930.0</v>
      </c>
      <c r="AB1093" s="11">
        <v>265950.0</v>
      </c>
      <c r="AC1093" s="11">
        <v>253640.0</v>
      </c>
      <c r="AD1093" s="11">
        <v>368140.0</v>
      </c>
      <c r="AE1093" s="11">
        <v>517530.0</v>
      </c>
      <c r="AF1093" s="11">
        <v>531290.0</v>
      </c>
      <c r="AG1093" s="11">
        <v>284880.0</v>
      </c>
      <c r="AH1093" s="11">
        <v>271130.0</v>
      </c>
      <c r="AI1093" s="11">
        <v>510950.0</v>
      </c>
      <c r="AJ1093" s="11">
        <v>486070.0</v>
      </c>
      <c r="AK1093" s="11">
        <v>431970.0</v>
      </c>
      <c r="AL1093" s="11">
        <v>354400.0</v>
      </c>
      <c r="AM1093" s="11">
        <v>330770.0</v>
      </c>
      <c r="AN1093" s="11">
        <v>15710.0</v>
      </c>
      <c r="AO1093" s="11">
        <v>191040.0</v>
      </c>
      <c r="AP1093" s="11">
        <v>76250.0</v>
      </c>
      <c r="AQ1093" s="11">
        <v>818360.0</v>
      </c>
      <c r="AR1093" s="12"/>
      <c r="AS1093" s="11">
        <v>505340.0</v>
      </c>
      <c r="AT1093" s="11">
        <v>507710.0</v>
      </c>
      <c r="AU1093" s="11">
        <v>398800.0</v>
      </c>
      <c r="AV1093" s="11">
        <v>393560.0</v>
      </c>
      <c r="AW1093" s="11">
        <v>382960.0</v>
      </c>
      <c r="AX1093" s="12"/>
      <c r="AY1093" s="12"/>
      <c r="AZ1093" s="12"/>
      <c r="BA1093" s="12"/>
      <c r="BB1093" s="12"/>
      <c r="BC1093" s="13"/>
      <c r="BD1093" s="13"/>
      <c r="BE1093" s="13"/>
      <c r="BF1093" s="13"/>
      <c r="BG1093" s="13"/>
      <c r="BH1093" s="11">
        <v>141060.0</v>
      </c>
      <c r="BI1093" s="11">
        <v>152390.0</v>
      </c>
      <c r="BJ1093" s="11">
        <v>156740.0</v>
      </c>
      <c r="BK1093" s="11">
        <v>266580.0</v>
      </c>
      <c r="BL1093" s="11">
        <v>387190.0</v>
      </c>
      <c r="BM1093" s="11">
        <v>394810.0</v>
      </c>
      <c r="BN1093" s="11">
        <v>186770.0</v>
      </c>
      <c r="BO1093" s="11">
        <v>166490.0</v>
      </c>
      <c r="BP1093" s="11">
        <v>147550.0</v>
      </c>
      <c r="BQ1093" s="11">
        <v>102560.0</v>
      </c>
      <c r="BR1093" s="11">
        <v>51030.0</v>
      </c>
      <c r="BS1093" s="11">
        <v>52640.0</v>
      </c>
      <c r="BT1093" s="11">
        <v>50430.0</v>
      </c>
      <c r="BU1093" s="11">
        <v>29120.0</v>
      </c>
      <c r="BV1093" s="11">
        <v>33060.0</v>
      </c>
      <c r="BW1093" s="11">
        <v>614040.0</v>
      </c>
      <c r="BX1093" s="11">
        <v>428620.0</v>
      </c>
      <c r="BY1093" s="11">
        <v>408810.0</v>
      </c>
      <c r="BZ1093" s="11">
        <v>462890.0</v>
      </c>
      <c r="CA1093" s="11">
        <v>553170.0</v>
      </c>
      <c r="CB1093" s="11">
        <v>205110.0</v>
      </c>
      <c r="CC1093" s="11">
        <v>205350.0</v>
      </c>
      <c r="CD1093" s="11">
        <v>187370.0</v>
      </c>
      <c r="CE1093" s="11">
        <v>174080.0</v>
      </c>
      <c r="CF1093" s="11">
        <v>147630.0</v>
      </c>
      <c r="CG1093" s="11">
        <v>880710.0</v>
      </c>
      <c r="CH1093" s="11">
        <v>843170.0</v>
      </c>
      <c r="CI1093" s="11">
        <v>906550.0</v>
      </c>
      <c r="CJ1093" s="11">
        <v>537960.0</v>
      </c>
      <c r="CK1093" s="12"/>
      <c r="CL1093" s="11">
        <v>2570000.0</v>
      </c>
      <c r="CM1093" s="11">
        <v>2310000.0</v>
      </c>
      <c r="CN1093" s="11">
        <v>2510000.0</v>
      </c>
      <c r="CO1093" s="11">
        <v>1880000.0</v>
      </c>
      <c r="CP1093" s="11">
        <v>1530000.0</v>
      </c>
      <c r="CQ1093" s="11">
        <v>54540.0</v>
      </c>
      <c r="CR1093" s="11">
        <v>47950.0</v>
      </c>
      <c r="CS1093" s="11">
        <v>42820.0</v>
      </c>
      <c r="CT1093" s="11">
        <v>46000.0</v>
      </c>
      <c r="CU1093" s="11">
        <v>37630.0</v>
      </c>
      <c r="CV1093" s="11">
        <v>458020.0</v>
      </c>
      <c r="CW1093" s="12"/>
      <c r="CX1093" s="13"/>
      <c r="CY1093" s="13"/>
      <c r="CZ1093" s="13"/>
      <c r="DA1093" s="12"/>
      <c r="DB1093" s="11">
        <v>458020.0</v>
      </c>
      <c r="DC1093" s="11">
        <v>448880.0</v>
      </c>
      <c r="DD1093" s="11">
        <v>571590.0</v>
      </c>
      <c r="DE1093" s="11">
        <v>326060.0</v>
      </c>
      <c r="DF1093" s="11">
        <v>908550.0</v>
      </c>
      <c r="DG1093" s="11">
        <v>818870.0</v>
      </c>
      <c r="DH1093" s="11">
        <v>1030000.0</v>
      </c>
      <c r="DI1093" s="11">
        <v>695360.0</v>
      </c>
      <c r="DJ1093" s="11">
        <v>568460.0</v>
      </c>
      <c r="DK1093" s="11">
        <v>99840.0</v>
      </c>
      <c r="DL1093" s="11">
        <v>94660.0</v>
      </c>
      <c r="DM1093" s="11">
        <v>97530.0</v>
      </c>
      <c r="DN1093" s="11">
        <v>46930.0</v>
      </c>
      <c r="DO1093" s="11">
        <v>189030.0</v>
      </c>
      <c r="DP1093" s="11">
        <v>6000.0</v>
      </c>
      <c r="DQ1093" s="11">
        <v>6960.0</v>
      </c>
      <c r="DR1093" s="11">
        <v>6280.0</v>
      </c>
      <c r="DS1093" s="11">
        <v>13860.0</v>
      </c>
      <c r="DT1093" s="11">
        <v>15680.0</v>
      </c>
      <c r="DU1093" s="13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4">
        <v>0.039</v>
      </c>
      <c r="EF1093" s="14">
        <v>0.076</v>
      </c>
      <c r="EG1093" s="14">
        <v>0.028</v>
      </c>
      <c r="EH1093" s="14">
        <v>0.048</v>
      </c>
    </row>
    <row r="1094">
      <c r="A1094" s="9">
        <f t="shared" si="2"/>
        <v>1092</v>
      </c>
      <c r="B1094" s="22" t="s">
        <v>1229</v>
      </c>
      <c r="C1094" s="11">
        <v>33840.0</v>
      </c>
      <c r="D1094" s="11">
        <v>42420.0</v>
      </c>
      <c r="E1094" s="11">
        <v>46280.0</v>
      </c>
      <c r="F1094" s="11">
        <v>29100.0</v>
      </c>
      <c r="G1094" s="11">
        <v>25280.0</v>
      </c>
      <c r="H1094" s="11">
        <v>5830.0</v>
      </c>
      <c r="I1094" s="11">
        <v>2930.0</v>
      </c>
      <c r="J1094" s="12"/>
      <c r="K1094" s="12"/>
      <c r="L1094" s="12"/>
      <c r="M1094" s="12"/>
      <c r="N1094" s="12"/>
      <c r="O1094" s="11">
        <v>72400.0</v>
      </c>
      <c r="P1094" s="11">
        <v>59360.0</v>
      </c>
      <c r="Q1094" s="11">
        <v>39500.0</v>
      </c>
      <c r="R1094" s="11">
        <v>28230.0</v>
      </c>
      <c r="S1094" s="11">
        <v>15710.0</v>
      </c>
      <c r="T1094" s="11">
        <v>54360.0</v>
      </c>
      <c r="U1094" s="11">
        <v>40920.0</v>
      </c>
      <c r="V1094" s="11">
        <v>21920.0</v>
      </c>
      <c r="W1094" s="11">
        <v>19700.0</v>
      </c>
      <c r="X1094" s="11">
        <v>7640.0</v>
      </c>
      <c r="Y1094" s="12"/>
      <c r="Z1094" s="12"/>
      <c r="AA1094" s="12"/>
      <c r="AB1094" s="12"/>
      <c r="AC1094" s="11">
        <v>-13980.0</v>
      </c>
      <c r="AD1094" s="11">
        <v>-25470.0</v>
      </c>
      <c r="AE1094" s="11">
        <v>-27070.0</v>
      </c>
      <c r="AF1094" s="11">
        <v>-16540.0</v>
      </c>
      <c r="AG1094" s="11">
        <v>-22640.0</v>
      </c>
      <c r="AH1094" s="11">
        <v>-13850.0</v>
      </c>
      <c r="AI1094" s="11">
        <v>-26120.0</v>
      </c>
      <c r="AJ1094" s="11">
        <v>-30260.0</v>
      </c>
      <c r="AK1094" s="11">
        <v>-14230.0</v>
      </c>
      <c r="AL1094" s="11">
        <v>-22400.0</v>
      </c>
      <c r="AM1094" s="11">
        <v>-12770.0</v>
      </c>
      <c r="AN1094" s="11">
        <v>-25470.0</v>
      </c>
      <c r="AO1094" s="11">
        <v>-26750.0</v>
      </c>
      <c r="AP1094" s="11">
        <v>-17650.0</v>
      </c>
      <c r="AQ1094" s="11">
        <v>-22800.0</v>
      </c>
      <c r="AR1094" s="11">
        <v>-14060.0</v>
      </c>
      <c r="AS1094" s="11">
        <v>-52470.0</v>
      </c>
      <c r="AT1094" s="11">
        <v>-1070.0</v>
      </c>
      <c r="AU1094" s="11">
        <v>49750.0</v>
      </c>
      <c r="AV1094" s="11">
        <v>-14390.0</v>
      </c>
      <c r="AW1094" s="11">
        <v>-12710.0</v>
      </c>
      <c r="AX1094" s="11">
        <v>-2460.0</v>
      </c>
      <c r="AY1094" s="11">
        <v>-1700.0</v>
      </c>
      <c r="AZ1094" s="11">
        <v>-1950.0</v>
      </c>
      <c r="BA1094" s="11">
        <v>-581.0</v>
      </c>
      <c r="BB1094" s="11">
        <v>-621.0</v>
      </c>
      <c r="BC1094" s="12"/>
      <c r="BD1094" s="12"/>
      <c r="BE1094" s="12"/>
      <c r="BF1094" s="12"/>
      <c r="BG1094" s="12"/>
      <c r="BH1094" s="11">
        <v>104150.0</v>
      </c>
      <c r="BI1094" s="11">
        <v>128110.0</v>
      </c>
      <c r="BJ1094" s="11">
        <v>72630.0</v>
      </c>
      <c r="BK1094" s="11">
        <v>29360.0</v>
      </c>
      <c r="BL1094" s="11">
        <v>29350.0</v>
      </c>
      <c r="BM1094" s="11">
        <v>6790.0</v>
      </c>
      <c r="BN1094" s="11">
        <v>2700.0</v>
      </c>
      <c r="BO1094" s="11">
        <v>15550.0</v>
      </c>
      <c r="BP1094" s="11">
        <v>58.0</v>
      </c>
      <c r="BQ1094" s="12"/>
      <c r="BR1094" s="12"/>
      <c r="BS1094" s="12"/>
      <c r="BT1094" s="12"/>
      <c r="BU1094" s="12"/>
      <c r="BV1094" s="12"/>
      <c r="BW1094" s="11">
        <v>115010.0</v>
      </c>
      <c r="BX1094" s="11">
        <v>135380.0</v>
      </c>
      <c r="BY1094" s="11">
        <v>89790.0</v>
      </c>
      <c r="BZ1094" s="11">
        <v>32670.0</v>
      </c>
      <c r="CA1094" s="11">
        <v>31660.0</v>
      </c>
      <c r="CB1094" s="11">
        <v>22940.0</v>
      </c>
      <c r="CC1094" s="11">
        <v>5050.0</v>
      </c>
      <c r="CD1094" s="11">
        <v>4030.0</v>
      </c>
      <c r="CE1094" s="11">
        <v>2260.0</v>
      </c>
      <c r="CF1094" s="11">
        <v>2160.0</v>
      </c>
      <c r="CG1094" s="12"/>
      <c r="CH1094" s="12"/>
      <c r="CI1094" s="12"/>
      <c r="CJ1094" s="12"/>
      <c r="CK1094" s="12"/>
      <c r="CL1094" s="11">
        <v>141100.0</v>
      </c>
      <c r="CM1094" s="11">
        <v>141340.0</v>
      </c>
      <c r="CN1094" s="11">
        <v>103880.0</v>
      </c>
      <c r="CO1094" s="11">
        <v>35060.0</v>
      </c>
      <c r="CP1094" s="11">
        <v>33950.0</v>
      </c>
      <c r="CQ1094" s="11">
        <v>5800.0</v>
      </c>
      <c r="CR1094" s="11">
        <v>3350.0</v>
      </c>
      <c r="CS1094" s="11">
        <v>2450.0</v>
      </c>
      <c r="CT1094" s="11">
        <v>2390.0</v>
      </c>
      <c r="CU1094" s="11">
        <v>1060.0</v>
      </c>
      <c r="CV1094" s="11">
        <v>27000.0</v>
      </c>
      <c r="CW1094" s="11">
        <v>733.0</v>
      </c>
      <c r="CX1094" s="12"/>
      <c r="CY1094" s="12"/>
      <c r="CZ1094" s="12"/>
      <c r="DA1094" s="12"/>
      <c r="DB1094" s="11">
        <v>27000.0</v>
      </c>
      <c r="DC1094" s="11">
        <v>48080.0</v>
      </c>
      <c r="DD1094" s="11">
        <v>45780.0</v>
      </c>
      <c r="DE1094" s="11">
        <v>8380.0</v>
      </c>
      <c r="DF1094" s="11">
        <v>89750.0</v>
      </c>
      <c r="DG1094" s="11">
        <v>101410.0</v>
      </c>
      <c r="DH1094" s="11">
        <v>92350.0</v>
      </c>
      <c r="DI1094" s="11">
        <v>9840.0</v>
      </c>
      <c r="DJ1094" s="11">
        <v>2820.0</v>
      </c>
      <c r="DK1094" s="12"/>
      <c r="DL1094" s="12"/>
      <c r="DM1094" s="11">
        <v>9920.0</v>
      </c>
      <c r="DN1094" s="12"/>
      <c r="DO1094" s="12"/>
      <c r="DP1094" s="11">
        <v>15480.0</v>
      </c>
      <c r="DQ1094" s="12"/>
      <c r="DR1094" s="12"/>
      <c r="DS1094" s="12"/>
      <c r="DT1094" s="12"/>
      <c r="DU1094" s="13"/>
      <c r="DV1094" s="12"/>
      <c r="DW1094" s="12"/>
      <c r="DX1094" s="24">
        <v>0.0</v>
      </c>
      <c r="DY1094" s="13"/>
      <c r="DZ1094" s="11">
        <v>51350.0</v>
      </c>
      <c r="EA1094" s="11">
        <v>39940.0</v>
      </c>
      <c r="EB1094" s="11">
        <v>11520.0</v>
      </c>
      <c r="EC1094" s="11">
        <v>25230.0</v>
      </c>
      <c r="ED1094" s="11">
        <v>31130.0</v>
      </c>
      <c r="EE1094" s="14">
        <v>0.556</v>
      </c>
      <c r="EF1094" s="14">
        <v>1.226</v>
      </c>
      <c r="EG1094" s="14">
        <v>0.471</v>
      </c>
      <c r="EH1094" s="14">
        <v>0.657</v>
      </c>
    </row>
    <row r="1095">
      <c r="A1095" s="9">
        <f t="shared" si="2"/>
        <v>1093</v>
      </c>
      <c r="B1095" s="10" t="s">
        <v>1230</v>
      </c>
      <c r="C1095" s="15">
        <v>5.084E7</v>
      </c>
      <c r="D1095" s="15">
        <v>4.922E7</v>
      </c>
      <c r="E1095" s="15">
        <v>0.0</v>
      </c>
      <c r="F1095" s="15">
        <v>0.0</v>
      </c>
      <c r="G1095" s="15">
        <v>0.0</v>
      </c>
      <c r="H1095" s="15">
        <v>0.0</v>
      </c>
      <c r="I1095" s="15">
        <v>0.0</v>
      </c>
      <c r="J1095" s="15">
        <v>0.0</v>
      </c>
      <c r="K1095" s="15">
        <v>0.0</v>
      </c>
      <c r="L1095" s="15">
        <v>0.0</v>
      </c>
      <c r="M1095" s="15">
        <v>0.0</v>
      </c>
      <c r="N1095" s="15">
        <v>0.0</v>
      </c>
      <c r="O1095" s="15">
        <v>0.0</v>
      </c>
      <c r="P1095" s="15">
        <v>0.0</v>
      </c>
      <c r="Q1095" s="15">
        <v>0.0</v>
      </c>
      <c r="R1095" s="15">
        <v>0.0</v>
      </c>
      <c r="S1095" s="15">
        <v>0.0</v>
      </c>
      <c r="T1095" s="15">
        <v>4.9978E8</v>
      </c>
      <c r="U1095" s="15">
        <v>5.266E8</v>
      </c>
      <c r="V1095" s="15">
        <v>4.8689E8</v>
      </c>
      <c r="W1095" s="15">
        <v>4.448E8</v>
      </c>
      <c r="X1095" s="15">
        <v>4.9168E8</v>
      </c>
      <c r="Y1095" s="15">
        <v>0.0</v>
      </c>
      <c r="Z1095" s="15">
        <v>0.0</v>
      </c>
      <c r="AA1095" s="15">
        <v>0.0</v>
      </c>
      <c r="AB1095" s="15">
        <v>0.0</v>
      </c>
      <c r="AC1095" s="15">
        <v>0.0</v>
      </c>
      <c r="AD1095" s="15">
        <v>0.0</v>
      </c>
      <c r="AE1095" s="15">
        <v>0.0</v>
      </c>
      <c r="AF1095" s="15">
        <v>0.0</v>
      </c>
      <c r="AG1095" s="15">
        <v>0.0</v>
      </c>
      <c r="AH1095" s="15">
        <v>6.8681E8</v>
      </c>
      <c r="AI1095" s="15">
        <v>0.0</v>
      </c>
      <c r="AJ1095" s="15">
        <v>0.0</v>
      </c>
      <c r="AK1095" s="15">
        <v>0.0</v>
      </c>
      <c r="AL1095" s="15">
        <v>0.0</v>
      </c>
      <c r="AM1095" s="15">
        <v>0.0</v>
      </c>
      <c r="AN1095" s="15">
        <v>0.0</v>
      </c>
      <c r="AO1095" s="15">
        <v>0.0</v>
      </c>
      <c r="AP1095" s="15">
        <v>0.0</v>
      </c>
      <c r="AQ1095" s="15">
        <v>0.0</v>
      </c>
      <c r="AR1095" s="15">
        <v>1.4762E8</v>
      </c>
      <c r="AS1095" s="15">
        <v>0.0</v>
      </c>
      <c r="AT1095" s="15">
        <v>0.0</v>
      </c>
      <c r="AU1095" s="15">
        <v>0.0</v>
      </c>
      <c r="AV1095" s="15">
        <v>0.0</v>
      </c>
      <c r="AW1095" s="15">
        <v>0.0</v>
      </c>
      <c r="AX1095" s="15">
        <v>0.0</v>
      </c>
      <c r="AY1095" s="15">
        <v>0.0</v>
      </c>
      <c r="AZ1095" s="15">
        <v>0.0</v>
      </c>
      <c r="BA1095" s="15">
        <v>0.0</v>
      </c>
      <c r="BB1095" s="15">
        <v>0.0</v>
      </c>
      <c r="BC1095" s="15">
        <v>-9.4622E8</v>
      </c>
      <c r="BD1095" s="15">
        <v>-7.2393E8</v>
      </c>
      <c r="BE1095" s="15">
        <v>-8.6345E8</v>
      </c>
      <c r="BF1095" s="15">
        <v>-7.0897E8</v>
      </c>
      <c r="BG1095" s="15">
        <v>-8.2257E8</v>
      </c>
      <c r="BH1095" s="15">
        <v>0.0</v>
      </c>
      <c r="BI1095" s="15">
        <v>0.0</v>
      </c>
      <c r="BJ1095" s="15">
        <v>0.0</v>
      </c>
      <c r="BK1095" s="15">
        <v>0.0</v>
      </c>
      <c r="BL1095" s="15">
        <v>0.0</v>
      </c>
      <c r="BM1095" s="15">
        <v>0.0</v>
      </c>
      <c r="BN1095" s="15">
        <v>0.0</v>
      </c>
      <c r="BO1095" s="15">
        <v>0.0</v>
      </c>
      <c r="BP1095" s="15">
        <v>0.0</v>
      </c>
      <c r="BQ1095" s="15">
        <v>0.0</v>
      </c>
      <c r="BR1095" s="15">
        <v>0.0</v>
      </c>
      <c r="BS1095" s="15">
        <v>0.0</v>
      </c>
      <c r="BT1095" s="15">
        <v>0.0</v>
      </c>
      <c r="BU1095" s="15">
        <v>0.0</v>
      </c>
      <c r="BV1095" s="15">
        <v>0.0</v>
      </c>
      <c r="BW1095" s="15">
        <v>0.0</v>
      </c>
      <c r="BX1095" s="15">
        <v>0.0</v>
      </c>
      <c r="BY1095" s="15">
        <v>0.0</v>
      </c>
      <c r="BZ1095" s="15">
        <v>0.0</v>
      </c>
      <c r="CA1095" s="15">
        <v>0.0</v>
      </c>
      <c r="CB1095" s="15">
        <v>0.0</v>
      </c>
      <c r="CC1095" s="15">
        <v>0.0</v>
      </c>
      <c r="CD1095" s="15">
        <v>0.0</v>
      </c>
      <c r="CE1095" s="15">
        <v>0.0</v>
      </c>
      <c r="CF1095" s="15">
        <v>0.0</v>
      </c>
      <c r="CG1095" s="15">
        <v>0.0</v>
      </c>
      <c r="CH1095" s="15">
        <v>0.0</v>
      </c>
      <c r="CI1095" s="15">
        <v>0.0</v>
      </c>
      <c r="CJ1095" s="15">
        <v>0.0</v>
      </c>
      <c r="CK1095" s="15">
        <v>0.0</v>
      </c>
      <c r="CL1095" s="15">
        <v>0.0</v>
      </c>
      <c r="CM1095" s="15">
        <v>0.0</v>
      </c>
      <c r="CN1095" s="15">
        <v>0.0</v>
      </c>
      <c r="CO1095" s="15">
        <v>0.0</v>
      </c>
      <c r="CP1095" s="15">
        <v>0.0</v>
      </c>
      <c r="CQ1095" s="15">
        <v>0.0</v>
      </c>
      <c r="CR1095" s="15">
        <v>0.0</v>
      </c>
      <c r="CS1095" s="15">
        <v>0.0</v>
      </c>
      <c r="CT1095" s="15">
        <v>0.0</v>
      </c>
      <c r="CU1095" s="15">
        <v>0.0</v>
      </c>
      <c r="CV1095" s="15">
        <v>0.0</v>
      </c>
      <c r="CW1095" s="15">
        <v>0.0</v>
      </c>
      <c r="CX1095" s="16">
        <v>0.0</v>
      </c>
      <c r="CY1095" s="16">
        <v>0.0</v>
      </c>
      <c r="CZ1095" s="16">
        <v>0.0</v>
      </c>
      <c r="DA1095" s="15">
        <v>0.0</v>
      </c>
      <c r="DB1095" s="15">
        <v>0.0</v>
      </c>
      <c r="DC1095" s="15">
        <v>0.0</v>
      </c>
      <c r="DD1095" s="15">
        <v>0.0</v>
      </c>
      <c r="DE1095" s="15">
        <v>0.0</v>
      </c>
      <c r="DF1095" s="15">
        <v>0.0</v>
      </c>
      <c r="DG1095" s="15">
        <v>0.0</v>
      </c>
      <c r="DH1095" s="15">
        <v>0.0</v>
      </c>
      <c r="DI1095" s="15">
        <v>0.0</v>
      </c>
      <c r="DJ1095" s="15">
        <v>0.0</v>
      </c>
      <c r="DK1095" s="15">
        <v>0.0</v>
      </c>
      <c r="DL1095" s="15">
        <v>0.0</v>
      </c>
      <c r="DM1095" s="15">
        <v>0.0</v>
      </c>
      <c r="DN1095" s="15">
        <v>0.0</v>
      </c>
      <c r="DO1095" s="15">
        <v>0.0</v>
      </c>
      <c r="DP1095" s="15">
        <v>0.0</v>
      </c>
      <c r="DQ1095" s="15">
        <v>0.0</v>
      </c>
      <c r="DR1095" s="15">
        <v>0.0</v>
      </c>
      <c r="DS1095" s="15">
        <v>0.0</v>
      </c>
      <c r="DT1095" s="15">
        <v>0.0</v>
      </c>
      <c r="DU1095" s="16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0.0</v>
      </c>
      <c r="EC1095" s="15">
        <v>0.0</v>
      </c>
      <c r="ED1095" s="15">
        <v>0.0</v>
      </c>
      <c r="EE1095" s="17">
        <v>0.056</v>
      </c>
      <c r="EF1095" s="17">
        <v>0.017</v>
      </c>
      <c r="EG1095" s="17">
        <v>-0.892</v>
      </c>
      <c r="EH1095" s="17">
        <v>-0.744</v>
      </c>
    </row>
    <row r="1096">
      <c r="A1096" s="9">
        <f t="shared" si="2"/>
        <v>1094</v>
      </c>
      <c r="B1096" s="25" t="s">
        <v>1231</v>
      </c>
      <c r="C1096" s="15">
        <v>666000.0</v>
      </c>
      <c r="D1096" s="15">
        <v>613170.0</v>
      </c>
      <c r="E1096" s="15">
        <v>550660.0</v>
      </c>
      <c r="F1096" s="15">
        <v>535280.0</v>
      </c>
      <c r="G1096" s="15">
        <v>450680.0</v>
      </c>
      <c r="H1096" s="15">
        <v>483460.0</v>
      </c>
      <c r="I1096" s="15">
        <v>524210.0</v>
      </c>
      <c r="J1096" s="15">
        <v>120840.0</v>
      </c>
      <c r="K1096" s="15">
        <v>131550.0</v>
      </c>
      <c r="L1096" s="15">
        <v>91440.0</v>
      </c>
      <c r="M1096" s="15">
        <v>118840.0</v>
      </c>
      <c r="N1096" s="15">
        <v>143260.0</v>
      </c>
      <c r="O1096" s="15">
        <v>68720.0</v>
      </c>
      <c r="P1096" s="15">
        <v>65880.0</v>
      </c>
      <c r="Q1096" s="15">
        <v>59450.0</v>
      </c>
      <c r="R1096" s="15">
        <v>66230.0</v>
      </c>
      <c r="S1096" s="15">
        <v>70900.0</v>
      </c>
      <c r="T1096" s="15">
        <v>16390.0</v>
      </c>
      <c r="U1096" s="15">
        <v>14480.0</v>
      </c>
      <c r="V1096" s="15">
        <v>15860.0</v>
      </c>
      <c r="W1096" s="15">
        <v>21650.0</v>
      </c>
      <c r="X1096" s="15">
        <v>21920.0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0.0</v>
      </c>
      <c r="AD1096" s="15">
        <v>50700.0</v>
      </c>
      <c r="AE1096" s="15">
        <v>68570.0</v>
      </c>
      <c r="AF1096" s="15">
        <v>26570.0</v>
      </c>
      <c r="AG1096" s="15">
        <v>60470.0</v>
      </c>
      <c r="AH1096" s="15">
        <v>70040.0</v>
      </c>
      <c r="AI1096" s="15">
        <v>136000.0</v>
      </c>
      <c r="AJ1096" s="15">
        <v>150010.0</v>
      </c>
      <c r="AK1096" s="15">
        <v>118570.0</v>
      </c>
      <c r="AL1096" s="15">
        <v>135450.0</v>
      </c>
      <c r="AM1096" s="15">
        <v>154050.0</v>
      </c>
      <c r="AN1096" s="15">
        <v>29790.0</v>
      </c>
      <c r="AO1096" s="15">
        <v>42060.0</v>
      </c>
      <c r="AP1096" s="15">
        <v>13130.0</v>
      </c>
      <c r="AQ1096" s="15">
        <v>46200.0</v>
      </c>
      <c r="AR1096" s="15">
        <v>44630.0</v>
      </c>
      <c r="AS1096" s="15">
        <v>68390.0</v>
      </c>
      <c r="AT1096" s="15">
        <v>130570.0</v>
      </c>
      <c r="AU1096" s="15">
        <v>96830.0</v>
      </c>
      <c r="AV1096" s="15">
        <v>122140.0</v>
      </c>
      <c r="AW1096" s="15">
        <v>133200.0</v>
      </c>
      <c r="AX1096" s="15">
        <v>-178470.0</v>
      </c>
      <c r="AY1096" s="15">
        <v>-92800.0</v>
      </c>
      <c r="AZ1096" s="15">
        <v>-92800.0</v>
      </c>
      <c r="BA1096" s="15">
        <v>-50160.0</v>
      </c>
      <c r="BB1096" s="15">
        <v>-104800.0</v>
      </c>
      <c r="BC1096" s="15">
        <v>0.0</v>
      </c>
      <c r="BD1096" s="15">
        <v>0.0</v>
      </c>
      <c r="BE1096" s="15">
        <v>0.0</v>
      </c>
      <c r="BF1096" s="15">
        <v>0.0</v>
      </c>
      <c r="BG1096" s="15">
        <v>0.0</v>
      </c>
      <c r="BH1096" s="15">
        <v>206530.0</v>
      </c>
      <c r="BI1096" s="15">
        <v>329280.0</v>
      </c>
      <c r="BJ1096" s="15">
        <v>308020.0</v>
      </c>
      <c r="BK1096" s="15">
        <v>314070.0</v>
      </c>
      <c r="BL1096" s="15">
        <v>205870.0</v>
      </c>
      <c r="BM1096" s="15">
        <v>142050.0</v>
      </c>
      <c r="BN1096" s="15">
        <v>120520.0</v>
      </c>
      <c r="BO1096" s="15">
        <v>105320.0</v>
      </c>
      <c r="BP1096" s="15">
        <v>92640.0</v>
      </c>
      <c r="BQ1096" s="15">
        <v>110060.0</v>
      </c>
      <c r="BR1096" s="15">
        <v>48160.0</v>
      </c>
      <c r="BS1096" s="15">
        <v>29180.0</v>
      </c>
      <c r="BT1096" s="15">
        <v>23700.0</v>
      </c>
      <c r="BU1096" s="15">
        <v>22080.0</v>
      </c>
      <c r="BV1096" s="15">
        <v>24160.0</v>
      </c>
      <c r="BW1096" s="15">
        <v>427530.0</v>
      </c>
      <c r="BX1096" s="15">
        <v>502730.0</v>
      </c>
      <c r="BY1096" s="15">
        <v>449120.0</v>
      </c>
      <c r="BZ1096" s="15">
        <v>441590.0</v>
      </c>
      <c r="CA1096" s="15">
        <v>364110.0</v>
      </c>
      <c r="CB1096" s="15">
        <v>632440.0</v>
      </c>
      <c r="CC1096" s="15">
        <v>571780.0</v>
      </c>
      <c r="CD1096" s="15">
        <v>535200.0</v>
      </c>
      <c r="CE1096" s="15">
        <v>506430.0</v>
      </c>
      <c r="CF1096" s="15">
        <v>547280.0</v>
      </c>
      <c r="CG1096" s="15">
        <v>0.0</v>
      </c>
      <c r="CH1096" s="15">
        <v>0.0</v>
      </c>
      <c r="CI1096" s="15">
        <v>0.0</v>
      </c>
      <c r="CJ1096" s="15">
        <v>0.0</v>
      </c>
      <c r="CK1096" s="15">
        <v>0.0</v>
      </c>
      <c r="CL1096" s="15">
        <v>1120000.0</v>
      </c>
      <c r="CM1096" s="15">
        <v>1110000.0</v>
      </c>
      <c r="CN1096" s="15">
        <v>1020000.0</v>
      </c>
      <c r="CO1096" s="15">
        <v>987990.0</v>
      </c>
      <c r="CP1096" s="15">
        <v>1050000.0</v>
      </c>
      <c r="CQ1096" s="15">
        <v>74180.0</v>
      </c>
      <c r="CR1096" s="15">
        <v>59150.0</v>
      </c>
      <c r="CS1096" s="15">
        <v>47830.0</v>
      </c>
      <c r="CT1096" s="15">
        <v>51650.0</v>
      </c>
      <c r="CU1096" s="15">
        <v>61980.0</v>
      </c>
      <c r="CV1096" s="15">
        <v>151950.0</v>
      </c>
      <c r="CW1096" s="15">
        <v>8730.0</v>
      </c>
      <c r="CX1096" s="15">
        <v>0.0</v>
      </c>
      <c r="CY1096" s="16">
        <v>0.0</v>
      </c>
      <c r="CZ1096" s="16">
        <v>0.0</v>
      </c>
      <c r="DA1096" s="15">
        <v>0.0</v>
      </c>
      <c r="DB1096" s="15">
        <v>151950.0</v>
      </c>
      <c r="DC1096" s="15">
        <v>191080.0</v>
      </c>
      <c r="DD1096" s="15">
        <v>81780.0</v>
      </c>
      <c r="DE1096" s="15">
        <v>81320.0</v>
      </c>
      <c r="DF1096" s="15">
        <v>207570.0</v>
      </c>
      <c r="DG1096" s="15">
        <v>205440.0</v>
      </c>
      <c r="DH1096" s="15">
        <v>155500.0</v>
      </c>
      <c r="DI1096" s="15">
        <v>162510.0</v>
      </c>
      <c r="DJ1096" s="15">
        <v>283490.0</v>
      </c>
      <c r="DK1096" s="15">
        <v>2800.0</v>
      </c>
      <c r="DL1096" s="15">
        <v>0.0</v>
      </c>
      <c r="DM1096" s="15">
        <v>0.0</v>
      </c>
      <c r="DN1096" s="15">
        <v>0.0</v>
      </c>
      <c r="DO1096" s="15">
        <v>93020.0</v>
      </c>
      <c r="DP1096" s="15">
        <v>41890.0</v>
      </c>
      <c r="DQ1096" s="15">
        <v>0.0</v>
      </c>
      <c r="DR1096" s="15">
        <v>57340.0</v>
      </c>
      <c r="DS1096" s="15">
        <v>61860.0</v>
      </c>
      <c r="DT1096" s="15">
        <v>67120.0</v>
      </c>
      <c r="DU1096" s="16">
        <v>0.0</v>
      </c>
      <c r="DV1096" s="15">
        <v>0.0</v>
      </c>
      <c r="DW1096" s="15">
        <v>0.0</v>
      </c>
      <c r="DX1096" s="15">
        <v>0.0</v>
      </c>
      <c r="DY1096" s="15">
        <v>0.0</v>
      </c>
      <c r="DZ1096" s="15">
        <v>769890.0</v>
      </c>
      <c r="EA1096" s="15">
        <v>759670.0</v>
      </c>
      <c r="EB1096" s="15">
        <v>744560.0</v>
      </c>
      <c r="EC1096" s="15">
        <v>710360.0</v>
      </c>
      <c r="ED1096" s="15">
        <v>646560.0</v>
      </c>
      <c r="EE1096" s="17">
        <v>0.005</v>
      </c>
      <c r="EF1096" s="17">
        <v>0.035</v>
      </c>
      <c r="EG1096" s="17">
        <v>-0.286</v>
      </c>
      <c r="EH1096" s="17">
        <v>-0.044</v>
      </c>
    </row>
    <row r="1097">
      <c r="A1097" s="9">
        <f t="shared" si="2"/>
        <v>1095</v>
      </c>
      <c r="B1097" s="10" t="s">
        <v>1232</v>
      </c>
      <c r="C1097" s="15">
        <v>1160000.0</v>
      </c>
      <c r="D1097" s="15">
        <v>678810.0</v>
      </c>
      <c r="E1097" s="15">
        <v>1350000.0</v>
      </c>
      <c r="F1097" s="15">
        <v>1270000.0</v>
      </c>
      <c r="G1097" s="15">
        <v>1140000.0</v>
      </c>
      <c r="H1097" s="15">
        <v>1010000.0</v>
      </c>
      <c r="I1097" s="15">
        <v>866980.0</v>
      </c>
      <c r="J1097" s="15">
        <v>236520.0</v>
      </c>
      <c r="K1097" s="15">
        <v>241390.0</v>
      </c>
      <c r="L1097" s="15">
        <v>249080.0</v>
      </c>
      <c r="M1097" s="15">
        <v>220400.0</v>
      </c>
      <c r="N1097" s="15">
        <v>175200.0</v>
      </c>
      <c r="O1097" s="15">
        <v>69470.0</v>
      </c>
      <c r="P1097" s="15">
        <v>61520.0</v>
      </c>
      <c r="Q1097" s="15">
        <v>57020.0</v>
      </c>
      <c r="R1097" s="15">
        <v>69890.0</v>
      </c>
      <c r="S1097" s="15">
        <v>65160.0</v>
      </c>
      <c r="T1097" s="15"/>
      <c r="U1097" s="15"/>
      <c r="V1097" s="15"/>
      <c r="W1097" s="15"/>
      <c r="X1097" s="15"/>
      <c r="Y1097" s="12"/>
      <c r="Z1097" s="15">
        <v>183930.0</v>
      </c>
      <c r="AA1097" s="15">
        <v>188560.0</v>
      </c>
      <c r="AB1097" s="15">
        <v>150370.0</v>
      </c>
      <c r="AC1097" s="15">
        <v>-7300.0</v>
      </c>
      <c r="AD1097" s="15">
        <v>127140.0</v>
      </c>
      <c r="AE1097" s="15">
        <v>147890.0</v>
      </c>
      <c r="AF1097" s="15">
        <v>156390.0</v>
      </c>
      <c r="AG1097" s="15">
        <v>143530.0</v>
      </c>
      <c r="AH1097" s="15">
        <v>91750.0</v>
      </c>
      <c r="AI1097" s="15">
        <v>299510.0</v>
      </c>
      <c r="AJ1097" s="15">
        <v>298140.0</v>
      </c>
      <c r="AK1097" s="15">
        <v>294830.0</v>
      </c>
      <c r="AL1097" s="15">
        <v>238820.0</v>
      </c>
      <c r="AM1097" s="15">
        <v>188700.0</v>
      </c>
      <c r="AN1097" s="15">
        <v>100260.0</v>
      </c>
      <c r="AO1097" s="15">
        <v>117220.0</v>
      </c>
      <c r="AP1097" s="15">
        <v>120950.0</v>
      </c>
      <c r="AQ1097" s="15">
        <v>90800.0</v>
      </c>
      <c r="AR1097" s="15">
        <v>59620.0</v>
      </c>
      <c r="AS1097" s="15">
        <v>288950.0</v>
      </c>
      <c r="AT1097" s="15">
        <v>337620.0</v>
      </c>
      <c r="AU1097" s="15">
        <v>264670.0</v>
      </c>
      <c r="AV1097" s="15">
        <v>231330.0</v>
      </c>
      <c r="AW1097" s="15">
        <v>186980.0</v>
      </c>
      <c r="AX1097" s="15">
        <v>-228090.0</v>
      </c>
      <c r="AY1097" s="15">
        <v>-216290.0</v>
      </c>
      <c r="AZ1097" s="15">
        <v>-219900.0</v>
      </c>
      <c r="BA1097" s="15">
        <v>-180580.0</v>
      </c>
      <c r="BB1097" s="15">
        <v>-162890.0</v>
      </c>
      <c r="BC1097" s="13">
        <v>-15720.0</v>
      </c>
      <c r="BD1097" s="13">
        <v>-11570.0</v>
      </c>
      <c r="BE1097" s="13"/>
      <c r="BF1097" s="13"/>
      <c r="BG1097" s="13"/>
      <c r="BH1097" s="15">
        <v>24660.0</v>
      </c>
      <c r="BI1097" s="15">
        <v>21590.0</v>
      </c>
      <c r="BJ1097" s="15">
        <v>18800.0</v>
      </c>
      <c r="BK1097" s="15">
        <v>20080.0</v>
      </c>
      <c r="BL1097" s="15">
        <v>25500.0</v>
      </c>
      <c r="BM1097" s="15">
        <v>8670.0</v>
      </c>
      <c r="BN1097" s="15">
        <v>12620.0</v>
      </c>
      <c r="BO1097" s="15">
        <v>19810.0</v>
      </c>
      <c r="BP1097" s="15">
        <v>5900.0</v>
      </c>
      <c r="BQ1097" s="15">
        <v>4150.0</v>
      </c>
      <c r="BR1097" s="12">
        <v>34480.0</v>
      </c>
      <c r="BS1097" s="12">
        <v>27320.0</v>
      </c>
      <c r="BT1097" s="12">
        <v>27560.0</v>
      </c>
      <c r="BU1097" s="12">
        <v>21860.0</v>
      </c>
      <c r="BV1097" s="12">
        <v>19530.0</v>
      </c>
      <c r="BW1097" s="15">
        <v>78980.0</v>
      </c>
      <c r="BX1097" s="15">
        <v>91090.0</v>
      </c>
      <c r="BY1097" s="15">
        <v>94910.0</v>
      </c>
      <c r="BZ1097" s="15">
        <v>75600.0</v>
      </c>
      <c r="CA1097" s="15">
        <v>110080.0</v>
      </c>
      <c r="CB1097" s="15">
        <v>1910000.0</v>
      </c>
      <c r="CC1097" s="15">
        <v>805340.0</v>
      </c>
      <c r="CD1097" s="15">
        <v>726460.0</v>
      </c>
      <c r="CE1097" s="15">
        <v>606870.0</v>
      </c>
      <c r="CF1097" s="15">
        <v>523890.0</v>
      </c>
      <c r="CG1097" s="15">
        <v>272640.0</v>
      </c>
      <c r="CH1097" s="15">
        <v>272630.0</v>
      </c>
      <c r="CI1097" s="15">
        <v>272570.0</v>
      </c>
      <c r="CJ1097" s="15">
        <v>272630.0</v>
      </c>
      <c r="CK1097" s="15">
        <v>272690.0</v>
      </c>
      <c r="CL1097" s="15">
        <v>2370000.0</v>
      </c>
      <c r="CM1097" s="15">
        <v>1270000.0</v>
      </c>
      <c r="CN1097" s="15">
        <v>1200000.0</v>
      </c>
      <c r="CO1097" s="15">
        <v>1050000.0</v>
      </c>
      <c r="CP1097" s="15">
        <v>1000000.0</v>
      </c>
      <c r="CQ1097" s="15">
        <v>65360.0</v>
      </c>
      <c r="CR1097" s="15">
        <v>60430.0</v>
      </c>
      <c r="CS1097" s="15">
        <v>54630.0</v>
      </c>
      <c r="CT1097" s="15">
        <v>55280.0</v>
      </c>
      <c r="CU1097" s="15">
        <v>42840.0</v>
      </c>
      <c r="CV1097" s="15">
        <v>290870.0</v>
      </c>
      <c r="CW1097" s="15">
        <v>45610.0</v>
      </c>
      <c r="CX1097" s="13"/>
      <c r="CY1097" s="13"/>
      <c r="CZ1097" s="13"/>
      <c r="DA1097" s="12"/>
      <c r="DB1097" s="15">
        <v>290870.0</v>
      </c>
      <c r="DC1097" s="15">
        <v>244390.0</v>
      </c>
      <c r="DD1097" s="15">
        <v>207830.0</v>
      </c>
      <c r="DE1097" s="15">
        <v>177800.0</v>
      </c>
      <c r="DF1097" s="15">
        <v>2200000.0</v>
      </c>
      <c r="DG1097" s="15">
        <v>885350.0</v>
      </c>
      <c r="DH1097" s="15">
        <v>775380.0</v>
      </c>
      <c r="DI1097" s="15">
        <v>613280.0</v>
      </c>
      <c r="DJ1097" s="15">
        <v>657360.0</v>
      </c>
      <c r="DK1097" s="12"/>
      <c r="DL1097" s="15"/>
      <c r="DM1097" s="15"/>
      <c r="DN1097" s="15"/>
      <c r="DO1097" s="15"/>
      <c r="DP1097" s="15">
        <v>1850000.0</v>
      </c>
      <c r="DQ1097" s="15">
        <v>378470.0</v>
      </c>
      <c r="DR1097" s="15">
        <v>351250.0</v>
      </c>
      <c r="DS1097" s="15">
        <v>256630.0</v>
      </c>
      <c r="DT1097" s="12">
        <v>329920.0</v>
      </c>
      <c r="DU1097" s="13"/>
      <c r="DV1097" s="12"/>
      <c r="DW1097" s="15"/>
      <c r="DX1097" s="15"/>
      <c r="DY1097" s="15"/>
      <c r="DZ1097" s="15">
        <v>169650.0</v>
      </c>
      <c r="EA1097" s="15">
        <v>387840.0</v>
      </c>
      <c r="EB1097" s="15">
        <v>421650.0</v>
      </c>
      <c r="EC1097" s="15">
        <v>439450.0</v>
      </c>
      <c r="ED1097" s="15">
        <v>346340.0</v>
      </c>
      <c r="EE1097" s="23">
        <v>0.346120417</v>
      </c>
      <c r="EF1097" s="23">
        <v>0.301163793</v>
      </c>
      <c r="EG1097" s="17">
        <v>-0.612</v>
      </c>
      <c r="EH1097" s="23">
        <v>-0.0955</v>
      </c>
    </row>
    <row r="1098">
      <c r="A1098" s="9">
        <f t="shared" si="2"/>
        <v>1096</v>
      </c>
      <c r="B1098" s="10" t="s">
        <v>1233</v>
      </c>
      <c r="C1098" s="11">
        <v>1650000.0</v>
      </c>
      <c r="D1098" s="11">
        <v>1570000.0</v>
      </c>
      <c r="E1098" s="11">
        <v>1870000.0</v>
      </c>
      <c r="F1098" s="11">
        <v>1940000.0</v>
      </c>
      <c r="G1098" s="11">
        <v>1870000.0</v>
      </c>
      <c r="H1098" s="11">
        <v>1790000.0</v>
      </c>
      <c r="I1098" s="11">
        <v>1730000.0</v>
      </c>
      <c r="J1098" s="11">
        <v>580420.0</v>
      </c>
      <c r="K1098" s="11">
        <v>614610.0</v>
      </c>
      <c r="L1098" s="11">
        <v>643000.0</v>
      </c>
      <c r="M1098" s="11">
        <v>605560.0</v>
      </c>
      <c r="N1098" s="11">
        <v>561950.0</v>
      </c>
      <c r="O1098" s="11">
        <v>478120.0</v>
      </c>
      <c r="P1098" s="11">
        <v>498340.0</v>
      </c>
      <c r="Q1098" s="11">
        <v>475490.0</v>
      </c>
      <c r="R1098" s="11">
        <v>455440.0</v>
      </c>
      <c r="S1098" s="11">
        <v>455400.0</v>
      </c>
      <c r="T1098" s="11"/>
      <c r="U1098" s="11"/>
      <c r="V1098" s="11"/>
      <c r="W1098" s="11"/>
      <c r="X1098" s="11"/>
      <c r="Y1098" s="11">
        <v>96260.0</v>
      </c>
      <c r="Z1098" s="11">
        <v>111230.0</v>
      </c>
      <c r="AA1098" s="11">
        <v>157310.0</v>
      </c>
      <c r="AB1098" s="11">
        <v>145810.0</v>
      </c>
      <c r="AC1098" s="11">
        <v>86280.0</v>
      </c>
      <c r="AD1098" s="11">
        <v>88420.0</v>
      </c>
      <c r="AE1098" s="11">
        <v>108520.0</v>
      </c>
      <c r="AF1098" s="11">
        <v>161200.0</v>
      </c>
      <c r="AG1098" s="11">
        <v>147010.0</v>
      </c>
      <c r="AH1098" s="11">
        <v>89380.0</v>
      </c>
      <c r="AI1098" s="11">
        <v>326090.0</v>
      </c>
      <c r="AJ1098" s="11">
        <v>185150.0</v>
      </c>
      <c r="AK1098" s="11">
        <v>235670.0</v>
      </c>
      <c r="AL1098" s="11">
        <v>215850.0</v>
      </c>
      <c r="AM1098" s="11">
        <v>169230.0</v>
      </c>
      <c r="AN1098" s="11">
        <v>73300.0</v>
      </c>
      <c r="AO1098" s="11">
        <v>100960.0</v>
      </c>
      <c r="AP1098" s="11">
        <v>84700.0</v>
      </c>
      <c r="AQ1098" s="11">
        <v>102340.0</v>
      </c>
      <c r="AR1098" s="11">
        <v>57880.0</v>
      </c>
      <c r="AS1098" s="11">
        <v>177900.0</v>
      </c>
      <c r="AT1098" s="11">
        <v>139910.0</v>
      </c>
      <c r="AU1098" s="11">
        <v>214380.0</v>
      </c>
      <c r="AV1098" s="11">
        <v>199290.0</v>
      </c>
      <c r="AW1098" s="11">
        <v>182650.0</v>
      </c>
      <c r="AX1098" s="11">
        <v>-134450.0</v>
      </c>
      <c r="AY1098" s="11">
        <v>-71110.0</v>
      </c>
      <c r="AZ1098" s="11">
        <v>-58660.0</v>
      </c>
      <c r="BA1098" s="11">
        <v>-34680.0</v>
      </c>
      <c r="BB1098" s="11">
        <v>-42150.0</v>
      </c>
      <c r="BC1098" s="11">
        <v>-34930.0</v>
      </c>
      <c r="BD1098" s="11">
        <v>-33040.0</v>
      </c>
      <c r="BE1098" s="11">
        <v>-28100.0</v>
      </c>
      <c r="BF1098" s="11">
        <v>-14790.0</v>
      </c>
      <c r="BG1098" s="11">
        <v>-12220.0</v>
      </c>
      <c r="BH1098" s="11">
        <v>68490.0</v>
      </c>
      <c r="BI1098" s="11">
        <v>69140.0</v>
      </c>
      <c r="BJ1098" s="11">
        <v>259520.0</v>
      </c>
      <c r="BK1098" s="11">
        <v>243010.0</v>
      </c>
      <c r="BL1098" s="11">
        <v>227630.0</v>
      </c>
      <c r="BM1098" s="11">
        <v>32810.0</v>
      </c>
      <c r="BN1098" s="11">
        <v>35120.0</v>
      </c>
      <c r="BO1098" s="11">
        <v>26090.0</v>
      </c>
      <c r="BP1098" s="11">
        <v>31410.0</v>
      </c>
      <c r="BQ1098" s="11">
        <v>26320.0</v>
      </c>
      <c r="BR1098" s="11">
        <v>327170.0</v>
      </c>
      <c r="BS1098" s="11">
        <v>303470.0</v>
      </c>
      <c r="BT1098" s="11">
        <v>324440.0</v>
      </c>
      <c r="BU1098" s="11">
        <v>286340.0</v>
      </c>
      <c r="BV1098" s="11">
        <v>268830.0</v>
      </c>
      <c r="BW1098" s="11">
        <v>449880.0</v>
      </c>
      <c r="BX1098" s="11">
        <v>435400.0</v>
      </c>
      <c r="BY1098" s="11">
        <v>656500.0</v>
      </c>
      <c r="BZ1098" s="11">
        <v>611160.0</v>
      </c>
      <c r="CA1098" s="11">
        <v>581310.0</v>
      </c>
      <c r="CB1098" s="11">
        <v>630720.0</v>
      </c>
      <c r="CC1098" s="11">
        <v>260360.0</v>
      </c>
      <c r="CD1098" s="11">
        <v>258540.0</v>
      </c>
      <c r="CE1098" s="11">
        <v>264280.0</v>
      </c>
      <c r="CF1098" s="11">
        <v>290980.0</v>
      </c>
      <c r="CG1098" s="11"/>
      <c r="CH1098" s="11"/>
      <c r="CI1098" s="11"/>
      <c r="CJ1098" s="11"/>
      <c r="CK1098" s="11"/>
      <c r="CL1098" s="11">
        <v>1180000.0</v>
      </c>
      <c r="CM1098" s="11">
        <v>727050.0</v>
      </c>
      <c r="CN1098" s="11">
        <v>940230.0</v>
      </c>
      <c r="CO1098" s="11">
        <v>910500.0</v>
      </c>
      <c r="CP1098" s="11">
        <v>897950.0</v>
      </c>
      <c r="CQ1098" s="11">
        <v>213120.0</v>
      </c>
      <c r="CR1098" s="11">
        <v>194790.0</v>
      </c>
      <c r="CS1098" s="11">
        <v>210300.0</v>
      </c>
      <c r="CT1098" s="11">
        <v>178210.0</v>
      </c>
      <c r="CU1098" s="11">
        <v>154540.0</v>
      </c>
      <c r="CV1098" s="11">
        <v>595010.0</v>
      </c>
      <c r="CW1098" s="11">
        <v>292680.0</v>
      </c>
      <c r="CX1098" s="11">
        <v>48860.0</v>
      </c>
      <c r="CY1098" s="11">
        <v>21460.0</v>
      </c>
      <c r="CZ1098" s="11">
        <v>15380.0</v>
      </c>
      <c r="DA1098" s="12"/>
      <c r="DB1098" s="11">
        <v>595010.0</v>
      </c>
      <c r="DC1098" s="11">
        <v>331400.0</v>
      </c>
      <c r="DD1098" s="11">
        <v>360520.0</v>
      </c>
      <c r="DE1098" s="11">
        <v>329200.0</v>
      </c>
      <c r="DF1098" s="11">
        <v>946210.0</v>
      </c>
      <c r="DG1098" s="11">
        <v>412610.0</v>
      </c>
      <c r="DH1098" s="11">
        <v>466530.0</v>
      </c>
      <c r="DI1098" s="11">
        <v>414210.0</v>
      </c>
      <c r="DJ1098" s="11">
        <v>370160.0</v>
      </c>
      <c r="DK1098" s="12"/>
      <c r="DL1098" s="12"/>
      <c r="DM1098" s="12"/>
      <c r="DN1098" s="12"/>
      <c r="DO1098" s="12"/>
      <c r="DP1098" s="11">
        <v>311910.0</v>
      </c>
      <c r="DQ1098" s="11"/>
      <c r="DR1098" s="11"/>
      <c r="DS1098" s="11"/>
      <c r="DT1098" s="11"/>
      <c r="DU1098" s="13"/>
      <c r="DV1098" s="12"/>
      <c r="DW1098" s="12"/>
      <c r="DX1098" s="12"/>
      <c r="DY1098" s="12"/>
      <c r="DZ1098" s="11">
        <v>235190.0</v>
      </c>
      <c r="EA1098" s="11">
        <v>314440.0</v>
      </c>
      <c r="EB1098" s="11">
        <v>473700.0</v>
      </c>
      <c r="EC1098" s="11">
        <v>496290.0</v>
      </c>
      <c r="ED1098" s="11">
        <v>527790.0</v>
      </c>
      <c r="EE1098" s="14">
        <v>0.21</v>
      </c>
      <c r="EF1098" s="14">
        <v>0.352</v>
      </c>
      <c r="EG1098" s="14">
        <v>0.133</v>
      </c>
      <c r="EH1098" s="14">
        <v>0.093</v>
      </c>
    </row>
    <row r="1099">
      <c r="A1099" s="9">
        <f t="shared" si="2"/>
        <v>1097</v>
      </c>
      <c r="B1099" s="10" t="s">
        <v>1234</v>
      </c>
      <c r="C1099" s="15">
        <v>736690.0</v>
      </c>
      <c r="D1099" s="15">
        <v>473550.0</v>
      </c>
      <c r="E1099" s="15">
        <v>688800.0</v>
      </c>
      <c r="F1099" s="15">
        <v>572900.0</v>
      </c>
      <c r="G1099" s="15">
        <v>429940.0</v>
      </c>
      <c r="H1099" s="15">
        <v>378240.0</v>
      </c>
      <c r="I1099" s="15">
        <v>330540.0</v>
      </c>
      <c r="J1099" s="15">
        <v>313750.0</v>
      </c>
      <c r="K1099" s="15">
        <v>257370.0</v>
      </c>
      <c r="L1099" s="15">
        <v>208260.0</v>
      </c>
      <c r="M1099" s="15">
        <v>164300.0</v>
      </c>
      <c r="N1099" s="15">
        <v>127400.0</v>
      </c>
      <c r="O1099" s="15">
        <v>78820.0</v>
      </c>
      <c r="P1099" s="15">
        <v>72450.0</v>
      </c>
      <c r="Q1099" s="15">
        <v>60370.0</v>
      </c>
      <c r="R1099" s="15">
        <v>50010.0</v>
      </c>
      <c r="S1099" s="15">
        <v>47880.0</v>
      </c>
      <c r="T1099" s="15">
        <v>0.0</v>
      </c>
      <c r="U1099" s="15">
        <v>0.0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179470.0</v>
      </c>
      <c r="AA1099" s="15">
        <v>147780.0</v>
      </c>
      <c r="AB1099" s="15">
        <v>112540.0</v>
      </c>
      <c r="AC1099" s="15">
        <v>70830.0</v>
      </c>
      <c r="AD1099" s="15">
        <v>173180.0</v>
      </c>
      <c r="AE1099" s="15">
        <v>131800.0</v>
      </c>
      <c r="AF1099" s="15">
        <v>429180.0</v>
      </c>
      <c r="AG1099" s="15">
        <v>89910.0</v>
      </c>
      <c r="AH1099" s="15">
        <v>47280.0</v>
      </c>
      <c r="AI1099" s="15">
        <v>277670.0</v>
      </c>
      <c r="AJ1099" s="15">
        <v>220280.0</v>
      </c>
      <c r="AK1099" s="15">
        <v>179980.0</v>
      </c>
      <c r="AL1099" s="15">
        <v>146190.0</v>
      </c>
      <c r="AM1099" s="15">
        <v>112160.0</v>
      </c>
      <c r="AN1099" s="15">
        <v>117700.0</v>
      </c>
      <c r="AO1099" s="15">
        <v>88020.0</v>
      </c>
      <c r="AP1099" s="15">
        <v>33150.0</v>
      </c>
      <c r="AQ1099" s="15">
        <v>21500.0</v>
      </c>
      <c r="AR1099" s="15">
        <v>18520.0</v>
      </c>
      <c r="AS1099" s="15">
        <v>204310.0</v>
      </c>
      <c r="AT1099" s="15">
        <v>184400.0</v>
      </c>
      <c r="AU1099" s="15">
        <v>131020.0</v>
      </c>
      <c r="AV1099" s="15">
        <v>108820.0</v>
      </c>
      <c r="AW1099" s="15">
        <v>81660.0</v>
      </c>
      <c r="AX1099" s="15">
        <v>-58190.0</v>
      </c>
      <c r="AY1099" s="15">
        <v>-86610.0</v>
      </c>
      <c r="AZ1099" s="15">
        <v>-37720.0</v>
      </c>
      <c r="BA1099" s="15">
        <v>-15380.0</v>
      </c>
      <c r="BB1099" s="15">
        <v>-19490.0</v>
      </c>
      <c r="BC1099" s="15">
        <v>-7680.0</v>
      </c>
      <c r="BD1099" s="15">
        <v>-9260.0</v>
      </c>
      <c r="BE1099" s="15">
        <v>-13330.0</v>
      </c>
      <c r="BF1099" s="15">
        <v>-302850.0</v>
      </c>
      <c r="BG1099" s="15">
        <v>-176490.0</v>
      </c>
      <c r="BH1099" s="15">
        <v>478800.0</v>
      </c>
      <c r="BI1099" s="15">
        <v>320140.0</v>
      </c>
      <c r="BJ1099" s="15">
        <v>113580.0</v>
      </c>
      <c r="BK1099" s="15">
        <v>43470.0</v>
      </c>
      <c r="BL1099" s="15">
        <v>33390.0</v>
      </c>
      <c r="BM1099" s="15">
        <v>52440.0</v>
      </c>
      <c r="BN1099" s="15">
        <v>58330.0</v>
      </c>
      <c r="BO1099" s="15">
        <v>56800.0</v>
      </c>
      <c r="BP1099" s="15">
        <v>42370.0</v>
      </c>
      <c r="BQ1099" s="15">
        <v>24020.0</v>
      </c>
      <c r="BR1099" s="15">
        <v>0.0</v>
      </c>
      <c r="BS1099" s="15">
        <v>5120.0</v>
      </c>
      <c r="BT1099" s="15">
        <v>2690.0</v>
      </c>
      <c r="BU1099" s="15">
        <v>1800.0</v>
      </c>
      <c r="BV1099" s="15">
        <v>4560.0</v>
      </c>
      <c r="BW1099" s="15">
        <v>540140.0</v>
      </c>
      <c r="BX1099" s="15">
        <v>388540.0</v>
      </c>
      <c r="BY1099" s="15">
        <v>177000.0</v>
      </c>
      <c r="BZ1099" s="15">
        <v>91230.0</v>
      </c>
      <c r="CA1099" s="15">
        <v>72950.0</v>
      </c>
      <c r="CB1099" s="15">
        <v>301110.0</v>
      </c>
      <c r="CC1099" s="15">
        <v>114370.0</v>
      </c>
      <c r="CD1099" s="15">
        <v>83330.0</v>
      </c>
      <c r="CE1099" s="15">
        <v>61240.0</v>
      </c>
      <c r="CF1099" s="15">
        <v>56140.0</v>
      </c>
      <c r="CG1099" s="15">
        <v>227820.0</v>
      </c>
      <c r="CH1099" s="15">
        <v>199510.0</v>
      </c>
      <c r="CI1099" s="15">
        <v>176980.0</v>
      </c>
      <c r="CJ1099" s="15">
        <v>176980.0</v>
      </c>
      <c r="CK1099" s="15">
        <v>176980.0</v>
      </c>
      <c r="CL1099" s="15">
        <v>1720000.0</v>
      </c>
      <c r="CM1099" s="15">
        <v>1350000.0</v>
      </c>
      <c r="CN1099" s="15">
        <v>1090000.0</v>
      </c>
      <c r="CO1099" s="15">
        <v>1000000.0</v>
      </c>
      <c r="CP1099" s="15">
        <v>700470.0</v>
      </c>
      <c r="CQ1099" s="15">
        <v>21270.0</v>
      </c>
      <c r="CR1099" s="15">
        <v>30430.0</v>
      </c>
      <c r="CS1099" s="15">
        <v>28650.0</v>
      </c>
      <c r="CT1099" s="15">
        <v>28510.0</v>
      </c>
      <c r="CU1099" s="15">
        <v>23950.0</v>
      </c>
      <c r="CV1099" s="15">
        <v>145480.0</v>
      </c>
      <c r="CW1099" s="15">
        <v>16760.0</v>
      </c>
      <c r="CX1099" s="16">
        <v>0.0</v>
      </c>
      <c r="CY1099" s="16">
        <v>0.0</v>
      </c>
      <c r="CZ1099" s="16">
        <v>0.0</v>
      </c>
      <c r="DA1099" s="15">
        <v>0.0</v>
      </c>
      <c r="DB1099" s="15">
        <v>145480.0</v>
      </c>
      <c r="DC1099" s="15">
        <v>131400.0</v>
      </c>
      <c r="DD1099" s="15">
        <v>112030.0</v>
      </c>
      <c r="DE1099" s="15">
        <v>83270.0</v>
      </c>
      <c r="DF1099" s="15">
        <v>2420000.0</v>
      </c>
      <c r="DG1099" s="15">
        <v>1740000.0</v>
      </c>
      <c r="DH1099" s="15">
        <v>1230000.0</v>
      </c>
      <c r="DI1099" s="15">
        <v>1220000.0</v>
      </c>
      <c r="DJ1099" s="15">
        <v>701550.0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1840000.0</v>
      </c>
      <c r="DQ1099" s="15">
        <v>1160000.0</v>
      </c>
      <c r="DR1099" s="15">
        <v>696580.0</v>
      </c>
      <c r="DS1099" s="15">
        <v>702000.0</v>
      </c>
      <c r="DT1099" s="15">
        <v>479780.0</v>
      </c>
      <c r="DU1099" s="16">
        <v>0.0</v>
      </c>
      <c r="DV1099" s="15">
        <v>0.0</v>
      </c>
      <c r="DW1099" s="15">
        <v>0.0</v>
      </c>
      <c r="DX1099" s="16">
        <v>0.0</v>
      </c>
      <c r="DY1099" s="16">
        <v>0.0</v>
      </c>
      <c r="DZ1099" s="15">
        <v>-706460.0</v>
      </c>
      <c r="EA1099" s="15">
        <v>-374570.0</v>
      </c>
      <c r="EB1099" s="15">
        <v>-119490.0</v>
      </c>
      <c r="EC1099" s="15">
        <v>-130760.0</v>
      </c>
      <c r="ED1099" s="15">
        <v>-15380.0</v>
      </c>
      <c r="EE1099" s="17">
        <v>0.309</v>
      </c>
      <c r="EF1099" s="17">
        <v>0.187</v>
      </c>
      <c r="EG1099" s="17">
        <v>-0.529</v>
      </c>
      <c r="EH1099" s="17">
        <v>-0.09</v>
      </c>
    </row>
    <row r="1100">
      <c r="A1100" s="9">
        <f t="shared" si="2"/>
        <v>1098</v>
      </c>
      <c r="B1100" s="10" t="s">
        <v>1235</v>
      </c>
      <c r="C1100" s="11">
        <v>531930.0</v>
      </c>
      <c r="D1100" s="11">
        <v>470330.0</v>
      </c>
      <c r="E1100" s="11">
        <v>571710.0</v>
      </c>
      <c r="F1100" s="11">
        <v>524070.0</v>
      </c>
      <c r="G1100" s="11">
        <v>474930.0</v>
      </c>
      <c r="H1100" s="11">
        <v>416270.0</v>
      </c>
      <c r="I1100" s="11">
        <v>400410.0</v>
      </c>
      <c r="J1100" s="11">
        <v>157860.0</v>
      </c>
      <c r="K1100" s="11">
        <v>143420.0</v>
      </c>
      <c r="L1100" s="11">
        <v>131690.0</v>
      </c>
      <c r="M1100" s="11">
        <v>123380.0</v>
      </c>
      <c r="N1100" s="11">
        <v>125500.0</v>
      </c>
      <c r="O1100" s="11">
        <v>71710.0</v>
      </c>
      <c r="P1100" s="11">
        <v>70860.0</v>
      </c>
      <c r="Q1100" s="11">
        <v>62660.0</v>
      </c>
      <c r="R1100" s="11">
        <v>50840.0</v>
      </c>
      <c r="S1100" s="11">
        <v>48150.0</v>
      </c>
      <c r="T1100" s="11"/>
      <c r="U1100" s="11"/>
      <c r="V1100" s="11"/>
      <c r="W1100" s="11"/>
      <c r="X1100" s="11"/>
      <c r="Y1100" s="11">
        <v>80160.0</v>
      </c>
      <c r="Z1100" s="11">
        <v>73460.0</v>
      </c>
      <c r="AA1100" s="11">
        <v>3060.0</v>
      </c>
      <c r="AB1100" s="11">
        <v>6630.0</v>
      </c>
      <c r="AC1100" s="12"/>
      <c r="AD1100" s="11">
        <v>62620.0</v>
      </c>
      <c r="AE1100" s="11">
        <v>55760.0</v>
      </c>
      <c r="AF1100" s="11">
        <v>52920.0</v>
      </c>
      <c r="AG1100" s="11">
        <v>63700.0</v>
      </c>
      <c r="AH1100" s="11">
        <v>66260.0</v>
      </c>
      <c r="AI1100" s="11">
        <v>105370.0</v>
      </c>
      <c r="AJ1100" s="11">
        <v>91650.0</v>
      </c>
      <c r="AK1100" s="11">
        <v>87610.0</v>
      </c>
      <c r="AL1100" s="11">
        <v>89280.0</v>
      </c>
      <c r="AM1100" s="11">
        <v>89630.0</v>
      </c>
      <c r="AN1100" s="11">
        <v>48530.0</v>
      </c>
      <c r="AO1100" s="11">
        <v>43320.0</v>
      </c>
      <c r="AP1100" s="11">
        <v>54610.0</v>
      </c>
      <c r="AQ1100" s="11">
        <v>38470.0</v>
      </c>
      <c r="AR1100" s="11">
        <v>43570.0</v>
      </c>
      <c r="AS1100" s="11">
        <v>77300.0</v>
      </c>
      <c r="AT1100" s="11">
        <v>58180.0</v>
      </c>
      <c r="AU1100" s="11">
        <v>64750.0</v>
      </c>
      <c r="AV1100" s="11">
        <v>69920.0</v>
      </c>
      <c r="AW1100" s="11">
        <v>56470.0</v>
      </c>
      <c r="AX1100" s="11">
        <v>-11530.0</v>
      </c>
      <c r="AY1100" s="11">
        <v>-9690.0</v>
      </c>
      <c r="AZ1100" s="11">
        <v>-7560.0</v>
      </c>
      <c r="BA1100" s="11">
        <v>-9830.0</v>
      </c>
      <c r="BB1100" s="11">
        <v>-10010.0</v>
      </c>
      <c r="BC1100" s="24">
        <v>-25180.0</v>
      </c>
      <c r="BD1100" s="24">
        <v>-24380.0</v>
      </c>
      <c r="BE1100" s="24">
        <v>-21970.0</v>
      </c>
      <c r="BF1100" s="24">
        <v>-21450.0</v>
      </c>
      <c r="BG1100" s="24">
        <v>-20170.0</v>
      </c>
      <c r="BH1100" s="11">
        <v>35670.0</v>
      </c>
      <c r="BI1100" s="11">
        <v>27820.0</v>
      </c>
      <c r="BJ1100" s="11">
        <v>36880.0</v>
      </c>
      <c r="BK1100" s="11">
        <v>18610.0</v>
      </c>
      <c r="BL1100" s="11">
        <v>36840.0</v>
      </c>
      <c r="BM1100" s="11">
        <v>87870.0</v>
      </c>
      <c r="BN1100" s="11">
        <v>81490.0</v>
      </c>
      <c r="BO1100" s="11">
        <v>79120.0</v>
      </c>
      <c r="BP1100" s="11">
        <v>80130.0</v>
      </c>
      <c r="BQ1100" s="11">
        <v>72560.0</v>
      </c>
      <c r="BR1100" s="11">
        <v>84480.0</v>
      </c>
      <c r="BS1100" s="11">
        <v>86200.0</v>
      </c>
      <c r="BT1100" s="11">
        <v>79240.0</v>
      </c>
      <c r="BU1100" s="11">
        <v>74810.0</v>
      </c>
      <c r="BV1100" s="11">
        <v>51580.0</v>
      </c>
      <c r="BW1100" s="11">
        <v>211530.0</v>
      </c>
      <c r="BX1100" s="11">
        <v>199100.0</v>
      </c>
      <c r="BY1100" s="11">
        <v>198110.0</v>
      </c>
      <c r="BZ1100" s="11">
        <v>176440.0</v>
      </c>
      <c r="CA1100" s="11">
        <v>169240.0</v>
      </c>
      <c r="CB1100" s="11">
        <v>81000.0</v>
      </c>
      <c r="CC1100" s="11">
        <v>55200.0</v>
      </c>
      <c r="CD1100" s="11">
        <v>53960.0</v>
      </c>
      <c r="CE1100" s="11">
        <v>52140.0</v>
      </c>
      <c r="CF1100" s="11">
        <v>42640.0</v>
      </c>
      <c r="CG1100" s="11">
        <v>241010.0</v>
      </c>
      <c r="CH1100" s="11">
        <v>241010.0</v>
      </c>
      <c r="CI1100" s="11">
        <v>241010.0</v>
      </c>
      <c r="CJ1100" s="11">
        <v>238290.0</v>
      </c>
      <c r="CK1100" s="11">
        <v>160930.0</v>
      </c>
      <c r="CL1100" s="11">
        <v>726400.0</v>
      </c>
      <c r="CM1100" s="11">
        <v>676190.0</v>
      </c>
      <c r="CN1100" s="11">
        <v>685180.0</v>
      </c>
      <c r="CO1100" s="11">
        <v>666170.0</v>
      </c>
      <c r="CP1100" s="11">
        <v>503170.0</v>
      </c>
      <c r="CQ1100" s="11">
        <v>16110.0</v>
      </c>
      <c r="CR1100" s="11">
        <v>18700.0</v>
      </c>
      <c r="CS1100" s="11">
        <v>16320.0</v>
      </c>
      <c r="CT1100" s="11">
        <v>17300.0</v>
      </c>
      <c r="CU1100" s="11">
        <v>14560.0</v>
      </c>
      <c r="CV1100" s="11">
        <v>78100.0</v>
      </c>
      <c r="CW1100" s="11">
        <v>10360.0</v>
      </c>
      <c r="CX1100" s="24">
        <v>4200.0</v>
      </c>
      <c r="CY1100" s="11">
        <v>7710.0</v>
      </c>
      <c r="CZ1100" s="11">
        <v>3940.0</v>
      </c>
      <c r="DA1100" s="12"/>
      <c r="DB1100" s="11">
        <v>78100.0</v>
      </c>
      <c r="DC1100" s="11">
        <v>79070.0</v>
      </c>
      <c r="DD1100" s="11">
        <v>80780.0</v>
      </c>
      <c r="DE1100" s="11">
        <v>51390.0</v>
      </c>
      <c r="DF1100" s="11">
        <v>413240.0</v>
      </c>
      <c r="DG1100" s="11">
        <v>393440.0</v>
      </c>
      <c r="DH1100" s="11">
        <v>428500.0</v>
      </c>
      <c r="DI1100" s="11">
        <v>445710.0</v>
      </c>
      <c r="DJ1100" s="11">
        <v>302670.0</v>
      </c>
      <c r="DK1100" s="12"/>
      <c r="DL1100" s="11"/>
      <c r="DM1100" s="11"/>
      <c r="DN1100" s="11"/>
      <c r="DO1100" s="11"/>
      <c r="DP1100" s="11">
        <v>241060.0</v>
      </c>
      <c r="DQ1100" s="11">
        <v>242950.0</v>
      </c>
      <c r="DR1100" s="11">
        <v>274870.0</v>
      </c>
      <c r="DS1100" s="11">
        <v>306730.0</v>
      </c>
      <c r="DT1100" s="11">
        <v>182510.0</v>
      </c>
      <c r="DU1100" s="13"/>
      <c r="DV1100" s="12"/>
      <c r="DW1100" s="12"/>
      <c r="DX1100" s="13"/>
      <c r="DY1100" s="13"/>
      <c r="DZ1100" s="11">
        <v>313160.0</v>
      </c>
      <c r="EA1100" s="11">
        <v>282760.0</v>
      </c>
      <c r="EB1100" s="11">
        <v>256680.0</v>
      </c>
      <c r="EC1100" s="11">
        <v>220460.0</v>
      </c>
      <c r="ED1100" s="11">
        <v>200500.0</v>
      </c>
      <c r="EE1100" s="23">
        <v>0.066740374</v>
      </c>
      <c r="EF1100" s="23">
        <v>0.044178745</v>
      </c>
      <c r="EG1100" s="14">
        <v>-2.778</v>
      </c>
      <c r="EH1100" s="23">
        <v>-0.601</v>
      </c>
    </row>
    <row r="1101">
      <c r="A1101" s="9">
        <f t="shared" si="2"/>
        <v>1099</v>
      </c>
      <c r="B1101" s="22" t="s">
        <v>1236</v>
      </c>
      <c r="C1101" s="11">
        <v>1330.0</v>
      </c>
      <c r="D1101" s="11">
        <v>36400.0</v>
      </c>
      <c r="E1101" s="11">
        <v>57050.0</v>
      </c>
      <c r="F1101" s="12"/>
      <c r="G1101" s="12"/>
      <c r="H1101" s="12"/>
      <c r="I1101" s="12"/>
      <c r="J1101" s="12"/>
      <c r="K1101" s="11">
        <v>-666.0</v>
      </c>
      <c r="L1101" s="12"/>
      <c r="M1101" s="12"/>
      <c r="N1101" s="12"/>
      <c r="O1101" s="11">
        <v>57170.0</v>
      </c>
      <c r="P1101" s="11">
        <v>30250.0</v>
      </c>
      <c r="Q1101" s="12"/>
      <c r="R1101" s="12"/>
      <c r="S1101" s="12"/>
      <c r="T1101" s="11">
        <v>47350.0</v>
      </c>
      <c r="U1101" s="11">
        <v>24420.0</v>
      </c>
      <c r="V1101" s="12"/>
      <c r="W1101" s="12"/>
      <c r="X1101" s="12"/>
      <c r="Y1101" s="12"/>
      <c r="Z1101" s="12"/>
      <c r="AA1101" s="12"/>
      <c r="AB1101" s="12"/>
      <c r="AC1101" s="12"/>
      <c r="AD1101" s="11">
        <v>-631.0</v>
      </c>
      <c r="AE1101" s="11">
        <v>-30280.0</v>
      </c>
      <c r="AF1101" s="12"/>
      <c r="AG1101" s="12"/>
      <c r="AH1101" s="12"/>
      <c r="AI1101" s="11">
        <v>-118.0</v>
      </c>
      <c r="AJ1101" s="11">
        <v>-30250.0</v>
      </c>
      <c r="AK1101" s="12"/>
      <c r="AL1101" s="12"/>
      <c r="AM1101" s="12"/>
      <c r="AN1101" s="11">
        <v>-631.0</v>
      </c>
      <c r="AO1101" s="11">
        <v>-30280.0</v>
      </c>
      <c r="AP1101" s="12"/>
      <c r="AQ1101" s="12"/>
      <c r="AR1101" s="12"/>
      <c r="AS1101" s="11">
        <v>-2750.0</v>
      </c>
      <c r="AT1101" s="11">
        <v>-28330.0</v>
      </c>
      <c r="AU1101" s="12"/>
      <c r="AV1101" s="12"/>
      <c r="AW1101" s="12"/>
      <c r="AX1101" s="11">
        <v>-964.0</v>
      </c>
      <c r="AY1101" s="11">
        <v>-2320.0</v>
      </c>
      <c r="AZ1101" s="12"/>
      <c r="BA1101" s="12"/>
      <c r="BB1101" s="12"/>
      <c r="BC1101" s="12"/>
      <c r="BD1101" s="12"/>
      <c r="BE1101" s="12"/>
      <c r="BF1101" s="12"/>
      <c r="BG1101" s="12"/>
      <c r="BH1101" s="11">
        <v>102770.0</v>
      </c>
      <c r="BI1101" s="11">
        <v>60950.0</v>
      </c>
      <c r="BJ1101" s="12"/>
      <c r="BK1101" s="12"/>
      <c r="BL1101" s="12"/>
      <c r="BM1101" s="11">
        <v>7390.0</v>
      </c>
      <c r="BN1101" s="11">
        <v>500.0</v>
      </c>
      <c r="BO1101" s="12"/>
      <c r="BP1101" s="12"/>
      <c r="BQ1101" s="12"/>
      <c r="BR1101" s="12"/>
      <c r="BS1101" s="12"/>
      <c r="BT1101" s="12"/>
      <c r="BU1101" s="12"/>
      <c r="BV1101" s="12"/>
      <c r="BW1101" s="11">
        <v>111900.0</v>
      </c>
      <c r="BX1101" s="11">
        <v>61730.0</v>
      </c>
      <c r="BY1101" s="12"/>
      <c r="BZ1101" s="12"/>
      <c r="CA1101" s="12"/>
      <c r="CB1101" s="11">
        <v>4080.0</v>
      </c>
      <c r="CC1101" s="11">
        <v>4260.0</v>
      </c>
      <c r="CD1101" s="12"/>
      <c r="CE1101" s="12"/>
      <c r="CF1101" s="12"/>
      <c r="CG1101" s="12"/>
      <c r="CH1101" s="12"/>
      <c r="CI1101" s="12"/>
      <c r="CJ1101" s="12"/>
      <c r="CK1101" s="12"/>
      <c r="CL1101" s="11">
        <v>119060.0</v>
      </c>
      <c r="CM1101" s="11">
        <v>66530.0</v>
      </c>
      <c r="CN1101" s="12"/>
      <c r="CO1101" s="12"/>
      <c r="CP1101" s="12"/>
      <c r="CQ1101" s="11">
        <v>1250.0</v>
      </c>
      <c r="CR1101" s="11">
        <v>2580.0</v>
      </c>
      <c r="CS1101" s="12"/>
      <c r="CT1101" s="12"/>
      <c r="CU1101" s="12"/>
      <c r="CV1101" s="11">
        <v>8170.0</v>
      </c>
      <c r="CW1101" s="12"/>
      <c r="CX1101" s="12"/>
      <c r="CY1101" s="12"/>
      <c r="CZ1101" s="12"/>
      <c r="DA1101" s="13"/>
      <c r="DB1101" s="11">
        <v>8170.0</v>
      </c>
      <c r="DC1101" s="11">
        <v>5080.0</v>
      </c>
      <c r="DD1101" s="12"/>
      <c r="DE1101" s="12"/>
      <c r="DF1101" s="11">
        <v>9080.0</v>
      </c>
      <c r="DG1101" s="11">
        <v>5900.0</v>
      </c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1">
        <v>186280.0</v>
      </c>
      <c r="DV1101" s="11">
        <v>132100.0</v>
      </c>
      <c r="DW1101" s="12"/>
      <c r="DX1101" s="12"/>
      <c r="DY1101" s="12"/>
      <c r="DZ1101" s="11">
        <v>109980.0</v>
      </c>
      <c r="EA1101" s="11">
        <v>60630.0</v>
      </c>
      <c r="EB1101" s="12"/>
      <c r="EC1101" s="12"/>
      <c r="ED1101" s="12"/>
      <c r="EE1101" s="14">
        <v>0.412</v>
      </c>
      <c r="EF1101" s="23"/>
      <c r="EG1101" s="14">
        <v>-0.805</v>
      </c>
      <c r="EH1101" s="23"/>
    </row>
    <row r="1102">
      <c r="A1102" s="9">
        <f t="shared" si="2"/>
        <v>1100</v>
      </c>
      <c r="B1102" s="10" t="s">
        <v>1237</v>
      </c>
      <c r="C1102" s="15">
        <v>518120.0</v>
      </c>
      <c r="D1102" s="15">
        <v>275470.0</v>
      </c>
      <c r="E1102" s="15">
        <v>636480.0</v>
      </c>
      <c r="F1102" s="15">
        <v>617010.0</v>
      </c>
      <c r="G1102" s="15">
        <v>559550.0</v>
      </c>
      <c r="H1102" s="15">
        <v>521490.0</v>
      </c>
      <c r="I1102" s="15">
        <v>408350.0</v>
      </c>
      <c r="J1102" s="15">
        <v>159120.0</v>
      </c>
      <c r="K1102" s="15">
        <v>202680.0</v>
      </c>
      <c r="L1102" s="15">
        <v>196370.0</v>
      </c>
      <c r="M1102" s="15">
        <v>181630.0</v>
      </c>
      <c r="N1102" s="15">
        <v>115170.0</v>
      </c>
      <c r="O1102" s="15">
        <v>125790.0</v>
      </c>
      <c r="P1102" s="15">
        <v>115980.0</v>
      </c>
      <c r="Q1102" s="15">
        <v>108180.0</v>
      </c>
      <c r="R1102" s="15">
        <v>97340.0</v>
      </c>
      <c r="S1102" s="15">
        <v>70460.0</v>
      </c>
      <c r="T1102" s="15">
        <v>0.0</v>
      </c>
      <c r="U1102" s="15">
        <v>0.0</v>
      </c>
      <c r="V1102" s="15">
        <v>0.0</v>
      </c>
      <c r="W1102" s="15">
        <v>0.0</v>
      </c>
      <c r="X1102" s="15">
        <v>0.0</v>
      </c>
      <c r="Y1102" s="15">
        <v>29880.0</v>
      </c>
      <c r="Z1102" s="15">
        <v>90920.0</v>
      </c>
      <c r="AA1102" s="15">
        <v>-24640.0</v>
      </c>
      <c r="AB1102" s="15">
        <v>0.0</v>
      </c>
      <c r="AC1102" s="15">
        <v>72360.0</v>
      </c>
      <c r="AD1102" s="15">
        <v>-21580.0</v>
      </c>
      <c r="AE1102" s="15">
        <v>31180.0</v>
      </c>
      <c r="AF1102" s="15">
        <v>8810.0</v>
      </c>
      <c r="AG1102" s="15">
        <v>24450.0</v>
      </c>
      <c r="AH1102" s="15">
        <v>7960.0</v>
      </c>
      <c r="AI1102" s="15">
        <v>135230.0</v>
      </c>
      <c r="AJ1102" s="15">
        <v>159980.0</v>
      </c>
      <c r="AK1102" s="15">
        <v>141320.0</v>
      </c>
      <c r="AL1102" s="15">
        <v>137030.0</v>
      </c>
      <c r="AM1102" s="15">
        <v>90800.0</v>
      </c>
      <c r="AN1102" s="15">
        <v>-4360.0</v>
      </c>
      <c r="AO1102" s="15">
        <v>18980.0</v>
      </c>
      <c r="AP1102" s="15">
        <v>0.0</v>
      </c>
      <c r="AQ1102" s="15">
        <v>20220.0</v>
      </c>
      <c r="AR1102" s="15">
        <v>9710.0</v>
      </c>
      <c r="AS1102" s="15">
        <v>72190.0</v>
      </c>
      <c r="AT1102" s="15">
        <v>114430.0</v>
      </c>
      <c r="AU1102" s="15">
        <v>64190.0</v>
      </c>
      <c r="AV1102" s="15">
        <v>76180.0</v>
      </c>
      <c r="AW1102" s="15">
        <v>30800.0</v>
      </c>
      <c r="AX1102" s="15">
        <v>-212540.0</v>
      </c>
      <c r="AY1102" s="15">
        <v>-113680.0</v>
      </c>
      <c r="AZ1102" s="15">
        <v>-107230.0</v>
      </c>
      <c r="BA1102" s="15">
        <v>-19620.0</v>
      </c>
      <c r="BB1102" s="15">
        <v>-120110.0</v>
      </c>
      <c r="BC1102" s="16">
        <v>0.0</v>
      </c>
      <c r="BD1102" s="16">
        <v>0.0</v>
      </c>
      <c r="BE1102" s="16">
        <v>0.0</v>
      </c>
      <c r="BF1102" s="15">
        <v>-14490.0</v>
      </c>
      <c r="BG1102" s="16">
        <v>0.0</v>
      </c>
      <c r="BH1102" s="15">
        <v>20930.0</v>
      </c>
      <c r="BI1102" s="15">
        <v>116350.0</v>
      </c>
      <c r="BJ1102" s="15">
        <v>117230.0</v>
      </c>
      <c r="BK1102" s="15">
        <v>43160.0</v>
      </c>
      <c r="BL1102" s="15">
        <v>41840.0</v>
      </c>
      <c r="BM1102" s="15">
        <v>79350.0</v>
      </c>
      <c r="BN1102" s="15">
        <v>73900.0</v>
      </c>
      <c r="BO1102" s="15">
        <v>55720.0</v>
      </c>
      <c r="BP1102" s="15">
        <v>51410.0</v>
      </c>
      <c r="BQ1102" s="15">
        <v>46810.0</v>
      </c>
      <c r="BR1102" s="15">
        <v>24510.0</v>
      </c>
      <c r="BS1102" s="15">
        <v>24840.0</v>
      </c>
      <c r="BT1102" s="15">
        <v>17820.0</v>
      </c>
      <c r="BU1102" s="15">
        <v>16220.0</v>
      </c>
      <c r="BV1102" s="15">
        <v>16120.0</v>
      </c>
      <c r="BW1102" s="15">
        <v>148360.0</v>
      </c>
      <c r="BX1102" s="15">
        <v>235560.0</v>
      </c>
      <c r="BY1102" s="15">
        <v>216620.0</v>
      </c>
      <c r="BZ1102" s="15">
        <v>128900.0</v>
      </c>
      <c r="CA1102" s="15">
        <v>144230.0</v>
      </c>
      <c r="CB1102" s="15">
        <v>1940000.0</v>
      </c>
      <c r="CC1102" s="15">
        <v>1810000.0</v>
      </c>
      <c r="CD1102" s="15">
        <v>1470000.0</v>
      </c>
      <c r="CE1102" s="15">
        <v>1400000.0</v>
      </c>
      <c r="CF1102" s="15">
        <v>1430000.0</v>
      </c>
      <c r="CG1102" s="15">
        <v>78340.0</v>
      </c>
      <c r="CH1102" s="15">
        <v>83660.0</v>
      </c>
      <c r="CI1102" s="15">
        <v>51730.0</v>
      </c>
      <c r="CJ1102" s="15">
        <v>51730.0</v>
      </c>
      <c r="CK1102" s="15">
        <v>51730.0</v>
      </c>
      <c r="CL1102" s="15">
        <v>2200000.0</v>
      </c>
      <c r="CM1102" s="15">
        <v>2140000.0</v>
      </c>
      <c r="CN1102" s="15">
        <v>1740000.0</v>
      </c>
      <c r="CO1102" s="15">
        <v>1590000.0</v>
      </c>
      <c r="CP1102" s="15">
        <v>1640000.0</v>
      </c>
      <c r="CQ1102" s="15">
        <v>45300.0</v>
      </c>
      <c r="CR1102" s="15">
        <v>24450.0</v>
      </c>
      <c r="CS1102" s="15">
        <v>18160.0</v>
      </c>
      <c r="CT1102" s="15">
        <v>29410.0</v>
      </c>
      <c r="CU1102" s="15">
        <v>32230.0</v>
      </c>
      <c r="CV1102" s="15">
        <v>263570.0</v>
      </c>
      <c r="CW1102" s="15">
        <v>0.0</v>
      </c>
      <c r="CX1102" s="15">
        <v>0.0</v>
      </c>
      <c r="CY1102" s="15">
        <v>0.0</v>
      </c>
      <c r="CZ1102" s="16">
        <v>0.0</v>
      </c>
      <c r="DA1102" s="15">
        <v>0.0</v>
      </c>
      <c r="DB1102" s="15">
        <v>263570.0</v>
      </c>
      <c r="DC1102" s="15">
        <v>165820.0</v>
      </c>
      <c r="DD1102" s="15">
        <v>143580.0</v>
      </c>
      <c r="DE1102" s="15">
        <v>158350.0</v>
      </c>
      <c r="DF1102" s="15">
        <v>1390000.0</v>
      </c>
      <c r="DG1102" s="15">
        <v>1300000.0</v>
      </c>
      <c r="DH1102" s="15">
        <v>1140000.0</v>
      </c>
      <c r="DI1102" s="15">
        <v>1070000.0</v>
      </c>
      <c r="DJ1102" s="15">
        <v>1100000.0</v>
      </c>
      <c r="DK1102" s="15">
        <v>0.0</v>
      </c>
      <c r="DL1102" s="15">
        <v>0.0</v>
      </c>
      <c r="DM1102" s="15">
        <v>0.0</v>
      </c>
      <c r="DN1102" s="15">
        <v>1390.0</v>
      </c>
      <c r="DO1102" s="15">
        <v>0.0</v>
      </c>
      <c r="DP1102" s="15">
        <v>975780.0</v>
      </c>
      <c r="DQ1102" s="15">
        <v>989390.0</v>
      </c>
      <c r="DR1102" s="15">
        <v>898220.0</v>
      </c>
      <c r="DS1102" s="15">
        <v>828320.0</v>
      </c>
      <c r="DT1102" s="15">
        <v>828440.0</v>
      </c>
      <c r="DU1102" s="16">
        <v>0.0</v>
      </c>
      <c r="DV1102" s="15">
        <v>0.0</v>
      </c>
      <c r="DW1102" s="15">
        <v>0.0</v>
      </c>
      <c r="DX1102" s="15">
        <v>345950.0</v>
      </c>
      <c r="DY1102" s="15">
        <v>352280.0</v>
      </c>
      <c r="DZ1102" s="15">
        <v>809650.0</v>
      </c>
      <c r="EA1102" s="15">
        <v>839840.0</v>
      </c>
      <c r="EB1102" s="15">
        <v>599550.0</v>
      </c>
      <c r="EC1102" s="15">
        <v>516550.0</v>
      </c>
      <c r="ED1102" s="15">
        <v>545990.0</v>
      </c>
      <c r="EE1102" s="17">
        <v>0.439</v>
      </c>
      <c r="EF1102" s="17">
        <v>0.296</v>
      </c>
      <c r="EG1102" s="17">
        <v>-0.714</v>
      </c>
      <c r="EH1102" s="17">
        <v>0.289</v>
      </c>
    </row>
    <row r="1103">
      <c r="A1103" s="9">
        <f t="shared" si="2"/>
        <v>1101</v>
      </c>
      <c r="B1103" s="25" t="s">
        <v>1238</v>
      </c>
      <c r="C1103" s="15">
        <v>3.059E7</v>
      </c>
      <c r="D1103" s="15">
        <v>2.847E7</v>
      </c>
      <c r="E1103" s="15">
        <v>2.978E7</v>
      </c>
      <c r="F1103" s="15">
        <v>2.961E7</v>
      </c>
      <c r="G1103" s="15">
        <v>2.869E7</v>
      </c>
      <c r="H1103" s="15">
        <v>2.672E7</v>
      </c>
      <c r="I1103" s="15">
        <v>2.665E7</v>
      </c>
      <c r="J1103" s="15">
        <v>1.92E7</v>
      </c>
      <c r="K1103" s="15">
        <v>1.877E7</v>
      </c>
      <c r="L1103" s="15">
        <v>1.817E7</v>
      </c>
      <c r="M1103" s="15">
        <v>1.725E7</v>
      </c>
      <c r="N1103" s="15">
        <v>1.728E7</v>
      </c>
      <c r="O1103" s="15">
        <v>7320000.0</v>
      </c>
      <c r="P1103" s="15">
        <v>7390000.0</v>
      </c>
      <c r="Q1103" s="15">
        <v>6590000.0</v>
      </c>
      <c r="R1103" s="15">
        <v>6120000.0</v>
      </c>
      <c r="S1103" s="15">
        <v>6560000.0</v>
      </c>
      <c r="T1103" s="15">
        <v>465000.0</v>
      </c>
      <c r="U1103" s="15">
        <v>383000.0</v>
      </c>
      <c r="V1103" s="15">
        <v>453000.0</v>
      </c>
      <c r="W1103" s="15">
        <v>429000.0</v>
      </c>
      <c r="X1103" s="15">
        <v>423000.0</v>
      </c>
      <c r="Y1103" s="15">
        <v>1.093E7</v>
      </c>
      <c r="Z1103" s="15">
        <v>1.144E7</v>
      </c>
      <c r="AA1103" s="15">
        <v>-60000.0</v>
      </c>
      <c r="AB1103" s="15">
        <v>1.109E7</v>
      </c>
      <c r="AC1103" s="15">
        <v>1.058E7</v>
      </c>
      <c r="AD1103" s="15">
        <v>9870000.0</v>
      </c>
      <c r="AE1103" s="15">
        <v>1.067E7</v>
      </c>
      <c r="AF1103" s="15">
        <v>1.059E7</v>
      </c>
      <c r="AG1103" s="15">
        <v>9920000.0</v>
      </c>
      <c r="AH1103" s="15">
        <v>9620000.0</v>
      </c>
      <c r="AI1103" s="15">
        <v>1.285E7</v>
      </c>
      <c r="AJ1103" s="15">
        <v>1.236E7</v>
      </c>
      <c r="AK1103" s="15">
        <v>1.245E7</v>
      </c>
      <c r="AL1103" s="15">
        <v>1.187E7</v>
      </c>
      <c r="AM1103" s="15">
        <v>1.148E7</v>
      </c>
      <c r="AN1103" s="15">
        <v>7170000.0</v>
      </c>
      <c r="AO1103" s="15">
        <v>7900000.0</v>
      </c>
      <c r="AP1103" s="15">
        <v>6020000.0</v>
      </c>
      <c r="AQ1103" s="15">
        <v>6950000.0</v>
      </c>
      <c r="AR1103" s="15">
        <v>6850000.0</v>
      </c>
      <c r="AS1103" s="15">
        <v>1.009E7</v>
      </c>
      <c r="AT1103" s="15">
        <v>9480000.0</v>
      </c>
      <c r="AU1103" s="15">
        <v>8910000.0</v>
      </c>
      <c r="AV1103" s="15">
        <v>8080000.0</v>
      </c>
      <c r="AW1103" s="15">
        <v>7870000.0</v>
      </c>
      <c r="AX1103" s="15">
        <v>-852000.0</v>
      </c>
      <c r="AY1103" s="15">
        <v>-1440000.0</v>
      </c>
      <c r="AZ1103" s="15">
        <v>-1550000.0</v>
      </c>
      <c r="BA1103" s="15">
        <v>-1170000.0</v>
      </c>
      <c r="BB1103" s="15">
        <v>-960000.0</v>
      </c>
      <c r="BC1103" s="15">
        <v>-7160000.0</v>
      </c>
      <c r="BD1103" s="15">
        <v>-6890000.0</v>
      </c>
      <c r="BE1103" s="15">
        <v>-6520000.0</v>
      </c>
      <c r="BF1103" s="15">
        <v>-6380000.0</v>
      </c>
      <c r="BG1103" s="15">
        <v>-6250000.0</v>
      </c>
      <c r="BH1103" s="15">
        <v>6870000.0</v>
      </c>
      <c r="BI1103" s="15">
        <v>6590000.0</v>
      </c>
      <c r="BJ1103" s="15">
        <v>8450000.0</v>
      </c>
      <c r="BK1103" s="15">
        <v>4240000.0</v>
      </c>
      <c r="BL1103" s="15">
        <v>3420000.0</v>
      </c>
      <c r="BM1103" s="15">
        <v>3720000.0</v>
      </c>
      <c r="BN1103" s="15">
        <v>3560000.0</v>
      </c>
      <c r="BO1103" s="15">
        <v>3740000.0</v>
      </c>
      <c r="BP1103" s="15">
        <v>3500000.0</v>
      </c>
      <c r="BQ1103" s="15">
        <v>2780000.0</v>
      </c>
      <c r="BR1103" s="15">
        <v>9240000.0</v>
      </c>
      <c r="BS1103" s="15">
        <v>8800000.0</v>
      </c>
      <c r="BT1103" s="15">
        <v>8810000.0</v>
      </c>
      <c r="BU1103" s="15">
        <v>9020000.0</v>
      </c>
      <c r="BV1103" s="15">
        <v>8470000.0</v>
      </c>
      <c r="BW1103" s="15">
        <v>2.051E7</v>
      </c>
      <c r="BX1103" s="15">
        <v>1.944E7</v>
      </c>
      <c r="BY1103" s="15">
        <v>2.159E7</v>
      </c>
      <c r="BZ1103" s="15">
        <v>1.761E7</v>
      </c>
      <c r="CA1103" s="15">
        <v>1.58E7</v>
      </c>
      <c r="CB1103" s="15">
        <v>7400000.0</v>
      </c>
      <c r="CC1103" s="15">
        <v>7200000.0</v>
      </c>
      <c r="CD1103" s="15">
        <v>7270000.0</v>
      </c>
      <c r="CE1103" s="15">
        <v>6060000.0</v>
      </c>
      <c r="CF1103" s="15">
        <v>5720000.0</v>
      </c>
      <c r="CG1103" s="15">
        <v>5860000.0</v>
      </c>
      <c r="CH1103" s="15">
        <v>7190000.0</v>
      </c>
      <c r="CI1103" s="15">
        <v>7670000.0</v>
      </c>
      <c r="CJ1103" s="15">
        <v>7320000.0</v>
      </c>
      <c r="CK1103" s="15">
        <v>7420000.0</v>
      </c>
      <c r="CL1103" s="15">
        <v>4.288E7</v>
      </c>
      <c r="CM1103" s="15">
        <v>3.98E7</v>
      </c>
      <c r="CN1103" s="15">
        <v>4.297E7</v>
      </c>
      <c r="CO1103" s="15">
        <v>3.685E7</v>
      </c>
      <c r="CP1103" s="15">
        <v>3.396E7</v>
      </c>
      <c r="CQ1103" s="15">
        <v>2300000.0</v>
      </c>
      <c r="CR1103" s="15">
        <v>2070000.0</v>
      </c>
      <c r="CS1103" s="15">
        <v>2240000.0</v>
      </c>
      <c r="CT1103" s="15">
        <v>1670000.0</v>
      </c>
      <c r="CU1103" s="15">
        <v>1290000.0</v>
      </c>
      <c r="CV1103" s="15">
        <v>1.883E7</v>
      </c>
      <c r="CW1103" s="15">
        <v>532000.0</v>
      </c>
      <c r="CX1103" s="15">
        <v>730000.0</v>
      </c>
      <c r="CY1103" s="15">
        <v>499000.0</v>
      </c>
      <c r="CZ1103" s="15">
        <v>643000.0</v>
      </c>
      <c r="DA1103" s="15">
        <v>825000.0</v>
      </c>
      <c r="DB1103" s="15">
        <v>1.883E7</v>
      </c>
      <c r="DC1103" s="15">
        <v>1.719E7</v>
      </c>
      <c r="DD1103" s="15">
        <v>1.596E7</v>
      </c>
      <c r="DE1103" s="15">
        <v>1.647E7</v>
      </c>
      <c r="DF1103" s="15">
        <v>5.247E7</v>
      </c>
      <c r="DG1103" s="15">
        <v>5.054E7</v>
      </c>
      <c r="DH1103" s="15">
        <v>5.32E7</v>
      </c>
      <c r="DI1103" s="15">
        <v>4.775E7</v>
      </c>
      <c r="DJ1103" s="15">
        <v>4.543E7</v>
      </c>
      <c r="DK1103" s="15">
        <v>4640000.0</v>
      </c>
      <c r="DL1103" s="15">
        <v>1270000.0</v>
      </c>
      <c r="DM1103" s="15">
        <v>1070000.0</v>
      </c>
      <c r="DN1103" s="15">
        <v>1010000.0</v>
      </c>
      <c r="DO1103" s="15">
        <v>890000.0</v>
      </c>
      <c r="DP1103" s="15">
        <v>2.723E7</v>
      </c>
      <c r="DQ1103" s="15">
        <v>2.698E7</v>
      </c>
      <c r="DR1103" s="15">
        <v>3.133E7</v>
      </c>
      <c r="DS1103" s="15">
        <v>2.585E7</v>
      </c>
      <c r="DT1103" s="15">
        <v>2.525E7</v>
      </c>
      <c r="DU1103" s="13"/>
      <c r="DV1103" s="12"/>
      <c r="DW1103" s="12"/>
      <c r="DX1103" s="13"/>
      <c r="DY1103" s="15"/>
      <c r="DZ1103" s="15">
        <v>-1.158E7</v>
      </c>
      <c r="EA1103" s="15">
        <v>-1.246E7</v>
      </c>
      <c r="EB1103" s="15">
        <v>-1.209E7</v>
      </c>
      <c r="EC1103" s="15">
        <v>-1.269E7</v>
      </c>
      <c r="ED1103" s="15">
        <v>-1.324E7</v>
      </c>
      <c r="EE1103" s="17">
        <v>0.049</v>
      </c>
      <c r="EF1103" s="17">
        <v>0.09</v>
      </c>
      <c r="EG1103" s="17">
        <v>0.173</v>
      </c>
      <c r="EH1103" s="17">
        <v>0.078</v>
      </c>
    </row>
    <row r="1104">
      <c r="A1104" s="9">
        <f t="shared" si="2"/>
        <v>1102</v>
      </c>
      <c r="B1104" s="10" t="s">
        <v>1239</v>
      </c>
      <c r="C1104" s="12"/>
      <c r="D1104" s="12"/>
      <c r="E1104" s="15">
        <v>9670000.0</v>
      </c>
      <c r="F1104" s="15">
        <v>9380000.0</v>
      </c>
      <c r="G1104" s="15">
        <v>5290000.0</v>
      </c>
      <c r="H1104" s="15">
        <v>3510000.0</v>
      </c>
      <c r="I1104" s="15">
        <v>3140000.0</v>
      </c>
      <c r="J1104" s="15">
        <v>2250000.0</v>
      </c>
      <c r="K1104" s="15">
        <v>2650000.0</v>
      </c>
      <c r="L1104" s="15">
        <v>1160000.0</v>
      </c>
      <c r="M1104" s="15">
        <v>20000.0</v>
      </c>
      <c r="N1104" s="15">
        <v>-212000.0</v>
      </c>
      <c r="O1104" s="15">
        <v>324000.0</v>
      </c>
      <c r="P1104" s="15">
        <v>381000.0</v>
      </c>
      <c r="Q1104" s="15">
        <v>326000.0</v>
      </c>
      <c r="R1104" s="15">
        <v>325000.0</v>
      </c>
      <c r="S1104" s="15">
        <v>327000.0</v>
      </c>
      <c r="T1104" s="15">
        <v>0.0</v>
      </c>
      <c r="U1104" s="15">
        <v>0.0</v>
      </c>
      <c r="V1104" s="15">
        <v>0.0</v>
      </c>
      <c r="W1104" s="15">
        <v>0.0</v>
      </c>
      <c r="X1104" s="15">
        <v>0.0</v>
      </c>
      <c r="Y1104" s="15">
        <v>1560000.0</v>
      </c>
      <c r="Z1104" s="15">
        <v>1760000.0</v>
      </c>
      <c r="AA1104" s="15">
        <v>-453000.0</v>
      </c>
      <c r="AB1104" s="15">
        <v>-878000.0</v>
      </c>
      <c r="AC1104" s="15">
        <v>-1640000.0</v>
      </c>
      <c r="AD1104" s="15">
        <v>987000.0</v>
      </c>
      <c r="AE1104" s="15">
        <v>1250000.0</v>
      </c>
      <c r="AF1104" s="15">
        <v>309000.0</v>
      </c>
      <c r="AG1104" s="15">
        <v>-959000.0</v>
      </c>
      <c r="AH1104" s="15">
        <v>-421000.0</v>
      </c>
      <c r="AI1104" s="15">
        <v>3650000.0</v>
      </c>
      <c r="AJ1104" s="15">
        <v>3840000.0</v>
      </c>
      <c r="AK1104" s="15">
        <v>2260000.0</v>
      </c>
      <c r="AL1104" s="15">
        <v>1190000.0</v>
      </c>
      <c r="AM1104" s="15">
        <v>875000.0</v>
      </c>
      <c r="AN1104" s="15">
        <v>753000.0</v>
      </c>
      <c r="AO1104" s="15">
        <v>973000.0</v>
      </c>
      <c r="AP1104" s="15">
        <v>827000.0</v>
      </c>
      <c r="AQ1104" s="15">
        <v>-556000.0</v>
      </c>
      <c r="AR1104" s="15">
        <v>-266000.0</v>
      </c>
      <c r="AS1104" s="15">
        <v>3120000.0</v>
      </c>
      <c r="AT1104" s="15">
        <v>3230000.0</v>
      </c>
      <c r="AU1104" s="15">
        <v>2100000.0</v>
      </c>
      <c r="AV1104" s="15">
        <v>1520000.0</v>
      </c>
      <c r="AW1104" s="15">
        <v>1250000.0</v>
      </c>
      <c r="AX1104" s="15">
        <v>-3220000.0</v>
      </c>
      <c r="AY1104" s="15">
        <v>-3780000.0</v>
      </c>
      <c r="AZ1104" s="15">
        <v>-2710000.0</v>
      </c>
      <c r="BA1104" s="15">
        <v>-2060000.0</v>
      </c>
      <c r="BB1104" s="15">
        <v>-2390000.0</v>
      </c>
      <c r="BC1104" s="15">
        <v>-127000.0</v>
      </c>
      <c r="BD1104" s="15">
        <v>-55000.0</v>
      </c>
      <c r="BE1104" s="15">
        <v>-14000.0</v>
      </c>
      <c r="BF1104" s="15">
        <v>-13000.0</v>
      </c>
      <c r="BG1104" s="15">
        <v>-12000.0</v>
      </c>
      <c r="BH1104" s="15">
        <v>924000.0</v>
      </c>
      <c r="BI1104" s="15">
        <v>1490000.0</v>
      </c>
      <c r="BJ1104" s="15">
        <v>2120000.0</v>
      </c>
      <c r="BK1104" s="15">
        <v>2570000.0</v>
      </c>
      <c r="BL1104" s="15">
        <v>2090000.0</v>
      </c>
      <c r="BM1104" s="15">
        <v>1040000.0</v>
      </c>
      <c r="BN1104" s="15">
        <v>821000.0</v>
      </c>
      <c r="BO1104" s="15">
        <v>652000.0</v>
      </c>
      <c r="BP1104" s="15">
        <v>521000.0</v>
      </c>
      <c r="BQ1104" s="15">
        <v>926000.0</v>
      </c>
      <c r="BR1104" s="15">
        <v>205000.0</v>
      </c>
      <c r="BS1104" s="15">
        <v>242000.0</v>
      </c>
      <c r="BT1104" s="15">
        <v>212000.0</v>
      </c>
      <c r="BU1104" s="15">
        <v>181000.0</v>
      </c>
      <c r="BV1104" s="15">
        <v>155000.0</v>
      </c>
      <c r="BW1104" s="15">
        <v>2190000.0</v>
      </c>
      <c r="BX1104" s="15">
        <v>2580000.0</v>
      </c>
      <c r="BY1104" s="15">
        <v>3010000.0</v>
      </c>
      <c r="BZ1104" s="15">
        <v>3300000.0</v>
      </c>
      <c r="CA1104" s="15">
        <v>3190000.0</v>
      </c>
      <c r="CB1104" s="15">
        <v>1.636E7</v>
      </c>
      <c r="CC1104" s="15">
        <v>1.484E7</v>
      </c>
      <c r="CD1104" s="15">
        <v>1.353E7</v>
      </c>
      <c r="CE1104" s="15">
        <v>1.237E7</v>
      </c>
      <c r="CF1104" s="15">
        <v>1.155E7</v>
      </c>
      <c r="CG1104" s="15">
        <v>261000.0</v>
      </c>
      <c r="CH1104" s="15">
        <v>264000.0</v>
      </c>
      <c r="CI1104" s="15">
        <v>270000.0</v>
      </c>
      <c r="CJ1104" s="15">
        <v>272000.0</v>
      </c>
      <c r="CK1104" s="15">
        <v>272000.0</v>
      </c>
      <c r="CL1104" s="15">
        <v>2.06E7</v>
      </c>
      <c r="CM1104" s="15">
        <v>1.905E7</v>
      </c>
      <c r="CN1104" s="15">
        <v>1.787E7</v>
      </c>
      <c r="CO1104" s="15">
        <v>1.745E7</v>
      </c>
      <c r="CP1104" s="15">
        <v>1.587E7</v>
      </c>
      <c r="CQ1104" s="15">
        <v>1220000.0</v>
      </c>
      <c r="CR1104" s="15">
        <v>1440000.0</v>
      </c>
      <c r="CS1104" s="15">
        <v>1170000.0</v>
      </c>
      <c r="CT1104" s="15">
        <v>741000.0</v>
      </c>
      <c r="CU1104" s="15">
        <v>798000.0</v>
      </c>
      <c r="CV1104" s="15">
        <v>2500000.0</v>
      </c>
      <c r="CW1104" s="15">
        <v>136000.0</v>
      </c>
      <c r="CX1104" s="16">
        <v>0.0</v>
      </c>
      <c r="CY1104" s="16">
        <v>0.0</v>
      </c>
      <c r="CZ1104" s="16">
        <v>0.0</v>
      </c>
      <c r="DA1104" s="15">
        <v>0.0</v>
      </c>
      <c r="DB1104" s="15">
        <v>2500000.0</v>
      </c>
      <c r="DC1104" s="15">
        <v>1820000.0</v>
      </c>
      <c r="DD1104" s="15">
        <v>2130000.0</v>
      </c>
      <c r="DE1104" s="15">
        <v>1570000.0</v>
      </c>
      <c r="DF1104" s="15">
        <v>8480000.0</v>
      </c>
      <c r="DG1104" s="15">
        <v>6940000.0</v>
      </c>
      <c r="DH1104" s="15">
        <v>6590000.0</v>
      </c>
      <c r="DI1104" s="15">
        <v>7040000.0</v>
      </c>
      <c r="DJ1104" s="15">
        <v>7500000.0</v>
      </c>
      <c r="DK1104" s="15">
        <v>0.0</v>
      </c>
      <c r="DL1104" s="15">
        <v>125000.0</v>
      </c>
      <c r="DM1104" s="15">
        <v>66000.0</v>
      </c>
      <c r="DN1104" s="15">
        <v>420000.0</v>
      </c>
      <c r="DO1104" s="15">
        <v>64000.0</v>
      </c>
      <c r="DP1104" s="15">
        <v>2010000.0</v>
      </c>
      <c r="DQ1104" s="15">
        <v>2280000.0</v>
      </c>
      <c r="DR1104" s="15">
        <v>2280000.0</v>
      </c>
      <c r="DS1104" s="15">
        <v>2730000.0</v>
      </c>
      <c r="DT1104" s="15">
        <v>3210000.0</v>
      </c>
      <c r="DU1104" s="16">
        <v>0.0</v>
      </c>
      <c r="DV1104" s="15">
        <v>0.0</v>
      </c>
      <c r="DW1104" s="15">
        <v>0.0</v>
      </c>
      <c r="DX1104" s="16">
        <v>0.0</v>
      </c>
      <c r="DY1104" s="15">
        <v>0.0</v>
      </c>
      <c r="DZ1104" s="15">
        <v>1.212E7</v>
      </c>
      <c r="EA1104" s="15">
        <v>1.211E7</v>
      </c>
      <c r="EB1104" s="15">
        <v>1.127E7</v>
      </c>
      <c r="EC1104" s="15">
        <v>1.04E7</v>
      </c>
      <c r="ED1104" s="15">
        <v>8370000.0</v>
      </c>
      <c r="EE1104" s="23"/>
      <c r="EF1104" s="23"/>
      <c r="EG1104" s="23"/>
      <c r="EH1104" s="23"/>
    </row>
    <row r="1105">
      <c r="A1105" s="9">
        <f t="shared" si="2"/>
        <v>1103</v>
      </c>
      <c r="B1105" s="25" t="s">
        <v>1240</v>
      </c>
      <c r="C1105" s="15">
        <v>3690000.0</v>
      </c>
      <c r="D1105" s="15">
        <v>3050000.0</v>
      </c>
      <c r="E1105" s="15">
        <v>4.484E7</v>
      </c>
      <c r="F1105" s="15">
        <v>3.346E7</v>
      </c>
      <c r="G1105" s="15">
        <v>2.79E7</v>
      </c>
      <c r="H1105" s="15">
        <v>2.556E7</v>
      </c>
      <c r="I1105" s="15">
        <v>3.185E7</v>
      </c>
      <c r="J1105" s="15">
        <v>2.13E7</v>
      </c>
      <c r="K1105" s="15">
        <v>1.277E7</v>
      </c>
      <c r="L1105" s="15">
        <v>1.123E7</v>
      </c>
      <c r="M1105" s="15">
        <v>8030000.0</v>
      </c>
      <c r="N1105" s="15">
        <v>1.033E7</v>
      </c>
      <c r="O1105" s="15">
        <v>202340.0</v>
      </c>
      <c r="P1105" s="15">
        <v>393530.0</v>
      </c>
      <c r="Q1105" s="15">
        <v>285800.0</v>
      </c>
      <c r="R1105" s="15">
        <v>258790.0</v>
      </c>
      <c r="S1105" s="15">
        <v>362030.0</v>
      </c>
      <c r="T1105" s="12"/>
      <c r="U1105" s="12"/>
      <c r="V1105" s="12"/>
      <c r="W1105" s="12"/>
      <c r="X1105" s="12"/>
      <c r="Y1105" s="15">
        <v>1.879E7</v>
      </c>
      <c r="Z1105" s="15">
        <v>1.255E7</v>
      </c>
      <c r="AA1105" s="15">
        <v>1.22E7</v>
      </c>
      <c r="AB1105" s="12"/>
      <c r="AC1105" s="15">
        <v>1.028E7</v>
      </c>
      <c r="AD1105" s="15">
        <v>2.253E7</v>
      </c>
      <c r="AE1105" s="15">
        <v>1.39E7</v>
      </c>
      <c r="AF1105" s="15">
        <v>1.308E7</v>
      </c>
      <c r="AG1105" s="15">
        <v>8530000.0</v>
      </c>
      <c r="AH1105" s="15">
        <v>1.136E7</v>
      </c>
      <c r="AI1105" s="15">
        <v>2.647E7</v>
      </c>
      <c r="AJ1105" s="15">
        <v>1.759E7</v>
      </c>
      <c r="AK1105" s="15">
        <v>1.55E7</v>
      </c>
      <c r="AL1105" s="15">
        <v>1.244E7</v>
      </c>
      <c r="AM1105" s="15">
        <v>1.504E7</v>
      </c>
      <c r="AN1105" s="15">
        <v>1.328E7</v>
      </c>
      <c r="AO1105" s="15">
        <v>1.168E7</v>
      </c>
      <c r="AP1105" s="15">
        <v>1.188E7</v>
      </c>
      <c r="AQ1105" s="15">
        <v>1.009E7</v>
      </c>
      <c r="AR1105" s="15">
        <v>8220000.0</v>
      </c>
      <c r="AS1105" s="15">
        <v>2.383E7</v>
      </c>
      <c r="AT1105" s="15">
        <v>2.072E7</v>
      </c>
      <c r="AU1105" s="15">
        <v>1.691E7</v>
      </c>
      <c r="AV1105" s="15">
        <v>1.332E7</v>
      </c>
      <c r="AW1105" s="15">
        <v>1.397E7</v>
      </c>
      <c r="AX1105" s="15">
        <v>-1400000.0</v>
      </c>
      <c r="AY1105" s="15">
        <v>-4780000.0</v>
      </c>
      <c r="AZ1105" s="15">
        <v>-5260000.0</v>
      </c>
      <c r="BA1105" s="15">
        <v>-3960000.0</v>
      </c>
      <c r="BB1105" s="15">
        <v>-3060000.0</v>
      </c>
      <c r="BC1105" s="15">
        <v>-1.157E7</v>
      </c>
      <c r="BD1105" s="15">
        <v>-1.002E7</v>
      </c>
      <c r="BE1105" s="15">
        <v>-8270000.0</v>
      </c>
      <c r="BF1105" s="15">
        <v>-9440000.0</v>
      </c>
      <c r="BG1105" s="15">
        <v>-1.124E7</v>
      </c>
      <c r="BH1105" s="15">
        <v>3.673E7</v>
      </c>
      <c r="BI1105" s="15">
        <v>2.162E7</v>
      </c>
      <c r="BJ1105" s="15">
        <v>1.43E7</v>
      </c>
      <c r="BK1105" s="15">
        <v>1.099E7</v>
      </c>
      <c r="BL1105" s="15">
        <v>1.09E7</v>
      </c>
      <c r="BM1105" s="15">
        <v>1.1E7</v>
      </c>
      <c r="BN1105" s="15">
        <v>1.003E7</v>
      </c>
      <c r="BO1105" s="15">
        <v>4020000.0</v>
      </c>
      <c r="BP1105" s="15">
        <v>4080000.0</v>
      </c>
      <c r="BQ1105" s="15">
        <v>4350000.0</v>
      </c>
      <c r="BR1105" s="15">
        <v>4480000.0</v>
      </c>
      <c r="BS1105" s="15">
        <v>4100000.0</v>
      </c>
      <c r="BT1105" s="15">
        <v>4280000.0</v>
      </c>
      <c r="BU1105" s="15">
        <v>4980000.0</v>
      </c>
      <c r="BV1105" s="15">
        <v>4540000.0</v>
      </c>
      <c r="BW1105" s="15">
        <v>5.243E7</v>
      </c>
      <c r="BX1105" s="15">
        <v>3.607E7</v>
      </c>
      <c r="BY1105" s="15">
        <v>2.306E7</v>
      </c>
      <c r="BZ1105" s="15">
        <v>2.043E7</v>
      </c>
      <c r="CA1105" s="15">
        <v>2.057E7</v>
      </c>
      <c r="CB1105" s="15">
        <v>8560000.0</v>
      </c>
      <c r="CC1105" s="15">
        <v>9470000.0</v>
      </c>
      <c r="CD1105" s="15">
        <v>9940000.0</v>
      </c>
      <c r="CE1105" s="15">
        <v>1.052E7</v>
      </c>
      <c r="CF1105" s="15">
        <v>1.059E7</v>
      </c>
      <c r="CG1105" s="12"/>
      <c r="CH1105" s="12"/>
      <c r="CI1105" s="12"/>
      <c r="CJ1105" s="12"/>
      <c r="CK1105" s="12"/>
      <c r="CL1105" s="15">
        <v>8.541E7</v>
      </c>
      <c r="CM1105" s="15">
        <v>7.833E7</v>
      </c>
      <c r="CN1105" s="15">
        <v>6.56E7</v>
      </c>
      <c r="CO1105" s="15">
        <v>6.054E7</v>
      </c>
      <c r="CP1105" s="15">
        <v>5.748E7</v>
      </c>
      <c r="CQ1105" s="15">
        <v>342630.0</v>
      </c>
      <c r="CR1105" s="15">
        <v>643220.0</v>
      </c>
      <c r="CS1105" s="15">
        <v>499400.0</v>
      </c>
      <c r="CT1105" s="15">
        <v>383610.0</v>
      </c>
      <c r="CU1105" s="15">
        <v>291410.0</v>
      </c>
      <c r="CV1105" s="15">
        <v>2.554E7</v>
      </c>
      <c r="CW1105" s="12"/>
      <c r="CX1105" s="12"/>
      <c r="CY1105" s="12"/>
      <c r="CZ1105" s="13"/>
      <c r="DA1105" s="12"/>
      <c r="DB1105" s="15">
        <v>2.554E7</v>
      </c>
      <c r="DC1105" s="15">
        <v>2.095E7</v>
      </c>
      <c r="DD1105" s="15">
        <v>1.044E7</v>
      </c>
      <c r="DE1105" s="15">
        <v>9140000.0</v>
      </c>
      <c r="DF1105" s="15">
        <v>4.381E7</v>
      </c>
      <c r="DG1105" s="15">
        <v>3.843E7</v>
      </c>
      <c r="DH1105" s="15">
        <v>2.727E7</v>
      </c>
      <c r="DI1105" s="15">
        <v>2.578E7</v>
      </c>
      <c r="DJ1105" s="15">
        <v>2.332E7</v>
      </c>
      <c r="DK1105" s="15">
        <v>1.314E7</v>
      </c>
      <c r="DL1105" s="15">
        <v>1.736E7</v>
      </c>
      <c r="DM1105" s="15">
        <v>1.705E7</v>
      </c>
      <c r="DN1105" s="15">
        <v>1.402E7</v>
      </c>
      <c r="DO1105" s="15">
        <v>1.122E7</v>
      </c>
      <c r="DP1105" s="12"/>
      <c r="DQ1105" s="12"/>
      <c r="DR1105" s="12"/>
      <c r="DS1105" s="12"/>
      <c r="DT1105" s="12"/>
      <c r="DU1105" s="13"/>
      <c r="DV1105" s="12"/>
      <c r="DW1105" s="12"/>
      <c r="DX1105" s="12"/>
      <c r="DY1105" s="13"/>
      <c r="DZ1105" s="15">
        <v>4.148E7</v>
      </c>
      <c r="EA1105" s="15">
        <v>3.978E7</v>
      </c>
      <c r="EB1105" s="15">
        <v>3.823E7</v>
      </c>
      <c r="EC1105" s="15">
        <v>3.466E7</v>
      </c>
      <c r="ED1105" s="15">
        <v>3.407E7</v>
      </c>
      <c r="EE1105" s="17">
        <v>0.154</v>
      </c>
      <c r="EF1105" s="17">
        <v>0.317</v>
      </c>
      <c r="EG1105" s="17">
        <v>0.091</v>
      </c>
      <c r="EH1105" s="17">
        <v>0.065</v>
      </c>
    </row>
    <row r="1106">
      <c r="A1106" s="9">
        <f t="shared" si="2"/>
        <v>1104</v>
      </c>
      <c r="B1106" s="25" t="s">
        <v>1241</v>
      </c>
      <c r="C1106" s="15">
        <v>3890000.0</v>
      </c>
      <c r="D1106" s="15">
        <v>3590000.0</v>
      </c>
      <c r="E1106" s="15">
        <v>3200000.0</v>
      </c>
      <c r="F1106" s="15">
        <v>3000000.0</v>
      </c>
      <c r="G1106" s="15">
        <v>2790000.0</v>
      </c>
      <c r="H1106" s="15">
        <v>2570000.0</v>
      </c>
      <c r="I1106" s="15">
        <v>2360000.0</v>
      </c>
      <c r="J1106" s="15">
        <v>924930.0</v>
      </c>
      <c r="K1106" s="15">
        <v>870170.0</v>
      </c>
      <c r="L1106" s="15">
        <v>805290.0</v>
      </c>
      <c r="M1106" s="15">
        <v>741090.0</v>
      </c>
      <c r="N1106" s="15">
        <v>675640.0</v>
      </c>
      <c r="O1106" s="15">
        <v>583680.0</v>
      </c>
      <c r="P1106" s="15">
        <v>556280.0</v>
      </c>
      <c r="Q1106" s="15">
        <v>520920.0</v>
      </c>
      <c r="R1106" s="15">
        <v>485230.0</v>
      </c>
      <c r="S1106" s="15">
        <v>459420.0</v>
      </c>
      <c r="T1106" s="15"/>
      <c r="U1106" s="15"/>
      <c r="V1106" s="15"/>
      <c r="W1106" s="15"/>
      <c r="X1106" s="15"/>
      <c r="Y1106" s="15">
        <v>340750.0</v>
      </c>
      <c r="Z1106" s="15">
        <v>315090.0</v>
      </c>
      <c r="AA1106" s="15">
        <v>286770.0</v>
      </c>
      <c r="AB1106" s="15">
        <v>254760.0</v>
      </c>
      <c r="AC1106" s="15"/>
      <c r="AD1106" s="15">
        <v>317470.0</v>
      </c>
      <c r="AE1106" s="15">
        <v>292990.0</v>
      </c>
      <c r="AF1106" s="15">
        <v>269180.0</v>
      </c>
      <c r="AG1106" s="15">
        <v>241380.0</v>
      </c>
      <c r="AH1106" s="15">
        <v>208150.0</v>
      </c>
      <c r="AI1106" s="15">
        <v>370520.0</v>
      </c>
      <c r="AJ1106" s="15">
        <v>341800.0</v>
      </c>
      <c r="AK1106" s="15">
        <v>310100.0</v>
      </c>
      <c r="AL1106" s="15">
        <v>277840.0</v>
      </c>
      <c r="AM1106" s="15">
        <v>233610.0</v>
      </c>
      <c r="AN1106" s="15">
        <v>261580.0</v>
      </c>
      <c r="AO1106" s="15">
        <v>234460.0</v>
      </c>
      <c r="AP1106" s="15">
        <v>191630.0</v>
      </c>
      <c r="AQ1106" s="15">
        <v>148960.0</v>
      </c>
      <c r="AR1106" s="15">
        <v>128280.0</v>
      </c>
      <c r="AS1106" s="15">
        <v>298780.0</v>
      </c>
      <c r="AT1106" s="15">
        <v>118660.0</v>
      </c>
      <c r="AU1106" s="15">
        <v>175310.0</v>
      </c>
      <c r="AV1106" s="15">
        <v>165380.0</v>
      </c>
      <c r="AW1106" s="15">
        <v>146050.0</v>
      </c>
      <c r="AX1106" s="15">
        <v>-33360.0</v>
      </c>
      <c r="AY1106" s="15">
        <v>-31580.0</v>
      </c>
      <c r="AZ1106" s="15">
        <v>-39390.0</v>
      </c>
      <c r="BA1106" s="15">
        <v>-34350.0</v>
      </c>
      <c r="BB1106" s="15">
        <v>-29100.0</v>
      </c>
      <c r="BC1106" s="15">
        <v>-83770.0</v>
      </c>
      <c r="BD1106" s="15">
        <v>-69430.0</v>
      </c>
      <c r="BE1106" s="15">
        <v>-58030.0</v>
      </c>
      <c r="BF1106" s="15">
        <v>-49750.0</v>
      </c>
      <c r="BG1106" s="15">
        <v>-43120.0</v>
      </c>
      <c r="BH1106" s="15">
        <v>28580.0</v>
      </c>
      <c r="BI1106" s="15">
        <v>16360.0</v>
      </c>
      <c r="BJ1106" s="15">
        <v>29940.0</v>
      </c>
      <c r="BK1106" s="15">
        <v>21960.0</v>
      </c>
      <c r="BL1106" s="15">
        <v>13240.0</v>
      </c>
      <c r="BM1106" s="15">
        <v>226540.0</v>
      </c>
      <c r="BN1106" s="15">
        <v>207800.0</v>
      </c>
      <c r="BO1106" s="15">
        <v>196270.0</v>
      </c>
      <c r="BP1106" s="15">
        <v>166150.0</v>
      </c>
      <c r="BQ1106" s="15">
        <v>156760.0</v>
      </c>
      <c r="BR1106" s="15">
        <v>702270.0</v>
      </c>
      <c r="BS1106" s="15">
        <v>672580.0</v>
      </c>
      <c r="BT1106" s="15">
        <v>536470.0</v>
      </c>
      <c r="BU1106" s="15">
        <v>486120.0</v>
      </c>
      <c r="BV1106" s="15">
        <v>474280.0</v>
      </c>
      <c r="BW1106" s="15">
        <v>973570.0</v>
      </c>
      <c r="BX1106" s="15">
        <v>915240.0</v>
      </c>
      <c r="BY1106" s="15">
        <v>782250.0</v>
      </c>
      <c r="BZ1106" s="15">
        <v>695560.0</v>
      </c>
      <c r="CA1106" s="15">
        <v>661740.0</v>
      </c>
      <c r="CB1106" s="15">
        <v>288940.0</v>
      </c>
      <c r="CC1106" s="15">
        <v>106960.0</v>
      </c>
      <c r="CD1106" s="15">
        <v>100940.0</v>
      </c>
      <c r="CE1106" s="15">
        <v>83290.0</v>
      </c>
      <c r="CF1106" s="15">
        <v>69850.0</v>
      </c>
      <c r="CG1106" s="15">
        <v>188600.0</v>
      </c>
      <c r="CH1106" s="15">
        <v>188470.0</v>
      </c>
      <c r="CI1106" s="15">
        <v>189440.0</v>
      </c>
      <c r="CJ1106" s="15">
        <v>184800.0</v>
      </c>
      <c r="CK1106" s="15">
        <v>172760.0</v>
      </c>
      <c r="CL1106" s="15">
        <v>1480000.0</v>
      </c>
      <c r="CM1106" s="15">
        <v>1240000.0</v>
      </c>
      <c r="CN1106" s="15">
        <v>1100000.0</v>
      </c>
      <c r="CO1106" s="15">
        <v>994100.0</v>
      </c>
      <c r="CP1106" s="15">
        <v>934360.0</v>
      </c>
      <c r="CQ1106" s="15">
        <v>261960.0</v>
      </c>
      <c r="CR1106" s="15">
        <v>237840.0</v>
      </c>
      <c r="CS1106" s="15">
        <v>245250.0</v>
      </c>
      <c r="CT1106" s="15">
        <v>230730.0</v>
      </c>
      <c r="CU1106" s="15">
        <v>246550.0</v>
      </c>
      <c r="CV1106" s="15">
        <v>390850.0</v>
      </c>
      <c r="CW1106" s="15">
        <v>57970.0</v>
      </c>
      <c r="CX1106" s="15"/>
      <c r="CY1106" s="15">
        <v>1940.0</v>
      </c>
      <c r="CZ1106" s="15"/>
      <c r="DA1106" s="15"/>
      <c r="DB1106" s="15">
        <v>390850.0</v>
      </c>
      <c r="DC1106" s="15">
        <v>305610.0</v>
      </c>
      <c r="DD1106" s="15">
        <v>321570.0</v>
      </c>
      <c r="DE1106" s="15">
        <v>296220.0</v>
      </c>
      <c r="DF1106" s="15">
        <v>1070000.0</v>
      </c>
      <c r="DG1106" s="15">
        <v>1020000.0</v>
      </c>
      <c r="DH1106" s="15">
        <v>877920.0</v>
      </c>
      <c r="DI1106" s="15">
        <v>786600.0</v>
      </c>
      <c r="DJ1106" s="15">
        <v>675950.0</v>
      </c>
      <c r="DK1106" s="15">
        <v>1230.0</v>
      </c>
      <c r="DL1106" s="15">
        <v>1210.0</v>
      </c>
      <c r="DM1106" s="15">
        <v>1130.0</v>
      </c>
      <c r="DN1106" s="15">
        <v>1170.0</v>
      </c>
      <c r="DO1106" s="15">
        <v>1230.0</v>
      </c>
      <c r="DP1106" s="15">
        <v>621670.0</v>
      </c>
      <c r="DQ1106" s="15">
        <v>657590.0</v>
      </c>
      <c r="DR1106" s="15">
        <v>508820.0</v>
      </c>
      <c r="DS1106" s="15">
        <v>436940.0</v>
      </c>
      <c r="DT1106" s="15">
        <v>326350.0</v>
      </c>
      <c r="DU1106" s="13"/>
      <c r="DV1106" s="12"/>
      <c r="DW1106" s="12"/>
      <c r="DX1106" s="13"/>
      <c r="DY1106" s="13"/>
      <c r="DZ1106" s="15">
        <v>410180.0</v>
      </c>
      <c r="EA1106" s="15">
        <v>223590.0</v>
      </c>
      <c r="EB1106" s="15">
        <v>223150.0</v>
      </c>
      <c r="EC1106" s="15">
        <v>205210.0</v>
      </c>
      <c r="ED1106" s="15">
        <v>255740.0</v>
      </c>
      <c r="EE1106" s="17">
        <v>0.031</v>
      </c>
      <c r="EF1106" s="17">
        <v>0.062</v>
      </c>
      <c r="EG1106" s="17">
        <v>0.248</v>
      </c>
      <c r="EH1106" s="17">
        <v>0.238</v>
      </c>
    </row>
    <row r="1107">
      <c r="A1107" s="9">
        <f t="shared" si="2"/>
        <v>1105</v>
      </c>
      <c r="B1107" s="10" t="s">
        <v>1242</v>
      </c>
      <c r="C1107" s="15">
        <v>5930000.0</v>
      </c>
      <c r="D1107" s="15">
        <v>5770000.0</v>
      </c>
      <c r="E1107" s="15">
        <v>5680000.0</v>
      </c>
      <c r="F1107" s="15">
        <v>6260000.0</v>
      </c>
      <c r="G1107" s="15">
        <v>5230000.0</v>
      </c>
      <c r="H1107" s="15">
        <v>5030000.0</v>
      </c>
      <c r="I1107" s="15">
        <v>4650000.0</v>
      </c>
      <c r="J1107" s="15">
        <v>1650000.0</v>
      </c>
      <c r="K1107" s="15">
        <v>1680000.0</v>
      </c>
      <c r="L1107" s="15">
        <v>1410000.0</v>
      </c>
      <c r="M1107" s="15">
        <v>1400000.0</v>
      </c>
      <c r="N1107" s="15">
        <v>1040000.0</v>
      </c>
      <c r="O1107" s="15">
        <v>894200.0</v>
      </c>
      <c r="P1107" s="15">
        <v>941800.0</v>
      </c>
      <c r="Q1107" s="15">
        <v>791400.0</v>
      </c>
      <c r="R1107" s="15">
        <v>809800.0</v>
      </c>
      <c r="S1107" s="15">
        <v>706800.0</v>
      </c>
      <c r="T1107" s="15">
        <v>25000.0</v>
      </c>
      <c r="U1107" s="15">
        <v>25100.0</v>
      </c>
      <c r="V1107" s="15">
        <v>18600.0</v>
      </c>
      <c r="W1107" s="15">
        <v>16300.0</v>
      </c>
      <c r="X1107" s="15">
        <v>16800.0</v>
      </c>
      <c r="Y1107" s="15">
        <v>341100.0</v>
      </c>
      <c r="Z1107" s="15">
        <v>-96400.0</v>
      </c>
      <c r="AA1107" s="15">
        <v>359100.0</v>
      </c>
      <c r="AB1107" s="15">
        <v>285800.0</v>
      </c>
      <c r="AC1107" s="15">
        <v>145300.0</v>
      </c>
      <c r="AD1107" s="15">
        <v>159100.0</v>
      </c>
      <c r="AE1107" s="15">
        <v>264700.0</v>
      </c>
      <c r="AF1107" s="15">
        <v>74400.0</v>
      </c>
      <c r="AG1107" s="15">
        <v>-30100.0</v>
      </c>
      <c r="AH1107" s="15">
        <v>-167300.0</v>
      </c>
      <c r="AI1107" s="15">
        <v>1130000.0</v>
      </c>
      <c r="AJ1107" s="15">
        <v>1130000.0</v>
      </c>
      <c r="AK1107" s="15">
        <v>944100.0</v>
      </c>
      <c r="AL1107" s="15">
        <v>896900.0</v>
      </c>
      <c r="AM1107" s="15">
        <v>608400.0</v>
      </c>
      <c r="AN1107" s="15">
        <v>124700.0</v>
      </c>
      <c r="AO1107" s="15">
        <v>467300.0</v>
      </c>
      <c r="AP1107" s="15">
        <v>48300.0</v>
      </c>
      <c r="AQ1107" s="15">
        <v>-3300.0</v>
      </c>
      <c r="AR1107" s="15">
        <v>-115300.0</v>
      </c>
      <c r="AS1107" s="15">
        <v>688000.0</v>
      </c>
      <c r="AT1107" s="15">
        <v>718600.0</v>
      </c>
      <c r="AU1107" s="15">
        <v>386700.0</v>
      </c>
      <c r="AV1107" s="15">
        <v>502400.0</v>
      </c>
      <c r="AW1107" s="15">
        <v>451600.0</v>
      </c>
      <c r="AX1107" s="15">
        <v>-273900.0</v>
      </c>
      <c r="AY1107" s="15">
        <v>-225000.0</v>
      </c>
      <c r="AZ1107" s="15">
        <v>-190400.0</v>
      </c>
      <c r="BA1107" s="15">
        <v>-121500.0</v>
      </c>
      <c r="BB1107" s="15">
        <v>-107900.0</v>
      </c>
      <c r="BC1107" s="13">
        <v>-4000.0</v>
      </c>
      <c r="BD1107" s="13">
        <v>-10800.0</v>
      </c>
      <c r="BE1107" s="13">
        <v>-13500.0</v>
      </c>
      <c r="BF1107" s="13">
        <v>-14400.0</v>
      </c>
      <c r="BG1107" s="13">
        <v>-17100.0</v>
      </c>
      <c r="BH1107" s="15">
        <v>1050000.0</v>
      </c>
      <c r="BI1107" s="15">
        <v>994500.0</v>
      </c>
      <c r="BJ1107" s="15">
        <v>1530000.0</v>
      </c>
      <c r="BK1107" s="15">
        <v>1150000.0</v>
      </c>
      <c r="BL1107" s="15">
        <v>860200.0</v>
      </c>
      <c r="BM1107" s="15">
        <v>445100.0</v>
      </c>
      <c r="BN1107" s="15">
        <v>462300.0</v>
      </c>
      <c r="BO1107" s="15">
        <v>480600.0</v>
      </c>
      <c r="BP1107" s="15">
        <v>385000.0</v>
      </c>
      <c r="BQ1107" s="15">
        <v>366200.0</v>
      </c>
      <c r="BR1107" s="12">
        <v>579800.0</v>
      </c>
      <c r="BS1107" s="12">
        <v>484200.0</v>
      </c>
      <c r="BT1107" s="12">
        <v>573500.0</v>
      </c>
      <c r="BU1107" s="12">
        <v>503100.0</v>
      </c>
      <c r="BV1107" s="12">
        <v>465300.0</v>
      </c>
      <c r="BW1107" s="15">
        <v>2120000.0</v>
      </c>
      <c r="BX1107" s="15">
        <v>2200000.0</v>
      </c>
      <c r="BY1107" s="15">
        <v>2610000.0</v>
      </c>
      <c r="BZ1107" s="15">
        <v>2080000.0</v>
      </c>
      <c r="CA1107" s="15">
        <v>1780000.0</v>
      </c>
      <c r="CB1107" s="15">
        <v>1740000.0</v>
      </c>
      <c r="CC1107" s="15">
        <v>1710000.0</v>
      </c>
      <c r="CD1107" s="15">
        <v>1690000.0</v>
      </c>
      <c r="CE1107" s="15">
        <v>1350000.0</v>
      </c>
      <c r="CF1107" s="15">
        <v>1330000.0</v>
      </c>
      <c r="CG1107" s="15">
        <v>4400000.0</v>
      </c>
      <c r="CH1107" s="15">
        <v>4500000.0</v>
      </c>
      <c r="CI1107" s="15">
        <v>4030000.0</v>
      </c>
      <c r="CJ1107" s="15">
        <v>3080000.0</v>
      </c>
      <c r="CK1107" s="15">
        <v>3070000.0</v>
      </c>
      <c r="CL1107" s="15">
        <v>1.195E7</v>
      </c>
      <c r="CM1107" s="15">
        <v>1.306E7</v>
      </c>
      <c r="CN1107" s="15">
        <v>1.207E7</v>
      </c>
      <c r="CO1107" s="15">
        <v>9590000.0</v>
      </c>
      <c r="CP1107" s="15">
        <v>9220000.0</v>
      </c>
      <c r="CQ1107" s="15">
        <v>384700.0</v>
      </c>
      <c r="CR1107" s="15">
        <v>356000.0</v>
      </c>
      <c r="CS1107" s="15">
        <v>324300.0</v>
      </c>
      <c r="CT1107" s="15">
        <v>255400.0</v>
      </c>
      <c r="CU1107" s="15">
        <v>235200.0</v>
      </c>
      <c r="CV1107" s="15">
        <v>802900.0</v>
      </c>
      <c r="CW1107" s="15"/>
      <c r="CX1107" s="13"/>
      <c r="CY1107" s="13"/>
      <c r="CZ1107" s="13"/>
      <c r="DA1107" s="12"/>
      <c r="DB1107" s="15">
        <v>802900.0</v>
      </c>
      <c r="DC1107" s="15">
        <v>792100.0</v>
      </c>
      <c r="DD1107" s="15">
        <v>704400.0</v>
      </c>
      <c r="DE1107" s="15">
        <v>634000.0</v>
      </c>
      <c r="DF1107" s="15">
        <v>9010000.0</v>
      </c>
      <c r="DG1107" s="15">
        <v>1.0E7</v>
      </c>
      <c r="DH1107" s="15">
        <v>9280000.0</v>
      </c>
      <c r="DI1107" s="15">
        <v>6580000.0</v>
      </c>
      <c r="DJ1107" s="15">
        <v>6240000.0</v>
      </c>
      <c r="DK1107" s="12">
        <v>164800.0</v>
      </c>
      <c r="DL1107" s="12">
        <v>57200.0</v>
      </c>
      <c r="DM1107" s="12">
        <v>4500.0</v>
      </c>
      <c r="DN1107" s="12"/>
      <c r="DO1107" s="15"/>
      <c r="DP1107" s="15">
        <v>7070000.0</v>
      </c>
      <c r="DQ1107" s="15">
        <v>7230000.0</v>
      </c>
      <c r="DR1107" s="15">
        <v>7150000.0</v>
      </c>
      <c r="DS1107" s="15">
        <v>4550000.0</v>
      </c>
      <c r="DT1107" s="12">
        <v>4510000.0</v>
      </c>
      <c r="DU1107" s="13"/>
      <c r="DV1107" s="12"/>
      <c r="DW1107" s="12"/>
      <c r="DX1107" s="13"/>
      <c r="DY1107" s="13">
        <v>100.0</v>
      </c>
      <c r="DZ1107" s="15">
        <v>2930000.0</v>
      </c>
      <c r="EA1107" s="15">
        <v>3050000.0</v>
      </c>
      <c r="EB1107" s="15">
        <v>2780000.0</v>
      </c>
      <c r="EC1107" s="15">
        <v>3010000.0</v>
      </c>
      <c r="ED1107" s="15">
        <v>2980000.0</v>
      </c>
      <c r="EE1107" s="23">
        <v>0.029462738</v>
      </c>
      <c r="EF1107" s="23">
        <v>0.062394604</v>
      </c>
      <c r="EG1107" s="17">
        <v>-0.27</v>
      </c>
      <c r="EH1107" s="23">
        <v>-0.085</v>
      </c>
    </row>
    <row r="1108">
      <c r="A1108" s="9">
        <f t="shared" si="2"/>
        <v>1106</v>
      </c>
      <c r="B1108" s="10" t="s">
        <v>1243</v>
      </c>
      <c r="C1108" s="15">
        <v>498740.0</v>
      </c>
      <c r="D1108" s="15">
        <v>445740.0</v>
      </c>
      <c r="E1108" s="15">
        <v>420670.0</v>
      </c>
      <c r="F1108" s="15">
        <v>415960.0</v>
      </c>
      <c r="G1108" s="15">
        <v>431760.0</v>
      </c>
      <c r="H1108" s="15">
        <v>389670.0</v>
      </c>
      <c r="I1108" s="15">
        <v>343990.0</v>
      </c>
      <c r="J1108" s="15">
        <v>213400.0</v>
      </c>
      <c r="K1108" s="15">
        <v>214790.0</v>
      </c>
      <c r="L1108" s="15">
        <v>213660.0</v>
      </c>
      <c r="M1108" s="15">
        <v>192190.0</v>
      </c>
      <c r="N1108" s="15">
        <v>173390.0</v>
      </c>
      <c r="O1108" s="15">
        <v>165350.0</v>
      </c>
      <c r="P1108" s="15">
        <v>159140.0</v>
      </c>
      <c r="Q1108" s="15">
        <v>156030.0</v>
      </c>
      <c r="R1108" s="15">
        <v>143320.0</v>
      </c>
      <c r="S1108" s="15">
        <v>134190.0</v>
      </c>
      <c r="T1108" s="15">
        <v>73470.0</v>
      </c>
      <c r="U1108" s="15">
        <v>70580.0</v>
      </c>
      <c r="V1108" s="15">
        <v>68500.0</v>
      </c>
      <c r="W1108" s="15">
        <v>62310.0</v>
      </c>
      <c r="X1108" s="15">
        <v>57550.0</v>
      </c>
      <c r="Y1108" s="15">
        <v>217020.0</v>
      </c>
      <c r="Z1108" s="15">
        <v>0.0</v>
      </c>
      <c r="AA1108" s="15">
        <v>0.0</v>
      </c>
      <c r="AB1108" s="15">
        <v>0.0</v>
      </c>
      <c r="AC1108" s="15">
        <v>38990.0</v>
      </c>
      <c r="AD1108" s="15">
        <v>222410.0</v>
      </c>
      <c r="AE1108" s="15">
        <v>59760.0</v>
      </c>
      <c r="AF1108" s="15">
        <v>60300.0</v>
      </c>
      <c r="AG1108" s="15">
        <v>49950.0</v>
      </c>
      <c r="AH1108" s="15">
        <v>39420.0</v>
      </c>
      <c r="AI1108" s="15">
        <v>72460.0</v>
      </c>
      <c r="AJ1108" s="15">
        <v>79830.0</v>
      </c>
      <c r="AK1108" s="15">
        <v>82090.0</v>
      </c>
      <c r="AL1108" s="15">
        <v>72350.0</v>
      </c>
      <c r="AM1108" s="15">
        <v>62700.0</v>
      </c>
      <c r="AN1108" s="15">
        <v>193470.0</v>
      </c>
      <c r="AO1108" s="15">
        <v>69980.0</v>
      </c>
      <c r="AP1108" s="15">
        <v>27610.0</v>
      </c>
      <c r="AQ1108" s="15">
        <v>48900.0</v>
      </c>
      <c r="AR1108" s="15">
        <v>39150.0</v>
      </c>
      <c r="AS1108" s="15">
        <v>224500.0</v>
      </c>
      <c r="AT1108" s="15">
        <v>83960.0</v>
      </c>
      <c r="AU1108" s="15">
        <v>82040.0</v>
      </c>
      <c r="AV1108" s="15">
        <v>97900.0</v>
      </c>
      <c r="AW1108" s="15">
        <v>92190.0</v>
      </c>
      <c r="AX1108" s="15">
        <v>-25140.0</v>
      </c>
      <c r="AY1108" s="15">
        <v>-25580.0</v>
      </c>
      <c r="AZ1108" s="15">
        <v>-32500.0</v>
      </c>
      <c r="BA1108" s="15">
        <v>-12200.0</v>
      </c>
      <c r="BB1108" s="15">
        <v>-21750.0</v>
      </c>
      <c r="BC1108" s="15">
        <v>-20510.0</v>
      </c>
      <c r="BD1108" s="15">
        <v>-18820.0</v>
      </c>
      <c r="BE1108" s="15">
        <v>-16630.0</v>
      </c>
      <c r="BF1108" s="15">
        <v>-15050.0</v>
      </c>
      <c r="BG1108" s="15">
        <v>-13920.0</v>
      </c>
      <c r="BH1108" s="15">
        <v>411090.0</v>
      </c>
      <c r="BI1108" s="15">
        <v>228590.0</v>
      </c>
      <c r="BJ1108" s="15">
        <v>282890.0</v>
      </c>
      <c r="BK1108" s="15">
        <v>250460.0</v>
      </c>
      <c r="BL1108" s="15">
        <v>173860.0</v>
      </c>
      <c r="BM1108" s="15">
        <v>25550.0</v>
      </c>
      <c r="BN1108" s="15">
        <v>11670.0</v>
      </c>
      <c r="BO1108" s="15">
        <v>17990.0</v>
      </c>
      <c r="BP1108" s="15">
        <v>7270.0</v>
      </c>
      <c r="BQ1108" s="15">
        <v>8340.0</v>
      </c>
      <c r="BR1108" s="15">
        <v>93960.0</v>
      </c>
      <c r="BS1108" s="15">
        <v>83010.0</v>
      </c>
      <c r="BT1108" s="15">
        <v>58300.0</v>
      </c>
      <c r="BU1108" s="15">
        <v>52630.0</v>
      </c>
      <c r="BV1108" s="15">
        <v>52260.0</v>
      </c>
      <c r="BW1108" s="15">
        <v>541340.0</v>
      </c>
      <c r="BX1108" s="15">
        <v>332430.0</v>
      </c>
      <c r="BY1108" s="15">
        <v>364530.0</v>
      </c>
      <c r="BZ1108" s="15">
        <v>318260.0</v>
      </c>
      <c r="CA1108" s="15">
        <v>240400.0</v>
      </c>
      <c r="CB1108" s="15">
        <v>126140.0</v>
      </c>
      <c r="CC1108" s="15">
        <v>114120.0</v>
      </c>
      <c r="CD1108" s="15">
        <v>111710.0</v>
      </c>
      <c r="CE1108" s="15">
        <v>95300.0</v>
      </c>
      <c r="CF1108" s="15">
        <v>99380.0</v>
      </c>
      <c r="CG1108" s="15">
        <v>91850.0</v>
      </c>
      <c r="CH1108" s="15">
        <v>91850.0</v>
      </c>
      <c r="CI1108" s="15">
        <v>91850.0</v>
      </c>
      <c r="CJ1108" s="15">
        <v>91850.0</v>
      </c>
      <c r="CK1108" s="15">
        <v>91850.0</v>
      </c>
      <c r="CL1108" s="15">
        <v>803900.0</v>
      </c>
      <c r="CM1108" s="15">
        <v>588700.0</v>
      </c>
      <c r="CN1108" s="15">
        <v>621070.0</v>
      </c>
      <c r="CO1108" s="15">
        <v>554410.0</v>
      </c>
      <c r="CP1108" s="15">
        <v>487540.0</v>
      </c>
      <c r="CQ1108" s="15">
        <v>27430.0</v>
      </c>
      <c r="CR1108" s="15">
        <v>31550.0</v>
      </c>
      <c r="CS1108" s="15">
        <v>33210.0</v>
      </c>
      <c r="CT1108" s="15">
        <v>29730.0</v>
      </c>
      <c r="CU1108" s="15">
        <v>21660.0</v>
      </c>
      <c r="CV1108" s="15">
        <v>50480.0</v>
      </c>
      <c r="CW1108" s="15">
        <v>1950.0</v>
      </c>
      <c r="CX1108" s="15">
        <v>0.0</v>
      </c>
      <c r="CY1108" s="15">
        <v>0.0</v>
      </c>
      <c r="CZ1108" s="16">
        <v>0.0</v>
      </c>
      <c r="DA1108" s="15">
        <v>0.0</v>
      </c>
      <c r="DB1108" s="15">
        <v>50480.0</v>
      </c>
      <c r="DC1108" s="15">
        <v>48370.0</v>
      </c>
      <c r="DD1108" s="15">
        <v>51050.0</v>
      </c>
      <c r="DE1108" s="15">
        <v>43950.0</v>
      </c>
      <c r="DF1108" s="15">
        <v>79350.0</v>
      </c>
      <c r="DG1108" s="15">
        <v>61630.0</v>
      </c>
      <c r="DH1108" s="15">
        <v>73390.0</v>
      </c>
      <c r="DI1108" s="15">
        <v>51330.0</v>
      </c>
      <c r="DJ1108" s="15">
        <v>58920.0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7030.0</v>
      </c>
      <c r="DQ1108" s="15">
        <v>0.0</v>
      </c>
      <c r="DR1108" s="15">
        <v>0.0</v>
      </c>
      <c r="DS1108" s="15">
        <v>0.0</v>
      </c>
      <c r="DT1108" s="15">
        <v>0.0</v>
      </c>
      <c r="DU1108" s="16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724550.0</v>
      </c>
      <c r="EA1108" s="15">
        <v>527070.0</v>
      </c>
      <c r="EB1108" s="15">
        <v>547680.0</v>
      </c>
      <c r="EC1108" s="15">
        <v>503080.0</v>
      </c>
      <c r="ED1108" s="15">
        <v>428620.0</v>
      </c>
      <c r="EE1108" s="17">
        <v>0.037</v>
      </c>
      <c r="EF1108" s="17">
        <v>0.091</v>
      </c>
      <c r="EG1108" s="17">
        <v>0.152</v>
      </c>
      <c r="EH1108" s="17">
        <v>0.075</v>
      </c>
    </row>
    <row r="1109">
      <c r="A1109" s="9">
        <f t="shared" si="2"/>
        <v>1107</v>
      </c>
      <c r="B1109" s="10" t="s">
        <v>1244</v>
      </c>
      <c r="C1109" s="15">
        <v>1.275E7</v>
      </c>
      <c r="D1109" s="15">
        <v>1.233E7</v>
      </c>
      <c r="E1109" s="15">
        <v>1.141E7</v>
      </c>
      <c r="F1109" s="15">
        <v>1.094E7</v>
      </c>
      <c r="G1109" s="15">
        <v>1.077E7</v>
      </c>
      <c r="H1109" s="15">
        <v>9880000.0</v>
      </c>
      <c r="I1109" s="15">
        <v>8180000.0</v>
      </c>
      <c r="J1109" s="15">
        <v>1100000.0</v>
      </c>
      <c r="K1109" s="15">
        <v>870920.0</v>
      </c>
      <c r="L1109" s="15">
        <v>1460000.0</v>
      </c>
      <c r="M1109" s="15">
        <v>1110000.0</v>
      </c>
      <c r="N1109" s="15">
        <v>1230000.0</v>
      </c>
      <c r="O1109" s="15">
        <v>379910.0</v>
      </c>
      <c r="P1109" s="15">
        <v>343030.0</v>
      </c>
      <c r="Q1109" s="15">
        <v>389520.0</v>
      </c>
      <c r="R1109" s="15">
        <v>310830.0</v>
      </c>
      <c r="S1109" s="15">
        <v>203880.0</v>
      </c>
      <c r="T1109" s="15">
        <v>5100.0</v>
      </c>
      <c r="U1109" s="15">
        <v>4000.0</v>
      </c>
      <c r="V1109" s="15">
        <v>3700.0</v>
      </c>
      <c r="W1109" s="15">
        <v>3500.0</v>
      </c>
      <c r="X1109" s="15">
        <v>4100.0</v>
      </c>
      <c r="Y1109" s="15">
        <v>690950.0</v>
      </c>
      <c r="Z1109" s="15">
        <v>496030.0</v>
      </c>
      <c r="AA1109" s="15">
        <v>1070000.0</v>
      </c>
      <c r="AB1109" s="15">
        <v>-5370.0</v>
      </c>
      <c r="AC1109" s="15">
        <v>1040000.0</v>
      </c>
      <c r="AD1109" s="15">
        <v>617550.0</v>
      </c>
      <c r="AE1109" s="15">
        <v>332230.0</v>
      </c>
      <c r="AF1109" s="15">
        <v>982070.0</v>
      </c>
      <c r="AG1109" s="15">
        <v>724040.0</v>
      </c>
      <c r="AH1109" s="15">
        <v>992760.0</v>
      </c>
      <c r="AI1109" s="15">
        <v>1010000.0</v>
      </c>
      <c r="AJ1109" s="15">
        <v>801940.0</v>
      </c>
      <c r="AK1109" s="15">
        <v>1350000.0</v>
      </c>
      <c r="AL1109" s="15">
        <v>1030000.0</v>
      </c>
      <c r="AM1109" s="15">
        <v>1190000.0</v>
      </c>
      <c r="AN1109" s="15">
        <v>455920.0</v>
      </c>
      <c r="AO1109" s="15">
        <v>247950.0</v>
      </c>
      <c r="AP1109" s="15">
        <v>694580.0</v>
      </c>
      <c r="AQ1109" s="15">
        <v>440530.0</v>
      </c>
      <c r="AR1109" s="15">
        <v>645910.0</v>
      </c>
      <c r="AS1109" s="15">
        <v>666520.0</v>
      </c>
      <c r="AT1109" s="15">
        <v>491650.0</v>
      </c>
      <c r="AU1109" s="15">
        <v>801320.0</v>
      </c>
      <c r="AV1109" s="15">
        <v>795360.0</v>
      </c>
      <c r="AW1109" s="15">
        <v>976830.0</v>
      </c>
      <c r="AX1109" s="15">
        <v>-348120.0</v>
      </c>
      <c r="AY1109" s="15">
        <v>-348670.0</v>
      </c>
      <c r="AZ1109" s="15">
        <v>-339870.0</v>
      </c>
      <c r="BA1109" s="15">
        <v>-340960.0</v>
      </c>
      <c r="BB1109" s="15">
        <v>-175760.0</v>
      </c>
      <c r="BC1109" s="13"/>
      <c r="BD1109" s="13"/>
      <c r="BE1109" s="13"/>
      <c r="BF1109" s="13">
        <v>-714790.0</v>
      </c>
      <c r="BG1109" s="13">
        <v>-1500000.0</v>
      </c>
      <c r="BH1109" s="15">
        <v>280580.0</v>
      </c>
      <c r="BI1109" s="15">
        <v>361580.0</v>
      </c>
      <c r="BJ1109" s="15">
        <v>590300.0</v>
      </c>
      <c r="BK1109" s="15">
        <v>303480.0</v>
      </c>
      <c r="BL1109" s="15">
        <v>441320.0</v>
      </c>
      <c r="BM1109" s="15">
        <v>802430.0</v>
      </c>
      <c r="BN1109" s="15">
        <v>601360.0</v>
      </c>
      <c r="BO1109" s="15">
        <v>568430.0</v>
      </c>
      <c r="BP1109" s="15">
        <v>449560.0</v>
      </c>
      <c r="BQ1109" s="15">
        <v>423070.0</v>
      </c>
      <c r="BR1109" s="12">
        <v>1380000.0</v>
      </c>
      <c r="BS1109" s="12">
        <v>1160000.0</v>
      </c>
      <c r="BT1109" s="12">
        <v>1260000.0</v>
      </c>
      <c r="BU1109" s="12">
        <v>975610.0</v>
      </c>
      <c r="BV1109" s="12">
        <v>801360.0</v>
      </c>
      <c r="BW1109" s="15">
        <v>2600000.0</v>
      </c>
      <c r="BX1109" s="15">
        <v>2230000.0</v>
      </c>
      <c r="BY1109" s="15">
        <v>2520000.0</v>
      </c>
      <c r="BZ1109" s="15">
        <v>1810000.0</v>
      </c>
      <c r="CA1109" s="15">
        <v>1750000.0</v>
      </c>
      <c r="CB1109" s="15">
        <v>2890000.0</v>
      </c>
      <c r="CC1109" s="15">
        <v>2160000.0</v>
      </c>
      <c r="CD1109" s="15">
        <v>2100000.0</v>
      </c>
      <c r="CE1109" s="15">
        <v>1830000.0</v>
      </c>
      <c r="CF1109" s="15">
        <v>1350000.0</v>
      </c>
      <c r="CG1109" s="15">
        <v>973750.0</v>
      </c>
      <c r="CH1109" s="15">
        <v>949750.0</v>
      </c>
      <c r="CI1109" s="15">
        <v>1000000.0</v>
      </c>
      <c r="CJ1109" s="15">
        <v>887220.0</v>
      </c>
      <c r="CK1109" s="15">
        <v>156570.0</v>
      </c>
      <c r="CL1109" s="15">
        <v>7100000.0</v>
      </c>
      <c r="CM1109" s="15">
        <v>5930000.0</v>
      </c>
      <c r="CN1109" s="15">
        <v>6410000.0</v>
      </c>
      <c r="CO1109" s="15">
        <v>5200000.0</v>
      </c>
      <c r="CP1109" s="15">
        <v>3320000.0</v>
      </c>
      <c r="CQ1109" s="15">
        <v>977460.0</v>
      </c>
      <c r="CR1109" s="15">
        <v>820850.0</v>
      </c>
      <c r="CS1109" s="15">
        <v>750090.0</v>
      </c>
      <c r="CT1109" s="15">
        <v>790540.0</v>
      </c>
      <c r="CU1109" s="15">
        <v>487330.0</v>
      </c>
      <c r="CV1109" s="15">
        <v>1650000.0</v>
      </c>
      <c r="CW1109" s="15">
        <v>66240.0</v>
      </c>
      <c r="CX1109" s="13"/>
      <c r="CY1109" s="13"/>
      <c r="CZ1109" s="13"/>
      <c r="DA1109" s="12">
        <v>28730.0</v>
      </c>
      <c r="DB1109" s="15">
        <v>1650000.0</v>
      </c>
      <c r="DC1109" s="15">
        <v>1300000.0</v>
      </c>
      <c r="DD1109" s="15">
        <v>1450000.0</v>
      </c>
      <c r="DE1109" s="15">
        <v>1190000.0</v>
      </c>
      <c r="DF1109" s="15">
        <v>4570000.0</v>
      </c>
      <c r="DG1109" s="15">
        <v>3910000.0</v>
      </c>
      <c r="DH1109" s="15">
        <v>4550000.0</v>
      </c>
      <c r="DI1109" s="15">
        <v>3120000.0</v>
      </c>
      <c r="DJ1109" s="15">
        <v>2060000.0</v>
      </c>
      <c r="DK1109" s="12"/>
      <c r="DL1109" s="12"/>
      <c r="DM1109" s="12"/>
      <c r="DN1109" s="15"/>
      <c r="DO1109" s="15"/>
      <c r="DP1109" s="15">
        <v>2510000.0</v>
      </c>
      <c r="DQ1109" s="15">
        <v>2300000.0</v>
      </c>
      <c r="DR1109" s="15">
        <v>2640000.0</v>
      </c>
      <c r="DS1109" s="15">
        <v>1400000.0</v>
      </c>
      <c r="DT1109" s="12">
        <v>985510.0</v>
      </c>
      <c r="DU1109" s="13"/>
      <c r="DV1109" s="12"/>
      <c r="DW1109" s="12"/>
      <c r="DX1109" s="13"/>
      <c r="DY1109" s="13"/>
      <c r="DZ1109" s="15">
        <v>2530000.0</v>
      </c>
      <c r="EA1109" s="15">
        <v>2010000.0</v>
      </c>
      <c r="EB1109" s="15">
        <v>1850000.0</v>
      </c>
      <c r="EC1109" s="15">
        <v>2080000.0</v>
      </c>
      <c r="ED1109" s="15">
        <v>1260000.0</v>
      </c>
      <c r="EE1109" s="23">
        <v>0.073803731</v>
      </c>
      <c r="EF1109" s="23">
        <v>0.077647059</v>
      </c>
      <c r="EG1109" s="17">
        <v>-1.0</v>
      </c>
      <c r="EH1109" s="23">
        <v>-0.12375</v>
      </c>
    </row>
    <row r="1110">
      <c r="A1110" s="9">
        <f t="shared" si="2"/>
        <v>1108</v>
      </c>
      <c r="B1110" s="22" t="s">
        <v>1245</v>
      </c>
      <c r="C1110" s="11">
        <v>4740000.0</v>
      </c>
      <c r="D1110" s="11">
        <v>4270000.0</v>
      </c>
      <c r="E1110" s="11">
        <v>1470000.0</v>
      </c>
      <c r="F1110" s="11">
        <v>1420000.0</v>
      </c>
      <c r="G1110" s="11">
        <v>1570000.0</v>
      </c>
      <c r="H1110" s="11">
        <v>1300000.0</v>
      </c>
      <c r="I1110" s="12"/>
      <c r="J1110" s="11">
        <v>642200.0</v>
      </c>
      <c r="K1110" s="11">
        <v>621050.0</v>
      </c>
      <c r="L1110" s="11">
        <v>691970.0</v>
      </c>
      <c r="M1110" s="11">
        <v>587570.0</v>
      </c>
      <c r="N1110" s="12"/>
      <c r="O1110" s="11">
        <v>454690.0</v>
      </c>
      <c r="P1110" s="11">
        <v>413860.0</v>
      </c>
      <c r="Q1110" s="11">
        <v>408350.0</v>
      </c>
      <c r="R1110" s="11">
        <v>357090.0</v>
      </c>
      <c r="S1110" s="12"/>
      <c r="T1110" s="11">
        <v>16730.0</v>
      </c>
      <c r="U1110" s="11">
        <v>23630.0</v>
      </c>
      <c r="V1110" s="11">
        <v>9230.0</v>
      </c>
      <c r="W1110" s="11">
        <v>19240.0</v>
      </c>
      <c r="X1110" s="12"/>
      <c r="Y1110" s="11">
        <v>-5060.0</v>
      </c>
      <c r="Z1110" s="11">
        <v>-16380.0</v>
      </c>
      <c r="AA1110" s="11">
        <v>-19550.0</v>
      </c>
      <c r="AB1110" s="11">
        <v>-990.0</v>
      </c>
      <c r="AC1110" s="12"/>
      <c r="AD1110" s="11">
        <v>188870.0</v>
      </c>
      <c r="AE1110" s="11">
        <v>194360.0</v>
      </c>
      <c r="AF1110" s="11">
        <v>278840.0</v>
      </c>
      <c r="AG1110" s="11">
        <v>247950.0</v>
      </c>
      <c r="AH1110" s="12"/>
      <c r="AI1110" s="11">
        <v>253660.0</v>
      </c>
      <c r="AJ1110" s="11">
        <v>272280.0</v>
      </c>
      <c r="AK1110" s="11">
        <v>344050.0</v>
      </c>
      <c r="AL1110" s="11">
        <v>286070.0</v>
      </c>
      <c r="AM1110" s="12"/>
      <c r="AN1110" s="11">
        <v>127700.0</v>
      </c>
      <c r="AO1110" s="11">
        <v>140130.0</v>
      </c>
      <c r="AP1110" s="11">
        <v>187520.0</v>
      </c>
      <c r="AQ1110" s="11">
        <v>163400.0</v>
      </c>
      <c r="AR1110" s="12"/>
      <c r="AS1110" s="11">
        <v>247750.0</v>
      </c>
      <c r="AT1110" s="11">
        <v>253000.0</v>
      </c>
      <c r="AU1110" s="11">
        <v>380480.0</v>
      </c>
      <c r="AV1110" s="11">
        <v>226740.0</v>
      </c>
      <c r="AW1110" s="12"/>
      <c r="AX1110" s="11">
        <v>-62520.0</v>
      </c>
      <c r="AY1110" s="11">
        <v>-55180.0</v>
      </c>
      <c r="AZ1110" s="11">
        <v>-68380.0</v>
      </c>
      <c r="BA1110" s="11">
        <v>-94950.0</v>
      </c>
      <c r="BB1110" s="12"/>
      <c r="BC1110" s="11">
        <v>-71300.0</v>
      </c>
      <c r="BD1110" s="11">
        <v>-67930.0</v>
      </c>
      <c r="BE1110" s="11">
        <v>-50440.0</v>
      </c>
      <c r="BF1110" s="11">
        <v>-22580.0</v>
      </c>
      <c r="BG1110" s="12"/>
      <c r="BH1110" s="11">
        <v>569850.0</v>
      </c>
      <c r="BI1110" s="11">
        <v>565960.0</v>
      </c>
      <c r="BJ1110" s="11">
        <v>518820.0</v>
      </c>
      <c r="BK1110" s="11">
        <v>502380.0</v>
      </c>
      <c r="BL1110" s="12"/>
      <c r="BM1110" s="11">
        <v>448200.0</v>
      </c>
      <c r="BN1110" s="11">
        <v>446560.0</v>
      </c>
      <c r="BO1110" s="11">
        <v>401300.0</v>
      </c>
      <c r="BP1110" s="11">
        <v>481990.0</v>
      </c>
      <c r="BQ1110" s="12"/>
      <c r="BR1110" s="11">
        <v>18830.0</v>
      </c>
      <c r="BS1110" s="11">
        <v>18080.0</v>
      </c>
      <c r="BT1110" s="11">
        <v>19700.0</v>
      </c>
      <c r="BU1110" s="11">
        <v>18120.0</v>
      </c>
      <c r="BV1110" s="12"/>
      <c r="BW1110" s="11">
        <v>1130000.0</v>
      </c>
      <c r="BX1110" s="11">
        <v>1130000.0</v>
      </c>
      <c r="BY1110" s="11">
        <v>1020000.0</v>
      </c>
      <c r="BZ1110" s="11">
        <v>1070000.0</v>
      </c>
      <c r="CA1110" s="12"/>
      <c r="CB1110" s="11">
        <v>385860.0</v>
      </c>
      <c r="CC1110" s="11">
        <v>388460.0</v>
      </c>
      <c r="CD1110" s="11">
        <v>385790.0</v>
      </c>
      <c r="CE1110" s="11">
        <v>356190.0</v>
      </c>
      <c r="CF1110" s="12"/>
      <c r="CG1110" s="11">
        <v>291220.0</v>
      </c>
      <c r="CH1110" s="11">
        <v>323380.0</v>
      </c>
      <c r="CI1110" s="11">
        <v>221050.0</v>
      </c>
      <c r="CJ1110" s="11">
        <v>215620.0</v>
      </c>
      <c r="CK1110" s="12"/>
      <c r="CL1110" s="11">
        <v>1990000.0</v>
      </c>
      <c r="CM1110" s="11">
        <v>2030000.0</v>
      </c>
      <c r="CN1110" s="11">
        <v>1750000.0</v>
      </c>
      <c r="CO1110" s="11">
        <v>1680000.0</v>
      </c>
      <c r="CP1110" s="12"/>
      <c r="CQ1110" s="11">
        <v>29860.0</v>
      </c>
      <c r="CR1110" s="11">
        <v>34010.0</v>
      </c>
      <c r="CS1110" s="11">
        <v>23020.0</v>
      </c>
      <c r="CT1110" s="11">
        <v>24980.0</v>
      </c>
      <c r="CU1110" s="12"/>
      <c r="CV1110" s="11">
        <v>613710.0</v>
      </c>
      <c r="CW1110" s="11">
        <v>0.0</v>
      </c>
      <c r="CX1110" s="24">
        <v>0.0</v>
      </c>
      <c r="CY1110" s="24">
        <v>0.0</v>
      </c>
      <c r="CZ1110" s="24">
        <v>0.0</v>
      </c>
      <c r="DA1110" s="12"/>
      <c r="DB1110" s="11">
        <v>613710.0</v>
      </c>
      <c r="DC1110" s="11">
        <v>591040.0</v>
      </c>
      <c r="DD1110" s="11">
        <v>506360.0</v>
      </c>
      <c r="DE1110" s="11">
        <v>473230.0</v>
      </c>
      <c r="DF1110" s="11">
        <v>701380.0</v>
      </c>
      <c r="DG1110" s="11">
        <v>684080.0</v>
      </c>
      <c r="DH1110" s="11">
        <v>573430.0</v>
      </c>
      <c r="DI1110" s="11">
        <v>534280.0</v>
      </c>
      <c r="DJ1110" s="12"/>
      <c r="DK1110" s="11">
        <v>126580.0</v>
      </c>
      <c r="DL1110" s="11">
        <v>133200.0</v>
      </c>
      <c r="DM1110" s="11">
        <v>101650.0</v>
      </c>
      <c r="DN1110" s="11">
        <v>23390.0</v>
      </c>
      <c r="DO1110" s="12"/>
      <c r="DP1110" s="11">
        <v>0.0</v>
      </c>
      <c r="DQ1110" s="11">
        <v>0.0</v>
      </c>
      <c r="DR1110" s="11">
        <v>0.0</v>
      </c>
      <c r="DS1110" s="11">
        <v>0.0</v>
      </c>
      <c r="DT1110" s="12"/>
      <c r="DU1110" s="24">
        <v>0.0</v>
      </c>
      <c r="DV1110" s="11">
        <v>0.0</v>
      </c>
      <c r="DW1110" s="11">
        <v>0.0</v>
      </c>
      <c r="DX1110" s="24">
        <v>0.0</v>
      </c>
      <c r="DY1110" s="13"/>
      <c r="DZ1110" s="11">
        <v>1280000.0</v>
      </c>
      <c r="EA1110" s="11">
        <v>1350000.0</v>
      </c>
      <c r="EB1110" s="11">
        <v>1180000.0</v>
      </c>
      <c r="EC1110" s="11">
        <v>1150000.0</v>
      </c>
      <c r="ED1110" s="12"/>
      <c r="EE1110" s="14">
        <v>0.023</v>
      </c>
      <c r="EF1110" s="14">
        <v>0.086</v>
      </c>
      <c r="EG1110" s="14">
        <v>0.136</v>
      </c>
      <c r="EH1110" s="23"/>
    </row>
    <row r="1111">
      <c r="A1111" s="9">
        <f t="shared" si="2"/>
        <v>1109</v>
      </c>
      <c r="B1111" s="25" t="s">
        <v>1246</v>
      </c>
      <c r="C1111" s="15">
        <v>1.434E7</v>
      </c>
      <c r="D1111" s="15">
        <v>1.296E7</v>
      </c>
      <c r="E1111" s="15">
        <v>1.515E7</v>
      </c>
      <c r="F1111" s="15">
        <v>1.537E7</v>
      </c>
      <c r="G1111" s="15">
        <v>1.475E7</v>
      </c>
      <c r="H1111" s="15">
        <v>1.427E7</v>
      </c>
      <c r="I1111" s="15">
        <v>1.533E7</v>
      </c>
      <c r="J1111" s="15">
        <v>5910000.0</v>
      </c>
      <c r="K1111" s="15">
        <v>5810000.0</v>
      </c>
      <c r="L1111" s="15">
        <v>6080000.0</v>
      </c>
      <c r="M1111" s="15">
        <v>6060000.0</v>
      </c>
      <c r="N1111" s="15">
        <v>6240000.0</v>
      </c>
      <c r="O1111" s="15">
        <v>4020000.0</v>
      </c>
      <c r="P1111" s="15">
        <v>4010000.0</v>
      </c>
      <c r="Q1111" s="15">
        <v>4010000.0</v>
      </c>
      <c r="R1111" s="15">
        <v>4030000.0</v>
      </c>
      <c r="S1111" s="15">
        <v>4120000.0</v>
      </c>
      <c r="T1111" s="15">
        <v>432000.0</v>
      </c>
      <c r="U1111" s="15">
        <v>441000.0</v>
      </c>
      <c r="V1111" s="15">
        <v>451000.0</v>
      </c>
      <c r="W1111" s="15">
        <v>459000.0</v>
      </c>
      <c r="X1111" s="15">
        <v>486000.0</v>
      </c>
      <c r="Y1111" s="15">
        <v>1690000.0</v>
      </c>
      <c r="Z1111" s="15">
        <v>1690000.0</v>
      </c>
      <c r="AA1111" s="15">
        <v>-19000.0</v>
      </c>
      <c r="AB1111" s="15">
        <v>-1180000.0</v>
      </c>
      <c r="AC1111" s="15">
        <v>1820000.0</v>
      </c>
      <c r="AD1111" s="15">
        <v>1660000.0</v>
      </c>
      <c r="AE1111" s="15">
        <v>1690000.0</v>
      </c>
      <c r="AF1111" s="15">
        <v>2010000.0</v>
      </c>
      <c r="AG1111" s="15">
        <v>779000.0</v>
      </c>
      <c r="AH1111" s="15">
        <v>1880000.0</v>
      </c>
      <c r="AI1111" s="15">
        <v>2400000.0</v>
      </c>
      <c r="AJ1111" s="15">
        <v>2250000.0</v>
      </c>
      <c r="AK1111" s="15">
        <v>2440000.0</v>
      </c>
      <c r="AL1111" s="15">
        <v>2450000.0</v>
      </c>
      <c r="AM1111" s="15">
        <v>2460000.0</v>
      </c>
      <c r="AN1111" s="15">
        <v>1240000.0</v>
      </c>
      <c r="AO1111" s="15">
        <v>1320000.0</v>
      </c>
      <c r="AP1111" s="15">
        <v>1370000.0</v>
      </c>
      <c r="AQ1111" s="15">
        <v>543000.0</v>
      </c>
      <c r="AR1111" s="15">
        <v>1410000.0</v>
      </c>
      <c r="AS1111" s="15">
        <v>2080000.0</v>
      </c>
      <c r="AT1111" s="15">
        <v>1470000.0</v>
      </c>
      <c r="AU1111" s="15">
        <v>1570000.0</v>
      </c>
      <c r="AV1111" s="15">
        <v>1350000.0</v>
      </c>
      <c r="AW1111" s="15">
        <v>1840000.0</v>
      </c>
      <c r="AX1111" s="15">
        <v>-413000.0</v>
      </c>
      <c r="AY1111" s="15">
        <v>-411000.0</v>
      </c>
      <c r="AZ1111" s="15">
        <v>-360000.0</v>
      </c>
      <c r="BA1111" s="15">
        <v>-380000.0</v>
      </c>
      <c r="BB1111" s="15">
        <v>-476000.0</v>
      </c>
      <c r="BC1111" s="15">
        <v>-468000.0</v>
      </c>
      <c r="BD1111" s="15">
        <v>-453000.0</v>
      </c>
      <c r="BE1111" s="15">
        <v>-434000.0</v>
      </c>
      <c r="BF1111" s="15">
        <v>-414000.0</v>
      </c>
      <c r="BG1111" s="15">
        <v>-383000.0</v>
      </c>
      <c r="BH1111" s="15">
        <v>1280000.0</v>
      </c>
      <c r="BI1111" s="15">
        <v>967000.0</v>
      </c>
      <c r="BJ1111" s="15">
        <v>1500000.0</v>
      </c>
      <c r="BK1111" s="15">
        <v>1870000.0</v>
      </c>
      <c r="BL1111" s="15">
        <v>1460000.0</v>
      </c>
      <c r="BM1111" s="15">
        <v>2760000.0</v>
      </c>
      <c r="BN1111" s="15">
        <v>2850000.0</v>
      </c>
      <c r="BO1111" s="15">
        <v>2900000.0</v>
      </c>
      <c r="BP1111" s="15">
        <v>2650000.0</v>
      </c>
      <c r="BQ1111" s="15">
        <v>2790000.0</v>
      </c>
      <c r="BR1111" s="15">
        <v>1710000.0</v>
      </c>
      <c r="BS1111" s="15">
        <v>1780000.0</v>
      </c>
      <c r="BT1111" s="15">
        <v>1730000.0</v>
      </c>
      <c r="BU1111" s="15">
        <v>1510000.0</v>
      </c>
      <c r="BV1111" s="15">
        <v>1710000.0</v>
      </c>
      <c r="BW1111" s="15">
        <v>6170000.0</v>
      </c>
      <c r="BX1111" s="15">
        <v>5960000.0</v>
      </c>
      <c r="BY1111" s="15">
        <v>6480000.0</v>
      </c>
      <c r="BZ1111" s="15">
        <v>6570000.0</v>
      </c>
      <c r="CA1111" s="15">
        <v>6550000.0</v>
      </c>
      <c r="CB1111" s="15">
        <v>3770000.0</v>
      </c>
      <c r="CC1111" s="15">
        <v>2810000.0</v>
      </c>
      <c r="CD1111" s="15">
        <v>2820000.0</v>
      </c>
      <c r="CE1111" s="15">
        <v>2610000.0</v>
      </c>
      <c r="CF1111" s="15">
        <v>3020000.0</v>
      </c>
      <c r="CG1111" s="15">
        <v>4470000.0</v>
      </c>
      <c r="CH1111" s="15">
        <v>4070000.0</v>
      </c>
      <c r="CI1111" s="15">
        <v>3940000.0</v>
      </c>
      <c r="CJ1111" s="15">
        <v>3570000.0</v>
      </c>
      <c r="CK1111" s="15">
        <v>3670000.0</v>
      </c>
      <c r="CL1111" s="15">
        <v>1.771E7</v>
      </c>
      <c r="CM1111" s="15">
        <v>1.602E7</v>
      </c>
      <c r="CN1111" s="15">
        <v>1.654E7</v>
      </c>
      <c r="CO1111" s="15">
        <v>1.577E7</v>
      </c>
      <c r="CP1111" s="15">
        <v>1.708E7</v>
      </c>
      <c r="CQ1111" s="15">
        <v>2100000.0</v>
      </c>
      <c r="CR1111" s="15">
        <v>2180000.0</v>
      </c>
      <c r="CS1111" s="15">
        <v>2320000.0</v>
      </c>
      <c r="CT1111" s="15">
        <v>1910000.0</v>
      </c>
      <c r="CU1111" s="15">
        <v>1940000.0</v>
      </c>
      <c r="CV1111" s="15">
        <v>4380000.0</v>
      </c>
      <c r="CW1111" s="15">
        <v>180000.0</v>
      </c>
      <c r="CX1111" s="15">
        <v>4000.0</v>
      </c>
      <c r="CY1111" s="15">
        <v>8000.0</v>
      </c>
      <c r="CZ1111" s="15">
        <v>99000.0</v>
      </c>
      <c r="DA1111" s="15">
        <v>29000.0</v>
      </c>
      <c r="DB1111" s="15">
        <v>4380000.0</v>
      </c>
      <c r="DC1111" s="15">
        <v>4370000.0</v>
      </c>
      <c r="DD1111" s="15">
        <v>3900000.0</v>
      </c>
      <c r="DE1111" s="15">
        <v>4250000.0</v>
      </c>
      <c r="DF1111" s="15">
        <v>1.231E7</v>
      </c>
      <c r="DG1111" s="15">
        <v>1.128E7</v>
      </c>
      <c r="DH1111" s="15">
        <v>1.087E7</v>
      </c>
      <c r="DI1111" s="15">
        <v>1.086E7</v>
      </c>
      <c r="DJ1111" s="15">
        <v>1.201E7</v>
      </c>
      <c r="DK1111" s="15">
        <v>258000.0</v>
      </c>
      <c r="DL1111" s="15">
        <v>251000.0</v>
      </c>
      <c r="DM1111" s="15">
        <v>268000.0</v>
      </c>
      <c r="DN1111" s="15">
        <v>179000.0</v>
      </c>
      <c r="DO1111" s="15">
        <v>367000.0</v>
      </c>
      <c r="DP1111" s="15">
        <v>5160000.0</v>
      </c>
      <c r="DQ1111" s="15">
        <v>4370000.0</v>
      </c>
      <c r="DR1111" s="15">
        <v>4130000.0</v>
      </c>
      <c r="DS1111" s="15">
        <v>3790000.0</v>
      </c>
      <c r="DT1111" s="15">
        <v>4040000.0</v>
      </c>
      <c r="DU1111" s="13"/>
      <c r="DV1111" s="12"/>
      <c r="DW1111" s="12"/>
      <c r="DX1111" s="12"/>
      <c r="DY1111" s="12"/>
      <c r="DZ1111" s="15">
        <v>5280000.0</v>
      </c>
      <c r="EA1111" s="15">
        <v>4630000.0</v>
      </c>
      <c r="EB1111" s="15">
        <v>5560000.0</v>
      </c>
      <c r="EC1111" s="15">
        <v>4830000.0</v>
      </c>
      <c r="ED1111" s="15">
        <v>4980000.0</v>
      </c>
      <c r="EE1111" s="17">
        <v>0.08</v>
      </c>
      <c r="EF1111" s="17">
        <v>0.109</v>
      </c>
      <c r="EG1111" s="17">
        <v>0.008</v>
      </c>
      <c r="EH1111" s="17">
        <v>0.009</v>
      </c>
    </row>
    <row r="1112">
      <c r="A1112" s="9">
        <f t="shared" si="2"/>
        <v>1110</v>
      </c>
      <c r="B1112" s="22" t="s">
        <v>1247</v>
      </c>
      <c r="C1112" s="11">
        <v>3430000.0</v>
      </c>
      <c r="D1112" s="11">
        <v>3090000.0</v>
      </c>
      <c r="E1112" s="11">
        <v>3070000.0</v>
      </c>
      <c r="F1112" s="11">
        <v>2870000.0</v>
      </c>
      <c r="G1112" s="11">
        <v>2260000.0</v>
      </c>
      <c r="H1112" s="11">
        <v>1810000.0</v>
      </c>
      <c r="I1112" s="11">
        <v>1610000.0</v>
      </c>
      <c r="J1112" s="11">
        <v>761740.0</v>
      </c>
      <c r="K1112" s="11">
        <v>689040.0</v>
      </c>
      <c r="L1112" s="11">
        <v>586280.0</v>
      </c>
      <c r="M1112" s="11">
        <v>477830.0</v>
      </c>
      <c r="N1112" s="11">
        <v>411370.0</v>
      </c>
      <c r="O1112" s="11">
        <v>394930.0</v>
      </c>
      <c r="P1112" s="11">
        <v>371800.0</v>
      </c>
      <c r="Q1112" s="11">
        <v>320090.0</v>
      </c>
      <c r="R1112" s="11">
        <v>270420.0</v>
      </c>
      <c r="S1112" s="11">
        <v>246420.0</v>
      </c>
      <c r="T1112" s="12"/>
      <c r="U1112" s="12"/>
      <c r="V1112" s="12"/>
      <c r="W1112" s="12"/>
      <c r="X1112" s="12"/>
      <c r="Y1112" s="11">
        <v>361060.0</v>
      </c>
      <c r="Z1112" s="11">
        <v>280480.0</v>
      </c>
      <c r="AA1112" s="11">
        <v>161560.0</v>
      </c>
      <c r="AB1112" s="11">
        <v>125920.0</v>
      </c>
      <c r="AC1112" s="11">
        <v>163370.0</v>
      </c>
      <c r="AD1112" s="11">
        <v>305930.0</v>
      </c>
      <c r="AE1112" s="11">
        <v>221550.0</v>
      </c>
      <c r="AF1112" s="11">
        <v>74550.0</v>
      </c>
      <c r="AG1112" s="11">
        <v>93890.0</v>
      </c>
      <c r="AH1112" s="11">
        <v>115170.0</v>
      </c>
      <c r="AI1112" s="11">
        <v>481720.0</v>
      </c>
      <c r="AJ1112" s="11">
        <v>429500.0</v>
      </c>
      <c r="AK1112" s="11">
        <v>344420.0</v>
      </c>
      <c r="AL1112" s="11">
        <v>276920.0</v>
      </c>
      <c r="AM1112" s="11">
        <v>242900.0</v>
      </c>
      <c r="AN1112" s="11">
        <v>243020.0</v>
      </c>
      <c r="AO1112" s="11">
        <v>153910.0</v>
      </c>
      <c r="AP1112" s="11">
        <v>86930.0</v>
      </c>
      <c r="AQ1112" s="11">
        <v>68180.0</v>
      </c>
      <c r="AR1112" s="11">
        <v>81770.0</v>
      </c>
      <c r="AS1112" s="11">
        <v>253570.0</v>
      </c>
      <c r="AT1112" s="11">
        <v>329790.0</v>
      </c>
      <c r="AU1112" s="11">
        <v>220410.0</v>
      </c>
      <c r="AV1112" s="11">
        <v>163750.0</v>
      </c>
      <c r="AW1112" s="11">
        <v>153680.0</v>
      </c>
      <c r="AX1112" s="11">
        <v>-74290.0</v>
      </c>
      <c r="AY1112" s="11">
        <v>-55880.0</v>
      </c>
      <c r="AZ1112" s="11">
        <v>-61320.0</v>
      </c>
      <c r="BA1112" s="11">
        <v>-33140.0</v>
      </c>
      <c r="BB1112" s="11">
        <v>-32810.0</v>
      </c>
      <c r="BC1112" s="12"/>
      <c r="BD1112" s="12"/>
      <c r="BE1112" s="12"/>
      <c r="BF1112" s="12"/>
      <c r="BG1112" s="12"/>
      <c r="BH1112" s="11">
        <v>236270.0</v>
      </c>
      <c r="BI1112" s="11">
        <v>144710.0</v>
      </c>
      <c r="BJ1112" s="11">
        <v>192890.0</v>
      </c>
      <c r="BK1112" s="11">
        <v>149340.0</v>
      </c>
      <c r="BL1112" s="11">
        <v>126130.0</v>
      </c>
      <c r="BM1112" s="11">
        <v>661160.0</v>
      </c>
      <c r="BN1112" s="11">
        <v>571040.0</v>
      </c>
      <c r="BO1112" s="11">
        <v>628550.0</v>
      </c>
      <c r="BP1112" s="11">
        <v>440030.0</v>
      </c>
      <c r="BQ1112" s="11">
        <v>417480.0</v>
      </c>
      <c r="BR1112" s="12"/>
      <c r="BS1112" s="12"/>
      <c r="BT1112" s="12"/>
      <c r="BU1112" s="12"/>
      <c r="BV1112" s="12"/>
      <c r="BW1112" s="11">
        <v>985570.0</v>
      </c>
      <c r="BX1112" s="11">
        <v>782360.0</v>
      </c>
      <c r="BY1112" s="11">
        <v>877020.0</v>
      </c>
      <c r="BZ1112" s="11">
        <v>624740.0</v>
      </c>
      <c r="CA1112" s="11">
        <v>573780.0</v>
      </c>
      <c r="CB1112" s="11">
        <v>367060.0</v>
      </c>
      <c r="CC1112" s="11">
        <v>154760.0</v>
      </c>
      <c r="CD1112" s="11">
        <v>143070.0</v>
      </c>
      <c r="CE1112" s="11">
        <v>87580.0</v>
      </c>
      <c r="CF1112" s="11">
        <v>80690.0</v>
      </c>
      <c r="CG1112" s="11">
        <v>1500000.0</v>
      </c>
      <c r="CH1112" s="11">
        <v>1490000.0</v>
      </c>
      <c r="CI1112" s="11">
        <v>1510000.0</v>
      </c>
      <c r="CJ1112" s="11">
        <v>971980.0</v>
      </c>
      <c r="CK1112" s="11">
        <v>1010000.0</v>
      </c>
      <c r="CL1112" s="11">
        <v>3540000.0</v>
      </c>
      <c r="CM1112" s="11">
        <v>3190000.0</v>
      </c>
      <c r="CN1112" s="11">
        <v>3360000.0</v>
      </c>
      <c r="CO1112" s="11">
        <v>2190000.0</v>
      </c>
      <c r="CP1112" s="11">
        <v>2230000.0</v>
      </c>
      <c r="CQ1112" s="11">
        <v>55290.0</v>
      </c>
      <c r="CR1112" s="11">
        <v>43730.0</v>
      </c>
      <c r="CS1112" s="11">
        <v>64640.0</v>
      </c>
      <c r="CT1112" s="11">
        <v>51340.0</v>
      </c>
      <c r="CU1112" s="11">
        <v>57100.0</v>
      </c>
      <c r="CV1112" s="11">
        <v>1020000.0</v>
      </c>
      <c r="CW1112" s="11">
        <v>37600.0</v>
      </c>
      <c r="CX1112" s="12"/>
      <c r="CY1112" s="12"/>
      <c r="CZ1112" s="12"/>
      <c r="DA1112" s="12"/>
      <c r="DB1112" s="11">
        <v>1020000.0</v>
      </c>
      <c r="DC1112" s="11">
        <v>898870.0</v>
      </c>
      <c r="DD1112" s="11">
        <v>971620.0</v>
      </c>
      <c r="DE1112" s="11">
        <v>564200.0</v>
      </c>
      <c r="DF1112" s="11">
        <v>2450000.0</v>
      </c>
      <c r="DG1112" s="11">
        <v>2140000.0</v>
      </c>
      <c r="DH1112" s="11">
        <v>2420000.0</v>
      </c>
      <c r="DI1112" s="11">
        <v>1460000.0</v>
      </c>
      <c r="DJ1112" s="11">
        <v>1530000.0</v>
      </c>
      <c r="DK1112" s="12"/>
      <c r="DL1112" s="12"/>
      <c r="DM1112" s="11">
        <v>407.0</v>
      </c>
      <c r="DN1112" s="11">
        <v>284.0</v>
      </c>
      <c r="DO1112" s="11">
        <v>1290.0</v>
      </c>
      <c r="DP1112" s="11">
        <v>1310000.0</v>
      </c>
      <c r="DQ1112" s="11">
        <v>1080000.0</v>
      </c>
      <c r="DR1112" s="11">
        <v>1230000.0</v>
      </c>
      <c r="DS1112" s="11">
        <v>797050.0</v>
      </c>
      <c r="DT1112" s="11">
        <v>889510.0</v>
      </c>
      <c r="DU1112" s="13"/>
      <c r="DV1112" s="12"/>
      <c r="DW1112" s="12"/>
      <c r="DX1112" s="13"/>
      <c r="DY1112" s="13"/>
      <c r="DZ1112" s="11">
        <v>1090000.0</v>
      </c>
      <c r="EA1112" s="11">
        <v>1050000.0</v>
      </c>
      <c r="EB1112" s="11">
        <v>930770.0</v>
      </c>
      <c r="EC1112" s="11">
        <v>729250.0</v>
      </c>
      <c r="ED1112" s="11">
        <v>702720.0</v>
      </c>
      <c r="EE1112" s="14">
        <v>0.045</v>
      </c>
      <c r="EF1112" s="14">
        <v>0.055</v>
      </c>
      <c r="EG1112" s="14">
        <v>0.036</v>
      </c>
      <c r="EH1112" s="14">
        <v>0.037</v>
      </c>
    </row>
    <row r="1113">
      <c r="A1113" s="9">
        <f t="shared" si="2"/>
        <v>1111</v>
      </c>
      <c r="B1113" s="32" t="s">
        <v>1248</v>
      </c>
      <c r="C1113" s="11">
        <v>5280000.0</v>
      </c>
      <c r="D1113" s="11">
        <v>5200000.0</v>
      </c>
      <c r="E1113" s="11">
        <v>4840000.0</v>
      </c>
      <c r="F1113" s="11">
        <v>4730000.0</v>
      </c>
      <c r="G1113" s="11">
        <v>4940000.0</v>
      </c>
      <c r="H1113" s="11">
        <v>5280000.0</v>
      </c>
      <c r="I1113" s="11">
        <v>5270000.0</v>
      </c>
      <c r="J1113" s="11">
        <v>1770000.0</v>
      </c>
      <c r="K1113" s="11">
        <v>1830000.0</v>
      </c>
      <c r="L1113" s="11">
        <v>1970000.0</v>
      </c>
      <c r="M1113" s="11">
        <v>2050000.0</v>
      </c>
      <c r="N1113" s="11">
        <v>2160000.0</v>
      </c>
      <c r="O1113" s="11">
        <v>1340000.0</v>
      </c>
      <c r="P1113" s="11">
        <v>1340000.0</v>
      </c>
      <c r="Q1113" s="11">
        <v>1300000.0</v>
      </c>
      <c r="R1113" s="11">
        <v>1390000.0</v>
      </c>
      <c r="S1113" s="11">
        <v>1540000.0</v>
      </c>
      <c r="T1113" s="11">
        <v>187400.0</v>
      </c>
      <c r="U1113" s="11">
        <v>218600.0</v>
      </c>
      <c r="V1113" s="11">
        <v>155000.0</v>
      </c>
      <c r="W1113" s="11">
        <v>184000.0</v>
      </c>
      <c r="X1113" s="11">
        <v>176400.0</v>
      </c>
      <c r="Y1113" s="11">
        <v>186100.0</v>
      </c>
      <c r="Z1113" s="11">
        <v>246900.0</v>
      </c>
      <c r="AA1113" s="11">
        <v>417400.0</v>
      </c>
      <c r="AB1113" s="11">
        <v>-4640000.0</v>
      </c>
      <c r="AC1113" s="11">
        <v>-195700.0</v>
      </c>
      <c r="AD1113" s="11">
        <v>171000.0</v>
      </c>
      <c r="AE1113" s="11">
        <v>290600.0</v>
      </c>
      <c r="AF1113" s="11">
        <v>280100.0</v>
      </c>
      <c r="AG1113" s="11">
        <v>-4850000.0</v>
      </c>
      <c r="AH1113" s="11">
        <v>17800.0</v>
      </c>
      <c r="AI1113" s="11">
        <v>832900.0</v>
      </c>
      <c r="AJ1113" s="11">
        <v>908300.0</v>
      </c>
      <c r="AK1113" s="11">
        <v>1110000.0</v>
      </c>
      <c r="AL1113" s="11">
        <v>1110000.0</v>
      </c>
      <c r="AM1113" s="11">
        <v>986800.0</v>
      </c>
      <c r="AN1113" s="11">
        <v>146100.0</v>
      </c>
      <c r="AO1113" s="11">
        <v>131000.0</v>
      </c>
      <c r="AP1113" s="11">
        <v>119600.0</v>
      </c>
      <c r="AQ1113" s="11">
        <v>-4010000.0</v>
      </c>
      <c r="AR1113" s="11">
        <v>85000.0</v>
      </c>
      <c r="AS1113" s="11">
        <v>387800.0</v>
      </c>
      <c r="AT1113" s="11">
        <v>593000.0</v>
      </c>
      <c r="AU1113" s="11">
        <v>694100.0</v>
      </c>
      <c r="AV1113" s="11">
        <v>654900.0</v>
      </c>
      <c r="AW1113" s="11">
        <v>200900.0</v>
      </c>
      <c r="AX1113" s="11">
        <v>-286800.0</v>
      </c>
      <c r="AY1113" s="11">
        <v>-138200.0</v>
      </c>
      <c r="AZ1113" s="11">
        <v>-88600.0</v>
      </c>
      <c r="BA1113" s="11">
        <v>-171300.0</v>
      </c>
      <c r="BB1113" s="11">
        <v>-77800.0</v>
      </c>
      <c r="BC1113" s="11">
        <v>-112400.0</v>
      </c>
      <c r="BD1113" s="11">
        <v>-104900.0</v>
      </c>
      <c r="BE1113" s="11">
        <v>-91100.0</v>
      </c>
      <c r="BF1113" s="11">
        <v>-83200.0</v>
      </c>
      <c r="BG1113" s="11">
        <v>-36300.0</v>
      </c>
      <c r="BH1113" s="11">
        <v>360900.0</v>
      </c>
      <c r="BI1113" s="11">
        <v>560500.0</v>
      </c>
      <c r="BJ1113" s="11">
        <v>695700.0</v>
      </c>
      <c r="BK1113" s="11">
        <v>660500.0</v>
      </c>
      <c r="BL1113" s="11">
        <v>417800.0</v>
      </c>
      <c r="BM1113" s="11">
        <v>1270000.0</v>
      </c>
      <c r="BN1113" s="11">
        <v>1100000.0</v>
      </c>
      <c r="BO1113" s="11">
        <v>1130000.0</v>
      </c>
      <c r="BP1113" s="11">
        <v>1180000.0</v>
      </c>
      <c r="BQ1113" s="11">
        <v>1190000.0</v>
      </c>
      <c r="BR1113" s="11">
        <v>967300.0</v>
      </c>
      <c r="BS1113" s="11">
        <v>878000.0</v>
      </c>
      <c r="BT1113" s="11">
        <v>806900.0</v>
      </c>
      <c r="BU1113" s="11">
        <v>795000.0</v>
      </c>
      <c r="BV1113" s="11">
        <v>898700.0</v>
      </c>
      <c r="BW1113" s="11">
        <v>2760000.0</v>
      </c>
      <c r="BX1113" s="11">
        <v>2900000.0</v>
      </c>
      <c r="BY1113" s="11">
        <v>2820000.0</v>
      </c>
      <c r="BZ1113" s="11">
        <v>2810000.0</v>
      </c>
      <c r="CA1113" s="11">
        <v>2790000.0</v>
      </c>
      <c r="CB1113" s="11">
        <v>1030000.0</v>
      </c>
      <c r="CC1113" s="11">
        <v>829100.0</v>
      </c>
      <c r="CD1113" s="11">
        <v>833100.0</v>
      </c>
      <c r="CE1113" s="11">
        <v>870100.0</v>
      </c>
      <c r="CF1113" s="11">
        <v>886200.0</v>
      </c>
      <c r="CG1113" s="11">
        <v>4120000.0</v>
      </c>
      <c r="CH1113" s="11">
        <v>3980000.0</v>
      </c>
      <c r="CI1113" s="11">
        <v>4180000.0</v>
      </c>
      <c r="CJ1113" s="11">
        <v>4050000.0</v>
      </c>
      <c r="CK1113" s="11">
        <v>5150000.0</v>
      </c>
      <c r="CL1113" s="11">
        <v>1.13E7</v>
      </c>
      <c r="CM1113" s="11">
        <v>1.098E7</v>
      </c>
      <c r="CN1113" s="11">
        <v>1.163E7</v>
      </c>
      <c r="CO1113" s="11">
        <v>1.387E7</v>
      </c>
      <c r="CP1113" s="11">
        <v>1.935E7</v>
      </c>
      <c r="CQ1113" s="11">
        <v>520200.0</v>
      </c>
      <c r="CR1113" s="11">
        <v>474900.0</v>
      </c>
      <c r="CS1113" s="11">
        <v>450200.0</v>
      </c>
      <c r="CT1113" s="11">
        <v>471700.0</v>
      </c>
      <c r="CU1113" s="11">
        <v>555800.0</v>
      </c>
      <c r="CV1113" s="11">
        <v>1340000.0</v>
      </c>
      <c r="CW1113" s="11">
        <v>32000.0</v>
      </c>
      <c r="CX1113" s="13"/>
      <c r="CY1113" s="13"/>
      <c r="CZ1113" s="13"/>
      <c r="DA1113" s="12"/>
      <c r="DB1113" s="11">
        <v>1340000.0</v>
      </c>
      <c r="DC1113" s="11">
        <v>1540000.0</v>
      </c>
      <c r="DD1113" s="11">
        <v>1440000.0</v>
      </c>
      <c r="DE1113" s="11">
        <v>1840000.0</v>
      </c>
      <c r="DF1113" s="11">
        <v>5500000.0</v>
      </c>
      <c r="DG1113" s="11">
        <v>5320000.0</v>
      </c>
      <c r="DH1113" s="11">
        <v>5460000.0</v>
      </c>
      <c r="DI1113" s="11">
        <v>7910000.0</v>
      </c>
      <c r="DJ1113" s="11">
        <v>9240000.0</v>
      </c>
      <c r="DK1113" s="11">
        <v>20100.0</v>
      </c>
      <c r="DL1113" s="11">
        <v>19500.0</v>
      </c>
      <c r="DM1113" s="11">
        <v>11200.0</v>
      </c>
      <c r="DN1113" s="11">
        <v>2360000.0</v>
      </c>
      <c r="DO1113" s="11">
        <v>5360000.0</v>
      </c>
      <c r="DP1113" s="11">
        <v>3470000.0</v>
      </c>
      <c r="DQ1113" s="11">
        <v>3050000.0</v>
      </c>
      <c r="DR1113" s="11">
        <v>3270000.0</v>
      </c>
      <c r="DS1113" s="11">
        <v>5220000.0</v>
      </c>
      <c r="DT1113" s="11">
        <v>4970000.0</v>
      </c>
      <c r="DU1113" s="13"/>
      <c r="DV1113" s="12"/>
      <c r="DW1113" s="12"/>
      <c r="DX1113" s="12"/>
      <c r="DY1113" s="13"/>
      <c r="DZ1113" s="11">
        <v>5800000.0</v>
      </c>
      <c r="EA1113" s="11">
        <v>5670000.0</v>
      </c>
      <c r="EB1113" s="11">
        <v>6170000.0</v>
      </c>
      <c r="EC1113" s="11">
        <v>5960000.0</v>
      </c>
      <c r="ED1113" s="11">
        <v>1.011E7</v>
      </c>
      <c r="EE1113" s="14">
        <v>0.023</v>
      </c>
      <c r="EF1113" s="14">
        <v>0.036</v>
      </c>
      <c r="EG1113" s="14">
        <v>0.107</v>
      </c>
      <c r="EH1113" s="14">
        <v>0.076</v>
      </c>
    </row>
    <row r="1114">
      <c r="A1114" s="9">
        <f t="shared" si="2"/>
        <v>1112</v>
      </c>
      <c r="B1114" s="10" t="s">
        <v>1249</v>
      </c>
      <c r="C1114" s="11">
        <v>3240000.0</v>
      </c>
      <c r="D1114" s="11">
        <v>3250000.0</v>
      </c>
      <c r="E1114" s="11">
        <v>3110000.0</v>
      </c>
      <c r="F1114" s="11">
        <v>2940000.0</v>
      </c>
      <c r="G1114" s="11">
        <v>2380000.0</v>
      </c>
      <c r="H1114" s="11">
        <v>2000000.0</v>
      </c>
      <c r="I1114" s="11">
        <v>1930000.0</v>
      </c>
      <c r="J1114" s="11">
        <v>330930.0</v>
      </c>
      <c r="K1114" s="11">
        <v>325740.0</v>
      </c>
      <c r="L1114" s="11">
        <v>278430.0</v>
      </c>
      <c r="M1114" s="11">
        <v>201310.0</v>
      </c>
      <c r="N1114" s="11">
        <v>219870.0</v>
      </c>
      <c r="O1114" s="11">
        <v>190050.0</v>
      </c>
      <c r="P1114" s="11">
        <v>182010.0</v>
      </c>
      <c r="Q1114" s="11">
        <v>172150.0</v>
      </c>
      <c r="R1114" s="11">
        <v>140840.0</v>
      </c>
      <c r="S1114" s="11">
        <v>151950.0</v>
      </c>
      <c r="T1114" s="11"/>
      <c r="U1114" s="11"/>
      <c r="V1114" s="11"/>
      <c r="W1114" s="11"/>
      <c r="X1114" s="11"/>
      <c r="Y1114" s="11">
        <v>136270.0</v>
      </c>
      <c r="Z1114" s="11">
        <v>126590.0</v>
      </c>
      <c r="AA1114" s="12"/>
      <c r="AB1114" s="11">
        <v>-2720.0</v>
      </c>
      <c r="AC1114" s="11">
        <v>69270.0</v>
      </c>
      <c r="AD1114" s="11">
        <v>117910.0</v>
      </c>
      <c r="AE1114" s="11">
        <v>113360.0</v>
      </c>
      <c r="AF1114" s="11">
        <v>105280.0</v>
      </c>
      <c r="AG1114" s="11">
        <v>48870.0</v>
      </c>
      <c r="AH1114" s="11">
        <v>61100.0</v>
      </c>
      <c r="AI1114" s="11">
        <v>226280.0</v>
      </c>
      <c r="AJ1114" s="11">
        <v>222980.0</v>
      </c>
      <c r="AK1114" s="11">
        <v>172590.0</v>
      </c>
      <c r="AL1114" s="11">
        <v>128500.0</v>
      </c>
      <c r="AM1114" s="11">
        <v>133120.0</v>
      </c>
      <c r="AN1114" s="11">
        <v>82330.0</v>
      </c>
      <c r="AO1114" s="11">
        <v>77460.0</v>
      </c>
      <c r="AP1114" s="11">
        <v>72350.0</v>
      </c>
      <c r="AQ1114" s="11">
        <v>26720.0</v>
      </c>
      <c r="AR1114" s="11">
        <v>36870.0</v>
      </c>
      <c r="AS1114" s="11">
        <v>117980.0</v>
      </c>
      <c r="AT1114" s="11">
        <v>126820.0</v>
      </c>
      <c r="AU1114" s="11">
        <v>189460.0</v>
      </c>
      <c r="AV1114" s="11">
        <v>60460.0</v>
      </c>
      <c r="AW1114" s="11">
        <v>50490.0</v>
      </c>
      <c r="AX1114" s="11">
        <v>-94490.0</v>
      </c>
      <c r="AY1114" s="11">
        <v>-110190.0</v>
      </c>
      <c r="AZ1114" s="11">
        <v>-79780.0</v>
      </c>
      <c r="BA1114" s="11">
        <v>-58030.0</v>
      </c>
      <c r="BB1114" s="11">
        <v>-67100.0</v>
      </c>
      <c r="BC1114" s="24">
        <v>-12210.0</v>
      </c>
      <c r="BD1114" s="24">
        <v>-12340.0</v>
      </c>
      <c r="BE1114" s="24">
        <v>-11330.0</v>
      </c>
      <c r="BF1114" s="24">
        <v>-11380.0</v>
      </c>
      <c r="BG1114" s="24">
        <v>-9810.0</v>
      </c>
      <c r="BH1114" s="11">
        <v>120290.0</v>
      </c>
      <c r="BI1114" s="11">
        <v>151060.0</v>
      </c>
      <c r="BJ1114" s="11">
        <v>170390.0</v>
      </c>
      <c r="BK1114" s="11">
        <v>135820.0</v>
      </c>
      <c r="BL1114" s="11">
        <v>161120.0</v>
      </c>
      <c r="BM1114" s="11">
        <v>737730.0</v>
      </c>
      <c r="BN1114" s="11">
        <v>711230.0</v>
      </c>
      <c r="BO1114" s="11">
        <v>518270.0</v>
      </c>
      <c r="BP1114" s="11">
        <v>526620.0</v>
      </c>
      <c r="BQ1114" s="11">
        <v>437040.0</v>
      </c>
      <c r="BR1114" s="11">
        <v>11980.0</v>
      </c>
      <c r="BS1114" s="11">
        <v>25720.0</v>
      </c>
      <c r="BT1114" s="11">
        <v>40920.0</v>
      </c>
      <c r="BU1114" s="11">
        <v>49200.0</v>
      </c>
      <c r="BV1114" s="11">
        <v>67800.0</v>
      </c>
      <c r="BW1114" s="11">
        <v>912710.0</v>
      </c>
      <c r="BX1114" s="11">
        <v>924450.0</v>
      </c>
      <c r="BY1114" s="11">
        <v>743210.0</v>
      </c>
      <c r="BZ1114" s="11">
        <v>731110.0</v>
      </c>
      <c r="CA1114" s="11">
        <v>686820.0</v>
      </c>
      <c r="CB1114" s="11">
        <v>618270.0</v>
      </c>
      <c r="CC1114" s="11">
        <v>375880.0</v>
      </c>
      <c r="CD1114" s="11">
        <v>311780.0</v>
      </c>
      <c r="CE1114" s="11">
        <v>277350.0</v>
      </c>
      <c r="CF1114" s="11">
        <v>283550.0</v>
      </c>
      <c r="CG1114" s="11">
        <v>215100.0</v>
      </c>
      <c r="CH1114" s="11">
        <v>206160.0</v>
      </c>
      <c r="CI1114" s="11">
        <v>153370.0</v>
      </c>
      <c r="CJ1114" s="11">
        <v>127230.0</v>
      </c>
      <c r="CK1114" s="11">
        <v>124160.0</v>
      </c>
      <c r="CL1114" s="11">
        <v>1830000.0</v>
      </c>
      <c r="CM1114" s="11">
        <v>1590000.0</v>
      </c>
      <c r="CN1114" s="11">
        <v>1260000.0</v>
      </c>
      <c r="CO1114" s="11">
        <v>1170000.0</v>
      </c>
      <c r="CP1114" s="11">
        <v>1130000.0</v>
      </c>
      <c r="CQ1114" s="11">
        <v>235970.0</v>
      </c>
      <c r="CR1114" s="11">
        <v>249220.0</v>
      </c>
      <c r="CS1114" s="11">
        <v>140940.0</v>
      </c>
      <c r="CT1114" s="11">
        <v>168110.0</v>
      </c>
      <c r="CU1114" s="11">
        <v>124450.0</v>
      </c>
      <c r="CV1114" s="11">
        <v>670450.0</v>
      </c>
      <c r="CW1114" s="11">
        <v>74040.0</v>
      </c>
      <c r="CX1114" s="13"/>
      <c r="CY1114" s="13"/>
      <c r="CZ1114" s="13"/>
      <c r="DA1114" s="12"/>
      <c r="DB1114" s="11">
        <v>670450.0</v>
      </c>
      <c r="DC1114" s="11">
        <v>621810.0</v>
      </c>
      <c r="DD1114" s="11">
        <v>480760.0</v>
      </c>
      <c r="DE1114" s="11">
        <v>449940.0</v>
      </c>
      <c r="DF1114" s="11">
        <v>1200000.0</v>
      </c>
      <c r="DG1114" s="11">
        <v>987160.0</v>
      </c>
      <c r="DH1114" s="11">
        <v>693560.0</v>
      </c>
      <c r="DI1114" s="11">
        <v>672000.0</v>
      </c>
      <c r="DJ1114" s="11">
        <v>648790.0</v>
      </c>
      <c r="DK1114" s="12"/>
      <c r="DL1114" s="11"/>
      <c r="DM1114" s="11"/>
      <c r="DN1114" s="11"/>
      <c r="DO1114" s="11"/>
      <c r="DP1114" s="11">
        <v>466870.0</v>
      </c>
      <c r="DQ1114" s="11">
        <v>305670.0</v>
      </c>
      <c r="DR1114" s="11">
        <v>193550.0</v>
      </c>
      <c r="DS1114" s="11">
        <v>203170.0</v>
      </c>
      <c r="DT1114" s="11">
        <v>219880.0</v>
      </c>
      <c r="DU1114" s="13"/>
      <c r="DV1114" s="12"/>
      <c r="DW1114" s="12"/>
      <c r="DX1114" s="13"/>
      <c r="DY1114" s="13"/>
      <c r="DZ1114" s="11">
        <v>628500.0</v>
      </c>
      <c r="EA1114" s="11">
        <v>604220.0</v>
      </c>
      <c r="EB1114" s="11">
        <v>556470.0</v>
      </c>
      <c r="EC1114" s="11">
        <v>497350.0</v>
      </c>
      <c r="ED1114" s="11">
        <v>483250.0</v>
      </c>
      <c r="EE1114" s="23">
        <v>0.132307692</v>
      </c>
      <c r="EF1114" s="23">
        <v>0.061728395</v>
      </c>
      <c r="EG1114" s="14">
        <v>-7.0</v>
      </c>
      <c r="EH1114" s="23">
        <v>-1.66825</v>
      </c>
    </row>
    <row r="1115">
      <c r="A1115" s="9">
        <f t="shared" si="2"/>
        <v>1113</v>
      </c>
      <c r="B1115" s="10" t="s">
        <v>1250</v>
      </c>
      <c r="C1115" s="15">
        <v>326820.0</v>
      </c>
      <c r="D1115" s="15">
        <v>312850.0</v>
      </c>
      <c r="E1115" s="15">
        <v>3180000.0</v>
      </c>
      <c r="F1115" s="15">
        <v>3080000.0</v>
      </c>
      <c r="G1115" s="15">
        <v>2950000.0</v>
      </c>
      <c r="H1115" s="15">
        <v>2150000.0</v>
      </c>
      <c r="I1115" s="15">
        <v>3770000.0</v>
      </c>
      <c r="J1115" s="15">
        <v>1640000.0</v>
      </c>
      <c r="K1115" s="15">
        <v>1530000.0</v>
      </c>
      <c r="L1115" s="15">
        <v>1460000.0</v>
      </c>
      <c r="M1115" s="15">
        <v>1120000.0</v>
      </c>
      <c r="N1115" s="15">
        <v>1150000.0</v>
      </c>
      <c r="O1115" s="15">
        <v>1480000.0</v>
      </c>
      <c r="P1115" s="15">
        <v>1420000.0</v>
      </c>
      <c r="Q1115" s="15">
        <v>1350000.0</v>
      </c>
      <c r="R1115" s="15">
        <v>1070000.0</v>
      </c>
      <c r="S1115" s="15">
        <v>983330.0</v>
      </c>
      <c r="T1115" s="15"/>
      <c r="U1115" s="15"/>
      <c r="V1115" s="15"/>
      <c r="W1115" s="15"/>
      <c r="X1115" s="15">
        <v>3580.0</v>
      </c>
      <c r="Y1115" s="15">
        <v>140920.0</v>
      </c>
      <c r="Z1115" s="15">
        <v>128320.0</v>
      </c>
      <c r="AA1115" s="15">
        <v>-31670.0</v>
      </c>
      <c r="AB1115" s="15">
        <v>-49680.0</v>
      </c>
      <c r="AC1115" s="15">
        <v>139710.0</v>
      </c>
      <c r="AD1115" s="15">
        <v>12470.0</v>
      </c>
      <c r="AE1115" s="15">
        <v>31240.0</v>
      </c>
      <c r="AF1115" s="15">
        <v>-43610.0</v>
      </c>
      <c r="AG1115" s="15">
        <v>-51800.0</v>
      </c>
      <c r="AH1115" s="15">
        <v>-2690.0</v>
      </c>
      <c r="AI1115" s="15">
        <v>418770.0</v>
      </c>
      <c r="AJ1115" s="15">
        <v>368490.0</v>
      </c>
      <c r="AK1115" s="15">
        <v>352800.0</v>
      </c>
      <c r="AL1115" s="15">
        <v>249880.0</v>
      </c>
      <c r="AM1115" s="15">
        <v>450600.0</v>
      </c>
      <c r="AN1115" s="15">
        <v>-132.69</v>
      </c>
      <c r="AO1115" s="15">
        <v>37460.0</v>
      </c>
      <c r="AP1115" s="15">
        <v>-4670.0</v>
      </c>
      <c r="AQ1115" s="15">
        <v>-79890.0</v>
      </c>
      <c r="AR1115" s="15">
        <v>3200.0</v>
      </c>
      <c r="AS1115" s="15">
        <v>327480.0</v>
      </c>
      <c r="AT1115" s="15">
        <v>316650.0</v>
      </c>
      <c r="AU1115" s="15">
        <v>228450.0</v>
      </c>
      <c r="AV1115" s="15">
        <v>192780.0</v>
      </c>
      <c r="AW1115" s="15">
        <v>325730.0</v>
      </c>
      <c r="AX1115" s="15">
        <v>-166530.0</v>
      </c>
      <c r="AY1115" s="15">
        <v>-186650.0</v>
      </c>
      <c r="AZ1115" s="15">
        <v>-164720.0</v>
      </c>
      <c r="BA1115" s="15">
        <v>-131560.0</v>
      </c>
      <c r="BB1115" s="15">
        <v>-147640.0</v>
      </c>
      <c r="BC1115" s="15">
        <v>-43120.0</v>
      </c>
      <c r="BD1115" s="15">
        <v>-43290.0</v>
      </c>
      <c r="BE1115" s="13">
        <v>-43350.0</v>
      </c>
      <c r="BF1115" s="13">
        <v>-41600.0</v>
      </c>
      <c r="BG1115" s="13">
        <v>-39660.0</v>
      </c>
      <c r="BH1115" s="15">
        <v>266480.0</v>
      </c>
      <c r="BI1115" s="15">
        <v>233280.0</v>
      </c>
      <c r="BJ1115" s="15">
        <v>115150.0</v>
      </c>
      <c r="BK1115" s="15">
        <v>104740.0</v>
      </c>
      <c r="BL1115" s="15">
        <v>107100.0</v>
      </c>
      <c r="BM1115" s="15">
        <v>362180.0</v>
      </c>
      <c r="BN1115" s="15">
        <v>421080.0</v>
      </c>
      <c r="BO1115" s="15">
        <v>357090.0</v>
      </c>
      <c r="BP1115" s="15">
        <v>371070.0</v>
      </c>
      <c r="BQ1115" s="15">
        <v>409650.0</v>
      </c>
      <c r="BR1115" s="12">
        <v>158850.0</v>
      </c>
      <c r="BS1115" s="15">
        <v>177010.0</v>
      </c>
      <c r="BT1115" s="15">
        <v>159880.0</v>
      </c>
      <c r="BU1115" s="12">
        <v>167090.0</v>
      </c>
      <c r="BV1115" s="15">
        <v>346440.0</v>
      </c>
      <c r="BW1115" s="15">
        <v>832900.0</v>
      </c>
      <c r="BX1115" s="15">
        <v>868510.0</v>
      </c>
      <c r="BY1115" s="15">
        <v>1170000.0</v>
      </c>
      <c r="BZ1115" s="15">
        <v>1140000.0</v>
      </c>
      <c r="CA1115" s="15">
        <v>887080.0</v>
      </c>
      <c r="CB1115" s="15">
        <v>1100000.0</v>
      </c>
      <c r="CC1115" s="15">
        <v>853220.0</v>
      </c>
      <c r="CD1115" s="15">
        <v>731970.0</v>
      </c>
      <c r="CE1115" s="15">
        <v>780220.0</v>
      </c>
      <c r="CF1115" s="15">
        <v>1070000.0</v>
      </c>
      <c r="CG1115" s="15">
        <v>1520000.0</v>
      </c>
      <c r="CH1115" s="15">
        <v>1560000.0</v>
      </c>
      <c r="CI1115" s="15">
        <v>1380000.0</v>
      </c>
      <c r="CJ1115" s="15">
        <v>1410000.0</v>
      </c>
      <c r="CK1115" s="15">
        <v>1060000.0</v>
      </c>
      <c r="CL1115" s="15">
        <v>4400000.0</v>
      </c>
      <c r="CM1115" s="15">
        <v>4340000.0</v>
      </c>
      <c r="CN1115" s="15">
        <v>5130000.0</v>
      </c>
      <c r="CO1115" s="15">
        <v>5280000.0</v>
      </c>
      <c r="CP1115" s="15">
        <v>4010000.0</v>
      </c>
      <c r="CQ1115" s="15">
        <v>259870.0</v>
      </c>
      <c r="CR1115" s="15">
        <v>281490.0</v>
      </c>
      <c r="CS1115" s="15">
        <v>247080.0</v>
      </c>
      <c r="CT1115" s="15">
        <v>249300.0</v>
      </c>
      <c r="CU1115" s="15">
        <v>315600.0</v>
      </c>
      <c r="CV1115" s="15">
        <v>787910.0</v>
      </c>
      <c r="CW1115" s="15">
        <v>173890.0</v>
      </c>
      <c r="CX1115" s="15">
        <v>121560.0</v>
      </c>
      <c r="CY1115" s="15">
        <v>276020.0</v>
      </c>
      <c r="CZ1115" s="15">
        <v>277600.0</v>
      </c>
      <c r="DA1115" s="15">
        <v>169470.0</v>
      </c>
      <c r="DB1115" s="15">
        <v>787910.0</v>
      </c>
      <c r="DC1115" s="15">
        <v>766210.0</v>
      </c>
      <c r="DD1115" s="15">
        <v>1170000.0</v>
      </c>
      <c r="DE1115" s="15">
        <v>1090000.0</v>
      </c>
      <c r="DF1115" s="15">
        <v>2880000.0</v>
      </c>
      <c r="DG1115" s="15">
        <v>2740000.0</v>
      </c>
      <c r="DH1115" s="15">
        <v>4020000.0</v>
      </c>
      <c r="DI1115" s="15">
        <v>4110000.0</v>
      </c>
      <c r="DJ1115" s="15">
        <v>3110000.0</v>
      </c>
      <c r="DK1115" s="15"/>
      <c r="DL1115" s="15"/>
      <c r="DM1115" s="15"/>
      <c r="DN1115" s="15"/>
      <c r="DO1115" s="15"/>
      <c r="DP1115" s="15">
        <v>1850000.0</v>
      </c>
      <c r="DQ1115" s="15">
        <v>1710000.0</v>
      </c>
      <c r="DR1115" s="15">
        <v>2580000.0</v>
      </c>
      <c r="DS1115" s="15">
        <v>2660000.0</v>
      </c>
      <c r="DT1115" s="15">
        <v>2120000.0</v>
      </c>
      <c r="DU1115" s="15"/>
      <c r="DV1115" s="15"/>
      <c r="DW1115" s="12"/>
      <c r="DX1115" s="15"/>
      <c r="DY1115" s="15"/>
      <c r="DZ1115" s="15">
        <v>1510000.0</v>
      </c>
      <c r="EA1115" s="15">
        <v>1600000.0</v>
      </c>
      <c r="EB1115" s="15">
        <v>1100000.0</v>
      </c>
      <c r="EC1115" s="15">
        <v>1160000.0</v>
      </c>
      <c r="ED1115" s="15">
        <v>888050.0</v>
      </c>
      <c r="EE1115" s="23">
        <v>0.015438709</v>
      </c>
      <c r="EF1115" s="23">
        <v>0.038553332</v>
      </c>
      <c r="EG1115" s="17">
        <v>-0.6</v>
      </c>
      <c r="EH1115" s="23">
        <v>-0.54575</v>
      </c>
    </row>
    <row r="1116">
      <c r="A1116" s="9">
        <f t="shared" si="2"/>
        <v>1114</v>
      </c>
      <c r="B1116" s="22" t="s">
        <v>1251</v>
      </c>
      <c r="C1116" s="11">
        <v>15000.0</v>
      </c>
      <c r="D1116" s="11">
        <v>50000.0</v>
      </c>
      <c r="E1116" s="11">
        <v>35160.0</v>
      </c>
      <c r="F1116" s="11">
        <v>69140.0</v>
      </c>
      <c r="G1116" s="11">
        <v>5250.0</v>
      </c>
      <c r="H1116" s="12"/>
      <c r="I1116" s="12"/>
      <c r="J1116" s="12"/>
      <c r="K1116" s="12"/>
      <c r="L1116" s="12"/>
      <c r="M1116" s="11">
        <v>-232.0</v>
      </c>
      <c r="N1116" s="12"/>
      <c r="O1116" s="11">
        <v>92090.0</v>
      </c>
      <c r="P1116" s="11">
        <v>51740.0</v>
      </c>
      <c r="Q1116" s="11">
        <v>31660.0</v>
      </c>
      <c r="R1116" s="11">
        <v>26820.0</v>
      </c>
      <c r="S1116" s="12"/>
      <c r="T1116" s="11">
        <v>74080.0</v>
      </c>
      <c r="U1116" s="11">
        <v>40530.0</v>
      </c>
      <c r="V1116" s="11">
        <v>25390.0</v>
      </c>
      <c r="W1116" s="11">
        <v>22290.0</v>
      </c>
      <c r="X1116" s="12"/>
      <c r="Y1116" s="12"/>
      <c r="Z1116" s="12"/>
      <c r="AA1116" s="12"/>
      <c r="AB1116" s="12"/>
      <c r="AC1116" s="12"/>
      <c r="AD1116" s="11">
        <v>-53790.0</v>
      </c>
      <c r="AE1116" s="11">
        <v>18170.0</v>
      </c>
      <c r="AF1116" s="11">
        <v>-28700.0</v>
      </c>
      <c r="AG1116" s="11">
        <v>-30640.0</v>
      </c>
      <c r="AH1116" s="12"/>
      <c r="AI1116" s="11">
        <v>-56930.0</v>
      </c>
      <c r="AJ1116" s="11">
        <v>17390.0</v>
      </c>
      <c r="AK1116" s="11">
        <v>-26410.0</v>
      </c>
      <c r="AL1116" s="11">
        <v>-26820.0</v>
      </c>
      <c r="AM1116" s="12"/>
      <c r="AN1116" s="11">
        <v>-53790.0</v>
      </c>
      <c r="AO1116" s="11">
        <v>4920.0</v>
      </c>
      <c r="AP1116" s="11">
        <v>-28700.0</v>
      </c>
      <c r="AQ1116" s="11">
        <v>-30640.0</v>
      </c>
      <c r="AR1116" s="12"/>
      <c r="AS1116" s="11">
        <v>-42550.0</v>
      </c>
      <c r="AT1116" s="11">
        <v>-21170.0</v>
      </c>
      <c r="AU1116" s="11">
        <v>26850.0</v>
      </c>
      <c r="AV1116" s="11">
        <v>-24840.0</v>
      </c>
      <c r="AW1116" s="12"/>
      <c r="AX1116" s="11">
        <v>-2170.0</v>
      </c>
      <c r="AY1116" s="11">
        <v>-1070.0</v>
      </c>
      <c r="AZ1116" s="11">
        <v>-90.0</v>
      </c>
      <c r="BA1116" s="11">
        <v>-12.0</v>
      </c>
      <c r="BB1116" s="12"/>
      <c r="BC1116" s="12"/>
      <c r="BD1116" s="12"/>
      <c r="BE1116" s="12"/>
      <c r="BF1116" s="12"/>
      <c r="BG1116" s="12"/>
      <c r="BH1116" s="11">
        <v>315580.0</v>
      </c>
      <c r="BI1116" s="11">
        <v>177010.0</v>
      </c>
      <c r="BJ1116" s="11">
        <v>41150.0</v>
      </c>
      <c r="BK1116" s="11">
        <v>5970.0</v>
      </c>
      <c r="BL1116" s="12"/>
      <c r="BM1116" s="11">
        <v>1270.0</v>
      </c>
      <c r="BN1116" s="11">
        <v>2100.0</v>
      </c>
      <c r="BO1116" s="11">
        <v>378.0</v>
      </c>
      <c r="BP1116" s="11">
        <v>258.0</v>
      </c>
      <c r="BQ1116" s="12"/>
      <c r="BR1116" s="12"/>
      <c r="BS1116" s="12"/>
      <c r="BT1116" s="12"/>
      <c r="BU1116" s="12"/>
      <c r="BV1116" s="12"/>
      <c r="BW1116" s="11">
        <v>319750.0</v>
      </c>
      <c r="BX1116" s="11">
        <v>180770.0</v>
      </c>
      <c r="BY1116" s="11">
        <v>42930.0</v>
      </c>
      <c r="BZ1116" s="11">
        <v>6900.0</v>
      </c>
      <c r="CA1116" s="12"/>
      <c r="CB1116" s="11">
        <v>9690.0</v>
      </c>
      <c r="CC1116" s="11">
        <v>1670.0</v>
      </c>
      <c r="CD1116" s="11">
        <v>209.0</v>
      </c>
      <c r="CE1116" s="11">
        <v>296.0</v>
      </c>
      <c r="CF1116" s="12"/>
      <c r="CG1116" s="12"/>
      <c r="CH1116" s="12"/>
      <c r="CI1116" s="12"/>
      <c r="CJ1116" s="12"/>
      <c r="CK1116" s="12"/>
      <c r="CL1116" s="11">
        <v>382740.0</v>
      </c>
      <c r="CM1116" s="11">
        <v>195520.0</v>
      </c>
      <c r="CN1116" s="11">
        <v>43500.0</v>
      </c>
      <c r="CO1116" s="11">
        <v>7560.0</v>
      </c>
      <c r="CP1116" s="12"/>
      <c r="CQ1116" s="11">
        <v>1850.0</v>
      </c>
      <c r="CR1116" s="11">
        <v>4440.0</v>
      </c>
      <c r="CS1116" s="11">
        <v>3410.0</v>
      </c>
      <c r="CT1116" s="11">
        <v>2130.0</v>
      </c>
      <c r="CU1116" s="12"/>
      <c r="CV1116" s="11">
        <v>16140.0</v>
      </c>
      <c r="CW1116" s="12"/>
      <c r="CX1116" s="12"/>
      <c r="CY1116" s="12"/>
      <c r="CZ1116" s="11">
        <v>10360.0</v>
      </c>
      <c r="DA1116" s="12"/>
      <c r="DB1116" s="11">
        <v>16140.0</v>
      </c>
      <c r="DC1116" s="11">
        <v>16880.0</v>
      </c>
      <c r="DD1116" s="11">
        <v>51230.0</v>
      </c>
      <c r="DE1116" s="11">
        <v>18190.0</v>
      </c>
      <c r="DF1116" s="11">
        <v>23760.0</v>
      </c>
      <c r="DG1116" s="11">
        <v>25660.0</v>
      </c>
      <c r="DH1116" s="11">
        <v>58430.0</v>
      </c>
      <c r="DI1116" s="11">
        <v>19280.0</v>
      </c>
      <c r="DJ1116" s="12"/>
      <c r="DK1116" s="11">
        <v>52820.0</v>
      </c>
      <c r="DL1116" s="11">
        <v>4280.0</v>
      </c>
      <c r="DM1116" s="11">
        <v>82.0</v>
      </c>
      <c r="DN1116" s="11">
        <v>82.0</v>
      </c>
      <c r="DO1116" s="12"/>
      <c r="DP1116" s="12"/>
      <c r="DQ1116" s="12"/>
      <c r="DR1116" s="12"/>
      <c r="DS1116" s="12"/>
      <c r="DT1116" s="12"/>
      <c r="DU1116" s="13"/>
      <c r="DV1116" s="12"/>
      <c r="DW1116" s="11">
        <v>128530.0</v>
      </c>
      <c r="DX1116" s="11">
        <v>104930.0</v>
      </c>
      <c r="DY1116" s="13"/>
      <c r="DZ1116" s="11">
        <v>358980.0</v>
      </c>
      <c r="EA1116" s="11">
        <v>169860.0</v>
      </c>
      <c r="EB1116" s="11">
        <v>-14930.0</v>
      </c>
      <c r="EC1116" s="11">
        <v>-11720.0</v>
      </c>
      <c r="ED1116" s="12"/>
      <c r="EE1116" s="23"/>
      <c r="EF1116" s="23"/>
      <c r="EG1116" s="14">
        <v>1.388</v>
      </c>
      <c r="EH1116" s="14">
        <v>0.254</v>
      </c>
    </row>
    <row r="1117">
      <c r="A1117" s="9">
        <f t="shared" si="2"/>
        <v>1115</v>
      </c>
      <c r="B1117" s="22" t="s">
        <v>1252</v>
      </c>
      <c r="C1117" s="11">
        <v>190870.0</v>
      </c>
      <c r="D1117" s="11">
        <v>112510.0</v>
      </c>
      <c r="E1117" s="11">
        <v>143990.0</v>
      </c>
      <c r="F1117" s="11">
        <v>127970.0</v>
      </c>
      <c r="G1117" s="12"/>
      <c r="H1117" s="12"/>
      <c r="I1117" s="12"/>
      <c r="J1117" s="11">
        <v>43490.0</v>
      </c>
      <c r="K1117" s="11">
        <v>35900.0</v>
      </c>
      <c r="L1117" s="12"/>
      <c r="M1117" s="12"/>
      <c r="N1117" s="12"/>
      <c r="O1117" s="11">
        <v>183610.0</v>
      </c>
      <c r="P1117" s="11">
        <v>150140.0</v>
      </c>
      <c r="Q1117" s="12"/>
      <c r="R1117" s="12"/>
      <c r="S1117" s="12"/>
      <c r="T1117" s="11">
        <v>63400.0</v>
      </c>
      <c r="U1117" s="11">
        <v>48710.0</v>
      </c>
      <c r="V1117" s="12"/>
      <c r="W1117" s="12"/>
      <c r="X1117" s="12"/>
      <c r="Y1117" s="12"/>
      <c r="Z1117" s="12"/>
      <c r="AA1117" s="12"/>
      <c r="AB1117" s="12"/>
      <c r="AC1117" s="12"/>
      <c r="AD1117" s="11">
        <v>-148740.0</v>
      </c>
      <c r="AE1117" s="11">
        <v>-123860.0</v>
      </c>
      <c r="AF1117" s="12"/>
      <c r="AG1117" s="12"/>
      <c r="AH1117" s="12"/>
      <c r="AI1117" s="11">
        <v>-135520.0</v>
      </c>
      <c r="AJ1117" s="11">
        <v>-109640.0</v>
      </c>
      <c r="AK1117" s="12"/>
      <c r="AL1117" s="12"/>
      <c r="AM1117" s="12"/>
      <c r="AN1117" s="11">
        <v>-148040.0</v>
      </c>
      <c r="AO1117" s="11">
        <v>-129110.0</v>
      </c>
      <c r="AP1117" s="12"/>
      <c r="AQ1117" s="12"/>
      <c r="AR1117" s="12"/>
      <c r="AS1117" s="11">
        <v>-106300.0</v>
      </c>
      <c r="AT1117" s="11">
        <v>-65130.0</v>
      </c>
      <c r="AU1117" s="12"/>
      <c r="AV1117" s="12"/>
      <c r="AW1117" s="12"/>
      <c r="AX1117" s="11">
        <v>-3730.0</v>
      </c>
      <c r="AY1117" s="11">
        <v>-4830.0</v>
      </c>
      <c r="AZ1117" s="12"/>
      <c r="BA1117" s="12"/>
      <c r="BB1117" s="12"/>
      <c r="BC1117" s="11">
        <v>-4500.0</v>
      </c>
      <c r="BD1117" s="12"/>
      <c r="BE1117" s="12"/>
      <c r="BF1117" s="12"/>
      <c r="BG1117" s="12"/>
      <c r="BH1117" s="11">
        <v>33040.0</v>
      </c>
      <c r="BI1117" s="11">
        <v>69210.0</v>
      </c>
      <c r="BJ1117" s="12"/>
      <c r="BK1117" s="12"/>
      <c r="BL1117" s="12"/>
      <c r="BM1117" s="11">
        <v>22820.0</v>
      </c>
      <c r="BN1117" s="11">
        <v>8150.0</v>
      </c>
      <c r="BO1117" s="12"/>
      <c r="BP1117" s="12"/>
      <c r="BQ1117" s="12"/>
      <c r="BR1117" s="11">
        <v>10940.0</v>
      </c>
      <c r="BS1117" s="11">
        <v>7620.0</v>
      </c>
      <c r="BT1117" s="12"/>
      <c r="BU1117" s="12"/>
      <c r="BV1117" s="12"/>
      <c r="BW1117" s="11">
        <v>74650.0</v>
      </c>
      <c r="BX1117" s="11">
        <v>88950.0</v>
      </c>
      <c r="BY1117" s="12"/>
      <c r="BZ1117" s="12"/>
      <c r="CA1117" s="12"/>
      <c r="CB1117" s="11">
        <v>15890.0</v>
      </c>
      <c r="CC1117" s="11">
        <v>15340.0</v>
      </c>
      <c r="CD1117" s="12"/>
      <c r="CE1117" s="12"/>
      <c r="CF1117" s="12"/>
      <c r="CG1117" s="11">
        <v>6220.0</v>
      </c>
      <c r="CH1117" s="12"/>
      <c r="CI1117" s="12"/>
      <c r="CJ1117" s="12"/>
      <c r="CK1117" s="12"/>
      <c r="CL1117" s="11">
        <v>101730.0</v>
      </c>
      <c r="CM1117" s="11">
        <v>116400.0</v>
      </c>
      <c r="CN1117" s="12"/>
      <c r="CO1117" s="12"/>
      <c r="CP1117" s="12"/>
      <c r="CQ1117" s="11">
        <v>15750.0</v>
      </c>
      <c r="CR1117" s="11">
        <v>11040.0</v>
      </c>
      <c r="CS1117" s="12"/>
      <c r="CT1117" s="12"/>
      <c r="CU1117" s="12"/>
      <c r="CV1117" s="11">
        <v>100340.0</v>
      </c>
      <c r="CW1117" s="12"/>
      <c r="CX1117" s="12"/>
      <c r="CY1117" s="12"/>
      <c r="CZ1117" s="12"/>
      <c r="DA1117" s="12"/>
      <c r="DB1117" s="11">
        <v>100340.0</v>
      </c>
      <c r="DC1117" s="11">
        <v>78060.0</v>
      </c>
      <c r="DD1117" s="12"/>
      <c r="DE1117" s="12"/>
      <c r="DF1117" s="11">
        <v>185600.0</v>
      </c>
      <c r="DG1117" s="11">
        <v>153370.0</v>
      </c>
      <c r="DH1117" s="12"/>
      <c r="DI1117" s="12"/>
      <c r="DJ1117" s="12"/>
      <c r="DK1117" s="12"/>
      <c r="DL1117" s="12"/>
      <c r="DM1117" s="12"/>
      <c r="DN1117" s="12"/>
      <c r="DO1117" s="12"/>
      <c r="DP1117" s="11">
        <v>72410.0</v>
      </c>
      <c r="DQ1117" s="11">
        <v>71510.0</v>
      </c>
      <c r="DR1117" s="12"/>
      <c r="DS1117" s="12"/>
      <c r="DT1117" s="12"/>
      <c r="DU1117" s="24">
        <v>106.0</v>
      </c>
      <c r="DV1117" s="11">
        <v>20.0</v>
      </c>
      <c r="DW1117" s="12"/>
      <c r="DX1117" s="13"/>
      <c r="DY1117" s="13"/>
      <c r="DZ1117" s="11">
        <v>-83870.0</v>
      </c>
      <c r="EA1117" s="11">
        <v>-36970.0</v>
      </c>
      <c r="EB1117" s="12"/>
      <c r="EC1117" s="12"/>
      <c r="ED1117" s="12"/>
      <c r="EE1117" s="14">
        <v>0.13</v>
      </c>
      <c r="EF1117" s="14">
        <v>0.088</v>
      </c>
      <c r="EG1117" s="14">
        <v>-6.361</v>
      </c>
      <c r="EH1117" s="23"/>
    </row>
    <row r="1118">
      <c r="A1118" s="9">
        <f t="shared" si="2"/>
        <v>1116</v>
      </c>
      <c r="B1118" s="22" t="s">
        <v>1253</v>
      </c>
      <c r="C1118" s="11">
        <v>10020.0</v>
      </c>
      <c r="D1118" s="11">
        <v>4000.0</v>
      </c>
      <c r="E1118" s="12"/>
      <c r="F1118" s="12"/>
      <c r="G1118" s="12"/>
      <c r="H1118" s="12"/>
      <c r="I1118" s="12"/>
      <c r="J1118" s="11">
        <v>-2300.0</v>
      </c>
      <c r="K1118" s="11">
        <v>-1120.0</v>
      </c>
      <c r="L1118" s="11">
        <v>-1200.0</v>
      </c>
      <c r="M1118" s="11">
        <v>-1350.0</v>
      </c>
      <c r="N1118" s="11">
        <v>-525.0</v>
      </c>
      <c r="O1118" s="11">
        <v>64160.0</v>
      </c>
      <c r="P1118" s="11">
        <v>48490.0</v>
      </c>
      <c r="Q1118" s="11">
        <v>46160.0</v>
      </c>
      <c r="R1118" s="11">
        <v>44450.0</v>
      </c>
      <c r="S1118" s="11">
        <v>33010.0</v>
      </c>
      <c r="T1118" s="11">
        <v>50260.0</v>
      </c>
      <c r="U1118" s="11">
        <v>34550.0</v>
      </c>
      <c r="V1118" s="11">
        <v>34200.0</v>
      </c>
      <c r="W1118" s="11">
        <v>34310.0</v>
      </c>
      <c r="X1118" s="11">
        <v>25550.0</v>
      </c>
      <c r="Y1118" s="12"/>
      <c r="Z1118" s="12"/>
      <c r="AA1118" s="12"/>
      <c r="AB1118" s="12"/>
      <c r="AC1118" s="12"/>
      <c r="AD1118" s="11">
        <v>-63850.0</v>
      </c>
      <c r="AE1118" s="11">
        <v>-43750.0</v>
      </c>
      <c r="AF1118" s="11">
        <v>-49260.0</v>
      </c>
      <c r="AG1118" s="11">
        <v>-43260.0</v>
      </c>
      <c r="AH1118" s="11">
        <v>-23100.0</v>
      </c>
      <c r="AI1118" s="11">
        <v>-64160.0</v>
      </c>
      <c r="AJ1118" s="11">
        <v>-48490.0</v>
      </c>
      <c r="AK1118" s="11">
        <v>-46160.0</v>
      </c>
      <c r="AL1118" s="11">
        <v>-44450.0</v>
      </c>
      <c r="AM1118" s="11">
        <v>-33010.0</v>
      </c>
      <c r="AN1118" s="11">
        <v>-63220.0</v>
      </c>
      <c r="AO1118" s="11">
        <v>-43530.0</v>
      </c>
      <c r="AP1118" s="11">
        <v>-49220.0</v>
      </c>
      <c r="AQ1118" s="11">
        <v>-43260.0</v>
      </c>
      <c r="AR1118" s="11">
        <v>-23100.0</v>
      </c>
      <c r="AS1118" s="11">
        <v>-49210.0</v>
      </c>
      <c r="AT1118" s="11">
        <v>-33610.0</v>
      </c>
      <c r="AU1118" s="11">
        <v>-39420.0</v>
      </c>
      <c r="AV1118" s="11">
        <v>-37860.0</v>
      </c>
      <c r="AW1118" s="11">
        <v>-26870.0</v>
      </c>
      <c r="AX1118" s="11">
        <v>-649.0</v>
      </c>
      <c r="AY1118" s="11">
        <v>-368.0</v>
      </c>
      <c r="AZ1118" s="11">
        <v>-136.0</v>
      </c>
      <c r="BA1118" s="11">
        <v>-2810.0</v>
      </c>
      <c r="BB1118" s="11">
        <v>-1470.0</v>
      </c>
      <c r="BC1118" s="12"/>
      <c r="BD1118" s="12"/>
      <c r="BE1118" s="12"/>
      <c r="BF1118" s="12"/>
      <c r="BG1118" s="12"/>
      <c r="BH1118" s="11">
        <v>125660.0</v>
      </c>
      <c r="BI1118" s="11">
        <v>120690.0</v>
      </c>
      <c r="BJ1118" s="11">
        <v>57760.0</v>
      </c>
      <c r="BK1118" s="11">
        <v>62440.0</v>
      </c>
      <c r="BL1118" s="11">
        <v>103050.0</v>
      </c>
      <c r="BM1118" s="11">
        <v>1340.0</v>
      </c>
      <c r="BN1118" s="11">
        <v>2450.0</v>
      </c>
      <c r="BO1118" s="11">
        <v>563.0</v>
      </c>
      <c r="BP1118" s="11">
        <v>1650.0</v>
      </c>
      <c r="BQ1118" s="11">
        <v>1630.0</v>
      </c>
      <c r="BR1118" s="12"/>
      <c r="BS1118" s="12"/>
      <c r="BT1118" s="12"/>
      <c r="BU1118" s="12"/>
      <c r="BV1118" s="12"/>
      <c r="BW1118" s="11">
        <v>128710.0</v>
      </c>
      <c r="BX1118" s="11">
        <v>123880.0</v>
      </c>
      <c r="BY1118" s="11">
        <v>60710.0</v>
      </c>
      <c r="BZ1118" s="11">
        <v>65410.0</v>
      </c>
      <c r="CA1118" s="11">
        <v>106210.0</v>
      </c>
      <c r="CB1118" s="11">
        <v>2740.0</v>
      </c>
      <c r="CC1118" s="11">
        <v>2130.0</v>
      </c>
      <c r="CD1118" s="11">
        <v>3010.0</v>
      </c>
      <c r="CE1118" s="11">
        <v>3630.0</v>
      </c>
      <c r="CF1118" s="11">
        <v>2390.0</v>
      </c>
      <c r="CG1118" s="12"/>
      <c r="CH1118" s="12"/>
      <c r="CI1118" s="12"/>
      <c r="CJ1118" s="12"/>
      <c r="CK1118" s="12"/>
      <c r="CL1118" s="11">
        <v>131930.0</v>
      </c>
      <c r="CM1118" s="11">
        <v>126010.0</v>
      </c>
      <c r="CN1118" s="11">
        <v>63770.0</v>
      </c>
      <c r="CO1118" s="11">
        <v>69130.0</v>
      </c>
      <c r="CP1118" s="11">
        <v>108750.0</v>
      </c>
      <c r="CQ1118" s="11">
        <v>500.0</v>
      </c>
      <c r="CR1118" s="11">
        <v>154.0</v>
      </c>
      <c r="CS1118" s="11">
        <v>656.0</v>
      </c>
      <c r="CT1118" s="11">
        <v>346.0</v>
      </c>
      <c r="CU1118" s="11">
        <v>961.0</v>
      </c>
      <c r="CV1118" s="11">
        <v>12340.0</v>
      </c>
      <c r="CW1118" s="12"/>
      <c r="CX1118" s="12"/>
      <c r="CY1118" s="12"/>
      <c r="CZ1118" s="12"/>
      <c r="DA1118" s="12"/>
      <c r="DB1118" s="11">
        <v>12340.0</v>
      </c>
      <c r="DC1118" s="11">
        <v>9330.0</v>
      </c>
      <c r="DD1118" s="11">
        <v>10200.0</v>
      </c>
      <c r="DE1118" s="11">
        <v>7080.0</v>
      </c>
      <c r="DF1118" s="11">
        <v>26610.0</v>
      </c>
      <c r="DG1118" s="11">
        <v>20060.0</v>
      </c>
      <c r="DH1118" s="11">
        <v>16540.0</v>
      </c>
      <c r="DI1118" s="11">
        <v>13090.0</v>
      </c>
      <c r="DJ1118" s="11">
        <v>11200.0</v>
      </c>
      <c r="DK1118" s="11">
        <v>482.0</v>
      </c>
      <c r="DL1118" s="12"/>
      <c r="DM1118" s="12"/>
      <c r="DN1118" s="12"/>
      <c r="DO1118" s="12"/>
      <c r="DP1118" s="11">
        <v>14270.0</v>
      </c>
      <c r="DQ1118" s="11">
        <v>8040.0</v>
      </c>
      <c r="DR1118" s="11">
        <v>6350.0</v>
      </c>
      <c r="DS1118" s="11">
        <v>4850.0</v>
      </c>
      <c r="DT1118" s="11">
        <v>5240.0</v>
      </c>
      <c r="DU1118" s="13"/>
      <c r="DV1118" s="12"/>
      <c r="DW1118" s="12"/>
      <c r="DX1118" s="13"/>
      <c r="DY1118" s="13"/>
      <c r="DZ1118" s="11">
        <v>105880.0</v>
      </c>
      <c r="EA1118" s="11">
        <v>106220.0</v>
      </c>
      <c r="EB1118" s="11">
        <v>47270.0</v>
      </c>
      <c r="EC1118" s="11">
        <v>56050.0</v>
      </c>
      <c r="ED1118" s="11">
        <v>97550.0</v>
      </c>
      <c r="EE1118" s="23"/>
      <c r="EF1118" s="23"/>
      <c r="EG1118" s="14">
        <v>0.737</v>
      </c>
      <c r="EH1118" s="14">
        <v>0.2</v>
      </c>
    </row>
    <row r="1119">
      <c r="A1119" s="9">
        <f t="shared" si="2"/>
        <v>1117</v>
      </c>
      <c r="B1119" s="22" t="s">
        <v>1254</v>
      </c>
      <c r="C1119" s="11">
        <v>28100.0</v>
      </c>
      <c r="D1119" s="11">
        <v>5590.0</v>
      </c>
      <c r="E1119" s="11">
        <v>814.0</v>
      </c>
      <c r="F1119" s="11">
        <v>955.0</v>
      </c>
      <c r="G1119" s="11">
        <v>27520.0</v>
      </c>
      <c r="H1119" s="11">
        <v>1060.0</v>
      </c>
      <c r="I1119" s="11">
        <v>1610.0</v>
      </c>
      <c r="J1119" s="12"/>
      <c r="K1119" s="12"/>
      <c r="L1119" s="12"/>
      <c r="M1119" s="12"/>
      <c r="N1119" s="12"/>
      <c r="O1119" s="11">
        <v>79750.0</v>
      </c>
      <c r="P1119" s="11">
        <v>140450.0</v>
      </c>
      <c r="Q1119" s="11">
        <v>179710.0</v>
      </c>
      <c r="R1119" s="11">
        <v>158160.0</v>
      </c>
      <c r="S1119" s="11">
        <v>80740.0</v>
      </c>
      <c r="T1119" s="11">
        <v>50840.0</v>
      </c>
      <c r="U1119" s="11">
        <v>101180.0</v>
      </c>
      <c r="V1119" s="11">
        <v>134550.0</v>
      </c>
      <c r="W1119" s="11">
        <v>119530.0</v>
      </c>
      <c r="X1119" s="11">
        <v>58440.0</v>
      </c>
      <c r="Y1119" s="11">
        <v>-85700.0</v>
      </c>
      <c r="Z1119" s="11">
        <v>-158860.0</v>
      </c>
      <c r="AA1119" s="12"/>
      <c r="AB1119" s="12"/>
      <c r="AC1119" s="12"/>
      <c r="AD1119" s="11">
        <v>-77300.0</v>
      </c>
      <c r="AE1119" s="11">
        <v>-156120.0</v>
      </c>
      <c r="AF1119" s="11">
        <v>-157600.0</v>
      </c>
      <c r="AG1119" s="11">
        <v>-158960.0</v>
      </c>
      <c r="AH1119" s="11">
        <v>-79910.0</v>
      </c>
      <c r="AI1119" s="11">
        <v>-78940.0</v>
      </c>
      <c r="AJ1119" s="11">
        <v>-139490.0</v>
      </c>
      <c r="AK1119" s="11">
        <v>-152190.0</v>
      </c>
      <c r="AL1119" s="11">
        <v>-157110.0</v>
      </c>
      <c r="AM1119" s="11">
        <v>-79130.0</v>
      </c>
      <c r="AN1119" s="11">
        <v>-77680.0</v>
      </c>
      <c r="AO1119" s="11">
        <v>-155650.0</v>
      </c>
      <c r="AP1119" s="11">
        <v>-153240.0</v>
      </c>
      <c r="AQ1119" s="11">
        <v>-160110.0</v>
      </c>
      <c r="AR1119" s="11">
        <v>-80610.0</v>
      </c>
      <c r="AS1119" s="11">
        <v>-52970.0</v>
      </c>
      <c r="AT1119" s="11">
        <v>-28280.0</v>
      </c>
      <c r="AU1119" s="11">
        <v>-131180.0</v>
      </c>
      <c r="AV1119" s="11">
        <v>-117270.0</v>
      </c>
      <c r="AW1119" s="11">
        <v>-62460.0</v>
      </c>
      <c r="AX1119" s="11">
        <v>-555.0</v>
      </c>
      <c r="AY1119" s="11">
        <v>-1770.0</v>
      </c>
      <c r="AZ1119" s="11">
        <v>-3630.0</v>
      </c>
      <c r="BA1119" s="11">
        <v>-16640.0</v>
      </c>
      <c r="BB1119" s="11">
        <v>-1380.0</v>
      </c>
      <c r="BC1119" s="12"/>
      <c r="BD1119" s="12"/>
      <c r="BE1119" s="12"/>
      <c r="BF1119" s="12"/>
      <c r="BG1119" s="12"/>
      <c r="BH1119" s="11">
        <v>375720.0</v>
      </c>
      <c r="BI1119" s="11">
        <v>427660.0</v>
      </c>
      <c r="BJ1119" s="11">
        <v>417620.0</v>
      </c>
      <c r="BK1119" s="11">
        <v>386920.0</v>
      </c>
      <c r="BL1119" s="11">
        <v>370590.0</v>
      </c>
      <c r="BM1119" s="11">
        <v>68.0</v>
      </c>
      <c r="BN1119" s="11">
        <v>2.0</v>
      </c>
      <c r="BO1119" s="11">
        <v>240.0</v>
      </c>
      <c r="BP1119" s="11">
        <v>178.0</v>
      </c>
      <c r="BQ1119" s="11">
        <v>509.0</v>
      </c>
      <c r="BR1119" s="12"/>
      <c r="BS1119" s="12"/>
      <c r="BT1119" s="12"/>
      <c r="BU1119" s="12"/>
      <c r="BV1119" s="12"/>
      <c r="BW1119" s="11">
        <v>378380.0</v>
      </c>
      <c r="BX1119" s="11">
        <v>431390.0</v>
      </c>
      <c r="BY1119" s="11">
        <v>426330.0</v>
      </c>
      <c r="BZ1119" s="11">
        <v>391360.0</v>
      </c>
      <c r="CA1119" s="11">
        <v>377400.0</v>
      </c>
      <c r="CB1119" s="11">
        <v>27150.0</v>
      </c>
      <c r="CC1119" s="11">
        <v>52840.0</v>
      </c>
      <c r="CD1119" s="11">
        <v>54990.0</v>
      </c>
      <c r="CE1119" s="11">
        <v>56450.0</v>
      </c>
      <c r="CF1119" s="11">
        <v>3860.0</v>
      </c>
      <c r="CG1119" s="12"/>
      <c r="CH1119" s="12"/>
      <c r="CI1119" s="12"/>
      <c r="CJ1119" s="12"/>
      <c r="CK1119" s="12"/>
      <c r="CL1119" s="11">
        <v>419270.0</v>
      </c>
      <c r="CM1119" s="11">
        <v>498800.0</v>
      </c>
      <c r="CN1119" s="11">
        <v>496330.0</v>
      </c>
      <c r="CO1119" s="11">
        <v>459980.0</v>
      </c>
      <c r="CP1119" s="11">
        <v>385240.0</v>
      </c>
      <c r="CQ1119" s="11">
        <v>1240.0</v>
      </c>
      <c r="CR1119" s="11">
        <v>1470.0</v>
      </c>
      <c r="CS1119" s="11">
        <v>13630.0</v>
      </c>
      <c r="CT1119" s="11">
        <v>13070.0</v>
      </c>
      <c r="CU1119" s="11">
        <v>4520.0</v>
      </c>
      <c r="CV1119" s="11">
        <v>17710.0</v>
      </c>
      <c r="CW1119" s="11">
        <v>5100.0</v>
      </c>
      <c r="CX1119" s="12"/>
      <c r="CY1119" s="12"/>
      <c r="CZ1119" s="12"/>
      <c r="DA1119" s="12"/>
      <c r="DB1119" s="11">
        <v>17710.0</v>
      </c>
      <c r="DC1119" s="11">
        <v>14930.0</v>
      </c>
      <c r="DD1119" s="11">
        <v>37370.0</v>
      </c>
      <c r="DE1119" s="11">
        <v>41080.0</v>
      </c>
      <c r="DF1119" s="11">
        <v>146350.0</v>
      </c>
      <c r="DG1119" s="11">
        <v>175800.0</v>
      </c>
      <c r="DH1119" s="11">
        <v>89140.0</v>
      </c>
      <c r="DI1119" s="11">
        <v>94570.0</v>
      </c>
      <c r="DJ1119" s="11">
        <v>24570.0</v>
      </c>
      <c r="DK1119" s="11">
        <v>2700.0</v>
      </c>
      <c r="DL1119" s="11">
        <v>4060.0</v>
      </c>
      <c r="DM1119" s="11">
        <v>4060.0</v>
      </c>
      <c r="DN1119" s="11">
        <v>4060.0</v>
      </c>
      <c r="DO1119" s="12"/>
      <c r="DP1119" s="11">
        <v>17840.0</v>
      </c>
      <c r="DQ1119" s="12"/>
      <c r="DR1119" s="12"/>
      <c r="DS1119" s="12"/>
      <c r="DT1119" s="12"/>
      <c r="DU1119" s="13"/>
      <c r="DV1119" s="12"/>
      <c r="DW1119" s="12"/>
      <c r="DX1119" s="13"/>
      <c r="DY1119" s="13"/>
      <c r="DZ1119" s="11">
        <v>272920.0</v>
      </c>
      <c r="EA1119" s="11">
        <v>323000.0</v>
      </c>
      <c r="EB1119" s="11">
        <v>407190.0</v>
      </c>
      <c r="EC1119" s="11">
        <v>365400.0</v>
      </c>
      <c r="ED1119" s="11">
        <v>360670.0</v>
      </c>
      <c r="EE1119" s="23"/>
      <c r="EF1119" s="23"/>
      <c r="EG1119" s="14">
        <v>-0.082</v>
      </c>
      <c r="EH1119" s="14">
        <v>0.006</v>
      </c>
    </row>
    <row r="1120">
      <c r="A1120" s="9">
        <f t="shared" si="2"/>
        <v>1118</v>
      </c>
      <c r="B1120" s="22" t="s">
        <v>1255</v>
      </c>
      <c r="C1120" s="11">
        <v>152400.0</v>
      </c>
      <c r="D1120" s="11">
        <v>80690.0</v>
      </c>
      <c r="E1120" s="11">
        <v>16540.0</v>
      </c>
      <c r="F1120" s="11">
        <v>17120.0</v>
      </c>
      <c r="G1120" s="11">
        <v>12620.0</v>
      </c>
      <c r="H1120" s="11">
        <v>29.0</v>
      </c>
      <c r="I1120" s="12"/>
      <c r="J1120" s="11">
        <v>12550.0</v>
      </c>
      <c r="K1120" s="12"/>
      <c r="L1120" s="12"/>
      <c r="M1120" s="12"/>
      <c r="N1120" s="11">
        <v>-714.0</v>
      </c>
      <c r="O1120" s="11">
        <v>128180.0</v>
      </c>
      <c r="P1120" s="11">
        <v>120530.0</v>
      </c>
      <c r="Q1120" s="11">
        <v>96340.0</v>
      </c>
      <c r="R1120" s="11">
        <v>107560.0</v>
      </c>
      <c r="S1120" s="11">
        <v>70040.0</v>
      </c>
      <c r="T1120" s="11">
        <v>39550.0</v>
      </c>
      <c r="U1120" s="11">
        <v>57510.0</v>
      </c>
      <c r="V1120" s="11">
        <v>60070.0</v>
      </c>
      <c r="W1120" s="11">
        <v>83460.0</v>
      </c>
      <c r="X1120" s="11">
        <v>50770.0</v>
      </c>
      <c r="Y1120" s="12"/>
      <c r="Z1120" s="11">
        <v>-104090.0</v>
      </c>
      <c r="AA1120" s="11">
        <v>-84580.0</v>
      </c>
      <c r="AB1120" s="11">
        <v>345.0</v>
      </c>
      <c r="AC1120" s="11">
        <v>-70050.0</v>
      </c>
      <c r="AD1120" s="11">
        <v>-128490.0</v>
      </c>
      <c r="AE1120" s="11">
        <v>-111850.0</v>
      </c>
      <c r="AF1120" s="11">
        <v>-88320.0</v>
      </c>
      <c r="AG1120" s="11">
        <v>-111640.0</v>
      </c>
      <c r="AH1120" s="11">
        <v>-70860.0</v>
      </c>
      <c r="AI1120" s="11">
        <v>-115120.0</v>
      </c>
      <c r="AJ1120" s="11">
        <v>-103420.0</v>
      </c>
      <c r="AK1120" s="11">
        <v>-83720.0</v>
      </c>
      <c r="AL1120" s="11">
        <v>-107530.0</v>
      </c>
      <c r="AM1120" s="11">
        <v>-70040.0</v>
      </c>
      <c r="AN1120" s="11">
        <v>-128790.0</v>
      </c>
      <c r="AO1120" s="11">
        <v>-112360.0</v>
      </c>
      <c r="AP1120" s="11">
        <v>-89070.0</v>
      </c>
      <c r="AQ1120" s="11">
        <v>-111640.0</v>
      </c>
      <c r="AR1120" s="11">
        <v>-70860.0</v>
      </c>
      <c r="AS1120" s="11">
        <v>-132330.0</v>
      </c>
      <c r="AT1120" s="11">
        <v>-81180.0</v>
      </c>
      <c r="AU1120" s="11">
        <v>-78570.0</v>
      </c>
      <c r="AV1120" s="11">
        <v>-94100.0</v>
      </c>
      <c r="AW1120" s="11">
        <v>-54680.0</v>
      </c>
      <c r="AX1120" s="11">
        <v>-239.0</v>
      </c>
      <c r="AY1120" s="11">
        <v>-60.0</v>
      </c>
      <c r="AZ1120" s="11">
        <v>-1120.0</v>
      </c>
      <c r="BA1120" s="11">
        <v>-690.0</v>
      </c>
      <c r="BB1120" s="11">
        <v>-856.0</v>
      </c>
      <c r="BC1120" s="12"/>
      <c r="BD1120" s="12"/>
      <c r="BE1120" s="12"/>
      <c r="BF1120" s="12"/>
      <c r="BG1120" s="12"/>
      <c r="BH1120" s="11">
        <v>215700.0</v>
      </c>
      <c r="BI1120" s="11">
        <v>250620.0</v>
      </c>
      <c r="BJ1120" s="11">
        <v>151890.0</v>
      </c>
      <c r="BK1120" s="11">
        <v>128860.0</v>
      </c>
      <c r="BL1120" s="11">
        <v>133750.0</v>
      </c>
      <c r="BM1120" s="11">
        <v>9580.0</v>
      </c>
      <c r="BN1120" s="11">
        <v>249.0</v>
      </c>
      <c r="BO1120" s="11">
        <v>5890.0</v>
      </c>
      <c r="BP1120" s="11">
        <v>323.0</v>
      </c>
      <c r="BQ1120" s="11">
        <v>745.0</v>
      </c>
      <c r="BR1120" s="11">
        <v>11580.0</v>
      </c>
      <c r="BS1120" s="12"/>
      <c r="BT1120" s="12"/>
      <c r="BU1120" s="12"/>
      <c r="BV1120" s="12"/>
      <c r="BW1120" s="11">
        <v>243350.0</v>
      </c>
      <c r="BX1120" s="11">
        <v>255240.0</v>
      </c>
      <c r="BY1120" s="11">
        <v>160490.0</v>
      </c>
      <c r="BZ1120" s="11">
        <v>132100.0</v>
      </c>
      <c r="CA1120" s="11">
        <v>142420.0</v>
      </c>
      <c r="CB1120" s="11">
        <v>3740.0</v>
      </c>
      <c r="CC1120" s="11">
        <v>1170.0</v>
      </c>
      <c r="CD1120" s="11">
        <v>1710.0</v>
      </c>
      <c r="CE1120" s="11">
        <v>1190.0</v>
      </c>
      <c r="CF1120" s="11">
        <v>779.0</v>
      </c>
      <c r="CG1120" s="11">
        <v>829.0</v>
      </c>
      <c r="CH1120" s="11">
        <v>829.0</v>
      </c>
      <c r="CI1120" s="11">
        <v>829.0</v>
      </c>
      <c r="CJ1120" s="11">
        <v>829.0</v>
      </c>
      <c r="CK1120" s="11">
        <v>829.0</v>
      </c>
      <c r="CL1120" s="11">
        <v>251080.0</v>
      </c>
      <c r="CM1120" s="11">
        <v>300190.0</v>
      </c>
      <c r="CN1120" s="11">
        <v>163700.0</v>
      </c>
      <c r="CO1120" s="11">
        <v>135730.0</v>
      </c>
      <c r="CP1120" s="11">
        <v>145920.0</v>
      </c>
      <c r="CQ1120" s="11">
        <v>4120.0</v>
      </c>
      <c r="CR1120" s="11">
        <v>2090.0</v>
      </c>
      <c r="CS1120" s="11">
        <v>3560.0</v>
      </c>
      <c r="CT1120" s="11">
        <v>4420.0</v>
      </c>
      <c r="CU1120" s="12"/>
      <c r="CV1120" s="11">
        <v>24200.0</v>
      </c>
      <c r="CW1120" s="11">
        <v>1000.0</v>
      </c>
      <c r="CX1120" s="12"/>
      <c r="CY1120" s="12"/>
      <c r="CZ1120" s="12"/>
      <c r="DA1120" s="12"/>
      <c r="DB1120" s="11">
        <v>24200.0</v>
      </c>
      <c r="DC1120" s="11">
        <v>17710.0</v>
      </c>
      <c r="DD1120" s="11">
        <v>16790.0</v>
      </c>
      <c r="DE1120" s="11">
        <v>20410.0</v>
      </c>
      <c r="DF1120" s="11">
        <v>290730.0</v>
      </c>
      <c r="DG1120" s="11">
        <v>252610.0</v>
      </c>
      <c r="DH1120" s="11">
        <v>81220.0</v>
      </c>
      <c r="DI1120" s="11">
        <v>64140.0</v>
      </c>
      <c r="DJ1120" s="11">
        <v>44680.0</v>
      </c>
      <c r="DK1120" s="11">
        <v>3010.0</v>
      </c>
      <c r="DL1120" s="11">
        <v>42740.0</v>
      </c>
      <c r="DM1120" s="11">
        <v>250.0</v>
      </c>
      <c r="DN1120" s="11">
        <v>250.0</v>
      </c>
      <c r="DO1120" s="24">
        <v>250.0</v>
      </c>
      <c r="DP1120" s="11">
        <v>262820.0</v>
      </c>
      <c r="DQ1120" s="11">
        <v>228960.0</v>
      </c>
      <c r="DR1120" s="11">
        <v>59190.0</v>
      </c>
      <c r="DS1120" s="11">
        <v>38970.0</v>
      </c>
      <c r="DT1120" s="11">
        <v>19570.0</v>
      </c>
      <c r="DU1120" s="13"/>
      <c r="DV1120" s="12"/>
      <c r="DW1120" s="12"/>
      <c r="DX1120" s="13"/>
      <c r="DY1120" s="13"/>
      <c r="DZ1120" s="11">
        <v>-39650.0</v>
      </c>
      <c r="EA1120" s="11">
        <v>47580.0</v>
      </c>
      <c r="EB1120" s="11">
        <v>82480.0</v>
      </c>
      <c r="EC1120" s="11">
        <v>71590.0</v>
      </c>
      <c r="ED1120" s="11">
        <v>101240.0</v>
      </c>
      <c r="EE1120" s="14">
        <v>0.062</v>
      </c>
      <c r="EF1120" s="14">
        <v>0.4</v>
      </c>
      <c r="EG1120" s="14">
        <v>-7.833</v>
      </c>
      <c r="EH1120" s="14">
        <v>-1.903</v>
      </c>
    </row>
    <row r="1121">
      <c r="A1121" s="9">
        <f t="shared" si="2"/>
        <v>1119</v>
      </c>
      <c r="B1121" s="10" t="s">
        <v>1256</v>
      </c>
      <c r="C1121" s="11">
        <v>2080000.0</v>
      </c>
      <c r="D1121" s="11">
        <v>1830000.0</v>
      </c>
      <c r="E1121" s="11">
        <v>2350000.0</v>
      </c>
      <c r="F1121" s="11">
        <v>2430000.0</v>
      </c>
      <c r="G1121" s="11">
        <v>2370000.0</v>
      </c>
      <c r="H1121" s="11">
        <v>2280000.0</v>
      </c>
      <c r="I1121" s="11">
        <v>2290000.0</v>
      </c>
      <c r="J1121" s="11">
        <v>835000.0</v>
      </c>
      <c r="K1121" s="11">
        <v>978940.0</v>
      </c>
      <c r="L1121" s="11">
        <v>961330.0</v>
      </c>
      <c r="M1121" s="11">
        <v>917790.0</v>
      </c>
      <c r="N1121" s="11">
        <v>909260.0</v>
      </c>
      <c r="O1121" s="11">
        <v>719110.0</v>
      </c>
      <c r="P1121" s="11">
        <v>700660.0</v>
      </c>
      <c r="Q1121" s="11">
        <v>672720.0</v>
      </c>
      <c r="R1121" s="11">
        <v>643710.0</v>
      </c>
      <c r="S1121" s="11">
        <v>635860.0</v>
      </c>
      <c r="T1121" s="11">
        <v>23200.0</v>
      </c>
      <c r="U1121" s="11">
        <v>23390.0</v>
      </c>
      <c r="V1121" s="11">
        <v>23330.0</v>
      </c>
      <c r="W1121" s="11">
        <v>22250.0</v>
      </c>
      <c r="X1121" s="11">
        <v>20640.0</v>
      </c>
      <c r="Y1121" s="11">
        <v>-475810.0</v>
      </c>
      <c r="Z1121" s="11">
        <v>272050.0</v>
      </c>
      <c r="AA1121" s="11">
        <v>280140.0</v>
      </c>
      <c r="AB1121" s="11">
        <v>272630.0</v>
      </c>
      <c r="AC1121" s="11">
        <v>177610.0</v>
      </c>
      <c r="AD1121" s="11">
        <v>-534160.0</v>
      </c>
      <c r="AE1121" s="11">
        <v>161600.0</v>
      </c>
      <c r="AF1121" s="11">
        <v>188140.0</v>
      </c>
      <c r="AG1121" s="11">
        <v>186710.0</v>
      </c>
      <c r="AH1121" s="11">
        <v>17870.0</v>
      </c>
      <c r="AI1121" s="11">
        <v>197010.0</v>
      </c>
      <c r="AJ1121" s="11">
        <v>356860.0</v>
      </c>
      <c r="AK1121" s="11">
        <v>373780.0</v>
      </c>
      <c r="AL1121" s="11">
        <v>357710.0</v>
      </c>
      <c r="AM1121" s="11">
        <v>353910.0</v>
      </c>
      <c r="AN1121" s="11">
        <v>-532500.0</v>
      </c>
      <c r="AO1121" s="11">
        <v>123260.0</v>
      </c>
      <c r="AP1121" s="11">
        <v>214930.0</v>
      </c>
      <c r="AQ1121" s="11">
        <v>117480.0</v>
      </c>
      <c r="AR1121" s="11">
        <v>10460.0</v>
      </c>
      <c r="AS1121" s="11">
        <v>43690.0</v>
      </c>
      <c r="AT1121" s="11">
        <v>101860.0</v>
      </c>
      <c r="AU1121" s="11">
        <v>267920.0</v>
      </c>
      <c r="AV1121" s="11">
        <v>257800.0</v>
      </c>
      <c r="AW1121" s="11">
        <v>80210.0</v>
      </c>
      <c r="AX1121" s="11">
        <v>-61730.0</v>
      </c>
      <c r="AY1121" s="11">
        <v>-85660.0</v>
      </c>
      <c r="AZ1121" s="11">
        <v>-66970.0</v>
      </c>
      <c r="BA1121" s="11">
        <v>-81950.0</v>
      </c>
      <c r="BB1121" s="11">
        <v>-78830.0</v>
      </c>
      <c r="BC1121" s="12"/>
      <c r="BD1121" s="12"/>
      <c r="BE1121" s="12"/>
      <c r="BF1121" s="12"/>
      <c r="BG1121" s="12"/>
      <c r="BH1121" s="11">
        <v>35180.0</v>
      </c>
      <c r="BI1121" s="11">
        <v>59220.0</v>
      </c>
      <c r="BJ1121" s="11">
        <v>54290.0</v>
      </c>
      <c r="BK1121" s="11">
        <v>64610.0</v>
      </c>
      <c r="BL1121" s="11">
        <v>42920.0</v>
      </c>
      <c r="BM1121" s="11">
        <v>149110.0</v>
      </c>
      <c r="BN1121" s="11">
        <v>146980.0</v>
      </c>
      <c r="BO1121" s="11">
        <v>140980.0</v>
      </c>
      <c r="BP1121" s="11">
        <v>134090.0</v>
      </c>
      <c r="BQ1121" s="11">
        <v>132290.0</v>
      </c>
      <c r="BR1121" s="11">
        <v>658420.0</v>
      </c>
      <c r="BS1121" s="11">
        <v>756040.0</v>
      </c>
      <c r="BT1121" s="11">
        <v>604070.0</v>
      </c>
      <c r="BU1121" s="11">
        <v>613870.0</v>
      </c>
      <c r="BV1121" s="11">
        <v>564260.0</v>
      </c>
      <c r="BW1121" s="11">
        <v>894130.0</v>
      </c>
      <c r="BX1121" s="11">
        <v>1020000.0</v>
      </c>
      <c r="BY1121" s="11">
        <v>877150.0</v>
      </c>
      <c r="BZ1121" s="11">
        <v>880820.0</v>
      </c>
      <c r="CA1121" s="11">
        <v>789920.0</v>
      </c>
      <c r="CB1121" s="11">
        <v>1050000.0</v>
      </c>
      <c r="CC1121" s="11">
        <v>321040.0</v>
      </c>
      <c r="CD1121" s="11">
        <v>301140.0</v>
      </c>
      <c r="CE1121" s="11">
        <v>292900.0</v>
      </c>
      <c r="CF1121" s="11">
        <v>272420.0</v>
      </c>
      <c r="CG1121" s="11">
        <v>1070000.0</v>
      </c>
      <c r="CH1121" s="11">
        <v>1660000.0</v>
      </c>
      <c r="CI1121" s="11">
        <v>1620000.0</v>
      </c>
      <c r="CJ1121" s="11">
        <v>1570000.0</v>
      </c>
      <c r="CK1121" s="11">
        <v>1560000.0</v>
      </c>
      <c r="CL1121" s="11">
        <v>3600000.0</v>
      </c>
      <c r="CM1121" s="11">
        <v>3640000.0</v>
      </c>
      <c r="CN1121" s="11">
        <v>3450000.0</v>
      </c>
      <c r="CO1121" s="11">
        <v>3390000.0</v>
      </c>
      <c r="CP1121" s="11">
        <v>3290000.0</v>
      </c>
      <c r="CQ1121" s="11">
        <v>152300.0</v>
      </c>
      <c r="CR1121" s="11">
        <v>208150.0</v>
      </c>
      <c r="CS1121" s="11">
        <v>160990.0</v>
      </c>
      <c r="CT1121" s="11">
        <v>163420.0</v>
      </c>
      <c r="CU1121" s="11">
        <v>111620.0</v>
      </c>
      <c r="CV1121" s="11">
        <v>694930.0</v>
      </c>
      <c r="CW1121" s="11">
        <v>284280.0</v>
      </c>
      <c r="CX1121" s="11">
        <v>302750.0</v>
      </c>
      <c r="CY1121" s="11">
        <v>286290.0</v>
      </c>
      <c r="CZ1121" s="11">
        <v>120140.0</v>
      </c>
      <c r="DA1121" s="11">
        <v>126140.0</v>
      </c>
      <c r="DB1121" s="11">
        <v>694930.0</v>
      </c>
      <c r="DC1121" s="11">
        <v>711440.0</v>
      </c>
      <c r="DD1121" s="11">
        <v>682520.0</v>
      </c>
      <c r="DE1121" s="11">
        <v>493260.0</v>
      </c>
      <c r="DF1121" s="11">
        <v>3060000.0</v>
      </c>
      <c r="DG1121" s="11">
        <v>2600000.0</v>
      </c>
      <c r="DH1121" s="11">
        <v>2480000.0</v>
      </c>
      <c r="DI1121" s="11">
        <v>2380000.0</v>
      </c>
      <c r="DJ1121" s="11">
        <v>2380000.0</v>
      </c>
      <c r="DK1121" s="12"/>
      <c r="DL1121" s="11"/>
      <c r="DM1121" s="11"/>
      <c r="DN1121" s="11"/>
      <c r="DO1121" s="11"/>
      <c r="DP1121" s="11">
        <v>2220000.0</v>
      </c>
      <c r="DQ1121" s="11">
        <v>1620000.0</v>
      </c>
      <c r="DR1121" s="11">
        <v>1530000.0</v>
      </c>
      <c r="DS1121" s="11">
        <v>1540000.0</v>
      </c>
      <c r="DT1121" s="11">
        <v>1650000.0</v>
      </c>
      <c r="DU1121" s="11">
        <v>3350.0</v>
      </c>
      <c r="DV1121" s="11">
        <v>3350.0</v>
      </c>
      <c r="DW1121" s="11">
        <v>3590.0</v>
      </c>
      <c r="DX1121" s="12"/>
      <c r="DY1121" s="12"/>
      <c r="DZ1121" s="11">
        <v>533100.0</v>
      </c>
      <c r="EA1121" s="11">
        <v>1050000.0</v>
      </c>
      <c r="EB1121" s="11">
        <v>972030.0</v>
      </c>
      <c r="EC1121" s="11">
        <v>1020000.0</v>
      </c>
      <c r="ED1121" s="11">
        <v>913020.0</v>
      </c>
      <c r="EE1121" s="14">
        <v>0.033</v>
      </c>
      <c r="EF1121" s="14">
        <v>0.048</v>
      </c>
      <c r="EG1121" s="14">
        <v>-0.179</v>
      </c>
      <c r="EH1121" s="14"/>
    </row>
    <row r="1122">
      <c r="A1122" s="9">
        <f t="shared" si="2"/>
        <v>1120</v>
      </c>
      <c r="B1122" s="22" t="s">
        <v>1257</v>
      </c>
      <c r="C1122" s="11">
        <v>16210.0</v>
      </c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1">
        <v>44370.0</v>
      </c>
      <c r="P1122" s="11">
        <v>26810.0</v>
      </c>
      <c r="Q1122" s="11">
        <v>9140.0</v>
      </c>
      <c r="R1122" s="11">
        <v>165.0</v>
      </c>
      <c r="S1122" s="12"/>
      <c r="T1122" s="11">
        <v>36360.0</v>
      </c>
      <c r="U1122" s="11">
        <v>22650.0</v>
      </c>
      <c r="V1122" s="11">
        <v>7680.0</v>
      </c>
      <c r="W1122" s="12"/>
      <c r="X1122" s="12"/>
      <c r="Y1122" s="12"/>
      <c r="Z1122" s="11">
        <v>-27330.0</v>
      </c>
      <c r="AA1122" s="11">
        <v>-9260.0</v>
      </c>
      <c r="AB1122" s="12"/>
      <c r="AC1122" s="12"/>
      <c r="AD1122" s="11">
        <v>-43290.0</v>
      </c>
      <c r="AE1122" s="11">
        <v>-26670.0</v>
      </c>
      <c r="AF1122" s="11">
        <v>-9130.0</v>
      </c>
      <c r="AG1122" s="11">
        <v>-165.0</v>
      </c>
      <c r="AH1122" s="12"/>
      <c r="AI1122" s="11">
        <v>-44370.0</v>
      </c>
      <c r="AJ1122" s="12"/>
      <c r="AK1122" s="11">
        <v>-9140.0</v>
      </c>
      <c r="AL1122" s="11">
        <v>-165.0</v>
      </c>
      <c r="AM1122" s="12"/>
      <c r="AN1122" s="11">
        <v>-43290.0</v>
      </c>
      <c r="AO1122" s="11">
        <v>-26480.0</v>
      </c>
      <c r="AP1122" s="11">
        <v>-9130.0</v>
      </c>
      <c r="AQ1122" s="11">
        <v>-165.0</v>
      </c>
      <c r="AR1122" s="12"/>
      <c r="AS1122" s="11">
        <v>-36070.0</v>
      </c>
      <c r="AT1122" s="11">
        <v>-22640.0</v>
      </c>
      <c r="AU1122" s="11">
        <v>-4880.0</v>
      </c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1">
        <v>85370.0</v>
      </c>
      <c r="BI1122" s="11">
        <v>58540.0</v>
      </c>
      <c r="BJ1122" s="11">
        <v>21830.0</v>
      </c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1">
        <v>86000.0</v>
      </c>
      <c r="BX1122" s="11">
        <v>61530.0</v>
      </c>
      <c r="BY1122" s="11">
        <v>22430.0</v>
      </c>
      <c r="BZ1122" s="11">
        <v>125.0</v>
      </c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1">
        <v>86000.0</v>
      </c>
      <c r="CM1122" s="11">
        <v>61530.0</v>
      </c>
      <c r="CN1122" s="11">
        <v>22430.0</v>
      </c>
      <c r="CO1122" s="11">
        <v>126.0</v>
      </c>
      <c r="CP1122" s="12"/>
      <c r="CQ1122" s="11">
        <v>1780.0</v>
      </c>
      <c r="CR1122" s="12"/>
      <c r="CS1122" s="12"/>
      <c r="CT1122" s="12"/>
      <c r="CU1122" s="12"/>
      <c r="CV1122" s="11">
        <v>3840.0</v>
      </c>
      <c r="CW1122" s="12"/>
      <c r="CX1122" s="12"/>
      <c r="CY1122" s="12"/>
      <c r="CZ1122" s="12"/>
      <c r="DA1122" s="12"/>
      <c r="DB1122" s="11">
        <v>3840.0</v>
      </c>
      <c r="DC1122" s="11">
        <v>1870.0</v>
      </c>
      <c r="DD1122" s="11">
        <v>1280.0</v>
      </c>
      <c r="DE1122" s="11">
        <v>290.0</v>
      </c>
      <c r="DF1122" s="11">
        <v>3840.0</v>
      </c>
      <c r="DG1122" s="11">
        <v>1870.0</v>
      </c>
      <c r="DH1122" s="11">
        <v>2280.0</v>
      </c>
      <c r="DI1122" s="11">
        <v>290.0</v>
      </c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3"/>
      <c r="DV1122" s="13"/>
      <c r="DW1122" s="11">
        <v>26180.0</v>
      </c>
      <c r="DX1122" s="13"/>
      <c r="DY1122" s="13"/>
      <c r="DZ1122" s="11">
        <v>82160.0</v>
      </c>
      <c r="EA1122" s="11">
        <v>59660.0</v>
      </c>
      <c r="EB1122" s="11">
        <v>20150.0</v>
      </c>
      <c r="EC1122" s="11">
        <v>-164.0</v>
      </c>
      <c r="ED1122" s="12"/>
      <c r="EE1122" s="23"/>
      <c r="EF1122" s="23"/>
      <c r="EG1122" s="14">
        <v>-0.607</v>
      </c>
      <c r="EH1122" s="14">
        <v>-0.098</v>
      </c>
    </row>
    <row r="1123">
      <c r="A1123" s="9">
        <f t="shared" si="2"/>
        <v>1121</v>
      </c>
      <c r="B1123" s="22" t="s">
        <v>1258</v>
      </c>
      <c r="C1123" s="12"/>
      <c r="D1123" s="12"/>
      <c r="E1123" s="12"/>
      <c r="F1123" s="12"/>
      <c r="G1123" s="12"/>
      <c r="H1123" s="12"/>
      <c r="I1123" s="12"/>
      <c r="J1123" s="11">
        <v>-1900.0</v>
      </c>
      <c r="K1123" s="11">
        <v>-55.0</v>
      </c>
      <c r="L1123" s="11">
        <v>-2.0</v>
      </c>
      <c r="M1123" s="12"/>
      <c r="N1123" s="12"/>
      <c r="O1123" s="11">
        <v>63900.0</v>
      </c>
      <c r="P1123" s="11">
        <v>18750.0</v>
      </c>
      <c r="Q1123" s="11">
        <v>1800.0</v>
      </c>
      <c r="R1123" s="12"/>
      <c r="S1123" s="12"/>
      <c r="T1123" s="11">
        <v>48800.0</v>
      </c>
      <c r="U1123" s="11">
        <v>14070.0</v>
      </c>
      <c r="V1123" s="11">
        <v>993.0</v>
      </c>
      <c r="W1123" s="12"/>
      <c r="X1123" s="12"/>
      <c r="Y1123" s="12"/>
      <c r="Z1123" s="11">
        <v>-19590.0</v>
      </c>
      <c r="AA1123" s="12"/>
      <c r="AB1123" s="12"/>
      <c r="AC1123" s="12"/>
      <c r="AD1123" s="11">
        <v>-63190.0</v>
      </c>
      <c r="AE1123" s="11">
        <v>-19090.0</v>
      </c>
      <c r="AF1123" s="11">
        <v>-1830.0</v>
      </c>
      <c r="AG1123" s="12"/>
      <c r="AH1123" s="12"/>
      <c r="AI1123" s="11">
        <v>-63900.0</v>
      </c>
      <c r="AJ1123" s="11">
        <v>-18750.0</v>
      </c>
      <c r="AK1123" s="11">
        <v>-1800.0</v>
      </c>
      <c r="AL1123" s="12"/>
      <c r="AM1123" s="12"/>
      <c r="AN1123" s="11">
        <v>-63190.0</v>
      </c>
      <c r="AO1123" s="11">
        <v>-19090.0</v>
      </c>
      <c r="AP1123" s="11">
        <v>-1830.0</v>
      </c>
      <c r="AQ1123" s="12"/>
      <c r="AR1123" s="12"/>
      <c r="AS1123" s="11">
        <v>-55750.0</v>
      </c>
      <c r="AT1123" s="11">
        <v>-14010.0</v>
      </c>
      <c r="AU1123" s="11">
        <v>-987.0</v>
      </c>
      <c r="AV1123" s="12"/>
      <c r="AW1123" s="12"/>
      <c r="AX1123" s="11">
        <v>-2140.0</v>
      </c>
      <c r="AY1123" s="11">
        <v>-627.0</v>
      </c>
      <c r="AZ1123" s="11">
        <v>-108.0</v>
      </c>
      <c r="BA1123" s="12"/>
      <c r="BB1123" s="12"/>
      <c r="BC1123" s="12"/>
      <c r="BD1123" s="12"/>
      <c r="BE1123" s="12"/>
      <c r="BF1123" s="12"/>
      <c r="BG1123" s="12"/>
      <c r="BH1123" s="11">
        <v>168050.0</v>
      </c>
      <c r="BI1123" s="11">
        <v>63010.0</v>
      </c>
      <c r="BJ1123" s="11">
        <v>12740.0</v>
      </c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1">
        <v>174460.0</v>
      </c>
      <c r="BX1123" s="11">
        <v>63580.0</v>
      </c>
      <c r="BY1123" s="11">
        <v>12850.0</v>
      </c>
      <c r="BZ1123" s="12"/>
      <c r="CA1123" s="12"/>
      <c r="CB1123" s="11">
        <v>12550.0</v>
      </c>
      <c r="CC1123" s="11">
        <v>9210.0</v>
      </c>
      <c r="CD1123" s="11">
        <v>1390.0</v>
      </c>
      <c r="CE1123" s="12"/>
      <c r="CF1123" s="12"/>
      <c r="CG1123" s="12"/>
      <c r="CH1123" s="12"/>
      <c r="CI1123" s="12"/>
      <c r="CJ1123" s="12"/>
      <c r="CK1123" s="12"/>
      <c r="CL1123" s="11">
        <v>187100.0</v>
      </c>
      <c r="CM1123" s="11">
        <v>72880.0</v>
      </c>
      <c r="CN1123" s="11">
        <v>14330.0</v>
      </c>
      <c r="CO1123" s="12"/>
      <c r="CP1123" s="12"/>
      <c r="CQ1123" s="11">
        <v>5160.0</v>
      </c>
      <c r="CR1123" s="11">
        <v>1240.0</v>
      </c>
      <c r="CS1123" s="11">
        <v>265.0</v>
      </c>
      <c r="CT1123" s="12"/>
      <c r="CU1123" s="12"/>
      <c r="CV1123" s="11">
        <v>11830.0</v>
      </c>
      <c r="CW1123" s="11">
        <v>1340.0</v>
      </c>
      <c r="CX1123" s="24">
        <v>917.0</v>
      </c>
      <c r="CY1123" s="11">
        <v>8060.0</v>
      </c>
      <c r="CZ1123" s="12"/>
      <c r="DA1123" s="12"/>
      <c r="DB1123" s="11">
        <v>11830.0</v>
      </c>
      <c r="DC1123" s="11">
        <v>3640.0</v>
      </c>
      <c r="DD1123" s="11">
        <v>10720.0</v>
      </c>
      <c r="DE1123" s="12"/>
      <c r="DF1123" s="11">
        <v>21760.0</v>
      </c>
      <c r="DG1123" s="11">
        <v>11590.0</v>
      </c>
      <c r="DH1123" s="11">
        <v>11740.0</v>
      </c>
      <c r="DI1123" s="12"/>
      <c r="DJ1123" s="12"/>
      <c r="DK1123" s="11">
        <v>91.0</v>
      </c>
      <c r="DL1123" s="11">
        <v>91.0</v>
      </c>
      <c r="DM1123" s="11">
        <v>91.0</v>
      </c>
      <c r="DN1123" s="12"/>
      <c r="DO1123" s="12"/>
      <c r="DP1123" s="11">
        <v>9930.0</v>
      </c>
      <c r="DQ1123" s="11">
        <v>7950.0</v>
      </c>
      <c r="DR1123" s="11">
        <v>1030.0</v>
      </c>
      <c r="DS1123" s="12"/>
      <c r="DT1123" s="12"/>
      <c r="DU1123" s="13"/>
      <c r="DV1123" s="11">
        <v>79710.0</v>
      </c>
      <c r="DW1123" s="11">
        <v>3520.0</v>
      </c>
      <c r="DX1123" s="13"/>
      <c r="DY1123" s="13"/>
      <c r="DZ1123" s="11">
        <v>165340.0</v>
      </c>
      <c r="EA1123" s="11">
        <v>61290.0</v>
      </c>
      <c r="EB1123" s="11">
        <v>2580.0</v>
      </c>
      <c r="EC1123" s="12"/>
      <c r="ED1123" s="12"/>
      <c r="EE1123" s="23"/>
      <c r="EF1123" s="23"/>
      <c r="EG1123" s="14">
        <v>-0.119</v>
      </c>
      <c r="EH1123" s="14">
        <v>-0.078</v>
      </c>
    </row>
    <row r="1124">
      <c r="A1124" s="9">
        <f t="shared" si="2"/>
        <v>1122</v>
      </c>
      <c r="B1124" s="10" t="s">
        <v>1259</v>
      </c>
      <c r="C1124" s="11">
        <v>3420000.0</v>
      </c>
      <c r="D1124" s="11">
        <v>3320000.0</v>
      </c>
      <c r="E1124" s="11">
        <v>3220000.0</v>
      </c>
      <c r="F1124" s="11">
        <v>3170000.0</v>
      </c>
      <c r="G1124" s="11">
        <v>3000000.0</v>
      </c>
      <c r="H1124" s="11">
        <v>2910000.0</v>
      </c>
      <c r="I1124" s="11">
        <v>2800000.0</v>
      </c>
      <c r="J1124" s="11">
        <v>528230.0</v>
      </c>
      <c r="K1124" s="11">
        <v>511180.0</v>
      </c>
      <c r="L1124" s="11">
        <v>478280.0</v>
      </c>
      <c r="M1124" s="11">
        <v>455550.0</v>
      </c>
      <c r="N1124" s="11">
        <v>449760.0</v>
      </c>
      <c r="O1124" s="11">
        <v>409260.0</v>
      </c>
      <c r="P1124" s="11">
        <v>380860.0</v>
      </c>
      <c r="Q1124" s="11">
        <v>338690.0</v>
      </c>
      <c r="R1124" s="11">
        <v>317670.0</v>
      </c>
      <c r="S1124" s="11">
        <v>301390.0</v>
      </c>
      <c r="T1124" s="11"/>
      <c r="U1124" s="11"/>
      <c r="V1124" s="11"/>
      <c r="W1124" s="11"/>
      <c r="X1124" s="11"/>
      <c r="Y1124" s="12"/>
      <c r="Z1124" s="11">
        <v>123150.0</v>
      </c>
      <c r="AA1124" s="11">
        <v>138580.0</v>
      </c>
      <c r="AB1124" s="11">
        <v>138050.0</v>
      </c>
      <c r="AC1124" s="11">
        <v>154900.0</v>
      </c>
      <c r="AD1124" s="11">
        <v>111110.0</v>
      </c>
      <c r="AE1124" s="11">
        <v>122590.0</v>
      </c>
      <c r="AF1124" s="11">
        <v>132740.0</v>
      </c>
      <c r="AG1124" s="11">
        <v>131240.0</v>
      </c>
      <c r="AH1124" s="11">
        <v>136600.0</v>
      </c>
      <c r="AI1124" s="11">
        <v>173930.0</v>
      </c>
      <c r="AJ1124" s="11">
        <v>182960.0</v>
      </c>
      <c r="AK1124" s="11">
        <v>185880.0</v>
      </c>
      <c r="AL1124" s="11">
        <v>177680.0</v>
      </c>
      <c r="AM1124" s="11">
        <v>182820.0</v>
      </c>
      <c r="AN1124" s="11">
        <v>72470.0</v>
      </c>
      <c r="AO1124" s="11">
        <v>73430.0</v>
      </c>
      <c r="AP1124" s="11">
        <v>89400.0</v>
      </c>
      <c r="AQ1124" s="11">
        <v>87290.0</v>
      </c>
      <c r="AR1124" s="11">
        <v>87990.0</v>
      </c>
      <c r="AS1124" s="11">
        <v>170330.0</v>
      </c>
      <c r="AT1124" s="11">
        <v>119450.0</v>
      </c>
      <c r="AU1124" s="11">
        <v>122860.0</v>
      </c>
      <c r="AV1124" s="11">
        <v>139860.0</v>
      </c>
      <c r="AW1124" s="11">
        <v>110500.0</v>
      </c>
      <c r="AX1124" s="11">
        <v>-140060.0</v>
      </c>
      <c r="AY1124" s="11">
        <v>-98210.0</v>
      </c>
      <c r="AZ1124" s="11">
        <v>-135590.0</v>
      </c>
      <c r="BA1124" s="11">
        <v>-78140.0</v>
      </c>
      <c r="BB1124" s="11">
        <v>-89190.0</v>
      </c>
      <c r="BC1124" s="11">
        <v>-21650.0</v>
      </c>
      <c r="BD1124" s="11">
        <v>-21240.0</v>
      </c>
      <c r="BE1124" s="11">
        <v>-21290.0</v>
      </c>
      <c r="BF1124" s="11">
        <v>-21270.0</v>
      </c>
      <c r="BG1124" s="11">
        <v>-21130.0</v>
      </c>
      <c r="BH1124" s="11">
        <v>119750.0</v>
      </c>
      <c r="BI1124" s="11">
        <v>126170.0</v>
      </c>
      <c r="BJ1124" s="11">
        <v>162890.0</v>
      </c>
      <c r="BK1124" s="11">
        <v>200040.0</v>
      </c>
      <c r="BL1124" s="11">
        <v>157130.0</v>
      </c>
      <c r="BM1124" s="11">
        <v>20520.0</v>
      </c>
      <c r="BN1124" s="11">
        <v>21120.0</v>
      </c>
      <c r="BO1124" s="11">
        <v>19510.0</v>
      </c>
      <c r="BP1124" s="11">
        <v>15500.0</v>
      </c>
      <c r="BQ1124" s="11">
        <v>17280.0</v>
      </c>
      <c r="BR1124" s="11">
        <v>331270.0</v>
      </c>
      <c r="BS1124" s="11">
        <v>321030.0</v>
      </c>
      <c r="BT1124" s="11">
        <v>310950.0</v>
      </c>
      <c r="BU1124" s="11">
        <v>282910.0</v>
      </c>
      <c r="BV1124" s="11">
        <v>267180.0</v>
      </c>
      <c r="BW1124" s="11">
        <v>491900.0</v>
      </c>
      <c r="BX1124" s="11">
        <v>487850.0</v>
      </c>
      <c r="BY1124" s="11">
        <v>510370.0</v>
      </c>
      <c r="BZ1124" s="11">
        <v>512550.0</v>
      </c>
      <c r="CA1124" s="11">
        <v>464350.0</v>
      </c>
      <c r="CB1124" s="11">
        <v>671150.0</v>
      </c>
      <c r="CC1124" s="11">
        <v>594400.0</v>
      </c>
      <c r="CD1124" s="11">
        <v>557830.0</v>
      </c>
      <c r="CE1124" s="11">
        <v>473050.0</v>
      </c>
      <c r="CF1124" s="11">
        <v>433040.0</v>
      </c>
      <c r="CG1124" s="11">
        <v>46100.0</v>
      </c>
      <c r="CH1124" s="11">
        <v>46330.0</v>
      </c>
      <c r="CI1124" s="11">
        <v>35640.0</v>
      </c>
      <c r="CJ1124" s="11">
        <v>35640.0</v>
      </c>
      <c r="CK1124" s="11">
        <v>35870.0</v>
      </c>
      <c r="CL1124" s="11">
        <v>1300000.0</v>
      </c>
      <c r="CM1124" s="11">
        <v>1220000.0</v>
      </c>
      <c r="CN1124" s="11">
        <v>1180000.0</v>
      </c>
      <c r="CO1124" s="11">
        <v>1100000.0</v>
      </c>
      <c r="CP1124" s="11">
        <v>991690.0</v>
      </c>
      <c r="CQ1124" s="11">
        <v>285900.0</v>
      </c>
      <c r="CR1124" s="11">
        <v>255660.0</v>
      </c>
      <c r="CS1124" s="11">
        <v>271640.0</v>
      </c>
      <c r="CT1124" s="11">
        <v>266890.0</v>
      </c>
      <c r="CU1124" s="11">
        <v>241520.0</v>
      </c>
      <c r="CV1124" s="11">
        <v>407450.0</v>
      </c>
      <c r="CW1124" s="11">
        <v>7540.0</v>
      </c>
      <c r="CX1124" s="12"/>
      <c r="CY1124" s="12"/>
      <c r="CZ1124" s="11">
        <v>16530.0</v>
      </c>
      <c r="DA1124" s="11">
        <v>6610.0</v>
      </c>
      <c r="DB1124" s="11">
        <v>407450.0</v>
      </c>
      <c r="DC1124" s="11">
        <v>349370.0</v>
      </c>
      <c r="DD1124" s="11">
        <v>363380.0</v>
      </c>
      <c r="DE1124" s="11">
        <v>367900.0</v>
      </c>
      <c r="DF1124" s="11">
        <v>498130.0</v>
      </c>
      <c r="DG1124" s="11">
        <v>457750.0</v>
      </c>
      <c r="DH1124" s="11">
        <v>468750.0</v>
      </c>
      <c r="DI1124" s="11">
        <v>458660.0</v>
      </c>
      <c r="DJ1124" s="11">
        <v>425110.0</v>
      </c>
      <c r="DK1124" s="11">
        <v>14230.0</v>
      </c>
      <c r="DL1124" s="11">
        <v>18170.0</v>
      </c>
      <c r="DM1124" s="11">
        <v>13580.0</v>
      </c>
      <c r="DN1124" s="11">
        <v>13440.0</v>
      </c>
      <c r="DO1124" s="11">
        <v>11780.0</v>
      </c>
      <c r="DP1124" s="11">
        <v>63710.0</v>
      </c>
      <c r="DQ1124" s="11">
        <v>87720.0</v>
      </c>
      <c r="DR1124" s="11">
        <v>87940.0</v>
      </c>
      <c r="DS1124" s="11">
        <v>73540.0</v>
      </c>
      <c r="DT1124" s="11">
        <v>73370.0</v>
      </c>
      <c r="DU1124" s="13"/>
      <c r="DV1124" s="12"/>
      <c r="DW1124" s="12"/>
      <c r="DX1124" s="12"/>
      <c r="DY1124" s="12"/>
      <c r="DZ1124" s="11">
        <v>797350.0</v>
      </c>
      <c r="EA1124" s="11">
        <v>758000.0</v>
      </c>
      <c r="EB1124" s="11">
        <v>708770.0</v>
      </c>
      <c r="EC1124" s="11">
        <v>638070.0</v>
      </c>
      <c r="ED1124" s="11">
        <v>566580.0</v>
      </c>
      <c r="EE1124" s="14">
        <v>0.003</v>
      </c>
      <c r="EF1124" s="14">
        <v>0.009</v>
      </c>
      <c r="EG1124" s="14">
        <v>0.577</v>
      </c>
      <c r="EH1124" s="14">
        <v>0.252</v>
      </c>
    </row>
    <row r="1125">
      <c r="A1125" s="9">
        <f t="shared" si="2"/>
        <v>1123</v>
      </c>
      <c r="B1125" s="22" t="s">
        <v>1260</v>
      </c>
      <c r="C1125" s="11">
        <v>91840.0</v>
      </c>
      <c r="D1125" s="11">
        <v>78490.0</v>
      </c>
      <c r="E1125" s="11">
        <v>65210.0</v>
      </c>
      <c r="F1125" s="11">
        <v>37770.0</v>
      </c>
      <c r="G1125" s="11">
        <v>9390.0</v>
      </c>
      <c r="H1125" s="12"/>
      <c r="I1125" s="12"/>
      <c r="J1125" s="11">
        <v>22080.0</v>
      </c>
      <c r="K1125" s="11">
        <v>11810.0</v>
      </c>
      <c r="L1125" s="11">
        <v>-2340.0</v>
      </c>
      <c r="M1125" s="12"/>
      <c r="N1125" s="12"/>
      <c r="O1125" s="11">
        <v>44500.0</v>
      </c>
      <c r="P1125" s="11">
        <v>25580.0</v>
      </c>
      <c r="Q1125" s="11">
        <v>19820.0</v>
      </c>
      <c r="R1125" s="12"/>
      <c r="S1125" s="12"/>
      <c r="T1125" s="11">
        <v>22420.0</v>
      </c>
      <c r="U1125" s="11">
        <v>14300.0</v>
      </c>
      <c r="V1125" s="11">
        <v>9920.0</v>
      </c>
      <c r="W1125" s="12"/>
      <c r="X1125" s="12"/>
      <c r="Y1125" s="11">
        <v>-25530.0</v>
      </c>
      <c r="Z1125" s="11">
        <v>-18250.0</v>
      </c>
      <c r="AA1125" s="11">
        <v>-22390.0</v>
      </c>
      <c r="AB1125" s="12"/>
      <c r="AC1125" s="12"/>
      <c r="AD1125" s="11">
        <v>-25080.0</v>
      </c>
      <c r="AE1125" s="11">
        <v>-19880.0</v>
      </c>
      <c r="AF1125" s="11">
        <v>-23590.0</v>
      </c>
      <c r="AG1125" s="12"/>
      <c r="AH1125" s="12"/>
      <c r="AI1125" s="11">
        <v>-16690.0</v>
      </c>
      <c r="AJ1125" s="11">
        <v>-10700.0</v>
      </c>
      <c r="AK1125" s="11">
        <v>-20950.0</v>
      </c>
      <c r="AL1125" s="12"/>
      <c r="AM1125" s="12"/>
      <c r="AN1125" s="11">
        <v>-25080.0</v>
      </c>
      <c r="AO1125" s="11">
        <v>-19890.0</v>
      </c>
      <c r="AP1125" s="11">
        <v>-23600.0</v>
      </c>
      <c r="AQ1125" s="12"/>
      <c r="AR1125" s="12"/>
      <c r="AS1125" s="11">
        <v>-18070.0</v>
      </c>
      <c r="AT1125" s="11">
        <v>5570.0</v>
      </c>
      <c r="AU1125" s="11">
        <v>290.0</v>
      </c>
      <c r="AV1125" s="12"/>
      <c r="AW1125" s="12"/>
      <c r="AX1125" s="11">
        <v>-8380.0</v>
      </c>
      <c r="AY1125" s="11">
        <v>-7850.0</v>
      </c>
      <c r="AZ1125" s="11">
        <v>-5160.0</v>
      </c>
      <c r="BA1125" s="12"/>
      <c r="BB1125" s="12"/>
      <c r="BC1125" s="12"/>
      <c r="BD1125" s="12"/>
      <c r="BE1125" s="12"/>
      <c r="BF1125" s="12"/>
      <c r="BG1125" s="12"/>
      <c r="BH1125" s="11">
        <v>128290.0</v>
      </c>
      <c r="BI1125" s="11">
        <v>19740.0</v>
      </c>
      <c r="BJ1125" s="11">
        <v>22620.0</v>
      </c>
      <c r="BK1125" s="12"/>
      <c r="BL1125" s="12"/>
      <c r="BM1125" s="11">
        <v>3300.0</v>
      </c>
      <c r="BN1125" s="11">
        <v>4460.0</v>
      </c>
      <c r="BO1125" s="11">
        <v>1940.0</v>
      </c>
      <c r="BP1125" s="12"/>
      <c r="BQ1125" s="12"/>
      <c r="BR1125" s="11">
        <v>1420.0</v>
      </c>
      <c r="BS1125" s="11">
        <v>2130.0</v>
      </c>
      <c r="BT1125" s="11">
        <v>822.0</v>
      </c>
      <c r="BU1125" s="12"/>
      <c r="BV1125" s="12"/>
      <c r="BW1125" s="11">
        <v>136400.0</v>
      </c>
      <c r="BX1125" s="11">
        <v>28260.0</v>
      </c>
      <c r="BY1125" s="11">
        <v>26180.0</v>
      </c>
      <c r="BZ1125" s="12"/>
      <c r="CA1125" s="12"/>
      <c r="CB1125" s="11">
        <v>15950.0</v>
      </c>
      <c r="CC1125" s="11">
        <v>11450.0</v>
      </c>
      <c r="CD1125" s="11">
        <v>6340.0</v>
      </c>
      <c r="CE1125" s="12"/>
      <c r="CF1125" s="12"/>
      <c r="CG1125" s="12"/>
      <c r="CH1125" s="12"/>
      <c r="CI1125" s="12"/>
      <c r="CJ1125" s="12"/>
      <c r="CK1125" s="12"/>
      <c r="CL1125" s="11">
        <v>157290.0</v>
      </c>
      <c r="CM1125" s="11">
        <v>41670.0</v>
      </c>
      <c r="CN1125" s="11">
        <v>33560.0</v>
      </c>
      <c r="CO1125" s="12"/>
      <c r="CP1125" s="12"/>
      <c r="CQ1125" s="11">
        <v>7340.0</v>
      </c>
      <c r="CR1125" s="11">
        <v>6570.0</v>
      </c>
      <c r="CS1125" s="11">
        <v>4040.0</v>
      </c>
      <c r="CT1125" s="12"/>
      <c r="CU1125" s="12"/>
      <c r="CV1125" s="11">
        <v>49960.0</v>
      </c>
      <c r="CW1125" s="11">
        <v>1360.0</v>
      </c>
      <c r="CX1125" s="12"/>
      <c r="CY1125" s="12"/>
      <c r="CZ1125" s="12"/>
      <c r="DA1125" s="12"/>
      <c r="DB1125" s="11">
        <v>49960.0</v>
      </c>
      <c r="DC1125" s="11">
        <v>57850.0</v>
      </c>
      <c r="DD1125" s="11">
        <v>48990.0</v>
      </c>
      <c r="DE1125" s="12"/>
      <c r="DF1125" s="11">
        <v>50600.0</v>
      </c>
      <c r="DG1125" s="11">
        <v>58650.0</v>
      </c>
      <c r="DH1125" s="11">
        <v>50170.0</v>
      </c>
      <c r="DI1125" s="12"/>
      <c r="DJ1125" s="12"/>
      <c r="DK1125" s="12"/>
      <c r="DL1125" s="12"/>
      <c r="DM1125" s="12"/>
      <c r="DN1125" s="12"/>
      <c r="DO1125" s="12"/>
      <c r="DP1125" s="11">
        <v>639.0</v>
      </c>
      <c r="DQ1125" s="11">
        <v>683.0</v>
      </c>
      <c r="DR1125" s="11">
        <v>292.0</v>
      </c>
      <c r="DS1125" s="12"/>
      <c r="DT1125" s="12"/>
      <c r="DU1125" s="12"/>
      <c r="DV1125" s="11">
        <v>89400.0</v>
      </c>
      <c r="DW1125" s="11">
        <v>76000.0</v>
      </c>
      <c r="DX1125" s="12"/>
      <c r="DY1125" s="12"/>
      <c r="DZ1125" s="11">
        <v>106690.0</v>
      </c>
      <c r="EA1125" s="11">
        <v>-16980.0</v>
      </c>
      <c r="EB1125" s="11">
        <v>-16610.0</v>
      </c>
      <c r="EC1125" s="12"/>
      <c r="ED1125" s="12"/>
      <c r="EE1125" s="14">
        <v>0.015</v>
      </c>
      <c r="EF1125" s="14">
        <v>0.06</v>
      </c>
      <c r="EG1125" s="14">
        <v>0.147</v>
      </c>
      <c r="EH1125" s="14">
        <v>0.067</v>
      </c>
    </row>
    <row r="1126">
      <c r="A1126" s="9">
        <f t="shared" si="2"/>
        <v>1124</v>
      </c>
      <c r="B1126" s="22" t="s">
        <v>1261</v>
      </c>
      <c r="C1126" s="12"/>
      <c r="D1126" s="12"/>
      <c r="E1126" s="11">
        <v>54.0</v>
      </c>
      <c r="F1126" s="11">
        <v>50.0</v>
      </c>
      <c r="G1126" s="12"/>
      <c r="H1126" s="11">
        <v>2850.0</v>
      </c>
      <c r="I1126" s="11">
        <v>379.0</v>
      </c>
      <c r="J1126" s="11">
        <v>-1910.0</v>
      </c>
      <c r="K1126" s="11">
        <v>-1970.0</v>
      </c>
      <c r="L1126" s="11">
        <v>-2180.0</v>
      </c>
      <c r="M1126" s="11">
        <v>597.0</v>
      </c>
      <c r="N1126" s="11">
        <v>-1710.0</v>
      </c>
      <c r="O1126" s="11">
        <v>33620.0</v>
      </c>
      <c r="P1126" s="11">
        <v>31800.0</v>
      </c>
      <c r="Q1126" s="11">
        <v>25840.0</v>
      </c>
      <c r="R1126" s="11">
        <v>23920.0</v>
      </c>
      <c r="S1126" s="11">
        <v>23560.0</v>
      </c>
      <c r="T1126" s="11">
        <v>24590.0</v>
      </c>
      <c r="U1126" s="11">
        <v>20740.0</v>
      </c>
      <c r="V1126" s="11">
        <v>19060.0</v>
      </c>
      <c r="W1126" s="11">
        <v>17570.0</v>
      </c>
      <c r="X1126" s="11">
        <v>17230.0</v>
      </c>
      <c r="Y1126" s="11">
        <v>-35640.0</v>
      </c>
      <c r="Z1126" s="11">
        <v>-34890.0</v>
      </c>
      <c r="AA1126" s="11">
        <v>-27540.0</v>
      </c>
      <c r="AB1126" s="11">
        <v>-23350.0</v>
      </c>
      <c r="AC1126" s="11">
        <v>-24600.0</v>
      </c>
      <c r="AD1126" s="11">
        <v>-35310.0</v>
      </c>
      <c r="AE1126" s="11">
        <v>-26130.0</v>
      </c>
      <c r="AF1126" s="11">
        <v>-27810.0</v>
      </c>
      <c r="AG1126" s="11">
        <v>-23250.0</v>
      </c>
      <c r="AH1126" s="11">
        <v>-24680.0</v>
      </c>
      <c r="AI1126" s="11">
        <v>-33570.0</v>
      </c>
      <c r="AJ1126" s="11">
        <v>-31760.0</v>
      </c>
      <c r="AK1126" s="11">
        <v>-25840.0</v>
      </c>
      <c r="AL1126" s="11">
        <v>-21170.0</v>
      </c>
      <c r="AM1126" s="11">
        <v>-23190.0</v>
      </c>
      <c r="AN1126" s="11">
        <v>-35310.0</v>
      </c>
      <c r="AO1126" s="11">
        <v>-26130.0</v>
      </c>
      <c r="AP1126" s="11">
        <v>-27810.0</v>
      </c>
      <c r="AQ1126" s="11">
        <v>-23250.0</v>
      </c>
      <c r="AR1126" s="11">
        <v>-24680.0</v>
      </c>
      <c r="AS1126" s="11">
        <v>-29450.0</v>
      </c>
      <c r="AT1126" s="11">
        <v>-21380.0</v>
      </c>
      <c r="AU1126" s="11">
        <v>-21610.0</v>
      </c>
      <c r="AV1126" s="11">
        <v>-18520.0</v>
      </c>
      <c r="AW1126" s="11">
        <v>-20610.0</v>
      </c>
      <c r="AX1126" s="11">
        <v>-239.0</v>
      </c>
      <c r="AY1126" s="11">
        <v>-342.0</v>
      </c>
      <c r="AZ1126" s="11">
        <v>-378.0</v>
      </c>
      <c r="BA1126" s="11">
        <v>-1750.0</v>
      </c>
      <c r="BB1126" s="11">
        <v>-831.0</v>
      </c>
      <c r="BC1126" s="12"/>
      <c r="BD1126" s="12"/>
      <c r="BE1126" s="12"/>
      <c r="BF1126" s="12"/>
      <c r="BG1126" s="12"/>
      <c r="BH1126" s="11">
        <v>24400.0</v>
      </c>
      <c r="BI1126" s="11">
        <v>30590.0</v>
      </c>
      <c r="BJ1126" s="11">
        <v>26960.0</v>
      </c>
      <c r="BK1126" s="11">
        <v>32820.0</v>
      </c>
      <c r="BL1126" s="11">
        <v>53440.0</v>
      </c>
      <c r="BM1126" s="11">
        <v>1420.0</v>
      </c>
      <c r="BN1126" s="11">
        <v>847.0</v>
      </c>
      <c r="BO1126" s="11">
        <v>1170.0</v>
      </c>
      <c r="BP1126" s="11">
        <v>2480.0</v>
      </c>
      <c r="BQ1126" s="11">
        <v>2510.0</v>
      </c>
      <c r="BR1126" s="12"/>
      <c r="BS1126" s="12"/>
      <c r="BT1126" s="12"/>
      <c r="BU1126" s="12"/>
      <c r="BV1126" s="12"/>
      <c r="BW1126" s="11">
        <v>26370.0</v>
      </c>
      <c r="BX1126" s="11">
        <v>32040.0</v>
      </c>
      <c r="BY1126" s="11">
        <v>29020.0</v>
      </c>
      <c r="BZ1126" s="11">
        <v>35600.0</v>
      </c>
      <c r="CA1126" s="11">
        <v>56870.0</v>
      </c>
      <c r="CB1126" s="11">
        <v>3840.0</v>
      </c>
      <c r="CC1126" s="11">
        <v>5680.0</v>
      </c>
      <c r="CD1126" s="11">
        <v>7280.0</v>
      </c>
      <c r="CE1126" s="11">
        <v>9220.0</v>
      </c>
      <c r="CF1126" s="11">
        <v>10170.0</v>
      </c>
      <c r="CG1126" s="12"/>
      <c r="CH1126" s="12"/>
      <c r="CI1126" s="12"/>
      <c r="CJ1126" s="12"/>
      <c r="CK1126" s="12"/>
      <c r="CL1126" s="11">
        <v>31310.0</v>
      </c>
      <c r="CM1126" s="11">
        <v>38960.0</v>
      </c>
      <c r="CN1126" s="11">
        <v>37530.0</v>
      </c>
      <c r="CO1126" s="11">
        <v>45940.0</v>
      </c>
      <c r="CP1126" s="11">
        <v>68950.0</v>
      </c>
      <c r="CQ1126" s="11">
        <v>2280.0</v>
      </c>
      <c r="CR1126" s="11">
        <v>3260.0</v>
      </c>
      <c r="CS1126" s="11">
        <v>1970.0</v>
      </c>
      <c r="CT1126" s="11">
        <v>2710.0</v>
      </c>
      <c r="CU1126" s="11">
        <v>3270.0</v>
      </c>
      <c r="CV1126" s="11">
        <v>8160.0</v>
      </c>
      <c r="CW1126" s="12"/>
      <c r="CX1126" s="12"/>
      <c r="CY1126" s="12"/>
      <c r="CZ1126" s="12"/>
      <c r="DA1126" s="12"/>
      <c r="DB1126" s="11">
        <v>8160.0</v>
      </c>
      <c r="DC1126" s="11">
        <v>8550.0</v>
      </c>
      <c r="DD1126" s="11">
        <v>5410.0</v>
      </c>
      <c r="DE1126" s="11">
        <v>5780.0</v>
      </c>
      <c r="DF1126" s="11">
        <v>9490.0</v>
      </c>
      <c r="DG1126" s="11">
        <v>10450.0</v>
      </c>
      <c r="DH1126" s="11">
        <v>7280.0</v>
      </c>
      <c r="DI1126" s="11">
        <v>7790.0</v>
      </c>
      <c r="DJ1126" s="11">
        <v>10010.0</v>
      </c>
      <c r="DK1126" s="11">
        <v>398.0</v>
      </c>
      <c r="DL1126" s="11">
        <v>383.0</v>
      </c>
      <c r="DM1126" s="11">
        <v>403.0</v>
      </c>
      <c r="DN1126" s="11">
        <v>363.0</v>
      </c>
      <c r="DO1126" s="24">
        <v>360.0</v>
      </c>
      <c r="DP1126" s="12"/>
      <c r="DQ1126" s="12"/>
      <c r="DR1126" s="12"/>
      <c r="DS1126" s="12"/>
      <c r="DT1126" s="12"/>
      <c r="DU1126" s="13"/>
      <c r="DV1126" s="12"/>
      <c r="DW1126" s="12"/>
      <c r="DX1126" s="13"/>
      <c r="DY1126" s="13"/>
      <c r="DZ1126" s="11">
        <v>21820.0</v>
      </c>
      <c r="EA1126" s="11">
        <v>28510.0</v>
      </c>
      <c r="EB1126" s="11">
        <v>30250.0</v>
      </c>
      <c r="EC1126" s="11">
        <v>38160.0</v>
      </c>
      <c r="ED1126" s="11">
        <v>58930.0</v>
      </c>
      <c r="EE1126" s="23"/>
      <c r="EF1126" s="23"/>
      <c r="EG1126" s="14">
        <v>-0.167</v>
      </c>
      <c r="EH1126" s="14">
        <v>0.092</v>
      </c>
    </row>
    <row r="1127">
      <c r="A1127" s="9">
        <f t="shared" si="2"/>
        <v>1125</v>
      </c>
      <c r="B1127" s="22" t="s">
        <v>1262</v>
      </c>
      <c r="C1127" s="12"/>
      <c r="D1127" s="12"/>
      <c r="E1127" s="12"/>
      <c r="F1127" s="12"/>
      <c r="G1127" s="11">
        <v>2990.0</v>
      </c>
      <c r="H1127" s="11">
        <v>9770.0</v>
      </c>
      <c r="I1127" s="12"/>
      <c r="J1127" s="11">
        <v>-1190.0</v>
      </c>
      <c r="K1127" s="11">
        <v>-689.0</v>
      </c>
      <c r="L1127" s="12"/>
      <c r="M1127" s="12"/>
      <c r="N1127" s="12"/>
      <c r="O1127" s="11">
        <v>87560.0</v>
      </c>
      <c r="P1127" s="11">
        <v>41770.0</v>
      </c>
      <c r="Q1127" s="11">
        <v>26000.0</v>
      </c>
      <c r="R1127" s="11">
        <v>15000.0</v>
      </c>
      <c r="S1127" s="12"/>
      <c r="T1127" s="11">
        <v>70290.0</v>
      </c>
      <c r="U1127" s="11">
        <v>32780.0</v>
      </c>
      <c r="V1127" s="11">
        <v>21200.0</v>
      </c>
      <c r="W1127" s="11">
        <v>9860.0</v>
      </c>
      <c r="X1127" s="12"/>
      <c r="Y1127" s="11">
        <v>-95430.0</v>
      </c>
      <c r="Z1127" s="11">
        <v>-44990.0</v>
      </c>
      <c r="AA1127" s="11">
        <v>-21770.0</v>
      </c>
      <c r="AB1127" s="12"/>
      <c r="AC1127" s="12"/>
      <c r="AD1127" s="11">
        <v>-96430.0</v>
      </c>
      <c r="AE1127" s="11">
        <v>-47610.0</v>
      </c>
      <c r="AF1127" s="11">
        <v>-22290.0</v>
      </c>
      <c r="AG1127" s="11">
        <v>-5340.0</v>
      </c>
      <c r="AH1127" s="12"/>
      <c r="AI1127" s="11">
        <v>-87560.0</v>
      </c>
      <c r="AJ1127" s="11">
        <v>-41770.0</v>
      </c>
      <c r="AK1127" s="11">
        <v>-23020.0</v>
      </c>
      <c r="AL1127" s="11">
        <v>-5230.0</v>
      </c>
      <c r="AM1127" s="12"/>
      <c r="AN1127" s="11">
        <v>-86530.0</v>
      </c>
      <c r="AO1127" s="11">
        <v>-44400.0</v>
      </c>
      <c r="AP1127" s="11">
        <v>-19660.0</v>
      </c>
      <c r="AQ1127" s="11">
        <v>-4580.0</v>
      </c>
      <c r="AR1127" s="12"/>
      <c r="AS1127" s="11">
        <v>-64390.0</v>
      </c>
      <c r="AT1127" s="11">
        <v>-38010.0</v>
      </c>
      <c r="AU1127" s="11">
        <v>-22700.0</v>
      </c>
      <c r="AV1127" s="11">
        <v>-9990.0</v>
      </c>
      <c r="AW1127" s="12"/>
      <c r="AX1127" s="11">
        <v>-5160.0</v>
      </c>
      <c r="AY1127" s="11">
        <v>-1280.0</v>
      </c>
      <c r="AZ1127" s="11">
        <v>-201.0</v>
      </c>
      <c r="BA1127" s="11">
        <v>-1810.0</v>
      </c>
      <c r="BB1127" s="12"/>
      <c r="BC1127" s="12"/>
      <c r="BD1127" s="12"/>
      <c r="BE1127" s="12"/>
      <c r="BF1127" s="12"/>
      <c r="BG1127" s="12"/>
      <c r="BH1127" s="11">
        <v>125320.0</v>
      </c>
      <c r="BI1127" s="11">
        <v>30400.0</v>
      </c>
      <c r="BJ1127" s="11">
        <v>15630.0</v>
      </c>
      <c r="BK1127" s="11">
        <v>17890.0</v>
      </c>
      <c r="BL1127" s="12"/>
      <c r="BM1127" s="12"/>
      <c r="BN1127" s="12"/>
      <c r="BO1127" s="12"/>
      <c r="BP1127" s="11">
        <v>865.0</v>
      </c>
      <c r="BQ1127" s="12"/>
      <c r="BR1127" s="12"/>
      <c r="BS1127" s="12"/>
      <c r="BT1127" s="12"/>
      <c r="BU1127" s="12"/>
      <c r="BV1127" s="12"/>
      <c r="BW1127" s="11">
        <v>127180.0</v>
      </c>
      <c r="BX1127" s="11">
        <v>32640.0</v>
      </c>
      <c r="BY1127" s="11">
        <v>15830.0</v>
      </c>
      <c r="BZ1127" s="11">
        <v>19110.0</v>
      </c>
      <c r="CA1127" s="12"/>
      <c r="CB1127" s="11">
        <v>10860.0</v>
      </c>
      <c r="CC1127" s="11">
        <v>3420.0</v>
      </c>
      <c r="CD1127" s="11">
        <v>1730.0</v>
      </c>
      <c r="CE1127" s="11">
        <v>1890.0</v>
      </c>
      <c r="CF1127" s="12"/>
      <c r="CG1127" s="11">
        <v>4230.0</v>
      </c>
      <c r="CH1127" s="11">
        <v>4230.0</v>
      </c>
      <c r="CI1127" s="12"/>
      <c r="CJ1127" s="12"/>
      <c r="CK1127" s="12"/>
      <c r="CL1127" s="11">
        <v>148610.0</v>
      </c>
      <c r="CM1127" s="11">
        <v>45120.0</v>
      </c>
      <c r="CN1127" s="11">
        <v>25450.0</v>
      </c>
      <c r="CO1127" s="11">
        <v>28190.0</v>
      </c>
      <c r="CP1127" s="12"/>
      <c r="CQ1127" s="11">
        <v>4930.0</v>
      </c>
      <c r="CR1127" s="11">
        <v>2860.0</v>
      </c>
      <c r="CS1127" s="11">
        <v>1160.0</v>
      </c>
      <c r="CT1127" s="11">
        <v>1190.0</v>
      </c>
      <c r="CU1127" s="12"/>
      <c r="CV1127" s="11">
        <v>21860.0</v>
      </c>
      <c r="CW1127" s="12"/>
      <c r="CX1127" s="12"/>
      <c r="CY1127" s="12"/>
      <c r="CZ1127" s="12"/>
      <c r="DA1127" s="12"/>
      <c r="DB1127" s="11">
        <v>21860.0</v>
      </c>
      <c r="DC1127" s="11">
        <v>13030.0</v>
      </c>
      <c r="DD1127" s="11">
        <v>7250.0</v>
      </c>
      <c r="DE1127" s="11">
        <v>10670.0</v>
      </c>
      <c r="DF1127" s="11">
        <v>75940.0</v>
      </c>
      <c r="DG1127" s="11">
        <v>49380.0</v>
      </c>
      <c r="DH1127" s="11">
        <v>16850.0</v>
      </c>
      <c r="DI1127" s="11">
        <v>11770.0</v>
      </c>
      <c r="DJ1127" s="12"/>
      <c r="DK1127" s="12"/>
      <c r="DL1127" s="12"/>
      <c r="DM1127" s="12"/>
      <c r="DN1127" s="12"/>
      <c r="DO1127" s="12"/>
      <c r="DP1127" s="11">
        <v>26140.0</v>
      </c>
      <c r="DQ1127" s="11">
        <v>19090.0</v>
      </c>
      <c r="DR1127" s="11">
        <v>8600.0</v>
      </c>
      <c r="DS1127" s="12"/>
      <c r="DT1127" s="12"/>
      <c r="DU1127" s="11">
        <v>222170.0</v>
      </c>
      <c r="DV1127" s="11">
        <v>72460.0</v>
      </c>
      <c r="DW1127" s="11">
        <v>42150.0</v>
      </c>
      <c r="DX1127" s="11">
        <v>31060.0</v>
      </c>
      <c r="DY1127" s="13"/>
      <c r="DZ1127" s="11">
        <v>72660.0</v>
      </c>
      <c r="EA1127" s="11">
        <v>-4260.0</v>
      </c>
      <c r="EB1127" s="11">
        <v>8600.0</v>
      </c>
      <c r="EC1127" s="11">
        <v>16420.0</v>
      </c>
      <c r="ED1127" s="12"/>
      <c r="EE1127" s="23"/>
      <c r="EF1127" s="23"/>
      <c r="EG1127" s="23" t="s">
        <v>155</v>
      </c>
      <c r="EH1127" s="23"/>
    </row>
    <row r="1128">
      <c r="A1128" s="9">
        <f t="shared" si="2"/>
        <v>1126</v>
      </c>
      <c r="B1128" s="22" t="s">
        <v>1263</v>
      </c>
      <c r="C1128" s="11">
        <v>533000.0</v>
      </c>
      <c r="D1128" s="11">
        <v>372230.0</v>
      </c>
      <c r="E1128" s="11">
        <v>306980.0</v>
      </c>
      <c r="F1128" s="11">
        <v>264730.0</v>
      </c>
      <c r="G1128" s="11">
        <v>194390.0</v>
      </c>
      <c r="H1128" s="11">
        <v>82710.0</v>
      </c>
      <c r="I1128" s="11">
        <v>36770.0</v>
      </c>
      <c r="J1128" s="11">
        <v>267200.0</v>
      </c>
      <c r="K1128" s="11">
        <v>229190.0</v>
      </c>
      <c r="L1128" s="11">
        <v>174440.0</v>
      </c>
      <c r="M1128" s="12"/>
      <c r="N1128" s="12"/>
      <c r="O1128" s="11">
        <v>459990.0</v>
      </c>
      <c r="P1128" s="11">
        <v>325530.0</v>
      </c>
      <c r="Q1128" s="11">
        <v>238730.0</v>
      </c>
      <c r="R1128" s="11">
        <v>208970.0</v>
      </c>
      <c r="S1128" s="11">
        <v>201020.0</v>
      </c>
      <c r="T1128" s="11">
        <v>257450.0</v>
      </c>
      <c r="U1128" s="11">
        <v>171980.0</v>
      </c>
      <c r="V1128" s="11">
        <v>117460.0</v>
      </c>
      <c r="W1128" s="11">
        <v>117630.0</v>
      </c>
      <c r="X1128" s="11">
        <v>121820.0</v>
      </c>
      <c r="Y1128" s="11">
        <v>-241160.0</v>
      </c>
      <c r="Z1128" s="12"/>
      <c r="AA1128" s="12"/>
      <c r="AB1128" s="11">
        <v>-132010.0</v>
      </c>
      <c r="AC1128" s="11">
        <v>140.0</v>
      </c>
      <c r="AD1128" s="11">
        <v>-239930.0</v>
      </c>
      <c r="AE1128" s="11">
        <v>-128110.0</v>
      </c>
      <c r="AF1128" s="11">
        <v>-77670.0</v>
      </c>
      <c r="AG1128" s="11">
        <v>-141540.0</v>
      </c>
      <c r="AH1128" s="11">
        <v>-169960.0</v>
      </c>
      <c r="AI1128" s="11">
        <v>-156740.0</v>
      </c>
      <c r="AJ1128" s="11">
        <v>-89600.0</v>
      </c>
      <c r="AK1128" s="11">
        <v>-46610.0</v>
      </c>
      <c r="AL1128" s="11">
        <v>-126270.0</v>
      </c>
      <c r="AM1128" s="11">
        <v>-164250.0</v>
      </c>
      <c r="AN1128" s="11">
        <v>-251580.0</v>
      </c>
      <c r="AO1128" s="11">
        <v>-128080.0</v>
      </c>
      <c r="AP1128" s="11">
        <v>-79000.0</v>
      </c>
      <c r="AQ1128" s="11">
        <v>-142110.0</v>
      </c>
      <c r="AR1128" s="11">
        <v>-170450.0</v>
      </c>
      <c r="AS1128" s="11">
        <v>-98640.0</v>
      </c>
      <c r="AT1128" s="11">
        <v>-27640.0</v>
      </c>
      <c r="AU1128" s="11">
        <v>-10060.0</v>
      </c>
      <c r="AV1128" s="11">
        <v>-103570.0</v>
      </c>
      <c r="AW1128" s="11">
        <v>-124340.0</v>
      </c>
      <c r="AX1128" s="11">
        <v>-45440.0</v>
      </c>
      <c r="AY1128" s="11">
        <v>-15530.0</v>
      </c>
      <c r="AZ1128" s="11">
        <v>-80260.0</v>
      </c>
      <c r="BA1128" s="11">
        <v>-1780.0</v>
      </c>
      <c r="BB1128" s="11">
        <v>-2720.0</v>
      </c>
      <c r="BC1128" s="12"/>
      <c r="BD1128" s="12"/>
      <c r="BE1128" s="12"/>
      <c r="BF1128" s="12"/>
      <c r="BG1128" s="12"/>
      <c r="BH1128" s="11">
        <v>686560.0</v>
      </c>
      <c r="BI1128" s="11">
        <v>227590.0</v>
      </c>
      <c r="BJ1128" s="11">
        <v>191250.0</v>
      </c>
      <c r="BK1128" s="11">
        <v>231670.0</v>
      </c>
      <c r="BL1128" s="11">
        <v>338930.0</v>
      </c>
      <c r="BM1128" s="11">
        <v>55540.0</v>
      </c>
      <c r="BN1128" s="11">
        <v>67910.0</v>
      </c>
      <c r="BO1128" s="11">
        <v>40390.0</v>
      </c>
      <c r="BP1128" s="11">
        <v>24930.0</v>
      </c>
      <c r="BQ1128" s="11">
        <v>11090.0</v>
      </c>
      <c r="BR1128" s="11">
        <v>19290.0</v>
      </c>
      <c r="BS1128" s="11">
        <v>16120.0</v>
      </c>
      <c r="BT1128" s="11">
        <v>10750.0</v>
      </c>
      <c r="BU1128" s="12"/>
      <c r="BV1128" s="12"/>
      <c r="BW1128" s="11">
        <v>779280.0</v>
      </c>
      <c r="BX1128" s="11">
        <v>320860.0</v>
      </c>
      <c r="BY1128" s="11">
        <v>249060.0</v>
      </c>
      <c r="BZ1128" s="11">
        <v>261290.0</v>
      </c>
      <c r="CA1128" s="11">
        <v>355950.0</v>
      </c>
      <c r="CB1128" s="11">
        <v>35240.0</v>
      </c>
      <c r="CC1128" s="11">
        <v>12690.0</v>
      </c>
      <c r="CD1128" s="11">
        <v>8380.0</v>
      </c>
      <c r="CE1128" s="11">
        <v>7430.0</v>
      </c>
      <c r="CF1128" s="11">
        <v>8970.0</v>
      </c>
      <c r="CG1128" s="11">
        <v>82340.0</v>
      </c>
      <c r="CH1128" s="11">
        <v>82340.0</v>
      </c>
      <c r="CI1128" s="12"/>
      <c r="CJ1128" s="12"/>
      <c r="CK1128" s="12"/>
      <c r="CL1128" s="11">
        <v>1620000.0</v>
      </c>
      <c r="CM1128" s="11">
        <v>1120000.0</v>
      </c>
      <c r="CN1128" s="11">
        <v>391650.0</v>
      </c>
      <c r="CO1128" s="11">
        <v>269350.0</v>
      </c>
      <c r="CP1128" s="11">
        <v>365280.0</v>
      </c>
      <c r="CQ1128" s="11">
        <v>10320.0</v>
      </c>
      <c r="CR1128" s="11">
        <v>6000.0</v>
      </c>
      <c r="CS1128" s="11">
        <v>15280.0</v>
      </c>
      <c r="CT1128" s="11">
        <v>6300.0</v>
      </c>
      <c r="CU1128" s="11">
        <v>5780.0</v>
      </c>
      <c r="CV1128" s="11">
        <v>235860.0</v>
      </c>
      <c r="CW1128" s="11">
        <v>5150.0</v>
      </c>
      <c r="CX1128" s="12"/>
      <c r="CY1128" s="12"/>
      <c r="CZ1128" s="12"/>
      <c r="DA1128" s="12"/>
      <c r="DB1128" s="11">
        <v>235860.0</v>
      </c>
      <c r="DC1128" s="11">
        <v>166800.0</v>
      </c>
      <c r="DD1128" s="11">
        <v>82050.0</v>
      </c>
      <c r="DE1128" s="11">
        <v>49620.0</v>
      </c>
      <c r="DF1128" s="11">
        <v>1030000.0</v>
      </c>
      <c r="DG1128" s="11">
        <v>768500.0</v>
      </c>
      <c r="DH1128" s="11">
        <v>235220.0</v>
      </c>
      <c r="DI1128" s="11">
        <v>149760.0</v>
      </c>
      <c r="DJ1128" s="11">
        <v>139280.0</v>
      </c>
      <c r="DK1128" s="11">
        <v>7500.0</v>
      </c>
      <c r="DL1128" s="12"/>
      <c r="DM1128" s="12"/>
      <c r="DN1128" s="12"/>
      <c r="DO1128" s="12"/>
      <c r="DP1128" s="11">
        <v>302880.0</v>
      </c>
      <c r="DQ1128" s="11">
        <v>141350.0</v>
      </c>
      <c r="DR1128" s="11">
        <v>144970.0</v>
      </c>
      <c r="DS1128" s="11">
        <v>98220.0</v>
      </c>
      <c r="DT1128" s="11">
        <v>91850.0</v>
      </c>
      <c r="DU1128" s="13"/>
      <c r="DV1128" s="12"/>
      <c r="DW1128" s="12"/>
      <c r="DX1128" s="13"/>
      <c r="DY1128" s="13"/>
      <c r="DZ1128" s="11">
        <v>594330.0</v>
      </c>
      <c r="EA1128" s="11">
        <v>350730.0</v>
      </c>
      <c r="EB1128" s="11">
        <v>156440.0</v>
      </c>
      <c r="EC1128" s="11">
        <v>119580.0</v>
      </c>
      <c r="ED1128" s="11">
        <v>226000.0</v>
      </c>
      <c r="EE1128" s="14">
        <v>0.193</v>
      </c>
      <c r="EF1128" s="14">
        <v>0.437</v>
      </c>
      <c r="EG1128" s="14">
        <v>-1.138</v>
      </c>
      <c r="EH1128" s="14">
        <v>-0.895</v>
      </c>
    </row>
    <row r="1129">
      <c r="A1129" s="9">
        <f t="shared" si="2"/>
        <v>1127</v>
      </c>
      <c r="B1129" s="22" t="s">
        <v>1264</v>
      </c>
      <c r="C1129" s="11">
        <v>20000.0</v>
      </c>
      <c r="D1129" s="11">
        <v>14240.0</v>
      </c>
      <c r="E1129" s="11">
        <v>231.0</v>
      </c>
      <c r="F1129" s="11">
        <v>30930.0</v>
      </c>
      <c r="G1129" s="11">
        <v>20060.0</v>
      </c>
      <c r="H1129" s="12"/>
      <c r="I1129" s="12"/>
      <c r="J1129" s="12"/>
      <c r="K1129" s="12"/>
      <c r="L1129" s="12"/>
      <c r="M1129" s="11">
        <v>-317.0</v>
      </c>
      <c r="N1129" s="11">
        <v>-247.0</v>
      </c>
      <c r="O1129" s="11">
        <v>82750.0</v>
      </c>
      <c r="P1129" s="11">
        <v>72670.0</v>
      </c>
      <c r="Q1129" s="11">
        <v>57550.0</v>
      </c>
      <c r="R1129" s="11">
        <v>32350.0</v>
      </c>
      <c r="S1129" s="11">
        <v>14550.0</v>
      </c>
      <c r="T1129" s="11">
        <v>67700.0</v>
      </c>
      <c r="U1129" s="11">
        <v>59500.0</v>
      </c>
      <c r="V1129" s="11">
        <v>46180.0</v>
      </c>
      <c r="W1129" s="11">
        <v>25710.0</v>
      </c>
      <c r="X1129" s="11">
        <v>11830.0</v>
      </c>
      <c r="Y1129" s="12"/>
      <c r="Z1129" s="12"/>
      <c r="AA1129" s="12"/>
      <c r="AB1129" s="11">
        <v>-37390.0</v>
      </c>
      <c r="AC1129" s="11">
        <v>-14880.0</v>
      </c>
      <c r="AD1129" s="11">
        <v>-79180.0</v>
      </c>
      <c r="AE1129" s="11">
        <v>-39720.0</v>
      </c>
      <c r="AF1129" s="11">
        <v>-36960.0</v>
      </c>
      <c r="AG1129" s="11">
        <v>-37180.0</v>
      </c>
      <c r="AH1129" s="11">
        <v>-14860.0</v>
      </c>
      <c r="AI1129" s="11">
        <v>-82520.0</v>
      </c>
      <c r="AJ1129" s="11">
        <v>-41740.0</v>
      </c>
      <c r="AK1129" s="11">
        <v>-37490.0</v>
      </c>
      <c r="AL1129" s="11">
        <v>-32350.0</v>
      </c>
      <c r="AM1129" s="11">
        <v>-14550.0</v>
      </c>
      <c r="AN1129" s="11">
        <v>-77190.0</v>
      </c>
      <c r="AO1129" s="11">
        <v>-38920.0</v>
      </c>
      <c r="AP1129" s="11">
        <v>-36960.0</v>
      </c>
      <c r="AQ1129" s="11">
        <v>-37180.0</v>
      </c>
      <c r="AR1129" s="11">
        <v>-14860.0</v>
      </c>
      <c r="AS1129" s="11">
        <v>-39640.0</v>
      </c>
      <c r="AT1129" s="11">
        <v>-49950.0</v>
      </c>
      <c r="AU1129" s="11">
        <v>3870.0</v>
      </c>
      <c r="AV1129" s="11">
        <v>-29970.0</v>
      </c>
      <c r="AW1129" s="11">
        <v>-14390.0</v>
      </c>
      <c r="AX1129" s="11">
        <v>-967.0</v>
      </c>
      <c r="AY1129" s="11">
        <v>-486.0</v>
      </c>
      <c r="AZ1129" s="11">
        <v>-666.0</v>
      </c>
      <c r="BA1129" s="11">
        <v>-379.0</v>
      </c>
      <c r="BB1129" s="11">
        <v>-7870.0</v>
      </c>
      <c r="BC1129" s="12"/>
      <c r="BD1129" s="12"/>
      <c r="BE1129" s="12"/>
      <c r="BF1129" s="12"/>
      <c r="BG1129" s="12"/>
      <c r="BH1129" s="11">
        <v>133030.0</v>
      </c>
      <c r="BI1129" s="11">
        <v>128860.0</v>
      </c>
      <c r="BJ1129" s="11">
        <v>144010.0</v>
      </c>
      <c r="BK1129" s="11">
        <v>77610.0</v>
      </c>
      <c r="BL1129" s="11">
        <v>11930.0</v>
      </c>
      <c r="BM1129" s="11">
        <v>7500.0</v>
      </c>
      <c r="BN1129" s="11">
        <v>6510.0</v>
      </c>
      <c r="BO1129" s="11">
        <v>3220.0</v>
      </c>
      <c r="BP1129" s="11">
        <v>2240.0</v>
      </c>
      <c r="BQ1129" s="11">
        <v>715.0</v>
      </c>
      <c r="BR1129" s="12"/>
      <c r="BS1129" s="12"/>
      <c r="BT1129" s="12"/>
      <c r="BU1129" s="12"/>
      <c r="BV1129" s="12"/>
      <c r="BW1129" s="11">
        <v>145310.0</v>
      </c>
      <c r="BX1129" s="11">
        <v>137500.0</v>
      </c>
      <c r="BY1129" s="11">
        <v>150950.0</v>
      </c>
      <c r="BZ1129" s="11">
        <v>83240.0</v>
      </c>
      <c r="CA1129" s="11">
        <v>14210.0</v>
      </c>
      <c r="CB1129" s="11">
        <v>7720.0</v>
      </c>
      <c r="CC1129" s="11">
        <v>861.0</v>
      </c>
      <c r="CD1129" s="11">
        <v>879.0</v>
      </c>
      <c r="CE1129" s="11">
        <v>562.0</v>
      </c>
      <c r="CF1129" s="11">
        <v>609.0</v>
      </c>
      <c r="CG1129" s="12"/>
      <c r="CH1129" s="12"/>
      <c r="CI1129" s="12"/>
      <c r="CJ1129" s="12"/>
      <c r="CK1129" s="12"/>
      <c r="CL1129" s="11">
        <v>156190.0</v>
      </c>
      <c r="CM1129" s="11">
        <v>139470.0</v>
      </c>
      <c r="CN1129" s="11">
        <v>163730.0</v>
      </c>
      <c r="CO1129" s="11">
        <v>93990.0</v>
      </c>
      <c r="CP1129" s="11">
        <v>14850.0</v>
      </c>
      <c r="CQ1129" s="11">
        <v>4050.0</v>
      </c>
      <c r="CR1129" s="11">
        <v>5710.0</v>
      </c>
      <c r="CS1129" s="11">
        <v>1260.0</v>
      </c>
      <c r="CT1129" s="12"/>
      <c r="CU1129" s="11">
        <v>1250.0</v>
      </c>
      <c r="CV1129" s="11">
        <v>35410.0</v>
      </c>
      <c r="CW1129" s="11">
        <v>1260.0</v>
      </c>
      <c r="CX1129" s="12"/>
      <c r="CY1129" s="12"/>
      <c r="CZ1129" s="12"/>
      <c r="DA1129" s="12"/>
      <c r="DB1129" s="11">
        <v>35410.0</v>
      </c>
      <c r="DC1129" s="11">
        <v>26160.0</v>
      </c>
      <c r="DD1129" s="11">
        <v>42560.0</v>
      </c>
      <c r="DE1129" s="11">
        <v>6440.0</v>
      </c>
      <c r="DF1129" s="11">
        <v>76220.0</v>
      </c>
      <c r="DG1129" s="11">
        <v>26960.0</v>
      </c>
      <c r="DH1129" s="11">
        <v>43100.0</v>
      </c>
      <c r="DI1129" s="11">
        <v>6440.0</v>
      </c>
      <c r="DJ1129" s="11">
        <v>5250.0</v>
      </c>
      <c r="DK1129" s="24">
        <v>450.0</v>
      </c>
      <c r="DL1129" s="11">
        <v>450.0</v>
      </c>
      <c r="DM1129" s="11">
        <v>11910.0</v>
      </c>
      <c r="DN1129" s="11">
        <v>10180.0</v>
      </c>
      <c r="DO1129" s="11">
        <v>30.0</v>
      </c>
      <c r="DP1129" s="11">
        <v>15760.0</v>
      </c>
      <c r="DQ1129" s="12"/>
      <c r="DR1129" s="12"/>
      <c r="DS1129" s="12"/>
      <c r="DT1129" s="12"/>
      <c r="DU1129" s="13"/>
      <c r="DV1129" s="12"/>
      <c r="DW1129" s="12"/>
      <c r="DX1129" s="13"/>
      <c r="DY1129" s="11">
        <v>37000.0</v>
      </c>
      <c r="DZ1129" s="11">
        <v>79960.0</v>
      </c>
      <c r="EA1129" s="11">
        <v>112520.0</v>
      </c>
      <c r="EB1129" s="11">
        <v>120630.0</v>
      </c>
      <c r="EC1129" s="11">
        <v>87560.0</v>
      </c>
      <c r="ED1129" s="11">
        <v>9600.0</v>
      </c>
      <c r="EE1129" s="14">
        <v>0.559</v>
      </c>
      <c r="EF1129" s="23"/>
      <c r="EG1129" s="14">
        <v>-0.034</v>
      </c>
      <c r="EH1129" s="14">
        <v>0.024</v>
      </c>
    </row>
    <row r="1130">
      <c r="A1130" s="9">
        <f t="shared" si="2"/>
        <v>1128</v>
      </c>
      <c r="B1130" s="10" t="s">
        <v>1265</v>
      </c>
      <c r="C1130" s="11">
        <v>464100.0</v>
      </c>
      <c r="D1130" s="11">
        <v>446600.0</v>
      </c>
      <c r="E1130" s="11">
        <v>514180.0</v>
      </c>
      <c r="F1130" s="11">
        <v>533260.0</v>
      </c>
      <c r="G1130" s="11">
        <v>437840.0</v>
      </c>
      <c r="H1130" s="11">
        <v>432850.0</v>
      </c>
      <c r="I1130" s="11">
        <v>417050.0</v>
      </c>
      <c r="J1130" s="11">
        <v>26890.0</v>
      </c>
      <c r="K1130" s="11">
        <v>52280.0</v>
      </c>
      <c r="L1130" s="11">
        <v>21870.0</v>
      </c>
      <c r="M1130" s="11">
        <v>23580.0</v>
      </c>
      <c r="N1130" s="11">
        <v>39380.0</v>
      </c>
      <c r="O1130" s="12">
        <v>728.0</v>
      </c>
      <c r="P1130" s="12">
        <v>889.0</v>
      </c>
      <c r="Q1130" s="12">
        <v>341.0</v>
      </c>
      <c r="R1130" s="12">
        <v>445.0</v>
      </c>
      <c r="S1130" s="12">
        <v>151.0</v>
      </c>
      <c r="T1130" s="12"/>
      <c r="U1130" s="12"/>
      <c r="V1130" s="12"/>
      <c r="W1130" s="12"/>
      <c r="X1130" s="12"/>
      <c r="Y1130" s="12"/>
      <c r="Z1130" s="12"/>
      <c r="AA1130" s="11">
        <v>12580.0</v>
      </c>
      <c r="AB1130" s="11">
        <v>14520.0</v>
      </c>
      <c r="AC1130" s="11">
        <v>29490.0</v>
      </c>
      <c r="AD1130" s="11">
        <v>10120.0</v>
      </c>
      <c r="AE1130" s="11">
        <v>31340.0</v>
      </c>
      <c r="AF1130" s="11">
        <v>14630.0</v>
      </c>
      <c r="AG1130" s="11">
        <v>17770.0</v>
      </c>
      <c r="AH1130" s="11">
        <v>34930.0</v>
      </c>
      <c r="AI1130" s="11">
        <v>74940.0</v>
      </c>
      <c r="AJ1130" s="11">
        <v>89680.0</v>
      </c>
      <c r="AK1130" s="11">
        <v>54900.0</v>
      </c>
      <c r="AL1130" s="11">
        <v>54340.0</v>
      </c>
      <c r="AM1130" s="11">
        <v>62670.0</v>
      </c>
      <c r="AN1130" s="11">
        <v>7900.0</v>
      </c>
      <c r="AO1130" s="11">
        <v>23990.0</v>
      </c>
      <c r="AP1130" s="11">
        <v>38900.0</v>
      </c>
      <c r="AQ1130" s="11">
        <v>11100.0</v>
      </c>
      <c r="AR1130" s="11">
        <v>21440.0</v>
      </c>
      <c r="AS1130" s="11">
        <v>84300.0</v>
      </c>
      <c r="AT1130" s="11">
        <v>82350.0</v>
      </c>
      <c r="AU1130" s="11">
        <v>50480.0</v>
      </c>
      <c r="AV1130" s="11">
        <v>47400.0</v>
      </c>
      <c r="AW1130" s="11">
        <v>61530.0</v>
      </c>
      <c r="AX1130" s="11">
        <v>-79350.0</v>
      </c>
      <c r="AY1130" s="11">
        <v>-73880.0</v>
      </c>
      <c r="AZ1130" s="11">
        <v>-67670.0</v>
      </c>
      <c r="BA1130" s="11">
        <v>-86130.0</v>
      </c>
      <c r="BB1130" s="11">
        <v>-125720.0</v>
      </c>
      <c r="BC1130" s="12"/>
      <c r="BD1130" s="12"/>
      <c r="BE1130" s="12"/>
      <c r="BF1130" s="12"/>
      <c r="BG1130" s="12"/>
      <c r="BH1130" s="11">
        <v>29840.0</v>
      </c>
      <c r="BI1130" s="11">
        <v>27830.0</v>
      </c>
      <c r="BJ1130" s="11">
        <v>26920.0</v>
      </c>
      <c r="BK1130" s="11">
        <v>27930.0</v>
      </c>
      <c r="BL1130" s="11">
        <v>25220.0</v>
      </c>
      <c r="BM1130" s="11">
        <v>66060.0</v>
      </c>
      <c r="BN1130" s="11">
        <v>69040.0</v>
      </c>
      <c r="BO1130" s="11">
        <v>63550.0</v>
      </c>
      <c r="BP1130" s="11">
        <v>61700.0</v>
      </c>
      <c r="BQ1130" s="11">
        <v>57540.0</v>
      </c>
      <c r="BR1130" s="11">
        <v>1330.0</v>
      </c>
      <c r="BS1130" s="11">
        <v>1460.0</v>
      </c>
      <c r="BT1130" s="11">
        <v>1660.0</v>
      </c>
      <c r="BU1130" s="11">
        <v>1900.0</v>
      </c>
      <c r="BV1130" s="11">
        <v>1890.0</v>
      </c>
      <c r="BW1130" s="11">
        <v>105890.0</v>
      </c>
      <c r="BX1130" s="11">
        <v>108730.0</v>
      </c>
      <c r="BY1130" s="11">
        <v>102240.0</v>
      </c>
      <c r="BZ1130" s="11">
        <v>100300.0</v>
      </c>
      <c r="CA1130" s="11">
        <v>92700.0</v>
      </c>
      <c r="CB1130" s="11">
        <v>389370.0</v>
      </c>
      <c r="CC1130" s="11">
        <v>354590.0</v>
      </c>
      <c r="CD1130" s="11">
        <v>286940.0</v>
      </c>
      <c r="CE1130" s="11">
        <v>277380.0</v>
      </c>
      <c r="CF1130" s="11">
        <v>262850.0</v>
      </c>
      <c r="CG1130" s="11"/>
      <c r="CH1130" s="11"/>
      <c r="CI1130" s="11"/>
      <c r="CJ1130" s="11"/>
      <c r="CK1130" s="11"/>
      <c r="CL1130" s="11">
        <v>522710.0</v>
      </c>
      <c r="CM1130" s="11">
        <v>487920.0</v>
      </c>
      <c r="CN1130" s="11">
        <v>403070.0</v>
      </c>
      <c r="CO1130" s="11">
        <v>392810.0</v>
      </c>
      <c r="CP1130" s="11">
        <v>358000.0</v>
      </c>
      <c r="CQ1130" s="11">
        <v>16600.0</v>
      </c>
      <c r="CR1130" s="11">
        <v>20000.0</v>
      </c>
      <c r="CS1130" s="11">
        <v>15270.0</v>
      </c>
      <c r="CT1130" s="11">
        <v>12580.0</v>
      </c>
      <c r="CU1130" s="11">
        <v>17320.0</v>
      </c>
      <c r="CV1130" s="11">
        <v>124840.0</v>
      </c>
      <c r="CW1130" s="11">
        <v>8090.0</v>
      </c>
      <c r="CX1130" s="11">
        <v>11280.0</v>
      </c>
      <c r="CY1130" s="11">
        <v>10280.0</v>
      </c>
      <c r="CZ1130" s="11">
        <v>13870.0</v>
      </c>
      <c r="DA1130" s="11">
        <v>12420.0</v>
      </c>
      <c r="DB1130" s="11">
        <v>124840.0</v>
      </c>
      <c r="DC1130" s="11">
        <v>107410.0</v>
      </c>
      <c r="DD1130" s="11">
        <v>110900.0</v>
      </c>
      <c r="DE1130" s="11">
        <v>81220.0</v>
      </c>
      <c r="DF1130" s="11">
        <v>388740.0</v>
      </c>
      <c r="DG1130" s="11">
        <v>348470.0</v>
      </c>
      <c r="DH1130" s="11">
        <v>275460.0</v>
      </c>
      <c r="DI1130" s="11">
        <v>298650.0</v>
      </c>
      <c r="DJ1130" s="11">
        <v>256440.0</v>
      </c>
      <c r="DK1130" s="12"/>
      <c r="DL1130" s="11"/>
      <c r="DM1130" s="11"/>
      <c r="DN1130" s="11"/>
      <c r="DO1130" s="12"/>
      <c r="DP1130" s="11">
        <v>175670.0</v>
      </c>
      <c r="DQ1130" s="11">
        <v>157320.0</v>
      </c>
      <c r="DR1130" s="11">
        <v>99000.0</v>
      </c>
      <c r="DS1130" s="11">
        <v>124390.0</v>
      </c>
      <c r="DT1130" s="11">
        <v>99220.0</v>
      </c>
      <c r="DU1130" s="13"/>
      <c r="DV1130" s="12"/>
      <c r="DW1130" s="12"/>
      <c r="DX1130" s="12"/>
      <c r="DY1130" s="12"/>
      <c r="DZ1130" s="11">
        <v>133980.0</v>
      </c>
      <c r="EA1130" s="11">
        <v>139450.0</v>
      </c>
      <c r="EB1130" s="11">
        <v>127600.0</v>
      </c>
      <c r="EC1130" s="11">
        <v>94160.0</v>
      </c>
      <c r="ED1130" s="11">
        <v>101550.0</v>
      </c>
      <c r="EE1130" s="14">
        <v>0.0</v>
      </c>
      <c r="EF1130" s="14">
        <v>0.0</v>
      </c>
      <c r="EG1130" s="14">
        <v>-3.867</v>
      </c>
      <c r="EH1130" s="14">
        <v>-1.255</v>
      </c>
    </row>
    <row r="1131">
      <c r="A1131" s="9">
        <f t="shared" si="2"/>
        <v>1129</v>
      </c>
      <c r="B1131" s="25" t="s">
        <v>1266</v>
      </c>
      <c r="C1131" s="12">
        <v>443630.0</v>
      </c>
      <c r="D1131" s="12">
        <v>157780.0</v>
      </c>
      <c r="E1131" s="12">
        <v>634180.0</v>
      </c>
      <c r="F1131" s="12">
        <v>593140.0</v>
      </c>
      <c r="G1131" s="12">
        <v>230770.0</v>
      </c>
      <c r="H1131" s="12">
        <v>0.0</v>
      </c>
      <c r="I1131" s="12">
        <v>0.0</v>
      </c>
      <c r="J1131" s="12">
        <v>190600.0</v>
      </c>
      <c r="K1131" s="12">
        <v>198300.0</v>
      </c>
      <c r="L1131" s="12">
        <v>67630.0</v>
      </c>
      <c r="M1131" s="12">
        <v>0.0</v>
      </c>
      <c r="N1131" s="12">
        <v>0.0</v>
      </c>
      <c r="O1131" s="12">
        <v>23920.0</v>
      </c>
      <c r="P1131" s="12">
        <v>20300.0</v>
      </c>
      <c r="Q1131" s="12">
        <v>24240.0</v>
      </c>
      <c r="R1131" s="12">
        <v>18310.0</v>
      </c>
      <c r="S1131" s="12">
        <v>15780.0</v>
      </c>
      <c r="T1131" s="12">
        <v>0.0</v>
      </c>
      <c r="U1131" s="12">
        <v>0.0</v>
      </c>
      <c r="V1131" s="12">
        <v>0.0</v>
      </c>
      <c r="W1131" s="12">
        <v>0.0</v>
      </c>
      <c r="X1131" s="12">
        <v>0.0</v>
      </c>
      <c r="Y1131" s="12">
        <v>154990.0</v>
      </c>
      <c r="Z1131" s="12">
        <v>151860.0</v>
      </c>
      <c r="AA1131" s="12">
        <v>9270.0</v>
      </c>
      <c r="AB1131" s="12">
        <v>-135620.0</v>
      </c>
      <c r="AC1131" s="12">
        <v>1540.0</v>
      </c>
      <c r="AD1131" s="12">
        <v>109170.0</v>
      </c>
      <c r="AE1131" s="12">
        <v>69320.0</v>
      </c>
      <c r="AF1131" s="12">
        <v>-28370.0</v>
      </c>
      <c r="AG1131" s="12">
        <v>-106400.0</v>
      </c>
      <c r="AH1131" s="12">
        <v>5460.0</v>
      </c>
      <c r="AI1131" s="12">
        <v>276360.0</v>
      </c>
      <c r="AJ1131" s="12">
        <v>265920.0</v>
      </c>
      <c r="AK1131" s="12">
        <v>81450.0</v>
      </c>
      <c r="AL1131" s="12">
        <v>-18310.0</v>
      </c>
      <c r="AM1131" s="12">
        <v>-15780.0</v>
      </c>
      <c r="AN1131" s="12">
        <v>54290.0</v>
      </c>
      <c r="AO1131" s="12">
        <v>47460.0</v>
      </c>
      <c r="AP1131" s="12">
        <v>-21360.0</v>
      </c>
      <c r="AQ1131" s="12">
        <v>-80410.0</v>
      </c>
      <c r="AR1131" s="12">
        <v>0.0</v>
      </c>
      <c r="AS1131" s="12">
        <v>263780.0</v>
      </c>
      <c r="AT1131" s="12">
        <v>161970.0</v>
      </c>
      <c r="AU1131" s="12">
        <v>93460.0</v>
      </c>
      <c r="AV1131" s="12">
        <v>-14660.0</v>
      </c>
      <c r="AW1131" s="12">
        <v>-10930.0</v>
      </c>
      <c r="AX1131" s="12">
        <v>-58560.0</v>
      </c>
      <c r="AY1131" s="12">
        <v>-42630.0</v>
      </c>
      <c r="AZ1131" s="12">
        <v>-487280.0</v>
      </c>
      <c r="BA1131" s="12">
        <v>-518030.0</v>
      </c>
      <c r="BB1131" s="12">
        <v>-203220.0</v>
      </c>
      <c r="BC1131" s="12">
        <v>0.0</v>
      </c>
      <c r="BD1131" s="12">
        <v>0.0</v>
      </c>
      <c r="BE1131" s="12">
        <v>0.0</v>
      </c>
      <c r="BF1131" s="12">
        <v>0.0</v>
      </c>
      <c r="BG1131" s="16">
        <v>0.0</v>
      </c>
      <c r="BH1131" s="12">
        <v>30050.0</v>
      </c>
      <c r="BI1131" s="12">
        <v>62020.0</v>
      </c>
      <c r="BJ1131" s="12">
        <v>70520.0</v>
      </c>
      <c r="BK1131" s="12">
        <v>190380.0</v>
      </c>
      <c r="BL1131" s="12">
        <v>387930.0</v>
      </c>
      <c r="BM1131" s="12">
        <v>18570.0</v>
      </c>
      <c r="BN1131" s="12">
        <v>20460.0</v>
      </c>
      <c r="BO1131" s="12">
        <v>21910.0</v>
      </c>
      <c r="BP1131" s="12">
        <v>18090.0</v>
      </c>
      <c r="BQ1131" s="12">
        <v>18020.0</v>
      </c>
      <c r="BR1131" s="12">
        <v>28460.0</v>
      </c>
      <c r="BS1131" s="12">
        <v>33800.0</v>
      </c>
      <c r="BT1131" s="12">
        <v>32170.0</v>
      </c>
      <c r="BU1131" s="15">
        <v>0.0</v>
      </c>
      <c r="BV1131" s="15">
        <v>0.0</v>
      </c>
      <c r="BW1131" s="12">
        <v>81110.0</v>
      </c>
      <c r="BX1131" s="12">
        <v>120830.0</v>
      </c>
      <c r="BY1131" s="12">
        <v>127190.0</v>
      </c>
      <c r="BZ1131" s="12">
        <v>210870.0</v>
      </c>
      <c r="CA1131" s="12">
        <v>408330.0</v>
      </c>
      <c r="CB1131" s="12">
        <v>1950000.0</v>
      </c>
      <c r="CC1131" s="12">
        <v>1740000.0</v>
      </c>
      <c r="CD1131" s="12">
        <v>1650000.0</v>
      </c>
      <c r="CE1131" s="12">
        <v>1380000.0</v>
      </c>
      <c r="CF1131" s="12">
        <v>702200.0</v>
      </c>
      <c r="CG1131" s="12">
        <v>0.0</v>
      </c>
      <c r="CH1131" s="12">
        <v>0.0</v>
      </c>
      <c r="CI1131" s="12">
        <v>0.0</v>
      </c>
      <c r="CJ1131" s="12">
        <v>0.0</v>
      </c>
      <c r="CK1131" s="12">
        <v>0.0</v>
      </c>
      <c r="CL1131" s="12">
        <v>2040000.0</v>
      </c>
      <c r="CM1131" s="12">
        <v>2200000.0</v>
      </c>
      <c r="CN1131" s="12">
        <v>2090000.0</v>
      </c>
      <c r="CO1131" s="12">
        <v>1950000.0</v>
      </c>
      <c r="CP1131" s="12">
        <v>1480000.0</v>
      </c>
      <c r="CQ1131" s="12">
        <v>47010.0</v>
      </c>
      <c r="CR1131" s="12">
        <v>33890.0</v>
      </c>
      <c r="CS1131" s="12">
        <v>44030.0</v>
      </c>
      <c r="CT1131" s="12">
        <v>0.0</v>
      </c>
      <c r="CU1131" s="12">
        <v>0.0</v>
      </c>
      <c r="CV1131" s="12">
        <v>167740.0</v>
      </c>
      <c r="CW1131" s="12">
        <v>0.0</v>
      </c>
      <c r="CX1131" s="16">
        <v>0.0</v>
      </c>
      <c r="CY1131" s="16">
        <v>0.0</v>
      </c>
      <c r="CZ1131" s="16">
        <v>0.0</v>
      </c>
      <c r="DA1131" s="15">
        <v>0.0</v>
      </c>
      <c r="DB1131" s="12">
        <v>167740.0</v>
      </c>
      <c r="DC1131" s="12">
        <v>186610.0</v>
      </c>
      <c r="DD1131" s="12">
        <v>546180.0</v>
      </c>
      <c r="DE1131" s="12">
        <v>149130.0</v>
      </c>
      <c r="DF1131" s="12">
        <v>802510.0</v>
      </c>
      <c r="DG1131" s="12">
        <v>970120.0</v>
      </c>
      <c r="DH1131" s="12">
        <v>1060000.0</v>
      </c>
      <c r="DI1131" s="12">
        <v>840400.0</v>
      </c>
      <c r="DJ1131" s="12">
        <v>512100.0</v>
      </c>
      <c r="DK1131" s="12">
        <v>0.0</v>
      </c>
      <c r="DL1131" s="12">
        <v>2770.0</v>
      </c>
      <c r="DM1131" s="12">
        <v>6310.0</v>
      </c>
      <c r="DN1131" s="12">
        <v>12590.0</v>
      </c>
      <c r="DO1131" s="12">
        <v>8500.0</v>
      </c>
      <c r="DP1131" s="12">
        <v>525680.0</v>
      </c>
      <c r="DQ1131" s="12">
        <v>736060.0</v>
      </c>
      <c r="DR1131" s="12">
        <v>485160.0</v>
      </c>
      <c r="DS1131" s="12">
        <v>672910.0</v>
      </c>
      <c r="DT1131" s="12">
        <v>428830.0</v>
      </c>
      <c r="DU1131" s="16">
        <v>0.0</v>
      </c>
      <c r="DV1131" s="15">
        <v>0.0</v>
      </c>
      <c r="DW1131" s="15">
        <v>0.0</v>
      </c>
      <c r="DX1131" s="16">
        <v>0.0</v>
      </c>
      <c r="DY1131" s="16">
        <v>0.0</v>
      </c>
      <c r="DZ1131" s="12">
        <v>1240000.0</v>
      </c>
      <c r="EA1131" s="12">
        <v>1230000.0</v>
      </c>
      <c r="EB1131" s="12">
        <v>1040000.0</v>
      </c>
      <c r="EC1131" s="12">
        <v>1110000.0</v>
      </c>
      <c r="ED1131" s="12">
        <v>967640.0</v>
      </c>
      <c r="EE1131" s="23">
        <v>0.422</v>
      </c>
      <c r="EF1131" s="23">
        <v>0.261</v>
      </c>
      <c r="EG1131" s="23">
        <v>-0.375</v>
      </c>
      <c r="EH1131" s="23">
        <v>-0.219</v>
      </c>
    </row>
    <row r="1132">
      <c r="A1132" s="9">
        <f t="shared" si="2"/>
        <v>1130</v>
      </c>
      <c r="B1132" s="25" t="s">
        <v>1267</v>
      </c>
      <c r="C1132" s="15">
        <v>8910000.0</v>
      </c>
      <c r="D1132" s="15">
        <v>7190000.0</v>
      </c>
      <c r="E1132" s="15">
        <v>9910000.0</v>
      </c>
      <c r="F1132" s="15">
        <v>9660000.0</v>
      </c>
      <c r="G1132" s="15">
        <v>8910000.0</v>
      </c>
      <c r="H1132" s="15">
        <v>8200000.0</v>
      </c>
      <c r="I1132" s="15">
        <v>8020000.0</v>
      </c>
      <c r="J1132" s="15">
        <v>5370000.0</v>
      </c>
      <c r="K1132" s="15">
        <v>5320000.0</v>
      </c>
      <c r="L1132" s="15">
        <v>4910000.0</v>
      </c>
      <c r="M1132" s="15">
        <v>4360000.0</v>
      </c>
      <c r="N1132" s="15">
        <v>4070000.0</v>
      </c>
      <c r="O1132" s="15">
        <v>4810000.0</v>
      </c>
      <c r="P1132" s="15">
        <v>4370000.0</v>
      </c>
      <c r="Q1132" s="15">
        <v>4240000.0</v>
      </c>
      <c r="R1132" s="15">
        <v>3620000.0</v>
      </c>
      <c r="S1132" s="15">
        <v>3290000.0</v>
      </c>
      <c r="T1132" s="12"/>
      <c r="U1132" s="12"/>
      <c r="V1132" s="12"/>
      <c r="W1132" s="12"/>
      <c r="X1132" s="12"/>
      <c r="Y1132" s="15">
        <v>526000.0</v>
      </c>
      <c r="Z1132" s="15">
        <v>899300.0</v>
      </c>
      <c r="AA1132" s="15">
        <v>625700.0</v>
      </c>
      <c r="AB1132" s="15">
        <v>45100.0</v>
      </c>
      <c r="AC1132" s="15">
        <v>-91600.0</v>
      </c>
      <c r="AD1132" s="15">
        <v>444000.0</v>
      </c>
      <c r="AE1132" s="15">
        <v>775600.0</v>
      </c>
      <c r="AF1132" s="15">
        <v>510200.0</v>
      </c>
      <c r="AG1132" s="15">
        <v>674200.0</v>
      </c>
      <c r="AH1132" s="15">
        <v>647500.0</v>
      </c>
      <c r="AI1132" s="15">
        <v>880500.0</v>
      </c>
      <c r="AJ1132" s="15">
        <v>1290000.0</v>
      </c>
      <c r="AK1132" s="15">
        <v>991700.0</v>
      </c>
      <c r="AL1132" s="15">
        <v>1060000.0</v>
      </c>
      <c r="AM1132" s="15">
        <v>1040000.0</v>
      </c>
      <c r="AN1132" s="15">
        <v>417300.0</v>
      </c>
      <c r="AO1132" s="15">
        <v>746400.0</v>
      </c>
      <c r="AP1132" s="15">
        <v>537800.0</v>
      </c>
      <c r="AQ1132" s="15">
        <v>549000.0</v>
      </c>
      <c r="AR1132" s="15">
        <v>572400.0</v>
      </c>
      <c r="AS1132" s="15">
        <v>1020000.0</v>
      </c>
      <c r="AT1132" s="15">
        <v>852500.0</v>
      </c>
      <c r="AU1132" s="15">
        <v>699800.0</v>
      </c>
      <c r="AV1132" s="15">
        <v>955700.0</v>
      </c>
      <c r="AW1132" s="15">
        <v>899600.0</v>
      </c>
      <c r="AX1132" s="15">
        <v>-345200.0</v>
      </c>
      <c r="AY1132" s="15">
        <v>-379500.0</v>
      </c>
      <c r="AZ1132" s="15">
        <v>-358100.0</v>
      </c>
      <c r="BA1132" s="15">
        <v>-246600.0</v>
      </c>
      <c r="BB1132" s="15">
        <v>-263800.0</v>
      </c>
      <c r="BC1132" s="15">
        <v>-11300.0</v>
      </c>
      <c r="BD1132" s="15">
        <v>-11600.0</v>
      </c>
      <c r="BE1132" s="15">
        <v>-11900.0</v>
      </c>
      <c r="BF1132" s="15">
        <v>-12200.0</v>
      </c>
      <c r="BG1132" s="15">
        <v>-12500.0</v>
      </c>
      <c r="BH1132" s="15">
        <v>503400.0</v>
      </c>
      <c r="BI1132" s="15">
        <v>452000.0</v>
      </c>
      <c r="BJ1132" s="15">
        <v>493900.0</v>
      </c>
      <c r="BK1132" s="15">
        <v>730100.0</v>
      </c>
      <c r="BL1132" s="15">
        <v>556400.0</v>
      </c>
      <c r="BM1132" s="15">
        <v>765100.0</v>
      </c>
      <c r="BN1132" s="15">
        <v>803800.0</v>
      </c>
      <c r="BO1132" s="15">
        <v>696400.0</v>
      </c>
      <c r="BP1132" s="15">
        <v>641400.0</v>
      </c>
      <c r="BQ1132" s="15">
        <v>685900.0</v>
      </c>
      <c r="BR1132" s="15">
        <v>1620000.0</v>
      </c>
      <c r="BS1132" s="15">
        <v>1730000.0</v>
      </c>
      <c r="BT1132" s="15">
        <v>1590000.0</v>
      </c>
      <c r="BU1132" s="15">
        <v>1320000.0</v>
      </c>
      <c r="BV1132" s="15">
        <v>1320000.0</v>
      </c>
      <c r="BW1132" s="15">
        <v>3390000.0</v>
      </c>
      <c r="BX1132" s="15">
        <v>3240000.0</v>
      </c>
      <c r="BY1132" s="15">
        <v>3030000.0</v>
      </c>
      <c r="BZ1132" s="15">
        <v>2880000.0</v>
      </c>
      <c r="CA1132" s="15">
        <v>2800000.0</v>
      </c>
      <c r="CB1132" s="15">
        <v>2700000.0</v>
      </c>
      <c r="CC1132" s="15">
        <v>984500.0</v>
      </c>
      <c r="CD1132" s="15">
        <v>899800.0</v>
      </c>
      <c r="CE1132" s="15">
        <v>759900.0</v>
      </c>
      <c r="CF1132" s="15">
        <v>744600.0</v>
      </c>
      <c r="CG1132" s="15">
        <v>3680000.0</v>
      </c>
      <c r="CH1132" s="15">
        <v>3670000.0</v>
      </c>
      <c r="CI1132" s="15">
        <v>3830000.0</v>
      </c>
      <c r="CJ1132" s="15">
        <v>3470000.0</v>
      </c>
      <c r="CK1132" s="15">
        <v>3220000.0</v>
      </c>
      <c r="CL1132" s="15">
        <v>1.363E7</v>
      </c>
      <c r="CM1132" s="15">
        <v>1.186E7</v>
      </c>
      <c r="CN1132" s="15">
        <v>1.189E7</v>
      </c>
      <c r="CO1132" s="15">
        <v>1.107E7</v>
      </c>
      <c r="CP1132" s="15">
        <v>1.067E7</v>
      </c>
      <c r="CQ1132" s="15">
        <v>882800.0</v>
      </c>
      <c r="CR1132" s="15">
        <v>924200.0</v>
      </c>
      <c r="CS1132" s="15">
        <v>889800.0</v>
      </c>
      <c r="CT1132" s="15">
        <v>682600.0</v>
      </c>
      <c r="CU1132" s="15">
        <v>636100.0</v>
      </c>
      <c r="CV1132" s="15">
        <v>2360000.0</v>
      </c>
      <c r="CW1132" s="15">
        <v>413100.0</v>
      </c>
      <c r="CX1132" s="15">
        <v>12800.0</v>
      </c>
      <c r="CY1132" s="15">
        <v>19500.0</v>
      </c>
      <c r="CZ1132" s="15">
        <v>19100.0</v>
      </c>
      <c r="DA1132" s="15">
        <v>25900.0</v>
      </c>
      <c r="DB1132" s="15">
        <v>2360000.0</v>
      </c>
      <c r="DC1132" s="15">
        <v>1890000.0</v>
      </c>
      <c r="DD1132" s="15">
        <v>1870000.0</v>
      </c>
      <c r="DE1132" s="15">
        <v>1560000.0</v>
      </c>
      <c r="DF1132" s="15">
        <v>7820000.0</v>
      </c>
      <c r="DG1132" s="15">
        <v>6040000.0</v>
      </c>
      <c r="DH1132" s="15">
        <v>6350000.0</v>
      </c>
      <c r="DI1132" s="15">
        <v>6260000.0</v>
      </c>
      <c r="DJ1132" s="15">
        <v>6120000.0</v>
      </c>
      <c r="DK1132" s="15">
        <v>176300.0</v>
      </c>
      <c r="DL1132" s="15">
        <v>207100.0</v>
      </c>
      <c r="DM1132" s="15">
        <v>208400.0</v>
      </c>
      <c r="DN1132" s="15">
        <v>180000.0</v>
      </c>
      <c r="DO1132" s="15">
        <v>140700.0</v>
      </c>
      <c r="DP1132" s="15">
        <v>4230000.0</v>
      </c>
      <c r="DQ1132" s="15">
        <v>2820000.0</v>
      </c>
      <c r="DR1132" s="15">
        <v>3060000.0</v>
      </c>
      <c r="DS1132" s="15">
        <v>3200000.0</v>
      </c>
      <c r="DT1132" s="15">
        <v>3030000.0</v>
      </c>
      <c r="DU1132" s="13"/>
      <c r="DV1132" s="12"/>
      <c r="DW1132" s="12"/>
      <c r="DX1132" s="12"/>
      <c r="DY1132" s="12"/>
      <c r="DZ1132" s="15">
        <v>5810000.0</v>
      </c>
      <c r="EA1132" s="15">
        <v>5830000.0</v>
      </c>
      <c r="EB1132" s="15">
        <v>5540000.0</v>
      </c>
      <c r="EC1132" s="15">
        <v>4800000.0</v>
      </c>
      <c r="ED1132" s="15">
        <v>4550000.0</v>
      </c>
      <c r="EE1132" s="17">
        <v>0.195</v>
      </c>
      <c r="EF1132" s="17">
        <v>0.265</v>
      </c>
      <c r="EG1132" s="17">
        <v>-0.814</v>
      </c>
      <c r="EH1132" s="17">
        <v>-0.155</v>
      </c>
    </row>
    <row r="1133">
      <c r="A1133" s="9">
        <f t="shared" si="2"/>
        <v>1131</v>
      </c>
      <c r="B1133" s="10" t="s">
        <v>1268</v>
      </c>
      <c r="C1133" s="11">
        <v>1.22E7</v>
      </c>
      <c r="D1133" s="11">
        <v>1.159E7</v>
      </c>
      <c r="E1133" s="11">
        <v>1.211E7</v>
      </c>
      <c r="F1133" s="11">
        <v>1.117E7</v>
      </c>
      <c r="G1133" s="11">
        <v>9470000.0</v>
      </c>
      <c r="H1133" s="11">
        <v>7650000.0</v>
      </c>
      <c r="I1133" s="11">
        <v>7580000.0</v>
      </c>
      <c r="J1133" s="11">
        <v>1540000.0</v>
      </c>
      <c r="K1133" s="11">
        <v>1440000.0</v>
      </c>
      <c r="L1133" s="11">
        <v>1210000.0</v>
      </c>
      <c r="M1133" s="11">
        <v>982120.0</v>
      </c>
      <c r="N1133" s="11">
        <v>892420.0</v>
      </c>
      <c r="O1133" s="11">
        <v>955990.0</v>
      </c>
      <c r="P1133" s="11">
        <v>849570.0</v>
      </c>
      <c r="Q1133" s="11">
        <v>777920.0</v>
      </c>
      <c r="R1133" s="11">
        <v>647040.0</v>
      </c>
      <c r="S1133" s="11">
        <v>592860.0</v>
      </c>
      <c r="T1133" s="12"/>
      <c r="U1133" s="12"/>
      <c r="V1133" s="12"/>
      <c r="W1133" s="12"/>
      <c r="X1133" s="12"/>
      <c r="Y1133" s="11">
        <v>554870.0</v>
      </c>
      <c r="Z1133" s="11">
        <v>540270.0</v>
      </c>
      <c r="AA1133" s="11">
        <v>378850.0</v>
      </c>
      <c r="AB1133" s="11">
        <v>320810.0</v>
      </c>
      <c r="AC1133" s="11">
        <v>236500.0</v>
      </c>
      <c r="AD1133" s="11">
        <v>572290.0</v>
      </c>
      <c r="AE1133" s="11">
        <v>457670.0</v>
      </c>
      <c r="AF1133" s="11">
        <v>353760.0</v>
      </c>
      <c r="AG1133" s="11">
        <v>307690.0</v>
      </c>
      <c r="AH1133" s="11">
        <v>228680.0</v>
      </c>
      <c r="AI1133" s="11">
        <v>862370.0</v>
      </c>
      <c r="AJ1133" s="11">
        <v>832910.0</v>
      </c>
      <c r="AK1133" s="11">
        <v>647750.0</v>
      </c>
      <c r="AL1133" s="11">
        <v>537000.0</v>
      </c>
      <c r="AM1133" s="11">
        <v>497250.0</v>
      </c>
      <c r="AN1133" s="11">
        <v>402040.0</v>
      </c>
      <c r="AO1133" s="11">
        <v>293350.0</v>
      </c>
      <c r="AP1133" s="11">
        <v>314980.0</v>
      </c>
      <c r="AQ1133" s="11">
        <v>198730.0</v>
      </c>
      <c r="AR1133" s="11">
        <v>120290.0</v>
      </c>
      <c r="AS1133" s="11">
        <v>526550.0</v>
      </c>
      <c r="AT1133" s="11">
        <v>358790.0</v>
      </c>
      <c r="AU1133" s="11">
        <v>372480.0</v>
      </c>
      <c r="AV1133" s="11">
        <v>381180.0</v>
      </c>
      <c r="AW1133" s="11">
        <v>618180.0</v>
      </c>
      <c r="AX1133" s="11">
        <v>-262270.0</v>
      </c>
      <c r="AY1133" s="11">
        <v>-308040.0</v>
      </c>
      <c r="AZ1133" s="11">
        <v>-244650.0</v>
      </c>
      <c r="BA1133" s="11">
        <v>-212560.0</v>
      </c>
      <c r="BB1133" s="11">
        <v>-210180.0</v>
      </c>
      <c r="BC1133" s="24">
        <v>-23240.0</v>
      </c>
      <c r="BD1133" s="13"/>
      <c r="BE1133" s="13"/>
      <c r="BF1133" s="13"/>
      <c r="BG1133" s="13"/>
      <c r="BH1133" s="11">
        <v>168820.0</v>
      </c>
      <c r="BI1133" s="11">
        <v>81970.0</v>
      </c>
      <c r="BJ1133" s="11">
        <v>138290.0</v>
      </c>
      <c r="BK1133" s="11">
        <v>112180.0</v>
      </c>
      <c r="BL1133" s="11">
        <v>128770.0</v>
      </c>
      <c r="BM1133" s="11">
        <v>3350000.0</v>
      </c>
      <c r="BN1133" s="11">
        <v>2930000.0</v>
      </c>
      <c r="BO1133" s="11">
        <v>2480000.0</v>
      </c>
      <c r="BP1133" s="11">
        <v>1970000.0</v>
      </c>
      <c r="BQ1133" s="11">
        <v>1940000.0</v>
      </c>
      <c r="BR1133" s="11">
        <v>55720.0</v>
      </c>
      <c r="BS1133" s="11">
        <v>107730.0</v>
      </c>
      <c r="BT1133" s="11">
        <v>80890.0</v>
      </c>
      <c r="BU1133" s="11">
        <v>88550.0</v>
      </c>
      <c r="BV1133" s="11">
        <v>75290.0</v>
      </c>
      <c r="BW1133" s="11">
        <v>3830000.0</v>
      </c>
      <c r="BX1133" s="11">
        <v>3330000.0</v>
      </c>
      <c r="BY1133" s="11">
        <v>2870000.0</v>
      </c>
      <c r="BZ1133" s="11">
        <v>2290000.0</v>
      </c>
      <c r="CA1133" s="11">
        <v>2280000.0</v>
      </c>
      <c r="CB1133" s="11">
        <v>1670000.0</v>
      </c>
      <c r="CC1133" s="11">
        <v>1280000.0</v>
      </c>
      <c r="CD1133" s="11">
        <v>1290000.0</v>
      </c>
      <c r="CE1133" s="11">
        <v>1170000.0</v>
      </c>
      <c r="CF1133" s="11">
        <v>1100000.0</v>
      </c>
      <c r="CG1133" s="11">
        <v>2020000.0</v>
      </c>
      <c r="CH1133" s="11">
        <v>1900000.0</v>
      </c>
      <c r="CI1133" s="11">
        <v>1870000.0</v>
      </c>
      <c r="CJ1133" s="11">
        <v>1600000.0</v>
      </c>
      <c r="CK1133" s="11">
        <v>1550000.0</v>
      </c>
      <c r="CL1133" s="11">
        <v>8330000.0</v>
      </c>
      <c r="CM1133" s="11">
        <v>7080000.0</v>
      </c>
      <c r="CN1133" s="11">
        <v>6480000.0</v>
      </c>
      <c r="CO1133" s="11">
        <v>5350000.0</v>
      </c>
      <c r="CP1133" s="11">
        <v>5210000.0</v>
      </c>
      <c r="CQ1133" s="11">
        <v>798720.0</v>
      </c>
      <c r="CR1133" s="11">
        <v>786550.0</v>
      </c>
      <c r="CS1133" s="11">
        <v>632930.0</v>
      </c>
      <c r="CT1133" s="11">
        <v>529610.0</v>
      </c>
      <c r="CU1133" s="11">
        <v>452300.0</v>
      </c>
      <c r="CV1133" s="11">
        <v>2260000.0</v>
      </c>
      <c r="CW1133" s="11">
        <v>99020.0</v>
      </c>
      <c r="CX1133" s="24">
        <v>33420.0</v>
      </c>
      <c r="CY1133" s="13"/>
      <c r="CZ1133" s="24">
        <v>2740.0</v>
      </c>
      <c r="DA1133" s="11">
        <v>4830.0</v>
      </c>
      <c r="DB1133" s="11">
        <v>2260000.0</v>
      </c>
      <c r="DC1133" s="11">
        <v>1810000.0</v>
      </c>
      <c r="DD1133" s="11">
        <v>1490000.0</v>
      </c>
      <c r="DE1133" s="11">
        <v>1210000.0</v>
      </c>
      <c r="DF1133" s="11">
        <v>4280000.0</v>
      </c>
      <c r="DG1133" s="11">
        <v>3470000.0</v>
      </c>
      <c r="DH1133" s="11">
        <v>2680000.0</v>
      </c>
      <c r="DI1133" s="11">
        <v>2010000.0</v>
      </c>
      <c r="DJ1133" s="11">
        <v>2130000.0</v>
      </c>
      <c r="DK1133" s="11">
        <v>921.0</v>
      </c>
      <c r="DL1133" s="11">
        <v>1280.0</v>
      </c>
      <c r="DM1133" s="12"/>
      <c r="DN1133" s="12"/>
      <c r="DO1133" s="12"/>
      <c r="DP1133" s="11">
        <v>1490000.0</v>
      </c>
      <c r="DQ1133" s="11">
        <v>1040000.0</v>
      </c>
      <c r="DR1133" s="11">
        <v>670720.0</v>
      </c>
      <c r="DS1133" s="11">
        <v>353560.0</v>
      </c>
      <c r="DT1133" s="11">
        <v>475360.0</v>
      </c>
      <c r="DU1133" s="13"/>
      <c r="DV1133" s="12"/>
      <c r="DW1133" s="12"/>
      <c r="DX1133" s="13"/>
      <c r="DY1133" s="13"/>
      <c r="DZ1133" s="11">
        <v>4050000.0</v>
      </c>
      <c r="EA1133" s="11">
        <v>3600000.0</v>
      </c>
      <c r="EB1133" s="11">
        <v>3790000.0</v>
      </c>
      <c r="EC1133" s="11">
        <v>3340000.0</v>
      </c>
      <c r="ED1133" s="11">
        <v>3090000.0</v>
      </c>
      <c r="EE1133" s="23">
        <v>0.024158758</v>
      </c>
      <c r="EF1133" s="23">
        <v>0.082786885</v>
      </c>
      <c r="EG1133" s="14">
        <v>0.022</v>
      </c>
      <c r="EH1133" s="23">
        <v>-0.091</v>
      </c>
    </row>
    <row r="1134">
      <c r="A1134" s="9">
        <f t="shared" si="2"/>
        <v>1132</v>
      </c>
      <c r="B1134" s="25" t="s">
        <v>1269</v>
      </c>
      <c r="C1134" s="15"/>
      <c r="D1134" s="15"/>
      <c r="E1134" s="15">
        <v>6520000.0</v>
      </c>
      <c r="F1134" s="15">
        <v>7340000.0</v>
      </c>
      <c r="G1134" s="15">
        <v>8960000.0</v>
      </c>
      <c r="H1134" s="15">
        <v>9200000.0</v>
      </c>
      <c r="I1134" s="15">
        <v>8190000.0</v>
      </c>
      <c r="J1134" s="15">
        <v>297720.0</v>
      </c>
      <c r="K1134" s="15">
        <v>1310000.0</v>
      </c>
      <c r="L1134" s="15">
        <v>2970000.0</v>
      </c>
      <c r="M1134" s="15">
        <v>3100000.0</v>
      </c>
      <c r="N1134" s="15">
        <v>2010000.0</v>
      </c>
      <c r="O1134" s="15">
        <v>-329690.0</v>
      </c>
      <c r="P1134" s="15">
        <v>482800.0</v>
      </c>
      <c r="Q1134" s="15">
        <v>324250.0</v>
      </c>
      <c r="R1134" s="15">
        <v>327230.0</v>
      </c>
      <c r="S1134" s="15">
        <v>366850.0</v>
      </c>
      <c r="T1134" s="15"/>
      <c r="U1134" s="15"/>
      <c r="V1134" s="15"/>
      <c r="W1134" s="15"/>
      <c r="X1134" s="15"/>
      <c r="Y1134" s="15">
        <v>-975660.0</v>
      </c>
      <c r="Z1134" s="15">
        <v>752740.0</v>
      </c>
      <c r="AA1134" s="12"/>
      <c r="AB1134" s="15">
        <v>242900.0</v>
      </c>
      <c r="AC1134" s="15"/>
      <c r="AD1134" s="15">
        <v>-885280.0</v>
      </c>
      <c r="AE1134" s="15">
        <v>684070.0</v>
      </c>
      <c r="AF1134" s="15">
        <v>2370000.0</v>
      </c>
      <c r="AG1134" s="15">
        <v>-184430.0</v>
      </c>
      <c r="AH1134" s="15">
        <v>1300000.0</v>
      </c>
      <c r="AI1134" s="15">
        <v>2440000.0</v>
      </c>
      <c r="AJ1134" s="15">
        <v>2440000.0</v>
      </c>
      <c r="AK1134" s="15">
        <v>4210000.0</v>
      </c>
      <c r="AL1134" s="15">
        <v>4230000.0</v>
      </c>
      <c r="AM1134" s="15">
        <v>3170000.0</v>
      </c>
      <c r="AN1134" s="15">
        <v>-647780.0</v>
      </c>
      <c r="AO1134" s="15">
        <v>608460.0</v>
      </c>
      <c r="AP1134" s="15">
        <v>1660000.0</v>
      </c>
      <c r="AQ1134" s="15">
        <v>-904560.0</v>
      </c>
      <c r="AR1134" s="15">
        <v>1040000.0</v>
      </c>
      <c r="AS1134" s="15">
        <v>1230000.0</v>
      </c>
      <c r="AT1134" s="15">
        <v>3290000.0</v>
      </c>
      <c r="AU1134" s="15">
        <v>3450000.0</v>
      </c>
      <c r="AV1134" s="15">
        <v>2750000.0</v>
      </c>
      <c r="AW1134" s="15">
        <v>1420000.0</v>
      </c>
      <c r="AX1134" s="15">
        <v>-1780000.0</v>
      </c>
      <c r="AY1134" s="15">
        <v>-2410000.0</v>
      </c>
      <c r="AZ1134" s="15">
        <v>-2360000.0</v>
      </c>
      <c r="BA1134" s="15">
        <v>-2090000.0</v>
      </c>
      <c r="BB1134" s="15">
        <v>-4020000.0</v>
      </c>
      <c r="BC1134" s="15">
        <v>-1360.0</v>
      </c>
      <c r="BD1134" s="15">
        <v>-348370.0</v>
      </c>
      <c r="BE1134" s="15">
        <v>-364530.0</v>
      </c>
      <c r="BF1134" s="15">
        <v>-235140.0</v>
      </c>
      <c r="BG1134" s="15">
        <v>-107990.0</v>
      </c>
      <c r="BH1134" s="15">
        <v>795710.0</v>
      </c>
      <c r="BI1134" s="15">
        <v>870970.0</v>
      </c>
      <c r="BJ1134" s="15">
        <v>583540.0</v>
      </c>
      <c r="BK1134" s="15">
        <v>2650000.0</v>
      </c>
      <c r="BL1134" s="15">
        <v>1010000.0</v>
      </c>
      <c r="BM1134" s="15">
        <v>997400.0</v>
      </c>
      <c r="BN1134" s="15">
        <v>2380000.0</v>
      </c>
      <c r="BO1134" s="15">
        <v>4080000.0</v>
      </c>
      <c r="BP1134" s="15">
        <v>1840000.0</v>
      </c>
      <c r="BQ1134" s="15">
        <v>2260000.0</v>
      </c>
      <c r="BR1134" s="15">
        <v>1040000.0</v>
      </c>
      <c r="BS1134" s="15">
        <v>1140000.0</v>
      </c>
      <c r="BT1134" s="15">
        <v>1520000.0</v>
      </c>
      <c r="BU1134" s="15">
        <v>2320000.0</v>
      </c>
      <c r="BV1134" s="15">
        <v>1890000.0</v>
      </c>
      <c r="BW1134" s="15">
        <v>2920000.0</v>
      </c>
      <c r="BX1134" s="15">
        <v>4450000.0</v>
      </c>
      <c r="BY1134" s="15">
        <v>6270000.0</v>
      </c>
      <c r="BZ1134" s="15">
        <v>6890000.0</v>
      </c>
      <c r="CA1134" s="15">
        <v>5270000.0</v>
      </c>
      <c r="CB1134" s="15">
        <v>3190000.0</v>
      </c>
      <c r="CC1134" s="15">
        <v>5400000.0</v>
      </c>
      <c r="CD1134" s="15">
        <v>6720000.0</v>
      </c>
      <c r="CE1134" s="15">
        <v>6740000.0</v>
      </c>
      <c r="CF1134" s="15">
        <v>6830000.0</v>
      </c>
      <c r="CG1134" s="15"/>
      <c r="CH1134" s="15"/>
      <c r="CI1134" s="15"/>
      <c r="CJ1134" s="15"/>
      <c r="CK1134" s="15">
        <v>1240000.0</v>
      </c>
      <c r="CL1134" s="15">
        <v>3.807E7</v>
      </c>
      <c r="CM1134" s="15">
        <v>4.071E7</v>
      </c>
      <c r="CN1134" s="15">
        <v>3.996E7</v>
      </c>
      <c r="CO1134" s="15">
        <v>3.898E7</v>
      </c>
      <c r="CP1134" s="15">
        <v>4.383E7</v>
      </c>
      <c r="CQ1134" s="15">
        <v>869430.0</v>
      </c>
      <c r="CR1134" s="15">
        <v>915080.0</v>
      </c>
      <c r="CS1134" s="15">
        <v>611230.0</v>
      </c>
      <c r="CT1134" s="15">
        <v>643850.0</v>
      </c>
      <c r="CU1134" s="15">
        <v>738640.0</v>
      </c>
      <c r="CV1134" s="15">
        <v>4930000.0</v>
      </c>
      <c r="CW1134" s="15">
        <v>2530000.0</v>
      </c>
      <c r="CX1134" s="15">
        <v>2160000.0</v>
      </c>
      <c r="CY1134" s="15">
        <v>2450000.0</v>
      </c>
      <c r="CZ1134" s="15">
        <v>3080000.0</v>
      </c>
      <c r="DA1134" s="15">
        <v>3320000.0</v>
      </c>
      <c r="DB1134" s="15">
        <v>4930000.0</v>
      </c>
      <c r="DC1134" s="15">
        <v>6810000.0</v>
      </c>
      <c r="DD1134" s="15">
        <v>4860000.0</v>
      </c>
      <c r="DE1134" s="15">
        <v>5580000.0</v>
      </c>
      <c r="DF1134" s="15">
        <v>1.51E7</v>
      </c>
      <c r="DG1134" s="15">
        <v>1.701E7</v>
      </c>
      <c r="DH1134" s="15">
        <v>1.646E7</v>
      </c>
      <c r="DI1134" s="15">
        <v>1.681E7</v>
      </c>
      <c r="DJ1134" s="15">
        <v>1.778E7</v>
      </c>
      <c r="DK1134" s="15">
        <v>4330000.0</v>
      </c>
      <c r="DL1134" s="15">
        <v>4570000.0</v>
      </c>
      <c r="DM1134" s="15">
        <v>1490000.0</v>
      </c>
      <c r="DN1134" s="15">
        <v>1570000.0</v>
      </c>
      <c r="DO1134" s="15">
        <v>778280.0</v>
      </c>
      <c r="DP1134" s="15">
        <v>7740000.0</v>
      </c>
      <c r="DQ1134" s="15">
        <v>7330000.0</v>
      </c>
      <c r="DR1134" s="15">
        <v>8180000.0</v>
      </c>
      <c r="DS1134" s="15">
        <v>7820000.0</v>
      </c>
      <c r="DT1134" s="15">
        <v>7480000.0</v>
      </c>
      <c r="DU1134" s="13"/>
      <c r="DV1134" s="12"/>
      <c r="DW1134" s="12"/>
      <c r="DX1134" s="15"/>
      <c r="DY1134" s="15"/>
      <c r="DZ1134" s="15">
        <v>2.297E7</v>
      </c>
      <c r="EA1134" s="15">
        <v>2.37E7</v>
      </c>
      <c r="EB1134" s="15">
        <v>2.351E7</v>
      </c>
      <c r="EC1134" s="15">
        <v>2.217E7</v>
      </c>
      <c r="ED1134" s="15">
        <v>2.334E7</v>
      </c>
      <c r="EE1134" s="23"/>
      <c r="EF1134" s="23"/>
      <c r="EG1134" s="23"/>
      <c r="EH1134" s="23"/>
    </row>
    <row r="1135">
      <c r="A1135" s="9">
        <f t="shared" si="2"/>
        <v>1133</v>
      </c>
      <c r="B1135" s="10" t="s">
        <v>1270</v>
      </c>
      <c r="C1135" s="15">
        <v>71280.0</v>
      </c>
      <c r="D1135" s="15">
        <v>50570.0</v>
      </c>
      <c r="E1135" s="15">
        <v>68760.0</v>
      </c>
      <c r="F1135" s="15">
        <v>76550.0</v>
      </c>
      <c r="G1135" s="15">
        <v>80640.0</v>
      </c>
      <c r="H1135" s="15">
        <v>53390.0</v>
      </c>
      <c r="I1135" s="15">
        <v>59520.0</v>
      </c>
      <c r="J1135" s="15">
        <v>34180.0</v>
      </c>
      <c r="K1135" s="15">
        <v>39070.0</v>
      </c>
      <c r="L1135" s="15">
        <v>41600.0</v>
      </c>
      <c r="M1135" s="15">
        <v>26850.0</v>
      </c>
      <c r="N1135" s="15">
        <v>29290.0</v>
      </c>
      <c r="O1135" s="15">
        <v>46910.0</v>
      </c>
      <c r="P1135" s="15">
        <v>42430.0</v>
      </c>
      <c r="Q1135" s="15">
        <v>39250.0</v>
      </c>
      <c r="R1135" s="15">
        <v>32810.0</v>
      </c>
      <c r="S1135" s="15">
        <v>39100.0</v>
      </c>
      <c r="T1135" s="15">
        <v>26020.0</v>
      </c>
      <c r="U1135" s="15">
        <v>22880.0</v>
      </c>
      <c r="V1135" s="15">
        <v>21430.0</v>
      </c>
      <c r="W1135" s="15">
        <v>19040.0</v>
      </c>
      <c r="X1135" s="15">
        <v>24640.0</v>
      </c>
      <c r="Y1135" s="15">
        <v>-13120.0</v>
      </c>
      <c r="Z1135" s="15">
        <v>0.0</v>
      </c>
      <c r="AA1135" s="15">
        <v>-2750.0</v>
      </c>
      <c r="AB1135" s="15">
        <v>-10350.0</v>
      </c>
      <c r="AC1135" s="15">
        <v>0.0</v>
      </c>
      <c r="AD1135" s="15">
        <v>-8620.0</v>
      </c>
      <c r="AE1135" s="15">
        <v>-3470.0</v>
      </c>
      <c r="AF1135" s="15">
        <v>-3680.0</v>
      </c>
      <c r="AG1135" s="15">
        <v>-10750.0</v>
      </c>
      <c r="AH1135" s="15">
        <v>-10250.0</v>
      </c>
      <c r="AI1135" s="15">
        <v>-7380.0</v>
      </c>
      <c r="AJ1135" s="15">
        <v>1800.0</v>
      </c>
      <c r="AK1135" s="15">
        <v>6590.0</v>
      </c>
      <c r="AL1135" s="15">
        <v>-2490.0</v>
      </c>
      <c r="AM1135" s="15">
        <v>-5540.0</v>
      </c>
      <c r="AN1135" s="15">
        <v>-9080.0</v>
      </c>
      <c r="AO1135" s="15">
        <v>-3910.0</v>
      </c>
      <c r="AP1135" s="15">
        <v>-4170.0</v>
      </c>
      <c r="AQ1135" s="15">
        <v>-11110.0</v>
      </c>
      <c r="AR1135" s="15">
        <v>-10570.0</v>
      </c>
      <c r="AS1135" s="15">
        <v>-10380.0</v>
      </c>
      <c r="AT1135" s="15">
        <v>0.0</v>
      </c>
      <c r="AU1135" s="15">
        <v>12200.0</v>
      </c>
      <c r="AV1135" s="15">
        <v>-1540.0</v>
      </c>
      <c r="AW1135" s="15">
        <v>-3850.0</v>
      </c>
      <c r="AX1135" s="15">
        <v>-3500.0</v>
      </c>
      <c r="AY1135" s="15">
        <v>-2100.0</v>
      </c>
      <c r="AZ1135" s="15">
        <v>-2480.0</v>
      </c>
      <c r="BA1135" s="15">
        <v>-2140.0</v>
      </c>
      <c r="BB1135" s="15">
        <v>-3070.0</v>
      </c>
      <c r="BC1135" s="15">
        <v>0.0</v>
      </c>
      <c r="BD1135" s="15">
        <v>0.0</v>
      </c>
      <c r="BE1135" s="15">
        <v>0.0</v>
      </c>
      <c r="BF1135" s="15">
        <v>0.0</v>
      </c>
      <c r="BG1135" s="15">
        <v>0.0</v>
      </c>
      <c r="BH1135" s="15">
        <v>14230.0</v>
      </c>
      <c r="BI1135" s="15">
        <v>24010.0</v>
      </c>
      <c r="BJ1135" s="15">
        <v>27520.0</v>
      </c>
      <c r="BK1135" s="15">
        <v>19620.0</v>
      </c>
      <c r="BL1135" s="15">
        <v>26590.0</v>
      </c>
      <c r="BM1135" s="15">
        <v>10920.0</v>
      </c>
      <c r="BN1135" s="15">
        <v>6980.0</v>
      </c>
      <c r="BO1135" s="15">
        <v>4640.0</v>
      </c>
      <c r="BP1135" s="15">
        <v>3120.0</v>
      </c>
      <c r="BQ1135" s="15">
        <v>5990.0</v>
      </c>
      <c r="BR1135" s="15">
        <v>5400.0</v>
      </c>
      <c r="BS1135" s="15">
        <v>2950.0</v>
      </c>
      <c r="BT1135" s="15">
        <v>2850.0</v>
      </c>
      <c r="BU1135" s="15">
        <v>2800.0</v>
      </c>
      <c r="BV1135" s="15">
        <v>3270.0</v>
      </c>
      <c r="BW1135" s="15">
        <v>32240.0</v>
      </c>
      <c r="BX1135" s="15">
        <v>35440.0</v>
      </c>
      <c r="BY1135" s="15">
        <v>36340.0</v>
      </c>
      <c r="BZ1135" s="15">
        <v>26280.0</v>
      </c>
      <c r="CA1135" s="15">
        <v>36490.0</v>
      </c>
      <c r="CB1135" s="15">
        <v>10040.0</v>
      </c>
      <c r="CC1135" s="15">
        <v>6150.0</v>
      </c>
      <c r="CD1135" s="15">
        <v>5610.0</v>
      </c>
      <c r="CE1135" s="15">
        <v>3790.0</v>
      </c>
      <c r="CF1135" s="15">
        <v>6540.0</v>
      </c>
      <c r="CG1135" s="15">
        <v>18410.0</v>
      </c>
      <c r="CH1135" s="15">
        <v>18410.0</v>
      </c>
      <c r="CI1135" s="15">
        <v>18410.0</v>
      </c>
      <c r="CJ1135" s="15">
        <v>0.0</v>
      </c>
      <c r="CK1135" s="15">
        <v>0.0</v>
      </c>
      <c r="CL1135" s="15">
        <v>64660.0</v>
      </c>
      <c r="CM1135" s="15">
        <v>65340.0</v>
      </c>
      <c r="CN1135" s="15">
        <v>67540.0</v>
      </c>
      <c r="CO1135" s="15">
        <v>30860.0</v>
      </c>
      <c r="CP1135" s="15">
        <v>43840.0</v>
      </c>
      <c r="CQ1135" s="15">
        <v>0.0</v>
      </c>
      <c r="CR1135" s="15">
        <v>2120.0</v>
      </c>
      <c r="CS1135" s="15">
        <v>1440.0</v>
      </c>
      <c r="CT1135" s="15">
        <v>1730.0</v>
      </c>
      <c r="CU1135" s="15">
        <v>2940.0</v>
      </c>
      <c r="CV1135" s="15">
        <v>9670.0</v>
      </c>
      <c r="CW1135" s="15">
        <v>1550.0</v>
      </c>
      <c r="CX1135" s="15">
        <v>0.0</v>
      </c>
      <c r="CY1135" s="15">
        <v>0.0</v>
      </c>
      <c r="CZ1135" s="15">
        <v>0.0</v>
      </c>
      <c r="DA1135" s="15">
        <v>3000.0</v>
      </c>
      <c r="DB1135" s="15">
        <v>9670.0</v>
      </c>
      <c r="DC1135" s="15">
        <v>12640.0</v>
      </c>
      <c r="DD1135" s="15">
        <v>18270.0</v>
      </c>
      <c r="DE1135" s="15">
        <v>9730.0</v>
      </c>
      <c r="DF1135" s="15">
        <v>17130.0</v>
      </c>
      <c r="DG1135" s="15">
        <v>15950.0</v>
      </c>
      <c r="DH1135" s="15">
        <v>28110.0</v>
      </c>
      <c r="DI1135" s="15">
        <v>11810.0</v>
      </c>
      <c r="DJ1135" s="15">
        <v>17470.0</v>
      </c>
      <c r="DK1135" s="15">
        <v>0.0</v>
      </c>
      <c r="DL1135" s="15">
        <v>0.0</v>
      </c>
      <c r="DM1135" s="15">
        <v>0.0</v>
      </c>
      <c r="DN1135" s="15">
        <v>0.0</v>
      </c>
      <c r="DO1135" s="15">
        <v>0.0</v>
      </c>
      <c r="DP1135" s="15">
        <v>4650.0</v>
      </c>
      <c r="DQ1135" s="15">
        <v>0.0</v>
      </c>
      <c r="DR1135" s="15">
        <v>6800.0</v>
      </c>
      <c r="DS1135" s="15">
        <v>0.0</v>
      </c>
      <c r="DT1135" s="15">
        <v>0.0</v>
      </c>
      <c r="DU1135" s="15">
        <v>0.0</v>
      </c>
      <c r="DV1135" s="15">
        <v>0.0</v>
      </c>
      <c r="DW1135" s="15">
        <v>0.0</v>
      </c>
      <c r="DX1135" s="15">
        <v>0.0</v>
      </c>
      <c r="DY1135" s="15">
        <v>0.0</v>
      </c>
      <c r="DZ1135" s="15">
        <v>47530.0</v>
      </c>
      <c r="EA1135" s="15">
        <v>49390.0</v>
      </c>
      <c r="EB1135" s="15">
        <v>39440.0</v>
      </c>
      <c r="EC1135" s="15">
        <v>19050.0</v>
      </c>
      <c r="ED1135" s="15">
        <v>26380.0</v>
      </c>
      <c r="EE1135" s="17">
        <v>0.136</v>
      </c>
      <c r="EF1135" s="17">
        <v>0.143</v>
      </c>
      <c r="EG1135" s="17">
        <v>0.222</v>
      </c>
      <c r="EH1135" s="17">
        <v>0.341</v>
      </c>
    </row>
    <row r="1136">
      <c r="A1136" s="9">
        <f t="shared" si="2"/>
        <v>1134</v>
      </c>
      <c r="B1136" s="22" t="s">
        <v>1271</v>
      </c>
      <c r="C1136" s="12"/>
      <c r="D1136" s="12"/>
      <c r="E1136" s="12"/>
      <c r="F1136" s="12"/>
      <c r="G1136" s="12"/>
      <c r="H1136" s="12"/>
      <c r="I1136" s="12"/>
      <c r="J1136" s="11">
        <v>-947.0</v>
      </c>
      <c r="K1136" s="11">
        <v>-411.0</v>
      </c>
      <c r="L1136" s="11">
        <v>-205.0</v>
      </c>
      <c r="M1136" s="11">
        <v>-127.0</v>
      </c>
      <c r="N1136" s="11">
        <v>-108.0</v>
      </c>
      <c r="O1136" s="11">
        <v>17610.0</v>
      </c>
      <c r="P1136" s="11">
        <v>17950.0</v>
      </c>
      <c r="Q1136" s="11">
        <v>13600.0</v>
      </c>
      <c r="R1136" s="11">
        <v>10130.0</v>
      </c>
      <c r="S1136" s="11">
        <v>8460.0</v>
      </c>
      <c r="T1136" s="11">
        <v>14080.0</v>
      </c>
      <c r="U1136" s="11">
        <v>12550.0</v>
      </c>
      <c r="V1136" s="11">
        <v>9740.0</v>
      </c>
      <c r="W1136" s="11">
        <v>7710.0</v>
      </c>
      <c r="X1136" s="11">
        <v>5630.0</v>
      </c>
      <c r="Y1136" s="11">
        <v>-7200.0</v>
      </c>
      <c r="Z1136" s="11">
        <v>6110.0</v>
      </c>
      <c r="AA1136" s="11">
        <v>-54580.0</v>
      </c>
      <c r="AB1136" s="11">
        <v>-11430.0</v>
      </c>
      <c r="AC1136" s="11">
        <v>-8070.0</v>
      </c>
      <c r="AD1136" s="11">
        <v>-6910.0</v>
      </c>
      <c r="AE1136" s="11">
        <v>5920.0</v>
      </c>
      <c r="AF1136" s="11">
        <v>-54490.0</v>
      </c>
      <c r="AG1136" s="11">
        <v>-11390.0</v>
      </c>
      <c r="AH1136" s="11">
        <v>-9750.0</v>
      </c>
      <c r="AI1136" s="11">
        <v>-17610.0</v>
      </c>
      <c r="AJ1136" s="11">
        <v>-17950.0</v>
      </c>
      <c r="AK1136" s="11">
        <v>-13600.0</v>
      </c>
      <c r="AL1136" s="11">
        <v>-10130.0</v>
      </c>
      <c r="AM1136" s="11">
        <v>-8460.0</v>
      </c>
      <c r="AN1136" s="11">
        <v>-6910.0</v>
      </c>
      <c r="AO1136" s="11">
        <v>5920.0</v>
      </c>
      <c r="AP1136" s="11">
        <v>-54490.0</v>
      </c>
      <c r="AQ1136" s="11">
        <v>-11390.0</v>
      </c>
      <c r="AR1136" s="11">
        <v>-9750.0</v>
      </c>
      <c r="AS1136" s="11">
        <v>-17360.0</v>
      </c>
      <c r="AT1136" s="11">
        <v>-16680.0</v>
      </c>
      <c r="AU1136" s="11">
        <v>-12310.0</v>
      </c>
      <c r="AV1136" s="11">
        <v>-9730.0</v>
      </c>
      <c r="AW1136" s="11">
        <v>-6570.0</v>
      </c>
      <c r="AX1136" s="11">
        <v>-879.0</v>
      </c>
      <c r="AY1136" s="11">
        <v>-3070.0</v>
      </c>
      <c r="AZ1136" s="11">
        <v>-1880.0</v>
      </c>
      <c r="BA1136" s="11">
        <v>-539.0</v>
      </c>
      <c r="BB1136" s="11">
        <v>-113.0</v>
      </c>
      <c r="BC1136" s="12"/>
      <c r="BD1136" s="12"/>
      <c r="BE1136" s="12"/>
      <c r="BF1136" s="12"/>
      <c r="BG1136" s="12"/>
      <c r="BH1136" s="11">
        <v>26980.0</v>
      </c>
      <c r="BI1136" s="11">
        <v>7550.0</v>
      </c>
      <c r="BJ1136" s="11">
        <v>17940.0</v>
      </c>
      <c r="BK1136" s="11">
        <v>17750.0</v>
      </c>
      <c r="BL1136" s="11">
        <v>1680.0</v>
      </c>
      <c r="BM1136" s="11">
        <v>18.0</v>
      </c>
      <c r="BN1136" s="11">
        <v>24.0</v>
      </c>
      <c r="BO1136" s="11">
        <v>28.0</v>
      </c>
      <c r="BP1136" s="11">
        <v>28.0</v>
      </c>
      <c r="BQ1136" s="11">
        <v>44.0</v>
      </c>
      <c r="BR1136" s="12"/>
      <c r="BS1136" s="12"/>
      <c r="BT1136" s="12"/>
      <c r="BU1136" s="12"/>
      <c r="BV1136" s="12"/>
      <c r="BW1136" s="11">
        <v>27400.0</v>
      </c>
      <c r="BX1136" s="11">
        <v>8030.0</v>
      </c>
      <c r="BY1136" s="11">
        <v>18730.0</v>
      </c>
      <c r="BZ1136" s="11">
        <v>18250.0</v>
      </c>
      <c r="CA1136" s="11">
        <v>1910.0</v>
      </c>
      <c r="CB1136" s="11">
        <v>6120.0</v>
      </c>
      <c r="CC1136" s="11">
        <v>6190.0</v>
      </c>
      <c r="CD1136" s="11">
        <v>2930.0</v>
      </c>
      <c r="CE1136" s="11">
        <v>847.0</v>
      </c>
      <c r="CF1136" s="11">
        <v>435.0</v>
      </c>
      <c r="CG1136" s="12"/>
      <c r="CH1136" s="12"/>
      <c r="CI1136" s="12"/>
      <c r="CJ1136" s="12"/>
      <c r="CK1136" s="12"/>
      <c r="CL1136" s="11">
        <v>33750.0</v>
      </c>
      <c r="CM1136" s="11">
        <v>14480.0</v>
      </c>
      <c r="CN1136" s="11">
        <v>22980.0</v>
      </c>
      <c r="CO1136" s="11">
        <v>19240.0</v>
      </c>
      <c r="CP1136" s="11">
        <v>2480.0</v>
      </c>
      <c r="CQ1136" s="12"/>
      <c r="CR1136" s="12"/>
      <c r="CS1136" s="12"/>
      <c r="CT1136" s="12"/>
      <c r="CU1136" s="12"/>
      <c r="CV1136" s="11">
        <v>2580.0</v>
      </c>
      <c r="CW1136" s="12"/>
      <c r="CX1136" s="12"/>
      <c r="CY1136" s="12"/>
      <c r="CZ1136" s="12"/>
      <c r="DA1136" s="12"/>
      <c r="DB1136" s="11">
        <v>2580.0</v>
      </c>
      <c r="DC1136" s="11">
        <v>3690.0</v>
      </c>
      <c r="DD1136" s="11">
        <v>3360.0</v>
      </c>
      <c r="DE1136" s="11">
        <v>1700.0</v>
      </c>
      <c r="DF1136" s="11">
        <v>15070.0</v>
      </c>
      <c r="DG1136" s="11">
        <v>26850.0</v>
      </c>
      <c r="DH1136" s="11">
        <v>51650.0</v>
      </c>
      <c r="DI1136" s="11">
        <v>9170.0</v>
      </c>
      <c r="DJ1136" s="11">
        <v>2710.0</v>
      </c>
      <c r="DK1136" s="11">
        <v>199.0</v>
      </c>
      <c r="DL1136" s="11">
        <v>219.0</v>
      </c>
      <c r="DM1136" s="12"/>
      <c r="DN1136" s="12"/>
      <c r="DO1136" s="12"/>
      <c r="DP1136" s="12"/>
      <c r="DQ1136" s="12"/>
      <c r="DR1136" s="12"/>
      <c r="DS1136" s="12"/>
      <c r="DT1136" s="12"/>
      <c r="DU1136" s="11">
        <v>106310.0</v>
      </c>
      <c r="DV1136" s="11">
        <v>69350.0</v>
      </c>
      <c r="DW1136" s="11">
        <v>59980.0</v>
      </c>
      <c r="DX1136" s="11">
        <v>44030.0</v>
      </c>
      <c r="DY1136" s="11">
        <v>22930.0</v>
      </c>
      <c r="DZ1136" s="11">
        <v>18680.0</v>
      </c>
      <c r="EA1136" s="11">
        <v>-12360.0</v>
      </c>
      <c r="EB1136" s="11">
        <v>-28660.0</v>
      </c>
      <c r="EC1136" s="11">
        <v>10070.0</v>
      </c>
      <c r="ED1136" s="11">
        <v>-231.0</v>
      </c>
      <c r="EE1136" s="23"/>
      <c r="EF1136" s="23"/>
      <c r="EG1136" s="14">
        <v>-16.216</v>
      </c>
      <c r="EH1136" s="23"/>
    </row>
    <row r="1137">
      <c r="A1137" s="9">
        <f t="shared" si="2"/>
        <v>1135</v>
      </c>
      <c r="B1137" s="10" t="s">
        <v>1272</v>
      </c>
      <c r="C1137" s="15">
        <v>1830000.0</v>
      </c>
      <c r="D1137" s="15">
        <v>1760000.0</v>
      </c>
      <c r="E1137" s="15">
        <v>1620000.0</v>
      </c>
      <c r="F1137" s="15">
        <v>1660000.0</v>
      </c>
      <c r="G1137" s="15">
        <v>1780000.0</v>
      </c>
      <c r="H1137" s="15">
        <v>1710000.0</v>
      </c>
      <c r="I1137" s="15">
        <v>1640000.0</v>
      </c>
      <c r="J1137" s="15">
        <v>243260.0</v>
      </c>
      <c r="K1137" s="15">
        <v>225380.0</v>
      </c>
      <c r="L1137" s="15">
        <v>310870.0</v>
      </c>
      <c r="M1137" s="15">
        <v>318110.0</v>
      </c>
      <c r="N1137" s="15">
        <v>299930.0</v>
      </c>
      <c r="O1137" s="15">
        <v>214330.0</v>
      </c>
      <c r="P1137" s="15">
        <v>191300.0</v>
      </c>
      <c r="Q1137" s="15">
        <v>158180.0</v>
      </c>
      <c r="R1137" s="15">
        <v>163810.0</v>
      </c>
      <c r="S1137" s="15">
        <v>163630.0</v>
      </c>
      <c r="T1137" s="15"/>
      <c r="U1137" s="15"/>
      <c r="V1137" s="15"/>
      <c r="W1137" s="15"/>
      <c r="X1137" s="15"/>
      <c r="Y1137" s="15">
        <v>20930.0</v>
      </c>
      <c r="Z1137" s="12"/>
      <c r="AA1137" s="15">
        <v>151020.0</v>
      </c>
      <c r="AB1137" s="15">
        <v>153850.0</v>
      </c>
      <c r="AC1137" s="15">
        <v>-12280.0</v>
      </c>
      <c r="AD1137" s="15">
        <v>5050.0</v>
      </c>
      <c r="AE1137" s="15">
        <v>6700.0</v>
      </c>
      <c r="AF1137" s="15">
        <v>140340.0</v>
      </c>
      <c r="AG1137" s="15">
        <v>158810.0</v>
      </c>
      <c r="AH1137" s="15">
        <v>119150.0</v>
      </c>
      <c r="AI1137" s="15">
        <v>76210.0</v>
      </c>
      <c r="AJ1137" s="15">
        <v>80480.0</v>
      </c>
      <c r="AK1137" s="15">
        <v>196360.0</v>
      </c>
      <c r="AL1137" s="15">
        <v>195290.0</v>
      </c>
      <c r="AM1137" s="15">
        <v>176610.0</v>
      </c>
      <c r="AN1137" s="15">
        <v>4870.0</v>
      </c>
      <c r="AO1137" s="15">
        <v>2470.0</v>
      </c>
      <c r="AP1137" s="15">
        <v>103290.0</v>
      </c>
      <c r="AQ1137" s="15">
        <v>102970.0</v>
      </c>
      <c r="AR1137" s="15">
        <v>75420.0</v>
      </c>
      <c r="AS1137" s="15">
        <v>61750.0</v>
      </c>
      <c r="AT1137" s="15">
        <v>92450.0</v>
      </c>
      <c r="AU1137" s="15">
        <v>134980.0</v>
      </c>
      <c r="AV1137" s="15">
        <v>144060.0</v>
      </c>
      <c r="AW1137" s="15">
        <v>160310.0</v>
      </c>
      <c r="AX1137" s="15">
        <v>-37710.0</v>
      </c>
      <c r="AY1137" s="15">
        <v>-42030.0</v>
      </c>
      <c r="AZ1137" s="15">
        <v>-52590.0</v>
      </c>
      <c r="BA1137" s="15">
        <v>-55550.0</v>
      </c>
      <c r="BB1137" s="15">
        <v>-38970.0</v>
      </c>
      <c r="BC1137" s="13">
        <v>-38570.0</v>
      </c>
      <c r="BD1137" s="13">
        <v>-28990.0</v>
      </c>
      <c r="BE1137" s="13">
        <v>-30720.0</v>
      </c>
      <c r="BF1137" s="13">
        <v>-27900.0</v>
      </c>
      <c r="BG1137" s="13">
        <v>-24840.0</v>
      </c>
      <c r="BH1137" s="15">
        <v>27910.0</v>
      </c>
      <c r="BI1137" s="15">
        <v>33260.0</v>
      </c>
      <c r="BJ1137" s="15">
        <v>22350.0</v>
      </c>
      <c r="BK1137" s="15">
        <v>15560.0</v>
      </c>
      <c r="BL1137" s="15">
        <v>21010.0</v>
      </c>
      <c r="BM1137" s="15">
        <v>92740.0</v>
      </c>
      <c r="BN1137" s="15">
        <v>99760.0</v>
      </c>
      <c r="BO1137" s="15">
        <v>72880.0</v>
      </c>
      <c r="BP1137" s="15">
        <v>65480.0</v>
      </c>
      <c r="BQ1137" s="15">
        <v>71410.0</v>
      </c>
      <c r="BR1137" s="12">
        <v>27530.0</v>
      </c>
      <c r="BS1137" s="15">
        <v>27200.0</v>
      </c>
      <c r="BT1137" s="15">
        <v>30620.0</v>
      </c>
      <c r="BU1137" s="15">
        <v>25130.0</v>
      </c>
      <c r="BV1137" s="15">
        <v>21560.0</v>
      </c>
      <c r="BW1137" s="15">
        <v>181550.0</v>
      </c>
      <c r="BX1137" s="15">
        <v>196280.0</v>
      </c>
      <c r="BY1137" s="15">
        <v>169990.0</v>
      </c>
      <c r="BZ1137" s="15">
        <v>145580.0</v>
      </c>
      <c r="CA1137" s="15">
        <v>152590.0</v>
      </c>
      <c r="CB1137" s="15">
        <v>369350.0</v>
      </c>
      <c r="CC1137" s="15">
        <v>226890.0</v>
      </c>
      <c r="CD1137" s="15">
        <v>234330.0</v>
      </c>
      <c r="CE1137" s="15">
        <v>230470.0</v>
      </c>
      <c r="CF1137" s="15">
        <v>214040.0</v>
      </c>
      <c r="CG1137" s="15">
        <v>80340.0</v>
      </c>
      <c r="CH1137" s="15">
        <v>84520.0</v>
      </c>
      <c r="CI1137" s="15">
        <v>86890.0</v>
      </c>
      <c r="CJ1137" s="15">
        <v>85530.0</v>
      </c>
      <c r="CK1137" s="15">
        <v>79660.0</v>
      </c>
      <c r="CL1137" s="15">
        <v>730720.0</v>
      </c>
      <c r="CM1137" s="15">
        <v>595900.0</v>
      </c>
      <c r="CN1137" s="15">
        <v>555550.0</v>
      </c>
      <c r="CO1137" s="15">
        <v>512570.0</v>
      </c>
      <c r="CP1137" s="15">
        <v>494060.0</v>
      </c>
      <c r="CQ1137" s="15">
        <v>29140.0</v>
      </c>
      <c r="CR1137" s="15">
        <v>27110.0</v>
      </c>
      <c r="CS1137" s="15">
        <v>32010.0</v>
      </c>
      <c r="CT1137" s="15">
        <v>42700.0</v>
      </c>
      <c r="CU1137" s="15">
        <v>43490.0</v>
      </c>
      <c r="CV1137" s="15">
        <v>207950.0</v>
      </c>
      <c r="CW1137" s="15">
        <v>23230.0</v>
      </c>
      <c r="CX1137" s="13"/>
      <c r="CY1137" s="15"/>
      <c r="CZ1137" s="15"/>
      <c r="DA1137" s="15"/>
      <c r="DB1137" s="15">
        <v>207950.0</v>
      </c>
      <c r="DC1137" s="15">
        <v>188890.0</v>
      </c>
      <c r="DD1137" s="15">
        <v>132860.0</v>
      </c>
      <c r="DE1137" s="15">
        <v>128030.0</v>
      </c>
      <c r="DF1137" s="15">
        <v>1040000.0</v>
      </c>
      <c r="DG1137" s="15">
        <v>894450.0</v>
      </c>
      <c r="DH1137" s="15">
        <v>654770.0</v>
      </c>
      <c r="DI1137" s="15">
        <v>494300.0</v>
      </c>
      <c r="DJ1137" s="15">
        <v>443490.0</v>
      </c>
      <c r="DK1137" s="12"/>
      <c r="DL1137" s="12"/>
      <c r="DM1137" s="12"/>
      <c r="DN1137" s="12"/>
      <c r="DO1137" s="15"/>
      <c r="DP1137" s="15">
        <v>731350.0</v>
      </c>
      <c r="DQ1137" s="15">
        <v>601130.0</v>
      </c>
      <c r="DR1137" s="12">
        <v>446570.0</v>
      </c>
      <c r="DS1137" s="15">
        <v>299820.0</v>
      </c>
      <c r="DT1137" s="15">
        <v>255150.0</v>
      </c>
      <c r="DU1137" s="13"/>
      <c r="DV1137" s="15"/>
      <c r="DW1137" s="15"/>
      <c r="DX1137" s="13"/>
      <c r="DY1137" s="13"/>
      <c r="DZ1137" s="15">
        <v>-332320.0</v>
      </c>
      <c r="EA1137" s="15">
        <v>-319240.0</v>
      </c>
      <c r="EB1137" s="15">
        <v>-121710.0</v>
      </c>
      <c r="EC1137" s="15">
        <v>-3910.0</v>
      </c>
      <c r="ED1137" s="15">
        <v>29180.0</v>
      </c>
      <c r="EE1137" s="23">
        <v>0.102272727</v>
      </c>
      <c r="EF1137" s="23">
        <v>0.12568306</v>
      </c>
      <c r="EG1137" s="17">
        <v>-0.615</v>
      </c>
      <c r="EH1137" s="23">
        <v>-0.1345</v>
      </c>
    </row>
    <row r="1138">
      <c r="A1138" s="9">
        <f t="shared" si="2"/>
        <v>1136</v>
      </c>
      <c r="B1138" s="10" t="s">
        <v>1273</v>
      </c>
      <c r="C1138" s="15">
        <v>2.652E7</v>
      </c>
      <c r="D1138" s="15">
        <v>2.085E7</v>
      </c>
      <c r="E1138" s="15">
        <v>2.427E7</v>
      </c>
      <c r="F1138" s="15">
        <v>2.261E7</v>
      </c>
      <c r="G1138" s="15">
        <v>2.229E7</v>
      </c>
      <c r="H1138" s="15">
        <v>2.355E7</v>
      </c>
      <c r="I1138" s="15">
        <v>2.528E7</v>
      </c>
      <c r="J1138" s="15">
        <v>1.568E7</v>
      </c>
      <c r="K1138" s="15">
        <v>1.241E7</v>
      </c>
      <c r="L1138" s="15">
        <v>1.295E7</v>
      </c>
      <c r="M1138" s="15">
        <v>1.423E7</v>
      </c>
      <c r="N1138" s="15">
        <v>1.518E7</v>
      </c>
      <c r="O1138" s="15">
        <v>7600000.0</v>
      </c>
      <c r="P1138" s="15">
        <v>8660000.0</v>
      </c>
      <c r="Q1138" s="15">
        <v>7860000.0</v>
      </c>
      <c r="R1138" s="15">
        <v>7420000.0</v>
      </c>
      <c r="S1138" s="15">
        <v>7750000.0</v>
      </c>
      <c r="T1138" s="15">
        <v>5400000.0</v>
      </c>
      <c r="U1138" s="15">
        <v>5630000.0</v>
      </c>
      <c r="V1138" s="15">
        <v>5470000.0</v>
      </c>
      <c r="W1138" s="15">
        <v>5140000.0</v>
      </c>
      <c r="X1138" s="15">
        <v>5480000.0</v>
      </c>
      <c r="Y1138" s="15">
        <v>7520000.0</v>
      </c>
      <c r="Z1138" s="15">
        <v>-3240000.0</v>
      </c>
      <c r="AA1138" s="15">
        <v>2470000.0</v>
      </c>
      <c r="AB1138" s="15">
        <v>5890000.0</v>
      </c>
      <c r="AC1138" s="15">
        <v>5460000.0</v>
      </c>
      <c r="AD1138" s="15">
        <v>7480000.0</v>
      </c>
      <c r="AE1138" s="15">
        <v>392000.0</v>
      </c>
      <c r="AF1138" s="15">
        <v>3020000.0</v>
      </c>
      <c r="AG1138" s="15">
        <v>6830000.0</v>
      </c>
      <c r="AH1138" s="15">
        <v>6490000.0</v>
      </c>
      <c r="AI1138" s="15">
        <v>9480000.0</v>
      </c>
      <c r="AJ1138" s="15">
        <v>5320000.0</v>
      </c>
      <c r="AK1138" s="15">
        <v>6550000.0</v>
      </c>
      <c r="AL1138" s="15">
        <v>8240000.0</v>
      </c>
      <c r="AM1138" s="15">
        <v>8640000.0</v>
      </c>
      <c r="AN1138" s="15">
        <v>4390000.0</v>
      </c>
      <c r="AO1138" s="15">
        <v>-4960000.0</v>
      </c>
      <c r="AP1138" s="15">
        <v>2470000.0</v>
      </c>
      <c r="AQ1138" s="15">
        <v>5710000.0</v>
      </c>
      <c r="AR1138" s="15">
        <v>5270000.0</v>
      </c>
      <c r="AS1138" s="15">
        <v>7290000.0</v>
      </c>
      <c r="AT1138" s="15">
        <v>3910000.0</v>
      </c>
      <c r="AU1138" s="15">
        <v>4690000.0</v>
      </c>
      <c r="AV1138" s="15">
        <v>7400000.0</v>
      </c>
      <c r="AW1138" s="15">
        <v>5510000.0</v>
      </c>
      <c r="AX1138" s="15">
        <v>-887000.0</v>
      </c>
      <c r="AY1138" s="15">
        <v>-784000.0</v>
      </c>
      <c r="AZ1138" s="15">
        <v>-690000.0</v>
      </c>
      <c r="BA1138" s="15">
        <v>-539000.0</v>
      </c>
      <c r="BB1138" s="15">
        <v>-994000.0</v>
      </c>
      <c r="BC1138" s="15">
        <v>-2970000.0</v>
      </c>
      <c r="BD1138" s="15">
        <v>-3470000.0</v>
      </c>
      <c r="BE1138" s="15">
        <v>-3250000.0</v>
      </c>
      <c r="BF1138" s="15">
        <v>-2990000.0</v>
      </c>
      <c r="BG1138" s="15">
        <v>-2880000.0</v>
      </c>
      <c r="BH1138" s="15">
        <v>1.226E7</v>
      </c>
      <c r="BI1138" s="15">
        <v>1.209E7</v>
      </c>
      <c r="BJ1138" s="15">
        <v>3.731E7</v>
      </c>
      <c r="BK1138" s="15">
        <v>1.865E7</v>
      </c>
      <c r="BL1138" s="15">
        <v>1.732E7</v>
      </c>
      <c r="BM1138" s="15">
        <v>2470000.0</v>
      </c>
      <c r="BN1138" s="15">
        <v>2900000.0</v>
      </c>
      <c r="BO1138" s="15">
        <v>3630000.0</v>
      </c>
      <c r="BP1138" s="15">
        <v>2220000.0</v>
      </c>
      <c r="BQ1138" s="15">
        <v>1960000.0</v>
      </c>
      <c r="BR1138" s="15">
        <v>1400000.0</v>
      </c>
      <c r="BS1138" s="15">
        <v>1690000.0</v>
      </c>
      <c r="BT1138" s="15">
        <v>2040000.0</v>
      </c>
      <c r="BU1138" s="15">
        <v>1560000.0</v>
      </c>
      <c r="BV1138" s="15">
        <v>1490000.0</v>
      </c>
      <c r="BW1138" s="15">
        <v>1.677E7</v>
      </c>
      <c r="BX1138" s="15">
        <v>1.738E7</v>
      </c>
      <c r="BY1138" s="15">
        <v>4.359E7</v>
      </c>
      <c r="BZ1138" s="15">
        <v>2.298E7</v>
      </c>
      <c r="CA1138" s="15">
        <v>2.21E7</v>
      </c>
      <c r="CB1138" s="15">
        <v>3080000.0</v>
      </c>
      <c r="CC1138" s="15">
        <v>2980000.0</v>
      </c>
      <c r="CD1138" s="15">
        <v>3220000.0</v>
      </c>
      <c r="CE1138" s="15">
        <v>2310000.0</v>
      </c>
      <c r="CF1138" s="15">
        <v>2530000.0</v>
      </c>
      <c r="CG1138" s="15">
        <v>6280000.0</v>
      </c>
      <c r="CH1138" s="15">
        <v>6500000.0</v>
      </c>
      <c r="CI1138" s="15">
        <v>6620000.0</v>
      </c>
      <c r="CJ1138" s="15">
        <v>5680000.0</v>
      </c>
      <c r="CK1138" s="15">
        <v>5480000.0</v>
      </c>
      <c r="CL1138" s="15">
        <v>3.296E7</v>
      </c>
      <c r="CM1138" s="15">
        <v>3.272E7</v>
      </c>
      <c r="CN1138" s="15">
        <v>6.549E7</v>
      </c>
      <c r="CO1138" s="15">
        <v>5.236E7</v>
      </c>
      <c r="CP1138" s="15">
        <v>5.08E7</v>
      </c>
      <c r="CQ1138" s="15">
        <v>1370000.0</v>
      </c>
      <c r="CR1138" s="15">
        <v>1830000.0</v>
      </c>
      <c r="CS1138" s="15">
        <v>1970000.0</v>
      </c>
      <c r="CT1138" s="15">
        <v>1860000.0</v>
      </c>
      <c r="CU1138" s="15">
        <v>1300000.0</v>
      </c>
      <c r="CV1138" s="15">
        <v>8940000.0</v>
      </c>
      <c r="CW1138" s="15">
        <v>2500000.0</v>
      </c>
      <c r="CX1138" s="15">
        <v>1010000.0</v>
      </c>
      <c r="CY1138" s="15">
        <v>2500000.0</v>
      </c>
      <c r="CZ1138" s="15">
        <v>1750000.0</v>
      </c>
      <c r="DA1138" s="15">
        <v>1000000.0</v>
      </c>
      <c r="DB1138" s="15">
        <v>8940000.0</v>
      </c>
      <c r="DC1138" s="15">
        <v>1.139E7</v>
      </c>
      <c r="DD1138" s="15">
        <v>1.091E7</v>
      </c>
      <c r="DE1138" s="15">
        <v>7310000.0</v>
      </c>
      <c r="DF1138" s="15">
        <v>2.805E7</v>
      </c>
      <c r="DG1138" s="15">
        <v>3.191E7</v>
      </c>
      <c r="DH1138" s="15">
        <v>3.474E7</v>
      </c>
      <c r="DI1138" s="15">
        <v>2.059E7</v>
      </c>
      <c r="DJ1138" s="15">
        <v>1.938E7</v>
      </c>
      <c r="DK1138" s="15">
        <v>1130000.0</v>
      </c>
      <c r="DL1138" s="15">
        <v>1050000.0</v>
      </c>
      <c r="DM1138" s="15">
        <v>1270000.0</v>
      </c>
      <c r="DN1138" s="15">
        <v>1.37E7</v>
      </c>
      <c r="DO1138" s="15">
        <v>1.363E7</v>
      </c>
      <c r="DP1138" s="15">
        <v>1.344E7</v>
      </c>
      <c r="DQ1138" s="15">
        <v>1.537E7</v>
      </c>
      <c r="DR1138" s="15">
        <v>1.94E7</v>
      </c>
      <c r="DS1138" s="15">
        <v>1.001E7</v>
      </c>
      <c r="DT1138" s="15">
        <v>9970000.0</v>
      </c>
      <c r="DU1138" s="16">
        <v>0.0</v>
      </c>
      <c r="DV1138" s="15">
        <v>0.0</v>
      </c>
      <c r="DW1138" s="15">
        <v>0.0</v>
      </c>
      <c r="DX1138" s="15">
        <v>0.0</v>
      </c>
      <c r="DY1138" s="15">
        <v>0.0</v>
      </c>
      <c r="DZ1138" s="15">
        <v>4910000.0</v>
      </c>
      <c r="EA1138" s="15">
        <v>807000.0</v>
      </c>
      <c r="EB1138" s="15">
        <v>3.075E7</v>
      </c>
      <c r="EC1138" s="15">
        <v>3.178E7</v>
      </c>
      <c r="ED1138" s="15">
        <v>3.142E7</v>
      </c>
      <c r="EE1138" s="17">
        <v>0.063</v>
      </c>
      <c r="EF1138" s="17">
        <v>0.211</v>
      </c>
      <c r="EG1138" s="17">
        <v>0.128</v>
      </c>
      <c r="EH1138" s="17">
        <v>0.115</v>
      </c>
    </row>
    <row r="1139">
      <c r="A1139" s="9">
        <f t="shared" si="2"/>
        <v>1137</v>
      </c>
      <c r="B1139" s="22" t="s">
        <v>1274</v>
      </c>
      <c r="C1139" s="11">
        <v>1560000.0</v>
      </c>
      <c r="D1139" s="11">
        <v>1230000.0</v>
      </c>
      <c r="E1139" s="11">
        <v>534890.0</v>
      </c>
      <c r="F1139" s="11">
        <v>522290.0</v>
      </c>
      <c r="G1139" s="11">
        <v>277740.0</v>
      </c>
      <c r="H1139" s="11">
        <v>191600.0</v>
      </c>
      <c r="I1139" s="11">
        <v>196130.0</v>
      </c>
      <c r="J1139" s="11">
        <v>320810.0</v>
      </c>
      <c r="K1139" s="11">
        <v>315710.0</v>
      </c>
      <c r="L1139" s="11">
        <v>156060.0</v>
      </c>
      <c r="M1139" s="11">
        <v>109600.0</v>
      </c>
      <c r="N1139" s="11">
        <v>116200.0</v>
      </c>
      <c r="O1139" s="11">
        <v>214960.0</v>
      </c>
      <c r="P1139" s="11">
        <v>204470.0</v>
      </c>
      <c r="Q1139" s="11">
        <v>130080.0</v>
      </c>
      <c r="R1139" s="11">
        <v>113560.0</v>
      </c>
      <c r="S1139" s="11">
        <v>112850.0</v>
      </c>
      <c r="T1139" s="11">
        <v>52550.0</v>
      </c>
      <c r="U1139" s="11">
        <v>51650.0</v>
      </c>
      <c r="V1139" s="11">
        <v>33640.0</v>
      </c>
      <c r="W1139" s="11">
        <v>38670.0</v>
      </c>
      <c r="X1139" s="11">
        <v>35510.0</v>
      </c>
      <c r="Y1139" s="11">
        <v>91970.0</v>
      </c>
      <c r="Z1139" s="11">
        <v>87670.0</v>
      </c>
      <c r="AA1139" s="11">
        <v>9550.0</v>
      </c>
      <c r="AB1139" s="11">
        <v>-4020.0</v>
      </c>
      <c r="AC1139" s="11">
        <v>2740.0</v>
      </c>
      <c r="AD1139" s="11">
        <v>77180.0</v>
      </c>
      <c r="AE1139" s="11">
        <v>63380.0</v>
      </c>
      <c r="AF1139" s="11">
        <v>-8040.0</v>
      </c>
      <c r="AG1139" s="11">
        <v>-16200.0</v>
      </c>
      <c r="AH1139" s="11">
        <v>-9300.0</v>
      </c>
      <c r="AI1139" s="11">
        <v>157640.0</v>
      </c>
      <c r="AJ1139" s="11">
        <v>157510.0</v>
      </c>
      <c r="AK1139" s="11">
        <v>56740.0</v>
      </c>
      <c r="AL1139" s="11">
        <v>27920.0</v>
      </c>
      <c r="AM1139" s="11">
        <v>26740.0</v>
      </c>
      <c r="AN1139" s="11">
        <v>72920.0</v>
      </c>
      <c r="AO1139" s="11">
        <v>74180.0</v>
      </c>
      <c r="AP1139" s="11">
        <v>-8170.0</v>
      </c>
      <c r="AQ1139" s="11">
        <v>-13810.0</v>
      </c>
      <c r="AR1139" s="11">
        <v>-6080.0</v>
      </c>
      <c r="AS1139" s="11">
        <v>133750.0</v>
      </c>
      <c r="AT1139" s="11">
        <v>135830.0</v>
      </c>
      <c r="AU1139" s="11">
        <v>27710.0</v>
      </c>
      <c r="AV1139" s="11">
        <v>11750.0</v>
      </c>
      <c r="AW1139" s="11">
        <v>33250.0</v>
      </c>
      <c r="AX1139" s="11">
        <v>-27230.0</v>
      </c>
      <c r="AY1139" s="11">
        <v>-31690.0</v>
      </c>
      <c r="AZ1139" s="11">
        <v>-17510.0</v>
      </c>
      <c r="BA1139" s="11">
        <v>-11910.0</v>
      </c>
      <c r="BB1139" s="11">
        <v>-17030.0</v>
      </c>
      <c r="BC1139" s="12"/>
      <c r="BD1139" s="12"/>
      <c r="BE1139" s="12"/>
      <c r="BF1139" s="12"/>
      <c r="BG1139" s="12"/>
      <c r="BH1139" s="11">
        <v>52780.0</v>
      </c>
      <c r="BI1139" s="11">
        <v>43700.0</v>
      </c>
      <c r="BJ1139" s="11">
        <v>36090.0</v>
      </c>
      <c r="BK1139" s="11">
        <v>169510.0</v>
      </c>
      <c r="BL1139" s="11">
        <v>191530.0</v>
      </c>
      <c r="BM1139" s="11">
        <v>106920.0</v>
      </c>
      <c r="BN1139" s="11">
        <v>76890.0</v>
      </c>
      <c r="BO1139" s="11">
        <v>67050.0</v>
      </c>
      <c r="BP1139" s="11">
        <v>24990.0</v>
      </c>
      <c r="BQ1139" s="11">
        <v>18400.0</v>
      </c>
      <c r="BR1139" s="11">
        <v>58090.0</v>
      </c>
      <c r="BS1139" s="11">
        <v>67380.0</v>
      </c>
      <c r="BT1139" s="11">
        <v>67080.0</v>
      </c>
      <c r="BU1139" s="11">
        <v>26050.0</v>
      </c>
      <c r="BV1139" s="11">
        <v>26390.0</v>
      </c>
      <c r="BW1139" s="11">
        <v>222230.0</v>
      </c>
      <c r="BX1139" s="11">
        <v>193400.0</v>
      </c>
      <c r="BY1139" s="11">
        <v>331230.0</v>
      </c>
      <c r="BZ1139" s="11">
        <v>225390.0</v>
      </c>
      <c r="CA1139" s="11">
        <v>240360.0</v>
      </c>
      <c r="CB1139" s="11">
        <v>171880.0</v>
      </c>
      <c r="CC1139" s="11">
        <v>73900.0</v>
      </c>
      <c r="CD1139" s="11">
        <v>61590.0</v>
      </c>
      <c r="CE1139" s="11">
        <v>50860.0</v>
      </c>
      <c r="CF1139" s="11">
        <v>52550.0</v>
      </c>
      <c r="CG1139" s="11">
        <v>337020.0</v>
      </c>
      <c r="CH1139" s="11">
        <v>337020.0</v>
      </c>
      <c r="CI1139" s="11">
        <v>337030.0</v>
      </c>
      <c r="CJ1139" s="11">
        <v>83830.0</v>
      </c>
      <c r="CK1139" s="11">
        <v>80730.0</v>
      </c>
      <c r="CL1139" s="11">
        <v>940890.0</v>
      </c>
      <c r="CM1139" s="11">
        <v>816180.0</v>
      </c>
      <c r="CN1139" s="11">
        <v>948650.0</v>
      </c>
      <c r="CO1139" s="11">
        <v>409470.0</v>
      </c>
      <c r="CP1139" s="11">
        <v>406510.0</v>
      </c>
      <c r="CQ1139" s="11">
        <v>26700.0</v>
      </c>
      <c r="CR1139" s="11">
        <v>25170.0</v>
      </c>
      <c r="CS1139" s="11">
        <v>27280.0</v>
      </c>
      <c r="CT1139" s="11">
        <v>16050.0</v>
      </c>
      <c r="CU1139" s="11">
        <v>8680.0</v>
      </c>
      <c r="CV1139" s="11">
        <v>125890.0</v>
      </c>
      <c r="CW1139" s="11">
        <v>6410.0</v>
      </c>
      <c r="CX1139" s="12"/>
      <c r="CY1139" s="11">
        <v>10000.0</v>
      </c>
      <c r="CZ1139" s="12"/>
      <c r="DA1139" s="12"/>
      <c r="DB1139" s="11">
        <v>125890.0</v>
      </c>
      <c r="DC1139" s="11">
        <v>159740.0</v>
      </c>
      <c r="DD1139" s="11">
        <v>128350.0</v>
      </c>
      <c r="DE1139" s="11">
        <v>33610.0</v>
      </c>
      <c r="DF1139" s="11">
        <v>381070.0</v>
      </c>
      <c r="DG1139" s="11">
        <v>390600.0</v>
      </c>
      <c r="DH1139" s="11">
        <v>721550.0</v>
      </c>
      <c r="DI1139" s="11">
        <v>208840.0</v>
      </c>
      <c r="DJ1139" s="11">
        <v>187830.0</v>
      </c>
      <c r="DK1139" s="12"/>
      <c r="DL1139" s="12"/>
      <c r="DM1139" s="12"/>
      <c r="DN1139" s="12"/>
      <c r="DO1139" s="12"/>
      <c r="DP1139" s="11">
        <v>97600.0</v>
      </c>
      <c r="DQ1139" s="11">
        <v>53190.0</v>
      </c>
      <c r="DR1139" s="11">
        <v>377260.0</v>
      </c>
      <c r="DS1139" s="11">
        <v>148320.0</v>
      </c>
      <c r="DT1139" s="11">
        <v>147330.0</v>
      </c>
      <c r="DU1139" s="13"/>
      <c r="DV1139" s="12"/>
      <c r="DW1139" s="12"/>
      <c r="DX1139" s="13"/>
      <c r="DY1139" s="13"/>
      <c r="DZ1139" s="11">
        <v>559820.0</v>
      </c>
      <c r="EA1139" s="11">
        <v>425580.0</v>
      </c>
      <c r="EB1139" s="11">
        <v>227100.0</v>
      </c>
      <c r="EC1139" s="11">
        <v>200630.0</v>
      </c>
      <c r="ED1139" s="11">
        <v>218680.0</v>
      </c>
      <c r="EE1139" s="14">
        <v>0.106</v>
      </c>
      <c r="EF1139" s="14">
        <v>0.244</v>
      </c>
      <c r="EG1139" s="14">
        <v>0.706</v>
      </c>
      <c r="EH1139" s="14">
        <v>0.326</v>
      </c>
    </row>
    <row r="1140">
      <c r="A1140" s="9">
        <f t="shared" si="2"/>
        <v>1138</v>
      </c>
      <c r="B1140" s="22" t="s">
        <v>1275</v>
      </c>
      <c r="C1140" s="11">
        <v>1980000.0</v>
      </c>
      <c r="D1140" s="11">
        <v>1780000.0</v>
      </c>
      <c r="E1140" s="11">
        <v>1530000.0</v>
      </c>
      <c r="F1140" s="11">
        <v>1500000.0</v>
      </c>
      <c r="G1140" s="11">
        <v>1420000.0</v>
      </c>
      <c r="H1140" s="11">
        <v>1340000.0</v>
      </c>
      <c r="I1140" s="11">
        <v>1280000.0</v>
      </c>
      <c r="J1140" s="11">
        <v>975290.0</v>
      </c>
      <c r="K1140" s="11">
        <v>965850.0</v>
      </c>
      <c r="L1140" s="11">
        <v>884540.0</v>
      </c>
      <c r="M1140" s="11">
        <v>821080.0</v>
      </c>
      <c r="N1140" s="11">
        <v>787710.0</v>
      </c>
      <c r="O1140" s="11">
        <v>661620.0</v>
      </c>
      <c r="P1140" s="11">
        <v>666930.0</v>
      </c>
      <c r="Q1140" s="11">
        <v>669300.0</v>
      </c>
      <c r="R1140" s="11">
        <v>625940.0</v>
      </c>
      <c r="S1140" s="11">
        <v>614120.0</v>
      </c>
      <c r="T1140" s="11">
        <v>157450.0</v>
      </c>
      <c r="U1140" s="11">
        <v>161850.0</v>
      </c>
      <c r="V1140" s="11">
        <v>154080.0</v>
      </c>
      <c r="W1140" s="11">
        <v>149780.0</v>
      </c>
      <c r="X1140" s="11">
        <v>147180.0</v>
      </c>
      <c r="Y1140" s="11">
        <v>-28680.0</v>
      </c>
      <c r="Z1140" s="11">
        <v>235560.0</v>
      </c>
      <c r="AA1140" s="11">
        <v>-55730.0</v>
      </c>
      <c r="AB1140" s="11">
        <v>80000.0</v>
      </c>
      <c r="AC1140" s="11">
        <v>165690.0</v>
      </c>
      <c r="AD1140" s="11">
        <v>-77780.0</v>
      </c>
      <c r="AE1140" s="11">
        <v>225740.0</v>
      </c>
      <c r="AF1140" s="11">
        <v>114380.0</v>
      </c>
      <c r="AG1140" s="11">
        <v>56910.0</v>
      </c>
      <c r="AH1140" s="11">
        <v>132500.0</v>
      </c>
      <c r="AI1140" s="11">
        <v>545130.0</v>
      </c>
      <c r="AJ1140" s="11">
        <v>505360.0</v>
      </c>
      <c r="AK1140" s="11">
        <v>431690.0</v>
      </c>
      <c r="AL1140" s="11">
        <v>404640.0</v>
      </c>
      <c r="AM1140" s="11">
        <v>365070.0</v>
      </c>
      <c r="AN1140" s="11">
        <v>-41460.0</v>
      </c>
      <c r="AO1140" s="11">
        <v>190380.0</v>
      </c>
      <c r="AP1140" s="11">
        <v>40390.0</v>
      </c>
      <c r="AQ1140" s="11">
        <v>80400.0</v>
      </c>
      <c r="AR1140" s="11">
        <v>127100.0</v>
      </c>
      <c r="AS1140" s="11">
        <v>330840.0</v>
      </c>
      <c r="AT1140" s="11">
        <v>359500.0</v>
      </c>
      <c r="AU1140" s="11">
        <v>286780.0</v>
      </c>
      <c r="AV1140" s="11">
        <v>341600.0</v>
      </c>
      <c r="AW1140" s="11">
        <v>317500.0</v>
      </c>
      <c r="AX1140" s="11">
        <v>-274880.0</v>
      </c>
      <c r="AY1140" s="11">
        <v>-150760.0</v>
      </c>
      <c r="AZ1140" s="11">
        <v>-124410.0</v>
      </c>
      <c r="BA1140" s="11">
        <v>-93920.0</v>
      </c>
      <c r="BB1140" s="11">
        <v>-117480.0</v>
      </c>
      <c r="BC1140" s="12"/>
      <c r="BD1140" s="12"/>
      <c r="BE1140" s="12"/>
      <c r="BF1140" s="12"/>
      <c r="BG1140" s="12"/>
      <c r="BH1140" s="11">
        <v>761660.0</v>
      </c>
      <c r="BI1140" s="11">
        <v>1420000.0</v>
      </c>
      <c r="BJ1140" s="11">
        <v>1040000.0</v>
      </c>
      <c r="BK1140" s="11">
        <v>537570.0</v>
      </c>
      <c r="BL1140" s="11">
        <v>427090.0</v>
      </c>
      <c r="BM1140" s="11">
        <v>484610.0</v>
      </c>
      <c r="BN1140" s="11">
        <v>397680.0</v>
      </c>
      <c r="BO1140" s="11">
        <v>386100.0</v>
      </c>
      <c r="BP1140" s="11">
        <v>327920.0</v>
      </c>
      <c r="BQ1140" s="11">
        <v>325890.0</v>
      </c>
      <c r="BR1140" s="11">
        <v>170700.0</v>
      </c>
      <c r="BS1140" s="11">
        <v>162910.0</v>
      </c>
      <c r="BT1140" s="11">
        <v>155930.0</v>
      </c>
      <c r="BU1140" s="11">
        <v>136550.0</v>
      </c>
      <c r="BV1140" s="11">
        <v>136590.0</v>
      </c>
      <c r="BW1140" s="11">
        <v>1570000.0</v>
      </c>
      <c r="BX1140" s="11">
        <v>2160000.0</v>
      </c>
      <c r="BY1140" s="11">
        <v>1650000.0</v>
      </c>
      <c r="BZ1140" s="11">
        <v>1040000.0</v>
      </c>
      <c r="CA1140" s="11">
        <v>961610.0</v>
      </c>
      <c r="CB1140" s="11">
        <v>512550.0</v>
      </c>
      <c r="CC1140" s="11">
        <v>511660.0</v>
      </c>
      <c r="CD1140" s="11">
        <v>494320.0</v>
      </c>
      <c r="CE1140" s="11">
        <v>436660.0</v>
      </c>
      <c r="CF1140" s="11">
        <v>442940.0</v>
      </c>
      <c r="CG1140" s="11">
        <v>2140000.0</v>
      </c>
      <c r="CH1140" s="11">
        <v>2110000.0</v>
      </c>
      <c r="CI1140" s="11">
        <v>2010000.0</v>
      </c>
      <c r="CJ1140" s="11">
        <v>1930000.0</v>
      </c>
      <c r="CK1140" s="11">
        <v>1880000.0</v>
      </c>
      <c r="CL1140" s="11">
        <v>5240000.0</v>
      </c>
      <c r="CM1140" s="11">
        <v>5750000.0</v>
      </c>
      <c r="CN1140" s="11">
        <v>5040000.0</v>
      </c>
      <c r="CO1140" s="11">
        <v>4310000.0</v>
      </c>
      <c r="CP1140" s="11">
        <v>4190000.0</v>
      </c>
      <c r="CQ1140" s="11">
        <v>84770.0</v>
      </c>
      <c r="CR1140" s="11">
        <v>69420.0</v>
      </c>
      <c r="CS1140" s="11">
        <v>59210.0</v>
      </c>
      <c r="CT1140" s="11">
        <v>51220.0</v>
      </c>
      <c r="CU1140" s="11">
        <v>52310.0</v>
      </c>
      <c r="CV1140" s="11">
        <v>951350.0</v>
      </c>
      <c r="CW1140" s="11">
        <v>18740.0</v>
      </c>
      <c r="CX1140" s="12"/>
      <c r="CY1140" s="12"/>
      <c r="CZ1140" s="12"/>
      <c r="DA1140" s="12"/>
      <c r="DB1140" s="11">
        <v>951350.0</v>
      </c>
      <c r="DC1140" s="11">
        <v>972190.0</v>
      </c>
      <c r="DD1140" s="11">
        <v>324790.0</v>
      </c>
      <c r="DE1140" s="11">
        <v>308430.0</v>
      </c>
      <c r="DF1140" s="11">
        <v>2700000.0</v>
      </c>
      <c r="DG1140" s="11">
        <v>3110000.0</v>
      </c>
      <c r="DH1140" s="11">
        <v>2500000.0</v>
      </c>
      <c r="DI1140" s="11">
        <v>1700000.0</v>
      </c>
      <c r="DJ1140" s="11">
        <v>1630000.0</v>
      </c>
      <c r="DK1140" s="11">
        <v>273610.0</v>
      </c>
      <c r="DL1140" s="11">
        <v>369690.0</v>
      </c>
      <c r="DM1140" s="11">
        <v>276470.0</v>
      </c>
      <c r="DN1140" s="11">
        <v>55630.0</v>
      </c>
      <c r="DO1140" s="11">
        <v>187150.0</v>
      </c>
      <c r="DP1140" s="11">
        <v>1460000.0</v>
      </c>
      <c r="DQ1140" s="11">
        <v>1670000.0</v>
      </c>
      <c r="DR1140" s="11">
        <v>1760000.0</v>
      </c>
      <c r="DS1140" s="11">
        <v>1070000.0</v>
      </c>
      <c r="DT1140" s="11">
        <v>1060000.0</v>
      </c>
      <c r="DU1140" s="13"/>
      <c r="DV1140" s="12"/>
      <c r="DW1140" s="12"/>
      <c r="DX1140" s="13"/>
      <c r="DY1140" s="13"/>
      <c r="DZ1140" s="11">
        <v>2540000.0</v>
      </c>
      <c r="EA1140" s="11">
        <v>2630000.0</v>
      </c>
      <c r="EB1140" s="11">
        <v>2540000.0</v>
      </c>
      <c r="EC1140" s="11">
        <v>2610000.0</v>
      </c>
      <c r="ED1140" s="11">
        <v>2560000.0</v>
      </c>
      <c r="EE1140" s="14">
        <v>0.169</v>
      </c>
      <c r="EF1140" s="14">
        <v>0.394</v>
      </c>
      <c r="EG1140" s="14">
        <v>0.146</v>
      </c>
      <c r="EH1140" s="14">
        <v>0.131</v>
      </c>
    </row>
    <row r="1141">
      <c r="A1141" s="9">
        <f t="shared" si="2"/>
        <v>1139</v>
      </c>
      <c r="B1141" s="10" t="s">
        <v>1276</v>
      </c>
      <c r="C1141" s="11"/>
      <c r="D1141" s="11"/>
      <c r="E1141" s="11">
        <v>1.346E7</v>
      </c>
      <c r="F1141" s="11">
        <v>1.407E7</v>
      </c>
      <c r="G1141" s="11">
        <v>1.04E7</v>
      </c>
      <c r="H1141" s="11">
        <v>1.065E7</v>
      </c>
      <c r="I1141" s="11">
        <v>9990000.0</v>
      </c>
      <c r="J1141" s="11">
        <v>3110000.0</v>
      </c>
      <c r="K1141" s="11">
        <v>3250000.0</v>
      </c>
      <c r="L1141" s="11">
        <v>2230000.0</v>
      </c>
      <c r="M1141" s="11">
        <v>2160000.0</v>
      </c>
      <c r="N1141" s="11">
        <v>2190000.0</v>
      </c>
      <c r="O1141" s="11">
        <v>1760000.0</v>
      </c>
      <c r="P1141" s="11">
        <v>1900000.0</v>
      </c>
      <c r="Q1141" s="11">
        <v>1190000.0</v>
      </c>
      <c r="R1141" s="11">
        <v>1190000.0</v>
      </c>
      <c r="S1141" s="11">
        <v>1080000.0</v>
      </c>
      <c r="T1141" s="12"/>
      <c r="U1141" s="12"/>
      <c r="V1141" s="12"/>
      <c r="W1141" s="12"/>
      <c r="X1141" s="12"/>
      <c r="Y1141" s="11">
        <v>-67000.0</v>
      </c>
      <c r="Z1141" s="11">
        <v>1400000.0</v>
      </c>
      <c r="AA1141" s="11">
        <v>145000.0</v>
      </c>
      <c r="AB1141" s="11">
        <v>1040000.0</v>
      </c>
      <c r="AC1141" s="11">
        <v>1210000.0</v>
      </c>
      <c r="AD1141" s="11">
        <v>-622000.0</v>
      </c>
      <c r="AE1141" s="11">
        <v>883000.0</v>
      </c>
      <c r="AF1141" s="11">
        <v>1050000.0</v>
      </c>
      <c r="AG1141" s="11">
        <v>1850000.0</v>
      </c>
      <c r="AH1141" s="11">
        <v>1250000.0</v>
      </c>
      <c r="AI1141" s="11">
        <v>1960000.0</v>
      </c>
      <c r="AJ1141" s="11">
        <v>1990000.0</v>
      </c>
      <c r="AK1141" s="11">
        <v>1770000.0</v>
      </c>
      <c r="AL1141" s="11">
        <v>1840000.0</v>
      </c>
      <c r="AM1141" s="11">
        <v>1820000.0</v>
      </c>
      <c r="AN1141" s="11">
        <v>-456000.0</v>
      </c>
      <c r="AO1141" s="11">
        <v>775000.0</v>
      </c>
      <c r="AP1141" s="11">
        <v>1990000.0</v>
      </c>
      <c r="AQ1141" s="11">
        <v>1220000.0</v>
      </c>
      <c r="AR1141" s="11">
        <v>869000.0</v>
      </c>
      <c r="AS1141" s="11">
        <v>1280000.0</v>
      </c>
      <c r="AT1141" s="11">
        <v>1270000.0</v>
      </c>
      <c r="AU1141" s="11">
        <v>1490000.0</v>
      </c>
      <c r="AV1141" s="11">
        <v>1440000.0</v>
      </c>
      <c r="AW1141" s="11">
        <v>1050000.0</v>
      </c>
      <c r="AX1141" s="11">
        <v>-325000.0</v>
      </c>
      <c r="AY1141" s="11">
        <v>-275000.0</v>
      </c>
      <c r="AZ1141" s="11">
        <v>-204000.0</v>
      </c>
      <c r="BA1141" s="11">
        <v>-233000.0</v>
      </c>
      <c r="BB1141" s="11">
        <v>-258000.0</v>
      </c>
      <c r="BC1141" s="12"/>
      <c r="BD1141" s="12"/>
      <c r="BE1141" s="12"/>
      <c r="BF1141" s="12"/>
      <c r="BG1141" s="12"/>
      <c r="BH1141" s="11">
        <v>681000.0</v>
      </c>
      <c r="BI1141" s="11">
        <v>660000.0</v>
      </c>
      <c r="BJ1141" s="11">
        <v>912000.0</v>
      </c>
      <c r="BK1141" s="11">
        <v>825000.0</v>
      </c>
      <c r="BL1141" s="11">
        <v>3360000.0</v>
      </c>
      <c r="BM1141" s="11">
        <v>1850000.0</v>
      </c>
      <c r="BN1141" s="11">
        <v>1840000.0</v>
      </c>
      <c r="BO1141" s="11">
        <v>1730000.0</v>
      </c>
      <c r="BP1141" s="11">
        <v>1310000.0</v>
      </c>
      <c r="BQ1141" s="11">
        <v>1440000.0</v>
      </c>
      <c r="BR1141" s="11">
        <v>1410000.0</v>
      </c>
      <c r="BS1141" s="11">
        <v>1470000.0</v>
      </c>
      <c r="BT1141" s="11">
        <v>1410000.0</v>
      </c>
      <c r="BU1141" s="11">
        <v>968000.0</v>
      </c>
      <c r="BV1141" s="11">
        <v>1000000.0</v>
      </c>
      <c r="BW1141" s="11">
        <v>4580000.0</v>
      </c>
      <c r="BX1141" s="11">
        <v>4190000.0</v>
      </c>
      <c r="BY1141" s="11">
        <v>4170000.0</v>
      </c>
      <c r="BZ1141" s="11">
        <v>3170000.0</v>
      </c>
      <c r="CA1141" s="11">
        <v>5880000.0</v>
      </c>
      <c r="CB1141" s="11">
        <v>1750000.0</v>
      </c>
      <c r="CC1141" s="11">
        <v>1320000.0</v>
      </c>
      <c r="CD1141" s="11">
        <v>1340000.0</v>
      </c>
      <c r="CE1141" s="11">
        <v>1130000.0</v>
      </c>
      <c r="CF1141" s="11">
        <v>1140000.0</v>
      </c>
      <c r="CG1141" s="11">
        <v>6580000.0</v>
      </c>
      <c r="CH1141" s="11">
        <v>7020000.0</v>
      </c>
      <c r="CI1141" s="11">
        <v>7080000.0</v>
      </c>
      <c r="CJ1141" s="11">
        <v>6050000.0</v>
      </c>
      <c r="CK1141" s="11">
        <v>6110000.0</v>
      </c>
      <c r="CL1141" s="11">
        <v>1.731E7</v>
      </c>
      <c r="CM1141" s="11">
        <v>1.819E7</v>
      </c>
      <c r="CN1141" s="11">
        <v>2.448E7</v>
      </c>
      <c r="CO1141" s="11">
        <v>2.087E7</v>
      </c>
      <c r="CP1141" s="11">
        <v>2.118E7</v>
      </c>
      <c r="CQ1141" s="11">
        <v>1090000.0</v>
      </c>
      <c r="CR1141" s="11">
        <v>1200000.0</v>
      </c>
      <c r="CS1141" s="11">
        <v>1150000.0</v>
      </c>
      <c r="CT1141" s="11">
        <v>790000.0</v>
      </c>
      <c r="CU1141" s="11">
        <v>762000.0</v>
      </c>
      <c r="CV1141" s="11">
        <v>4000000.0</v>
      </c>
      <c r="CW1141" s="11">
        <v>64000.0</v>
      </c>
      <c r="CX1141" s="12"/>
      <c r="CY1141" s="13"/>
      <c r="CZ1141" s="13"/>
      <c r="DA1141" s="12"/>
      <c r="DB1141" s="11">
        <v>4000000.0</v>
      </c>
      <c r="DC1141" s="11">
        <v>3950000.0</v>
      </c>
      <c r="DD1141" s="11">
        <v>3440000.0</v>
      </c>
      <c r="DE1141" s="11">
        <v>2530000.0</v>
      </c>
      <c r="DF1141" s="11">
        <v>1.233E7</v>
      </c>
      <c r="DG1141" s="11">
        <v>1.245E7</v>
      </c>
      <c r="DH1141" s="11">
        <v>1.439E7</v>
      </c>
      <c r="DI1141" s="11">
        <v>1.401E7</v>
      </c>
      <c r="DJ1141" s="11">
        <v>1.431E7</v>
      </c>
      <c r="DK1141" s="11">
        <v>76000.0</v>
      </c>
      <c r="DL1141" s="11">
        <v>96000.0</v>
      </c>
      <c r="DM1141" s="11">
        <v>2360000.0</v>
      </c>
      <c r="DN1141" s="11">
        <v>5660000.0</v>
      </c>
      <c r="DO1141" s="11">
        <v>2990000.0</v>
      </c>
      <c r="DP1141" s="11">
        <v>6370000.0</v>
      </c>
      <c r="DQ1141" s="11">
        <v>5960000.0</v>
      </c>
      <c r="DR1141" s="11">
        <v>7550000.0</v>
      </c>
      <c r="DS1141" s="11">
        <v>7170000.0</v>
      </c>
      <c r="DT1141" s="11">
        <v>7480000.0</v>
      </c>
      <c r="DU1141" s="13"/>
      <c r="DV1141" s="12"/>
      <c r="DW1141" s="12"/>
      <c r="DX1141" s="12"/>
      <c r="DY1141" s="12"/>
      <c r="DZ1141" s="11">
        <v>4840000.0</v>
      </c>
      <c r="EA1141" s="11">
        <v>5620000.0</v>
      </c>
      <c r="EB1141" s="11">
        <v>9980000.0</v>
      </c>
      <c r="EC1141" s="11">
        <v>6770000.0</v>
      </c>
      <c r="ED1141" s="11">
        <v>6790000.0</v>
      </c>
      <c r="EE1141" s="14"/>
      <c r="EF1141" s="14"/>
      <c r="EG1141" s="23"/>
      <c r="EH1141" s="14"/>
    </row>
    <row r="1142">
      <c r="A1142" s="9">
        <f t="shared" si="2"/>
        <v>1140</v>
      </c>
      <c r="B1142" s="10" t="s">
        <v>1277</v>
      </c>
      <c r="C1142" s="15">
        <v>3580000.0</v>
      </c>
      <c r="D1142" s="15">
        <v>3180000.0</v>
      </c>
      <c r="E1142" s="15">
        <v>3240000.0</v>
      </c>
      <c r="F1142" s="15">
        <v>3090000.0</v>
      </c>
      <c r="G1142" s="15">
        <v>2970000.0</v>
      </c>
      <c r="H1142" s="15">
        <v>3030000.0</v>
      </c>
      <c r="I1142" s="15">
        <v>2610000.0</v>
      </c>
      <c r="J1142" s="15">
        <v>1360000.0</v>
      </c>
      <c r="K1142" s="15">
        <v>1220000.0</v>
      </c>
      <c r="L1142" s="15">
        <v>1150000.0</v>
      </c>
      <c r="M1142" s="15">
        <v>852510.0</v>
      </c>
      <c r="N1142" s="15">
        <v>766550.0</v>
      </c>
      <c r="O1142" s="15">
        <v>827980.0</v>
      </c>
      <c r="P1142" s="15">
        <v>926560.0</v>
      </c>
      <c r="Q1142" s="15">
        <v>972850.0</v>
      </c>
      <c r="R1142" s="15">
        <v>733420.0</v>
      </c>
      <c r="S1142" s="15">
        <v>699860.0</v>
      </c>
      <c r="T1142" s="15">
        <v>484410.0</v>
      </c>
      <c r="U1142" s="15">
        <v>450480.0</v>
      </c>
      <c r="V1142" s="15">
        <v>445100.0</v>
      </c>
      <c r="W1142" s="15">
        <v>470840.0</v>
      </c>
      <c r="X1142" s="15">
        <v>448760.0</v>
      </c>
      <c r="Y1142" s="15">
        <v>448630.0</v>
      </c>
      <c r="Z1142" s="15">
        <v>144300.0</v>
      </c>
      <c r="AA1142" s="15">
        <v>94550.0</v>
      </c>
      <c r="AB1142" s="15">
        <v>97750.0</v>
      </c>
      <c r="AC1142" s="15">
        <v>26070.0</v>
      </c>
      <c r="AD1142" s="15">
        <v>395090.0</v>
      </c>
      <c r="AE1142" s="15">
        <v>91790.0</v>
      </c>
      <c r="AF1142" s="15">
        <v>17150.0</v>
      </c>
      <c r="AG1142" s="15">
        <v>27310.0</v>
      </c>
      <c r="AH1142" s="15">
        <v>-2860.0</v>
      </c>
      <c r="AI1142" s="15">
        <v>995830.0</v>
      </c>
      <c r="AJ1142" s="15">
        <v>956830.0</v>
      </c>
      <c r="AK1142" s="15">
        <v>882670.0</v>
      </c>
      <c r="AL1142" s="15">
        <v>821330.0</v>
      </c>
      <c r="AM1142" s="15">
        <v>737720.0</v>
      </c>
      <c r="AN1142" s="15">
        <v>334330.0</v>
      </c>
      <c r="AO1142" s="15">
        <v>133130.0</v>
      </c>
      <c r="AP1142" s="15">
        <v>-40290.0</v>
      </c>
      <c r="AQ1142" s="15">
        <v>-16560.0</v>
      </c>
      <c r="AR1142" s="15">
        <v>-28850.0</v>
      </c>
      <c r="AS1142" s="15">
        <v>945650.0</v>
      </c>
      <c r="AT1142" s="15">
        <v>810360.0</v>
      </c>
      <c r="AU1142" s="15">
        <v>852520.0</v>
      </c>
      <c r="AV1142" s="15">
        <v>776820.0</v>
      </c>
      <c r="AW1142" s="15">
        <v>687930.0</v>
      </c>
      <c r="AX1142" s="15">
        <v>-164100.0</v>
      </c>
      <c r="AY1142" s="15">
        <v>-220940.0</v>
      </c>
      <c r="AZ1142" s="15">
        <v>-269840.0</v>
      </c>
      <c r="BA1142" s="15">
        <v>-552700.0</v>
      </c>
      <c r="BB1142" s="15">
        <v>-315620.0</v>
      </c>
      <c r="BC1142" s="15">
        <v>0.0</v>
      </c>
      <c r="BD1142" s="15">
        <v>0.0</v>
      </c>
      <c r="BE1142" s="15">
        <v>0.0</v>
      </c>
      <c r="BF1142" s="15">
        <v>0.0</v>
      </c>
      <c r="BG1142" s="15">
        <v>0.0</v>
      </c>
      <c r="BH1142" s="15">
        <v>714940.0</v>
      </c>
      <c r="BI1142" s="15">
        <v>711040.0</v>
      </c>
      <c r="BJ1142" s="15">
        <v>926040.0</v>
      </c>
      <c r="BK1142" s="15">
        <v>545460.0</v>
      </c>
      <c r="BL1142" s="15">
        <v>612690.0</v>
      </c>
      <c r="BM1142" s="15">
        <v>387590.0</v>
      </c>
      <c r="BN1142" s="15">
        <v>406310.0</v>
      </c>
      <c r="BO1142" s="15">
        <v>390750.0</v>
      </c>
      <c r="BP1142" s="15">
        <v>423200.0</v>
      </c>
      <c r="BQ1142" s="15">
        <v>363740.0</v>
      </c>
      <c r="BR1142" s="15">
        <v>517200.0</v>
      </c>
      <c r="BS1142" s="15">
        <v>511790.0</v>
      </c>
      <c r="BT1142" s="15">
        <v>472290.0</v>
      </c>
      <c r="BU1142" s="15">
        <v>430450.0</v>
      </c>
      <c r="BV1142" s="15">
        <v>427550.0</v>
      </c>
      <c r="BW1142" s="15">
        <v>1690000.0</v>
      </c>
      <c r="BX1142" s="15">
        <v>1680000.0</v>
      </c>
      <c r="BY1142" s="15">
        <v>1840000.0</v>
      </c>
      <c r="BZ1142" s="15">
        <v>1460000.0</v>
      </c>
      <c r="CA1142" s="15">
        <v>1510000.0</v>
      </c>
      <c r="CB1142" s="15">
        <v>1320000.0</v>
      </c>
      <c r="CC1142" s="15">
        <v>1370000.0</v>
      </c>
      <c r="CD1142" s="15">
        <v>1370000.0</v>
      </c>
      <c r="CE1142" s="15">
        <v>1390000.0</v>
      </c>
      <c r="CF1142" s="15">
        <v>1050000.0</v>
      </c>
      <c r="CG1142" s="15">
        <v>2610000.0</v>
      </c>
      <c r="CH1142" s="15">
        <v>2170000.0</v>
      </c>
      <c r="CI1142" s="15">
        <v>2170000.0</v>
      </c>
      <c r="CJ1142" s="15">
        <v>2170000.0</v>
      </c>
      <c r="CK1142" s="15">
        <v>2140000.0</v>
      </c>
      <c r="CL1142" s="15">
        <v>6560000.0</v>
      </c>
      <c r="CM1142" s="15">
        <v>5810000.0</v>
      </c>
      <c r="CN1142" s="15">
        <v>6380000.0</v>
      </c>
      <c r="CO1142" s="15">
        <v>6520000.0</v>
      </c>
      <c r="CP1142" s="15">
        <v>6600000.0</v>
      </c>
      <c r="CQ1142" s="15">
        <v>246950.0</v>
      </c>
      <c r="CR1142" s="15">
        <v>233310.0</v>
      </c>
      <c r="CS1142" s="15">
        <v>213190.0</v>
      </c>
      <c r="CT1142" s="15">
        <v>216250.0</v>
      </c>
      <c r="CU1142" s="15">
        <v>205360.0</v>
      </c>
      <c r="CV1142" s="15">
        <v>539000.0</v>
      </c>
      <c r="CW1142" s="15">
        <v>15920.0</v>
      </c>
      <c r="CX1142" s="15">
        <v>0.0</v>
      </c>
      <c r="CY1142" s="16">
        <v>0.0</v>
      </c>
      <c r="CZ1142" s="16">
        <v>0.0</v>
      </c>
      <c r="DA1142" s="15">
        <v>0.0</v>
      </c>
      <c r="DB1142" s="15">
        <v>539000.0</v>
      </c>
      <c r="DC1142" s="15">
        <v>435610.0</v>
      </c>
      <c r="DD1142" s="15">
        <v>441280.0</v>
      </c>
      <c r="DE1142" s="15">
        <v>418830.0</v>
      </c>
      <c r="DF1142" s="15">
        <v>2270000.0</v>
      </c>
      <c r="DG1142" s="15">
        <v>1450000.0</v>
      </c>
      <c r="DH1142" s="15">
        <v>1610000.0</v>
      </c>
      <c r="DI1142" s="15">
        <v>1630000.0</v>
      </c>
      <c r="DJ1142" s="15">
        <v>1600000.0</v>
      </c>
      <c r="DK1142" s="15">
        <v>22520.0</v>
      </c>
      <c r="DL1142" s="15">
        <v>97790.0</v>
      </c>
      <c r="DM1142" s="15">
        <v>63770.0</v>
      </c>
      <c r="DN1142" s="15">
        <v>35490.0</v>
      </c>
      <c r="DO1142" s="15">
        <v>26050.0</v>
      </c>
      <c r="DP1142" s="15">
        <v>1630000.0</v>
      </c>
      <c r="DQ1142" s="15">
        <v>919270.0</v>
      </c>
      <c r="DR1142" s="15">
        <v>983290.0</v>
      </c>
      <c r="DS1142" s="15">
        <v>989150.0</v>
      </c>
      <c r="DT1142" s="15">
        <v>988130.0</v>
      </c>
      <c r="DU1142" s="16">
        <v>0.0</v>
      </c>
      <c r="DV1142" s="15">
        <v>0.0</v>
      </c>
      <c r="DW1142" s="15">
        <v>0.0</v>
      </c>
      <c r="DX1142" s="15">
        <v>0.0</v>
      </c>
      <c r="DY1142" s="15">
        <v>0.0</v>
      </c>
      <c r="DZ1142" s="15">
        <v>4290000.0</v>
      </c>
      <c r="EA1142" s="15">
        <v>4360000.0</v>
      </c>
      <c r="EB1142" s="15">
        <v>4780000.0</v>
      </c>
      <c r="EC1142" s="15">
        <v>4900000.0</v>
      </c>
      <c r="ED1142" s="15">
        <v>5000000.0</v>
      </c>
      <c r="EE1142" s="17">
        <v>0.097</v>
      </c>
      <c r="EF1142" s="17">
        <v>0.142</v>
      </c>
      <c r="EG1142" s="17">
        <v>0.18</v>
      </c>
      <c r="EH1142" s="17">
        <v>0.16</v>
      </c>
    </row>
    <row r="1143">
      <c r="A1143" s="9">
        <f t="shared" si="2"/>
        <v>1141</v>
      </c>
      <c r="B1143" s="10" t="s">
        <v>1278</v>
      </c>
      <c r="C1143" s="15">
        <v>5270000.0</v>
      </c>
      <c r="D1143" s="15">
        <v>5020000.0</v>
      </c>
      <c r="E1143" s="15">
        <v>7430000.0</v>
      </c>
      <c r="F1143" s="15">
        <v>6940000.0</v>
      </c>
      <c r="G1143" s="15">
        <v>5940000.0</v>
      </c>
      <c r="H1143" s="15">
        <v>5490000.0</v>
      </c>
      <c r="I1143" s="15">
        <v>5180000.0</v>
      </c>
      <c r="J1143" s="15">
        <v>4280000.0</v>
      </c>
      <c r="K1143" s="15">
        <v>4020000.0</v>
      </c>
      <c r="L1143" s="15">
        <v>2890000.0</v>
      </c>
      <c r="M1143" s="15">
        <v>2570000.0</v>
      </c>
      <c r="N1143" s="15">
        <v>2190000.0</v>
      </c>
      <c r="O1143" s="15">
        <v>1600000.0</v>
      </c>
      <c r="P1143" s="15">
        <v>1480000.0</v>
      </c>
      <c r="Q1143" s="15">
        <v>384860.0</v>
      </c>
      <c r="R1143" s="15">
        <v>371640.0</v>
      </c>
      <c r="S1143" s="15">
        <v>394180.0</v>
      </c>
      <c r="T1143" s="15"/>
      <c r="U1143" s="15"/>
      <c r="V1143" s="15"/>
      <c r="W1143" s="15"/>
      <c r="X1143" s="15"/>
      <c r="Y1143" s="15">
        <v>2680000.0</v>
      </c>
      <c r="Z1143" s="15">
        <v>2520000.0</v>
      </c>
      <c r="AA1143" s="15">
        <v>2220000.0</v>
      </c>
      <c r="AB1143" s="15">
        <v>2160000.0</v>
      </c>
      <c r="AC1143" s="15">
        <v>1560000.0</v>
      </c>
      <c r="AD1143" s="15">
        <v>1910000.0</v>
      </c>
      <c r="AE1143" s="15">
        <v>1760000.0</v>
      </c>
      <c r="AF1143" s="15">
        <v>1430000.0</v>
      </c>
      <c r="AG1143" s="15">
        <v>1590000.0</v>
      </c>
      <c r="AH1143" s="15">
        <v>862170.0</v>
      </c>
      <c r="AI1143" s="15">
        <v>2920000.0</v>
      </c>
      <c r="AJ1143" s="15">
        <v>2770000.0</v>
      </c>
      <c r="AK1143" s="15">
        <v>2800000.0</v>
      </c>
      <c r="AL1143" s="15">
        <v>2430000.0</v>
      </c>
      <c r="AM1143" s="15">
        <v>2030000.0</v>
      </c>
      <c r="AN1143" s="15">
        <v>853200.0</v>
      </c>
      <c r="AO1143" s="15">
        <v>793240.0</v>
      </c>
      <c r="AP1143" s="15">
        <v>842150.0</v>
      </c>
      <c r="AQ1143" s="15">
        <v>815620.0</v>
      </c>
      <c r="AR1143" s="15">
        <v>479890.0</v>
      </c>
      <c r="AS1143" s="15">
        <v>1960000.0</v>
      </c>
      <c r="AT1143" s="15">
        <v>1510000.0</v>
      </c>
      <c r="AU1143" s="15">
        <v>1790000.0</v>
      </c>
      <c r="AV1143" s="15">
        <v>1680000.0</v>
      </c>
      <c r="AW1143" s="15">
        <v>1460000.0</v>
      </c>
      <c r="AX1143" s="15">
        <v>-82270.0</v>
      </c>
      <c r="AY1143" s="15">
        <v>-111470.0</v>
      </c>
      <c r="AZ1143" s="15">
        <v>-47640.0</v>
      </c>
      <c r="BA1143" s="15">
        <v>-44650.0</v>
      </c>
      <c r="BB1143" s="15">
        <v>-147510.0</v>
      </c>
      <c r="BC1143" s="15">
        <v>-1200000.0</v>
      </c>
      <c r="BD1143" s="13">
        <v>-943600.0</v>
      </c>
      <c r="BE1143" s="13">
        <v>-861230.0</v>
      </c>
      <c r="BF1143" s="13">
        <v>-712940.0</v>
      </c>
      <c r="BG1143" s="13">
        <v>-463650.0</v>
      </c>
      <c r="BH1143" s="15">
        <v>1990000.0</v>
      </c>
      <c r="BI1143" s="15">
        <v>1250000.0</v>
      </c>
      <c r="BJ1143" s="15">
        <v>1340000.0</v>
      </c>
      <c r="BK1143" s="15">
        <v>1960000.0</v>
      </c>
      <c r="BL1143" s="15">
        <v>1050000.0</v>
      </c>
      <c r="BM1143" s="15">
        <v>683390.0</v>
      </c>
      <c r="BN1143" s="15">
        <v>617340.0</v>
      </c>
      <c r="BO1143" s="15">
        <v>571220.0</v>
      </c>
      <c r="BP1143" s="15">
        <v>541110.0</v>
      </c>
      <c r="BQ1143" s="15">
        <v>586200.0</v>
      </c>
      <c r="BR1143" s="15">
        <v>108930.0</v>
      </c>
      <c r="BS1143" s="15">
        <v>102440.0</v>
      </c>
      <c r="BT1143" s="15">
        <v>97730.0</v>
      </c>
      <c r="BU1143" s="15">
        <v>96290.0</v>
      </c>
      <c r="BV1143" s="15">
        <v>112930.0</v>
      </c>
      <c r="BW1143" s="15">
        <v>2850000.0</v>
      </c>
      <c r="BX1143" s="15">
        <v>2050000.0</v>
      </c>
      <c r="BY1143" s="15">
        <v>2190000.0</v>
      </c>
      <c r="BZ1143" s="15">
        <v>2810000.0</v>
      </c>
      <c r="CA1143" s="15">
        <v>1900000.0</v>
      </c>
      <c r="CB1143" s="15">
        <v>4130000.0</v>
      </c>
      <c r="CC1143" s="15">
        <v>2730000.0</v>
      </c>
      <c r="CD1143" s="15">
        <v>2670000.0</v>
      </c>
      <c r="CE1143" s="15">
        <v>2760000.0</v>
      </c>
      <c r="CF1143" s="15">
        <v>2990000.0</v>
      </c>
      <c r="CG1143" s="15">
        <v>7330000.0</v>
      </c>
      <c r="CH1143" s="15">
        <v>7490000.0</v>
      </c>
      <c r="CI1143" s="15">
        <v>7240000.0</v>
      </c>
      <c r="CJ1143" s="15">
        <v>6270000.0</v>
      </c>
      <c r="CK1143" s="15">
        <v>6350000.0</v>
      </c>
      <c r="CL1143" s="15">
        <v>2.9E7</v>
      </c>
      <c r="CM1143" s="15">
        <v>2.751E7</v>
      </c>
      <c r="CN1143" s="15">
        <v>2.659E7</v>
      </c>
      <c r="CO1143" s="15">
        <v>2.565E7</v>
      </c>
      <c r="CP1143" s="15">
        <v>2.557E7</v>
      </c>
      <c r="CQ1143" s="15">
        <v>835110.0</v>
      </c>
      <c r="CR1143" s="15">
        <v>700660.0</v>
      </c>
      <c r="CS1143" s="15">
        <v>517340.0</v>
      </c>
      <c r="CT1143" s="15">
        <v>495920.0</v>
      </c>
      <c r="CU1143" s="15">
        <v>502160.0</v>
      </c>
      <c r="CV1143" s="15">
        <v>2210000.0</v>
      </c>
      <c r="CW1143" s="15">
        <v>163390.0</v>
      </c>
      <c r="CX1143" s="13"/>
      <c r="CY1143" s="13"/>
      <c r="CZ1143" s="13"/>
      <c r="DA1143" s="12"/>
      <c r="DB1143" s="15">
        <v>2210000.0</v>
      </c>
      <c r="DC1143" s="15">
        <v>1920000.0</v>
      </c>
      <c r="DD1143" s="15">
        <v>2070000.0</v>
      </c>
      <c r="DE1143" s="15">
        <v>1620000.0</v>
      </c>
      <c r="DF1143" s="15">
        <v>2.347E7</v>
      </c>
      <c r="DG1143" s="15">
        <v>2.257E7</v>
      </c>
      <c r="DH1143" s="15">
        <v>2.088E7</v>
      </c>
      <c r="DI1143" s="15">
        <v>1.655E7</v>
      </c>
      <c r="DJ1143" s="15">
        <v>1.695E7</v>
      </c>
      <c r="DK1143" s="15">
        <v>444790.0</v>
      </c>
      <c r="DL1143" s="15">
        <v>353740.0</v>
      </c>
      <c r="DM1143" s="15">
        <v>194330.0</v>
      </c>
      <c r="DN1143" s="15">
        <v>1170000.0</v>
      </c>
      <c r="DO1143" s="15">
        <v>1510000.0</v>
      </c>
      <c r="DP1143" s="15">
        <v>1.703E7</v>
      </c>
      <c r="DQ1143" s="15">
        <v>1.646E7</v>
      </c>
      <c r="DR1143" s="15">
        <v>1.509E7</v>
      </c>
      <c r="DS1143" s="12">
        <v>1.157E7</v>
      </c>
      <c r="DT1143" s="12">
        <v>1.204E7</v>
      </c>
      <c r="DU1143" s="13"/>
      <c r="DV1143" s="12"/>
      <c r="DW1143" s="12"/>
      <c r="DX1143" s="13">
        <v>4420000.0</v>
      </c>
      <c r="DY1143" s="13">
        <v>4580000.0</v>
      </c>
      <c r="DZ1143" s="15">
        <v>3230000.0</v>
      </c>
      <c r="EA1143" s="15">
        <v>2200000.0</v>
      </c>
      <c r="EB1143" s="15">
        <v>2790000.0</v>
      </c>
      <c r="EC1143" s="15">
        <v>6700000.0</v>
      </c>
      <c r="ED1143" s="15">
        <v>6440000.0</v>
      </c>
      <c r="EE1143" s="23">
        <v>0.262948207</v>
      </c>
      <c r="EF1143" s="23">
        <v>0.290322581</v>
      </c>
      <c r="EG1143" s="17">
        <v>0.158</v>
      </c>
      <c r="EH1143" s="23">
        <v>0.126</v>
      </c>
    </row>
    <row r="1144">
      <c r="A1144" s="9">
        <f t="shared" si="2"/>
        <v>1142</v>
      </c>
      <c r="B1144" s="22" t="s">
        <v>1279</v>
      </c>
      <c r="C1144" s="11">
        <v>58290.0</v>
      </c>
      <c r="D1144" s="11">
        <v>34860.0</v>
      </c>
      <c r="E1144" s="11">
        <v>32660.0</v>
      </c>
      <c r="F1144" s="11">
        <v>29130.0</v>
      </c>
      <c r="G1144" s="11">
        <v>24730.0</v>
      </c>
      <c r="H1144" s="11">
        <v>22230.0</v>
      </c>
      <c r="I1144" s="11">
        <v>18520.0</v>
      </c>
      <c r="J1144" s="11">
        <v>14860.0</v>
      </c>
      <c r="K1144" s="11">
        <v>11900.0</v>
      </c>
      <c r="L1144" s="11">
        <v>14260.0</v>
      </c>
      <c r="M1144" s="11">
        <v>11380.0</v>
      </c>
      <c r="N1144" s="11">
        <v>8860.0</v>
      </c>
      <c r="O1144" s="11">
        <v>97550.0</v>
      </c>
      <c r="P1144" s="11">
        <v>91210.0</v>
      </c>
      <c r="Q1144" s="11">
        <v>84250.0</v>
      </c>
      <c r="R1144" s="11">
        <v>85440.0</v>
      </c>
      <c r="S1144" s="11">
        <v>57950.0</v>
      </c>
      <c r="T1144" s="11">
        <v>54440.0</v>
      </c>
      <c r="U1144" s="11">
        <v>51030.0</v>
      </c>
      <c r="V1144" s="11">
        <v>51200.0</v>
      </c>
      <c r="W1144" s="11">
        <v>57060.0</v>
      </c>
      <c r="X1144" s="11">
        <v>28780.0</v>
      </c>
      <c r="Y1144" s="11">
        <v>-80690.0</v>
      </c>
      <c r="Z1144" s="12"/>
      <c r="AA1144" s="12"/>
      <c r="AB1144" s="12"/>
      <c r="AC1144" s="11">
        <v>-33230.0</v>
      </c>
      <c r="AD1144" s="11">
        <v>-102110.0</v>
      </c>
      <c r="AE1144" s="11">
        <v>-105690.0</v>
      </c>
      <c r="AF1144" s="11">
        <v>-82990.0</v>
      </c>
      <c r="AG1144" s="11">
        <v>-85070.0</v>
      </c>
      <c r="AH1144" s="11">
        <v>-33880.0</v>
      </c>
      <c r="AI1144" s="11">
        <v>-70420.0</v>
      </c>
      <c r="AJ1144" s="11">
        <v>-66540.0</v>
      </c>
      <c r="AK1144" s="11">
        <v>-59580.0</v>
      </c>
      <c r="AL1144" s="11">
        <v>-64610.0</v>
      </c>
      <c r="AM1144" s="11">
        <v>-46140.0</v>
      </c>
      <c r="AN1144" s="11">
        <v>-102770.0</v>
      </c>
      <c r="AO1144" s="11">
        <v>-105390.0</v>
      </c>
      <c r="AP1144" s="11">
        <v>-82340.0</v>
      </c>
      <c r="AQ1144" s="11">
        <v>-85070.0</v>
      </c>
      <c r="AR1144" s="11">
        <v>-33880.0</v>
      </c>
      <c r="AS1144" s="11">
        <v>-80650.0</v>
      </c>
      <c r="AT1144" s="11">
        <v>-75660.0</v>
      </c>
      <c r="AU1144" s="11">
        <v>-68420.0</v>
      </c>
      <c r="AV1144" s="11">
        <v>-56200.0</v>
      </c>
      <c r="AW1144" s="11">
        <v>-46970.0</v>
      </c>
      <c r="AX1144" s="11">
        <v>-4600.0</v>
      </c>
      <c r="AY1144" s="11">
        <v>-4790.0</v>
      </c>
      <c r="AZ1144" s="11">
        <v>-21750.0</v>
      </c>
      <c r="BA1144" s="11">
        <v>-20230.0</v>
      </c>
      <c r="BB1144" s="11">
        <v>-28980.0</v>
      </c>
      <c r="BC1144" s="12"/>
      <c r="BD1144" s="12"/>
      <c r="BE1144" s="12"/>
      <c r="BF1144" s="12"/>
      <c r="BG1144" s="12"/>
      <c r="BH1144" s="11">
        <v>120790.0</v>
      </c>
      <c r="BI1144" s="11">
        <v>94830.0</v>
      </c>
      <c r="BJ1144" s="11">
        <v>25830.0</v>
      </c>
      <c r="BK1144" s="11">
        <v>20810.0</v>
      </c>
      <c r="BL1144" s="11">
        <v>44100.0</v>
      </c>
      <c r="BM1144" s="11">
        <v>5400.0</v>
      </c>
      <c r="BN1144" s="11">
        <v>3350.0</v>
      </c>
      <c r="BO1144" s="11">
        <v>2860.0</v>
      </c>
      <c r="BP1144" s="11">
        <v>2560.0</v>
      </c>
      <c r="BQ1144" s="11">
        <v>2270.0</v>
      </c>
      <c r="BR1144" s="11">
        <v>20500.0</v>
      </c>
      <c r="BS1144" s="11">
        <v>15550.0</v>
      </c>
      <c r="BT1144" s="11">
        <v>16280.0</v>
      </c>
      <c r="BU1144" s="11">
        <v>13640.0</v>
      </c>
      <c r="BV1144" s="11">
        <v>12580.0</v>
      </c>
      <c r="BW1144" s="11">
        <v>150470.0</v>
      </c>
      <c r="BX1144" s="11">
        <v>116930.0</v>
      </c>
      <c r="BY1144" s="11">
        <v>52040.0</v>
      </c>
      <c r="BZ1144" s="11">
        <v>40630.0</v>
      </c>
      <c r="CA1144" s="11">
        <v>61730.0</v>
      </c>
      <c r="CB1144" s="11">
        <v>61660.0</v>
      </c>
      <c r="CC1144" s="11">
        <v>47290.0</v>
      </c>
      <c r="CD1144" s="11">
        <v>60160.0</v>
      </c>
      <c r="CE1144" s="11">
        <v>63530.0</v>
      </c>
      <c r="CF1144" s="11">
        <v>57120.0</v>
      </c>
      <c r="CG1144" s="12"/>
      <c r="CH1144" s="12"/>
      <c r="CI1144" s="12"/>
      <c r="CJ1144" s="12"/>
      <c r="CK1144" s="12"/>
      <c r="CL1144" s="11">
        <v>229960.0</v>
      </c>
      <c r="CM1144" s="11">
        <v>177770.0</v>
      </c>
      <c r="CN1144" s="11">
        <v>124130.0</v>
      </c>
      <c r="CO1144" s="11">
        <v>109970.0</v>
      </c>
      <c r="CP1144" s="11">
        <v>119750.0</v>
      </c>
      <c r="CQ1144" s="11">
        <v>4830.0</v>
      </c>
      <c r="CR1144" s="11">
        <v>5940.0</v>
      </c>
      <c r="CS1144" s="11">
        <v>5440.0</v>
      </c>
      <c r="CT1144" s="11">
        <v>10780.0</v>
      </c>
      <c r="CU1144" s="11">
        <v>7290.0</v>
      </c>
      <c r="CV1144" s="11">
        <v>31160.0</v>
      </c>
      <c r="CW1144" s="11">
        <v>3030.0</v>
      </c>
      <c r="CX1144" s="12"/>
      <c r="CY1144" s="12"/>
      <c r="CZ1144" s="12"/>
      <c r="DA1144" s="12"/>
      <c r="DB1144" s="11">
        <v>31160.0</v>
      </c>
      <c r="DC1144" s="11">
        <v>25450.0</v>
      </c>
      <c r="DD1144" s="11">
        <v>27050.0</v>
      </c>
      <c r="DE1144" s="11">
        <v>29730.0</v>
      </c>
      <c r="DF1144" s="11">
        <v>235490.0</v>
      </c>
      <c r="DG1144" s="11">
        <v>176060.0</v>
      </c>
      <c r="DH1144" s="11">
        <v>138760.0</v>
      </c>
      <c r="DI1144" s="11">
        <v>134060.0</v>
      </c>
      <c r="DJ1144" s="11">
        <v>73030.0</v>
      </c>
      <c r="DK1144" s="11">
        <v>9020.0</v>
      </c>
      <c r="DL1144" s="11">
        <v>7510.0</v>
      </c>
      <c r="DM1144" s="11">
        <v>10080.0</v>
      </c>
      <c r="DN1144" s="11">
        <v>5040.0</v>
      </c>
      <c r="DO1144" s="12"/>
      <c r="DP1144" s="11">
        <v>194480.0</v>
      </c>
      <c r="DQ1144" s="11">
        <v>142100.0</v>
      </c>
      <c r="DR1144" s="11">
        <v>104810.0</v>
      </c>
      <c r="DS1144" s="11">
        <v>98150.0</v>
      </c>
      <c r="DT1144" s="11">
        <v>45860.0</v>
      </c>
      <c r="DU1144" s="13"/>
      <c r="DV1144" s="12"/>
      <c r="DW1144" s="12"/>
      <c r="DX1144" s="13"/>
      <c r="DY1144" s="13"/>
      <c r="DZ1144" s="11">
        <v>-5530.0</v>
      </c>
      <c r="EA1144" s="11">
        <v>1710.0</v>
      </c>
      <c r="EB1144" s="11">
        <v>-14630.0</v>
      </c>
      <c r="EC1144" s="11">
        <v>-24090.0</v>
      </c>
      <c r="ED1144" s="11">
        <v>46720.0</v>
      </c>
      <c r="EE1144" s="14">
        <v>0.158</v>
      </c>
      <c r="EF1144" s="14">
        <v>0.059</v>
      </c>
      <c r="EG1144" s="14">
        <v>0.03</v>
      </c>
      <c r="EH1144" s="14">
        <v>0.036</v>
      </c>
    </row>
    <row r="1145">
      <c r="A1145" s="9">
        <f t="shared" si="2"/>
        <v>1143</v>
      </c>
      <c r="B1145" s="22" t="s">
        <v>1280</v>
      </c>
      <c r="C1145" s="11">
        <v>88020.0</v>
      </c>
      <c r="D1145" s="11">
        <v>61870.0</v>
      </c>
      <c r="E1145" s="11">
        <v>56730.0</v>
      </c>
      <c r="F1145" s="11">
        <v>37630.0</v>
      </c>
      <c r="G1145" s="11">
        <v>22870.0</v>
      </c>
      <c r="H1145" s="11">
        <v>17590.0</v>
      </c>
      <c r="I1145" s="11">
        <v>12180.0</v>
      </c>
      <c r="J1145" s="11">
        <v>26840.0</v>
      </c>
      <c r="K1145" s="11">
        <v>17350.0</v>
      </c>
      <c r="L1145" s="11">
        <v>9990.0</v>
      </c>
      <c r="M1145" s="11">
        <v>7750.0</v>
      </c>
      <c r="N1145" s="11">
        <v>5720.0</v>
      </c>
      <c r="O1145" s="11">
        <v>66540.0</v>
      </c>
      <c r="P1145" s="11">
        <v>48800.0</v>
      </c>
      <c r="Q1145" s="11">
        <v>35990.0</v>
      </c>
      <c r="R1145" s="11">
        <v>29460.0</v>
      </c>
      <c r="S1145" s="11">
        <v>20240.0</v>
      </c>
      <c r="T1145" s="11">
        <v>16190.0</v>
      </c>
      <c r="U1145" s="11">
        <v>15810.0</v>
      </c>
      <c r="V1145" s="11">
        <v>16300.0</v>
      </c>
      <c r="W1145" s="11">
        <v>16990.0</v>
      </c>
      <c r="X1145" s="11">
        <v>10080.0</v>
      </c>
      <c r="Y1145" s="11">
        <v>-41600.0</v>
      </c>
      <c r="Z1145" s="11">
        <v>-31550.0</v>
      </c>
      <c r="AA1145" s="11">
        <v>-26100.0</v>
      </c>
      <c r="AB1145" s="12"/>
      <c r="AC1145" s="12"/>
      <c r="AD1145" s="11">
        <v>-40980.0</v>
      </c>
      <c r="AE1145" s="11">
        <v>-31510.0</v>
      </c>
      <c r="AF1145" s="11">
        <v>-27020.0</v>
      </c>
      <c r="AG1145" s="11">
        <v>-23170.0</v>
      </c>
      <c r="AH1145" s="11">
        <v>-15940.0</v>
      </c>
      <c r="AI1145" s="11">
        <v>-36690.0</v>
      </c>
      <c r="AJ1145" s="11">
        <v>-30100.0</v>
      </c>
      <c r="AK1145" s="11">
        <v>-25520.0</v>
      </c>
      <c r="AL1145" s="11">
        <v>-21270.0</v>
      </c>
      <c r="AM1145" s="11">
        <v>-14100.0</v>
      </c>
      <c r="AN1145" s="11">
        <v>-40800.0</v>
      </c>
      <c r="AO1145" s="11">
        <v>-31540.0</v>
      </c>
      <c r="AP1145" s="11">
        <v>-27020.0</v>
      </c>
      <c r="AQ1145" s="11">
        <v>-23170.0</v>
      </c>
      <c r="AR1145" s="11">
        <v>-15940.0</v>
      </c>
      <c r="AS1145" s="11">
        <v>-26190.0</v>
      </c>
      <c r="AT1145" s="11">
        <v>-28720.0</v>
      </c>
      <c r="AU1145" s="11">
        <v>-22110.0</v>
      </c>
      <c r="AV1145" s="11">
        <v>-17740.0</v>
      </c>
      <c r="AW1145" s="11">
        <v>-12520.0</v>
      </c>
      <c r="AX1145" s="11">
        <v>-10850.0</v>
      </c>
      <c r="AY1145" s="11">
        <v>-1520.0</v>
      </c>
      <c r="AZ1145" s="11">
        <v>-1130.0</v>
      </c>
      <c r="BA1145" s="11">
        <v>-526.0</v>
      </c>
      <c r="BB1145" s="11">
        <v>-597.0</v>
      </c>
      <c r="BC1145" s="12"/>
      <c r="BD1145" s="12"/>
      <c r="BE1145" s="12"/>
      <c r="BF1145" s="12"/>
      <c r="BG1145" s="12"/>
      <c r="BH1145" s="11">
        <v>109160.0</v>
      </c>
      <c r="BI1145" s="11">
        <v>44430.0</v>
      </c>
      <c r="BJ1145" s="11">
        <v>79680.0</v>
      </c>
      <c r="BK1145" s="11">
        <v>29670.0</v>
      </c>
      <c r="BL1145" s="11">
        <v>2320.0</v>
      </c>
      <c r="BM1145" s="11">
        <v>10910.0</v>
      </c>
      <c r="BN1145" s="11">
        <v>6790.0</v>
      </c>
      <c r="BO1145" s="11">
        <v>5600.0</v>
      </c>
      <c r="BP1145" s="11">
        <v>3920.0</v>
      </c>
      <c r="BQ1145" s="11">
        <v>2260.0</v>
      </c>
      <c r="BR1145" s="11">
        <v>10460.0</v>
      </c>
      <c r="BS1145" s="11">
        <v>5950.0</v>
      </c>
      <c r="BT1145" s="11">
        <v>3570.0</v>
      </c>
      <c r="BU1145" s="11">
        <v>1530.0</v>
      </c>
      <c r="BV1145" s="11">
        <v>1000.0</v>
      </c>
      <c r="BW1145" s="11">
        <v>132660.0</v>
      </c>
      <c r="BX1145" s="11">
        <v>59500.0</v>
      </c>
      <c r="BY1145" s="11">
        <v>89250.0</v>
      </c>
      <c r="BZ1145" s="11">
        <v>35240.0</v>
      </c>
      <c r="CA1145" s="11">
        <v>5720.0</v>
      </c>
      <c r="CB1145" s="11">
        <v>12050.0</v>
      </c>
      <c r="CC1145" s="11">
        <v>2920.0</v>
      </c>
      <c r="CD1145" s="11">
        <v>1870.0</v>
      </c>
      <c r="CE1145" s="11">
        <v>1220.0</v>
      </c>
      <c r="CF1145" s="11">
        <v>1080.0</v>
      </c>
      <c r="CG1145" s="11">
        <v>9350.0</v>
      </c>
      <c r="CH1145" s="11">
        <v>1310.0</v>
      </c>
      <c r="CI1145" s="12"/>
      <c r="CJ1145" s="12"/>
      <c r="CK1145" s="12"/>
      <c r="CL1145" s="11">
        <v>172170.0</v>
      </c>
      <c r="CM1145" s="11">
        <v>67610.0</v>
      </c>
      <c r="CN1145" s="11">
        <v>91780.0</v>
      </c>
      <c r="CO1145" s="11">
        <v>37120.0</v>
      </c>
      <c r="CP1145" s="11">
        <v>7350.0</v>
      </c>
      <c r="CQ1145" s="11">
        <v>5780.0</v>
      </c>
      <c r="CR1145" s="11">
        <v>5110.0</v>
      </c>
      <c r="CS1145" s="11">
        <v>3550.0</v>
      </c>
      <c r="CT1145" s="11">
        <v>2550.0</v>
      </c>
      <c r="CU1145" s="11">
        <v>1350.0</v>
      </c>
      <c r="CV1145" s="11">
        <v>19830.0</v>
      </c>
      <c r="CW1145" s="12"/>
      <c r="CX1145" s="12"/>
      <c r="CY1145" s="12"/>
      <c r="CZ1145" s="12"/>
      <c r="DA1145" s="12"/>
      <c r="DB1145" s="11">
        <v>19830.0</v>
      </c>
      <c r="DC1145" s="11">
        <v>18130.0</v>
      </c>
      <c r="DD1145" s="11">
        <v>19710.0</v>
      </c>
      <c r="DE1145" s="11">
        <v>10960.0</v>
      </c>
      <c r="DF1145" s="11">
        <v>43520.0</v>
      </c>
      <c r="DG1145" s="11">
        <v>26550.0</v>
      </c>
      <c r="DH1145" s="11">
        <v>25910.0</v>
      </c>
      <c r="DI1145" s="11">
        <v>23640.0</v>
      </c>
      <c r="DJ1145" s="11">
        <v>22550.0</v>
      </c>
      <c r="DK1145" s="11">
        <v>1030.0</v>
      </c>
      <c r="DL1145" s="11">
        <v>1000.0</v>
      </c>
      <c r="DM1145" s="11">
        <v>653.0</v>
      </c>
      <c r="DN1145" s="11">
        <v>400.0</v>
      </c>
      <c r="DO1145" s="24">
        <v>600.0</v>
      </c>
      <c r="DP1145" s="11">
        <v>7590.0</v>
      </c>
      <c r="DQ1145" s="11">
        <v>7620.0</v>
      </c>
      <c r="DR1145" s="11">
        <v>4350.0</v>
      </c>
      <c r="DS1145" s="11">
        <v>9340.0</v>
      </c>
      <c r="DT1145" s="11">
        <v>7650.0</v>
      </c>
      <c r="DU1145" s="13"/>
      <c r="DV1145" s="12"/>
      <c r="DW1145" s="12"/>
      <c r="DX1145" s="11">
        <v>128590.0</v>
      </c>
      <c r="DY1145" s="11">
        <v>73450.0</v>
      </c>
      <c r="DZ1145" s="11">
        <v>128660.0</v>
      </c>
      <c r="EA1145" s="11">
        <v>41070.0</v>
      </c>
      <c r="EB1145" s="11">
        <v>65870.0</v>
      </c>
      <c r="EC1145" s="11">
        <v>13480.0</v>
      </c>
      <c r="ED1145" s="11">
        <v>-15200.0</v>
      </c>
      <c r="EE1145" s="14">
        <v>0.087</v>
      </c>
      <c r="EF1145" s="14">
        <v>0.097</v>
      </c>
      <c r="EG1145" s="14">
        <v>0.122</v>
      </c>
      <c r="EH1145" s="14">
        <v>0.069</v>
      </c>
    </row>
    <row r="1146">
      <c r="A1146" s="9">
        <f t="shared" si="2"/>
        <v>1144</v>
      </c>
      <c r="B1146" s="10" t="s">
        <v>1281</v>
      </c>
      <c r="C1146" s="15">
        <v>23000.0</v>
      </c>
      <c r="D1146" s="15">
        <v>12770.0</v>
      </c>
      <c r="E1146" s="15">
        <v>10310.0</v>
      </c>
      <c r="F1146" s="15">
        <v>12630.0</v>
      </c>
      <c r="G1146" s="15">
        <v>12150.0</v>
      </c>
      <c r="H1146" s="15">
        <v>11420.0</v>
      </c>
      <c r="I1146" s="15">
        <v>18960.0</v>
      </c>
      <c r="J1146" s="15">
        <v>5910.0</v>
      </c>
      <c r="K1146" s="15">
        <v>6330.0</v>
      </c>
      <c r="L1146" s="15">
        <v>5520.0</v>
      </c>
      <c r="M1146" s="15">
        <v>4070.0</v>
      </c>
      <c r="N1146" s="15">
        <v>7550.0</v>
      </c>
      <c r="O1146" s="15">
        <v>21160.0</v>
      </c>
      <c r="P1146" s="15">
        <v>19930.0</v>
      </c>
      <c r="Q1146" s="15">
        <v>19470.0</v>
      </c>
      <c r="R1146" s="15">
        <v>22580.0</v>
      </c>
      <c r="S1146" s="15">
        <v>24760.0</v>
      </c>
      <c r="T1146" s="15">
        <v>12350.0</v>
      </c>
      <c r="U1146" s="15">
        <v>9950.0</v>
      </c>
      <c r="V1146" s="15">
        <v>9570.0</v>
      </c>
      <c r="W1146" s="15">
        <v>12270.0</v>
      </c>
      <c r="X1146" s="15">
        <v>14140.0</v>
      </c>
      <c r="Y1146" s="15">
        <v>-15360.0</v>
      </c>
      <c r="Z1146" s="15">
        <v>0.0</v>
      </c>
      <c r="AA1146" s="15">
        <v>0.0</v>
      </c>
      <c r="AB1146" s="15">
        <v>-19170.0</v>
      </c>
      <c r="AC1146" s="15">
        <v>-17510.0</v>
      </c>
      <c r="AD1146" s="15">
        <v>-15520.0</v>
      </c>
      <c r="AE1146" s="15">
        <v>-13630.0</v>
      </c>
      <c r="AF1146" s="15">
        <v>-14040.0</v>
      </c>
      <c r="AG1146" s="15">
        <v>-19080.0</v>
      </c>
      <c r="AH1146" s="15">
        <v>-17700.0</v>
      </c>
      <c r="AI1146" s="15">
        <v>-14050.0</v>
      </c>
      <c r="AJ1146" s="15">
        <v>-12320.0</v>
      </c>
      <c r="AK1146" s="15">
        <v>-12580.0</v>
      </c>
      <c r="AL1146" s="15">
        <v>-17470.0</v>
      </c>
      <c r="AM1146" s="15">
        <v>-15810.0</v>
      </c>
      <c r="AN1146" s="15">
        <v>-15440.0</v>
      </c>
      <c r="AO1146" s="15">
        <v>-13780.0</v>
      </c>
      <c r="AP1146" s="15">
        <v>-14130.0</v>
      </c>
      <c r="AQ1146" s="15">
        <v>-19150.0</v>
      </c>
      <c r="AR1146" s="15">
        <v>-17850.0</v>
      </c>
      <c r="AS1146" s="15">
        <v>-11590.0</v>
      </c>
      <c r="AT1146" s="15">
        <v>-12640.0</v>
      </c>
      <c r="AU1146" s="15">
        <v>-12940.0</v>
      </c>
      <c r="AV1146" s="15">
        <v>-15260.0</v>
      </c>
      <c r="AW1146" s="15">
        <v>-11830.0</v>
      </c>
      <c r="AX1146" s="15">
        <v>0.0</v>
      </c>
      <c r="AY1146" s="15">
        <v>0.0</v>
      </c>
      <c r="AZ1146" s="15">
        <v>0.0</v>
      </c>
      <c r="BA1146" s="15">
        <v>-1950.0</v>
      </c>
      <c r="BB1146" s="15">
        <v>0.0</v>
      </c>
      <c r="BC1146" s="15">
        <v>0.0</v>
      </c>
      <c r="BD1146" s="15">
        <v>0.0</v>
      </c>
      <c r="BE1146" s="15">
        <v>0.0</v>
      </c>
      <c r="BF1146" s="15">
        <v>0.0</v>
      </c>
      <c r="BG1146" s="15">
        <v>0.0</v>
      </c>
      <c r="BH1146" s="15">
        <v>21550.0</v>
      </c>
      <c r="BI1146" s="15">
        <v>26460.0</v>
      </c>
      <c r="BJ1146" s="15">
        <v>16530.0</v>
      </c>
      <c r="BK1146" s="15">
        <v>14870.0</v>
      </c>
      <c r="BL1146" s="15">
        <v>19140.0</v>
      </c>
      <c r="BM1146" s="15">
        <v>1990.0</v>
      </c>
      <c r="BN1146" s="15">
        <v>2210.0</v>
      </c>
      <c r="BO1146" s="15">
        <v>0.0</v>
      </c>
      <c r="BP1146" s="15">
        <v>0.0</v>
      </c>
      <c r="BQ1146" s="15">
        <v>1600.0</v>
      </c>
      <c r="BR1146" s="15">
        <v>3260.0</v>
      </c>
      <c r="BS1146" s="15">
        <v>3840.0</v>
      </c>
      <c r="BT1146" s="15">
        <v>3560.0</v>
      </c>
      <c r="BU1146" s="15">
        <v>2020.0</v>
      </c>
      <c r="BV1146" s="15">
        <v>2880.0</v>
      </c>
      <c r="BW1146" s="15">
        <v>28360.0</v>
      </c>
      <c r="BX1146" s="15">
        <v>34280.0</v>
      </c>
      <c r="BY1146" s="15">
        <v>22010.0</v>
      </c>
      <c r="BZ1146" s="15">
        <v>18850.0</v>
      </c>
      <c r="CA1146" s="15">
        <v>24930.0</v>
      </c>
      <c r="CB1146" s="15">
        <v>3200.0</v>
      </c>
      <c r="CC1146" s="15">
        <v>1450.0</v>
      </c>
      <c r="CD1146" s="15">
        <v>2380.0</v>
      </c>
      <c r="CE1146" s="15">
        <v>2770.0</v>
      </c>
      <c r="CF1146" s="15">
        <v>3320.0</v>
      </c>
      <c r="CG1146" s="15">
        <v>0.0</v>
      </c>
      <c r="CH1146" s="15">
        <v>0.0</v>
      </c>
      <c r="CI1146" s="15">
        <v>0.0</v>
      </c>
      <c r="CJ1146" s="15">
        <v>0.0</v>
      </c>
      <c r="CK1146" s="15">
        <v>0.0</v>
      </c>
      <c r="CL1146" s="15">
        <v>33400.0</v>
      </c>
      <c r="CM1146" s="15">
        <v>36090.0</v>
      </c>
      <c r="CN1146" s="15">
        <v>24640.0</v>
      </c>
      <c r="CO1146" s="15">
        <v>21840.0</v>
      </c>
      <c r="CP1146" s="15">
        <v>28460.0</v>
      </c>
      <c r="CQ1146" s="15">
        <v>1000.0</v>
      </c>
      <c r="CR1146" s="15">
        <v>1490.0</v>
      </c>
      <c r="CS1146" s="15">
        <v>1440.0</v>
      </c>
      <c r="CT1146" s="15">
        <v>2020.0</v>
      </c>
      <c r="CU1146" s="15">
        <v>4030.0</v>
      </c>
      <c r="CV1146" s="15">
        <v>18000.0</v>
      </c>
      <c r="CW1146" s="15">
        <v>15000.0</v>
      </c>
      <c r="CX1146" s="15">
        <v>0.0</v>
      </c>
      <c r="CY1146" s="15">
        <v>0.0</v>
      </c>
      <c r="CZ1146" s="15">
        <v>0.0</v>
      </c>
      <c r="DA1146" s="15">
        <v>0.0</v>
      </c>
      <c r="DB1146" s="15">
        <v>18000.0</v>
      </c>
      <c r="DC1146" s="15">
        <v>18710.0</v>
      </c>
      <c r="DD1146" s="15">
        <v>9390.0</v>
      </c>
      <c r="DE1146" s="15">
        <v>9810.0</v>
      </c>
      <c r="DF1146" s="15">
        <v>19580.0</v>
      </c>
      <c r="DG1146" s="15">
        <v>18830.0</v>
      </c>
      <c r="DH1146" s="15">
        <v>9760.0</v>
      </c>
      <c r="DI1146" s="15">
        <v>9860.0</v>
      </c>
      <c r="DJ1146" s="15">
        <v>8140.0</v>
      </c>
      <c r="DK1146" s="15">
        <v>0.0</v>
      </c>
      <c r="DL1146" s="15">
        <v>0.0</v>
      </c>
      <c r="DM1146" s="15">
        <v>0.0</v>
      </c>
      <c r="DN1146" s="15">
        <v>0.0</v>
      </c>
      <c r="DO1146" s="15">
        <v>0.0</v>
      </c>
      <c r="DP1146" s="15">
        <v>1580.0</v>
      </c>
      <c r="DQ1146" s="15">
        <v>0.0</v>
      </c>
      <c r="DR1146" s="15">
        <v>0.0</v>
      </c>
      <c r="DS1146" s="15">
        <v>0.0</v>
      </c>
      <c r="DT1146" s="15">
        <v>2210.0</v>
      </c>
      <c r="DU1146" s="15">
        <v>0.0</v>
      </c>
      <c r="DV1146" s="15">
        <v>0.0</v>
      </c>
      <c r="DW1146" s="15">
        <v>0.0</v>
      </c>
      <c r="DX1146" s="15">
        <v>0.0</v>
      </c>
      <c r="DY1146" s="15">
        <v>0.0</v>
      </c>
      <c r="DZ1146" s="15">
        <v>13820.0</v>
      </c>
      <c r="EA1146" s="15">
        <v>17260.0</v>
      </c>
      <c r="EB1146" s="15">
        <v>14880.0</v>
      </c>
      <c r="EC1146" s="15">
        <v>11990.0</v>
      </c>
      <c r="ED1146" s="15">
        <v>20330.0</v>
      </c>
      <c r="EE1146" s="17">
        <v>0.11</v>
      </c>
      <c r="EF1146" s="17">
        <v>0.148</v>
      </c>
      <c r="EG1146" s="17">
        <v>-0.276</v>
      </c>
      <c r="EH1146" s="17">
        <v>0.01</v>
      </c>
    </row>
    <row r="1147">
      <c r="A1147" s="9">
        <f t="shared" si="2"/>
        <v>1145</v>
      </c>
      <c r="B1147" s="22" t="s">
        <v>1282</v>
      </c>
      <c r="C1147" s="11">
        <v>84410.0</v>
      </c>
      <c r="D1147" s="11">
        <v>215380.0</v>
      </c>
      <c r="E1147" s="11">
        <v>7280.0</v>
      </c>
      <c r="F1147" s="11">
        <v>11280.0</v>
      </c>
      <c r="G1147" s="11">
        <v>13110.0</v>
      </c>
      <c r="H1147" s="11">
        <v>25100.0</v>
      </c>
      <c r="I1147" s="11">
        <v>10450.0</v>
      </c>
      <c r="J1147" s="12"/>
      <c r="K1147" s="12"/>
      <c r="L1147" s="12"/>
      <c r="M1147" s="12"/>
      <c r="N1147" s="11">
        <v>5390.0</v>
      </c>
      <c r="O1147" s="11">
        <v>121680.0</v>
      </c>
      <c r="P1147" s="11">
        <v>87810.0</v>
      </c>
      <c r="Q1147" s="11">
        <v>91060.0</v>
      </c>
      <c r="R1147" s="11">
        <v>92420.0</v>
      </c>
      <c r="S1147" s="11">
        <v>68880.0</v>
      </c>
      <c r="T1147" s="11">
        <v>94140.0</v>
      </c>
      <c r="U1147" s="11">
        <v>69010.0</v>
      </c>
      <c r="V1147" s="11">
        <v>72970.0</v>
      </c>
      <c r="W1147" s="11">
        <v>66420.0</v>
      </c>
      <c r="X1147" s="11">
        <v>47460.0</v>
      </c>
      <c r="Y1147" s="11">
        <v>-123670.0</v>
      </c>
      <c r="Z1147" s="11">
        <v>-88020.0</v>
      </c>
      <c r="AA1147" s="11">
        <v>-85890.0</v>
      </c>
      <c r="AB1147" s="11">
        <v>-71160.0</v>
      </c>
      <c r="AC1147" s="11">
        <v>-75910.0</v>
      </c>
      <c r="AD1147" s="11">
        <v>-124200.0</v>
      </c>
      <c r="AE1147" s="11">
        <v>-83070.0</v>
      </c>
      <c r="AF1147" s="11">
        <v>-79460.0</v>
      </c>
      <c r="AG1147" s="11">
        <v>-72230.0</v>
      </c>
      <c r="AH1147" s="11">
        <v>-79740.0</v>
      </c>
      <c r="AI1147" s="11">
        <v>-114540.0</v>
      </c>
      <c r="AJ1147" s="11">
        <v>-75930.0</v>
      </c>
      <c r="AK1147" s="11">
        <v>-77360.0</v>
      </c>
      <c r="AL1147" s="11">
        <v>-65860.0</v>
      </c>
      <c r="AM1147" s="11">
        <v>-58570.0</v>
      </c>
      <c r="AN1147" s="11">
        <v>-124200.0</v>
      </c>
      <c r="AO1147" s="11">
        <v>-83300.0</v>
      </c>
      <c r="AP1147" s="11">
        <v>-79260.0</v>
      </c>
      <c r="AQ1147" s="11">
        <v>-73370.0</v>
      </c>
      <c r="AR1147" s="11">
        <v>-79270.0</v>
      </c>
      <c r="AS1147" s="11">
        <v>-98680.0</v>
      </c>
      <c r="AT1147" s="11">
        <v>-76040.0</v>
      </c>
      <c r="AU1147" s="11">
        <v>-64270.0</v>
      </c>
      <c r="AV1147" s="11">
        <v>-72190.0</v>
      </c>
      <c r="AW1147" s="11">
        <v>19150.0</v>
      </c>
      <c r="AX1147" s="11">
        <v>-6650.0</v>
      </c>
      <c r="AY1147" s="11">
        <v>-4250.0</v>
      </c>
      <c r="AZ1147" s="11">
        <v>-5580.0</v>
      </c>
      <c r="BA1147" s="11">
        <v>-17170.0</v>
      </c>
      <c r="BB1147" s="11">
        <v>-9550.0</v>
      </c>
      <c r="BC1147" s="12"/>
      <c r="BD1147" s="12"/>
      <c r="BE1147" s="12"/>
      <c r="BF1147" s="12"/>
      <c r="BG1147" s="12"/>
      <c r="BH1147" s="11">
        <v>377790.0</v>
      </c>
      <c r="BI1147" s="11">
        <v>234900.0</v>
      </c>
      <c r="BJ1147" s="11">
        <v>159370.0</v>
      </c>
      <c r="BK1147" s="11">
        <v>132500.0</v>
      </c>
      <c r="BL1147" s="11">
        <v>221100.0</v>
      </c>
      <c r="BM1147" s="11">
        <v>947.0</v>
      </c>
      <c r="BN1147" s="11">
        <v>233.0</v>
      </c>
      <c r="BO1147" s="11">
        <v>1590.0</v>
      </c>
      <c r="BP1147" s="11">
        <v>9180.0</v>
      </c>
      <c r="BQ1147" s="11">
        <v>5310.0</v>
      </c>
      <c r="BR1147" s="12"/>
      <c r="BS1147" s="12"/>
      <c r="BT1147" s="12"/>
      <c r="BU1147" s="12"/>
      <c r="BV1147" s="11">
        <v>473.0</v>
      </c>
      <c r="BW1147" s="11">
        <v>384210.0</v>
      </c>
      <c r="BX1147" s="11">
        <v>236580.0</v>
      </c>
      <c r="BY1147" s="11">
        <v>162780.0</v>
      </c>
      <c r="BZ1147" s="11">
        <v>143950.0</v>
      </c>
      <c r="CA1147" s="11">
        <v>227570.0</v>
      </c>
      <c r="CB1147" s="11">
        <v>55570.0</v>
      </c>
      <c r="CC1147" s="11">
        <v>29180.0</v>
      </c>
      <c r="CD1147" s="11">
        <v>34280.0</v>
      </c>
      <c r="CE1147" s="11">
        <v>35700.0</v>
      </c>
      <c r="CF1147" s="11">
        <v>25880.0</v>
      </c>
      <c r="CG1147" s="11">
        <v>496.0</v>
      </c>
      <c r="CH1147" s="11">
        <v>506.0</v>
      </c>
      <c r="CI1147" s="11">
        <v>530.0</v>
      </c>
      <c r="CJ1147" s="11">
        <v>465.0</v>
      </c>
      <c r="CK1147" s="11">
        <v>480.0</v>
      </c>
      <c r="CL1147" s="11">
        <v>448630.0</v>
      </c>
      <c r="CM1147" s="11">
        <v>273910.0</v>
      </c>
      <c r="CN1147" s="11">
        <v>209640.0</v>
      </c>
      <c r="CO1147" s="11">
        <v>190270.0</v>
      </c>
      <c r="CP1147" s="11">
        <v>263000.0</v>
      </c>
      <c r="CQ1147" s="11">
        <v>5680.0</v>
      </c>
      <c r="CR1147" s="11">
        <v>3790.0</v>
      </c>
      <c r="CS1147" s="11">
        <v>2910.0</v>
      </c>
      <c r="CT1147" s="11">
        <v>5520.0</v>
      </c>
      <c r="CU1147" s="11">
        <v>4170.0</v>
      </c>
      <c r="CV1147" s="11">
        <v>31630.0</v>
      </c>
      <c r="CW1147" s="11">
        <v>5870.0</v>
      </c>
      <c r="CX1147" s="12"/>
      <c r="CY1147" s="12"/>
      <c r="CZ1147" s="12"/>
      <c r="DA1147" s="11">
        <v>1340.0</v>
      </c>
      <c r="DB1147" s="11">
        <v>31630.0</v>
      </c>
      <c r="DC1147" s="11">
        <v>19970.0</v>
      </c>
      <c r="DD1147" s="11">
        <v>19230.0</v>
      </c>
      <c r="DE1147" s="11">
        <v>22720.0</v>
      </c>
      <c r="DF1147" s="11">
        <v>125570.0</v>
      </c>
      <c r="DG1147" s="11">
        <v>94300.0</v>
      </c>
      <c r="DH1147" s="11">
        <v>120290.0</v>
      </c>
      <c r="DI1147" s="11">
        <v>126630.0</v>
      </c>
      <c r="DJ1147" s="11">
        <v>133200.0</v>
      </c>
      <c r="DK1147" s="11">
        <v>2930.0</v>
      </c>
      <c r="DL1147" s="11">
        <v>2440.0</v>
      </c>
      <c r="DM1147" s="11">
        <v>2480.0</v>
      </c>
      <c r="DN1147" s="11">
        <v>1830.0</v>
      </c>
      <c r="DO1147" s="11">
        <v>1240.0</v>
      </c>
      <c r="DP1147" s="11">
        <v>67200.0</v>
      </c>
      <c r="DQ1147" s="11">
        <v>35470.0</v>
      </c>
      <c r="DR1147" s="11">
        <v>19740.0</v>
      </c>
      <c r="DS1147" s="11">
        <v>19630.0</v>
      </c>
      <c r="DT1147" s="11">
        <v>15170.0</v>
      </c>
      <c r="DU1147" s="13"/>
      <c r="DV1147" s="12"/>
      <c r="DW1147" s="12"/>
      <c r="DX1147" s="13"/>
      <c r="DY1147" s="13"/>
      <c r="DZ1147" s="11">
        <v>323060.0</v>
      </c>
      <c r="EA1147" s="11">
        <v>179610.0</v>
      </c>
      <c r="EB1147" s="11">
        <v>89360.0</v>
      </c>
      <c r="EC1147" s="11">
        <v>63630.0</v>
      </c>
      <c r="ED1147" s="11">
        <v>129800.0</v>
      </c>
      <c r="EE1147" s="14">
        <v>2.2</v>
      </c>
      <c r="EF1147" s="23"/>
      <c r="EG1147" s="14">
        <v>-0.433</v>
      </c>
      <c r="EH1147" s="14">
        <v>-0.054</v>
      </c>
    </row>
    <row r="1148">
      <c r="A1148" s="9">
        <f t="shared" si="2"/>
        <v>1146</v>
      </c>
      <c r="B1148" s="25" t="s">
        <v>1283</v>
      </c>
      <c r="C1148" s="15">
        <v>4920000.0</v>
      </c>
      <c r="D1148" s="15">
        <v>4090000.0</v>
      </c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2"/>
      <c r="W1148" s="15"/>
      <c r="X1148" s="15"/>
      <c r="Y1148" s="12"/>
      <c r="Z1148" s="12"/>
      <c r="AA1148" s="12"/>
      <c r="AB1148" s="15"/>
      <c r="AC1148" s="15"/>
      <c r="AD1148" s="12"/>
      <c r="AE1148" s="12"/>
      <c r="AF1148" s="12"/>
      <c r="AG1148" s="15"/>
      <c r="AH1148" s="15"/>
      <c r="AI1148" s="12"/>
      <c r="AJ1148" s="12"/>
      <c r="AK1148" s="12"/>
      <c r="AL1148" s="15"/>
      <c r="AM1148" s="15"/>
      <c r="AN1148" s="12"/>
      <c r="AO1148" s="12"/>
      <c r="AP1148" s="12"/>
      <c r="AQ1148" s="15"/>
      <c r="AR1148" s="15"/>
      <c r="AS1148" s="12"/>
      <c r="AT1148" s="12"/>
      <c r="AU1148" s="12"/>
      <c r="AV1148" s="15"/>
      <c r="AW1148" s="15"/>
      <c r="AX1148" s="12"/>
      <c r="AY1148" s="12"/>
      <c r="AZ1148" s="12"/>
      <c r="BA1148" s="15"/>
      <c r="BB1148" s="15"/>
      <c r="BC1148" s="13"/>
      <c r="BD1148" s="13"/>
      <c r="BE1148" s="13"/>
      <c r="BF1148" s="13"/>
      <c r="BG1148" s="13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3"/>
      <c r="DV1148" s="12"/>
      <c r="DW1148" s="12"/>
      <c r="DX1148" s="13"/>
      <c r="DY1148" s="13"/>
      <c r="DZ1148" s="12"/>
      <c r="EA1148" s="15"/>
      <c r="EB1148" s="15"/>
      <c r="EC1148" s="15"/>
      <c r="ED1148" s="15"/>
      <c r="EE1148" s="17">
        <v>0.037</v>
      </c>
      <c r="EF1148" s="17">
        <v>0.171</v>
      </c>
      <c r="EG1148" s="17">
        <v>-0.5</v>
      </c>
      <c r="EH1148" s="17">
        <v>-0.143</v>
      </c>
    </row>
    <row r="1149">
      <c r="A1149" s="9">
        <f t="shared" si="2"/>
        <v>1147</v>
      </c>
      <c r="B1149" s="10" t="s">
        <v>1284</v>
      </c>
      <c r="C1149" s="11">
        <v>2.397E7</v>
      </c>
      <c r="D1149" s="11">
        <v>2.347E7</v>
      </c>
      <c r="E1149" s="11">
        <v>2.193E7</v>
      </c>
      <c r="F1149" s="11">
        <v>2.164E7</v>
      </c>
      <c r="G1149" s="11">
        <v>2.153E7</v>
      </c>
      <c r="H1149" s="11">
        <v>2.293E7</v>
      </c>
      <c r="I1149" s="11">
        <v>3.074E7</v>
      </c>
      <c r="J1149" s="11">
        <v>4470000.0</v>
      </c>
      <c r="K1149" s="11">
        <v>4680000.0</v>
      </c>
      <c r="L1149" s="11">
        <v>4780000.0</v>
      </c>
      <c r="M1149" s="11">
        <v>5060000.0</v>
      </c>
      <c r="N1149" s="11">
        <v>7830000.0</v>
      </c>
      <c r="O1149" s="11">
        <v>4220000.0</v>
      </c>
      <c r="P1149" s="11">
        <v>4590000.0</v>
      </c>
      <c r="Q1149" s="11">
        <v>4650000.0</v>
      </c>
      <c r="R1149" s="11">
        <v>4780000.0</v>
      </c>
      <c r="S1149" s="11">
        <v>6990000.0</v>
      </c>
      <c r="T1149" s="11"/>
      <c r="U1149" s="11"/>
      <c r="V1149" s="11"/>
      <c r="W1149" s="11"/>
      <c r="X1149" s="11"/>
      <c r="Y1149" s="11">
        <v>152270.0</v>
      </c>
      <c r="Z1149" s="11">
        <v>-399760.0</v>
      </c>
      <c r="AA1149" s="11">
        <v>133350.0</v>
      </c>
      <c r="AB1149" s="11">
        <v>-45780.0</v>
      </c>
      <c r="AC1149" s="11">
        <v>731280.0</v>
      </c>
      <c r="AD1149" s="11">
        <v>-81610.0</v>
      </c>
      <c r="AE1149" s="11">
        <v>-589480.0</v>
      </c>
      <c r="AF1149" s="11">
        <v>-43550.0</v>
      </c>
      <c r="AG1149" s="11">
        <v>48520.0</v>
      </c>
      <c r="AH1149" s="11">
        <v>278400.0</v>
      </c>
      <c r="AI1149" s="11">
        <v>573340.0</v>
      </c>
      <c r="AJ1149" s="11">
        <v>441860.0</v>
      </c>
      <c r="AK1149" s="11">
        <v>514900.0</v>
      </c>
      <c r="AL1149" s="11">
        <v>695080.0</v>
      </c>
      <c r="AM1149" s="11">
        <v>1350000.0</v>
      </c>
      <c r="AN1149" s="11">
        <v>-469220.0</v>
      </c>
      <c r="AO1149" s="11">
        <v>-666950.0</v>
      </c>
      <c r="AP1149" s="11">
        <v>-349530.0</v>
      </c>
      <c r="AQ1149" s="11">
        <v>4080.0</v>
      </c>
      <c r="AR1149" s="11">
        <v>165470.0</v>
      </c>
      <c r="AS1149" s="11">
        <v>510860.0</v>
      </c>
      <c r="AT1149" s="11">
        <v>-228670.0</v>
      </c>
      <c r="AU1149" s="11">
        <v>511470.0</v>
      </c>
      <c r="AV1149" s="11">
        <v>183030.0</v>
      </c>
      <c r="AW1149" s="11">
        <v>997400.0</v>
      </c>
      <c r="AX1149" s="11">
        <v>-214390.0</v>
      </c>
      <c r="AY1149" s="11">
        <v>-244690.0</v>
      </c>
      <c r="AZ1149" s="11">
        <v>-214760.0</v>
      </c>
      <c r="BA1149" s="11">
        <v>-293800.0</v>
      </c>
      <c r="BB1149" s="11">
        <v>-670000.0</v>
      </c>
      <c r="BC1149" s="12"/>
      <c r="BD1149" s="12"/>
      <c r="BE1149" s="12"/>
      <c r="BF1149" s="12"/>
      <c r="BG1149" s="12"/>
      <c r="BH1149" s="11">
        <v>218180.0</v>
      </c>
      <c r="BI1149" s="11">
        <v>144350.0</v>
      </c>
      <c r="BJ1149" s="11">
        <v>447330.0</v>
      </c>
      <c r="BK1149" s="11">
        <v>252280.0</v>
      </c>
      <c r="BL1149" s="11">
        <v>124470.0</v>
      </c>
      <c r="BM1149" s="11">
        <v>1290000.0</v>
      </c>
      <c r="BN1149" s="11">
        <v>1790000.0</v>
      </c>
      <c r="BO1149" s="11">
        <v>1870000.0</v>
      </c>
      <c r="BP1149" s="11">
        <v>1770000.0</v>
      </c>
      <c r="BQ1149" s="11">
        <v>1600000.0</v>
      </c>
      <c r="BR1149" s="11">
        <v>1920000.0</v>
      </c>
      <c r="BS1149" s="11">
        <v>1870000.0</v>
      </c>
      <c r="BT1149" s="11">
        <v>1800000.0</v>
      </c>
      <c r="BU1149" s="11">
        <v>1790000.0</v>
      </c>
      <c r="BV1149" s="11">
        <v>2700000.0</v>
      </c>
      <c r="BW1149" s="11">
        <v>3700000.0</v>
      </c>
      <c r="BX1149" s="11">
        <v>4100000.0</v>
      </c>
      <c r="BY1149" s="11">
        <v>4740000.0</v>
      </c>
      <c r="BZ1149" s="11">
        <v>5070000.0</v>
      </c>
      <c r="CA1149" s="11">
        <v>4550000.0</v>
      </c>
      <c r="CB1149" s="11">
        <v>4120000.0</v>
      </c>
      <c r="CC1149" s="11">
        <v>1310000.0</v>
      </c>
      <c r="CD1149" s="11">
        <v>1430000.0</v>
      </c>
      <c r="CE1149" s="11">
        <v>1530000.0</v>
      </c>
      <c r="CF1149" s="11">
        <v>2260000.0</v>
      </c>
      <c r="CG1149" s="11">
        <v>1110000.0</v>
      </c>
      <c r="CH1149" s="11">
        <v>1110000.0</v>
      </c>
      <c r="CI1149" s="11">
        <v>1420000.0</v>
      </c>
      <c r="CJ1149" s="11">
        <v>1680000.0</v>
      </c>
      <c r="CK1149" s="11">
        <v>1710000.0</v>
      </c>
      <c r="CL1149" s="11">
        <v>1.052E7</v>
      </c>
      <c r="CM1149" s="11">
        <v>7590000.0</v>
      </c>
      <c r="CN1149" s="11">
        <v>8990000.0</v>
      </c>
      <c r="CO1149" s="11">
        <v>1.159E7</v>
      </c>
      <c r="CP1149" s="11">
        <v>1.128E7</v>
      </c>
      <c r="CQ1149" s="11">
        <v>1480000.0</v>
      </c>
      <c r="CR1149" s="11">
        <v>1620000.0</v>
      </c>
      <c r="CS1149" s="11">
        <v>1650000.0</v>
      </c>
      <c r="CT1149" s="11">
        <v>1610000.0</v>
      </c>
      <c r="CU1149" s="11">
        <v>1540000.0</v>
      </c>
      <c r="CV1149" s="11">
        <v>2770000.0</v>
      </c>
      <c r="CW1149" s="11">
        <v>490160.0</v>
      </c>
      <c r="CX1149" s="12"/>
      <c r="CY1149" s="12"/>
      <c r="CZ1149" s="12"/>
      <c r="DA1149" s="12"/>
      <c r="DB1149" s="11">
        <v>2770000.0</v>
      </c>
      <c r="DC1149" s="11">
        <v>2440000.0</v>
      </c>
      <c r="DD1149" s="11">
        <v>3460000.0</v>
      </c>
      <c r="DE1149" s="11">
        <v>3010000.0</v>
      </c>
      <c r="DF1149" s="11">
        <v>9840000.0</v>
      </c>
      <c r="DG1149" s="11">
        <v>6400000.0</v>
      </c>
      <c r="DH1149" s="11">
        <v>7390000.0</v>
      </c>
      <c r="DI1149" s="11">
        <v>1.098E7</v>
      </c>
      <c r="DJ1149" s="11">
        <v>1.07E7</v>
      </c>
      <c r="DK1149" s="11">
        <v>7020.0</v>
      </c>
      <c r="DL1149" s="11">
        <v>7190.0</v>
      </c>
      <c r="DM1149" s="11">
        <v>7280.0</v>
      </c>
      <c r="DN1149" s="11"/>
      <c r="DO1149" s="11"/>
      <c r="DP1149" s="11">
        <v>5810000.0</v>
      </c>
      <c r="DQ1149" s="11">
        <v>3480000.0</v>
      </c>
      <c r="DR1149" s="11">
        <v>3370000.0</v>
      </c>
      <c r="DS1149" s="11">
        <v>3270000.0</v>
      </c>
      <c r="DT1149" s="11">
        <v>6970000.0</v>
      </c>
      <c r="DU1149" s="13"/>
      <c r="DV1149" s="12"/>
      <c r="DW1149" s="12"/>
      <c r="DX1149" s="12"/>
      <c r="DY1149" s="12"/>
      <c r="DZ1149" s="11">
        <v>674530.0</v>
      </c>
      <c r="EA1149" s="11">
        <v>1190000.0</v>
      </c>
      <c r="EB1149" s="11">
        <v>1600000.0</v>
      </c>
      <c r="EC1149" s="11">
        <v>614070.0</v>
      </c>
      <c r="ED1149" s="11">
        <v>581430.0</v>
      </c>
      <c r="EE1149" s="14">
        <v>0.018</v>
      </c>
      <c r="EF1149" s="14">
        <v>0.037</v>
      </c>
      <c r="EG1149" s="14">
        <v>0.895</v>
      </c>
      <c r="EH1149" s="14">
        <v>1.286</v>
      </c>
    </row>
    <row r="1150">
      <c r="A1150" s="9">
        <f t="shared" si="2"/>
        <v>1148</v>
      </c>
      <c r="B1150" s="10" t="s">
        <v>1285</v>
      </c>
      <c r="C1150" s="11">
        <v>95430.0</v>
      </c>
      <c r="D1150" s="11">
        <v>66640.0</v>
      </c>
      <c r="E1150" s="11">
        <v>44330.0</v>
      </c>
      <c r="F1150" s="11">
        <v>28030.0</v>
      </c>
      <c r="G1150" s="11">
        <v>26180.0</v>
      </c>
      <c r="H1150" s="11">
        <v>12820.0</v>
      </c>
      <c r="I1150" s="11">
        <v>14860.0</v>
      </c>
      <c r="J1150" s="11">
        <v>15940.0</v>
      </c>
      <c r="K1150" s="11">
        <v>10120.0</v>
      </c>
      <c r="L1150" s="11">
        <v>8260.0</v>
      </c>
      <c r="M1150" s="11">
        <v>1440.0</v>
      </c>
      <c r="N1150" s="11">
        <v>2570.0</v>
      </c>
      <c r="O1150" s="11">
        <v>18080.0</v>
      </c>
      <c r="P1150" s="11">
        <v>9950.0</v>
      </c>
      <c r="Q1150" s="11">
        <v>6280.0</v>
      </c>
      <c r="R1150" s="11">
        <v>4840.0</v>
      </c>
      <c r="S1150" s="11">
        <v>4910.0</v>
      </c>
      <c r="T1150" s="11">
        <v>6950.0</v>
      </c>
      <c r="U1150" s="11">
        <v>3090.0</v>
      </c>
      <c r="V1150" s="11">
        <v>1580.0</v>
      </c>
      <c r="W1150" s="11">
        <v>758.0</v>
      </c>
      <c r="X1150" s="11">
        <v>693.0</v>
      </c>
      <c r="Y1150" s="12"/>
      <c r="Z1150" s="12"/>
      <c r="AA1150" s="12"/>
      <c r="AB1150" s="12"/>
      <c r="AC1150" s="11">
        <v>-2920.0</v>
      </c>
      <c r="AD1150" s="11">
        <v>-2220.0</v>
      </c>
      <c r="AE1150" s="11">
        <v>181.0</v>
      </c>
      <c r="AF1150" s="11">
        <v>1830.0</v>
      </c>
      <c r="AG1150" s="11">
        <v>-4920.0</v>
      </c>
      <c r="AH1150" s="11">
        <v>-6500.0</v>
      </c>
      <c r="AI1150" s="11">
        <v>-921.0</v>
      </c>
      <c r="AJ1150" s="11">
        <v>964.0</v>
      </c>
      <c r="AK1150" s="11">
        <v>2620.0</v>
      </c>
      <c r="AL1150" s="11">
        <v>-2850.0</v>
      </c>
      <c r="AM1150" s="11">
        <v>-1690.0</v>
      </c>
      <c r="AN1150" s="11">
        <v>-1920.0</v>
      </c>
      <c r="AO1150" s="11">
        <v>567.0</v>
      </c>
      <c r="AP1150" s="11">
        <v>1720.0</v>
      </c>
      <c r="AQ1150" s="11">
        <v>-4920.0</v>
      </c>
      <c r="AR1150" s="11">
        <v>-6460.0</v>
      </c>
      <c r="AS1150" s="11">
        <v>-3460.0</v>
      </c>
      <c r="AT1150" s="11">
        <v>-2670.0</v>
      </c>
      <c r="AU1150" s="11">
        <v>1720.0</v>
      </c>
      <c r="AV1150" s="11">
        <v>-4920.0</v>
      </c>
      <c r="AW1150" s="11">
        <v>-2770.0</v>
      </c>
      <c r="AX1150" s="11">
        <v>-4550.0</v>
      </c>
      <c r="AY1150" s="11">
        <v>-1210.0</v>
      </c>
      <c r="AZ1150" s="11">
        <v>-1780.0</v>
      </c>
      <c r="BA1150" s="11">
        <v>-411.0</v>
      </c>
      <c r="BB1150" s="11">
        <v>-374.0</v>
      </c>
      <c r="BC1150" s="12"/>
      <c r="BD1150" s="12"/>
      <c r="BE1150" s="12"/>
      <c r="BF1150" s="12"/>
      <c r="BG1150" s="12"/>
      <c r="BH1150" s="11">
        <v>14130.0</v>
      </c>
      <c r="BI1150" s="11">
        <v>21240.0</v>
      </c>
      <c r="BJ1150" s="11">
        <v>12740.0</v>
      </c>
      <c r="BK1150" s="11">
        <v>1520.0</v>
      </c>
      <c r="BL1150" s="11">
        <v>2360.0</v>
      </c>
      <c r="BM1150" s="11">
        <v>15760.0</v>
      </c>
      <c r="BN1150" s="11">
        <v>14530.0</v>
      </c>
      <c r="BO1150" s="11">
        <v>8390.0</v>
      </c>
      <c r="BP1150" s="11">
        <v>6150.0</v>
      </c>
      <c r="BQ1150" s="11">
        <v>6260.0</v>
      </c>
      <c r="BR1150" s="11">
        <v>17210.0</v>
      </c>
      <c r="BS1150" s="11">
        <v>11310.0</v>
      </c>
      <c r="BT1150" s="11">
        <v>7920.0</v>
      </c>
      <c r="BU1150" s="11">
        <v>7150.0</v>
      </c>
      <c r="BV1150" s="11">
        <v>6610.0</v>
      </c>
      <c r="BW1150" s="11">
        <v>48040.0</v>
      </c>
      <c r="BX1150" s="11">
        <v>48790.0</v>
      </c>
      <c r="BY1150" s="11">
        <v>31730.0</v>
      </c>
      <c r="BZ1150" s="11">
        <v>17330.0</v>
      </c>
      <c r="CA1150" s="11">
        <v>15380.0</v>
      </c>
      <c r="CB1150" s="11">
        <v>16780.0</v>
      </c>
      <c r="CC1150" s="11">
        <v>4630.0</v>
      </c>
      <c r="CD1150" s="11">
        <v>3920.0</v>
      </c>
      <c r="CE1150" s="11">
        <v>2650.0</v>
      </c>
      <c r="CF1150" s="11">
        <v>3080.0</v>
      </c>
      <c r="CG1150" s="12"/>
      <c r="CH1150" s="12"/>
      <c r="CI1150" s="12"/>
      <c r="CJ1150" s="12"/>
      <c r="CK1150" s="12"/>
      <c r="CL1150" s="11">
        <v>64920.0</v>
      </c>
      <c r="CM1150" s="11">
        <v>53500.0</v>
      </c>
      <c r="CN1150" s="11">
        <v>36030.0</v>
      </c>
      <c r="CO1150" s="11">
        <v>20990.0</v>
      </c>
      <c r="CP1150" s="11">
        <v>18580.0</v>
      </c>
      <c r="CQ1150" s="11">
        <v>7660.0</v>
      </c>
      <c r="CR1150" s="11">
        <v>6020.0</v>
      </c>
      <c r="CS1150" s="11">
        <v>2900.0</v>
      </c>
      <c r="CT1150" s="11">
        <v>2560.0</v>
      </c>
      <c r="CU1150" s="11">
        <v>1960.0</v>
      </c>
      <c r="CV1150" s="11">
        <v>16230.0</v>
      </c>
      <c r="CW1150" s="11">
        <v>1240.0</v>
      </c>
      <c r="CX1150" s="12"/>
      <c r="CY1150" s="12"/>
      <c r="CZ1150" s="11">
        <v>575.0</v>
      </c>
      <c r="DA1150" s="11">
        <v>4050.0</v>
      </c>
      <c r="DB1150" s="11">
        <v>16230.0</v>
      </c>
      <c r="DC1150" s="11">
        <v>10950.0</v>
      </c>
      <c r="DD1150" s="11">
        <v>6090.0</v>
      </c>
      <c r="DE1150" s="11">
        <v>6220.0</v>
      </c>
      <c r="DF1150" s="11">
        <v>23500.0</v>
      </c>
      <c r="DG1150" s="11">
        <v>11640.0</v>
      </c>
      <c r="DH1150" s="11">
        <v>6850.0</v>
      </c>
      <c r="DI1150" s="11">
        <v>9960.0</v>
      </c>
      <c r="DJ1150" s="11">
        <v>9520.0</v>
      </c>
      <c r="DK1150" s="12"/>
      <c r="DL1150" s="12"/>
      <c r="DM1150" s="11">
        <v>68.0</v>
      </c>
      <c r="DN1150" s="11">
        <v>34.0</v>
      </c>
      <c r="DO1150" s="11">
        <v>119.0</v>
      </c>
      <c r="DP1150" s="11">
        <v>6500.0</v>
      </c>
      <c r="DQ1150" s="12"/>
      <c r="DR1150" s="12"/>
      <c r="DS1150" s="11">
        <v>3070.0</v>
      </c>
      <c r="DT1150" s="12"/>
      <c r="DU1150" s="13"/>
      <c r="DV1150" s="13"/>
      <c r="DW1150" s="13"/>
      <c r="DX1150" s="13"/>
      <c r="DY1150" s="13"/>
      <c r="DZ1150" s="11">
        <v>41420.0</v>
      </c>
      <c r="EA1150" s="11">
        <v>42210.0</v>
      </c>
      <c r="EB1150" s="11">
        <v>28530.0</v>
      </c>
      <c r="EC1150" s="11">
        <v>10520.0</v>
      </c>
      <c r="ED1150" s="11">
        <v>8510.0</v>
      </c>
      <c r="EE1150" s="14">
        <v>0.002</v>
      </c>
      <c r="EF1150" s="14">
        <v>0.035</v>
      </c>
      <c r="EG1150" s="29" t="s">
        <v>155</v>
      </c>
      <c r="EH1150" s="23"/>
    </row>
    <row r="1151">
      <c r="A1151" s="9">
        <f t="shared" si="2"/>
        <v>1149</v>
      </c>
      <c r="B1151" s="22" t="s">
        <v>1286</v>
      </c>
      <c r="C1151" s="11">
        <v>1040.0</v>
      </c>
      <c r="D1151" s="11">
        <v>3130.0</v>
      </c>
      <c r="E1151" s="12"/>
      <c r="F1151" s="12"/>
      <c r="G1151" s="12"/>
      <c r="H1151" s="12"/>
      <c r="I1151" s="12"/>
      <c r="J1151" s="11">
        <v>-1330.0</v>
      </c>
      <c r="K1151" s="11">
        <v>-1240.0</v>
      </c>
      <c r="L1151" s="11">
        <v>-1380.0</v>
      </c>
      <c r="M1151" s="12"/>
      <c r="N1151" s="12"/>
      <c r="O1151" s="11">
        <v>42300.0</v>
      </c>
      <c r="P1151" s="11">
        <v>35710.0</v>
      </c>
      <c r="Q1151" s="11">
        <v>27950.0</v>
      </c>
      <c r="R1151" s="12"/>
      <c r="S1151" s="12"/>
      <c r="T1151" s="11">
        <v>34910.0</v>
      </c>
      <c r="U1151" s="11">
        <v>31770.0</v>
      </c>
      <c r="V1151" s="11">
        <v>25620.0</v>
      </c>
      <c r="W1151" s="12"/>
      <c r="X1151" s="12"/>
      <c r="Y1151" s="12"/>
      <c r="Z1151" s="12"/>
      <c r="AA1151" s="12"/>
      <c r="AB1151" s="12"/>
      <c r="AC1151" s="12"/>
      <c r="AD1151" s="11">
        <v>-42340.0</v>
      </c>
      <c r="AE1151" s="11">
        <v>-36150.0</v>
      </c>
      <c r="AF1151" s="11">
        <v>-29120.0</v>
      </c>
      <c r="AG1151" s="12"/>
      <c r="AH1151" s="12"/>
      <c r="AI1151" s="11">
        <v>-42300.0</v>
      </c>
      <c r="AJ1151" s="11">
        <v>-35710.0</v>
      </c>
      <c r="AK1151" s="11">
        <v>-27950.0</v>
      </c>
      <c r="AL1151" s="12"/>
      <c r="AM1151" s="12"/>
      <c r="AN1151" s="11">
        <v>-43000.0</v>
      </c>
      <c r="AO1151" s="11">
        <v>-36150.0</v>
      </c>
      <c r="AP1151" s="11">
        <v>-29120.0</v>
      </c>
      <c r="AQ1151" s="12"/>
      <c r="AR1151" s="12"/>
      <c r="AS1151" s="11">
        <v>-35470.0</v>
      </c>
      <c r="AT1151" s="11">
        <v>-32950.0</v>
      </c>
      <c r="AU1151" s="11">
        <v>-27120.0</v>
      </c>
      <c r="AV1151" s="12"/>
      <c r="AW1151" s="12"/>
      <c r="AX1151" s="11">
        <v>-888.0</v>
      </c>
      <c r="AY1151" s="11">
        <v>-3500.0</v>
      </c>
      <c r="AZ1151" s="11">
        <v>-1120.0</v>
      </c>
      <c r="BA1151" s="12"/>
      <c r="BB1151" s="12"/>
      <c r="BC1151" s="12"/>
      <c r="BD1151" s="12"/>
      <c r="BE1151" s="12"/>
      <c r="BF1151" s="12"/>
      <c r="BG1151" s="12"/>
      <c r="BH1151" s="11">
        <v>77380.0</v>
      </c>
      <c r="BI1151" s="11">
        <v>63800.0</v>
      </c>
      <c r="BJ1151" s="11">
        <v>47520.0</v>
      </c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1">
        <v>80510.0</v>
      </c>
      <c r="BX1151" s="11">
        <v>65060.0</v>
      </c>
      <c r="BY1151" s="11">
        <v>48240.0</v>
      </c>
      <c r="BZ1151" s="12"/>
      <c r="CA1151" s="12"/>
      <c r="CB1151" s="11">
        <v>3710.0</v>
      </c>
      <c r="CC1151" s="11">
        <v>4160.0</v>
      </c>
      <c r="CD1151" s="11">
        <v>1910.0</v>
      </c>
      <c r="CE1151" s="12"/>
      <c r="CF1151" s="12"/>
      <c r="CG1151" s="12"/>
      <c r="CH1151" s="12"/>
      <c r="CI1151" s="12"/>
      <c r="CJ1151" s="12"/>
      <c r="CK1151" s="12"/>
      <c r="CL1151" s="11">
        <v>84600.0</v>
      </c>
      <c r="CM1151" s="11">
        <v>70210.0</v>
      </c>
      <c r="CN1151" s="11">
        <v>51000.0</v>
      </c>
      <c r="CO1151" s="12"/>
      <c r="CP1151" s="12"/>
      <c r="CQ1151" s="11">
        <v>1140.0</v>
      </c>
      <c r="CR1151" s="11">
        <v>1770.0</v>
      </c>
      <c r="CS1151" s="11">
        <v>1110.0</v>
      </c>
      <c r="CT1151" s="12"/>
      <c r="CU1151" s="12"/>
      <c r="CV1151" s="11">
        <v>9260.0</v>
      </c>
      <c r="CW1151" s="12"/>
      <c r="CX1151" s="12"/>
      <c r="CY1151" s="12"/>
      <c r="CZ1151" s="12"/>
      <c r="DA1151" s="12"/>
      <c r="DB1151" s="11">
        <v>9260.0</v>
      </c>
      <c r="DC1151" s="11">
        <v>4640.0</v>
      </c>
      <c r="DD1151" s="11">
        <v>3250.0</v>
      </c>
      <c r="DE1151" s="12"/>
      <c r="DF1151" s="11">
        <v>11480.0</v>
      </c>
      <c r="DG1151" s="11">
        <v>166720.0</v>
      </c>
      <c r="DH1151" s="11">
        <v>112800.0</v>
      </c>
      <c r="DI1151" s="12"/>
      <c r="DJ1151" s="12"/>
      <c r="DK1151" s="12"/>
      <c r="DL1151" s="12"/>
      <c r="DM1151" s="12"/>
      <c r="DN1151" s="12"/>
      <c r="DO1151" s="12"/>
      <c r="DP1151" s="12"/>
      <c r="DQ1151" s="11">
        <v>161110.0</v>
      </c>
      <c r="DR1151" s="11">
        <v>108640.0</v>
      </c>
      <c r="DS1151" s="12"/>
      <c r="DT1151" s="12"/>
      <c r="DU1151" s="13"/>
      <c r="DV1151" s="12"/>
      <c r="DW1151" s="12"/>
      <c r="DX1151" s="13"/>
      <c r="DY1151" s="13"/>
      <c r="DZ1151" s="11">
        <v>73120.0</v>
      </c>
      <c r="EA1151" s="11">
        <v>-96520.0</v>
      </c>
      <c r="EB1151" s="11">
        <v>-61800.0</v>
      </c>
      <c r="EC1151" s="12"/>
      <c r="ED1151" s="12"/>
      <c r="EE1151" s="23"/>
      <c r="EF1151" s="23"/>
      <c r="EG1151" s="14">
        <v>0.121</v>
      </c>
      <c r="EH1151" s="14">
        <v>-4.69</v>
      </c>
    </row>
    <row r="1152">
      <c r="A1152" s="9">
        <f t="shared" si="2"/>
        <v>1150</v>
      </c>
      <c r="B1152" s="22" t="s">
        <v>1287</v>
      </c>
      <c r="C1152" s="11">
        <v>335290.0</v>
      </c>
      <c r="D1152" s="11">
        <v>208410.0</v>
      </c>
      <c r="E1152" s="11">
        <v>103710.0</v>
      </c>
      <c r="F1152" s="11">
        <v>51500.0</v>
      </c>
      <c r="G1152" s="11">
        <v>2610.0</v>
      </c>
      <c r="H1152" s="11">
        <v>133.0</v>
      </c>
      <c r="I1152" s="12"/>
      <c r="J1152" s="11">
        <v>86170.0</v>
      </c>
      <c r="K1152" s="11">
        <v>30810.0</v>
      </c>
      <c r="L1152" s="11">
        <v>-3210.0</v>
      </c>
      <c r="M1152" s="12"/>
      <c r="N1152" s="11">
        <v>-1380.0</v>
      </c>
      <c r="O1152" s="11">
        <v>510340.0</v>
      </c>
      <c r="P1152" s="11">
        <v>402180.0</v>
      </c>
      <c r="Q1152" s="11">
        <v>319730.0</v>
      </c>
      <c r="R1152" s="11">
        <v>244720.0</v>
      </c>
      <c r="S1152" s="11">
        <v>146350.0</v>
      </c>
      <c r="T1152" s="11">
        <v>357360.0</v>
      </c>
      <c r="U1152" s="11">
        <v>294000.0</v>
      </c>
      <c r="V1152" s="11">
        <v>231640.0</v>
      </c>
      <c r="W1152" s="11">
        <v>183200.0</v>
      </c>
      <c r="X1152" s="11">
        <v>114740.0</v>
      </c>
      <c r="Y1152" s="11">
        <v>-410760.0</v>
      </c>
      <c r="Z1152" s="12"/>
      <c r="AA1152" s="11">
        <v>-328940.0</v>
      </c>
      <c r="AB1152" s="12"/>
      <c r="AC1152" s="12"/>
      <c r="AD1152" s="11">
        <v>-399440.0</v>
      </c>
      <c r="AE1152" s="11">
        <v>-197100.0</v>
      </c>
      <c r="AF1152" s="11">
        <v>-318340.0</v>
      </c>
      <c r="AG1152" s="11">
        <v>-245840.0</v>
      </c>
      <c r="AH1152" s="11">
        <v>-145620.0</v>
      </c>
      <c r="AI1152" s="11">
        <v>-415630.0</v>
      </c>
      <c r="AJ1152" s="11">
        <v>-351840.0</v>
      </c>
      <c r="AK1152" s="11">
        <v>-317120.0</v>
      </c>
      <c r="AL1152" s="11">
        <v>-244580.0</v>
      </c>
      <c r="AM1152" s="11">
        <v>-146350.0</v>
      </c>
      <c r="AN1152" s="11">
        <v>-402730.0</v>
      </c>
      <c r="AO1152" s="11">
        <v>-197610.0</v>
      </c>
      <c r="AP1152" s="11">
        <v>-302140.0</v>
      </c>
      <c r="AQ1152" s="11">
        <v>-245870.0</v>
      </c>
      <c r="AR1152" s="11">
        <v>-145620.0</v>
      </c>
      <c r="AS1152" s="11">
        <v>-360940.0</v>
      </c>
      <c r="AT1152" s="11">
        <v>-290570.0</v>
      </c>
      <c r="AU1152" s="11">
        <v>-253840.0</v>
      </c>
      <c r="AV1152" s="11">
        <v>-160980.0</v>
      </c>
      <c r="AW1152" s="11">
        <v>-105980.0</v>
      </c>
      <c r="AX1152" s="11">
        <v>-24830.0</v>
      </c>
      <c r="AY1152" s="11">
        <v>-4080.0</v>
      </c>
      <c r="AZ1152" s="11">
        <v>-2790.0</v>
      </c>
      <c r="BA1152" s="11">
        <v>-10190.0</v>
      </c>
      <c r="BB1152" s="11">
        <v>-4960.0</v>
      </c>
      <c r="BC1152" s="12"/>
      <c r="BD1152" s="12"/>
      <c r="BE1152" s="12"/>
      <c r="BF1152" s="12"/>
      <c r="BG1152" s="12"/>
      <c r="BH1152" s="11">
        <v>755390.0</v>
      </c>
      <c r="BI1152" s="11">
        <v>459980.0</v>
      </c>
      <c r="BJ1152" s="11">
        <v>234950.0</v>
      </c>
      <c r="BK1152" s="11">
        <v>381560.0</v>
      </c>
      <c r="BL1152" s="11">
        <v>437150.0</v>
      </c>
      <c r="BM1152" s="11">
        <v>32840.0</v>
      </c>
      <c r="BN1152" s="11">
        <v>12740.0</v>
      </c>
      <c r="BO1152" s="11">
        <v>5170.0</v>
      </c>
      <c r="BP1152" s="12"/>
      <c r="BQ1152" s="12"/>
      <c r="BR1152" s="11">
        <v>11550.0</v>
      </c>
      <c r="BS1152" s="11">
        <v>7070.0</v>
      </c>
      <c r="BT1152" s="11">
        <v>757.0</v>
      </c>
      <c r="BU1152" s="12"/>
      <c r="BV1152" s="12"/>
      <c r="BW1152" s="11">
        <v>851020.0</v>
      </c>
      <c r="BX1152" s="11">
        <v>522370.0</v>
      </c>
      <c r="BY1152" s="11">
        <v>269580.0</v>
      </c>
      <c r="BZ1152" s="11">
        <v>401700.0</v>
      </c>
      <c r="CA1152" s="11">
        <v>450210.0</v>
      </c>
      <c r="CB1152" s="11">
        <v>74680.0</v>
      </c>
      <c r="CC1152" s="11">
        <v>20050.0</v>
      </c>
      <c r="CD1152" s="11">
        <v>21840.0</v>
      </c>
      <c r="CE1152" s="11">
        <v>17060.0</v>
      </c>
      <c r="CF1152" s="11">
        <v>7370.0</v>
      </c>
      <c r="CG1152" s="11">
        <v>44410.0</v>
      </c>
      <c r="CH1152" s="11">
        <v>44410.0</v>
      </c>
      <c r="CI1152" s="11">
        <v>44410.0</v>
      </c>
      <c r="CJ1152" s="12"/>
      <c r="CK1152" s="12"/>
      <c r="CL1152" s="11">
        <v>1140000.0</v>
      </c>
      <c r="CM1152" s="11">
        <v>719560.0</v>
      </c>
      <c r="CN1152" s="11">
        <v>490750.0</v>
      </c>
      <c r="CO1152" s="11">
        <v>540630.0</v>
      </c>
      <c r="CP1152" s="11">
        <v>559570.0</v>
      </c>
      <c r="CQ1152" s="11">
        <v>12870.0</v>
      </c>
      <c r="CR1152" s="11">
        <v>12280.0</v>
      </c>
      <c r="CS1152" s="11">
        <v>8890.0</v>
      </c>
      <c r="CT1152" s="11">
        <v>5360.0</v>
      </c>
      <c r="CU1152" s="12"/>
      <c r="CV1152" s="11">
        <v>103300.0</v>
      </c>
      <c r="CW1152" s="11">
        <v>7240.0</v>
      </c>
      <c r="CX1152" s="12"/>
      <c r="CY1152" s="12"/>
      <c r="CZ1152" s="12"/>
      <c r="DA1152" s="12"/>
      <c r="DB1152" s="11">
        <v>103300.0</v>
      </c>
      <c r="DC1152" s="11">
        <v>74730.0</v>
      </c>
      <c r="DD1152" s="11">
        <v>71010.0</v>
      </c>
      <c r="DE1152" s="11">
        <v>60260.0</v>
      </c>
      <c r="DF1152" s="11">
        <v>489390.0</v>
      </c>
      <c r="DG1152" s="11">
        <v>110650.0</v>
      </c>
      <c r="DH1152" s="11">
        <v>107300.0</v>
      </c>
      <c r="DI1152" s="11">
        <v>66650.0</v>
      </c>
      <c r="DJ1152" s="11">
        <v>28480.0</v>
      </c>
      <c r="DK1152" s="11">
        <v>35430.0</v>
      </c>
      <c r="DL1152" s="11">
        <v>1820.0</v>
      </c>
      <c r="DM1152" s="11">
        <v>12070.0</v>
      </c>
      <c r="DN1152" s="11">
        <v>120040.0</v>
      </c>
      <c r="DO1152" s="11">
        <v>101390.0</v>
      </c>
      <c r="DP1152" s="11">
        <v>345130.0</v>
      </c>
      <c r="DQ1152" s="12"/>
      <c r="DR1152" s="12"/>
      <c r="DS1152" s="12"/>
      <c r="DT1152" s="12"/>
      <c r="DU1152" s="13"/>
      <c r="DV1152" s="12"/>
      <c r="DW1152" s="12"/>
      <c r="DX1152" s="13"/>
      <c r="DY1152" s="13"/>
      <c r="DZ1152" s="11">
        <v>653760.0</v>
      </c>
      <c r="EA1152" s="11">
        <v>608910.0</v>
      </c>
      <c r="EB1152" s="11">
        <v>383450.0</v>
      </c>
      <c r="EC1152" s="11">
        <v>473970.0</v>
      </c>
      <c r="ED1152" s="11">
        <v>531090.0</v>
      </c>
      <c r="EE1152" s="14">
        <v>0.242</v>
      </c>
      <c r="EF1152" s="14">
        <v>0.75</v>
      </c>
      <c r="EG1152" s="14">
        <v>1.266</v>
      </c>
      <c r="EH1152" s="14">
        <v>0.224</v>
      </c>
    </row>
    <row r="1153">
      <c r="A1153" s="9">
        <f t="shared" si="2"/>
        <v>1151</v>
      </c>
      <c r="B1153" s="10" t="s">
        <v>1288</v>
      </c>
      <c r="C1153" s="12"/>
      <c r="D1153" s="12"/>
      <c r="E1153" s="15">
        <v>3530.0</v>
      </c>
      <c r="F1153" s="15">
        <v>3880.0</v>
      </c>
      <c r="G1153" s="15">
        <v>5040.0</v>
      </c>
      <c r="H1153" s="15">
        <v>19630.0</v>
      </c>
      <c r="I1153" s="15">
        <v>23820.0</v>
      </c>
      <c r="J1153" s="15">
        <v>1080.0</v>
      </c>
      <c r="K1153" s="15">
        <v>0.0</v>
      </c>
      <c r="L1153" s="15">
        <v>-5530.0</v>
      </c>
      <c r="M1153" s="15">
        <v>-26010.0</v>
      </c>
      <c r="N1153" s="15">
        <v>-23050.0</v>
      </c>
      <c r="O1153" s="15">
        <v>2910.0</v>
      </c>
      <c r="P1153" s="15">
        <v>2750.0</v>
      </c>
      <c r="Q1153" s="15">
        <v>6250.0</v>
      </c>
      <c r="R1153" s="15">
        <v>10790.0</v>
      </c>
      <c r="S1153" s="15">
        <v>12260.0</v>
      </c>
      <c r="T1153" s="15">
        <v>0.0</v>
      </c>
      <c r="U1153" s="15">
        <v>0.0</v>
      </c>
      <c r="V1153" s="15">
        <v>0.0</v>
      </c>
      <c r="W1153" s="15">
        <v>2550.0</v>
      </c>
      <c r="X1153" s="15">
        <v>2210.0</v>
      </c>
      <c r="Y1153" s="15">
        <v>-2000.0</v>
      </c>
      <c r="Z1153" s="15">
        <v>0.0</v>
      </c>
      <c r="AA1153" s="15">
        <v>-16810.0</v>
      </c>
      <c r="AB1153" s="15">
        <v>-64250.0</v>
      </c>
      <c r="AC1153" s="15">
        <v>-75900.0</v>
      </c>
      <c r="AD1153" s="15">
        <v>-1130.0</v>
      </c>
      <c r="AE1153" s="15">
        <v>0.0</v>
      </c>
      <c r="AF1153" s="15">
        <v>-17760.0</v>
      </c>
      <c r="AG1153" s="15">
        <v>-63100.0</v>
      </c>
      <c r="AH1153" s="15">
        <v>-77860.0</v>
      </c>
      <c r="AI1153" s="15">
        <v>-1660.0</v>
      </c>
      <c r="AJ1153" s="15">
        <v>-2380.0</v>
      </c>
      <c r="AK1153" s="15">
        <v>-10580.0</v>
      </c>
      <c r="AL1153" s="15">
        <v>-30700.0</v>
      </c>
      <c r="AM1153" s="15">
        <v>-24000.0</v>
      </c>
      <c r="AN1153" s="15">
        <v>-1150.0</v>
      </c>
      <c r="AO1153" s="15">
        <v>0.0</v>
      </c>
      <c r="AP1153" s="15">
        <v>-17850.0</v>
      </c>
      <c r="AQ1153" s="15">
        <v>-62880.0</v>
      </c>
      <c r="AR1153" s="15">
        <v>-77830.0</v>
      </c>
      <c r="AS1153" s="15">
        <v>-1230.0</v>
      </c>
      <c r="AT1153" s="15">
        <v>-1070.0</v>
      </c>
      <c r="AU1153" s="15">
        <v>-2030.0</v>
      </c>
      <c r="AV1153" s="15">
        <v>-15290.0</v>
      </c>
      <c r="AW1153" s="15">
        <v>-16720.0</v>
      </c>
      <c r="AX1153" s="15">
        <v>0.0</v>
      </c>
      <c r="AY1153" s="15">
        <v>-2280.0</v>
      </c>
      <c r="AZ1153" s="15">
        <v>0.0</v>
      </c>
      <c r="BA1153" s="15">
        <v>0.0</v>
      </c>
      <c r="BB1153" s="15">
        <v>0.0</v>
      </c>
      <c r="BC1153" s="15">
        <v>0.0</v>
      </c>
      <c r="BD1153" s="15">
        <v>0.0</v>
      </c>
      <c r="BE1153" s="15">
        <v>0.0</v>
      </c>
      <c r="BF1153" s="15">
        <v>0.0</v>
      </c>
      <c r="BG1153" s="15">
        <v>0.0</v>
      </c>
      <c r="BH1153" s="15">
        <v>24340.0</v>
      </c>
      <c r="BI1153" s="15">
        <v>25770.0</v>
      </c>
      <c r="BJ1153" s="15">
        <v>18180.0</v>
      </c>
      <c r="BK1153" s="15">
        <v>17840.0</v>
      </c>
      <c r="BL1153" s="15">
        <v>30280.0</v>
      </c>
      <c r="BM1153" s="15">
        <v>1050.0</v>
      </c>
      <c r="BN1153" s="15">
        <v>0.0</v>
      </c>
      <c r="BO1153" s="15">
        <v>0.0</v>
      </c>
      <c r="BP1153" s="15">
        <v>2590.0</v>
      </c>
      <c r="BQ1153" s="15">
        <v>1740.0</v>
      </c>
      <c r="BR1153" s="15">
        <v>1850.0</v>
      </c>
      <c r="BS1153" s="15">
        <v>2310.0</v>
      </c>
      <c r="BT1153" s="15">
        <v>3870.0</v>
      </c>
      <c r="BU1153" s="15">
        <v>9490.0</v>
      </c>
      <c r="BV1153" s="15">
        <v>27050.0</v>
      </c>
      <c r="BW1153" s="15">
        <v>31690.0</v>
      </c>
      <c r="BX1153" s="15">
        <v>33070.0</v>
      </c>
      <c r="BY1153" s="15">
        <v>34230.0</v>
      </c>
      <c r="BZ1153" s="15">
        <v>45750.0</v>
      </c>
      <c r="CA1153" s="15">
        <v>60260.0</v>
      </c>
      <c r="CB1153" s="15">
        <v>2650.0</v>
      </c>
      <c r="CC1153" s="15">
        <v>2730.0</v>
      </c>
      <c r="CD1153" s="15">
        <v>0.0</v>
      </c>
      <c r="CE1153" s="15">
        <v>7110.0</v>
      </c>
      <c r="CF1153" s="15">
        <v>57570.0</v>
      </c>
      <c r="CG1153" s="15">
        <v>0.0</v>
      </c>
      <c r="CH1153" s="15">
        <v>0.0</v>
      </c>
      <c r="CI1153" s="15">
        <v>0.0</v>
      </c>
      <c r="CJ1153" s="15">
        <v>0.0</v>
      </c>
      <c r="CK1153" s="15">
        <v>0.0</v>
      </c>
      <c r="CL1153" s="15">
        <v>34800.0</v>
      </c>
      <c r="CM1153" s="15">
        <v>35800.0</v>
      </c>
      <c r="CN1153" s="15">
        <v>35050.0</v>
      </c>
      <c r="CO1153" s="15">
        <v>53030.0</v>
      </c>
      <c r="CP1153" s="15">
        <v>122070.0</v>
      </c>
      <c r="CQ1153" s="15">
        <v>0.0</v>
      </c>
      <c r="CR1153" s="15">
        <v>0.0</v>
      </c>
      <c r="CS1153" s="15">
        <v>0.0</v>
      </c>
      <c r="CT1153" s="15">
        <v>0.0</v>
      </c>
      <c r="CU1153" s="15">
        <v>3260.0</v>
      </c>
      <c r="CV1153" s="15">
        <v>1560.0</v>
      </c>
      <c r="CW1153" s="15">
        <v>0.0</v>
      </c>
      <c r="CX1153" s="15">
        <v>0.0</v>
      </c>
      <c r="CY1153" s="15">
        <v>0.0</v>
      </c>
      <c r="CZ1153" s="15">
        <v>0.0</v>
      </c>
      <c r="DA1153" s="15">
        <v>1500.0</v>
      </c>
      <c r="DB1153" s="15">
        <v>1560.0</v>
      </c>
      <c r="DC1153" s="15">
        <v>1190.0</v>
      </c>
      <c r="DD1153" s="15">
        <v>1720.0</v>
      </c>
      <c r="DE1153" s="15">
        <v>2560.0</v>
      </c>
      <c r="DF1153" s="15">
        <v>1560.0</v>
      </c>
      <c r="DG1153" s="15">
        <v>1200.0</v>
      </c>
      <c r="DH1153" s="15">
        <v>1720.0</v>
      </c>
      <c r="DI1153" s="15">
        <v>2580.0</v>
      </c>
      <c r="DJ1153" s="15">
        <v>10080.0</v>
      </c>
      <c r="DK1153" s="15">
        <v>0.0</v>
      </c>
      <c r="DL1153" s="15">
        <v>0.0</v>
      </c>
      <c r="DM1153" s="15">
        <v>0.0</v>
      </c>
      <c r="DN1153" s="15">
        <v>0.0</v>
      </c>
      <c r="DO1153" s="15">
        <v>0.0</v>
      </c>
      <c r="DP1153" s="15">
        <v>0.0</v>
      </c>
      <c r="DQ1153" s="15">
        <v>0.0</v>
      </c>
      <c r="DR1153" s="15">
        <v>0.0</v>
      </c>
      <c r="DS1153" s="15">
        <v>0.0</v>
      </c>
      <c r="DT1153" s="15">
        <v>0.0</v>
      </c>
      <c r="DU1153" s="15">
        <v>0.0</v>
      </c>
      <c r="DV1153" s="15">
        <v>0.0</v>
      </c>
      <c r="DW1153" s="15">
        <v>0.0</v>
      </c>
      <c r="DX1153" s="15">
        <v>0.0</v>
      </c>
      <c r="DY1153" s="15">
        <v>0.0</v>
      </c>
      <c r="DZ1153" s="15">
        <v>33250.0</v>
      </c>
      <c r="EA1153" s="15">
        <v>34600.0</v>
      </c>
      <c r="EB1153" s="15">
        <v>33330.0</v>
      </c>
      <c r="EC1153" s="15">
        <v>50450.0</v>
      </c>
      <c r="ED1153" s="15">
        <v>111990.0</v>
      </c>
      <c r="EE1153" s="23"/>
      <c r="EF1153" s="23"/>
      <c r="EG1153" s="23" t="s">
        <v>155</v>
      </c>
      <c r="EH1153" s="23"/>
    </row>
    <row r="1154">
      <c r="A1154" s="9">
        <f t="shared" si="2"/>
        <v>1152</v>
      </c>
      <c r="B1154" s="10" t="s">
        <v>1289</v>
      </c>
      <c r="C1154" s="11">
        <v>2960000.0</v>
      </c>
      <c r="D1154" s="11">
        <v>2770000.0</v>
      </c>
      <c r="E1154" s="11">
        <v>2670000.0</v>
      </c>
      <c r="F1154" s="11">
        <v>2660000.0</v>
      </c>
      <c r="G1154" s="11">
        <v>2700000.0</v>
      </c>
      <c r="H1154" s="11">
        <v>2960000.0</v>
      </c>
      <c r="I1154" s="11">
        <v>3280000.0</v>
      </c>
      <c r="J1154" s="11">
        <v>952870.0</v>
      </c>
      <c r="K1154" s="11">
        <v>935800.0</v>
      </c>
      <c r="L1154" s="11">
        <v>907480.0</v>
      </c>
      <c r="M1154" s="11">
        <v>1070000.0</v>
      </c>
      <c r="N1154" s="11">
        <v>1220000.0</v>
      </c>
      <c r="O1154" s="11">
        <v>759740.0</v>
      </c>
      <c r="P1154" s="11">
        <v>820340.0</v>
      </c>
      <c r="Q1154" s="11">
        <v>915280.0</v>
      </c>
      <c r="R1154" s="11">
        <v>960520.0</v>
      </c>
      <c r="S1154" s="11">
        <v>1000000.0</v>
      </c>
      <c r="T1154" s="11"/>
      <c r="U1154" s="11"/>
      <c r="V1154" s="11"/>
      <c r="W1154" s="11"/>
      <c r="X1154" s="11"/>
      <c r="Y1154" s="11">
        <v>251690.0</v>
      </c>
      <c r="Z1154" s="11">
        <v>55660.0</v>
      </c>
      <c r="AA1154" s="11">
        <v>-65000.0</v>
      </c>
      <c r="AB1154" s="11">
        <v>-66600.0</v>
      </c>
      <c r="AC1154" s="11">
        <v>-1220000.0</v>
      </c>
      <c r="AD1154" s="11">
        <v>223780.0</v>
      </c>
      <c r="AE1154" s="11">
        <v>13840.0</v>
      </c>
      <c r="AF1154" s="11">
        <v>-110200.0</v>
      </c>
      <c r="AG1154" s="11">
        <v>-113270.0</v>
      </c>
      <c r="AH1154" s="11">
        <v>-1060000.0</v>
      </c>
      <c r="AI1154" s="11">
        <v>873800.0</v>
      </c>
      <c r="AJ1154" s="11">
        <v>801050.0</v>
      </c>
      <c r="AK1154" s="11">
        <v>689190.0</v>
      </c>
      <c r="AL1154" s="11">
        <v>185480.0</v>
      </c>
      <c r="AM1154" s="11">
        <v>298180.0</v>
      </c>
      <c r="AN1154" s="11">
        <v>173550.0</v>
      </c>
      <c r="AO1154" s="11">
        <v>8490.0</v>
      </c>
      <c r="AP1154" s="11">
        <v>6650.0</v>
      </c>
      <c r="AQ1154" s="11">
        <v>-105200.0</v>
      </c>
      <c r="AR1154" s="11">
        <v>-953520.0</v>
      </c>
      <c r="AS1154" s="11">
        <v>215420.0</v>
      </c>
      <c r="AT1154" s="11">
        <v>227510.0</v>
      </c>
      <c r="AU1154" s="11">
        <v>110530.0</v>
      </c>
      <c r="AV1154" s="11">
        <v>353740.0</v>
      </c>
      <c r="AW1154" s="11">
        <v>230490.0</v>
      </c>
      <c r="AX1154" s="11">
        <v>-21160.0</v>
      </c>
      <c r="AY1154" s="11">
        <v>-27960.0</v>
      </c>
      <c r="AZ1154" s="11">
        <v>-65460.0</v>
      </c>
      <c r="BA1154" s="11">
        <v>-61140.0</v>
      </c>
      <c r="BB1154" s="11">
        <v>-80870.0</v>
      </c>
      <c r="BC1154" s="11">
        <v>-13710.0</v>
      </c>
      <c r="BD1154" s="12"/>
      <c r="BE1154" s="11">
        <v>-12810.0</v>
      </c>
      <c r="BF1154" s="11">
        <v>-25550.0</v>
      </c>
      <c r="BG1154" s="11">
        <v>-51010.0</v>
      </c>
      <c r="BH1154" s="11">
        <v>70490.0</v>
      </c>
      <c r="BI1154" s="11">
        <v>155390.0</v>
      </c>
      <c r="BJ1154" s="11">
        <v>72970.0</v>
      </c>
      <c r="BK1154" s="11">
        <v>95400.0</v>
      </c>
      <c r="BL1154" s="11">
        <v>60360.0</v>
      </c>
      <c r="BM1154" s="11">
        <v>84120.0</v>
      </c>
      <c r="BN1154" s="11">
        <v>69650.0</v>
      </c>
      <c r="BO1154" s="11">
        <v>69820.0</v>
      </c>
      <c r="BP1154" s="11">
        <v>69790.0</v>
      </c>
      <c r="BQ1154" s="11">
        <v>69320.0</v>
      </c>
      <c r="BR1154" s="11">
        <v>840570.0</v>
      </c>
      <c r="BS1154" s="11">
        <v>811300.0</v>
      </c>
      <c r="BT1154" s="11">
        <v>873020.0</v>
      </c>
      <c r="BU1154" s="11">
        <v>1010000.0</v>
      </c>
      <c r="BV1154" s="11">
        <v>1140000.0</v>
      </c>
      <c r="BW1154" s="11">
        <v>1030000.0</v>
      </c>
      <c r="BX1154" s="11">
        <v>1090000.0</v>
      </c>
      <c r="BY1154" s="11">
        <v>1080000.0</v>
      </c>
      <c r="BZ1154" s="11">
        <v>1230000.0</v>
      </c>
      <c r="CA1154" s="11">
        <v>1430000.0</v>
      </c>
      <c r="CB1154" s="11">
        <v>447700.0</v>
      </c>
      <c r="CC1154" s="11">
        <v>226320.0</v>
      </c>
      <c r="CD1154" s="11">
        <v>282900.0</v>
      </c>
      <c r="CE1154" s="11">
        <v>316430.0</v>
      </c>
      <c r="CF1154" s="11">
        <v>330940.0</v>
      </c>
      <c r="CG1154" s="11">
        <v>70220.0</v>
      </c>
      <c r="CH1154" s="11">
        <v>56850.0</v>
      </c>
      <c r="CI1154" s="11">
        <v>56610.0</v>
      </c>
      <c r="CJ1154" s="11">
        <v>55310.0</v>
      </c>
      <c r="CK1154" s="11">
        <v>206120.0</v>
      </c>
      <c r="CL1154" s="11">
        <v>1580000.0</v>
      </c>
      <c r="CM1154" s="11">
        <v>1400000.0</v>
      </c>
      <c r="CN1154" s="11">
        <v>1420000.0</v>
      </c>
      <c r="CO1154" s="11">
        <v>1600000.0</v>
      </c>
      <c r="CP1154" s="11">
        <v>1970000.0</v>
      </c>
      <c r="CQ1154" s="11">
        <v>168120.0</v>
      </c>
      <c r="CR1154" s="11">
        <v>113840.0</v>
      </c>
      <c r="CS1154" s="11">
        <v>90350.0</v>
      </c>
      <c r="CT1154" s="11">
        <v>108240.0</v>
      </c>
      <c r="CU1154" s="11">
        <v>96360.0</v>
      </c>
      <c r="CV1154" s="11">
        <v>562590.0</v>
      </c>
      <c r="CW1154" s="11">
        <v>116690.0</v>
      </c>
      <c r="CX1154" s="12"/>
      <c r="CY1154" s="13"/>
      <c r="CZ1154" s="13"/>
      <c r="DA1154" s="12"/>
      <c r="DB1154" s="11">
        <v>562590.0</v>
      </c>
      <c r="DC1154" s="11">
        <v>451300.0</v>
      </c>
      <c r="DD1154" s="11">
        <v>388370.0</v>
      </c>
      <c r="DE1154" s="11">
        <v>440430.0</v>
      </c>
      <c r="DF1154" s="11">
        <v>1120000.0</v>
      </c>
      <c r="DG1154" s="11">
        <v>1110000.0</v>
      </c>
      <c r="DH1154" s="11">
        <v>1150000.0</v>
      </c>
      <c r="DI1154" s="11">
        <v>1340000.0</v>
      </c>
      <c r="DJ1154" s="11">
        <v>1590000.0</v>
      </c>
      <c r="DK1154" s="12"/>
      <c r="DL1154" s="11"/>
      <c r="DM1154" s="11"/>
      <c r="DN1154" s="11"/>
      <c r="DO1154" s="11"/>
      <c r="DP1154" s="11">
        <v>397270.0</v>
      </c>
      <c r="DQ1154" s="11">
        <v>540040.0</v>
      </c>
      <c r="DR1154" s="11">
        <v>672890.0</v>
      </c>
      <c r="DS1154" s="11">
        <v>724230.0</v>
      </c>
      <c r="DT1154" s="11">
        <v>941260.0</v>
      </c>
      <c r="DU1154" s="13"/>
      <c r="DV1154" s="12"/>
      <c r="DW1154" s="12"/>
      <c r="DX1154" s="12"/>
      <c r="DY1154" s="12"/>
      <c r="DZ1154" s="11">
        <v>458960.0</v>
      </c>
      <c r="EA1154" s="11">
        <v>286520.0</v>
      </c>
      <c r="EB1154" s="11">
        <v>272440.0</v>
      </c>
      <c r="EC1154" s="11">
        <v>264930.0</v>
      </c>
      <c r="ED1154" s="11">
        <v>383590.0</v>
      </c>
      <c r="EE1154" s="14">
        <v>0.018</v>
      </c>
      <c r="EF1154" s="14">
        <v>0.105</v>
      </c>
      <c r="EG1154" s="14">
        <v>0.333</v>
      </c>
      <c r="EH1154" s="14">
        <v>0.112</v>
      </c>
    </row>
    <row r="1155">
      <c r="A1155" s="9">
        <f t="shared" si="2"/>
        <v>1153</v>
      </c>
      <c r="B1155" s="22" t="s">
        <v>1290</v>
      </c>
      <c r="C1155" s="11">
        <v>14550.0</v>
      </c>
      <c r="D1155" s="12"/>
      <c r="E1155" s="12"/>
      <c r="F1155" s="12"/>
      <c r="G1155" s="12"/>
      <c r="H1155" s="12"/>
      <c r="I1155" s="12"/>
      <c r="J1155" s="11">
        <v>-426.0</v>
      </c>
      <c r="K1155" s="11">
        <v>-330.0</v>
      </c>
      <c r="L1155" s="11">
        <v>-204.0</v>
      </c>
      <c r="M1155" s="11">
        <v>-169.0</v>
      </c>
      <c r="N1155" s="11">
        <v>-45.0</v>
      </c>
      <c r="O1155" s="11">
        <v>76930.0</v>
      </c>
      <c r="P1155" s="11">
        <v>65530.0</v>
      </c>
      <c r="Q1155" s="11">
        <v>19570.0</v>
      </c>
      <c r="R1155" s="11">
        <v>41710.0</v>
      </c>
      <c r="S1155" s="11">
        <v>20350.0</v>
      </c>
      <c r="T1155" s="11">
        <v>59400.0</v>
      </c>
      <c r="U1155" s="11">
        <v>53270.0</v>
      </c>
      <c r="V1155" s="11">
        <v>14920.0</v>
      </c>
      <c r="W1155" s="11">
        <v>31990.0</v>
      </c>
      <c r="X1155" s="11">
        <v>12550.0</v>
      </c>
      <c r="Y1155" s="12"/>
      <c r="Z1155" s="11">
        <v>-71160.0</v>
      </c>
      <c r="AA1155" s="12"/>
      <c r="AB1155" s="12"/>
      <c r="AC1155" s="11">
        <v>-66840.0</v>
      </c>
      <c r="AD1155" s="11">
        <v>-77520.0</v>
      </c>
      <c r="AE1155" s="11">
        <v>-74700.0</v>
      </c>
      <c r="AF1155" s="11">
        <v>-19770.0</v>
      </c>
      <c r="AG1155" s="11">
        <v>-42850.0</v>
      </c>
      <c r="AH1155" s="11">
        <v>-67980.0</v>
      </c>
      <c r="AI1155" s="11">
        <v>-76930.0</v>
      </c>
      <c r="AJ1155" s="11">
        <v>-65530.0</v>
      </c>
      <c r="AK1155" s="11">
        <v>-19570.0</v>
      </c>
      <c r="AL1155" s="11">
        <v>-41710.0</v>
      </c>
      <c r="AM1155" s="11">
        <v>-20350.0</v>
      </c>
      <c r="AN1155" s="11">
        <v>-77270.0</v>
      </c>
      <c r="AO1155" s="11">
        <v>-74520.0</v>
      </c>
      <c r="AP1155" s="11">
        <v>-19580.0</v>
      </c>
      <c r="AQ1155" s="11">
        <v>-42850.0</v>
      </c>
      <c r="AR1155" s="11">
        <v>-67980.0</v>
      </c>
      <c r="AS1155" s="11">
        <v>-64580.0</v>
      </c>
      <c r="AT1155" s="11">
        <v>-53790.0</v>
      </c>
      <c r="AU1155" s="11">
        <v>-15960.0</v>
      </c>
      <c r="AV1155" s="11">
        <v>-37270.0</v>
      </c>
      <c r="AW1155" s="11">
        <v>-17420.0</v>
      </c>
      <c r="AX1155" s="11">
        <v>-23270.0</v>
      </c>
      <c r="AY1155" s="11">
        <v>-1450.0</v>
      </c>
      <c r="AZ1155" s="11">
        <v>-760.0</v>
      </c>
      <c r="BA1155" s="11">
        <v>-487.0</v>
      </c>
      <c r="BB1155" s="11">
        <v>-412.0</v>
      </c>
      <c r="BC1155" s="12"/>
      <c r="BD1155" s="12"/>
      <c r="BE1155" s="12"/>
      <c r="BF1155" s="12"/>
      <c r="BG1155" s="12"/>
      <c r="BH1155" s="11">
        <v>304120.0</v>
      </c>
      <c r="BI1155" s="11">
        <v>205730.0</v>
      </c>
      <c r="BJ1155" s="11">
        <v>18140.0</v>
      </c>
      <c r="BK1155" s="11">
        <v>126470.0</v>
      </c>
      <c r="BL1155" s="11">
        <v>111280.0</v>
      </c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1">
        <v>307750.0</v>
      </c>
      <c r="BX1155" s="11">
        <v>209090.0</v>
      </c>
      <c r="BY1155" s="11">
        <v>18960.0</v>
      </c>
      <c r="BZ1155" s="11">
        <v>128350.0</v>
      </c>
      <c r="CA1155" s="11">
        <v>112370.0</v>
      </c>
      <c r="CB1155" s="11">
        <v>31350.0</v>
      </c>
      <c r="CC1155" s="11">
        <v>2030.0</v>
      </c>
      <c r="CD1155" s="11">
        <v>985.0</v>
      </c>
      <c r="CE1155" s="11">
        <v>1130.0</v>
      </c>
      <c r="CF1155" s="11">
        <v>812.0</v>
      </c>
      <c r="CG1155" s="11">
        <v>30820.0</v>
      </c>
      <c r="CH1155" s="11">
        <v>30820.0</v>
      </c>
      <c r="CI1155" s="12"/>
      <c r="CJ1155" s="12"/>
      <c r="CK1155" s="12"/>
      <c r="CL1155" s="11">
        <v>372120.0</v>
      </c>
      <c r="CM1155" s="11">
        <v>251310.0</v>
      </c>
      <c r="CN1155" s="11">
        <v>20150.0</v>
      </c>
      <c r="CO1155" s="11">
        <v>129650.0</v>
      </c>
      <c r="CP1155" s="11">
        <v>113320.0</v>
      </c>
      <c r="CQ1155" s="12"/>
      <c r="CR1155" s="12"/>
      <c r="CS1155" s="12"/>
      <c r="CT1155" s="12"/>
      <c r="CU1155" s="12"/>
      <c r="CV1155" s="11">
        <v>18310.0</v>
      </c>
      <c r="CW1155" s="11">
        <v>957.0</v>
      </c>
      <c r="CX1155" s="12"/>
      <c r="CY1155" s="12"/>
      <c r="CZ1155" s="12"/>
      <c r="DA1155" s="12"/>
      <c r="DB1155" s="11">
        <v>18310.0</v>
      </c>
      <c r="DC1155" s="11">
        <v>15370.0</v>
      </c>
      <c r="DD1155" s="11">
        <v>4520.0</v>
      </c>
      <c r="DE1155" s="11">
        <v>7210.0</v>
      </c>
      <c r="DF1155" s="11">
        <v>64820.0</v>
      </c>
      <c r="DG1155" s="11">
        <v>57280.0</v>
      </c>
      <c r="DH1155" s="11">
        <v>4630.0</v>
      </c>
      <c r="DI1155" s="11">
        <v>56480.0</v>
      </c>
      <c r="DJ1155" s="11">
        <v>4510.0</v>
      </c>
      <c r="DK1155" s="11">
        <v>1530.0</v>
      </c>
      <c r="DL1155" s="11">
        <v>8840.0</v>
      </c>
      <c r="DM1155" s="11">
        <v>207.0</v>
      </c>
      <c r="DN1155" s="12"/>
      <c r="DO1155" s="12"/>
      <c r="DP1155" s="11">
        <v>46490.0</v>
      </c>
      <c r="DQ1155" s="11">
        <v>41450.0</v>
      </c>
      <c r="DR1155" s="12"/>
      <c r="DS1155" s="11">
        <v>48960.0</v>
      </c>
      <c r="DT1155" s="12"/>
      <c r="DU1155" s="13"/>
      <c r="DV1155" s="12"/>
      <c r="DW1155" s="11">
        <v>41470.0</v>
      </c>
      <c r="DX1155" s="13"/>
      <c r="DY1155" s="13"/>
      <c r="DZ1155" s="11">
        <v>307300.0</v>
      </c>
      <c r="EA1155" s="11">
        <v>194040.0</v>
      </c>
      <c r="EB1155" s="11">
        <v>15520.0</v>
      </c>
      <c r="EC1155" s="11">
        <v>73170.0</v>
      </c>
      <c r="ED1155" s="11">
        <v>108810.0</v>
      </c>
      <c r="EE1155" s="23"/>
      <c r="EF1155" s="23"/>
      <c r="EG1155" s="14">
        <v>0.118</v>
      </c>
      <c r="EH1155" s="14">
        <v>0.157</v>
      </c>
    </row>
    <row r="1156">
      <c r="A1156" s="9">
        <f t="shared" si="2"/>
        <v>1154</v>
      </c>
      <c r="B1156" s="25" t="s">
        <v>1291</v>
      </c>
      <c r="C1156" s="15">
        <v>266000.0</v>
      </c>
      <c r="D1156" s="15">
        <v>255100.0</v>
      </c>
      <c r="E1156" s="15">
        <v>270410.0</v>
      </c>
      <c r="F1156" s="15">
        <v>252690.0</v>
      </c>
      <c r="G1156" s="15">
        <v>253200.0</v>
      </c>
      <c r="H1156" s="15">
        <v>260260.0</v>
      </c>
      <c r="I1156" s="15">
        <v>269300.0</v>
      </c>
      <c r="J1156" s="15">
        <v>97690.0</v>
      </c>
      <c r="K1156" s="15">
        <v>87030.0</v>
      </c>
      <c r="L1156" s="15">
        <v>80770.0</v>
      </c>
      <c r="M1156" s="15">
        <v>76730.0</v>
      </c>
      <c r="N1156" s="15">
        <v>88890.0</v>
      </c>
      <c r="O1156" s="15">
        <v>75600.0</v>
      </c>
      <c r="P1156" s="15">
        <v>68970.0</v>
      </c>
      <c r="Q1156" s="15">
        <v>68940.0</v>
      </c>
      <c r="R1156" s="15">
        <v>75630.0</v>
      </c>
      <c r="S1156" s="15">
        <v>78400.0</v>
      </c>
      <c r="T1156" s="15"/>
      <c r="U1156" s="15"/>
      <c r="V1156" s="15"/>
      <c r="W1156" s="15"/>
      <c r="X1156" s="15"/>
      <c r="Y1156" s="12"/>
      <c r="Z1156" s="12"/>
      <c r="AA1156" s="12"/>
      <c r="AB1156" s="15">
        <v>-4160.0</v>
      </c>
      <c r="AC1156" s="15"/>
      <c r="AD1156" s="15">
        <v>22230.0</v>
      </c>
      <c r="AE1156" s="15">
        <v>17900.0</v>
      </c>
      <c r="AF1156" s="15">
        <v>9360.0</v>
      </c>
      <c r="AG1156" s="15">
        <v>-3620.0</v>
      </c>
      <c r="AH1156" s="15">
        <v>9690.0</v>
      </c>
      <c r="AI1156" s="15">
        <v>27120.0</v>
      </c>
      <c r="AJ1156" s="15">
        <v>23440.0</v>
      </c>
      <c r="AK1156" s="15">
        <v>18330.0</v>
      </c>
      <c r="AL1156" s="15">
        <v>8820.0</v>
      </c>
      <c r="AM1156" s="15">
        <v>17680.0</v>
      </c>
      <c r="AN1156" s="15">
        <v>17460.0</v>
      </c>
      <c r="AO1156" s="15">
        <v>14550.0</v>
      </c>
      <c r="AP1156" s="15">
        <v>9590.0</v>
      </c>
      <c r="AQ1156" s="15">
        <v>-2140.0</v>
      </c>
      <c r="AR1156" s="15">
        <v>6600.0</v>
      </c>
      <c r="AS1156" s="15">
        <v>18090.0</v>
      </c>
      <c r="AT1156" s="15">
        <v>17570.0</v>
      </c>
      <c r="AU1156" s="15">
        <v>17110.0</v>
      </c>
      <c r="AV1156" s="15">
        <v>21300.0</v>
      </c>
      <c r="AW1156" s="15">
        <v>23240.0</v>
      </c>
      <c r="AX1156" s="15">
        <v>-7720.0</v>
      </c>
      <c r="AY1156" s="15">
        <v>-4240.0</v>
      </c>
      <c r="AZ1156" s="15">
        <v>-4310.0</v>
      </c>
      <c r="BA1156" s="15">
        <v>-5910.0</v>
      </c>
      <c r="BB1156" s="15">
        <v>-8660.0</v>
      </c>
      <c r="BC1156" s="15">
        <v>-3990.0</v>
      </c>
      <c r="BD1156" s="15">
        <v>-3480.0</v>
      </c>
      <c r="BE1156" s="15">
        <v>-3270.0</v>
      </c>
      <c r="BF1156" s="15">
        <v>-3300.0</v>
      </c>
      <c r="BG1156" s="15">
        <v>-3250.0</v>
      </c>
      <c r="BH1156" s="15">
        <v>15520.0</v>
      </c>
      <c r="BI1156" s="15">
        <v>10170.0</v>
      </c>
      <c r="BJ1156" s="15">
        <v>3680.0</v>
      </c>
      <c r="BK1156" s="15">
        <v>4480.0</v>
      </c>
      <c r="BL1156" s="15">
        <v>3410.0</v>
      </c>
      <c r="BM1156" s="15">
        <v>50850.0</v>
      </c>
      <c r="BN1156" s="15">
        <v>46300.0</v>
      </c>
      <c r="BO1156" s="15">
        <v>47680.0</v>
      </c>
      <c r="BP1156" s="15">
        <v>42780.0</v>
      </c>
      <c r="BQ1156" s="15">
        <v>45260.0</v>
      </c>
      <c r="BR1156" s="15">
        <v>76730.0</v>
      </c>
      <c r="BS1156" s="15">
        <v>72820.0</v>
      </c>
      <c r="BT1156" s="15">
        <v>65620.0</v>
      </c>
      <c r="BU1156" s="15">
        <v>69170.0</v>
      </c>
      <c r="BV1156" s="15">
        <v>76990.0</v>
      </c>
      <c r="BW1156" s="15">
        <v>146130.0</v>
      </c>
      <c r="BX1156" s="15">
        <v>131190.0</v>
      </c>
      <c r="BY1156" s="15">
        <v>119190.0</v>
      </c>
      <c r="BZ1156" s="15">
        <v>118780.0</v>
      </c>
      <c r="CA1156" s="15">
        <v>129220.0</v>
      </c>
      <c r="CB1156" s="15">
        <v>29170.0</v>
      </c>
      <c r="CC1156" s="15">
        <v>23060.0</v>
      </c>
      <c r="CD1156" s="15">
        <v>23780.0</v>
      </c>
      <c r="CE1156" s="15">
        <v>26510.0</v>
      </c>
      <c r="CF1156" s="15">
        <v>27840.0</v>
      </c>
      <c r="CG1156" s="15"/>
      <c r="CH1156" s="15"/>
      <c r="CI1156" s="15"/>
      <c r="CJ1156" s="15"/>
      <c r="CK1156" s="15"/>
      <c r="CL1156" s="15">
        <v>207060.0</v>
      </c>
      <c r="CM1156" s="15">
        <v>184660.0</v>
      </c>
      <c r="CN1156" s="15">
        <v>173480.0</v>
      </c>
      <c r="CO1156" s="15">
        <v>178940.0</v>
      </c>
      <c r="CP1156" s="15">
        <v>193870.0</v>
      </c>
      <c r="CQ1156" s="15">
        <v>15780.0</v>
      </c>
      <c r="CR1156" s="15">
        <v>13540.0</v>
      </c>
      <c r="CS1156" s="15">
        <v>12980.0</v>
      </c>
      <c r="CT1156" s="15">
        <v>11590.0</v>
      </c>
      <c r="CU1156" s="15">
        <v>9120.0</v>
      </c>
      <c r="CV1156" s="15">
        <v>31530.0</v>
      </c>
      <c r="CW1156" s="15">
        <v>586.0</v>
      </c>
      <c r="CX1156" s="15"/>
      <c r="CY1156" s="15"/>
      <c r="CZ1156" s="15"/>
      <c r="DA1156" s="15"/>
      <c r="DB1156" s="15">
        <v>31530.0</v>
      </c>
      <c r="DC1156" s="15">
        <v>25020.0</v>
      </c>
      <c r="DD1156" s="15">
        <v>20030.0</v>
      </c>
      <c r="DE1156" s="15">
        <v>17720.0</v>
      </c>
      <c r="DF1156" s="15">
        <v>42400.0</v>
      </c>
      <c r="DG1156" s="15">
        <v>33090.0</v>
      </c>
      <c r="DH1156" s="15">
        <v>32390.0</v>
      </c>
      <c r="DI1156" s="15">
        <v>43850.0</v>
      </c>
      <c r="DJ1156" s="15">
        <v>51740.0</v>
      </c>
      <c r="DK1156" s="15"/>
      <c r="DL1156" s="15"/>
      <c r="DM1156" s="15"/>
      <c r="DN1156" s="15"/>
      <c r="DO1156" s="15"/>
      <c r="DP1156" s="15">
        <v>1160.0</v>
      </c>
      <c r="DQ1156" s="15"/>
      <c r="DR1156" s="15">
        <v>2200.0</v>
      </c>
      <c r="DS1156" s="15">
        <v>14580.0</v>
      </c>
      <c r="DT1156" s="15">
        <v>23700.0</v>
      </c>
      <c r="DU1156" s="13"/>
      <c r="DV1156" s="12"/>
      <c r="DW1156" s="12"/>
      <c r="DX1156" s="13"/>
      <c r="DY1156" s="13"/>
      <c r="DZ1156" s="15">
        <v>164660.0</v>
      </c>
      <c r="EA1156" s="15">
        <v>151580.0</v>
      </c>
      <c r="EB1156" s="15">
        <v>141090.0</v>
      </c>
      <c r="EC1156" s="15">
        <v>135090.0</v>
      </c>
      <c r="ED1156" s="15">
        <v>142120.0</v>
      </c>
      <c r="EE1156" s="17">
        <v>0.0</v>
      </c>
      <c r="EF1156" s="17">
        <v>0.0</v>
      </c>
      <c r="EG1156" s="17">
        <v>3.062</v>
      </c>
      <c r="EH1156" s="17">
        <v>0.732</v>
      </c>
    </row>
    <row r="1157">
      <c r="A1157" s="9">
        <f t="shared" si="2"/>
        <v>1155</v>
      </c>
      <c r="B1157" s="10" t="s">
        <v>1292</v>
      </c>
      <c r="C1157" s="15">
        <v>8270000.0</v>
      </c>
      <c r="D1157" s="15">
        <v>3450000.0</v>
      </c>
      <c r="E1157" s="15">
        <v>1.095E7</v>
      </c>
      <c r="F1157" s="15">
        <v>9490000.0</v>
      </c>
      <c r="G1157" s="15">
        <v>8780000.0</v>
      </c>
      <c r="H1157" s="15">
        <v>8500000.0</v>
      </c>
      <c r="I1157" s="15">
        <v>8300000.0</v>
      </c>
      <c r="J1157" s="15">
        <v>3630000.0</v>
      </c>
      <c r="K1157" s="15">
        <v>3210000.0</v>
      </c>
      <c r="L1157" s="15">
        <v>3050000.0</v>
      </c>
      <c r="M1157" s="15">
        <v>2880000.0</v>
      </c>
      <c r="N1157" s="15">
        <v>2630000.0</v>
      </c>
      <c r="O1157" s="15">
        <v>1560000.0</v>
      </c>
      <c r="P1157" s="15">
        <v>1300000.0</v>
      </c>
      <c r="Q1157" s="15">
        <v>1190000.0</v>
      </c>
      <c r="R1157" s="15">
        <v>1100000.0</v>
      </c>
      <c r="S1157" s="15">
        <v>0.0</v>
      </c>
      <c r="T1157" s="15">
        <v>0.0</v>
      </c>
      <c r="U1157" s="15">
        <v>0.0</v>
      </c>
      <c r="V1157" s="15">
        <v>0.0</v>
      </c>
      <c r="W1157" s="15">
        <v>0.0</v>
      </c>
      <c r="X1157" s="15">
        <v>0.0</v>
      </c>
      <c r="Y1157" s="15">
        <v>2040000.0</v>
      </c>
      <c r="Z1157" s="15">
        <v>1820000.0</v>
      </c>
      <c r="AA1157" s="15">
        <v>66750.0</v>
      </c>
      <c r="AB1157" s="15">
        <v>1710000.0</v>
      </c>
      <c r="AC1157" s="15">
        <v>0.0</v>
      </c>
      <c r="AD1157" s="15">
        <v>1910000.0</v>
      </c>
      <c r="AE1157" s="15">
        <v>1820000.0</v>
      </c>
      <c r="AF1157" s="15">
        <v>1630000.0</v>
      </c>
      <c r="AG1157" s="15">
        <v>1280000.0</v>
      </c>
      <c r="AH1157" s="15">
        <v>665780.0</v>
      </c>
      <c r="AI1157" s="15">
        <v>3300000.0</v>
      </c>
      <c r="AJ1157" s="15">
        <v>2930000.0</v>
      </c>
      <c r="AK1157" s="15">
        <v>2810000.0</v>
      </c>
      <c r="AL1157" s="15">
        <v>2670000.0</v>
      </c>
      <c r="AM1157" s="15">
        <v>0.0</v>
      </c>
      <c r="AN1157" s="15">
        <v>1880000.0</v>
      </c>
      <c r="AO1157" s="15">
        <v>1810000.0</v>
      </c>
      <c r="AP1157" s="15">
        <v>1630000.0</v>
      </c>
      <c r="AQ1157" s="15">
        <v>1280000.0</v>
      </c>
      <c r="AR1157" s="15">
        <v>0.0</v>
      </c>
      <c r="AS1157" s="15">
        <v>3720000.0</v>
      </c>
      <c r="AT1157" s="15">
        <v>3480000.0</v>
      </c>
      <c r="AU1157" s="15">
        <v>2870000.0</v>
      </c>
      <c r="AV1157" s="15">
        <v>2520000.0</v>
      </c>
      <c r="AW1157" s="15">
        <v>0.0</v>
      </c>
      <c r="AX1157" s="15">
        <v>-3020000.0</v>
      </c>
      <c r="AY1157" s="15">
        <v>-3660000.0</v>
      </c>
      <c r="AZ1157" s="15">
        <v>-564140.0</v>
      </c>
      <c r="BA1157" s="15">
        <v>-2490000.0</v>
      </c>
      <c r="BB1157" s="15">
        <v>0.0</v>
      </c>
      <c r="BC1157" s="15">
        <v>-602670.0</v>
      </c>
      <c r="BD1157" s="15">
        <v>-527490.0</v>
      </c>
      <c r="BE1157" s="15">
        <v>-437460.0</v>
      </c>
      <c r="BF1157" s="15">
        <v>-346490.0</v>
      </c>
      <c r="BG1157" s="15">
        <v>-280210.0</v>
      </c>
      <c r="BH1157" s="15">
        <v>265490.0</v>
      </c>
      <c r="BI1157" s="15">
        <v>307420.0</v>
      </c>
      <c r="BJ1157" s="15">
        <v>219430.0</v>
      </c>
      <c r="BK1157" s="15">
        <v>132600.0</v>
      </c>
      <c r="BL1157" s="15">
        <v>256140.0</v>
      </c>
      <c r="BM1157" s="15">
        <v>305820.0</v>
      </c>
      <c r="BN1157" s="15">
        <v>324510.0</v>
      </c>
      <c r="BO1157" s="15">
        <v>318640.0</v>
      </c>
      <c r="BP1157" s="15">
        <v>291900.0</v>
      </c>
      <c r="BQ1157" s="15">
        <v>238970.0</v>
      </c>
      <c r="BR1157" s="15">
        <v>162110.0</v>
      </c>
      <c r="BS1157" s="15">
        <v>153570.0</v>
      </c>
      <c r="BT1157" s="15">
        <v>111390.0</v>
      </c>
      <c r="BU1157" s="15">
        <v>114090.0</v>
      </c>
      <c r="BV1157" s="15">
        <v>121330.0</v>
      </c>
      <c r="BW1157" s="15">
        <v>1160000.0</v>
      </c>
      <c r="BX1157" s="15">
        <v>1240000.0</v>
      </c>
      <c r="BY1157" s="15">
        <v>907640.0</v>
      </c>
      <c r="BZ1157" s="15">
        <v>748310.0</v>
      </c>
      <c r="CA1157" s="15">
        <v>837020.0</v>
      </c>
      <c r="CB1157" s="15">
        <v>2.615E7</v>
      </c>
      <c r="CC1157" s="15">
        <v>2.347E7</v>
      </c>
      <c r="CD1157" s="15">
        <v>1.974E7</v>
      </c>
      <c r="CE1157" s="15">
        <v>2.016E7</v>
      </c>
      <c r="CF1157" s="15">
        <v>1.878E7</v>
      </c>
      <c r="CG1157" s="15">
        <v>1390000.0</v>
      </c>
      <c r="CH1157" s="15">
        <v>1380000.0</v>
      </c>
      <c r="CI1157" s="15">
        <v>288510.0</v>
      </c>
      <c r="CJ1157" s="15">
        <v>288390.0</v>
      </c>
      <c r="CK1157" s="15">
        <v>286760.0</v>
      </c>
      <c r="CL1157" s="15">
        <v>3.032E7</v>
      </c>
      <c r="CM1157" s="15">
        <v>2.77E7</v>
      </c>
      <c r="CN1157" s="15">
        <v>2.236E7</v>
      </c>
      <c r="CO1157" s="15">
        <v>2.231E7</v>
      </c>
      <c r="CP1157" s="15">
        <v>2.078E7</v>
      </c>
      <c r="CQ1157" s="15">
        <v>563710.0</v>
      </c>
      <c r="CR1157" s="15">
        <v>488210.0</v>
      </c>
      <c r="CS1157" s="15">
        <v>360110.0</v>
      </c>
      <c r="CT1157" s="15">
        <v>305310.0</v>
      </c>
      <c r="CU1157" s="15">
        <v>302070.0</v>
      </c>
      <c r="CV1157" s="15">
        <v>7950000.0</v>
      </c>
      <c r="CW1157" s="15">
        <v>1530000.0</v>
      </c>
      <c r="CX1157" s="15">
        <v>775490.0</v>
      </c>
      <c r="CY1157" s="16">
        <v>0.0</v>
      </c>
      <c r="CZ1157" s="16">
        <v>0.0</v>
      </c>
      <c r="DA1157" s="15">
        <v>0.0</v>
      </c>
      <c r="DB1157" s="15">
        <v>7950000.0</v>
      </c>
      <c r="DC1157" s="15">
        <v>7110000.0</v>
      </c>
      <c r="DD1157" s="15">
        <v>4850000.0</v>
      </c>
      <c r="DE1157" s="15">
        <v>4440000.0</v>
      </c>
      <c r="DF1157" s="15">
        <v>1.759E7</v>
      </c>
      <c r="DG1157" s="15">
        <v>1.605E7</v>
      </c>
      <c r="DH1157" s="15">
        <v>1.166E7</v>
      </c>
      <c r="DI1157" s="15">
        <v>1.319E7</v>
      </c>
      <c r="DJ1157" s="15">
        <v>0.0</v>
      </c>
      <c r="DK1157" s="15">
        <v>646000.0</v>
      </c>
      <c r="DL1157" s="15">
        <v>769900.0</v>
      </c>
      <c r="DM1157" s="15">
        <v>459600.0</v>
      </c>
      <c r="DN1157" s="15">
        <v>658300.0</v>
      </c>
      <c r="DO1157" s="15">
        <v>0.0</v>
      </c>
      <c r="DP1157" s="15">
        <v>442030.0</v>
      </c>
      <c r="DQ1157" s="15">
        <v>1.344E7</v>
      </c>
      <c r="DR1157" s="15">
        <v>1.26E7</v>
      </c>
      <c r="DS1157" s="15">
        <v>1.059E7</v>
      </c>
      <c r="DT1157" s="15">
        <v>1.293E7</v>
      </c>
      <c r="DU1157" s="16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1.216E7</v>
      </c>
      <c r="EA1157" s="15">
        <v>1.111E7</v>
      </c>
      <c r="EB1157" s="15">
        <v>1.07E7</v>
      </c>
      <c r="EC1157" s="15">
        <v>9120000.0</v>
      </c>
      <c r="ED1157" s="15">
        <v>8060000.0</v>
      </c>
      <c r="EE1157" s="17">
        <v>1.02</v>
      </c>
      <c r="EF1157" s="17">
        <v>0.901</v>
      </c>
      <c r="EG1157" s="17">
        <v>-1.349</v>
      </c>
      <c r="EH1157" s="17">
        <v>-0.33</v>
      </c>
    </row>
    <row r="1158">
      <c r="A1158" s="9">
        <f t="shared" si="2"/>
        <v>1156</v>
      </c>
      <c r="B1158" s="10" t="s">
        <v>1293</v>
      </c>
      <c r="C1158" s="11">
        <v>1440000.0</v>
      </c>
      <c r="D1158" s="11">
        <v>1210000.0</v>
      </c>
      <c r="E1158" s="11">
        <v>1190000.0</v>
      </c>
      <c r="F1158" s="11">
        <v>868500.0</v>
      </c>
      <c r="G1158" s="11">
        <v>449800.0</v>
      </c>
      <c r="H1158" s="11">
        <v>592560.0</v>
      </c>
      <c r="I1158" s="11">
        <v>117240.0</v>
      </c>
      <c r="J1158" s="11">
        <v>192800.0</v>
      </c>
      <c r="K1158" s="11">
        <v>94900.0</v>
      </c>
      <c r="L1158" s="11">
        <v>31700.0</v>
      </c>
      <c r="M1158" s="11">
        <v>392150.0</v>
      </c>
      <c r="N1158" s="12"/>
      <c r="O1158" s="11">
        <v>100400.0</v>
      </c>
      <c r="P1158" s="11">
        <v>66400.0</v>
      </c>
      <c r="Q1158" s="11">
        <v>54500.0</v>
      </c>
      <c r="R1158" s="11">
        <v>73430.0</v>
      </c>
      <c r="S1158" s="11">
        <v>74040.0</v>
      </c>
      <c r="T1158" s="12"/>
      <c r="U1158" s="12"/>
      <c r="V1158" s="12"/>
      <c r="W1158" s="12"/>
      <c r="X1158" s="12"/>
      <c r="Y1158" s="11">
        <v>37400.0</v>
      </c>
      <c r="Z1158" s="12"/>
      <c r="AA1158" s="12"/>
      <c r="AB1158" s="11">
        <v>297900.0</v>
      </c>
      <c r="AC1158" s="12"/>
      <c r="AD1158" s="11">
        <v>9800.0</v>
      </c>
      <c r="AE1158" s="12"/>
      <c r="AF1158" s="12"/>
      <c r="AG1158" s="11">
        <v>298200.0</v>
      </c>
      <c r="AH1158" s="12"/>
      <c r="AI1158" s="11">
        <v>146900.0</v>
      </c>
      <c r="AJ1158" s="11">
        <v>66900.0</v>
      </c>
      <c r="AK1158" s="12"/>
      <c r="AL1158" s="11">
        <v>328920.0</v>
      </c>
      <c r="AM1158" s="12"/>
      <c r="AN1158" s="11">
        <v>12000.0</v>
      </c>
      <c r="AO1158" s="12"/>
      <c r="AP1158" s="12"/>
      <c r="AQ1158" s="11">
        <v>177070.0</v>
      </c>
      <c r="AR1158" s="12"/>
      <c r="AS1158" s="11">
        <v>125700.0</v>
      </c>
      <c r="AT1158" s="11">
        <v>18300.0</v>
      </c>
      <c r="AU1158" s="11">
        <v>20900.0</v>
      </c>
      <c r="AV1158" s="12"/>
      <c r="AW1158" s="12"/>
      <c r="AX1158" s="12"/>
      <c r="AY1158" s="12"/>
      <c r="AZ1158" s="12"/>
      <c r="BA1158" s="12"/>
      <c r="BB1158" s="12"/>
      <c r="BC1158" s="13"/>
      <c r="BD1158" s="13"/>
      <c r="BE1158" s="13"/>
      <c r="BF1158" s="13"/>
      <c r="BG1158" s="13"/>
      <c r="BH1158" s="11">
        <v>92000.0</v>
      </c>
      <c r="BI1158" s="11">
        <v>64600.0</v>
      </c>
      <c r="BJ1158" s="11">
        <v>164900.0</v>
      </c>
      <c r="BK1158" s="11">
        <v>181180.0</v>
      </c>
      <c r="BL1158" s="11">
        <v>104520.0</v>
      </c>
      <c r="BM1158" s="11">
        <v>88200.0</v>
      </c>
      <c r="BN1158" s="11">
        <v>101400.0</v>
      </c>
      <c r="BO1158" s="11">
        <v>23600.0</v>
      </c>
      <c r="BP1158" s="11">
        <v>5820.0</v>
      </c>
      <c r="BQ1158" s="11">
        <v>10190.0</v>
      </c>
      <c r="BR1158" s="12"/>
      <c r="BS1158" s="12"/>
      <c r="BT1158" s="12"/>
      <c r="BU1158" s="12"/>
      <c r="BV1158" s="12"/>
      <c r="BW1158" s="11">
        <v>212700.0</v>
      </c>
      <c r="BX1158" s="11">
        <v>194000.0</v>
      </c>
      <c r="BY1158" s="11">
        <v>190700.0</v>
      </c>
      <c r="BZ1158" s="11">
        <v>204610.0</v>
      </c>
      <c r="CA1158" s="11">
        <v>126740.0</v>
      </c>
      <c r="CB1158" s="11">
        <v>194800.0</v>
      </c>
      <c r="CC1158" s="11">
        <v>95200.0</v>
      </c>
      <c r="CD1158" s="11">
        <v>48300.0</v>
      </c>
      <c r="CE1158" s="11">
        <v>32790.0</v>
      </c>
      <c r="CF1158" s="11">
        <v>27220.0</v>
      </c>
      <c r="CG1158" s="11">
        <v>253200.0</v>
      </c>
      <c r="CH1158" s="11">
        <v>254800.0</v>
      </c>
      <c r="CI1158" s="12"/>
      <c r="CJ1158" s="12"/>
      <c r="CK1158" s="12"/>
      <c r="CL1158" s="11">
        <v>929100.0</v>
      </c>
      <c r="CM1158" s="11">
        <v>807500.0</v>
      </c>
      <c r="CN1158" s="11">
        <v>336000.0</v>
      </c>
      <c r="CO1158" s="11">
        <v>415060.0</v>
      </c>
      <c r="CP1158" s="11">
        <v>460290.0</v>
      </c>
      <c r="CQ1158" s="11">
        <v>20200.0</v>
      </c>
      <c r="CR1158" s="11">
        <v>9900.0</v>
      </c>
      <c r="CS1158" s="11">
        <v>7200.0</v>
      </c>
      <c r="CT1158" s="11">
        <v>7950.0</v>
      </c>
      <c r="CU1158" s="11">
        <v>5310.0</v>
      </c>
      <c r="CV1158" s="11">
        <v>232500.0</v>
      </c>
      <c r="CW1158" s="11">
        <v>20800.0</v>
      </c>
      <c r="CX1158" s="11">
        <v>14500.0</v>
      </c>
      <c r="CY1158" s="13"/>
      <c r="CZ1158" s="13"/>
      <c r="DA1158" s="12"/>
      <c r="DB1158" s="11">
        <v>232500.0</v>
      </c>
      <c r="DC1158" s="11">
        <v>196200.0</v>
      </c>
      <c r="DD1158" s="11">
        <v>89900.0</v>
      </c>
      <c r="DE1158" s="11">
        <v>135110.0</v>
      </c>
      <c r="DF1158" s="11">
        <v>681900.0</v>
      </c>
      <c r="DG1158" s="11">
        <v>592800.0</v>
      </c>
      <c r="DH1158" s="11">
        <v>113300.0</v>
      </c>
      <c r="DI1158" s="11">
        <v>255800.0</v>
      </c>
      <c r="DJ1158" s="11">
        <v>673600.0</v>
      </c>
      <c r="DK1158" s="11">
        <v>500.0</v>
      </c>
      <c r="DL1158" s="11">
        <v>500.0</v>
      </c>
      <c r="DM1158" s="11">
        <v>1500.0</v>
      </c>
      <c r="DN1158" s="11">
        <v>1500.0</v>
      </c>
      <c r="DO1158" s="11">
        <v>1500.0</v>
      </c>
      <c r="DP1158" s="11">
        <v>421000.0</v>
      </c>
      <c r="DQ1158" s="11">
        <v>360200.0</v>
      </c>
      <c r="DR1158" s="12"/>
      <c r="DS1158" s="12"/>
      <c r="DT1158" s="12"/>
      <c r="DU1158" s="11">
        <v>229100.0</v>
      </c>
      <c r="DV1158" s="11">
        <v>208400.0</v>
      </c>
      <c r="DW1158" s="11">
        <v>189300.0</v>
      </c>
      <c r="DX1158" s="11">
        <v>171590.0</v>
      </c>
      <c r="DY1158" s="13"/>
      <c r="DZ1158" s="11">
        <v>247200.0</v>
      </c>
      <c r="EA1158" s="11">
        <v>214700.0</v>
      </c>
      <c r="EB1158" s="11">
        <v>222700.0</v>
      </c>
      <c r="EC1158" s="11">
        <v>159260.0</v>
      </c>
      <c r="ED1158" s="12"/>
      <c r="EE1158" s="14">
        <v>0.083</v>
      </c>
      <c r="EF1158" s="14">
        <v>0.167</v>
      </c>
      <c r="EG1158" s="14">
        <v>-0.167</v>
      </c>
      <c r="EH1158" s="14">
        <v>-1.319</v>
      </c>
    </row>
    <row r="1159">
      <c r="A1159" s="9">
        <f t="shared" si="2"/>
        <v>1157</v>
      </c>
      <c r="B1159" s="22" t="s">
        <v>1294</v>
      </c>
      <c r="C1159" s="11">
        <v>150090.0</v>
      </c>
      <c r="D1159" s="11">
        <v>83480.0</v>
      </c>
      <c r="E1159" s="11">
        <v>6310.0</v>
      </c>
      <c r="F1159" s="11">
        <v>8330.0</v>
      </c>
      <c r="G1159" s="11">
        <v>4040.0</v>
      </c>
      <c r="H1159" s="11">
        <v>101.0</v>
      </c>
      <c r="I1159" s="11">
        <v>3.0</v>
      </c>
      <c r="J1159" s="11">
        <v>4050.0</v>
      </c>
      <c r="K1159" s="11">
        <v>5510.0</v>
      </c>
      <c r="L1159" s="11">
        <v>1890.0</v>
      </c>
      <c r="M1159" s="12"/>
      <c r="N1159" s="11">
        <v>-33.0</v>
      </c>
      <c r="O1159" s="11">
        <v>47390.0</v>
      </c>
      <c r="P1159" s="11">
        <v>44710.0</v>
      </c>
      <c r="Q1159" s="11">
        <v>53380.0</v>
      </c>
      <c r="R1159" s="11">
        <v>30700.0</v>
      </c>
      <c r="S1159" s="11">
        <v>21860.0</v>
      </c>
      <c r="T1159" s="11">
        <v>17480.0</v>
      </c>
      <c r="U1159" s="11">
        <v>24780.0</v>
      </c>
      <c r="V1159" s="11">
        <v>33200.0</v>
      </c>
      <c r="W1159" s="11">
        <v>25320.0</v>
      </c>
      <c r="X1159" s="11">
        <v>17760.0</v>
      </c>
      <c r="Y1159" s="11">
        <v>-42520.0</v>
      </c>
      <c r="Z1159" s="11">
        <v>-38810.0</v>
      </c>
      <c r="AA1159" s="11">
        <v>-46610.0</v>
      </c>
      <c r="AB1159" s="11">
        <v>-29770.0</v>
      </c>
      <c r="AC1159" s="11">
        <v>-21110.0</v>
      </c>
      <c r="AD1159" s="11">
        <v>-42440.0</v>
      </c>
      <c r="AE1159" s="11">
        <v>-38690.0</v>
      </c>
      <c r="AF1159" s="11">
        <v>-45870.0</v>
      </c>
      <c r="AG1159" s="11">
        <v>-29460.0</v>
      </c>
      <c r="AH1159" s="11">
        <v>-21080.0</v>
      </c>
      <c r="AI1159" s="11">
        <v>-42120.0</v>
      </c>
      <c r="AJ1159" s="11">
        <v>-39110.0</v>
      </c>
      <c r="AK1159" s="11">
        <v>-51410.0</v>
      </c>
      <c r="AL1159" s="11">
        <v>-30590.0</v>
      </c>
      <c r="AM1159" s="11">
        <v>-21860.0</v>
      </c>
      <c r="AN1159" s="11">
        <v>-42440.0</v>
      </c>
      <c r="AO1159" s="11">
        <v>-38690.0</v>
      </c>
      <c r="AP1159" s="11">
        <v>-45870.0</v>
      </c>
      <c r="AQ1159" s="11">
        <v>-29460.0</v>
      </c>
      <c r="AR1159" s="11">
        <v>-21080.0</v>
      </c>
      <c r="AS1159" s="11">
        <v>-40880.0</v>
      </c>
      <c r="AT1159" s="11">
        <v>-34350.0</v>
      </c>
      <c r="AU1159" s="11">
        <v>-45090.0</v>
      </c>
      <c r="AV1159" s="11">
        <v>-28350.0</v>
      </c>
      <c r="AW1159" s="11">
        <v>-17820.0</v>
      </c>
      <c r="AX1159" s="11">
        <v>-204.0</v>
      </c>
      <c r="AY1159" s="11">
        <v>-58.0</v>
      </c>
      <c r="AZ1159" s="11">
        <v>-1190.0</v>
      </c>
      <c r="BA1159" s="11">
        <v>-120.0</v>
      </c>
      <c r="BB1159" s="11">
        <v>-1630.0</v>
      </c>
      <c r="BC1159" s="12"/>
      <c r="BD1159" s="12"/>
      <c r="BE1159" s="12"/>
      <c r="BF1159" s="12"/>
      <c r="BG1159" s="12"/>
      <c r="BH1159" s="11">
        <v>47870.0</v>
      </c>
      <c r="BI1159" s="11">
        <v>53180.0</v>
      </c>
      <c r="BJ1159" s="11">
        <v>46210.0</v>
      </c>
      <c r="BK1159" s="11">
        <v>66090.0</v>
      </c>
      <c r="BL1159" s="11">
        <v>58140.0</v>
      </c>
      <c r="BM1159" s="11">
        <v>1640.0</v>
      </c>
      <c r="BN1159" s="11">
        <v>1390.0</v>
      </c>
      <c r="BO1159" s="11">
        <v>2260.0</v>
      </c>
      <c r="BP1159" s="11">
        <v>492.0</v>
      </c>
      <c r="BQ1159" s="11">
        <v>220.0</v>
      </c>
      <c r="BR1159" s="11">
        <v>3290.0</v>
      </c>
      <c r="BS1159" s="11">
        <v>2090.0</v>
      </c>
      <c r="BT1159" s="11">
        <v>3080.0</v>
      </c>
      <c r="BU1159" s="12"/>
      <c r="BV1159" s="12"/>
      <c r="BW1159" s="11">
        <v>53210.0</v>
      </c>
      <c r="BX1159" s="11">
        <v>56790.0</v>
      </c>
      <c r="BY1159" s="11">
        <v>51680.0</v>
      </c>
      <c r="BZ1159" s="11">
        <v>67750.0</v>
      </c>
      <c r="CA1159" s="11">
        <v>60510.0</v>
      </c>
      <c r="CB1159" s="11">
        <v>3810.0</v>
      </c>
      <c r="CC1159" s="11">
        <v>163.0</v>
      </c>
      <c r="CD1159" s="11">
        <v>230.0</v>
      </c>
      <c r="CE1159" s="11">
        <v>165.0</v>
      </c>
      <c r="CF1159" s="11">
        <v>124.0</v>
      </c>
      <c r="CG1159" s="12"/>
      <c r="CH1159" s="12"/>
      <c r="CI1159" s="12"/>
      <c r="CJ1159" s="12"/>
      <c r="CK1159" s="12"/>
      <c r="CL1159" s="11">
        <v>74100.0</v>
      </c>
      <c r="CM1159" s="11">
        <v>62410.0</v>
      </c>
      <c r="CN1159" s="11">
        <v>57340.0</v>
      </c>
      <c r="CO1159" s="11">
        <v>74140.0</v>
      </c>
      <c r="CP1159" s="11">
        <v>66830.0</v>
      </c>
      <c r="CQ1159" s="11">
        <v>4180.0</v>
      </c>
      <c r="CR1159" s="11">
        <v>3320.0</v>
      </c>
      <c r="CS1159" s="11">
        <v>4810.0</v>
      </c>
      <c r="CT1159" s="11">
        <v>60.0</v>
      </c>
      <c r="CU1159" s="11">
        <v>119.0</v>
      </c>
      <c r="CV1159" s="11">
        <v>10620.0</v>
      </c>
      <c r="CW1159" s="12"/>
      <c r="CX1159" s="12"/>
      <c r="CY1159" s="12"/>
      <c r="CZ1159" s="12"/>
      <c r="DA1159" s="12"/>
      <c r="DB1159" s="11">
        <v>10620.0</v>
      </c>
      <c r="DC1159" s="11">
        <v>10380.0</v>
      </c>
      <c r="DD1159" s="11">
        <v>11830.0</v>
      </c>
      <c r="DE1159" s="11">
        <v>5350.0</v>
      </c>
      <c r="DF1159" s="11">
        <v>14100.0</v>
      </c>
      <c r="DG1159" s="11">
        <v>11220.0</v>
      </c>
      <c r="DH1159" s="11">
        <v>12280.0</v>
      </c>
      <c r="DI1159" s="11">
        <v>11500.0</v>
      </c>
      <c r="DJ1159" s="11">
        <v>6750.0</v>
      </c>
      <c r="DK1159" s="11">
        <v>152.0</v>
      </c>
      <c r="DL1159" s="11">
        <v>140.0</v>
      </c>
      <c r="DM1159" s="11">
        <v>152.0</v>
      </c>
      <c r="DN1159" s="11">
        <v>137.0</v>
      </c>
      <c r="DO1159" s="24">
        <v>134.0</v>
      </c>
      <c r="DP1159" s="11">
        <v>2980.0</v>
      </c>
      <c r="DQ1159" s="12"/>
      <c r="DR1159" s="12"/>
      <c r="DS1159" s="12"/>
      <c r="DT1159" s="12"/>
      <c r="DU1159" s="13"/>
      <c r="DV1159" s="12"/>
      <c r="DW1159" s="12"/>
      <c r="DX1159" s="13"/>
      <c r="DY1159" s="13"/>
      <c r="DZ1159" s="11">
        <v>60000.0</v>
      </c>
      <c r="EA1159" s="11">
        <v>51190.0</v>
      </c>
      <c r="EB1159" s="11">
        <v>45070.0</v>
      </c>
      <c r="EC1159" s="11">
        <v>62640.0</v>
      </c>
      <c r="ED1159" s="11">
        <v>60080.0</v>
      </c>
      <c r="EE1159" s="14">
        <v>0.237</v>
      </c>
      <c r="EF1159" s="14">
        <v>0.269</v>
      </c>
      <c r="EG1159" s="14">
        <v>0.429</v>
      </c>
      <c r="EH1159" s="14">
        <v>-0.247</v>
      </c>
    </row>
    <row r="1160">
      <c r="A1160" s="9">
        <f t="shared" si="2"/>
        <v>1158</v>
      </c>
      <c r="B1160" s="10" t="s">
        <v>1295</v>
      </c>
      <c r="C1160" s="15">
        <v>286560.0</v>
      </c>
      <c r="D1160" s="15">
        <v>181760.0</v>
      </c>
      <c r="E1160" s="15">
        <v>276770.0</v>
      </c>
      <c r="F1160" s="15">
        <v>308930.0</v>
      </c>
      <c r="G1160" s="15">
        <v>279880.0</v>
      </c>
      <c r="H1160" s="15">
        <v>270470.0</v>
      </c>
      <c r="I1160" s="15">
        <v>257870.0</v>
      </c>
      <c r="J1160" s="15">
        <v>34520.0</v>
      </c>
      <c r="K1160" s="15">
        <v>50960.0</v>
      </c>
      <c r="L1160" s="15">
        <v>46050.0</v>
      </c>
      <c r="M1160" s="15">
        <v>47220.0</v>
      </c>
      <c r="N1160" s="15">
        <v>42350.0</v>
      </c>
      <c r="O1160" s="15">
        <v>25400.0</v>
      </c>
      <c r="P1160" s="15">
        <v>27340.0</v>
      </c>
      <c r="Q1160" s="15">
        <v>25350.0</v>
      </c>
      <c r="R1160" s="15">
        <v>26910.0</v>
      </c>
      <c r="S1160" s="15">
        <v>18650.0</v>
      </c>
      <c r="T1160" s="15">
        <v>0.0</v>
      </c>
      <c r="U1160" s="15">
        <v>0.0</v>
      </c>
      <c r="V1160" s="15">
        <v>0.0</v>
      </c>
      <c r="W1160" s="15">
        <v>0.0</v>
      </c>
      <c r="X1160" s="15">
        <v>0.0</v>
      </c>
      <c r="Y1160" s="15">
        <v>0.0</v>
      </c>
      <c r="Z1160" s="15">
        <v>0.0</v>
      </c>
      <c r="AA1160" s="15">
        <v>9220.0</v>
      </c>
      <c r="AB1160" s="15">
        <v>19400.0</v>
      </c>
      <c r="AC1160" s="15">
        <v>1530.0</v>
      </c>
      <c r="AD1160" s="15">
        <v>2330.0</v>
      </c>
      <c r="AE1160" s="15">
        <v>17460.0</v>
      </c>
      <c r="AF1160" s="15">
        <v>34490.0</v>
      </c>
      <c r="AG1160" s="15">
        <v>13440.0</v>
      </c>
      <c r="AH1160" s="15">
        <v>28180.0</v>
      </c>
      <c r="AI1160" s="15">
        <v>52800.0</v>
      </c>
      <c r="AJ1160" s="15">
        <v>47060.0</v>
      </c>
      <c r="AK1160" s="15">
        <v>37650.0</v>
      </c>
      <c r="AL1160" s="15">
        <v>37800.0</v>
      </c>
      <c r="AM1160" s="15">
        <v>39180.0</v>
      </c>
      <c r="AN1160" s="15">
        <v>-26430.0</v>
      </c>
      <c r="AO1160" s="15">
        <v>14030.0</v>
      </c>
      <c r="AP1160" s="15">
        <v>31100.0</v>
      </c>
      <c r="AQ1160" s="15">
        <v>9400.0</v>
      </c>
      <c r="AR1160" s="15">
        <v>23110.0</v>
      </c>
      <c r="AS1160" s="15">
        <v>24610.0</v>
      </c>
      <c r="AT1160" s="15">
        <v>32650.0</v>
      </c>
      <c r="AU1160" s="15">
        <v>23980.0</v>
      </c>
      <c r="AV1160" s="15">
        <v>30480.0</v>
      </c>
      <c r="AW1160" s="15">
        <v>28800.0</v>
      </c>
      <c r="AX1160" s="15">
        <v>-45710.0</v>
      </c>
      <c r="AY1160" s="15">
        <v>-63530.0</v>
      </c>
      <c r="AZ1160" s="15">
        <v>-65900.0</v>
      </c>
      <c r="BA1160" s="15">
        <v>-49170.0</v>
      </c>
      <c r="BB1160" s="15">
        <v>-53120.0</v>
      </c>
      <c r="BC1160" s="16">
        <v>0.0</v>
      </c>
      <c r="BD1160" s="16">
        <v>0.0</v>
      </c>
      <c r="BE1160" s="16">
        <v>0.0</v>
      </c>
      <c r="BF1160" s="16">
        <v>0.0</v>
      </c>
      <c r="BG1160" s="16">
        <v>0.0</v>
      </c>
      <c r="BH1160" s="15">
        <v>12190.0</v>
      </c>
      <c r="BI1160" s="15">
        <v>14510.0</v>
      </c>
      <c r="BJ1160" s="15">
        <v>13730.0</v>
      </c>
      <c r="BK1160" s="15">
        <v>19080.0</v>
      </c>
      <c r="BL1160" s="15">
        <v>19910.0</v>
      </c>
      <c r="BM1160" s="15">
        <v>8750.0</v>
      </c>
      <c r="BN1160" s="15">
        <v>10750.0</v>
      </c>
      <c r="BO1160" s="15">
        <v>14740.0</v>
      </c>
      <c r="BP1160" s="15">
        <v>10250.0</v>
      </c>
      <c r="BQ1160" s="15">
        <v>12170.0</v>
      </c>
      <c r="BR1160" s="15">
        <v>1670.0</v>
      </c>
      <c r="BS1160" s="15">
        <v>1420.0</v>
      </c>
      <c r="BT1160" s="15">
        <v>1430.0</v>
      </c>
      <c r="BU1160" s="15">
        <v>1390.0</v>
      </c>
      <c r="BV1160" s="15">
        <v>1120.0</v>
      </c>
      <c r="BW1160" s="15">
        <v>27000.0</v>
      </c>
      <c r="BX1160" s="15">
        <v>30260.0</v>
      </c>
      <c r="BY1160" s="15">
        <v>33480.0</v>
      </c>
      <c r="BZ1160" s="15">
        <v>72640.0</v>
      </c>
      <c r="CA1160" s="15">
        <v>36920.0</v>
      </c>
      <c r="CB1160" s="15">
        <v>488020.0</v>
      </c>
      <c r="CC1160" s="15">
        <v>257670.0</v>
      </c>
      <c r="CD1160" s="15">
        <v>264720.0</v>
      </c>
      <c r="CE1160" s="15">
        <v>211890.0</v>
      </c>
      <c r="CF1160" s="15">
        <v>210300.0</v>
      </c>
      <c r="CG1160" s="15">
        <v>26450.0</v>
      </c>
      <c r="CH1160" s="15">
        <v>19450.0</v>
      </c>
      <c r="CI1160" s="15">
        <v>20280.0</v>
      </c>
      <c r="CJ1160" s="15">
        <v>19830.0</v>
      </c>
      <c r="CK1160" s="15">
        <v>19720.0</v>
      </c>
      <c r="CL1160" s="15">
        <v>740200.0</v>
      </c>
      <c r="CM1160" s="15">
        <v>440860.0</v>
      </c>
      <c r="CN1160" s="15">
        <v>424970.0</v>
      </c>
      <c r="CO1160" s="15">
        <v>405770.0</v>
      </c>
      <c r="CP1160" s="15">
        <v>372200.0</v>
      </c>
      <c r="CQ1160" s="15">
        <v>38150.0</v>
      </c>
      <c r="CR1160" s="15">
        <v>35590.0</v>
      </c>
      <c r="CS1160" s="15">
        <v>47870.0</v>
      </c>
      <c r="CT1160" s="15">
        <v>37010.0</v>
      </c>
      <c r="CU1160" s="15">
        <v>32930.0</v>
      </c>
      <c r="CV1160" s="15">
        <v>111140.0</v>
      </c>
      <c r="CW1160" s="15">
        <v>20380.0</v>
      </c>
      <c r="CX1160" s="16">
        <v>0.0</v>
      </c>
      <c r="CY1160" s="16">
        <v>0.0</v>
      </c>
      <c r="CZ1160" s="16">
        <v>0.0</v>
      </c>
      <c r="DA1160" s="15">
        <v>0.0</v>
      </c>
      <c r="DB1160" s="15">
        <v>111140.0</v>
      </c>
      <c r="DC1160" s="15">
        <v>86310.0</v>
      </c>
      <c r="DD1160" s="15">
        <v>80450.0</v>
      </c>
      <c r="DE1160" s="15">
        <v>65990.0</v>
      </c>
      <c r="DF1160" s="15">
        <v>600580.0</v>
      </c>
      <c r="DG1160" s="15">
        <v>260880.0</v>
      </c>
      <c r="DH1160" s="15">
        <v>243350.0</v>
      </c>
      <c r="DI1160" s="15">
        <v>259150.0</v>
      </c>
      <c r="DJ1160" s="15">
        <v>233250.0</v>
      </c>
      <c r="DK1160" s="15">
        <v>119930.0</v>
      </c>
      <c r="DL1160" s="15">
        <v>92760.0</v>
      </c>
      <c r="DM1160" s="15">
        <v>68530.0</v>
      </c>
      <c r="DN1160" s="15">
        <v>50730.0</v>
      </c>
      <c r="DO1160" s="15">
        <v>30350.0</v>
      </c>
      <c r="DP1160" s="15">
        <v>398810.0</v>
      </c>
      <c r="DQ1160" s="15">
        <v>132350.0</v>
      </c>
      <c r="DR1160" s="15">
        <v>122420.0</v>
      </c>
      <c r="DS1160" s="15">
        <v>143050.0</v>
      </c>
      <c r="DT1160" s="15">
        <v>114230.0</v>
      </c>
      <c r="DU1160" s="16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135350.0</v>
      </c>
      <c r="EA1160" s="15">
        <v>175640.0</v>
      </c>
      <c r="EB1160" s="15">
        <v>177290.0</v>
      </c>
      <c r="EC1160" s="15">
        <v>142200.0</v>
      </c>
      <c r="ED1160" s="15">
        <v>134620.0</v>
      </c>
      <c r="EE1160" s="17">
        <v>0.047</v>
      </c>
      <c r="EF1160" s="17">
        <v>0.059</v>
      </c>
      <c r="EG1160" s="17">
        <v>-21.833</v>
      </c>
      <c r="EH1160" s="17">
        <v>-6.287</v>
      </c>
    </row>
    <row r="1161">
      <c r="A1161" s="9">
        <f t="shared" si="2"/>
        <v>1159</v>
      </c>
      <c r="B1161" s="22" t="s">
        <v>1296</v>
      </c>
      <c r="C1161" s="11">
        <v>265430.0</v>
      </c>
      <c r="D1161" s="11">
        <v>233780.0</v>
      </c>
      <c r="E1161" s="11">
        <v>173320.0</v>
      </c>
      <c r="F1161" s="11">
        <v>99240.0</v>
      </c>
      <c r="G1161" s="11">
        <v>22110.0</v>
      </c>
      <c r="H1161" s="12"/>
      <c r="I1161" s="12"/>
      <c r="J1161" s="11">
        <v>155720.0</v>
      </c>
      <c r="K1161" s="11">
        <v>89780.0</v>
      </c>
      <c r="L1161" s="11">
        <v>19930.0</v>
      </c>
      <c r="M1161" s="11">
        <v>-586.0</v>
      </c>
      <c r="N1161" s="11">
        <v>-176.0</v>
      </c>
      <c r="O1161" s="11">
        <v>267950.0</v>
      </c>
      <c r="P1161" s="11">
        <v>283040.0</v>
      </c>
      <c r="Q1161" s="11">
        <v>268900.0</v>
      </c>
      <c r="R1161" s="11">
        <v>184360.0</v>
      </c>
      <c r="S1161" s="11">
        <v>98900.0</v>
      </c>
      <c r="T1161" s="11">
        <v>115920.0</v>
      </c>
      <c r="U1161" s="11">
        <v>98880.0</v>
      </c>
      <c r="V1161" s="11">
        <v>82230.0</v>
      </c>
      <c r="W1161" s="11">
        <v>107410.0</v>
      </c>
      <c r="X1161" s="11">
        <v>68280.0</v>
      </c>
      <c r="Y1161" s="12"/>
      <c r="Z1161" s="12"/>
      <c r="AA1161" s="12"/>
      <c r="AB1161" s="12"/>
      <c r="AC1161" s="11">
        <v>-100650.0</v>
      </c>
      <c r="AD1161" s="11">
        <v>-132990.0</v>
      </c>
      <c r="AE1161" s="11">
        <v>-221340.0</v>
      </c>
      <c r="AF1161" s="11">
        <v>-254240.0</v>
      </c>
      <c r="AG1161" s="11">
        <v>-182800.0</v>
      </c>
      <c r="AH1161" s="11">
        <v>-101530.0</v>
      </c>
      <c r="AI1161" s="11">
        <v>-109920.0</v>
      </c>
      <c r="AJ1161" s="11">
        <v>-201200.0</v>
      </c>
      <c r="AK1161" s="11">
        <v>-247020.0</v>
      </c>
      <c r="AL1161" s="11">
        <v>-184360.0</v>
      </c>
      <c r="AM1161" s="11">
        <v>-98900.0</v>
      </c>
      <c r="AN1161" s="11">
        <v>-132990.0</v>
      </c>
      <c r="AO1161" s="11">
        <v>-221340.0</v>
      </c>
      <c r="AP1161" s="11">
        <v>-254240.0</v>
      </c>
      <c r="AQ1161" s="11">
        <v>-182800.0</v>
      </c>
      <c r="AR1161" s="11">
        <v>-101530.0</v>
      </c>
      <c r="AS1161" s="11">
        <v>-80120.0</v>
      </c>
      <c r="AT1161" s="11">
        <v>-204730.0</v>
      </c>
      <c r="AU1161" s="11">
        <v>-206690.0</v>
      </c>
      <c r="AV1161" s="11">
        <v>-139800.0</v>
      </c>
      <c r="AW1161" s="11">
        <v>-87100.0</v>
      </c>
      <c r="AX1161" s="12"/>
      <c r="AY1161" s="11">
        <v>-185.0</v>
      </c>
      <c r="AZ1161" s="11">
        <v>-11050.0</v>
      </c>
      <c r="BA1161" s="11">
        <v>-2940.0</v>
      </c>
      <c r="BB1161" s="11">
        <v>-1230.0</v>
      </c>
      <c r="BC1161" s="12"/>
      <c r="BD1161" s="12"/>
      <c r="BE1161" s="12"/>
      <c r="BF1161" s="12"/>
      <c r="BG1161" s="12"/>
      <c r="BH1161" s="11">
        <v>161470.0</v>
      </c>
      <c r="BI1161" s="11">
        <v>237020.0</v>
      </c>
      <c r="BJ1161" s="11">
        <v>253330.0</v>
      </c>
      <c r="BK1161" s="11">
        <v>332490.0</v>
      </c>
      <c r="BL1161" s="11">
        <v>473340.0</v>
      </c>
      <c r="BM1161" s="11">
        <v>23290.0</v>
      </c>
      <c r="BN1161" s="11">
        <v>16760.0</v>
      </c>
      <c r="BO1161" s="11">
        <v>4440.0</v>
      </c>
      <c r="BP1161" s="12"/>
      <c r="BQ1161" s="12"/>
      <c r="BR1161" s="11">
        <v>5320.0</v>
      </c>
      <c r="BS1161" s="11">
        <v>6210.0</v>
      </c>
      <c r="BT1161" s="11">
        <v>4370.0</v>
      </c>
      <c r="BU1161" s="12"/>
      <c r="BV1161" s="12"/>
      <c r="BW1161" s="11">
        <v>203060.0</v>
      </c>
      <c r="BX1161" s="11">
        <v>275030.0</v>
      </c>
      <c r="BY1161" s="11">
        <v>269510.0</v>
      </c>
      <c r="BZ1161" s="11">
        <v>334810.0</v>
      </c>
      <c r="CA1161" s="11">
        <v>480310.0</v>
      </c>
      <c r="CB1161" s="11">
        <v>9000.0</v>
      </c>
      <c r="CC1161" s="11">
        <v>4000.0</v>
      </c>
      <c r="CD1161" s="11">
        <v>6200.0</v>
      </c>
      <c r="CE1161" s="11">
        <v>4920.0</v>
      </c>
      <c r="CF1161" s="11">
        <v>1900.0</v>
      </c>
      <c r="CG1161" s="12"/>
      <c r="CH1161" s="12"/>
      <c r="CI1161" s="12"/>
      <c r="CJ1161" s="12"/>
      <c r="CK1161" s="12"/>
      <c r="CL1161" s="11">
        <v>219150.0</v>
      </c>
      <c r="CM1161" s="11">
        <v>286960.0</v>
      </c>
      <c r="CN1161" s="11">
        <v>461660.0</v>
      </c>
      <c r="CO1161" s="11">
        <v>340280.0</v>
      </c>
      <c r="CP1161" s="11">
        <v>482470.0</v>
      </c>
      <c r="CQ1161" s="11">
        <v>6030.0</v>
      </c>
      <c r="CR1161" s="11">
        <v>4230.0</v>
      </c>
      <c r="CS1161" s="11">
        <v>3920.0</v>
      </c>
      <c r="CT1161" s="12"/>
      <c r="CU1161" s="12"/>
      <c r="CV1161" s="11">
        <v>61260.0</v>
      </c>
      <c r="CW1161" s="11">
        <v>2200.0</v>
      </c>
      <c r="CX1161" s="12"/>
      <c r="CY1161" s="12"/>
      <c r="CZ1161" s="12"/>
      <c r="DA1161" s="12"/>
      <c r="DB1161" s="11">
        <v>61260.0</v>
      </c>
      <c r="DC1161" s="11">
        <v>46430.0</v>
      </c>
      <c r="DD1161" s="11">
        <v>53430.0</v>
      </c>
      <c r="DE1161" s="11">
        <v>32730.0</v>
      </c>
      <c r="DF1161" s="11">
        <v>261430.0</v>
      </c>
      <c r="DG1161" s="11">
        <v>226330.0</v>
      </c>
      <c r="DH1161" s="11">
        <v>219620.0</v>
      </c>
      <c r="DI1161" s="11">
        <v>33100.0</v>
      </c>
      <c r="DJ1161" s="11">
        <v>21180.0</v>
      </c>
      <c r="DK1161" s="12"/>
      <c r="DL1161" s="12"/>
      <c r="DM1161" s="11">
        <v>176980.0</v>
      </c>
      <c r="DN1161" s="12"/>
      <c r="DO1161" s="12"/>
      <c r="DP1161" s="11">
        <v>200170.0</v>
      </c>
      <c r="DQ1161" s="11">
        <v>179810.0</v>
      </c>
      <c r="DR1161" s="11">
        <v>166010.0</v>
      </c>
      <c r="DS1161" s="12"/>
      <c r="DT1161" s="12"/>
      <c r="DU1161" s="13"/>
      <c r="DV1161" s="12"/>
      <c r="DW1161" s="12"/>
      <c r="DX1161" s="13"/>
      <c r="DY1161" s="13"/>
      <c r="DZ1161" s="11">
        <v>-42280.0</v>
      </c>
      <c r="EA1161" s="11">
        <v>60630.0</v>
      </c>
      <c r="EB1161" s="11">
        <v>242040.0</v>
      </c>
      <c r="EC1161" s="11">
        <v>307180.0</v>
      </c>
      <c r="ED1161" s="11">
        <v>461290.0</v>
      </c>
      <c r="EE1161" s="14">
        <v>0.374</v>
      </c>
      <c r="EF1161" s="14">
        <v>0.306</v>
      </c>
      <c r="EG1161" s="14">
        <v>-0.284</v>
      </c>
      <c r="EH1161" s="14">
        <v>0.008</v>
      </c>
    </row>
    <row r="1162">
      <c r="A1162" s="9">
        <f t="shared" si="2"/>
        <v>1160</v>
      </c>
      <c r="B1162" s="32" t="s">
        <v>1297</v>
      </c>
      <c r="C1162" s="11">
        <v>2490000.0</v>
      </c>
      <c r="D1162" s="11">
        <v>2400000.0</v>
      </c>
      <c r="E1162" s="11">
        <v>1.746E8</v>
      </c>
      <c r="F1162" s="11">
        <v>1.5385E8</v>
      </c>
      <c r="G1162" s="11">
        <v>1.4203E8</v>
      </c>
      <c r="H1162" s="11">
        <v>1.4081E8</v>
      </c>
      <c r="I1162" s="11">
        <v>1.5471E8</v>
      </c>
      <c r="J1162" s="11">
        <v>8.808E7</v>
      </c>
      <c r="K1162" s="11">
        <v>7.801E7</v>
      </c>
      <c r="L1162" s="11">
        <v>7.119E7</v>
      </c>
      <c r="M1162" s="11">
        <v>7.353E7</v>
      </c>
      <c r="N1162" s="11">
        <v>8.727E7</v>
      </c>
      <c r="O1162" s="11">
        <v>5.961E7</v>
      </c>
      <c r="P1162" s="11">
        <v>5.896E7</v>
      </c>
      <c r="Q1162" s="11">
        <v>6.001E7</v>
      </c>
      <c r="R1162" s="11">
        <v>6.065E7</v>
      </c>
      <c r="S1162" s="11">
        <v>5.847E7</v>
      </c>
      <c r="T1162" s="11">
        <v>1.432E7</v>
      </c>
      <c r="U1162" s="11">
        <v>1.437E7</v>
      </c>
      <c r="V1162" s="11">
        <v>1.703E7</v>
      </c>
      <c r="W1162" s="11">
        <v>1.829E7</v>
      </c>
      <c r="X1162" s="11">
        <v>1.676E7</v>
      </c>
      <c r="Y1162" s="11">
        <v>1.533E7</v>
      </c>
      <c r="Z1162" s="11">
        <v>1.978E7</v>
      </c>
      <c r="AA1162" s="11">
        <v>1.113E7</v>
      </c>
      <c r="AB1162" s="11">
        <v>1.285E7</v>
      </c>
      <c r="AC1162" s="11">
        <v>2.875E7</v>
      </c>
      <c r="AD1162" s="11">
        <v>1.747E7</v>
      </c>
      <c r="AE1162" s="11">
        <v>2.201E7</v>
      </c>
      <c r="AF1162" s="11">
        <v>1.4E7</v>
      </c>
      <c r="AG1162" s="11">
        <v>1.43E7</v>
      </c>
      <c r="AH1162" s="11">
        <v>2.691E7</v>
      </c>
      <c r="AI1162" s="11">
        <v>4.111E7</v>
      </c>
      <c r="AJ1162" s="11">
        <v>3.177E7</v>
      </c>
      <c r="AK1162" s="11">
        <v>2.289E7</v>
      </c>
      <c r="AL1162" s="11">
        <v>2.416E7</v>
      </c>
      <c r="AM1162" s="11">
        <v>3.906E7</v>
      </c>
      <c r="AN1162" s="11">
        <v>1.95E7</v>
      </c>
      <c r="AO1162" s="11">
        <v>1.88E7</v>
      </c>
      <c r="AP1162" s="11">
        <v>9810000.0</v>
      </c>
      <c r="AQ1162" s="11">
        <v>1.204E7</v>
      </c>
      <c r="AR1162" s="11">
        <v>2.001E7</v>
      </c>
      <c r="AS1162" s="11">
        <v>2.925E7</v>
      </c>
      <c r="AT1162" s="11">
        <v>2.788E7</v>
      </c>
      <c r="AU1162" s="11">
        <v>1.711E7</v>
      </c>
      <c r="AV1162" s="11">
        <v>2.122E7</v>
      </c>
      <c r="AW1162" s="11">
        <v>4.161E7</v>
      </c>
      <c r="AX1162" s="11">
        <v>-6120000.0</v>
      </c>
      <c r="AY1162" s="11">
        <v>-7490000.0</v>
      </c>
      <c r="AZ1162" s="11">
        <v>-1.104E7</v>
      </c>
      <c r="BA1162" s="11">
        <v>-4.098E7</v>
      </c>
      <c r="BB1162" s="11">
        <v>-1.488E7</v>
      </c>
      <c r="BC1162" s="11">
        <v>-3920000.0</v>
      </c>
      <c r="BD1162" s="11">
        <v>-4000000.0</v>
      </c>
      <c r="BE1162" s="11">
        <v>-3990000.0</v>
      </c>
      <c r="BF1162" s="11">
        <v>-3390000.0</v>
      </c>
      <c r="BG1162" s="11">
        <v>-4110000.0</v>
      </c>
      <c r="BH1162" s="11">
        <v>2.574E7</v>
      </c>
      <c r="BI1162" s="11">
        <v>2.476E7</v>
      </c>
      <c r="BJ1162" s="11">
        <v>2.107E7</v>
      </c>
      <c r="BK1162" s="11">
        <v>1.84E7</v>
      </c>
      <c r="BL1162" s="11">
        <v>4.013E7</v>
      </c>
      <c r="BM1162" s="11">
        <v>6.175E7</v>
      </c>
      <c r="BN1162" s="11">
        <v>4.563E7</v>
      </c>
      <c r="BO1162" s="11">
        <v>5.477E7</v>
      </c>
      <c r="BP1162" s="11">
        <v>4.915E7</v>
      </c>
      <c r="BQ1162" s="11">
        <v>5.027E7</v>
      </c>
      <c r="BR1162" s="11">
        <v>3.507E7</v>
      </c>
      <c r="BS1162" s="11">
        <v>3.358E7</v>
      </c>
      <c r="BT1162" s="11">
        <v>2.909E7</v>
      </c>
      <c r="BU1162" s="11">
        <v>2.853E7</v>
      </c>
      <c r="BV1162" s="11">
        <v>2.558E7</v>
      </c>
      <c r="BW1162" s="11">
        <v>1.3037E8</v>
      </c>
      <c r="BX1162" s="11">
        <v>1.145E8</v>
      </c>
      <c r="BY1162" s="11">
        <v>1.0965E8</v>
      </c>
      <c r="BZ1162" s="11">
        <v>1.0038E8</v>
      </c>
      <c r="CA1162" s="11">
        <v>1.1969E8</v>
      </c>
      <c r="CB1162" s="11">
        <v>5.233E7</v>
      </c>
      <c r="CC1162" s="11">
        <v>5.409E7</v>
      </c>
      <c r="CD1162" s="11">
        <v>5.787E7</v>
      </c>
      <c r="CE1162" s="11">
        <v>5.716E7</v>
      </c>
      <c r="CF1162" s="11">
        <v>5.396E7</v>
      </c>
      <c r="CG1162" s="11">
        <v>3990000.0</v>
      </c>
      <c r="CH1162" s="11">
        <v>3900000.0</v>
      </c>
      <c r="CI1162" s="11">
        <v>3950000.0</v>
      </c>
      <c r="CJ1162" s="11">
        <v>3750000.0</v>
      </c>
      <c r="CK1162" s="11">
        <v>3850000.0</v>
      </c>
      <c r="CL1162" s="11">
        <v>2.3224E8</v>
      </c>
      <c r="CM1162" s="11">
        <v>2.2543E8</v>
      </c>
      <c r="CN1162" s="11">
        <v>2.256E8</v>
      </c>
      <c r="CO1162" s="11">
        <v>2.1982E8</v>
      </c>
      <c r="CP1162" s="11">
        <v>2.0765E8</v>
      </c>
      <c r="CQ1162" s="11">
        <v>1.075E7</v>
      </c>
      <c r="CR1162" s="11">
        <v>1.03E7</v>
      </c>
      <c r="CS1162" s="11">
        <v>1.604E7</v>
      </c>
      <c r="CT1162" s="11">
        <v>1.342E7</v>
      </c>
      <c r="CU1162" s="11">
        <v>1.23E7</v>
      </c>
      <c r="CV1162" s="11">
        <v>7.281E7</v>
      </c>
      <c r="CW1162" s="11">
        <v>1.653E7</v>
      </c>
      <c r="CX1162" s="11">
        <v>1.213E7</v>
      </c>
      <c r="CY1162" s="11">
        <v>2.556E7</v>
      </c>
      <c r="CZ1162" s="11">
        <v>4.363E7</v>
      </c>
      <c r="DA1162" s="11">
        <v>2.272E7</v>
      </c>
      <c r="DB1162" s="11">
        <v>7.281E7</v>
      </c>
      <c r="DC1162" s="11">
        <v>5.97E7</v>
      </c>
      <c r="DD1162" s="11">
        <v>6.969E7</v>
      </c>
      <c r="DE1162" s="11">
        <v>8.5E7</v>
      </c>
      <c r="DF1162" s="11">
        <v>7.725E7</v>
      </c>
      <c r="DG1162" s="11">
        <v>8.523E7</v>
      </c>
      <c r="DH1162" s="11">
        <v>9.914E7</v>
      </c>
      <c r="DI1162" s="11">
        <v>9.578E7</v>
      </c>
      <c r="DJ1162" s="11">
        <v>7.931E7</v>
      </c>
      <c r="DK1162" s="11">
        <v>3090000.0</v>
      </c>
      <c r="DL1162" s="11">
        <v>3340000.0</v>
      </c>
      <c r="DM1162" s="11">
        <v>4650000.0</v>
      </c>
      <c r="DN1162" s="11">
        <v>6840000.0</v>
      </c>
      <c r="DO1162" s="11">
        <v>3300000.0</v>
      </c>
      <c r="DP1162" s="11">
        <v>1300000.0</v>
      </c>
      <c r="DQ1162" s="11">
        <v>2.2E7</v>
      </c>
      <c r="DR1162" s="11">
        <v>2.509E7</v>
      </c>
      <c r="DS1162" s="11">
        <v>5450000.0</v>
      </c>
      <c r="DT1162" s="11">
        <v>1.069E7</v>
      </c>
      <c r="DU1162" s="13"/>
      <c r="DV1162" s="12"/>
      <c r="DW1162" s="12"/>
      <c r="DX1162" s="12"/>
      <c r="DY1162" s="12"/>
      <c r="DZ1162" s="11">
        <v>1.5499E8</v>
      </c>
      <c r="EA1162" s="11">
        <v>1.402E8</v>
      </c>
      <c r="EB1162" s="11">
        <v>1.2646E8</v>
      </c>
      <c r="EC1162" s="11">
        <v>1.2404E8</v>
      </c>
      <c r="ED1162" s="11">
        <v>1.2834E8</v>
      </c>
      <c r="EE1162" s="14">
        <v>0.133</v>
      </c>
      <c r="EF1162" s="14">
        <v>0.185</v>
      </c>
      <c r="EG1162" s="14">
        <v>0.245</v>
      </c>
      <c r="EH1162" s="14">
        <v>0.492</v>
      </c>
    </row>
    <row r="1163">
      <c r="A1163" s="9">
        <f t="shared" si="2"/>
        <v>1161</v>
      </c>
      <c r="B1163" s="10" t="s">
        <v>1298</v>
      </c>
      <c r="C1163" s="11">
        <v>2430.0</v>
      </c>
      <c r="D1163" s="11">
        <v>1490.0</v>
      </c>
      <c r="E1163" s="11">
        <v>1560.0</v>
      </c>
      <c r="F1163" s="11">
        <v>1490.0</v>
      </c>
      <c r="G1163" s="11">
        <v>1510.0</v>
      </c>
      <c r="H1163" s="11">
        <v>1240.0</v>
      </c>
      <c r="I1163" s="11">
        <v>2010.0</v>
      </c>
      <c r="J1163" s="11">
        <v>-2110.0</v>
      </c>
      <c r="K1163" s="11">
        <v>-1510.0</v>
      </c>
      <c r="L1163" s="11">
        <v>-1620.0</v>
      </c>
      <c r="M1163" s="11">
        <v>-2370.0</v>
      </c>
      <c r="N1163" s="11">
        <v>-2410.0</v>
      </c>
      <c r="O1163" s="11">
        <v>1040.0</v>
      </c>
      <c r="P1163" s="11">
        <v>863.401</v>
      </c>
      <c r="Q1163" s="11">
        <v>799.702</v>
      </c>
      <c r="R1163" s="11">
        <v>1420.0</v>
      </c>
      <c r="S1163" s="11">
        <v>1590.0</v>
      </c>
      <c r="T1163" s="11">
        <v>1040.0</v>
      </c>
      <c r="U1163" s="11">
        <v>863.401</v>
      </c>
      <c r="V1163" s="11">
        <v>799.702</v>
      </c>
      <c r="W1163" s="11">
        <v>1420.0</v>
      </c>
      <c r="X1163" s="11">
        <v>1590.0</v>
      </c>
      <c r="Y1163" s="11">
        <v>-3850.0</v>
      </c>
      <c r="Z1163" s="11">
        <v>-2650.0</v>
      </c>
      <c r="AA1163" s="12"/>
      <c r="AB1163" s="12"/>
      <c r="AC1163" s="12"/>
      <c r="AD1163" s="11">
        <v>-3810.0</v>
      </c>
      <c r="AE1163" s="11">
        <v>-2690.0</v>
      </c>
      <c r="AF1163" s="11">
        <v>-2410.0</v>
      </c>
      <c r="AG1163" s="11">
        <v>-4240.0</v>
      </c>
      <c r="AH1163" s="11">
        <v>-4280.0</v>
      </c>
      <c r="AI1163" s="11">
        <v>-2950.0</v>
      </c>
      <c r="AJ1163" s="11">
        <v>-2190.0</v>
      </c>
      <c r="AK1163" s="11">
        <v>-2240.0</v>
      </c>
      <c r="AL1163" s="11">
        <v>-3600.0</v>
      </c>
      <c r="AM1163" s="11">
        <v>-3860.0</v>
      </c>
      <c r="AN1163" s="11">
        <v>-3810.0</v>
      </c>
      <c r="AO1163" s="11">
        <v>-2690.0</v>
      </c>
      <c r="AP1163" s="11">
        <v>-2410.0</v>
      </c>
      <c r="AQ1163" s="11">
        <v>-4240.0</v>
      </c>
      <c r="AR1163" s="11">
        <v>-4280.0</v>
      </c>
      <c r="AS1163" s="11">
        <v>-2080.0</v>
      </c>
      <c r="AT1163" s="11">
        <v>-2070.0</v>
      </c>
      <c r="AU1163" s="11">
        <v>-1470.0</v>
      </c>
      <c r="AV1163" s="11">
        <v>-4010.0</v>
      </c>
      <c r="AW1163" s="11">
        <v>-3580.0</v>
      </c>
      <c r="AX1163" s="11">
        <v>-65.282</v>
      </c>
      <c r="AY1163" s="11">
        <v>-11.663</v>
      </c>
      <c r="AZ1163" s="11">
        <v>-6.549</v>
      </c>
      <c r="BA1163" s="11">
        <v>-11.715</v>
      </c>
      <c r="BB1163" s="11">
        <v>-316.185</v>
      </c>
      <c r="BC1163" s="13"/>
      <c r="BD1163" s="13"/>
      <c r="BE1163" s="13"/>
      <c r="BF1163" s="13"/>
      <c r="BG1163" s="13"/>
      <c r="BH1163" s="11">
        <v>6590.0</v>
      </c>
      <c r="BI1163" s="11">
        <v>2970.0</v>
      </c>
      <c r="BJ1163" s="11">
        <v>1740.0</v>
      </c>
      <c r="BK1163" s="11">
        <v>3210.0</v>
      </c>
      <c r="BL1163" s="11">
        <v>7230.0</v>
      </c>
      <c r="BM1163" s="11">
        <v>656.062</v>
      </c>
      <c r="BN1163" s="11">
        <v>689.677</v>
      </c>
      <c r="BO1163" s="11">
        <v>597.441</v>
      </c>
      <c r="BP1163" s="11">
        <v>1120.0</v>
      </c>
      <c r="BQ1163" s="11">
        <v>1310.0</v>
      </c>
      <c r="BR1163" s="12"/>
      <c r="BS1163" s="12"/>
      <c r="BT1163" s="12"/>
      <c r="BU1163" s="12"/>
      <c r="BV1163" s="12"/>
      <c r="BW1163" s="11">
        <v>7310.0</v>
      </c>
      <c r="BX1163" s="11">
        <v>3710.0</v>
      </c>
      <c r="BY1163" s="11">
        <v>2360.0</v>
      </c>
      <c r="BZ1163" s="11">
        <v>4590.0</v>
      </c>
      <c r="CA1163" s="11">
        <v>8670.0</v>
      </c>
      <c r="CB1163" s="11">
        <v>915.709</v>
      </c>
      <c r="CC1163" s="11">
        <v>313.177</v>
      </c>
      <c r="CD1163" s="11">
        <v>482.561</v>
      </c>
      <c r="CE1163" s="11">
        <v>651.655</v>
      </c>
      <c r="CF1163" s="11">
        <v>836.216</v>
      </c>
      <c r="CG1163" s="12"/>
      <c r="CH1163" s="12"/>
      <c r="CI1163" s="12"/>
      <c r="CJ1163" s="12"/>
      <c r="CK1163" s="12"/>
      <c r="CL1163" s="11">
        <v>8260.0</v>
      </c>
      <c r="CM1163" s="11">
        <v>4060.0</v>
      </c>
      <c r="CN1163" s="11">
        <v>2880.0</v>
      </c>
      <c r="CO1163" s="11">
        <v>5270.0</v>
      </c>
      <c r="CP1163" s="11">
        <v>9540.0</v>
      </c>
      <c r="CQ1163" s="11">
        <v>169.75</v>
      </c>
      <c r="CR1163" s="11">
        <v>133.486</v>
      </c>
      <c r="CS1163" s="11">
        <v>58.09</v>
      </c>
      <c r="CT1163" s="11">
        <v>29.932</v>
      </c>
      <c r="CU1163" s="11">
        <v>46.734</v>
      </c>
      <c r="CV1163" s="11">
        <v>387.429</v>
      </c>
      <c r="CW1163" s="11">
        <v>163.236</v>
      </c>
      <c r="CX1163" s="12"/>
      <c r="CY1163" s="12"/>
      <c r="CZ1163" s="12"/>
      <c r="DA1163" s="12"/>
      <c r="DB1163" s="11">
        <v>387.429</v>
      </c>
      <c r="DC1163" s="11">
        <v>457.662</v>
      </c>
      <c r="DD1163" s="11">
        <v>313.747</v>
      </c>
      <c r="DE1163" s="11">
        <v>369.27</v>
      </c>
      <c r="DF1163" s="11">
        <v>1200.0</v>
      </c>
      <c r="DG1163" s="11">
        <v>959.076</v>
      </c>
      <c r="DH1163" s="11">
        <v>313.747</v>
      </c>
      <c r="DI1163" s="11">
        <v>369.27</v>
      </c>
      <c r="DJ1163" s="11">
        <v>468.212</v>
      </c>
      <c r="DK1163" s="11"/>
      <c r="DL1163" s="11"/>
      <c r="DM1163" s="11"/>
      <c r="DN1163" s="12"/>
      <c r="DO1163" s="12"/>
      <c r="DP1163" s="11">
        <v>812.596</v>
      </c>
      <c r="DQ1163" s="11"/>
      <c r="DR1163" s="11"/>
      <c r="DS1163" s="11"/>
      <c r="DT1163" s="12"/>
      <c r="DU1163" s="13"/>
      <c r="DV1163" s="12"/>
      <c r="DW1163" s="12"/>
      <c r="DX1163" s="13"/>
      <c r="DY1163" s="12"/>
      <c r="DZ1163" s="11">
        <v>7060.0</v>
      </c>
      <c r="EA1163" s="11">
        <v>3100.0</v>
      </c>
      <c r="EB1163" s="11">
        <v>2570.0</v>
      </c>
      <c r="EC1163" s="11">
        <v>4900.0</v>
      </c>
      <c r="ED1163" s="11">
        <v>9080.0</v>
      </c>
      <c r="EE1163" s="23">
        <v>0.0</v>
      </c>
      <c r="EF1163" s="23">
        <v>0.0</v>
      </c>
      <c r="EG1163" s="14">
        <v>-2.0</v>
      </c>
      <c r="EH1163" s="23">
        <v>-0.54175</v>
      </c>
    </row>
    <row r="1164">
      <c r="A1164" s="9">
        <f t="shared" si="2"/>
        <v>1162</v>
      </c>
      <c r="B1164" s="22" t="s">
        <v>1299</v>
      </c>
      <c r="C1164" s="11">
        <v>9320000.0</v>
      </c>
      <c r="D1164" s="11">
        <v>8170000.0</v>
      </c>
      <c r="E1164" s="11">
        <v>7860000.0</v>
      </c>
      <c r="F1164" s="11">
        <v>6710000.0</v>
      </c>
      <c r="G1164" s="11">
        <v>5870000.0</v>
      </c>
      <c r="H1164" s="11">
        <v>4860000.0</v>
      </c>
      <c r="I1164" s="11">
        <v>4100000.0</v>
      </c>
      <c r="J1164" s="11">
        <v>6870000.0</v>
      </c>
      <c r="K1164" s="11">
        <v>6130000.0</v>
      </c>
      <c r="L1164" s="11">
        <v>5330000.0</v>
      </c>
      <c r="M1164" s="11">
        <v>4460000.0</v>
      </c>
      <c r="N1164" s="11">
        <v>3640000.0</v>
      </c>
      <c r="O1164" s="11">
        <v>4660000.0</v>
      </c>
      <c r="P1164" s="11">
        <v>3590000.0</v>
      </c>
      <c r="Q1164" s="11">
        <v>3250000.0</v>
      </c>
      <c r="R1164" s="11">
        <v>3130000.0</v>
      </c>
      <c r="S1164" s="11">
        <v>2380000.0</v>
      </c>
      <c r="T1164" s="11">
        <v>2830000.0</v>
      </c>
      <c r="U1164" s="11">
        <v>2040000.0</v>
      </c>
      <c r="V1164" s="11">
        <v>1930000.0</v>
      </c>
      <c r="W1164" s="11">
        <v>1950000.0</v>
      </c>
      <c r="X1164" s="11">
        <v>1550000.0</v>
      </c>
      <c r="Y1164" s="11">
        <v>2330000.0</v>
      </c>
      <c r="Z1164" s="11">
        <v>2490000.0</v>
      </c>
      <c r="AA1164" s="11">
        <v>2050000.0</v>
      </c>
      <c r="AB1164" s="11">
        <v>1320000.0</v>
      </c>
      <c r="AC1164" s="11">
        <v>1230000.0</v>
      </c>
      <c r="AD1164" s="11">
        <v>2430000.0</v>
      </c>
      <c r="AE1164" s="11">
        <v>2550000.0</v>
      </c>
      <c r="AF1164" s="11">
        <v>2080000.0</v>
      </c>
      <c r="AG1164" s="11">
        <v>1330000.0</v>
      </c>
      <c r="AH1164" s="11">
        <v>1230000.0</v>
      </c>
      <c r="AI1164" s="11">
        <v>2420000.0</v>
      </c>
      <c r="AJ1164" s="11">
        <v>2680000.0</v>
      </c>
      <c r="AK1164" s="11">
        <v>2230000.0</v>
      </c>
      <c r="AL1164" s="11">
        <v>1440000.0</v>
      </c>
      <c r="AM1164" s="11">
        <v>1330000.0</v>
      </c>
      <c r="AN1164" s="11">
        <v>2120000.0</v>
      </c>
      <c r="AO1164" s="11">
        <v>2440000.0</v>
      </c>
      <c r="AP1164" s="11">
        <v>1200000.0</v>
      </c>
      <c r="AQ1164" s="11">
        <v>895520.0</v>
      </c>
      <c r="AR1164" s="11">
        <v>636060.0</v>
      </c>
      <c r="AS1164" s="11">
        <v>2430000.0</v>
      </c>
      <c r="AT1164" s="11">
        <v>2200000.0</v>
      </c>
      <c r="AU1164" s="11">
        <v>1310000.0</v>
      </c>
      <c r="AV1164" s="11">
        <v>1470000.0</v>
      </c>
      <c r="AW1164" s="11">
        <v>1330000.0</v>
      </c>
      <c r="AX1164" s="11">
        <v>-429600.0</v>
      </c>
      <c r="AY1164" s="11">
        <v>-383100.0</v>
      </c>
      <c r="AZ1164" s="11">
        <v>-272630.0</v>
      </c>
      <c r="BA1164" s="11">
        <v>-511940.0</v>
      </c>
      <c r="BB1164" s="11">
        <v>-677930.0</v>
      </c>
      <c r="BC1164" s="12"/>
      <c r="BD1164" s="12"/>
      <c r="BE1164" s="12"/>
      <c r="BF1164" s="12"/>
      <c r="BG1164" s="12"/>
      <c r="BH1164" s="11">
        <v>3210000.0</v>
      </c>
      <c r="BI1164" s="11">
        <v>2810000.0</v>
      </c>
      <c r="BJ1164" s="11">
        <v>1410000.0</v>
      </c>
      <c r="BK1164" s="11">
        <v>1040000.0</v>
      </c>
      <c r="BL1164" s="11">
        <v>1050000.0</v>
      </c>
      <c r="BM1164" s="11">
        <v>2670000.0</v>
      </c>
      <c r="BN1164" s="11">
        <v>2240000.0</v>
      </c>
      <c r="BO1164" s="11">
        <v>1970000.0</v>
      </c>
      <c r="BP1164" s="11">
        <v>1610000.0</v>
      </c>
      <c r="BQ1164" s="11">
        <v>1470000.0</v>
      </c>
      <c r="BR1164" s="11">
        <v>1420000.0</v>
      </c>
      <c r="BS1164" s="11">
        <v>1150000.0</v>
      </c>
      <c r="BT1164" s="11">
        <v>726140.0</v>
      </c>
      <c r="BU1164" s="11">
        <v>399360.0</v>
      </c>
      <c r="BV1164" s="11">
        <v>238580.0</v>
      </c>
      <c r="BW1164" s="11">
        <v>7690000.0</v>
      </c>
      <c r="BX1164" s="11">
        <v>6450000.0</v>
      </c>
      <c r="BY1164" s="11">
        <v>4340000.0</v>
      </c>
      <c r="BZ1164" s="11">
        <v>3180000.0</v>
      </c>
      <c r="CA1164" s="11">
        <v>2920000.0</v>
      </c>
      <c r="CB1164" s="11">
        <v>2890000.0</v>
      </c>
      <c r="CC1164" s="11">
        <v>2580000.0</v>
      </c>
      <c r="CD1164" s="11">
        <v>2360000.0</v>
      </c>
      <c r="CE1164" s="11">
        <v>2080000.0</v>
      </c>
      <c r="CF1164" s="11">
        <v>1590000.0</v>
      </c>
      <c r="CG1164" s="12"/>
      <c r="CH1164" s="12"/>
      <c r="CI1164" s="12"/>
      <c r="CJ1164" s="12"/>
      <c r="CK1164" s="12"/>
      <c r="CL1164" s="11">
        <v>1.481E7</v>
      </c>
      <c r="CM1164" s="11">
        <v>1.173E7</v>
      </c>
      <c r="CN1164" s="11">
        <v>8810000.0</v>
      </c>
      <c r="CO1164" s="11">
        <v>6980000.0</v>
      </c>
      <c r="CP1164" s="11">
        <v>5630000.0</v>
      </c>
      <c r="CQ1164" s="11">
        <v>418100.0</v>
      </c>
      <c r="CR1164" s="11">
        <v>218200.0</v>
      </c>
      <c r="CS1164" s="11">
        <v>178180.0</v>
      </c>
      <c r="CT1164" s="11">
        <v>134980.0</v>
      </c>
      <c r="CU1164" s="11">
        <v>140960.0</v>
      </c>
      <c r="CV1164" s="11">
        <v>2100000.0</v>
      </c>
      <c r="CW1164" s="12"/>
      <c r="CX1164" s="12"/>
      <c r="CY1164" s="12"/>
      <c r="CZ1164" s="12"/>
      <c r="DA1164" s="12"/>
      <c r="DB1164" s="11">
        <v>2100000.0</v>
      </c>
      <c r="DC1164" s="11">
        <v>1440000.0</v>
      </c>
      <c r="DD1164" s="11">
        <v>1140000.0</v>
      </c>
      <c r="DE1164" s="11">
        <v>1240000.0</v>
      </c>
      <c r="DF1164" s="11">
        <v>3720000.0</v>
      </c>
      <c r="DG1164" s="11">
        <v>2980000.0</v>
      </c>
      <c r="DH1164" s="11">
        <v>2670000.0</v>
      </c>
      <c r="DI1164" s="11">
        <v>2530000.0</v>
      </c>
      <c r="DJ1164" s="11">
        <v>1980000.0</v>
      </c>
      <c r="DK1164" s="11">
        <v>3320000.0</v>
      </c>
      <c r="DL1164" s="11">
        <v>1760000.0</v>
      </c>
      <c r="DM1164" s="11">
        <v>1490000.0</v>
      </c>
      <c r="DN1164" s="11">
        <v>864260.0</v>
      </c>
      <c r="DO1164" s="11">
        <v>632160.0</v>
      </c>
      <c r="DP1164" s="11">
        <v>713900.0</v>
      </c>
      <c r="DQ1164" s="11">
        <v>708500.0</v>
      </c>
      <c r="DR1164" s="11">
        <v>703450.0</v>
      </c>
      <c r="DS1164" s="11">
        <v>351570.0</v>
      </c>
      <c r="DT1164" s="11">
        <v>362920.0</v>
      </c>
      <c r="DU1164" s="13"/>
      <c r="DV1164" s="12"/>
      <c r="DW1164" s="12"/>
      <c r="DX1164" s="13"/>
      <c r="DY1164" s="13"/>
      <c r="DZ1164" s="11">
        <v>1.109E7</v>
      </c>
      <c r="EA1164" s="11">
        <v>8760000.0</v>
      </c>
      <c r="EB1164" s="11">
        <v>6140000.0</v>
      </c>
      <c r="EC1164" s="11">
        <v>4450000.0</v>
      </c>
      <c r="ED1164" s="11">
        <v>3650000.0</v>
      </c>
      <c r="EE1164" s="14">
        <v>0.14</v>
      </c>
      <c r="EF1164" s="14">
        <v>0.395</v>
      </c>
      <c r="EG1164" s="14">
        <v>0.197</v>
      </c>
      <c r="EH1164" s="14">
        <v>0.102</v>
      </c>
    </row>
    <row r="1165">
      <c r="A1165" s="9">
        <f t="shared" si="2"/>
        <v>1163</v>
      </c>
      <c r="B1165" s="10" t="s">
        <v>1300</v>
      </c>
      <c r="C1165" s="11">
        <v>89800.0</v>
      </c>
      <c r="D1165" s="11">
        <v>81110.0</v>
      </c>
      <c r="E1165" s="11">
        <v>99220.0</v>
      </c>
      <c r="F1165" s="11">
        <v>77350.0</v>
      </c>
      <c r="G1165" s="11">
        <v>71830.0</v>
      </c>
      <c r="H1165" s="11">
        <v>69340.0</v>
      </c>
      <c r="I1165" s="11">
        <v>51950.0</v>
      </c>
      <c r="J1165" s="11">
        <v>45660.0</v>
      </c>
      <c r="K1165" s="11">
        <v>31600.0</v>
      </c>
      <c r="L1165" s="11">
        <v>31060.0</v>
      </c>
      <c r="M1165" s="11">
        <v>29600.0</v>
      </c>
      <c r="N1165" s="11">
        <v>22010.0</v>
      </c>
      <c r="O1165" s="11">
        <v>19700.0</v>
      </c>
      <c r="P1165" s="11">
        <v>18840.0</v>
      </c>
      <c r="Q1165" s="11">
        <v>58520.0</v>
      </c>
      <c r="R1165" s="11">
        <v>46020.0</v>
      </c>
      <c r="S1165" s="11">
        <v>25300.0</v>
      </c>
      <c r="T1165" s="12"/>
      <c r="U1165" s="11">
        <v>4400.0</v>
      </c>
      <c r="V1165" s="11">
        <v>33100.0</v>
      </c>
      <c r="W1165" s="11">
        <v>33280.0</v>
      </c>
      <c r="X1165" s="11">
        <v>12280.0</v>
      </c>
      <c r="Y1165" s="11">
        <v>23630.0</v>
      </c>
      <c r="Z1165" s="11">
        <v>-284.0</v>
      </c>
      <c r="AA1165" s="12"/>
      <c r="AB1165" s="12"/>
      <c r="AC1165" s="12"/>
      <c r="AD1165" s="11">
        <v>4630.0</v>
      </c>
      <c r="AE1165" s="11">
        <v>4370.0</v>
      </c>
      <c r="AF1165" s="12"/>
      <c r="AG1165" s="12"/>
      <c r="AH1165" s="12"/>
      <c r="AI1165" s="11">
        <v>34350.0</v>
      </c>
      <c r="AJ1165" s="11">
        <v>20220.0</v>
      </c>
      <c r="AK1165" s="12"/>
      <c r="AL1165" s="12"/>
      <c r="AM1165" s="11">
        <v>2720.0</v>
      </c>
      <c r="AN1165" s="11">
        <v>4630.0</v>
      </c>
      <c r="AO1165" s="12"/>
      <c r="AP1165" s="12"/>
      <c r="AQ1165" s="12"/>
      <c r="AR1165" s="11">
        <v>3030.0</v>
      </c>
      <c r="AS1165" s="12"/>
      <c r="AT1165" s="12"/>
      <c r="AU1165" s="12"/>
      <c r="AV1165" s="12"/>
      <c r="AW1165" s="11">
        <v>8460.0</v>
      </c>
      <c r="AX1165" s="12"/>
      <c r="AY1165" s="12"/>
      <c r="AZ1165" s="12"/>
      <c r="BA1165" s="12"/>
      <c r="BB1165" s="12"/>
      <c r="BC1165" s="13"/>
      <c r="BD1165" s="13"/>
      <c r="BE1165" s="13"/>
      <c r="BF1165" s="13"/>
      <c r="BG1165" s="13"/>
      <c r="BH1165" s="11">
        <v>19150.0</v>
      </c>
      <c r="BI1165" s="11">
        <v>38510.0</v>
      </c>
      <c r="BJ1165" s="11">
        <v>64480.0</v>
      </c>
      <c r="BK1165" s="11">
        <v>64480.0</v>
      </c>
      <c r="BL1165" s="11">
        <v>19780.0</v>
      </c>
      <c r="BM1165" s="11">
        <v>23240.0</v>
      </c>
      <c r="BN1165" s="11">
        <v>18070.0</v>
      </c>
      <c r="BO1165" s="11">
        <v>9690.0</v>
      </c>
      <c r="BP1165" s="11">
        <v>10410.0</v>
      </c>
      <c r="BQ1165" s="11">
        <v>8620.0</v>
      </c>
      <c r="BR1165" s="11">
        <v>15070.0</v>
      </c>
      <c r="BS1165" s="11">
        <v>10700.0</v>
      </c>
      <c r="BT1165" s="11">
        <v>9840.0</v>
      </c>
      <c r="BU1165" s="11">
        <v>8750.0</v>
      </c>
      <c r="BV1165" s="11">
        <v>8980.0</v>
      </c>
      <c r="BW1165" s="11">
        <v>60160.0</v>
      </c>
      <c r="BX1165" s="11">
        <v>71140.0</v>
      </c>
      <c r="BY1165" s="11">
        <v>87280.0</v>
      </c>
      <c r="BZ1165" s="11">
        <v>84760.0</v>
      </c>
      <c r="CA1165" s="11">
        <v>38130.0</v>
      </c>
      <c r="CB1165" s="11">
        <v>42700.0</v>
      </c>
      <c r="CC1165" s="11">
        <v>41700.0</v>
      </c>
      <c r="CD1165" s="11">
        <v>39070.0</v>
      </c>
      <c r="CE1165" s="11">
        <v>37300.0</v>
      </c>
      <c r="CF1165" s="11">
        <v>37920.0</v>
      </c>
      <c r="CG1165" s="11">
        <v>4320.0</v>
      </c>
      <c r="CH1165" s="11">
        <v>4320.0</v>
      </c>
      <c r="CI1165" s="11">
        <v>6450.0</v>
      </c>
      <c r="CJ1165" s="11">
        <v>6450.0</v>
      </c>
      <c r="CK1165" s="11">
        <v>6450.0</v>
      </c>
      <c r="CL1165" s="11">
        <v>110460.0</v>
      </c>
      <c r="CM1165" s="11">
        <v>155490.0</v>
      </c>
      <c r="CN1165" s="11">
        <v>187470.0</v>
      </c>
      <c r="CO1165" s="11">
        <v>184530.0</v>
      </c>
      <c r="CP1165" s="11">
        <v>138700.0</v>
      </c>
      <c r="CQ1165" s="11">
        <v>989.0</v>
      </c>
      <c r="CR1165" s="11">
        <v>2160.0</v>
      </c>
      <c r="CS1165" s="11">
        <v>7950.0</v>
      </c>
      <c r="CT1165" s="11">
        <v>4130.0</v>
      </c>
      <c r="CU1165" s="11">
        <v>1550.0</v>
      </c>
      <c r="CV1165" s="11">
        <v>6490.0</v>
      </c>
      <c r="CW1165" s="11">
        <v>148.0</v>
      </c>
      <c r="CX1165" s="13"/>
      <c r="CY1165" s="13"/>
      <c r="CZ1165" s="13"/>
      <c r="DA1165" s="12"/>
      <c r="DB1165" s="11">
        <v>6490.0</v>
      </c>
      <c r="DC1165" s="11">
        <v>29030.0</v>
      </c>
      <c r="DD1165" s="11">
        <v>49900.0</v>
      </c>
      <c r="DE1165" s="11">
        <v>16260.0</v>
      </c>
      <c r="DF1165" s="11">
        <v>117170.0</v>
      </c>
      <c r="DG1165" s="11">
        <v>174990.0</v>
      </c>
      <c r="DH1165" s="11">
        <v>158630.0</v>
      </c>
      <c r="DI1165" s="11">
        <v>112920.0</v>
      </c>
      <c r="DJ1165" s="11">
        <v>98350.0</v>
      </c>
      <c r="DK1165" s="12"/>
      <c r="DL1165" s="12"/>
      <c r="DM1165" s="12"/>
      <c r="DN1165" s="12"/>
      <c r="DO1165" s="12"/>
      <c r="DP1165" s="11">
        <v>110690.0</v>
      </c>
      <c r="DQ1165" s="11">
        <v>64240.0</v>
      </c>
      <c r="DR1165" s="11">
        <v>53600.0</v>
      </c>
      <c r="DS1165" s="11">
        <v>22150.0</v>
      </c>
      <c r="DT1165" s="11">
        <v>25240.0</v>
      </c>
      <c r="DU1165" s="13"/>
      <c r="DV1165" s="12"/>
      <c r="DW1165" s="12"/>
      <c r="DX1165" s="13"/>
      <c r="DY1165" s="13"/>
      <c r="DZ1165" s="12"/>
      <c r="EA1165" s="12"/>
      <c r="EB1165" s="11">
        <v>28850.0</v>
      </c>
      <c r="EC1165" s="11">
        <v>71610.0</v>
      </c>
      <c r="ED1165" s="11">
        <v>40350.0</v>
      </c>
      <c r="EE1165" s="14">
        <v>0.002</v>
      </c>
      <c r="EF1165" s="14">
        <v>0.024</v>
      </c>
      <c r="EG1165" s="14">
        <v>-10.0</v>
      </c>
      <c r="EH1165" s="14">
        <v>-1.444</v>
      </c>
    </row>
    <row r="1166">
      <c r="A1166" s="9">
        <f t="shared" si="2"/>
        <v>1164</v>
      </c>
      <c r="B1166" s="22" t="s">
        <v>1301</v>
      </c>
      <c r="C1166" s="11">
        <v>5050.0</v>
      </c>
      <c r="D1166" s="12"/>
      <c r="E1166" s="12"/>
      <c r="F1166" s="12"/>
      <c r="G1166" s="12"/>
      <c r="H1166" s="12"/>
      <c r="I1166" s="12"/>
      <c r="J1166" s="11">
        <v>-1810.0</v>
      </c>
      <c r="K1166" s="11">
        <v>-148.0</v>
      </c>
      <c r="L1166" s="11">
        <v>-109.0</v>
      </c>
      <c r="M1166" s="11">
        <v>-122.0</v>
      </c>
      <c r="N1166" s="12"/>
      <c r="O1166" s="11">
        <v>57480.0</v>
      </c>
      <c r="P1166" s="11">
        <v>30800.0</v>
      </c>
      <c r="Q1166" s="11">
        <v>19120.0</v>
      </c>
      <c r="R1166" s="11">
        <v>9530.0</v>
      </c>
      <c r="S1166" s="12"/>
      <c r="T1166" s="11">
        <v>40810.0</v>
      </c>
      <c r="U1166" s="11">
        <v>22170.0</v>
      </c>
      <c r="V1166" s="11">
        <v>13520.0</v>
      </c>
      <c r="W1166" s="11">
        <v>6940.0</v>
      </c>
      <c r="X1166" s="12"/>
      <c r="Y1166" s="12"/>
      <c r="Z1166" s="11">
        <v>-36400.0</v>
      </c>
      <c r="AA1166" s="11">
        <v>-20200.0</v>
      </c>
      <c r="AB1166" s="11">
        <v>-9800.0</v>
      </c>
      <c r="AC1166" s="12"/>
      <c r="AD1166" s="11">
        <v>-55710.0</v>
      </c>
      <c r="AE1166" s="11">
        <v>-30830.0</v>
      </c>
      <c r="AF1166" s="11">
        <v>-19700.0</v>
      </c>
      <c r="AG1166" s="11">
        <v>-7700.0</v>
      </c>
      <c r="AH1166" s="12"/>
      <c r="AI1166" s="11">
        <v>-57480.0</v>
      </c>
      <c r="AJ1166" s="11">
        <v>-30800.0</v>
      </c>
      <c r="AK1166" s="11">
        <v>-19120.0</v>
      </c>
      <c r="AL1166" s="11">
        <v>-9530.0</v>
      </c>
      <c r="AM1166" s="12"/>
      <c r="AN1166" s="11">
        <v>-52630.0</v>
      </c>
      <c r="AO1166" s="11">
        <v>-30830.0</v>
      </c>
      <c r="AP1166" s="11">
        <v>-19700.0</v>
      </c>
      <c r="AQ1166" s="11">
        <v>-7700.0</v>
      </c>
      <c r="AR1166" s="12"/>
      <c r="AS1166" s="11">
        <v>-60100.0</v>
      </c>
      <c r="AT1166" s="11">
        <v>-25380.0</v>
      </c>
      <c r="AU1166" s="11">
        <v>-16010.0</v>
      </c>
      <c r="AV1166" s="11">
        <v>-7080.0</v>
      </c>
      <c r="AW1166" s="12"/>
      <c r="AX1166" s="11">
        <v>-6540.0</v>
      </c>
      <c r="AY1166" s="11">
        <v>-2600.0</v>
      </c>
      <c r="AZ1166" s="11">
        <v>-136.0</v>
      </c>
      <c r="BA1166" s="11">
        <v>-238.0</v>
      </c>
      <c r="BB1166" s="12"/>
      <c r="BC1166" s="12"/>
      <c r="BD1166" s="12"/>
      <c r="BE1166" s="12"/>
      <c r="BF1166" s="12"/>
      <c r="BG1166" s="12"/>
      <c r="BH1166" s="11">
        <v>168560.0</v>
      </c>
      <c r="BI1166" s="11">
        <v>134810.0</v>
      </c>
      <c r="BJ1166" s="11">
        <v>61550.0</v>
      </c>
      <c r="BK1166" s="11">
        <v>20590.0</v>
      </c>
      <c r="BL1166" s="12"/>
      <c r="BM1166" s="11">
        <v>2960.0</v>
      </c>
      <c r="BN1166" s="11">
        <v>2470.0</v>
      </c>
      <c r="BO1166" s="11">
        <v>2390.0</v>
      </c>
      <c r="BP1166" s="11">
        <v>1410.0</v>
      </c>
      <c r="BQ1166" s="12"/>
      <c r="BR1166" s="12"/>
      <c r="BS1166" s="12"/>
      <c r="BT1166" s="12"/>
      <c r="BU1166" s="12"/>
      <c r="BV1166" s="12"/>
      <c r="BW1166" s="11">
        <v>174250.0</v>
      </c>
      <c r="BX1166" s="11">
        <v>140980.0</v>
      </c>
      <c r="BY1166" s="11">
        <v>64700.0</v>
      </c>
      <c r="BZ1166" s="11">
        <v>22400.0</v>
      </c>
      <c r="CA1166" s="12"/>
      <c r="CB1166" s="11">
        <v>58210.0</v>
      </c>
      <c r="CC1166" s="11">
        <v>12160.0</v>
      </c>
      <c r="CD1166" s="11">
        <v>370.0</v>
      </c>
      <c r="CE1166" s="11">
        <v>342.0</v>
      </c>
      <c r="CF1166" s="12"/>
      <c r="CG1166" s="12"/>
      <c r="CH1166" s="12"/>
      <c r="CI1166" s="12"/>
      <c r="CJ1166" s="12"/>
      <c r="CK1166" s="12"/>
      <c r="CL1166" s="11">
        <v>234100.0</v>
      </c>
      <c r="CM1166" s="11">
        <v>154330.0</v>
      </c>
      <c r="CN1166" s="11">
        <v>65150.0</v>
      </c>
      <c r="CO1166" s="11">
        <v>22820.0</v>
      </c>
      <c r="CP1166" s="12"/>
      <c r="CQ1166" s="11">
        <v>3430.0</v>
      </c>
      <c r="CR1166" s="11">
        <v>7080.0</v>
      </c>
      <c r="CS1166" s="11">
        <v>1990.0</v>
      </c>
      <c r="CT1166" s="11">
        <v>323.0</v>
      </c>
      <c r="CU1166" s="12"/>
      <c r="CV1166" s="11">
        <v>11870.0</v>
      </c>
      <c r="CW1166" s="11">
        <v>873.0</v>
      </c>
      <c r="CX1166" s="12"/>
      <c r="CY1166" s="12"/>
      <c r="CZ1166" s="12"/>
      <c r="DA1166" s="12"/>
      <c r="DB1166" s="11">
        <v>11870.0</v>
      </c>
      <c r="DC1166" s="11">
        <v>9890.0</v>
      </c>
      <c r="DD1166" s="11">
        <v>5160.0</v>
      </c>
      <c r="DE1166" s="11">
        <v>1990.0</v>
      </c>
      <c r="DF1166" s="11">
        <v>50380.0</v>
      </c>
      <c r="DG1166" s="11">
        <v>16470.0</v>
      </c>
      <c r="DH1166" s="11">
        <v>6860.0</v>
      </c>
      <c r="DI1166" s="11">
        <v>2730.0</v>
      </c>
      <c r="DJ1166" s="12"/>
      <c r="DK1166" s="11">
        <v>1640.0</v>
      </c>
      <c r="DL1166" s="11">
        <v>1190.0</v>
      </c>
      <c r="DM1166" s="11">
        <v>78.0</v>
      </c>
      <c r="DN1166" s="11">
        <v>75.0</v>
      </c>
      <c r="DO1166" s="12"/>
      <c r="DP1166" s="11">
        <v>38510.0</v>
      </c>
      <c r="DQ1166" s="11">
        <v>6560.0</v>
      </c>
      <c r="DR1166" s="12"/>
      <c r="DS1166" s="12"/>
      <c r="DT1166" s="12"/>
      <c r="DU1166" s="13"/>
      <c r="DV1166" s="12"/>
      <c r="DW1166" s="11">
        <v>86360.0</v>
      </c>
      <c r="DX1166" s="11">
        <v>31610.0</v>
      </c>
      <c r="DY1166" s="13"/>
      <c r="DZ1166" s="11">
        <v>183720.0</v>
      </c>
      <c r="EA1166" s="11">
        <v>137860.0</v>
      </c>
      <c r="EB1166" s="11">
        <v>58290.0</v>
      </c>
      <c r="EC1166" s="11">
        <v>20090.0</v>
      </c>
      <c r="ED1166" s="12"/>
      <c r="EE1166" s="23"/>
      <c r="EF1166" s="23"/>
      <c r="EG1166" s="14">
        <v>0.043</v>
      </c>
      <c r="EH1166" s="14">
        <v>-0.037</v>
      </c>
    </row>
    <row r="1167">
      <c r="A1167" s="9">
        <f t="shared" si="2"/>
        <v>1165</v>
      </c>
      <c r="B1167" s="22" t="s">
        <v>1302</v>
      </c>
      <c r="C1167" s="11">
        <v>14450.0</v>
      </c>
      <c r="D1167" s="11">
        <v>6960.0</v>
      </c>
      <c r="E1167" s="11">
        <v>26520.0</v>
      </c>
      <c r="F1167" s="11">
        <v>53590.0</v>
      </c>
      <c r="G1167" s="11">
        <v>48060.0</v>
      </c>
      <c r="H1167" s="11">
        <v>49860.0</v>
      </c>
      <c r="I1167" s="11">
        <v>50320.0</v>
      </c>
      <c r="J1167" s="12"/>
      <c r="K1167" s="12"/>
      <c r="L1167" s="12"/>
      <c r="M1167" s="12"/>
      <c r="N1167" s="12"/>
      <c r="O1167" s="11">
        <v>186410.0</v>
      </c>
      <c r="P1167" s="11">
        <v>130040.0</v>
      </c>
      <c r="Q1167" s="11">
        <v>94530.0</v>
      </c>
      <c r="R1167" s="11">
        <v>56060.0</v>
      </c>
      <c r="S1167" s="11">
        <v>48830.0</v>
      </c>
      <c r="T1167" s="11">
        <v>128110.0</v>
      </c>
      <c r="U1167" s="11">
        <v>97290.0</v>
      </c>
      <c r="V1167" s="11">
        <v>71270.0</v>
      </c>
      <c r="W1167" s="11">
        <v>39450.0</v>
      </c>
      <c r="X1167" s="11">
        <v>35140.0</v>
      </c>
      <c r="Y1167" s="12"/>
      <c r="Z1167" s="11">
        <v>-77890.0</v>
      </c>
      <c r="AA1167" s="12"/>
      <c r="AB1167" s="12"/>
      <c r="AC1167" s="12"/>
      <c r="AD1167" s="11">
        <v>-290160.0</v>
      </c>
      <c r="AE1167" s="11">
        <v>-80520.0</v>
      </c>
      <c r="AF1167" s="11">
        <v>-47670.0</v>
      </c>
      <c r="AG1167" s="11">
        <v>-6670.0</v>
      </c>
      <c r="AH1167" s="11">
        <v>-302.0</v>
      </c>
      <c r="AI1167" s="11">
        <v>-284290.0</v>
      </c>
      <c r="AJ1167" s="11">
        <v>-76450.0</v>
      </c>
      <c r="AK1167" s="11">
        <v>-46480.0</v>
      </c>
      <c r="AL1167" s="11">
        <v>-6200.0</v>
      </c>
      <c r="AM1167" s="11">
        <v>1490.0</v>
      </c>
      <c r="AN1167" s="11">
        <v>-290170.0</v>
      </c>
      <c r="AO1167" s="11">
        <v>-80550.0</v>
      </c>
      <c r="AP1167" s="11">
        <v>-47670.0</v>
      </c>
      <c r="AQ1167" s="11">
        <v>-6230.0</v>
      </c>
      <c r="AR1167" s="11">
        <v>-1450.0</v>
      </c>
      <c r="AS1167" s="11">
        <v>-251150.0</v>
      </c>
      <c r="AT1167" s="11">
        <v>-83780.0</v>
      </c>
      <c r="AU1167" s="11">
        <v>-83260.0</v>
      </c>
      <c r="AV1167" s="11">
        <v>-19260.0</v>
      </c>
      <c r="AW1167" s="11">
        <v>-44620.0</v>
      </c>
      <c r="AX1167" s="11">
        <v>-2670.0</v>
      </c>
      <c r="AY1167" s="11">
        <v>-679.0</v>
      </c>
      <c r="AZ1167" s="11">
        <v>-344.0</v>
      </c>
      <c r="BA1167" s="11">
        <v>-340.0</v>
      </c>
      <c r="BB1167" s="11">
        <v>-272.0</v>
      </c>
      <c r="BC1167" s="12"/>
      <c r="BD1167" s="12"/>
      <c r="BE1167" s="12"/>
      <c r="BF1167" s="12"/>
      <c r="BG1167" s="12"/>
      <c r="BH1167" s="11">
        <v>664320.0</v>
      </c>
      <c r="BI1167" s="11">
        <v>337790.0</v>
      </c>
      <c r="BJ1167" s="11">
        <v>129780.0</v>
      </c>
      <c r="BK1167" s="11">
        <v>84730.0</v>
      </c>
      <c r="BL1167" s="11">
        <v>42010.0</v>
      </c>
      <c r="BM1167" s="12"/>
      <c r="BN1167" s="12"/>
      <c r="BO1167" s="12"/>
      <c r="BP1167" s="12"/>
      <c r="BQ1167" s="11">
        <v>31930.0</v>
      </c>
      <c r="BR1167" s="12"/>
      <c r="BS1167" s="12"/>
      <c r="BT1167" s="12"/>
      <c r="BU1167" s="12"/>
      <c r="BV1167" s="12"/>
      <c r="BW1167" s="11">
        <v>669280.0</v>
      </c>
      <c r="BX1167" s="11">
        <v>342270.0</v>
      </c>
      <c r="BY1167" s="11">
        <v>133110.0</v>
      </c>
      <c r="BZ1167" s="11">
        <v>87280.0</v>
      </c>
      <c r="CA1167" s="11">
        <v>77260.0</v>
      </c>
      <c r="CB1167" s="11">
        <v>12060.0</v>
      </c>
      <c r="CC1167" s="11">
        <v>1450.0</v>
      </c>
      <c r="CD1167" s="11">
        <v>718.0</v>
      </c>
      <c r="CE1167" s="11">
        <v>819.0</v>
      </c>
      <c r="CF1167" s="11">
        <v>1140.0</v>
      </c>
      <c r="CG1167" s="12"/>
      <c r="CH1167" s="12"/>
      <c r="CI1167" s="12"/>
      <c r="CJ1167" s="12"/>
      <c r="CK1167" s="12"/>
      <c r="CL1167" s="11">
        <v>682420.0</v>
      </c>
      <c r="CM1167" s="11">
        <v>345210.0</v>
      </c>
      <c r="CN1167" s="11">
        <v>135340.0</v>
      </c>
      <c r="CO1167" s="11">
        <v>89110.0</v>
      </c>
      <c r="CP1167" s="11">
        <v>79040.0</v>
      </c>
      <c r="CQ1167" s="11">
        <v>1910.0</v>
      </c>
      <c r="CR1167" s="11">
        <v>4470.0</v>
      </c>
      <c r="CS1167" s="11">
        <v>2070.0</v>
      </c>
      <c r="CT1167" s="11">
        <v>3830.0</v>
      </c>
      <c r="CU1167" s="11">
        <v>3530.0</v>
      </c>
      <c r="CV1167" s="11">
        <v>192010.0</v>
      </c>
      <c r="CW1167" s="11">
        <v>3160.0</v>
      </c>
      <c r="CX1167" s="12"/>
      <c r="CY1167" s="12"/>
      <c r="CZ1167" s="12"/>
      <c r="DA1167" s="12"/>
      <c r="DB1167" s="11">
        <v>192010.0</v>
      </c>
      <c r="DC1167" s="11">
        <v>55920.0</v>
      </c>
      <c r="DD1167" s="11">
        <v>47620.0</v>
      </c>
      <c r="DE1167" s="11">
        <v>59630.0</v>
      </c>
      <c r="DF1167" s="11">
        <v>425560.0</v>
      </c>
      <c r="DG1167" s="11">
        <v>330050.0</v>
      </c>
      <c r="DH1167" s="11">
        <v>282310.0</v>
      </c>
      <c r="DI1167" s="11">
        <v>304140.0</v>
      </c>
      <c r="DJ1167" s="11">
        <v>352110.0</v>
      </c>
      <c r="DK1167" s="12"/>
      <c r="DL1167" s="12"/>
      <c r="DM1167" s="12"/>
      <c r="DN1167" s="12"/>
      <c r="DO1167" s="12"/>
      <c r="DP1167" s="11">
        <v>228860.0</v>
      </c>
      <c r="DQ1167" s="11">
        <v>79220.0</v>
      </c>
      <c r="DR1167" s="11">
        <v>18390.0</v>
      </c>
      <c r="DS1167" s="12"/>
      <c r="DT1167" s="12"/>
      <c r="DU1167" s="13"/>
      <c r="DV1167" s="12"/>
      <c r="DW1167" s="12"/>
      <c r="DX1167" s="13"/>
      <c r="DY1167" s="13"/>
      <c r="DZ1167" s="11">
        <v>256860.0</v>
      </c>
      <c r="EA1167" s="11">
        <v>15160.0</v>
      </c>
      <c r="EB1167" s="11">
        <v>-146970.0</v>
      </c>
      <c r="EC1167" s="11">
        <v>-215030.0</v>
      </c>
      <c r="ED1167" s="11">
        <v>-273080.0</v>
      </c>
      <c r="EE1167" s="14">
        <v>0.886</v>
      </c>
      <c r="EF1167" s="23"/>
      <c r="EG1167" s="14">
        <v>0.285</v>
      </c>
      <c r="EH1167" s="14">
        <v>0.083</v>
      </c>
    </row>
    <row r="1168">
      <c r="A1168" s="9">
        <f t="shared" si="2"/>
        <v>1166</v>
      </c>
      <c r="B1168" s="25" t="s">
        <v>1303</v>
      </c>
      <c r="C1168" s="15">
        <v>2200000.0</v>
      </c>
      <c r="D1168" s="15">
        <v>2070000.0</v>
      </c>
      <c r="E1168" s="15">
        <v>2420000.0</v>
      </c>
      <c r="F1168" s="15">
        <v>2560000.0</v>
      </c>
      <c r="G1168" s="15">
        <v>2690000.0</v>
      </c>
      <c r="H1168" s="15">
        <v>2330000.0</v>
      </c>
      <c r="I1168" s="15">
        <v>1910000.0</v>
      </c>
      <c r="J1168" s="15">
        <v>1370000.0</v>
      </c>
      <c r="K1168" s="15">
        <v>1450000.0</v>
      </c>
      <c r="L1168" s="15">
        <v>1540000.0</v>
      </c>
      <c r="M1168" s="15">
        <v>1420000.0</v>
      </c>
      <c r="N1168" s="15">
        <v>1180000.0</v>
      </c>
      <c r="O1168" s="15">
        <v>1300000.0</v>
      </c>
      <c r="P1168" s="15">
        <v>1460000.0</v>
      </c>
      <c r="Q1168" s="15">
        <v>1470000.0</v>
      </c>
      <c r="R1168" s="15">
        <v>1160000.0</v>
      </c>
      <c r="S1168" s="15">
        <v>938800.0</v>
      </c>
      <c r="T1168" s="15">
        <v>40300.0</v>
      </c>
      <c r="U1168" s="15">
        <v>42400.0</v>
      </c>
      <c r="V1168" s="15">
        <v>35700.0</v>
      </c>
      <c r="W1168" s="15">
        <v>37000.0</v>
      </c>
      <c r="X1168" s="15">
        <v>31200.0</v>
      </c>
      <c r="Y1168" s="15">
        <v>34100.0</v>
      </c>
      <c r="Z1168" s="15">
        <v>-65900.0</v>
      </c>
      <c r="AA1168" s="15">
        <v>-104800.0</v>
      </c>
      <c r="AB1168" s="15">
        <v>136900.0</v>
      </c>
      <c r="AC1168" s="15">
        <v>-27000.0</v>
      </c>
      <c r="AD1168" s="15">
        <v>-165000.0</v>
      </c>
      <c r="AE1168" s="15">
        <v>-291900.0</v>
      </c>
      <c r="AF1168" s="15">
        <v>-163500.0</v>
      </c>
      <c r="AG1168" s="15">
        <v>8500.0</v>
      </c>
      <c r="AH1168" s="15">
        <v>110700.0</v>
      </c>
      <c r="AI1168" s="15">
        <v>232600.0</v>
      </c>
      <c r="AJ1168" s="15">
        <v>164700.0</v>
      </c>
      <c r="AK1168" s="15">
        <v>229100.0</v>
      </c>
      <c r="AL1168" s="15">
        <v>381900.0</v>
      </c>
      <c r="AM1168" s="15">
        <v>344700.0</v>
      </c>
      <c r="AN1168" s="15">
        <v>-165200.0</v>
      </c>
      <c r="AO1168" s="15">
        <v>-294100.0</v>
      </c>
      <c r="AP1168" s="15">
        <v>-185300.0</v>
      </c>
      <c r="AQ1168" s="15">
        <v>-17000.0</v>
      </c>
      <c r="AR1168" s="15">
        <v>59300.0</v>
      </c>
      <c r="AS1168" s="15">
        <v>-68300.0</v>
      </c>
      <c r="AT1168" s="15">
        <v>-170800.0</v>
      </c>
      <c r="AU1168" s="15">
        <v>-139300.0</v>
      </c>
      <c r="AV1168" s="15">
        <v>116900.0</v>
      </c>
      <c r="AW1168" s="15">
        <v>155300.0</v>
      </c>
      <c r="AX1168" s="15">
        <v>-29000.0</v>
      </c>
      <c r="AY1168" s="15">
        <v>-57200.0</v>
      </c>
      <c r="AZ1168" s="15">
        <v>-108300.0</v>
      </c>
      <c r="BA1168" s="15">
        <v>-59300.0</v>
      </c>
      <c r="BB1168" s="15">
        <v>-48300.0</v>
      </c>
      <c r="BC1168" s="13"/>
      <c r="BD1168" s="13"/>
      <c r="BE1168" s="13"/>
      <c r="BF1168" s="13"/>
      <c r="BG1168" s="13"/>
      <c r="BH1168" s="15">
        <v>104300.0</v>
      </c>
      <c r="BI1168" s="15">
        <v>87300.0</v>
      </c>
      <c r="BJ1168" s="15">
        <v>87100.0</v>
      </c>
      <c r="BK1168" s="15">
        <v>186800.0</v>
      </c>
      <c r="BL1168" s="15">
        <v>326900.0</v>
      </c>
      <c r="BM1168" s="15">
        <v>423400.0</v>
      </c>
      <c r="BN1168" s="15">
        <v>431300.0</v>
      </c>
      <c r="BO1168" s="15">
        <v>444800.0</v>
      </c>
      <c r="BP1168" s="15">
        <v>423900.0</v>
      </c>
      <c r="BQ1168" s="15">
        <v>244900.0</v>
      </c>
      <c r="BR1168" s="15">
        <v>448400.0</v>
      </c>
      <c r="BS1168" s="15">
        <v>523200.0</v>
      </c>
      <c r="BT1168" s="15">
        <v>497900.0</v>
      </c>
      <c r="BU1168" s="15">
        <v>424600.0</v>
      </c>
      <c r="BV1168" s="15">
        <v>183800.0</v>
      </c>
      <c r="BW1168" s="15">
        <v>1110000.0</v>
      </c>
      <c r="BX1168" s="15">
        <v>1190000.0</v>
      </c>
      <c r="BY1168" s="15">
        <v>1140000.0</v>
      </c>
      <c r="BZ1168" s="15">
        <v>1120000.0</v>
      </c>
      <c r="CA1168" s="15">
        <v>808900.0</v>
      </c>
      <c r="CB1168" s="15">
        <v>408600.0</v>
      </c>
      <c r="CC1168" s="15">
        <v>354500.0</v>
      </c>
      <c r="CD1168" s="15">
        <v>372700.0</v>
      </c>
      <c r="CE1168" s="15">
        <v>320500.0</v>
      </c>
      <c r="CF1168" s="15">
        <v>215300.0</v>
      </c>
      <c r="CG1168" s="15">
        <v>673700.0</v>
      </c>
      <c r="CH1168" s="15">
        <v>673900.0</v>
      </c>
      <c r="CI1168" s="15">
        <v>692500.0</v>
      </c>
      <c r="CJ1168" s="15">
        <v>689500.0</v>
      </c>
      <c r="CK1168" s="15">
        <v>469700.0</v>
      </c>
      <c r="CL1168" s="15">
        <v>2980000.0</v>
      </c>
      <c r="CM1168" s="15">
        <v>3020000.0</v>
      </c>
      <c r="CN1168" s="15">
        <v>3060000.0</v>
      </c>
      <c r="CO1168" s="15">
        <v>3020000.0</v>
      </c>
      <c r="CP1168" s="15">
        <v>1970000.0</v>
      </c>
      <c r="CQ1168" s="15">
        <v>251800.0</v>
      </c>
      <c r="CR1168" s="15">
        <v>332100.0</v>
      </c>
      <c r="CS1168" s="15">
        <v>336900.0</v>
      </c>
      <c r="CT1168" s="15">
        <v>296900.0</v>
      </c>
      <c r="CU1168" s="15">
        <v>201300.0</v>
      </c>
      <c r="CV1168" s="15">
        <v>956900.0</v>
      </c>
      <c r="CW1168" s="15">
        <v>16700.0</v>
      </c>
      <c r="CX1168" s="15">
        <v>9300.0</v>
      </c>
      <c r="CY1168" s="15">
        <v>12400.0</v>
      </c>
      <c r="CZ1168" s="15">
        <v>10800.0</v>
      </c>
      <c r="DA1168" s="15">
        <v>11300.0</v>
      </c>
      <c r="DB1168" s="15">
        <v>956900.0</v>
      </c>
      <c r="DC1168" s="15">
        <v>1120000.0</v>
      </c>
      <c r="DD1168" s="15">
        <v>932300.0</v>
      </c>
      <c r="DE1168" s="15">
        <v>708700.0</v>
      </c>
      <c r="DF1168" s="15">
        <v>4200000.0</v>
      </c>
      <c r="DG1168" s="15">
        <v>4070000.0</v>
      </c>
      <c r="DH1168" s="15">
        <v>3830000.0</v>
      </c>
      <c r="DI1168" s="15">
        <v>3640000.0</v>
      </c>
      <c r="DJ1168" s="15">
        <v>2550000.0</v>
      </c>
      <c r="DK1168" s="15">
        <v>200.0</v>
      </c>
      <c r="DL1168" s="15">
        <v>200.0</v>
      </c>
      <c r="DM1168" s="15">
        <v>300.0</v>
      </c>
      <c r="DN1168" s="12"/>
      <c r="DO1168" s="15"/>
      <c r="DP1168" s="15">
        <v>3000000.0</v>
      </c>
      <c r="DQ1168" s="15">
        <v>2730000.0</v>
      </c>
      <c r="DR1168" s="15">
        <v>2650000.0</v>
      </c>
      <c r="DS1168" s="15">
        <v>2660000.0</v>
      </c>
      <c r="DT1168" s="15">
        <v>1780000.0</v>
      </c>
      <c r="DU1168" s="13"/>
      <c r="DV1168" s="12"/>
      <c r="DW1168" s="12"/>
      <c r="DX1168" s="13"/>
      <c r="DY1168" s="13"/>
      <c r="DZ1168" s="15">
        <v>-1220000.0</v>
      </c>
      <c r="EA1168" s="15">
        <v>-1060000.0</v>
      </c>
      <c r="EB1168" s="15">
        <v>-770400.0</v>
      </c>
      <c r="EC1168" s="15">
        <v>-614800.0</v>
      </c>
      <c r="ED1168" s="15">
        <v>-587500.0</v>
      </c>
      <c r="EE1168" s="17">
        <v>0.0</v>
      </c>
      <c r="EF1168" s="17">
        <v>0.0</v>
      </c>
      <c r="EG1168" s="17">
        <v>-0.5</v>
      </c>
      <c r="EH1168" s="17"/>
    </row>
    <row r="1169">
      <c r="A1169" s="9">
        <f t="shared" si="2"/>
        <v>1167</v>
      </c>
      <c r="B1169" s="25" t="s">
        <v>1304</v>
      </c>
      <c r="C1169" s="15">
        <v>2420000.0</v>
      </c>
      <c r="D1169" s="15">
        <v>2270000.0</v>
      </c>
      <c r="E1169" s="15">
        <v>2400000.0</v>
      </c>
      <c r="F1169" s="15">
        <v>2380000.0</v>
      </c>
      <c r="G1169" s="15">
        <v>2270000.0</v>
      </c>
      <c r="H1169" s="15">
        <v>1930000.0</v>
      </c>
      <c r="I1169" s="15">
        <v>1740000.0</v>
      </c>
      <c r="J1169" s="15">
        <v>234600.0</v>
      </c>
      <c r="K1169" s="15">
        <v>259900.0</v>
      </c>
      <c r="L1169" s="15">
        <v>279680.0</v>
      </c>
      <c r="M1169" s="15">
        <v>220510.0</v>
      </c>
      <c r="N1169" s="15">
        <v>173370.0</v>
      </c>
      <c r="O1169" s="15">
        <v>204100.0</v>
      </c>
      <c r="P1169" s="15">
        <v>189300.0</v>
      </c>
      <c r="Q1169" s="15">
        <v>192280.0</v>
      </c>
      <c r="R1169" s="15">
        <v>144500.0</v>
      </c>
      <c r="S1169" s="15">
        <v>107400.0</v>
      </c>
      <c r="T1169" s="15">
        <v>4800.0</v>
      </c>
      <c r="U1169" s="15">
        <v>6500.0</v>
      </c>
      <c r="V1169" s="15">
        <v>4220.0</v>
      </c>
      <c r="W1169" s="15">
        <v>4820.0</v>
      </c>
      <c r="X1169" s="15">
        <v>5110.0</v>
      </c>
      <c r="Y1169" s="15">
        <v>15900.0</v>
      </c>
      <c r="Z1169" s="15">
        <v>27800.0</v>
      </c>
      <c r="AA1169" s="15">
        <v>70970.0</v>
      </c>
      <c r="AB1169" s="15">
        <v>72490.0</v>
      </c>
      <c r="AC1169" s="15">
        <v>62100.0</v>
      </c>
      <c r="AD1169" s="15">
        <v>-16600.0</v>
      </c>
      <c r="AE1169" s="15">
        <v>2200.0</v>
      </c>
      <c r="AF1169" s="15">
        <v>50020.0</v>
      </c>
      <c r="AG1169" s="15">
        <v>43240.0</v>
      </c>
      <c r="AH1169" s="15">
        <v>34810.0</v>
      </c>
      <c r="AI1169" s="15">
        <v>76000.0</v>
      </c>
      <c r="AJ1169" s="15">
        <v>116600.0</v>
      </c>
      <c r="AK1169" s="15">
        <v>125220.0</v>
      </c>
      <c r="AL1169" s="15">
        <v>100610.0</v>
      </c>
      <c r="AM1169" s="15">
        <v>85060.0</v>
      </c>
      <c r="AN1169" s="15">
        <v>-12300.0</v>
      </c>
      <c r="AO1169" s="15">
        <v>13000.0</v>
      </c>
      <c r="AP1169" s="15">
        <v>31370.0</v>
      </c>
      <c r="AQ1169" s="15">
        <v>30190.0</v>
      </c>
      <c r="AR1169" s="15">
        <v>22880.0</v>
      </c>
      <c r="AS1169" s="15">
        <v>52500.0</v>
      </c>
      <c r="AT1169" s="15">
        <v>-19200.0</v>
      </c>
      <c r="AU1169" s="15">
        <v>33180.0</v>
      </c>
      <c r="AV1169" s="15">
        <v>75570.0</v>
      </c>
      <c r="AW1169" s="15">
        <v>25640.0</v>
      </c>
      <c r="AX1169" s="15">
        <v>-23800.0</v>
      </c>
      <c r="AY1169" s="15">
        <v>-60700.0</v>
      </c>
      <c r="AZ1169" s="15">
        <v>-79350.0</v>
      </c>
      <c r="BA1169" s="15">
        <v>-48540.0</v>
      </c>
      <c r="BB1169" s="15">
        <v>-15430.0</v>
      </c>
      <c r="BC1169" s="15">
        <v>-12500.0</v>
      </c>
      <c r="BD1169" s="15">
        <v>-12800.0</v>
      </c>
      <c r="BE1169" s="15">
        <v>-6380.0</v>
      </c>
      <c r="BF1169" s="15"/>
      <c r="BG1169" s="15">
        <v>-186.0</v>
      </c>
      <c r="BH1169" s="15">
        <v>3300.0</v>
      </c>
      <c r="BI1169" s="15">
        <v>11900.0</v>
      </c>
      <c r="BJ1169" s="15">
        <v>17840.0</v>
      </c>
      <c r="BK1169" s="15">
        <v>10820.0</v>
      </c>
      <c r="BL1169" s="15">
        <v>4970.0</v>
      </c>
      <c r="BM1169" s="15">
        <v>253500.0</v>
      </c>
      <c r="BN1169" s="15">
        <v>266900.0</v>
      </c>
      <c r="BO1169" s="15">
        <v>243240.0</v>
      </c>
      <c r="BP1169" s="15">
        <v>181240.0</v>
      </c>
      <c r="BQ1169" s="15">
        <v>113060.0</v>
      </c>
      <c r="BR1169" s="15">
        <v>513400.0</v>
      </c>
      <c r="BS1169" s="15">
        <v>514000.0</v>
      </c>
      <c r="BT1169" s="15">
        <v>452380.0</v>
      </c>
      <c r="BU1169" s="15">
        <v>325630.0</v>
      </c>
      <c r="BV1169" s="15">
        <v>246960.0</v>
      </c>
      <c r="BW1169" s="15">
        <v>809100.0</v>
      </c>
      <c r="BX1169" s="15">
        <v>843100.0</v>
      </c>
      <c r="BY1169" s="15">
        <v>726830.0</v>
      </c>
      <c r="BZ1169" s="15">
        <v>529730.0</v>
      </c>
      <c r="CA1169" s="15">
        <v>402510.0</v>
      </c>
      <c r="CB1169" s="15">
        <v>201700.0</v>
      </c>
      <c r="CC1169" s="15">
        <v>214300.0</v>
      </c>
      <c r="CD1169" s="15">
        <v>217080.0</v>
      </c>
      <c r="CE1169" s="15">
        <v>146420.0</v>
      </c>
      <c r="CF1169" s="15">
        <v>89150.0</v>
      </c>
      <c r="CG1169" s="15">
        <v>159800.0</v>
      </c>
      <c r="CH1169" s="15">
        <v>161800.0</v>
      </c>
      <c r="CI1169" s="15">
        <v>133240.0</v>
      </c>
      <c r="CJ1169" s="15">
        <v>84510.0</v>
      </c>
      <c r="CK1169" s="15">
        <v>82830.0</v>
      </c>
      <c r="CL1169" s="15">
        <v>1350000.0</v>
      </c>
      <c r="CM1169" s="15">
        <v>1410000.0</v>
      </c>
      <c r="CN1169" s="15">
        <v>1250000.0</v>
      </c>
      <c r="CO1169" s="15">
        <v>889020.0</v>
      </c>
      <c r="CP1169" s="15">
        <v>695820.0</v>
      </c>
      <c r="CQ1169" s="15">
        <v>200800.0</v>
      </c>
      <c r="CR1169" s="15">
        <v>218100.0</v>
      </c>
      <c r="CS1169" s="15">
        <v>217270.0</v>
      </c>
      <c r="CT1169" s="15">
        <v>129480.0</v>
      </c>
      <c r="CU1169" s="15">
        <v>69950.0</v>
      </c>
      <c r="CV1169" s="15">
        <v>436000.0</v>
      </c>
      <c r="CW1169" s="15"/>
      <c r="CX1169" s="15"/>
      <c r="CY1169" s="15"/>
      <c r="CZ1169" s="15"/>
      <c r="DA1169" s="15"/>
      <c r="DB1169" s="15">
        <v>436000.0</v>
      </c>
      <c r="DC1169" s="15">
        <v>417200.0</v>
      </c>
      <c r="DD1169" s="15">
        <v>410080.0</v>
      </c>
      <c r="DE1169" s="15">
        <v>331600.0</v>
      </c>
      <c r="DF1169" s="15">
        <v>841900.0</v>
      </c>
      <c r="DG1169" s="15">
        <v>875700.0</v>
      </c>
      <c r="DH1169" s="15">
        <v>681990.0</v>
      </c>
      <c r="DI1169" s="15">
        <v>628800.0</v>
      </c>
      <c r="DJ1169" s="15">
        <v>455910.0</v>
      </c>
      <c r="DK1169" s="15"/>
      <c r="DL1169" s="15">
        <v>900.0</v>
      </c>
      <c r="DM1169" s="15"/>
      <c r="DN1169" s="15"/>
      <c r="DO1169" s="15"/>
      <c r="DP1169" s="15">
        <v>376600.0</v>
      </c>
      <c r="DQ1169" s="15">
        <v>420600.0</v>
      </c>
      <c r="DR1169" s="15">
        <v>229110.0</v>
      </c>
      <c r="DS1169" s="15">
        <v>256040.0</v>
      </c>
      <c r="DT1169" s="15">
        <v>212390.0</v>
      </c>
      <c r="DU1169" s="15"/>
      <c r="DV1169" s="15"/>
      <c r="DW1169" s="15"/>
      <c r="DX1169" s="15">
        <v>22290.0</v>
      </c>
      <c r="DY1169" s="15">
        <v>15350.0</v>
      </c>
      <c r="DZ1169" s="15">
        <v>505000.0</v>
      </c>
      <c r="EA1169" s="15">
        <v>531400.0</v>
      </c>
      <c r="EB1169" s="15">
        <v>572440.0</v>
      </c>
      <c r="EC1169" s="15">
        <v>260220.0</v>
      </c>
      <c r="ED1169" s="15">
        <v>239910.0</v>
      </c>
      <c r="EE1169" s="31">
        <v>0.053</v>
      </c>
      <c r="EF1169" s="31">
        <v>0.062</v>
      </c>
      <c r="EG1169" s="31">
        <v>0.438</v>
      </c>
      <c r="EH1169" s="31">
        <v>-0.119</v>
      </c>
    </row>
    <row r="1170">
      <c r="A1170" s="9">
        <f t="shared" si="2"/>
        <v>1168</v>
      </c>
      <c r="B1170" s="22" t="s">
        <v>1305</v>
      </c>
      <c r="C1170" s="11">
        <v>393810.0</v>
      </c>
      <c r="D1170" s="11">
        <v>337350.0</v>
      </c>
      <c r="E1170" s="11">
        <v>270250.0</v>
      </c>
      <c r="F1170" s="11">
        <v>194030.0</v>
      </c>
      <c r="G1170" s="11">
        <v>141240.0</v>
      </c>
      <c r="H1170" s="11">
        <v>104540.0</v>
      </c>
      <c r="I1170" s="11">
        <v>83540.0</v>
      </c>
      <c r="J1170" s="11">
        <v>138230.0</v>
      </c>
      <c r="K1170" s="11">
        <v>96920.0</v>
      </c>
      <c r="L1170" s="11">
        <v>67970.0</v>
      </c>
      <c r="M1170" s="11">
        <v>57420.0</v>
      </c>
      <c r="N1170" s="11">
        <v>46690.0</v>
      </c>
      <c r="O1170" s="11">
        <v>98140.0</v>
      </c>
      <c r="P1170" s="11">
        <v>68040.0</v>
      </c>
      <c r="Q1170" s="11">
        <v>53540.0</v>
      </c>
      <c r="R1170" s="11">
        <v>35990.0</v>
      </c>
      <c r="S1170" s="11">
        <v>28840.0</v>
      </c>
      <c r="T1170" s="11">
        <v>19450.0</v>
      </c>
      <c r="U1170" s="11">
        <v>15820.0</v>
      </c>
      <c r="V1170" s="11">
        <v>8670.0</v>
      </c>
      <c r="W1170" s="11">
        <v>7360.0</v>
      </c>
      <c r="X1170" s="11">
        <v>5740.0</v>
      </c>
      <c r="Y1170" s="11">
        <v>30430.0</v>
      </c>
      <c r="Z1170" s="11">
        <v>25990.0</v>
      </c>
      <c r="AA1170" s="11">
        <v>14010.0</v>
      </c>
      <c r="AB1170" s="11">
        <v>15970.0</v>
      </c>
      <c r="AC1170" s="11">
        <v>13760.0</v>
      </c>
      <c r="AD1170" s="11">
        <v>26150.0</v>
      </c>
      <c r="AE1170" s="11">
        <v>21440.0</v>
      </c>
      <c r="AF1170" s="11">
        <v>7250.0</v>
      </c>
      <c r="AG1170" s="11">
        <v>11690.0</v>
      </c>
      <c r="AH1170" s="11">
        <v>13420.0</v>
      </c>
      <c r="AI1170" s="11">
        <v>60950.0</v>
      </c>
      <c r="AJ1170" s="11">
        <v>44670.0</v>
      </c>
      <c r="AK1170" s="11">
        <v>24890.0</v>
      </c>
      <c r="AL1170" s="11">
        <v>26760.0</v>
      </c>
      <c r="AM1170" s="11">
        <v>22440.0</v>
      </c>
      <c r="AN1170" s="11">
        <v>21410.0</v>
      </c>
      <c r="AO1170" s="11">
        <v>16620.0</v>
      </c>
      <c r="AP1170" s="11">
        <v>28350.0</v>
      </c>
      <c r="AQ1170" s="11">
        <v>11680.0</v>
      </c>
      <c r="AR1170" s="11">
        <v>9350.0</v>
      </c>
      <c r="AS1170" s="11">
        <v>61770.0</v>
      </c>
      <c r="AT1170" s="11">
        <v>32770.0</v>
      </c>
      <c r="AU1170" s="11">
        <v>17450.0</v>
      </c>
      <c r="AV1170" s="11">
        <v>7520.0</v>
      </c>
      <c r="AW1170" s="11">
        <v>15050.0</v>
      </c>
      <c r="AX1170" s="11">
        <v>-23150.0</v>
      </c>
      <c r="AY1170" s="11">
        <v>-14040.0</v>
      </c>
      <c r="AZ1170" s="11">
        <v>-5450.0</v>
      </c>
      <c r="BA1170" s="11">
        <v>-4330.0</v>
      </c>
      <c r="BB1170" s="11">
        <v>-2630.0</v>
      </c>
      <c r="BC1170" s="12"/>
      <c r="BD1170" s="12"/>
      <c r="BE1170" s="12"/>
      <c r="BF1170" s="12"/>
      <c r="BG1170" s="12"/>
      <c r="BH1170" s="11">
        <v>537410.0</v>
      </c>
      <c r="BI1170" s="11">
        <v>193820.0</v>
      </c>
      <c r="BJ1170" s="11">
        <v>173760.0</v>
      </c>
      <c r="BK1170" s="11">
        <v>141780.0</v>
      </c>
      <c r="BL1170" s="11">
        <v>71770.0</v>
      </c>
      <c r="BM1170" s="11">
        <v>43670.0</v>
      </c>
      <c r="BN1170" s="11">
        <v>35750.0</v>
      </c>
      <c r="BO1170" s="11">
        <v>27740.0</v>
      </c>
      <c r="BP1170" s="11">
        <v>16060.0</v>
      </c>
      <c r="BQ1170" s="11">
        <v>11450.0</v>
      </c>
      <c r="BR1170" s="11">
        <v>54830.0</v>
      </c>
      <c r="BS1170" s="11">
        <v>42260.0</v>
      </c>
      <c r="BT1170" s="11">
        <v>39000.0</v>
      </c>
      <c r="BU1170" s="11">
        <v>24700.0</v>
      </c>
      <c r="BV1170" s="11">
        <v>18000.0</v>
      </c>
      <c r="BW1170" s="11">
        <v>641830.0</v>
      </c>
      <c r="BX1170" s="11">
        <v>275680.0</v>
      </c>
      <c r="BY1170" s="11">
        <v>242720.0</v>
      </c>
      <c r="BZ1170" s="11">
        <v>184150.0</v>
      </c>
      <c r="CA1170" s="11">
        <v>103050.0</v>
      </c>
      <c r="CB1170" s="11">
        <v>74160.0</v>
      </c>
      <c r="CC1170" s="11">
        <v>32180.0</v>
      </c>
      <c r="CD1170" s="11">
        <v>22420.0</v>
      </c>
      <c r="CE1170" s="11">
        <v>14960.0</v>
      </c>
      <c r="CF1170" s="11">
        <v>13800.0</v>
      </c>
      <c r="CG1170" s="11">
        <v>468410.0</v>
      </c>
      <c r="CH1170" s="11">
        <v>326740.0</v>
      </c>
      <c r="CI1170" s="11">
        <v>327330.0</v>
      </c>
      <c r="CJ1170" s="11">
        <v>59550.0</v>
      </c>
      <c r="CK1170" s="11">
        <v>14350.0</v>
      </c>
      <c r="CL1170" s="11">
        <v>1400000.0</v>
      </c>
      <c r="CM1170" s="11">
        <v>774620.0</v>
      </c>
      <c r="CN1170" s="11">
        <v>743520.0</v>
      </c>
      <c r="CO1170" s="11">
        <v>288910.0</v>
      </c>
      <c r="CP1170" s="11">
        <v>146240.0</v>
      </c>
      <c r="CQ1170" s="11">
        <v>11430.0</v>
      </c>
      <c r="CR1170" s="11">
        <v>10490.0</v>
      </c>
      <c r="CS1170" s="11">
        <v>7280.0</v>
      </c>
      <c r="CT1170" s="11">
        <v>5060.0</v>
      </c>
      <c r="CU1170" s="11">
        <v>6720.0</v>
      </c>
      <c r="CV1170" s="11">
        <v>48310.0</v>
      </c>
      <c r="CW1170" s="11">
        <v>3560.0</v>
      </c>
      <c r="CX1170" s="12"/>
      <c r="CY1170" s="12"/>
      <c r="CZ1170" s="12"/>
      <c r="DA1170" s="12"/>
      <c r="DB1170" s="11">
        <v>48310.0</v>
      </c>
      <c r="DC1170" s="11">
        <v>129840.0</v>
      </c>
      <c r="DD1170" s="11">
        <v>25210.0</v>
      </c>
      <c r="DE1170" s="11">
        <v>21080.0</v>
      </c>
      <c r="DF1170" s="11">
        <v>340350.0</v>
      </c>
      <c r="DG1170" s="11">
        <v>159050.0</v>
      </c>
      <c r="DH1170" s="11">
        <v>151970.0</v>
      </c>
      <c r="DI1170" s="11">
        <v>120150.0</v>
      </c>
      <c r="DJ1170" s="11">
        <v>23490.0</v>
      </c>
      <c r="DK1170" s="12"/>
      <c r="DL1170" s="12"/>
      <c r="DM1170" s="12"/>
      <c r="DN1170" s="11">
        <v>450.0</v>
      </c>
      <c r="DO1170" s="11">
        <v>2080.0</v>
      </c>
      <c r="DP1170" s="11">
        <v>259760.0</v>
      </c>
      <c r="DQ1170" s="12"/>
      <c r="DR1170" s="11">
        <v>99250.0</v>
      </c>
      <c r="DS1170" s="11">
        <v>95270.0</v>
      </c>
      <c r="DT1170" s="12"/>
      <c r="DU1170" s="13"/>
      <c r="DV1170" s="12"/>
      <c r="DW1170" s="12"/>
      <c r="DX1170" s="13"/>
      <c r="DY1170" s="13"/>
      <c r="DZ1170" s="11">
        <v>1060000.0</v>
      </c>
      <c r="EA1170" s="11">
        <v>615570.0</v>
      </c>
      <c r="EB1170" s="11">
        <v>591550.0</v>
      </c>
      <c r="EC1170" s="11">
        <v>168760.0</v>
      </c>
      <c r="ED1170" s="11">
        <v>122750.0</v>
      </c>
      <c r="EE1170" s="14">
        <v>0.021</v>
      </c>
      <c r="EF1170" s="14">
        <v>0.096</v>
      </c>
      <c r="EG1170" s="14">
        <v>0.556</v>
      </c>
      <c r="EH1170" s="14">
        <v>0.39</v>
      </c>
    </row>
    <row r="1171">
      <c r="A1171" s="9">
        <f t="shared" si="2"/>
        <v>1169</v>
      </c>
      <c r="B1171" s="10" t="s">
        <v>1306</v>
      </c>
      <c r="C1171" s="15">
        <v>579990.0</v>
      </c>
      <c r="D1171" s="15">
        <v>501180.0</v>
      </c>
      <c r="E1171" s="15">
        <v>423060.0</v>
      </c>
      <c r="F1171" s="15">
        <v>459040.0</v>
      </c>
      <c r="G1171" s="15">
        <v>440810.0</v>
      </c>
      <c r="H1171" s="15">
        <v>359790.0</v>
      </c>
      <c r="I1171" s="15">
        <v>278020.0</v>
      </c>
      <c r="J1171" s="15">
        <v>171200.0</v>
      </c>
      <c r="K1171" s="15">
        <v>200290.0</v>
      </c>
      <c r="L1171" s="15">
        <v>179290.0</v>
      </c>
      <c r="M1171" s="15">
        <v>135120.0</v>
      </c>
      <c r="N1171" s="15">
        <v>143440.0</v>
      </c>
      <c r="O1171" s="15">
        <v>30490.0</v>
      </c>
      <c r="P1171" s="15">
        <v>35460.0</v>
      </c>
      <c r="Q1171" s="15">
        <v>33350.0</v>
      </c>
      <c r="R1171" s="15">
        <v>34190.0</v>
      </c>
      <c r="S1171" s="15">
        <v>27870.0</v>
      </c>
      <c r="T1171" s="15">
        <v>0.0</v>
      </c>
      <c r="U1171" s="15">
        <v>0.0</v>
      </c>
      <c r="V1171" s="15">
        <v>0.0</v>
      </c>
      <c r="W1171" s="15">
        <v>0.0</v>
      </c>
      <c r="X1171" s="15">
        <v>0.0</v>
      </c>
      <c r="Y1171" s="15">
        <v>133910.0</v>
      </c>
      <c r="Z1171" s="15">
        <v>-74540.0</v>
      </c>
      <c r="AA1171" s="15">
        <v>0.0</v>
      </c>
      <c r="AB1171" s="15">
        <v>-96120.0</v>
      </c>
      <c r="AC1171" s="15">
        <v>87240.0</v>
      </c>
      <c r="AD1171" s="15">
        <v>106580.0</v>
      </c>
      <c r="AE1171" s="15">
        <v>-104580.0</v>
      </c>
      <c r="AF1171" s="15">
        <v>118870.0</v>
      </c>
      <c r="AG1171" s="15">
        <v>-21760.0</v>
      </c>
      <c r="AH1171" s="15">
        <v>62240.0</v>
      </c>
      <c r="AI1171" s="15">
        <v>303760.0</v>
      </c>
      <c r="AJ1171" s="15">
        <v>328530.0</v>
      </c>
      <c r="AK1171" s="15">
        <v>305580.0</v>
      </c>
      <c r="AL1171" s="15">
        <v>242040.0</v>
      </c>
      <c r="AM1171" s="15">
        <v>209060.0</v>
      </c>
      <c r="AN1171" s="15">
        <v>93830.0</v>
      </c>
      <c r="AO1171" s="15">
        <v>-113130.0</v>
      </c>
      <c r="AP1171" s="15">
        <v>101530.0</v>
      </c>
      <c r="AQ1171" s="15">
        <v>-77150.0</v>
      </c>
      <c r="AR1171" s="15">
        <v>51970.0</v>
      </c>
      <c r="AS1171" s="15">
        <v>253170.0</v>
      </c>
      <c r="AT1171" s="15">
        <v>328820.0</v>
      </c>
      <c r="AU1171" s="15">
        <v>266850.0</v>
      </c>
      <c r="AV1171" s="15">
        <v>169860.0</v>
      </c>
      <c r="AW1171" s="15">
        <v>191240.0</v>
      </c>
      <c r="AX1171" s="15">
        <v>-1060.0</v>
      </c>
      <c r="AY1171" s="15">
        <v>-11810.0</v>
      </c>
      <c r="AZ1171" s="15">
        <v>-203720.0</v>
      </c>
      <c r="BA1171" s="15">
        <v>-1350000.0</v>
      </c>
      <c r="BB1171" s="15">
        <v>-60430.0</v>
      </c>
      <c r="BC1171" s="15">
        <v>-67480.0</v>
      </c>
      <c r="BD1171" s="15">
        <v>-64120.0</v>
      </c>
      <c r="BE1171" s="15">
        <v>-61400.0</v>
      </c>
      <c r="BF1171" s="15">
        <v>-58720.0</v>
      </c>
      <c r="BG1171" s="15">
        <v>-56050.0</v>
      </c>
      <c r="BH1171" s="15">
        <v>119480.0</v>
      </c>
      <c r="BI1171" s="15">
        <v>88750.0</v>
      </c>
      <c r="BJ1171" s="15">
        <v>85850.0</v>
      </c>
      <c r="BK1171" s="15">
        <v>116630.0</v>
      </c>
      <c r="BL1171" s="15">
        <v>742850.0</v>
      </c>
      <c r="BM1171" s="15">
        <v>23440.0</v>
      </c>
      <c r="BN1171" s="15">
        <v>26400.0</v>
      </c>
      <c r="BO1171" s="15">
        <v>49060.0</v>
      </c>
      <c r="BP1171" s="15">
        <v>41210.0</v>
      </c>
      <c r="BQ1171" s="15">
        <v>44100.0</v>
      </c>
      <c r="BR1171" s="15">
        <v>11380.0</v>
      </c>
      <c r="BS1171" s="15">
        <v>9310.0</v>
      </c>
      <c r="BT1171" s="15">
        <v>7880.0</v>
      </c>
      <c r="BU1171" s="15">
        <v>9490.0</v>
      </c>
      <c r="BV1171" s="15">
        <v>0.0</v>
      </c>
      <c r="BW1171" s="15">
        <v>154680.0</v>
      </c>
      <c r="BX1171" s="15">
        <v>125810.0</v>
      </c>
      <c r="BY1171" s="15">
        <v>143610.0</v>
      </c>
      <c r="BZ1171" s="15">
        <v>167950.0</v>
      </c>
      <c r="CA1171" s="15">
        <v>790750.0</v>
      </c>
      <c r="CB1171" s="15">
        <v>2340000.0</v>
      </c>
      <c r="CC1171" s="15">
        <v>2500000.0</v>
      </c>
      <c r="CD1171" s="15">
        <v>2890000.0</v>
      </c>
      <c r="CE1171" s="15">
        <v>2850000.0</v>
      </c>
      <c r="CF1171" s="15">
        <v>2080000.0</v>
      </c>
      <c r="CG1171" s="15">
        <v>0.0</v>
      </c>
      <c r="CH1171" s="15">
        <v>0.0</v>
      </c>
      <c r="CI1171" s="15">
        <v>0.0</v>
      </c>
      <c r="CJ1171" s="15">
        <v>0.0</v>
      </c>
      <c r="CK1171" s="15">
        <v>0.0</v>
      </c>
      <c r="CL1171" s="15">
        <v>2540000.0</v>
      </c>
      <c r="CM1171" s="15">
        <v>2680000.0</v>
      </c>
      <c r="CN1171" s="15">
        <v>3090000.0</v>
      </c>
      <c r="CO1171" s="15">
        <v>3070000.0</v>
      </c>
      <c r="CP1171" s="15">
        <v>2930000.0</v>
      </c>
      <c r="CQ1171" s="15">
        <v>2890.0</v>
      </c>
      <c r="CR1171" s="15">
        <v>9090.0</v>
      </c>
      <c r="CS1171" s="15">
        <v>3910.0</v>
      </c>
      <c r="CT1171" s="15">
        <v>4110.0</v>
      </c>
      <c r="CU1171" s="15">
        <v>4910.0</v>
      </c>
      <c r="CV1171" s="15">
        <v>33610.0</v>
      </c>
      <c r="CW1171" s="15">
        <v>0.0</v>
      </c>
      <c r="CX1171" s="16">
        <v>0.0</v>
      </c>
      <c r="CY1171" s="16">
        <v>0.0</v>
      </c>
      <c r="CZ1171" s="15">
        <v>0.0</v>
      </c>
      <c r="DA1171" s="15">
        <v>0.0</v>
      </c>
      <c r="DB1171" s="15">
        <v>33610.0</v>
      </c>
      <c r="DC1171" s="15">
        <v>51380.0</v>
      </c>
      <c r="DD1171" s="15">
        <v>34280.0</v>
      </c>
      <c r="DE1171" s="15">
        <v>25860.0</v>
      </c>
      <c r="DF1171" s="15">
        <v>373700.0</v>
      </c>
      <c r="DG1171" s="15">
        <v>540750.0</v>
      </c>
      <c r="DH1171" s="15">
        <v>773800.0</v>
      </c>
      <c r="DI1171" s="15">
        <v>783840.0</v>
      </c>
      <c r="DJ1171" s="15">
        <v>509510.0</v>
      </c>
      <c r="DK1171" s="15">
        <v>15980.0</v>
      </c>
      <c r="DL1171" s="15">
        <v>0.0</v>
      </c>
      <c r="DM1171" s="15">
        <v>0.0</v>
      </c>
      <c r="DN1171" s="15">
        <v>0.0</v>
      </c>
      <c r="DO1171" s="15">
        <v>6270.0</v>
      </c>
      <c r="DP1171" s="15">
        <v>214550.0</v>
      </c>
      <c r="DQ1171" s="15">
        <v>351030.0</v>
      </c>
      <c r="DR1171" s="15">
        <v>586170.0</v>
      </c>
      <c r="DS1171" s="15">
        <v>600690.0</v>
      </c>
      <c r="DT1171" s="15">
        <v>322110.0</v>
      </c>
      <c r="DU1171" s="16">
        <v>0.0</v>
      </c>
      <c r="DV1171" s="15">
        <v>0.0</v>
      </c>
      <c r="DW1171" s="15">
        <v>0.0</v>
      </c>
      <c r="DX1171" s="16">
        <v>0.0</v>
      </c>
      <c r="DY1171" s="16">
        <v>0.0</v>
      </c>
      <c r="DZ1171" s="15">
        <v>2140000.0</v>
      </c>
      <c r="EA1171" s="15">
        <v>2100000.0</v>
      </c>
      <c r="EB1171" s="15">
        <v>2280000.0</v>
      </c>
      <c r="EC1171" s="15">
        <v>2230000.0</v>
      </c>
      <c r="ED1171" s="15">
        <v>2350000.0</v>
      </c>
      <c r="EE1171" s="17">
        <v>0.19</v>
      </c>
      <c r="EF1171" s="17">
        <v>0.41</v>
      </c>
      <c r="EG1171" s="17">
        <v>0.0</v>
      </c>
      <c r="EH1171" s="17">
        <v>-0.047</v>
      </c>
    </row>
    <row r="1172">
      <c r="A1172" s="9">
        <f t="shared" si="2"/>
        <v>1170</v>
      </c>
      <c r="B1172" s="22" t="s">
        <v>1307</v>
      </c>
      <c r="C1172" s="11">
        <v>180000.0</v>
      </c>
      <c r="D1172" s="11">
        <v>114420.0</v>
      </c>
      <c r="E1172" s="11">
        <v>35230.0</v>
      </c>
      <c r="F1172" s="11">
        <v>218510.0</v>
      </c>
      <c r="G1172" s="11">
        <v>10390.0</v>
      </c>
      <c r="H1172" s="11">
        <v>4590.0</v>
      </c>
      <c r="I1172" s="11">
        <v>7590.0</v>
      </c>
      <c r="J1172" s="11">
        <v>19840.0</v>
      </c>
      <c r="K1172" s="11">
        <v>204880.0</v>
      </c>
      <c r="L1172" s="11">
        <v>6000.0</v>
      </c>
      <c r="M1172" s="11">
        <v>3630.0</v>
      </c>
      <c r="N1172" s="11">
        <v>6090.0</v>
      </c>
      <c r="O1172" s="11">
        <v>168850.0</v>
      </c>
      <c r="P1172" s="11">
        <v>116740.0</v>
      </c>
      <c r="Q1172" s="11">
        <v>81770.0</v>
      </c>
      <c r="R1172" s="11">
        <v>69070.0</v>
      </c>
      <c r="S1172" s="11">
        <v>29190.0</v>
      </c>
      <c r="T1172" s="11">
        <v>117030.0</v>
      </c>
      <c r="U1172" s="11">
        <v>83870.0</v>
      </c>
      <c r="V1172" s="11">
        <v>57220.0</v>
      </c>
      <c r="W1172" s="11">
        <v>45480.0</v>
      </c>
      <c r="X1172" s="11">
        <v>17280.0</v>
      </c>
      <c r="Y1172" s="11">
        <v>-117210.0</v>
      </c>
      <c r="Z1172" s="12"/>
      <c r="AA1172" s="12"/>
      <c r="AB1172" s="12"/>
      <c r="AC1172" s="12"/>
      <c r="AD1172" s="11">
        <v>-97490.0</v>
      </c>
      <c r="AE1172" s="11">
        <v>104120.0</v>
      </c>
      <c r="AF1172" s="11">
        <v>-73170.0</v>
      </c>
      <c r="AG1172" s="11">
        <v>-63400.0</v>
      </c>
      <c r="AH1172" s="11">
        <v>-22810.0</v>
      </c>
      <c r="AI1172" s="11">
        <v>-141850.0</v>
      </c>
      <c r="AJ1172" s="11">
        <v>92080.0</v>
      </c>
      <c r="AK1172" s="11">
        <v>-73200.0</v>
      </c>
      <c r="AL1172" s="11">
        <v>-64900.0</v>
      </c>
      <c r="AM1172" s="11">
        <v>-23030.0</v>
      </c>
      <c r="AN1172" s="11">
        <v>-94730.0</v>
      </c>
      <c r="AO1172" s="11">
        <v>99940.0</v>
      </c>
      <c r="AP1172" s="11">
        <v>-73170.0</v>
      </c>
      <c r="AQ1172" s="11">
        <v>-62970.0</v>
      </c>
      <c r="AR1172" s="11">
        <v>-22810.0</v>
      </c>
      <c r="AS1172" s="11">
        <v>-105450.0</v>
      </c>
      <c r="AT1172" s="11">
        <v>104650.0</v>
      </c>
      <c r="AU1172" s="11">
        <v>-57990.0</v>
      </c>
      <c r="AV1172" s="11">
        <v>-48560.0</v>
      </c>
      <c r="AW1172" s="11">
        <v>-22480.0</v>
      </c>
      <c r="AX1172" s="11">
        <v>-11720.0</v>
      </c>
      <c r="AY1172" s="11">
        <v>-13280.0</v>
      </c>
      <c r="AZ1172" s="11">
        <v>-7160.0</v>
      </c>
      <c r="BA1172" s="11">
        <v>-8150.0</v>
      </c>
      <c r="BB1172" s="11">
        <v>-522.0</v>
      </c>
      <c r="BC1172" s="12"/>
      <c r="BD1172" s="12"/>
      <c r="BE1172" s="12"/>
      <c r="BF1172" s="12"/>
      <c r="BG1172" s="12"/>
      <c r="BH1172" s="11">
        <v>296210.0</v>
      </c>
      <c r="BI1172" s="11">
        <v>319760.0</v>
      </c>
      <c r="BJ1172" s="11">
        <v>160780.0</v>
      </c>
      <c r="BK1172" s="11">
        <v>89550.0</v>
      </c>
      <c r="BL1172" s="11">
        <v>114140.0</v>
      </c>
      <c r="BM1172" s="11">
        <v>38150.0</v>
      </c>
      <c r="BN1172" s="11">
        <v>8590.0</v>
      </c>
      <c r="BO1172" s="11">
        <v>473.0</v>
      </c>
      <c r="BP1172" s="11">
        <v>1030.0</v>
      </c>
      <c r="BQ1172" s="11">
        <v>2140.0</v>
      </c>
      <c r="BR1172" s="12"/>
      <c r="BS1172" s="12"/>
      <c r="BT1172" s="12"/>
      <c r="BU1172" s="12"/>
      <c r="BV1172" s="12"/>
      <c r="BW1172" s="11">
        <v>345030.0</v>
      </c>
      <c r="BX1172" s="11">
        <v>337910.0</v>
      </c>
      <c r="BY1172" s="11">
        <v>168000.0</v>
      </c>
      <c r="BZ1172" s="11">
        <v>93370.0</v>
      </c>
      <c r="CA1172" s="11">
        <v>118150.0</v>
      </c>
      <c r="CB1172" s="11">
        <v>39050.0</v>
      </c>
      <c r="CC1172" s="11">
        <v>28700.0</v>
      </c>
      <c r="CD1172" s="11">
        <v>13980.0</v>
      </c>
      <c r="CE1172" s="11">
        <v>9320.0</v>
      </c>
      <c r="CF1172" s="11">
        <v>538.0</v>
      </c>
      <c r="CG1172" s="12"/>
      <c r="CH1172" s="12"/>
      <c r="CI1172" s="12"/>
      <c r="CJ1172" s="12"/>
      <c r="CK1172" s="12"/>
      <c r="CL1172" s="11">
        <v>497910.0</v>
      </c>
      <c r="CM1172" s="11">
        <v>543810.0</v>
      </c>
      <c r="CN1172" s="11">
        <v>198680.0</v>
      </c>
      <c r="CO1172" s="11">
        <v>172730.0</v>
      </c>
      <c r="CP1172" s="11">
        <v>221380.0</v>
      </c>
      <c r="CQ1172" s="11">
        <v>6410.0</v>
      </c>
      <c r="CR1172" s="11">
        <v>4410.0</v>
      </c>
      <c r="CS1172" s="11">
        <v>4830.0</v>
      </c>
      <c r="CT1172" s="11">
        <v>1540.0</v>
      </c>
      <c r="CU1172" s="11">
        <v>1010.0</v>
      </c>
      <c r="CV1172" s="11">
        <v>33680.0</v>
      </c>
      <c r="CW1172" s="11">
        <v>2420.0</v>
      </c>
      <c r="CX1172" s="12"/>
      <c r="CY1172" s="12"/>
      <c r="CZ1172" s="12"/>
      <c r="DA1172" s="12"/>
      <c r="DB1172" s="11">
        <v>33680.0</v>
      </c>
      <c r="DC1172" s="11">
        <v>22180.0</v>
      </c>
      <c r="DD1172" s="11">
        <v>14440.0</v>
      </c>
      <c r="DE1172" s="11">
        <v>9670.0</v>
      </c>
      <c r="DF1172" s="11">
        <v>47710.0</v>
      </c>
      <c r="DG1172" s="11">
        <v>34970.0</v>
      </c>
      <c r="DH1172" s="11">
        <v>15650.0</v>
      </c>
      <c r="DI1172" s="11">
        <v>11000.0</v>
      </c>
      <c r="DJ1172" s="11">
        <v>4570.0</v>
      </c>
      <c r="DK1172" s="11">
        <v>105120.0</v>
      </c>
      <c r="DL1172" s="11">
        <v>152270.0</v>
      </c>
      <c r="DM1172" s="11">
        <v>16240.0</v>
      </c>
      <c r="DN1172" s="11">
        <v>69640.0</v>
      </c>
      <c r="DO1172" s="11">
        <v>102530.0</v>
      </c>
      <c r="DP1172" s="11">
        <v>8870.0</v>
      </c>
      <c r="DQ1172" s="11">
        <v>5850.0</v>
      </c>
      <c r="DR1172" s="12"/>
      <c r="DS1172" s="12"/>
      <c r="DT1172" s="12"/>
      <c r="DU1172" s="13"/>
      <c r="DV1172" s="12"/>
      <c r="DW1172" s="12"/>
      <c r="DX1172" s="13"/>
      <c r="DY1172" s="13"/>
      <c r="DZ1172" s="11">
        <v>450200.0</v>
      </c>
      <c r="EA1172" s="11">
        <v>508850.0</v>
      </c>
      <c r="EB1172" s="11">
        <v>183030.0</v>
      </c>
      <c r="EC1172" s="11">
        <v>161740.0</v>
      </c>
      <c r="ED1172" s="11">
        <v>216810.0</v>
      </c>
      <c r="EE1172" s="14">
        <v>0.883</v>
      </c>
      <c r="EF1172" s="14">
        <v>0.681</v>
      </c>
      <c r="EG1172" s="14">
        <v>-0.022</v>
      </c>
      <c r="EH1172" s="14">
        <v>-0.306</v>
      </c>
    </row>
    <row r="1173">
      <c r="A1173" s="9">
        <f t="shared" si="2"/>
        <v>1171</v>
      </c>
      <c r="B1173" s="25" t="s">
        <v>1308</v>
      </c>
      <c r="C1173" s="15">
        <v>545400.0</v>
      </c>
      <c r="D1173" s="15">
        <v>532900.0</v>
      </c>
      <c r="E1173" s="15">
        <v>410510.0</v>
      </c>
      <c r="F1173" s="15">
        <v>495640.0</v>
      </c>
      <c r="G1173" s="15">
        <v>522260.0</v>
      </c>
      <c r="H1173" s="15">
        <v>664330.0</v>
      </c>
      <c r="I1173" s="15">
        <v>551090.0</v>
      </c>
      <c r="J1173" s="15">
        <v>99550.0</v>
      </c>
      <c r="K1173" s="15">
        <v>134360.0</v>
      </c>
      <c r="L1173" s="15">
        <v>154010.0</v>
      </c>
      <c r="M1173" s="15">
        <v>219550.0</v>
      </c>
      <c r="N1173" s="15">
        <v>172160.0</v>
      </c>
      <c r="O1173" s="15">
        <v>60120.0</v>
      </c>
      <c r="P1173" s="15">
        <v>67360.0</v>
      </c>
      <c r="Q1173" s="15">
        <v>77630.0</v>
      </c>
      <c r="R1173" s="15">
        <v>85150.0</v>
      </c>
      <c r="S1173" s="15">
        <v>77730.0</v>
      </c>
      <c r="T1173" s="15">
        <v>8200.0</v>
      </c>
      <c r="U1173" s="15">
        <v>8500.0</v>
      </c>
      <c r="V1173" s="15">
        <v>9800.0</v>
      </c>
      <c r="W1173" s="15">
        <v>8700.0</v>
      </c>
      <c r="X1173" s="15">
        <v>8500.0</v>
      </c>
      <c r="Y1173" s="12"/>
      <c r="Z1173" s="12"/>
      <c r="AA1173" s="12"/>
      <c r="AB1173" s="15"/>
      <c r="AC1173" s="15"/>
      <c r="AD1173" s="15">
        <v>43030.0</v>
      </c>
      <c r="AE1173" s="15">
        <v>68710.0</v>
      </c>
      <c r="AF1173" s="15">
        <v>77650.0</v>
      </c>
      <c r="AG1173" s="15">
        <v>135920.0</v>
      </c>
      <c r="AH1173" s="15">
        <v>96100.0</v>
      </c>
      <c r="AI1173" s="15">
        <v>68760.0</v>
      </c>
      <c r="AJ1173" s="15">
        <v>98970.0</v>
      </c>
      <c r="AK1173" s="15">
        <v>110640.0</v>
      </c>
      <c r="AL1173" s="15">
        <v>169760.0</v>
      </c>
      <c r="AM1173" s="15">
        <v>130670.0</v>
      </c>
      <c r="AN1173" s="15">
        <v>32290.0</v>
      </c>
      <c r="AO1173" s="15">
        <v>50930.0</v>
      </c>
      <c r="AP1173" s="15">
        <v>52140.0</v>
      </c>
      <c r="AQ1173" s="15">
        <v>87470.0</v>
      </c>
      <c r="AR1173" s="15">
        <v>62130.0</v>
      </c>
      <c r="AS1173" s="15">
        <v>49590.0</v>
      </c>
      <c r="AT1173" s="15">
        <v>119810.0</v>
      </c>
      <c r="AU1173" s="15">
        <v>101190.0</v>
      </c>
      <c r="AV1173" s="15">
        <v>104800.0</v>
      </c>
      <c r="AW1173" s="15">
        <v>112570.0</v>
      </c>
      <c r="AX1173" s="15">
        <v>-20300.0</v>
      </c>
      <c r="AY1173" s="15">
        <v>-10540.0</v>
      </c>
      <c r="AZ1173" s="15">
        <v>-33600.0</v>
      </c>
      <c r="BA1173" s="15">
        <v>-35220.0</v>
      </c>
      <c r="BB1173" s="15">
        <v>-28710.0</v>
      </c>
      <c r="BC1173" s="15">
        <v>-14320.0</v>
      </c>
      <c r="BD1173" s="15">
        <v>-19200.0</v>
      </c>
      <c r="BE1173" s="15">
        <v>-23910.0</v>
      </c>
      <c r="BF1173" s="15">
        <v>-32820.0</v>
      </c>
      <c r="BG1173" s="15">
        <v>-20570.0</v>
      </c>
      <c r="BH1173" s="15">
        <v>164910.0</v>
      </c>
      <c r="BI1173" s="15">
        <v>152820.0</v>
      </c>
      <c r="BJ1173" s="15">
        <v>63490.0</v>
      </c>
      <c r="BK1173" s="15">
        <v>87130.0</v>
      </c>
      <c r="BL1173" s="15">
        <v>69230.0</v>
      </c>
      <c r="BM1173" s="15">
        <v>52640.0</v>
      </c>
      <c r="BN1173" s="15">
        <v>45030.0</v>
      </c>
      <c r="BO1173" s="15">
        <v>60080.0</v>
      </c>
      <c r="BP1173" s="15">
        <v>69440.0</v>
      </c>
      <c r="BQ1173" s="15">
        <v>71720.0</v>
      </c>
      <c r="BR1173" s="15">
        <v>28300.0</v>
      </c>
      <c r="BS1173" s="15">
        <v>31420.0</v>
      </c>
      <c r="BT1173" s="15">
        <v>39710.0</v>
      </c>
      <c r="BU1173" s="15">
        <v>54540.0</v>
      </c>
      <c r="BV1173" s="15">
        <v>37100.0</v>
      </c>
      <c r="BW1173" s="15">
        <v>249320.0</v>
      </c>
      <c r="BX1173" s="15">
        <v>232190.0</v>
      </c>
      <c r="BY1173" s="15">
        <v>166780.0</v>
      </c>
      <c r="BZ1173" s="15">
        <v>214760.0</v>
      </c>
      <c r="CA1173" s="15">
        <v>189270.0</v>
      </c>
      <c r="CB1173" s="15">
        <v>76520.0</v>
      </c>
      <c r="CC1173" s="15">
        <v>82710.0</v>
      </c>
      <c r="CD1173" s="15">
        <v>103800.0</v>
      </c>
      <c r="CE1173" s="15">
        <v>104240.0</v>
      </c>
      <c r="CF1173" s="15">
        <v>103820.0</v>
      </c>
      <c r="CG1173" s="15"/>
      <c r="CH1173" s="15"/>
      <c r="CI1173" s="15"/>
      <c r="CJ1173" s="15"/>
      <c r="CK1173" s="15"/>
      <c r="CL1173" s="15">
        <v>355470.0</v>
      </c>
      <c r="CM1173" s="15">
        <v>342100.0</v>
      </c>
      <c r="CN1173" s="15">
        <v>284320.0</v>
      </c>
      <c r="CO1173" s="15">
        <v>346880.0</v>
      </c>
      <c r="CP1173" s="15">
        <v>315880.0</v>
      </c>
      <c r="CQ1173" s="15">
        <v>8340.0</v>
      </c>
      <c r="CR1173" s="15">
        <v>11680.0</v>
      </c>
      <c r="CS1173" s="15">
        <v>8760.0</v>
      </c>
      <c r="CT1173" s="15">
        <v>16970.0</v>
      </c>
      <c r="CU1173" s="15">
        <v>13070.0</v>
      </c>
      <c r="CV1173" s="15">
        <v>61240.0</v>
      </c>
      <c r="CW1173" s="15">
        <v>464.0</v>
      </c>
      <c r="CX1173" s="15"/>
      <c r="CY1173" s="15"/>
      <c r="CZ1173" s="15"/>
      <c r="DA1173" s="15"/>
      <c r="DB1173" s="15">
        <v>61240.0</v>
      </c>
      <c r="DC1173" s="15">
        <v>71190.0</v>
      </c>
      <c r="DD1173" s="15">
        <v>52680.0</v>
      </c>
      <c r="DE1173" s="15">
        <v>80890.0</v>
      </c>
      <c r="DF1173" s="15">
        <v>70020.0</v>
      </c>
      <c r="DG1173" s="15">
        <v>77860.0</v>
      </c>
      <c r="DH1173" s="15">
        <v>54170.0</v>
      </c>
      <c r="DI1173" s="15">
        <v>80980.0</v>
      </c>
      <c r="DJ1173" s="15">
        <v>88150.0</v>
      </c>
      <c r="DK1173" s="15"/>
      <c r="DL1173" s="15"/>
      <c r="DM1173" s="15"/>
      <c r="DN1173" s="15"/>
      <c r="DO1173" s="15"/>
      <c r="DP1173" s="15">
        <v>2180.0</v>
      </c>
      <c r="DQ1173" s="15"/>
      <c r="DR1173" s="15"/>
      <c r="DS1173" s="15"/>
      <c r="DT1173" s="15"/>
      <c r="DU1173" s="13"/>
      <c r="DV1173" s="12"/>
      <c r="DW1173" s="12"/>
      <c r="DX1173" s="13"/>
      <c r="DY1173" s="13"/>
      <c r="DZ1173" s="15">
        <v>285460.0</v>
      </c>
      <c r="EA1173" s="15">
        <v>264240.0</v>
      </c>
      <c r="EB1173" s="15">
        <v>230150.0</v>
      </c>
      <c r="EC1173" s="15">
        <v>265900.0</v>
      </c>
      <c r="ED1173" s="15">
        <v>227740.0</v>
      </c>
      <c r="EE1173" s="17">
        <v>0.0</v>
      </c>
      <c r="EF1173" s="17">
        <v>0.0</v>
      </c>
      <c r="EG1173" s="17">
        <v>-0.146</v>
      </c>
      <c r="EH1173" s="17">
        <v>-0.125</v>
      </c>
    </row>
    <row r="1174">
      <c r="A1174" s="9">
        <f t="shared" si="2"/>
        <v>1172</v>
      </c>
      <c r="B1174" s="10" t="s">
        <v>1309</v>
      </c>
      <c r="C1174" s="11">
        <v>508390.0</v>
      </c>
      <c r="D1174" s="11">
        <v>666880.0</v>
      </c>
      <c r="E1174" s="11">
        <v>1070000.0</v>
      </c>
      <c r="F1174" s="11">
        <v>1240000.0</v>
      </c>
      <c r="G1174" s="11">
        <v>1270000.0</v>
      </c>
      <c r="H1174" s="11">
        <v>1790000.0</v>
      </c>
      <c r="I1174" s="11">
        <v>1840000.0</v>
      </c>
      <c r="J1174" s="11">
        <v>454140.0</v>
      </c>
      <c r="K1174" s="11">
        <v>517160.0</v>
      </c>
      <c r="L1174" s="11">
        <v>491060.0</v>
      </c>
      <c r="M1174" s="11">
        <v>686350.0</v>
      </c>
      <c r="N1174" s="11">
        <v>705750.0</v>
      </c>
      <c r="O1174" s="11">
        <v>449850.0</v>
      </c>
      <c r="P1174" s="11">
        <v>518300.0</v>
      </c>
      <c r="Q1174" s="11">
        <v>465610.0</v>
      </c>
      <c r="R1174" s="11">
        <v>658260.0</v>
      </c>
      <c r="S1174" s="11">
        <v>687620.0</v>
      </c>
      <c r="T1174" s="12"/>
      <c r="U1174" s="12"/>
      <c r="V1174" s="12"/>
      <c r="W1174" s="12"/>
      <c r="X1174" s="12"/>
      <c r="Y1174" s="11">
        <v>-22120.0</v>
      </c>
      <c r="Z1174" s="11">
        <v>-4000.0</v>
      </c>
      <c r="AA1174" s="11">
        <v>-11370.0</v>
      </c>
      <c r="AB1174" s="11">
        <v>-10480.0</v>
      </c>
      <c r="AC1174" s="11">
        <v>3530.0</v>
      </c>
      <c r="AD1174" s="11">
        <v>-22270.0</v>
      </c>
      <c r="AE1174" s="11">
        <v>-10190.0</v>
      </c>
      <c r="AF1174" s="11">
        <v>8330.0</v>
      </c>
      <c r="AG1174" s="11">
        <v>12520.0</v>
      </c>
      <c r="AH1174" s="11">
        <v>-4980.0</v>
      </c>
      <c r="AI1174" s="11">
        <v>37550.0</v>
      </c>
      <c r="AJ1174" s="11">
        <v>45980.0</v>
      </c>
      <c r="AK1174" s="11">
        <v>66170.0</v>
      </c>
      <c r="AL1174" s="11">
        <v>85080.0</v>
      </c>
      <c r="AM1174" s="11">
        <v>86390.0</v>
      </c>
      <c r="AN1174" s="11">
        <v>-20120.0</v>
      </c>
      <c r="AO1174" s="11">
        <v>59620.0</v>
      </c>
      <c r="AP1174" s="11">
        <v>-896.0</v>
      </c>
      <c r="AQ1174" s="11">
        <v>-11320.0</v>
      </c>
      <c r="AR1174" s="11">
        <v>-33210.0</v>
      </c>
      <c r="AS1174" s="11">
        <v>-17520.0</v>
      </c>
      <c r="AT1174" s="11">
        <v>2590.0</v>
      </c>
      <c r="AU1174" s="11">
        <v>60060.0</v>
      </c>
      <c r="AV1174" s="11">
        <v>55790.0</v>
      </c>
      <c r="AW1174" s="11">
        <v>93960.0</v>
      </c>
      <c r="AX1174" s="11">
        <v>-31620.0</v>
      </c>
      <c r="AY1174" s="11">
        <v>-29570.0</v>
      </c>
      <c r="AZ1174" s="11">
        <v>-26570.0</v>
      </c>
      <c r="BA1174" s="11">
        <v>-31120.0</v>
      </c>
      <c r="BB1174" s="11">
        <v>-38260.0</v>
      </c>
      <c r="BC1174" s="12"/>
      <c r="BD1174" s="12"/>
      <c r="BE1174" s="12"/>
      <c r="BF1174" s="12"/>
      <c r="BG1174" s="12"/>
      <c r="BH1174" s="11">
        <v>92380.0</v>
      </c>
      <c r="BI1174" s="11">
        <v>148770.0</v>
      </c>
      <c r="BJ1174" s="11">
        <v>190080.0</v>
      </c>
      <c r="BK1174" s="11">
        <v>167500.0</v>
      </c>
      <c r="BL1174" s="11">
        <v>240090.0</v>
      </c>
      <c r="BM1174" s="11">
        <v>30140.0</v>
      </c>
      <c r="BN1174" s="11">
        <v>52430.0</v>
      </c>
      <c r="BO1174" s="11">
        <v>19680.0</v>
      </c>
      <c r="BP1174" s="11">
        <v>24690.0</v>
      </c>
      <c r="BQ1174" s="11">
        <v>25620.0</v>
      </c>
      <c r="BR1174" s="11">
        <v>77320.0</v>
      </c>
      <c r="BS1174" s="11">
        <v>79360.0</v>
      </c>
      <c r="BT1174" s="11">
        <v>98390.0</v>
      </c>
      <c r="BU1174" s="11">
        <v>134210.0</v>
      </c>
      <c r="BV1174" s="11">
        <v>128610.0</v>
      </c>
      <c r="BW1174" s="11">
        <v>210820.0</v>
      </c>
      <c r="BX1174" s="11">
        <v>290060.0</v>
      </c>
      <c r="BY1174" s="11">
        <v>370150.0</v>
      </c>
      <c r="BZ1174" s="11">
        <v>358010.0</v>
      </c>
      <c r="CA1174" s="11">
        <v>428280.0</v>
      </c>
      <c r="CB1174" s="11">
        <v>78090.0</v>
      </c>
      <c r="CC1174" s="11">
        <v>99290.0</v>
      </c>
      <c r="CD1174" s="11">
        <v>123280.0</v>
      </c>
      <c r="CE1174" s="11">
        <v>183320.0</v>
      </c>
      <c r="CF1174" s="11">
        <v>218160.0</v>
      </c>
      <c r="CG1174" s="11">
        <v>345720.0</v>
      </c>
      <c r="CH1174" s="11">
        <v>412640.0</v>
      </c>
      <c r="CI1174" s="11">
        <v>416990.0</v>
      </c>
      <c r="CJ1174" s="11">
        <v>417390.0</v>
      </c>
      <c r="CK1174" s="11">
        <v>418950.0</v>
      </c>
      <c r="CL1174" s="11">
        <v>736420.0</v>
      </c>
      <c r="CM1174" s="11">
        <v>908370.0</v>
      </c>
      <c r="CN1174" s="11">
        <v>1010000.0</v>
      </c>
      <c r="CO1174" s="11">
        <v>1040000.0</v>
      </c>
      <c r="CP1174" s="11">
        <v>1160000.0</v>
      </c>
      <c r="CQ1174" s="11">
        <v>47530.0</v>
      </c>
      <c r="CR1174" s="11">
        <v>57740.0</v>
      </c>
      <c r="CS1174" s="11">
        <v>54500.0</v>
      </c>
      <c r="CT1174" s="11">
        <v>59880.0</v>
      </c>
      <c r="CU1174" s="11">
        <v>63300.0</v>
      </c>
      <c r="CV1174" s="11">
        <v>128280.0</v>
      </c>
      <c r="CW1174" s="12"/>
      <c r="CX1174" s="12"/>
      <c r="CY1174" s="13"/>
      <c r="CZ1174" s="13"/>
      <c r="DA1174" s="12"/>
      <c r="DB1174" s="11">
        <v>128280.0</v>
      </c>
      <c r="DC1174" s="11">
        <v>158450.0</v>
      </c>
      <c r="DD1174" s="11">
        <v>178060.0</v>
      </c>
      <c r="DE1174" s="11">
        <v>195320.0</v>
      </c>
      <c r="DF1174" s="11">
        <v>412180.0</v>
      </c>
      <c r="DG1174" s="11">
        <v>421930.0</v>
      </c>
      <c r="DH1174" s="11">
        <v>506240.0</v>
      </c>
      <c r="DI1174" s="11">
        <v>518530.0</v>
      </c>
      <c r="DJ1174" s="11">
        <v>534570.0</v>
      </c>
      <c r="DK1174" s="12"/>
      <c r="DL1174" s="12"/>
      <c r="DM1174" s="12"/>
      <c r="DN1174" s="12"/>
      <c r="DO1174" s="11">
        <v>15320.0</v>
      </c>
      <c r="DP1174" s="11">
        <v>118910.0</v>
      </c>
      <c r="DQ1174" s="11">
        <v>90000.0</v>
      </c>
      <c r="DR1174" s="11">
        <v>120600.0</v>
      </c>
      <c r="DS1174" s="11">
        <v>119610.0</v>
      </c>
      <c r="DT1174" s="11">
        <v>120000.0</v>
      </c>
      <c r="DU1174" s="13"/>
      <c r="DV1174" s="12"/>
      <c r="DW1174" s="12"/>
      <c r="DX1174" s="12"/>
      <c r="DY1174" s="12"/>
      <c r="DZ1174" s="11">
        <v>323250.0</v>
      </c>
      <c r="EA1174" s="11">
        <v>485440.0</v>
      </c>
      <c r="EB1174" s="11">
        <v>507320.0</v>
      </c>
      <c r="EC1174" s="11">
        <v>518500.0</v>
      </c>
      <c r="ED1174" s="11">
        <v>627440.0</v>
      </c>
      <c r="EE1174" s="14">
        <v>0.0</v>
      </c>
      <c r="EF1174" s="14">
        <v>0.201</v>
      </c>
      <c r="EG1174" s="14">
        <v>0.4</v>
      </c>
      <c r="EH1174" s="14">
        <v>2.77</v>
      </c>
    </row>
    <row r="1175">
      <c r="A1175" s="9">
        <f t="shared" si="2"/>
        <v>1173</v>
      </c>
      <c r="B1175" s="10" t="s">
        <v>1310</v>
      </c>
      <c r="C1175" s="11">
        <v>2830000.0</v>
      </c>
      <c r="D1175" s="11">
        <v>2570000.0</v>
      </c>
      <c r="E1175" s="11">
        <v>2650000.0</v>
      </c>
      <c r="F1175" s="11">
        <v>2510000.0</v>
      </c>
      <c r="G1175" s="11">
        <v>2440000.0</v>
      </c>
      <c r="H1175" s="11">
        <v>2130000.0</v>
      </c>
      <c r="I1175" s="11">
        <v>2110000.0</v>
      </c>
      <c r="J1175" s="11">
        <v>1100000.0</v>
      </c>
      <c r="K1175" s="11">
        <v>992430.0</v>
      </c>
      <c r="L1175" s="11">
        <v>848570.0</v>
      </c>
      <c r="M1175" s="11">
        <v>687490.0</v>
      </c>
      <c r="N1175" s="11">
        <v>769890.0</v>
      </c>
      <c r="O1175" s="11">
        <v>728270.0</v>
      </c>
      <c r="P1175" s="11">
        <v>732030.0</v>
      </c>
      <c r="Q1175" s="11">
        <v>711370.0</v>
      </c>
      <c r="R1175" s="11">
        <v>602850.0</v>
      </c>
      <c r="S1175" s="11">
        <v>565330.0</v>
      </c>
      <c r="T1175" s="11"/>
      <c r="U1175" s="11"/>
      <c r="V1175" s="11"/>
      <c r="W1175" s="11"/>
      <c r="X1175" s="11"/>
      <c r="Y1175" s="11">
        <v>345220.0</v>
      </c>
      <c r="Z1175" s="11">
        <v>-47960.0</v>
      </c>
      <c r="AA1175" s="11">
        <v>90600.0</v>
      </c>
      <c r="AB1175" s="11">
        <v>53040.0</v>
      </c>
      <c r="AC1175" s="11">
        <v>-19000.0</v>
      </c>
      <c r="AD1175" s="11">
        <v>269180.0</v>
      </c>
      <c r="AE1175" s="11">
        <v>160960.0</v>
      </c>
      <c r="AF1175" s="11">
        <v>30150.0</v>
      </c>
      <c r="AG1175" s="11">
        <v>8550.0</v>
      </c>
      <c r="AH1175" s="11">
        <v>149880.0</v>
      </c>
      <c r="AI1175" s="11">
        <v>537580.0</v>
      </c>
      <c r="AJ1175" s="11">
        <v>420380.0</v>
      </c>
      <c r="AK1175" s="11">
        <v>209530.0</v>
      </c>
      <c r="AL1175" s="11">
        <v>141630.0</v>
      </c>
      <c r="AM1175" s="11">
        <v>249160.0</v>
      </c>
      <c r="AN1175" s="11">
        <v>220380.0</v>
      </c>
      <c r="AO1175" s="11">
        <v>135730.0</v>
      </c>
      <c r="AP1175" s="11">
        <v>2180.0</v>
      </c>
      <c r="AQ1175" s="11">
        <v>5400.0</v>
      </c>
      <c r="AR1175" s="11">
        <v>91100.0</v>
      </c>
      <c r="AS1175" s="11">
        <v>416190.0</v>
      </c>
      <c r="AT1175" s="11">
        <v>320480.0</v>
      </c>
      <c r="AU1175" s="11">
        <v>555100.0</v>
      </c>
      <c r="AV1175" s="11">
        <v>78850.0</v>
      </c>
      <c r="AW1175" s="11">
        <v>126700.0</v>
      </c>
      <c r="AX1175" s="11">
        <v>-93620.0</v>
      </c>
      <c r="AY1175" s="11">
        <v>-79990.0</v>
      </c>
      <c r="AZ1175" s="11">
        <v>-112490.0</v>
      </c>
      <c r="BA1175" s="11">
        <v>-157970.0</v>
      </c>
      <c r="BB1175" s="11">
        <v>-133800.0</v>
      </c>
      <c r="BC1175" s="12"/>
      <c r="BD1175" s="12"/>
      <c r="BE1175" s="12"/>
      <c r="BF1175" s="12"/>
      <c r="BG1175" s="12"/>
      <c r="BH1175" s="11">
        <v>47660.0</v>
      </c>
      <c r="BI1175" s="11">
        <v>5800.0</v>
      </c>
      <c r="BJ1175" s="11">
        <v>17910.0</v>
      </c>
      <c r="BK1175" s="11">
        <v>229700.0</v>
      </c>
      <c r="BL1175" s="11">
        <v>462270.0</v>
      </c>
      <c r="BM1175" s="11">
        <v>49180.0</v>
      </c>
      <c r="BN1175" s="11">
        <v>95090.0</v>
      </c>
      <c r="BO1175" s="11">
        <v>31410.0</v>
      </c>
      <c r="BP1175" s="11">
        <v>47320.0</v>
      </c>
      <c r="BQ1175" s="11">
        <v>28570.0</v>
      </c>
      <c r="BR1175" s="11">
        <v>449950.0</v>
      </c>
      <c r="BS1175" s="11">
        <v>543780.0</v>
      </c>
      <c r="BT1175" s="11">
        <v>536730.0</v>
      </c>
      <c r="BU1175" s="11">
        <v>765580.0</v>
      </c>
      <c r="BV1175" s="11">
        <v>748350.0</v>
      </c>
      <c r="BW1175" s="11">
        <v>583210.0</v>
      </c>
      <c r="BX1175" s="11">
        <v>687790.0</v>
      </c>
      <c r="BY1175" s="11">
        <v>600810.0</v>
      </c>
      <c r="BZ1175" s="11">
        <v>1080000.0</v>
      </c>
      <c r="CA1175" s="11">
        <v>1260000.0</v>
      </c>
      <c r="CB1175" s="11">
        <v>1380000.0</v>
      </c>
      <c r="CC1175" s="11">
        <v>1390000.0</v>
      </c>
      <c r="CD1175" s="11">
        <v>800700.0</v>
      </c>
      <c r="CE1175" s="11">
        <v>682060.0</v>
      </c>
      <c r="CF1175" s="11">
        <v>515610.0</v>
      </c>
      <c r="CG1175" s="11">
        <v>124370.0</v>
      </c>
      <c r="CH1175" s="11">
        <v>124380.0</v>
      </c>
      <c r="CI1175" s="11">
        <v>141890.0</v>
      </c>
      <c r="CJ1175" s="11">
        <v>173600.0</v>
      </c>
      <c r="CK1175" s="11">
        <v>124300.0</v>
      </c>
      <c r="CL1175" s="11">
        <v>2450000.0</v>
      </c>
      <c r="CM1175" s="11">
        <v>2420000.0</v>
      </c>
      <c r="CN1175" s="11">
        <v>1730000.0</v>
      </c>
      <c r="CO1175" s="11">
        <v>2190000.0</v>
      </c>
      <c r="CP1175" s="11">
        <v>2070000.0</v>
      </c>
      <c r="CQ1175" s="11">
        <v>180710.0</v>
      </c>
      <c r="CR1175" s="11">
        <v>183040.0</v>
      </c>
      <c r="CS1175" s="11">
        <v>195310.0</v>
      </c>
      <c r="CT1175" s="11">
        <v>134720.0</v>
      </c>
      <c r="CU1175" s="11">
        <v>156590.0</v>
      </c>
      <c r="CV1175" s="11">
        <v>982910.0</v>
      </c>
      <c r="CW1175" s="11">
        <v>111920.0</v>
      </c>
      <c r="CX1175" s="11">
        <v>410040.0</v>
      </c>
      <c r="CY1175" s="12"/>
      <c r="CZ1175" s="12"/>
      <c r="DA1175" s="12"/>
      <c r="DB1175" s="11">
        <v>982910.0</v>
      </c>
      <c r="DC1175" s="11">
        <v>992590.0</v>
      </c>
      <c r="DD1175" s="11">
        <v>519340.0</v>
      </c>
      <c r="DE1175" s="11">
        <v>416170.0</v>
      </c>
      <c r="DF1175" s="11">
        <v>2430000.0</v>
      </c>
      <c r="DG1175" s="11">
        <v>2460000.0</v>
      </c>
      <c r="DH1175" s="11">
        <v>1740000.0</v>
      </c>
      <c r="DI1175" s="11">
        <v>1270000.0</v>
      </c>
      <c r="DJ1175" s="11">
        <v>1180000.0</v>
      </c>
      <c r="DK1175" s="11"/>
      <c r="DL1175" s="11"/>
      <c r="DM1175" s="11">
        <v>7410.0</v>
      </c>
      <c r="DN1175" s="11">
        <v>61260.0</v>
      </c>
      <c r="DO1175" s="11">
        <v>37440.0</v>
      </c>
      <c r="DP1175" s="11">
        <v>1430000.0</v>
      </c>
      <c r="DQ1175" s="11">
        <v>1460000.0</v>
      </c>
      <c r="DR1175" s="11">
        <v>1140000.0</v>
      </c>
      <c r="DS1175" s="11">
        <v>777990.0</v>
      </c>
      <c r="DT1175" s="11">
        <v>691250.0</v>
      </c>
      <c r="DU1175" s="13"/>
      <c r="DV1175" s="12"/>
      <c r="DW1175" s="12"/>
      <c r="DX1175" s="12"/>
      <c r="DY1175" s="12"/>
      <c r="DZ1175" s="11">
        <v>18650.0</v>
      </c>
      <c r="EA1175" s="11">
        <v>-38690.0</v>
      </c>
      <c r="EB1175" s="11">
        <v>-7340.0</v>
      </c>
      <c r="EC1175" s="11">
        <v>919870.0</v>
      </c>
      <c r="ED1175" s="11">
        <v>886160.0</v>
      </c>
      <c r="EE1175" s="14">
        <v>0.07</v>
      </c>
      <c r="EF1175" s="14">
        <v>0.12</v>
      </c>
      <c r="EG1175" s="14">
        <v>0.221</v>
      </c>
      <c r="EH1175" s="14">
        <v>0.173</v>
      </c>
    </row>
    <row r="1176">
      <c r="A1176" s="9">
        <f t="shared" si="2"/>
        <v>1174</v>
      </c>
      <c r="B1176" s="25" t="s">
        <v>1311</v>
      </c>
      <c r="C1176" s="12"/>
      <c r="D1176" s="12"/>
      <c r="E1176" s="12">
        <v>1000000.0</v>
      </c>
      <c r="F1176" s="12">
        <v>917660.0</v>
      </c>
      <c r="G1176" s="12">
        <v>852920.0</v>
      </c>
      <c r="H1176" s="12">
        <v>912560.0</v>
      </c>
      <c r="I1176" s="12">
        <v>907600.0</v>
      </c>
      <c r="J1176" s="12">
        <v>53650.0</v>
      </c>
      <c r="K1176" s="12">
        <v>51480.0</v>
      </c>
      <c r="L1176" s="12">
        <v>55880.0</v>
      </c>
      <c r="M1176" s="12">
        <v>65240.0</v>
      </c>
      <c r="N1176" s="12">
        <v>62680.0</v>
      </c>
      <c r="O1176" s="12">
        <v>25050.0</v>
      </c>
      <c r="P1176" s="12">
        <v>19520.0</v>
      </c>
      <c r="Q1176" s="12">
        <v>25200.0</v>
      </c>
      <c r="R1176" s="12">
        <v>29680.0</v>
      </c>
      <c r="S1176" s="12">
        <v>23020.0</v>
      </c>
      <c r="T1176" s="12">
        <v>24480.0</v>
      </c>
      <c r="U1176" s="12">
        <v>19200.0</v>
      </c>
      <c r="V1176" s="12">
        <v>9030.0</v>
      </c>
      <c r="W1176" s="12">
        <v>5880.0</v>
      </c>
      <c r="X1176" s="12">
        <v>5500.0</v>
      </c>
      <c r="Y1176" s="12">
        <v>29410.0</v>
      </c>
      <c r="Z1176" s="12">
        <v>20310.0</v>
      </c>
      <c r="AA1176" s="12">
        <v>35330.0</v>
      </c>
      <c r="AB1176" s="12">
        <v>41430.0</v>
      </c>
      <c r="AC1176" s="12">
        <v>-2480.0</v>
      </c>
      <c r="AD1176" s="12">
        <v>30820.0</v>
      </c>
      <c r="AE1176" s="12">
        <v>21910.0</v>
      </c>
      <c r="AF1176" s="12">
        <v>34280.0</v>
      </c>
      <c r="AG1176" s="12">
        <v>40300.0</v>
      </c>
      <c r="AH1176" s="12">
        <v>35940.0</v>
      </c>
      <c r="AI1176" s="12">
        <v>47500.0</v>
      </c>
      <c r="AJ1176" s="12">
        <v>49230.0</v>
      </c>
      <c r="AK1176" s="12">
        <v>45900.0</v>
      </c>
      <c r="AL1176" s="12">
        <v>49640.0</v>
      </c>
      <c r="AM1176" s="12">
        <v>54580.0</v>
      </c>
      <c r="AN1176" s="12">
        <v>23570.0</v>
      </c>
      <c r="AO1176" s="12">
        <v>17410.0</v>
      </c>
      <c r="AP1176" s="12">
        <v>25820.0</v>
      </c>
      <c r="AQ1176" s="12">
        <v>27200.0</v>
      </c>
      <c r="AR1176" s="12">
        <v>25740.0</v>
      </c>
      <c r="AS1176" s="12">
        <v>36820.0</v>
      </c>
      <c r="AT1176" s="12">
        <v>50900.0</v>
      </c>
      <c r="AU1176" s="12">
        <v>29660.0</v>
      </c>
      <c r="AV1176" s="12">
        <v>17610.0</v>
      </c>
      <c r="AW1176" s="12">
        <v>47060.0</v>
      </c>
      <c r="AX1176" s="12">
        <v>-78820.0</v>
      </c>
      <c r="AY1176" s="12">
        <v>-40420.0</v>
      </c>
      <c r="AZ1176" s="12">
        <v>-37370.0</v>
      </c>
      <c r="BA1176" s="12">
        <v>-34870.0</v>
      </c>
      <c r="BB1176" s="12">
        <v>-34270.0</v>
      </c>
      <c r="BC1176" s="12">
        <v>-11730.0</v>
      </c>
      <c r="BD1176" s="12">
        <v>-12920.0</v>
      </c>
      <c r="BE1176" s="12">
        <v>-12160.0</v>
      </c>
      <c r="BF1176" s="12">
        <v>-10640.0</v>
      </c>
      <c r="BG1176" s="12">
        <v>-10650.0</v>
      </c>
      <c r="BH1176" s="12">
        <v>17480.0</v>
      </c>
      <c r="BI1176" s="12">
        <v>23440.0</v>
      </c>
      <c r="BJ1176" s="12">
        <v>16540.0</v>
      </c>
      <c r="BK1176" s="12">
        <v>28470.0</v>
      </c>
      <c r="BL1176" s="12">
        <v>34990.0</v>
      </c>
      <c r="BM1176" s="12">
        <v>101140.0</v>
      </c>
      <c r="BN1176" s="12">
        <v>101050.0</v>
      </c>
      <c r="BO1176" s="12">
        <v>117870.0</v>
      </c>
      <c r="BP1176" s="12">
        <v>110530.0</v>
      </c>
      <c r="BQ1176" s="12">
        <v>99210.0</v>
      </c>
      <c r="BR1176" s="12">
        <v>83830.0</v>
      </c>
      <c r="BS1176" s="12">
        <v>76670.0</v>
      </c>
      <c r="BT1176" s="12">
        <v>83720.0</v>
      </c>
      <c r="BU1176" s="12">
        <v>87680.0</v>
      </c>
      <c r="BV1176" s="12">
        <v>81700.0</v>
      </c>
      <c r="BW1176" s="12">
        <v>209710.0</v>
      </c>
      <c r="BX1176" s="12">
        <v>208260.0</v>
      </c>
      <c r="BY1176" s="12">
        <v>218120.0</v>
      </c>
      <c r="BZ1176" s="12">
        <v>228500.0</v>
      </c>
      <c r="CA1176" s="12">
        <v>251860.0</v>
      </c>
      <c r="CB1176" s="12">
        <v>259320.0</v>
      </c>
      <c r="CC1176" s="12">
        <v>202600.0</v>
      </c>
      <c r="CD1176" s="12">
        <v>182790.0</v>
      </c>
      <c r="CE1176" s="12">
        <v>160210.0</v>
      </c>
      <c r="CF1176" s="12">
        <v>139540.0</v>
      </c>
      <c r="CG1176" s="12">
        <v>0.0</v>
      </c>
      <c r="CH1176" s="12">
        <v>68950.0</v>
      </c>
      <c r="CI1176" s="12">
        <v>0.0</v>
      </c>
      <c r="CJ1176" s="12">
        <v>68950.0</v>
      </c>
      <c r="CK1176" s="12">
        <v>68950.0</v>
      </c>
      <c r="CL1176" s="12">
        <v>577600.0</v>
      </c>
      <c r="CM1176" s="12">
        <v>514270.0</v>
      </c>
      <c r="CN1176" s="12">
        <v>490600.0</v>
      </c>
      <c r="CO1176" s="12">
        <v>486590.0</v>
      </c>
      <c r="CP1176" s="12">
        <v>484910.0</v>
      </c>
      <c r="CQ1176" s="12">
        <v>158760.0</v>
      </c>
      <c r="CR1176" s="12">
        <v>155900.0</v>
      </c>
      <c r="CS1176" s="12">
        <v>148580.0</v>
      </c>
      <c r="CT1176" s="12">
        <v>145920.0</v>
      </c>
      <c r="CU1176" s="12">
        <v>158730.0</v>
      </c>
      <c r="CV1176" s="12">
        <v>176810.0</v>
      </c>
      <c r="CW1176" s="12">
        <v>0.0</v>
      </c>
      <c r="CX1176" s="16">
        <v>0.0</v>
      </c>
      <c r="CY1176" s="16">
        <v>0.0</v>
      </c>
      <c r="CZ1176" s="16">
        <v>0.0</v>
      </c>
      <c r="DA1176" s="12">
        <v>0.0</v>
      </c>
      <c r="DB1176" s="12">
        <v>176810.0</v>
      </c>
      <c r="DC1176" s="12">
        <v>170490.0</v>
      </c>
      <c r="DD1176" s="12">
        <v>162120.0</v>
      </c>
      <c r="DE1176" s="12">
        <v>167090.0</v>
      </c>
      <c r="DF1176" s="12">
        <v>300100.0</v>
      </c>
      <c r="DG1176" s="12">
        <v>251170.0</v>
      </c>
      <c r="DH1176" s="12">
        <v>230780.0</v>
      </c>
      <c r="DI1176" s="12">
        <v>238700.0</v>
      </c>
      <c r="DJ1176" s="12">
        <v>255080.0</v>
      </c>
      <c r="DK1176" s="12">
        <v>3650.0</v>
      </c>
      <c r="DL1176" s="12">
        <v>4710.0</v>
      </c>
      <c r="DM1176" s="12">
        <v>4510.0</v>
      </c>
      <c r="DN1176" s="12">
        <v>6800.0</v>
      </c>
      <c r="DO1176" s="12">
        <v>5480.0</v>
      </c>
      <c r="DP1176" s="12">
        <v>118930.0</v>
      </c>
      <c r="DQ1176" s="12">
        <v>76220.0</v>
      </c>
      <c r="DR1176" s="12">
        <v>68080.0</v>
      </c>
      <c r="DS1176" s="12">
        <v>69440.0</v>
      </c>
      <c r="DT1176" s="12">
        <v>67690.0</v>
      </c>
      <c r="DU1176" s="12">
        <v>0.0</v>
      </c>
      <c r="DV1176" s="12">
        <v>0.0</v>
      </c>
      <c r="DW1176" s="12">
        <v>0.0</v>
      </c>
      <c r="DX1176" s="12">
        <v>0.0</v>
      </c>
      <c r="DY1176" s="12">
        <v>0.0</v>
      </c>
      <c r="DZ1176" s="12">
        <v>277500.0</v>
      </c>
      <c r="EA1176" s="12">
        <v>263110.0</v>
      </c>
      <c r="EB1176" s="12">
        <v>259820.0</v>
      </c>
      <c r="EC1176" s="12">
        <v>247880.0</v>
      </c>
      <c r="ED1176" s="12">
        <v>229830.0</v>
      </c>
      <c r="EE1176" s="23"/>
      <c r="EF1176" s="23"/>
      <c r="EG1176" s="23"/>
      <c r="EH1176" s="23"/>
    </row>
    <row r="1177">
      <c r="A1177" s="9">
        <f t="shared" si="2"/>
        <v>1175</v>
      </c>
      <c r="B1177" s="25" t="s">
        <v>1312</v>
      </c>
      <c r="C1177" s="12">
        <v>195680.0</v>
      </c>
      <c r="D1177" s="12">
        <v>162750.0</v>
      </c>
      <c r="E1177" s="12">
        <v>181060.0</v>
      </c>
      <c r="F1177" s="12">
        <v>165750.0</v>
      </c>
      <c r="G1177" s="12">
        <v>144900.0</v>
      </c>
      <c r="H1177" s="12">
        <v>134860.0</v>
      </c>
      <c r="I1177" s="12">
        <v>135450.0</v>
      </c>
      <c r="J1177" s="12">
        <v>97220.0</v>
      </c>
      <c r="K1177" s="12">
        <v>90570.0</v>
      </c>
      <c r="L1177" s="12">
        <v>77230.0</v>
      </c>
      <c r="M1177" s="12">
        <v>69530.0</v>
      </c>
      <c r="N1177" s="12">
        <v>70510.0</v>
      </c>
      <c r="O1177" s="12">
        <v>59730.0</v>
      </c>
      <c r="P1177" s="12">
        <v>53820.0</v>
      </c>
      <c r="Q1177" s="12">
        <v>46780.0</v>
      </c>
      <c r="R1177" s="12">
        <v>43080.0</v>
      </c>
      <c r="S1177" s="12">
        <v>35570.0</v>
      </c>
      <c r="T1177" s="12">
        <v>0.0</v>
      </c>
      <c r="U1177" s="12">
        <v>0.0</v>
      </c>
      <c r="V1177" s="12">
        <v>0.0</v>
      </c>
      <c r="W1177" s="12">
        <v>0.0</v>
      </c>
      <c r="X1177" s="12">
        <v>0.0</v>
      </c>
      <c r="Y1177" s="12">
        <v>31210.0</v>
      </c>
      <c r="Z1177" s="12">
        <v>-7220.0</v>
      </c>
      <c r="AA1177" s="12">
        <v>22600.0</v>
      </c>
      <c r="AB1177" s="12">
        <v>-5370.0</v>
      </c>
      <c r="AC1177" s="12">
        <v>-4990.0</v>
      </c>
      <c r="AD1177" s="12">
        <v>24190.0</v>
      </c>
      <c r="AE1177" s="12">
        <v>17840.0</v>
      </c>
      <c r="AF1177" s="12">
        <v>14640.0</v>
      </c>
      <c r="AG1177" s="12">
        <v>12840.0</v>
      </c>
      <c r="AH1177" s="12">
        <v>14150.0</v>
      </c>
      <c r="AI1177" s="12">
        <v>46560.0</v>
      </c>
      <c r="AJ1177" s="12">
        <v>44470.0</v>
      </c>
      <c r="AK1177" s="12">
        <v>37370.0</v>
      </c>
      <c r="AL1177" s="12">
        <v>33780.0</v>
      </c>
      <c r="AM1177" s="12">
        <v>33800.0</v>
      </c>
      <c r="AN1177" s="12">
        <v>19180.0</v>
      </c>
      <c r="AO1177" s="12">
        <v>20880.0</v>
      </c>
      <c r="AP1177" s="12">
        <v>8260.0</v>
      </c>
      <c r="AQ1177" s="12">
        <v>11220.0</v>
      </c>
      <c r="AR1177" s="12">
        <v>9310.0</v>
      </c>
      <c r="AS1177" s="12">
        <v>37170.0</v>
      </c>
      <c r="AT1177" s="12">
        <v>25770.0</v>
      </c>
      <c r="AU1177" s="12">
        <v>21090.0</v>
      </c>
      <c r="AV1177" s="12">
        <v>23030.0</v>
      </c>
      <c r="AW1177" s="12">
        <v>16360.0</v>
      </c>
      <c r="AX1177" s="12">
        <v>-20710.0</v>
      </c>
      <c r="AY1177" s="12">
        <v>-25260.0</v>
      </c>
      <c r="AZ1177" s="12">
        <v>-11250.0</v>
      </c>
      <c r="BA1177" s="12">
        <v>-28150.0</v>
      </c>
      <c r="BB1177" s="12">
        <v>-19260.0</v>
      </c>
      <c r="BC1177" s="12">
        <v>-1250.0</v>
      </c>
      <c r="BD1177" s="12">
        <v>-1170.0</v>
      </c>
      <c r="BE1177" s="12">
        <v>-1170.0</v>
      </c>
      <c r="BF1177" s="12">
        <v>0.0</v>
      </c>
      <c r="BG1177" s="13">
        <v>0.0</v>
      </c>
      <c r="BH1177" s="12">
        <v>14100.0</v>
      </c>
      <c r="BI1177" s="12">
        <v>17730.0</v>
      </c>
      <c r="BJ1177" s="12">
        <v>9920.0</v>
      </c>
      <c r="BK1177" s="12">
        <v>11330.0</v>
      </c>
      <c r="BL1177" s="12">
        <v>8630.0</v>
      </c>
      <c r="BM1177" s="12">
        <v>7240.0</v>
      </c>
      <c r="BN1177" s="12">
        <v>7320.0</v>
      </c>
      <c r="BO1177" s="12">
        <v>3190.0</v>
      </c>
      <c r="BP1177" s="12">
        <v>4370.0</v>
      </c>
      <c r="BQ1177" s="12">
        <v>2150.0</v>
      </c>
      <c r="BR1177" s="12">
        <v>2600.0</v>
      </c>
      <c r="BS1177" s="12">
        <v>2350.0</v>
      </c>
      <c r="BT1177" s="12">
        <v>2150.0</v>
      </c>
      <c r="BU1177" s="12">
        <v>2020.0</v>
      </c>
      <c r="BV1177" s="12">
        <v>2370.0</v>
      </c>
      <c r="BW1177" s="12">
        <v>34770.0</v>
      </c>
      <c r="BX1177" s="12">
        <v>36800.0</v>
      </c>
      <c r="BY1177" s="12">
        <v>26240.0</v>
      </c>
      <c r="BZ1177" s="12">
        <v>29390.0</v>
      </c>
      <c r="CA1177" s="12">
        <v>16940.0</v>
      </c>
      <c r="CB1177" s="12">
        <v>183960.0</v>
      </c>
      <c r="CC1177" s="12">
        <v>172400.0</v>
      </c>
      <c r="CD1177" s="12">
        <v>148410.0</v>
      </c>
      <c r="CE1177" s="12">
        <v>141070.0</v>
      </c>
      <c r="CF1177" s="12">
        <v>134150.0</v>
      </c>
      <c r="CG1177" s="12">
        <v>53630.0</v>
      </c>
      <c r="CH1177" s="12">
        <v>43590.0</v>
      </c>
      <c r="CI1177" s="12">
        <v>43870.0</v>
      </c>
      <c r="CJ1177" s="12">
        <v>45850.0</v>
      </c>
      <c r="CK1177" s="12">
        <v>52640.0</v>
      </c>
      <c r="CL1177" s="12">
        <v>353640.0</v>
      </c>
      <c r="CM1177" s="12">
        <v>329730.0</v>
      </c>
      <c r="CN1177" s="12">
        <v>299880.0</v>
      </c>
      <c r="CO1177" s="12">
        <v>276060.0</v>
      </c>
      <c r="CP1177" s="12">
        <v>266800.0</v>
      </c>
      <c r="CQ1177" s="12">
        <v>3810.0</v>
      </c>
      <c r="CR1177" s="12">
        <v>2830.0</v>
      </c>
      <c r="CS1177" s="12">
        <v>2150.0</v>
      </c>
      <c r="CT1177" s="12">
        <v>1700.0</v>
      </c>
      <c r="CU1177" s="12">
        <v>2160.0</v>
      </c>
      <c r="CV1177" s="12">
        <v>34210.0</v>
      </c>
      <c r="CW1177" s="12">
        <v>0.0</v>
      </c>
      <c r="CX1177" s="13">
        <v>0.0</v>
      </c>
      <c r="CY1177" s="13">
        <v>0.0</v>
      </c>
      <c r="CZ1177" s="13">
        <v>0.0</v>
      </c>
      <c r="DA1177" s="12">
        <v>0.0</v>
      </c>
      <c r="DB1177" s="12">
        <v>34210.0</v>
      </c>
      <c r="DC1177" s="12">
        <v>33850.0</v>
      </c>
      <c r="DD1177" s="12">
        <v>31110.0</v>
      </c>
      <c r="DE1177" s="12">
        <v>27040.0</v>
      </c>
      <c r="DF1177" s="12">
        <v>185340.0</v>
      </c>
      <c r="DG1177" s="12">
        <v>176400.0</v>
      </c>
      <c r="DH1177" s="12">
        <v>164660.0</v>
      </c>
      <c r="DI1177" s="12">
        <v>146720.0</v>
      </c>
      <c r="DJ1177" s="12">
        <v>138310.0</v>
      </c>
      <c r="DK1177" s="12">
        <v>0.0</v>
      </c>
      <c r="DL1177" s="12">
        <v>0.0</v>
      </c>
      <c r="DM1177" s="12">
        <v>0.0</v>
      </c>
      <c r="DN1177" s="12">
        <v>0.0</v>
      </c>
      <c r="DO1177" s="12">
        <v>0.0</v>
      </c>
      <c r="DP1177" s="12">
        <v>127770.0</v>
      </c>
      <c r="DQ1177" s="12">
        <v>121580.0</v>
      </c>
      <c r="DR1177" s="12">
        <v>106910.0</v>
      </c>
      <c r="DS1177" s="12">
        <v>95940.0</v>
      </c>
      <c r="DT1177" s="12">
        <v>84880.0</v>
      </c>
      <c r="DU1177" s="13">
        <v>0.0</v>
      </c>
      <c r="DV1177" s="12">
        <v>0.0</v>
      </c>
      <c r="DW1177" s="12">
        <v>0.0</v>
      </c>
      <c r="DX1177" s="13">
        <v>0.0</v>
      </c>
      <c r="DY1177" s="13">
        <v>0.0</v>
      </c>
      <c r="DZ1177" s="12">
        <v>168460.0</v>
      </c>
      <c r="EA1177" s="12">
        <v>153440.0</v>
      </c>
      <c r="EB1177" s="12">
        <v>132750.0</v>
      </c>
      <c r="EC1177" s="12">
        <v>126760.0</v>
      </c>
      <c r="ED1177" s="12">
        <v>122620.0</v>
      </c>
      <c r="EE1177" s="17">
        <v>0.0</v>
      </c>
      <c r="EF1177" s="17">
        <v>0.0</v>
      </c>
      <c r="EG1177" s="17">
        <v>8.833</v>
      </c>
      <c r="EH1177" s="17">
        <v>2.209</v>
      </c>
    </row>
    <row r="1178">
      <c r="A1178" s="9">
        <f t="shared" si="2"/>
        <v>1176</v>
      </c>
      <c r="B1178" s="22" t="s">
        <v>1313</v>
      </c>
      <c r="C1178" s="11">
        <v>111000.0</v>
      </c>
      <c r="D1178" s="11">
        <v>108420.0</v>
      </c>
      <c r="E1178" s="11">
        <v>59290.0</v>
      </c>
      <c r="F1178" s="11">
        <v>44510.0</v>
      </c>
      <c r="G1178" s="11">
        <v>4480.0</v>
      </c>
      <c r="H1178" s="11">
        <v>20380.0</v>
      </c>
      <c r="I1178" s="11">
        <v>28900.0</v>
      </c>
      <c r="J1178" s="11">
        <v>58380.0</v>
      </c>
      <c r="K1178" s="11">
        <v>43630.0</v>
      </c>
      <c r="L1178" s="12"/>
      <c r="M1178" s="12"/>
      <c r="N1178" s="12"/>
      <c r="O1178" s="11">
        <v>127470.0</v>
      </c>
      <c r="P1178" s="11">
        <v>116310.0</v>
      </c>
      <c r="Q1178" s="11">
        <v>83640.0</v>
      </c>
      <c r="R1178" s="11">
        <v>83410.0</v>
      </c>
      <c r="S1178" s="11">
        <v>79200.0</v>
      </c>
      <c r="T1178" s="11">
        <v>52890.0</v>
      </c>
      <c r="U1178" s="11">
        <v>46900.0</v>
      </c>
      <c r="V1178" s="11">
        <v>46270.0</v>
      </c>
      <c r="W1178" s="11">
        <v>63450.0</v>
      </c>
      <c r="X1178" s="11">
        <v>62830.0</v>
      </c>
      <c r="Y1178" s="12"/>
      <c r="Z1178" s="12"/>
      <c r="AA1178" s="12"/>
      <c r="AB1178" s="11">
        <v>-69740.0</v>
      </c>
      <c r="AC1178" s="12"/>
      <c r="AD1178" s="11">
        <v>-66890.0</v>
      </c>
      <c r="AE1178" s="11">
        <v>-70480.0</v>
      </c>
      <c r="AF1178" s="11">
        <v>-77990.0</v>
      </c>
      <c r="AG1178" s="11">
        <v>-69220.0</v>
      </c>
      <c r="AH1178" s="11">
        <v>-51460.0</v>
      </c>
      <c r="AI1178" s="11">
        <v>-68410.0</v>
      </c>
      <c r="AJ1178" s="11">
        <v>-72090.0</v>
      </c>
      <c r="AK1178" s="11">
        <v>-79150.0</v>
      </c>
      <c r="AL1178" s="11">
        <v>-63030.0</v>
      </c>
      <c r="AM1178" s="11">
        <v>-50300.0</v>
      </c>
      <c r="AN1178" s="11">
        <v>-66890.0</v>
      </c>
      <c r="AO1178" s="11">
        <v>-70480.0</v>
      </c>
      <c r="AP1178" s="11">
        <v>-77990.0</v>
      </c>
      <c r="AQ1178" s="11">
        <v>-69220.0</v>
      </c>
      <c r="AR1178" s="11">
        <v>-51460.0</v>
      </c>
      <c r="AS1178" s="11">
        <v>-34790.0</v>
      </c>
      <c r="AT1178" s="11">
        <v>-58830.0</v>
      </c>
      <c r="AU1178" s="11">
        <v>-77560.0</v>
      </c>
      <c r="AV1178" s="11">
        <v>-75890.0</v>
      </c>
      <c r="AW1178" s="11">
        <v>-23410.0</v>
      </c>
      <c r="AX1178" s="11">
        <v>-1460.0</v>
      </c>
      <c r="AY1178" s="11">
        <v>-1110.0</v>
      </c>
      <c r="AZ1178" s="11">
        <v>-164.0</v>
      </c>
      <c r="BA1178" s="11">
        <v>-804.0</v>
      </c>
      <c r="BB1178" s="11">
        <v>-546.0</v>
      </c>
      <c r="BC1178" s="12"/>
      <c r="BD1178" s="12"/>
      <c r="BE1178" s="12"/>
      <c r="BF1178" s="12"/>
      <c r="BG1178" s="12"/>
      <c r="BH1178" s="11">
        <v>98080.0</v>
      </c>
      <c r="BI1178" s="11">
        <v>128540.0</v>
      </c>
      <c r="BJ1178" s="11">
        <v>115750.0</v>
      </c>
      <c r="BK1178" s="11">
        <v>74770.0</v>
      </c>
      <c r="BL1178" s="11">
        <v>126280.0</v>
      </c>
      <c r="BM1178" s="11">
        <v>10110.0</v>
      </c>
      <c r="BN1178" s="11">
        <v>4080.0</v>
      </c>
      <c r="BO1178" s="12"/>
      <c r="BP1178" s="12"/>
      <c r="BQ1178" s="11">
        <v>203.0</v>
      </c>
      <c r="BR1178" s="11">
        <v>1350.0</v>
      </c>
      <c r="BS1178" s="11">
        <v>894.0</v>
      </c>
      <c r="BT1178" s="12"/>
      <c r="BU1178" s="12"/>
      <c r="BV1178" s="12"/>
      <c r="BW1178" s="11">
        <v>119010.0</v>
      </c>
      <c r="BX1178" s="11">
        <v>136990.0</v>
      </c>
      <c r="BY1178" s="11">
        <v>117430.0</v>
      </c>
      <c r="BZ1178" s="11">
        <v>76210.0</v>
      </c>
      <c r="CA1178" s="11">
        <v>129020.0</v>
      </c>
      <c r="CB1178" s="11">
        <v>27870.0</v>
      </c>
      <c r="CC1178" s="11">
        <v>1390.0</v>
      </c>
      <c r="CD1178" s="11">
        <v>875.0</v>
      </c>
      <c r="CE1178" s="11">
        <v>1160.0</v>
      </c>
      <c r="CF1178" s="11">
        <v>1610.0</v>
      </c>
      <c r="CG1178" s="12"/>
      <c r="CH1178" s="12"/>
      <c r="CI1178" s="12"/>
      <c r="CJ1178" s="12"/>
      <c r="CK1178" s="12"/>
      <c r="CL1178" s="11">
        <v>147570.0</v>
      </c>
      <c r="CM1178" s="11">
        <v>139110.0</v>
      </c>
      <c r="CN1178" s="11">
        <v>119110.0</v>
      </c>
      <c r="CO1178" s="11">
        <v>78130.0</v>
      </c>
      <c r="CP1178" s="11">
        <v>131750.0</v>
      </c>
      <c r="CQ1178" s="11">
        <v>4150.0</v>
      </c>
      <c r="CR1178" s="11">
        <v>6390.0</v>
      </c>
      <c r="CS1178" s="11">
        <v>2640.0</v>
      </c>
      <c r="CT1178" s="11">
        <v>5560.0</v>
      </c>
      <c r="CU1178" s="11">
        <v>2760.0</v>
      </c>
      <c r="CV1178" s="11">
        <v>58210.0</v>
      </c>
      <c r="CW1178" s="11">
        <v>7270.0</v>
      </c>
      <c r="CX1178" s="12"/>
      <c r="CY1178" s="12"/>
      <c r="CZ1178" s="12"/>
      <c r="DA1178" s="12"/>
      <c r="DB1178" s="11">
        <v>58210.0</v>
      </c>
      <c r="DC1178" s="11">
        <v>27730.0</v>
      </c>
      <c r="DD1178" s="11">
        <v>18340.0</v>
      </c>
      <c r="DE1178" s="11">
        <v>22590.0</v>
      </c>
      <c r="DF1178" s="11">
        <v>93750.0</v>
      </c>
      <c r="DG1178" s="11">
        <v>29230.0</v>
      </c>
      <c r="DH1178" s="11">
        <v>18470.0</v>
      </c>
      <c r="DI1178" s="11">
        <v>23110.0</v>
      </c>
      <c r="DJ1178" s="11">
        <v>40370.0</v>
      </c>
      <c r="DK1178" s="12"/>
      <c r="DL1178" s="12"/>
      <c r="DM1178" s="12"/>
      <c r="DN1178" s="12"/>
      <c r="DO1178" s="12"/>
      <c r="DP1178" s="11">
        <v>29040.0</v>
      </c>
      <c r="DQ1178" s="12"/>
      <c r="DR1178" s="12"/>
      <c r="DS1178" s="12"/>
      <c r="DT1178" s="12"/>
      <c r="DU1178" s="13"/>
      <c r="DV1178" s="12"/>
      <c r="DW1178" s="12"/>
      <c r="DX1178" s="13"/>
      <c r="DY1178" s="13"/>
      <c r="DZ1178" s="11">
        <v>53820.0</v>
      </c>
      <c r="EA1178" s="11">
        <v>109880.0</v>
      </c>
      <c r="EB1178" s="11">
        <v>100650.0</v>
      </c>
      <c r="EC1178" s="11">
        <v>55030.0</v>
      </c>
      <c r="ED1178" s="11">
        <v>91380.0</v>
      </c>
      <c r="EE1178" s="14">
        <v>0.091</v>
      </c>
      <c r="EF1178" s="14">
        <v>0.54</v>
      </c>
      <c r="EG1178" s="14">
        <v>0.231</v>
      </c>
      <c r="EH1178" s="14">
        <v>0.086</v>
      </c>
    </row>
    <row r="1179">
      <c r="A1179" s="9">
        <f t="shared" si="2"/>
        <v>1177</v>
      </c>
      <c r="B1179" s="10" t="s">
        <v>1314</v>
      </c>
      <c r="C1179" s="12"/>
      <c r="D1179" s="12"/>
      <c r="E1179" s="15">
        <v>3.384E7</v>
      </c>
      <c r="F1179" s="15">
        <v>3.039E7</v>
      </c>
      <c r="G1179" s="15">
        <v>3.108E7</v>
      </c>
      <c r="H1179" s="15">
        <v>2.504E7</v>
      </c>
      <c r="I1179" s="15">
        <v>2.28E7</v>
      </c>
      <c r="J1179" s="15">
        <v>1.191E7</v>
      </c>
      <c r="K1179" s="15">
        <v>9590000.0</v>
      </c>
      <c r="L1179" s="15">
        <v>9670000.0</v>
      </c>
      <c r="M1179" s="15">
        <v>5600000.0</v>
      </c>
      <c r="N1179" s="15">
        <v>3610000.0</v>
      </c>
      <c r="O1179" s="15">
        <v>303350.0</v>
      </c>
      <c r="P1179" s="15">
        <v>623970.0</v>
      </c>
      <c r="Q1179" s="15">
        <v>476000.0</v>
      </c>
      <c r="R1179" s="15">
        <v>469130.0</v>
      </c>
      <c r="S1179" s="15">
        <v>68070.0</v>
      </c>
      <c r="T1179" s="15">
        <v>35270.0</v>
      </c>
      <c r="U1179" s="15">
        <v>33750.0</v>
      </c>
      <c r="V1179" s="15">
        <v>45040.0</v>
      </c>
      <c r="W1179" s="15">
        <v>44470.0</v>
      </c>
      <c r="X1179" s="15">
        <v>68070.0</v>
      </c>
      <c r="Y1179" s="15">
        <v>8230000.0</v>
      </c>
      <c r="Z1179" s="15">
        <v>8010000.0</v>
      </c>
      <c r="AA1179" s="15">
        <v>8000000.0</v>
      </c>
      <c r="AB1179" s="15">
        <v>3650000.0</v>
      </c>
      <c r="AC1179" s="15">
        <v>1160000.0</v>
      </c>
      <c r="AD1179" s="15">
        <v>8480000.0</v>
      </c>
      <c r="AE1179" s="15">
        <v>1.324E7</v>
      </c>
      <c r="AF1179" s="15">
        <v>9690000.0</v>
      </c>
      <c r="AG1179" s="15">
        <v>4460000.0</v>
      </c>
      <c r="AH1179" s="15">
        <v>-711480.0</v>
      </c>
      <c r="AI1179" s="15">
        <v>1.476E7</v>
      </c>
      <c r="AJ1179" s="15">
        <v>1.15E7</v>
      </c>
      <c r="AK1179" s="15">
        <v>1.245E7</v>
      </c>
      <c r="AL1179" s="15">
        <v>7870000.0</v>
      </c>
      <c r="AM1179" s="15">
        <v>6320000.0</v>
      </c>
      <c r="AN1179" s="15">
        <v>6280000.0</v>
      </c>
      <c r="AO1179" s="15">
        <v>1.023E7</v>
      </c>
      <c r="AP1179" s="15">
        <v>6800000.0</v>
      </c>
      <c r="AQ1179" s="15">
        <v>3420000.0</v>
      </c>
      <c r="AR1179" s="15">
        <v>-566830.0</v>
      </c>
      <c r="AS1179" s="15">
        <v>1.198E7</v>
      </c>
      <c r="AT1179" s="15">
        <v>9180000.0</v>
      </c>
      <c r="AU1179" s="15">
        <v>1.109E7</v>
      </c>
      <c r="AV1179" s="15">
        <v>6270000.0</v>
      </c>
      <c r="AW1179" s="15">
        <v>6140000.0</v>
      </c>
      <c r="AX1179" s="15">
        <v>-4300000.0</v>
      </c>
      <c r="AY1179" s="15">
        <v>-4070000.0</v>
      </c>
      <c r="AZ1179" s="15">
        <v>-3480000.0</v>
      </c>
      <c r="BA1179" s="15">
        <v>-2230000.0</v>
      </c>
      <c r="BB1179" s="15">
        <v>-3070000.0</v>
      </c>
      <c r="BC1179" s="15">
        <v>-8100000.0</v>
      </c>
      <c r="BD1179" s="15">
        <v>-4020000.0</v>
      </c>
      <c r="BE1179" s="15">
        <v>-3300000.0</v>
      </c>
      <c r="BF1179" s="15">
        <v>-2020000.0</v>
      </c>
      <c r="BG1179" s="15">
        <v>-2670000.0</v>
      </c>
      <c r="BH1179" s="15">
        <v>8030000.0</v>
      </c>
      <c r="BI1179" s="15">
        <v>1.057E7</v>
      </c>
      <c r="BJ1179" s="15">
        <v>8600000.0</v>
      </c>
      <c r="BK1179" s="15">
        <v>6930000.0</v>
      </c>
      <c r="BL1179" s="15">
        <v>6480000.0</v>
      </c>
      <c r="BM1179" s="15">
        <v>2210000.0</v>
      </c>
      <c r="BN1179" s="15">
        <v>2410000.0</v>
      </c>
      <c r="BO1179" s="15">
        <v>2430000.0</v>
      </c>
      <c r="BP1179" s="15">
        <v>2660000.0</v>
      </c>
      <c r="BQ1179" s="15">
        <v>1560000.0</v>
      </c>
      <c r="BR1179" s="15">
        <v>2610000.0</v>
      </c>
      <c r="BS1179" s="15">
        <v>2710000.0</v>
      </c>
      <c r="BT1179" s="15">
        <v>2570000.0</v>
      </c>
      <c r="BU1179" s="15">
        <v>2380000.0</v>
      </c>
      <c r="BV1179" s="15">
        <v>2150000.0</v>
      </c>
      <c r="BW1179" s="15">
        <v>1.306E7</v>
      </c>
      <c r="BX1179" s="15">
        <v>1.584E7</v>
      </c>
      <c r="BY1179" s="15">
        <v>1.381E7</v>
      </c>
      <c r="BZ1179" s="15">
        <v>1.219E7</v>
      </c>
      <c r="CA1179" s="15">
        <v>1.05E7</v>
      </c>
      <c r="CB1179" s="15">
        <v>4.331E7</v>
      </c>
      <c r="CC1179" s="15">
        <v>4.425E7</v>
      </c>
      <c r="CD1179" s="15">
        <v>4.59E7</v>
      </c>
      <c r="CE1179" s="15">
        <v>4.763E7</v>
      </c>
      <c r="CF1179" s="15">
        <v>4.143E7</v>
      </c>
      <c r="CG1179" s="15">
        <v>695980.0</v>
      </c>
      <c r="CH1179" s="15">
        <v>716080.0</v>
      </c>
      <c r="CI1179" s="15">
        <v>766590.0</v>
      </c>
      <c r="CJ1179" s="15">
        <v>769640.0</v>
      </c>
      <c r="CK1179" s="15">
        <v>605200.0</v>
      </c>
      <c r="CL1179" s="15">
        <v>6.628E7</v>
      </c>
      <c r="CM1179" s="15">
        <v>7.141E7</v>
      </c>
      <c r="CN1179" s="15">
        <v>7.076E7</v>
      </c>
      <c r="CO1179" s="15">
        <v>7.224E7</v>
      </c>
      <c r="CP1179" s="15">
        <v>6.212E7</v>
      </c>
      <c r="CQ1179" s="15">
        <v>2160000.0</v>
      </c>
      <c r="CR1179" s="15">
        <v>2500000.0</v>
      </c>
      <c r="CS1179" s="15">
        <v>2410000.0</v>
      </c>
      <c r="CT1179" s="15">
        <v>2260000.0</v>
      </c>
      <c r="CU1179" s="15">
        <v>1740000.0</v>
      </c>
      <c r="CV1179" s="15">
        <v>8400000.0</v>
      </c>
      <c r="CW1179" s="15">
        <v>0.0</v>
      </c>
      <c r="CX1179" s="16">
        <v>0.0</v>
      </c>
      <c r="CY1179" s="15">
        <v>25130.0</v>
      </c>
      <c r="CZ1179" s="15">
        <v>49370.0</v>
      </c>
      <c r="DA1179" s="15">
        <v>33250.0</v>
      </c>
      <c r="DB1179" s="15">
        <v>8400000.0</v>
      </c>
      <c r="DC1179" s="15">
        <v>8300000.0</v>
      </c>
      <c r="DD1179" s="15">
        <v>8310000.0</v>
      </c>
      <c r="DE1179" s="15">
        <v>7590000.0</v>
      </c>
      <c r="DF1179" s="15">
        <v>3.207E7</v>
      </c>
      <c r="DG1179" s="15">
        <v>3.223E7</v>
      </c>
      <c r="DH1179" s="15">
        <v>3.292E7</v>
      </c>
      <c r="DI1179" s="15">
        <v>3.516E7</v>
      </c>
      <c r="DJ1179" s="15">
        <v>3.212E7</v>
      </c>
      <c r="DK1179" s="15">
        <v>3300000.0</v>
      </c>
      <c r="DL1179" s="15">
        <v>3810000.0</v>
      </c>
      <c r="DM1179" s="15">
        <v>3550000.0</v>
      </c>
      <c r="DN1179" s="15">
        <v>4700000.0</v>
      </c>
      <c r="DO1179" s="15">
        <v>3890000.0</v>
      </c>
      <c r="DP1179" s="15">
        <v>9880000.0</v>
      </c>
      <c r="DQ1179" s="15">
        <v>9770000.0</v>
      </c>
      <c r="DR1179" s="15">
        <v>1.081E7</v>
      </c>
      <c r="DS1179" s="15">
        <v>1.369E7</v>
      </c>
      <c r="DT1179" s="15">
        <v>1.412E7</v>
      </c>
      <c r="DU1179" s="16">
        <v>0.0</v>
      </c>
      <c r="DV1179" s="15">
        <v>0.0</v>
      </c>
      <c r="DW1179" s="15">
        <v>0.0</v>
      </c>
      <c r="DX1179" s="15">
        <v>0.0</v>
      </c>
      <c r="DY1179" s="15">
        <v>0.0</v>
      </c>
      <c r="DZ1179" s="15">
        <v>3.06E7</v>
      </c>
      <c r="EA1179" s="15">
        <v>3.43E7</v>
      </c>
      <c r="EB1179" s="15">
        <v>3.305E7</v>
      </c>
      <c r="EC1179" s="15">
        <v>3.18E7</v>
      </c>
      <c r="ED1179" s="15">
        <v>2.534E7</v>
      </c>
      <c r="EE1179" s="23"/>
      <c r="EF1179" s="23"/>
      <c r="EG1179" s="23" t="s">
        <v>155</v>
      </c>
      <c r="EH1179" s="23"/>
    </row>
    <row r="1180">
      <c r="A1180" s="9">
        <f t="shared" si="2"/>
        <v>1178</v>
      </c>
      <c r="B1180" s="22" t="s">
        <v>1315</v>
      </c>
      <c r="C1180" s="12"/>
      <c r="D1180" s="11">
        <v>6600.0</v>
      </c>
      <c r="E1180" s="11">
        <v>6840.0</v>
      </c>
      <c r="F1180" s="11">
        <v>7850.0</v>
      </c>
      <c r="G1180" s="11">
        <v>173.0</v>
      </c>
      <c r="H1180" s="12"/>
      <c r="I1180" s="11">
        <v>101.0</v>
      </c>
      <c r="J1180" s="11">
        <v>621.0</v>
      </c>
      <c r="K1180" s="11">
        <v>-3240.0</v>
      </c>
      <c r="L1180" s="11">
        <v>-811.0</v>
      </c>
      <c r="M1180" s="11">
        <v>-93.0</v>
      </c>
      <c r="N1180" s="11">
        <v>-183.0</v>
      </c>
      <c r="O1180" s="11">
        <v>9160.0</v>
      </c>
      <c r="P1180" s="11">
        <v>20860.0</v>
      </c>
      <c r="Q1180" s="11">
        <v>7250.0</v>
      </c>
      <c r="R1180" s="11">
        <v>4660.0</v>
      </c>
      <c r="S1180" s="11">
        <v>8470.0</v>
      </c>
      <c r="T1180" s="12"/>
      <c r="U1180" s="12"/>
      <c r="V1180" s="11">
        <v>20.0</v>
      </c>
      <c r="W1180" s="11">
        <v>249.0</v>
      </c>
      <c r="X1180" s="11">
        <v>1970.0</v>
      </c>
      <c r="Y1180" s="11">
        <v>-15990.0</v>
      </c>
      <c r="Z1180" s="11">
        <v>-59630.0</v>
      </c>
      <c r="AA1180" s="11">
        <v>-13410.0</v>
      </c>
      <c r="AB1180" s="11">
        <v>-515.0</v>
      </c>
      <c r="AC1180" s="11">
        <v>-8850.0</v>
      </c>
      <c r="AD1180" s="11">
        <v>-20450.0</v>
      </c>
      <c r="AE1180" s="11">
        <v>-61010.0</v>
      </c>
      <c r="AF1180" s="11">
        <v>-18040.0</v>
      </c>
      <c r="AG1180" s="11">
        <v>-3160.0</v>
      </c>
      <c r="AH1180" s="11">
        <v>-8760.0</v>
      </c>
      <c r="AI1180" s="11">
        <v>-6120.0</v>
      </c>
      <c r="AJ1180" s="11">
        <v>-18830.0</v>
      </c>
      <c r="AK1180" s="11">
        <v>-7100.0</v>
      </c>
      <c r="AL1180" s="11">
        <v>-4660.0</v>
      </c>
      <c r="AM1180" s="11">
        <v>-8400.0</v>
      </c>
      <c r="AN1180" s="11">
        <v>-20040.0</v>
      </c>
      <c r="AO1180" s="11">
        <v>-58100.0</v>
      </c>
      <c r="AP1180" s="11">
        <v>-16300.0</v>
      </c>
      <c r="AQ1180" s="11">
        <v>-3160.0</v>
      </c>
      <c r="AR1180" s="11">
        <v>-8760.0</v>
      </c>
      <c r="AS1180" s="11">
        <v>-14570.0</v>
      </c>
      <c r="AT1180" s="11">
        <v>-19050.0</v>
      </c>
      <c r="AU1180" s="11">
        <v>-4440.0</v>
      </c>
      <c r="AV1180" s="11">
        <v>-5520.0</v>
      </c>
      <c r="AW1180" s="11">
        <v>-6870.0</v>
      </c>
      <c r="AX1180" s="11">
        <v>-5000.0</v>
      </c>
      <c r="AY1180" s="11">
        <v>-20960.0</v>
      </c>
      <c r="AZ1180" s="11">
        <v>-61.0</v>
      </c>
      <c r="BA1180" s="11">
        <v>-26.0</v>
      </c>
      <c r="BB1180" s="11">
        <v>-92.0</v>
      </c>
      <c r="BC1180" s="12"/>
      <c r="BD1180" s="12"/>
      <c r="BE1180" s="11">
        <v>-9560.0</v>
      </c>
      <c r="BF1180" s="12"/>
      <c r="BG1180" s="12"/>
      <c r="BH1180" s="11">
        <v>11280.0</v>
      </c>
      <c r="BI1180" s="11">
        <v>932.0</v>
      </c>
      <c r="BJ1180" s="11">
        <v>41650.0</v>
      </c>
      <c r="BK1180" s="11">
        <v>13040.0</v>
      </c>
      <c r="BL1180" s="11">
        <v>16160.0</v>
      </c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1">
        <v>12630.0</v>
      </c>
      <c r="BX1180" s="11">
        <v>2310.0</v>
      </c>
      <c r="BY1180" s="11">
        <v>42390.0</v>
      </c>
      <c r="BZ1180" s="11">
        <v>13740.0</v>
      </c>
      <c r="CA1180" s="11">
        <v>16410.0</v>
      </c>
      <c r="CB1180" s="11">
        <v>6870.0</v>
      </c>
      <c r="CC1180" s="11">
        <v>26.0</v>
      </c>
      <c r="CD1180" s="11">
        <v>4290.0</v>
      </c>
      <c r="CE1180" s="11">
        <v>6.0</v>
      </c>
      <c r="CF1180" s="11">
        <v>1950.0</v>
      </c>
      <c r="CG1180" s="12"/>
      <c r="CH1180" s="12"/>
      <c r="CI1180" s="11">
        <v>1190.0</v>
      </c>
      <c r="CJ1180" s="11">
        <v>387.0</v>
      </c>
      <c r="CK1180" s="11">
        <v>387.0</v>
      </c>
      <c r="CL1180" s="11">
        <v>30380.0</v>
      </c>
      <c r="CM1180" s="11">
        <v>13860.0</v>
      </c>
      <c r="CN1180" s="11">
        <v>52340.0</v>
      </c>
      <c r="CO1180" s="11">
        <v>17040.0</v>
      </c>
      <c r="CP1180" s="11">
        <v>20860.0</v>
      </c>
      <c r="CQ1180" s="11">
        <v>717.0</v>
      </c>
      <c r="CR1180" s="11">
        <v>3830.0</v>
      </c>
      <c r="CS1180" s="11">
        <v>410.0</v>
      </c>
      <c r="CT1180" s="11">
        <v>254.0</v>
      </c>
      <c r="CU1180" s="11">
        <v>701.0</v>
      </c>
      <c r="CV1180" s="11">
        <v>3370.0</v>
      </c>
      <c r="CW1180" s="11">
        <v>368.0</v>
      </c>
      <c r="CX1180" s="12"/>
      <c r="CY1180" s="12"/>
      <c r="CZ1180" s="12"/>
      <c r="DA1180" s="12"/>
      <c r="DB1180" s="11">
        <v>3370.0</v>
      </c>
      <c r="DC1180" s="11">
        <v>6660.0</v>
      </c>
      <c r="DD1180" s="11">
        <v>1040.0</v>
      </c>
      <c r="DE1180" s="11">
        <v>1060.0</v>
      </c>
      <c r="DF1180" s="11">
        <v>4150.0</v>
      </c>
      <c r="DG1180" s="11">
        <v>9370.0</v>
      </c>
      <c r="DH1180" s="11">
        <v>2710.0</v>
      </c>
      <c r="DI1180" s="11">
        <v>2120.0</v>
      </c>
      <c r="DJ1180" s="11">
        <v>4790.0</v>
      </c>
      <c r="DK1180" s="11">
        <v>9720.0</v>
      </c>
      <c r="DL1180" s="11">
        <v>9610.0</v>
      </c>
      <c r="DM1180" s="11">
        <v>3200.0</v>
      </c>
      <c r="DN1180" s="12"/>
      <c r="DO1180" s="24">
        <v>972.0</v>
      </c>
      <c r="DP1180" s="12"/>
      <c r="DQ1180" s="11">
        <v>1700.0</v>
      </c>
      <c r="DR1180" s="12"/>
      <c r="DS1180" s="12"/>
      <c r="DT1180" s="11">
        <v>1840.0</v>
      </c>
      <c r="DU1180" s="24">
        <v>22.0</v>
      </c>
      <c r="DV1180" s="11">
        <v>69.0</v>
      </c>
      <c r="DW1180" s="11">
        <v>7750.0</v>
      </c>
      <c r="DX1180" s="13"/>
      <c r="DY1180" s="13"/>
      <c r="DZ1180" s="11">
        <v>26240.0</v>
      </c>
      <c r="EA1180" s="11">
        <v>5790.0</v>
      </c>
      <c r="EB1180" s="11">
        <v>48870.0</v>
      </c>
      <c r="EC1180" s="11">
        <v>14920.0</v>
      </c>
      <c r="ED1180" s="11">
        <v>16070.0</v>
      </c>
      <c r="EE1180" s="14">
        <v>0.0</v>
      </c>
      <c r="EF1180" s="23"/>
      <c r="EG1180" s="14">
        <v>0.588</v>
      </c>
      <c r="EH1180" s="14">
        <v>0.498</v>
      </c>
    </row>
    <row r="1181">
      <c r="A1181" s="9">
        <f t="shared" si="2"/>
        <v>1179</v>
      </c>
      <c r="B1181" s="10" t="s">
        <v>1316</v>
      </c>
      <c r="C1181" s="11">
        <v>5710000.0</v>
      </c>
      <c r="D1181" s="11">
        <v>4590000.0</v>
      </c>
      <c r="E1181" s="11">
        <v>6160000.0</v>
      </c>
      <c r="F1181" s="11">
        <v>6310000.0</v>
      </c>
      <c r="G1181" s="11">
        <v>6180000.0</v>
      </c>
      <c r="H1181" s="11">
        <v>6650000.0</v>
      </c>
      <c r="I1181" s="11">
        <v>7410000.0</v>
      </c>
      <c r="J1181" s="11">
        <v>3360000.0</v>
      </c>
      <c r="K1181" s="11">
        <v>3600000.0</v>
      </c>
      <c r="L1181" s="11">
        <v>3460000.0</v>
      </c>
      <c r="M1181" s="11">
        <v>3340000.0</v>
      </c>
      <c r="N1181" s="11">
        <v>3830000.0</v>
      </c>
      <c r="O1181" s="11">
        <v>2970000.0</v>
      </c>
      <c r="P1181" s="11">
        <v>2890000.0</v>
      </c>
      <c r="Q1181" s="11">
        <v>2800000.0</v>
      </c>
      <c r="R1181" s="11">
        <v>2860000.0</v>
      </c>
      <c r="S1181" s="11">
        <v>3100000.0</v>
      </c>
      <c r="T1181" s="12"/>
      <c r="U1181" s="12"/>
      <c r="V1181" s="12"/>
      <c r="W1181" s="12"/>
      <c r="X1181" s="12"/>
      <c r="Y1181" s="11">
        <v>320000.0</v>
      </c>
      <c r="Z1181" s="11">
        <v>578900.0</v>
      </c>
      <c r="AA1181" s="11">
        <v>508800.0</v>
      </c>
      <c r="AB1181" s="11">
        <v>-576000.0</v>
      </c>
      <c r="AC1181" s="11">
        <v>531000.0</v>
      </c>
      <c r="AD1181" s="11">
        <v>326400.0</v>
      </c>
      <c r="AE1181" s="11">
        <v>582500.0</v>
      </c>
      <c r="AF1181" s="11">
        <v>489200.0</v>
      </c>
      <c r="AG1181" s="11">
        <v>-104900.0</v>
      </c>
      <c r="AH1181" s="11">
        <v>552000.0</v>
      </c>
      <c r="AI1181" s="11">
        <v>660400.0</v>
      </c>
      <c r="AJ1181" s="11">
        <v>994000.0</v>
      </c>
      <c r="AK1181" s="11">
        <v>959600.0</v>
      </c>
      <c r="AL1181" s="11">
        <v>787100.0</v>
      </c>
      <c r="AM1181" s="11">
        <v>1040000.0</v>
      </c>
      <c r="AN1181" s="11">
        <v>384300.0</v>
      </c>
      <c r="AO1181" s="11">
        <v>430900.0</v>
      </c>
      <c r="AP1181" s="11">
        <v>162800.0</v>
      </c>
      <c r="AQ1181" s="11">
        <v>-99300.0</v>
      </c>
      <c r="AR1181" s="11">
        <v>396000.0</v>
      </c>
      <c r="AS1181" s="11">
        <v>754600.0</v>
      </c>
      <c r="AT1181" s="11">
        <v>783800.0</v>
      </c>
      <c r="AU1181" s="11">
        <v>975100.0</v>
      </c>
      <c r="AV1181" s="11">
        <v>952600.0</v>
      </c>
      <c r="AW1181" s="11">
        <v>1010000.0</v>
      </c>
      <c r="AX1181" s="11">
        <v>-270300.0</v>
      </c>
      <c r="AY1181" s="11">
        <v>-197700.0</v>
      </c>
      <c r="AZ1181" s="11">
        <v>-161600.0</v>
      </c>
      <c r="BA1181" s="11">
        <v>-284000.0</v>
      </c>
      <c r="BB1181" s="11">
        <v>-418000.0</v>
      </c>
      <c r="BC1181" s="11">
        <v>-203900.0</v>
      </c>
      <c r="BD1181" s="11">
        <v>-190700.0</v>
      </c>
      <c r="BE1181" s="11">
        <v>-162400.0</v>
      </c>
      <c r="BF1181" s="11">
        <v>-164800.0</v>
      </c>
      <c r="BG1181" s="11">
        <v>-170000.0</v>
      </c>
      <c r="BH1181" s="11">
        <v>2120000.0</v>
      </c>
      <c r="BI1181" s="11">
        <v>2000000.0</v>
      </c>
      <c r="BJ1181" s="11">
        <v>2020000.0</v>
      </c>
      <c r="BK1181" s="11">
        <v>1360000.0</v>
      </c>
      <c r="BL1181" s="11">
        <v>1100000.0</v>
      </c>
      <c r="BM1181" s="11">
        <v>415400.0</v>
      </c>
      <c r="BN1181" s="11">
        <v>607100.0</v>
      </c>
      <c r="BO1181" s="11">
        <v>635100.0</v>
      </c>
      <c r="BP1181" s="11">
        <v>673800.0</v>
      </c>
      <c r="BQ1181" s="11">
        <v>700000.0</v>
      </c>
      <c r="BR1181" s="11">
        <v>736200.0</v>
      </c>
      <c r="BS1181" s="11">
        <v>817800.0</v>
      </c>
      <c r="BT1181" s="11">
        <v>761300.0</v>
      </c>
      <c r="BU1181" s="11">
        <v>791500.0</v>
      </c>
      <c r="BV1181" s="11">
        <v>1130000.0</v>
      </c>
      <c r="BW1181" s="11">
        <v>3380000.0</v>
      </c>
      <c r="BX1181" s="11">
        <v>3590000.0</v>
      </c>
      <c r="BY1181" s="11">
        <v>3550000.0</v>
      </c>
      <c r="BZ1181" s="11">
        <v>2950000.0</v>
      </c>
      <c r="CA1181" s="11">
        <v>3050000.0</v>
      </c>
      <c r="CB1181" s="11">
        <v>2490000.0</v>
      </c>
      <c r="CC1181" s="11">
        <v>1040000.0</v>
      </c>
      <c r="CD1181" s="11">
        <v>1190000.0</v>
      </c>
      <c r="CE1181" s="11">
        <v>1320000.0</v>
      </c>
      <c r="CF1181" s="11">
        <v>1580000.0</v>
      </c>
      <c r="CG1181" s="11">
        <v>915500.0</v>
      </c>
      <c r="CH1181" s="11">
        <v>919600.0</v>
      </c>
      <c r="CI1181" s="11">
        <v>950500.0</v>
      </c>
      <c r="CJ1181" s="11">
        <v>904600.0</v>
      </c>
      <c r="CK1181" s="11">
        <v>918000.0</v>
      </c>
      <c r="CL1181" s="11">
        <v>7280000.0</v>
      </c>
      <c r="CM1181" s="11">
        <v>5940000.0</v>
      </c>
      <c r="CN1181" s="11">
        <v>6140000.0</v>
      </c>
      <c r="CO1181" s="11">
        <v>5650000.0</v>
      </c>
      <c r="CP1181" s="11">
        <v>6210000.0</v>
      </c>
      <c r="CQ1181" s="11">
        <v>246800.0</v>
      </c>
      <c r="CR1181" s="11">
        <v>202300.0</v>
      </c>
      <c r="CS1181" s="11">
        <v>165600.0</v>
      </c>
      <c r="CT1181" s="11">
        <v>147700.0</v>
      </c>
      <c r="CU1181" s="11">
        <v>151000.0</v>
      </c>
      <c r="CV1181" s="11">
        <v>2090000.0</v>
      </c>
      <c r="CW1181" s="11">
        <v>763400.0</v>
      </c>
      <c r="CX1181" s="11"/>
      <c r="CY1181" s="11">
        <v>10100.0</v>
      </c>
      <c r="CZ1181" s="11"/>
      <c r="DA1181" s="11">
        <v>116000.0</v>
      </c>
      <c r="DB1181" s="11">
        <v>2090000.0</v>
      </c>
      <c r="DC1181" s="11">
        <v>1200000.0</v>
      </c>
      <c r="DD1181" s="11">
        <v>1590000.0</v>
      </c>
      <c r="DE1181" s="11">
        <v>1160000.0</v>
      </c>
      <c r="DF1181" s="11">
        <v>4590000.0</v>
      </c>
      <c r="DG1181" s="11">
        <v>2660000.0</v>
      </c>
      <c r="DH1181" s="11">
        <v>2690000.0</v>
      </c>
      <c r="DI1181" s="11">
        <v>2350000.0</v>
      </c>
      <c r="DJ1181" s="11">
        <v>2470000.0</v>
      </c>
      <c r="DK1181" s="11">
        <v>56600.0</v>
      </c>
      <c r="DL1181" s="11">
        <v>87600.0</v>
      </c>
      <c r="DM1181" s="11">
        <v>121600.0</v>
      </c>
      <c r="DN1181" s="11">
        <v>64700.0</v>
      </c>
      <c r="DO1181" s="11">
        <v>222000.0</v>
      </c>
      <c r="DP1181" s="11">
        <v>2150000.0</v>
      </c>
      <c r="DQ1181" s="11">
        <v>901700.0</v>
      </c>
      <c r="DR1181" s="11">
        <v>524400.0</v>
      </c>
      <c r="DS1181" s="11">
        <v>839100.0</v>
      </c>
      <c r="DT1181" s="11">
        <v>863000.0</v>
      </c>
      <c r="DU1181" s="13"/>
      <c r="DV1181" s="12"/>
      <c r="DW1181" s="12"/>
      <c r="DX1181" s="12"/>
      <c r="DY1181" s="12"/>
      <c r="DZ1181" s="11">
        <v>2690000.0</v>
      </c>
      <c r="EA1181" s="11">
        <v>3290000.0</v>
      </c>
      <c r="EB1181" s="11">
        <v>3460000.0</v>
      </c>
      <c r="EC1181" s="11">
        <v>3300000.0</v>
      </c>
      <c r="ED1181" s="11">
        <v>3740000.0</v>
      </c>
      <c r="EE1181" s="14">
        <v>0.183</v>
      </c>
      <c r="EF1181" s="14">
        <v>0.166</v>
      </c>
      <c r="EG1181" s="14">
        <v>-0.058</v>
      </c>
      <c r="EH1181" s="14">
        <v>-0.131</v>
      </c>
    </row>
    <row r="1182">
      <c r="A1182" s="9">
        <f t="shared" si="2"/>
        <v>1180</v>
      </c>
      <c r="B1182" s="22" t="s">
        <v>1317</v>
      </c>
      <c r="C1182" s="12"/>
      <c r="D1182" s="12"/>
      <c r="E1182" s="12"/>
      <c r="F1182" s="12"/>
      <c r="G1182" s="12"/>
      <c r="H1182" s="12"/>
      <c r="I1182" s="12"/>
      <c r="J1182" s="11">
        <v>-2850.0</v>
      </c>
      <c r="K1182" s="11">
        <v>-2150.0</v>
      </c>
      <c r="L1182" s="12"/>
      <c r="M1182" s="12"/>
      <c r="N1182" s="12"/>
      <c r="O1182" s="11">
        <v>81200.0</v>
      </c>
      <c r="P1182" s="11">
        <v>47740.0</v>
      </c>
      <c r="Q1182" s="12"/>
      <c r="R1182" s="12"/>
      <c r="S1182" s="12"/>
      <c r="T1182" s="11">
        <v>67900.0</v>
      </c>
      <c r="U1182" s="11">
        <v>39330.0</v>
      </c>
      <c r="V1182" s="12"/>
      <c r="W1182" s="12"/>
      <c r="X1182" s="12"/>
      <c r="Y1182" s="12"/>
      <c r="Z1182" s="12"/>
      <c r="AA1182" s="12"/>
      <c r="AB1182" s="12"/>
      <c r="AC1182" s="12"/>
      <c r="AD1182" s="11">
        <v>-75310.0</v>
      </c>
      <c r="AE1182" s="11">
        <v>-48790.0</v>
      </c>
      <c r="AF1182" s="12"/>
      <c r="AG1182" s="12"/>
      <c r="AH1182" s="12"/>
      <c r="AI1182" s="11">
        <v>-81200.0</v>
      </c>
      <c r="AJ1182" s="11">
        <v>-47740.0</v>
      </c>
      <c r="AK1182" s="12"/>
      <c r="AL1182" s="12"/>
      <c r="AM1182" s="12"/>
      <c r="AN1182" s="11">
        <v>-75310.0</v>
      </c>
      <c r="AO1182" s="11">
        <v>-48790.0</v>
      </c>
      <c r="AP1182" s="12"/>
      <c r="AQ1182" s="12"/>
      <c r="AR1182" s="12"/>
      <c r="AS1182" s="11">
        <v>-66130.0</v>
      </c>
      <c r="AT1182" s="11">
        <v>-44140.0</v>
      </c>
      <c r="AU1182" s="12"/>
      <c r="AV1182" s="12"/>
      <c r="AW1182" s="12"/>
      <c r="AX1182" s="11">
        <v>-8000.0</v>
      </c>
      <c r="AY1182" s="11">
        <v>-1690.0</v>
      </c>
      <c r="AZ1182" s="12"/>
      <c r="BA1182" s="12"/>
      <c r="BB1182" s="12"/>
      <c r="BC1182" s="12"/>
      <c r="BD1182" s="12"/>
      <c r="BE1182" s="12"/>
      <c r="BF1182" s="12"/>
      <c r="BG1182" s="12"/>
      <c r="BH1182" s="11">
        <v>355820.0</v>
      </c>
      <c r="BI1182" s="11">
        <v>421510.0</v>
      </c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1">
        <v>360540.0</v>
      </c>
      <c r="BX1182" s="11">
        <v>424100.0</v>
      </c>
      <c r="BY1182" s="12"/>
      <c r="BZ1182" s="12"/>
      <c r="CA1182" s="12"/>
      <c r="CB1182" s="11">
        <v>31650.0</v>
      </c>
      <c r="CC1182" s="11">
        <v>3630.0</v>
      </c>
      <c r="CD1182" s="12"/>
      <c r="CE1182" s="12"/>
      <c r="CF1182" s="12"/>
      <c r="CG1182" s="12"/>
      <c r="CH1182" s="12"/>
      <c r="CI1182" s="12"/>
      <c r="CJ1182" s="12"/>
      <c r="CK1182" s="12"/>
      <c r="CL1182" s="11">
        <v>393070.0</v>
      </c>
      <c r="CM1182" s="11">
        <v>428610.0</v>
      </c>
      <c r="CN1182" s="12"/>
      <c r="CO1182" s="12"/>
      <c r="CP1182" s="12"/>
      <c r="CQ1182" s="11">
        <v>6990.0</v>
      </c>
      <c r="CR1182" s="11">
        <v>4710.0</v>
      </c>
      <c r="CS1182" s="12"/>
      <c r="CT1182" s="12"/>
      <c r="CU1182" s="12"/>
      <c r="CV1182" s="11">
        <v>11990.0</v>
      </c>
      <c r="CW1182" s="12"/>
      <c r="CX1182" s="12"/>
      <c r="CY1182" s="12"/>
      <c r="CZ1182" s="12"/>
      <c r="DA1182" s="12"/>
      <c r="DB1182" s="11">
        <v>11990.0</v>
      </c>
      <c r="DC1182" s="11">
        <v>6870.0</v>
      </c>
      <c r="DD1182" s="12"/>
      <c r="DE1182" s="12"/>
      <c r="DF1182" s="11">
        <v>573510.0</v>
      </c>
      <c r="DG1182" s="11">
        <v>539540.0</v>
      </c>
      <c r="DH1182" s="12"/>
      <c r="DI1182" s="12"/>
      <c r="DJ1182" s="12"/>
      <c r="DK1182" s="11">
        <v>878.0</v>
      </c>
      <c r="DL1182" s="11">
        <v>878.0</v>
      </c>
      <c r="DM1182" s="12"/>
      <c r="DN1182" s="12"/>
      <c r="DO1182" s="12"/>
      <c r="DP1182" s="11">
        <v>561360.0</v>
      </c>
      <c r="DQ1182" s="11">
        <v>532120.0</v>
      </c>
      <c r="DR1182" s="12"/>
      <c r="DS1182" s="12"/>
      <c r="DT1182" s="12"/>
      <c r="DU1182" s="13"/>
      <c r="DV1182" s="12"/>
      <c r="DW1182" s="12"/>
      <c r="DX1182" s="13"/>
      <c r="DY1182" s="13"/>
      <c r="DZ1182" s="11">
        <v>-180440.0</v>
      </c>
      <c r="EA1182" s="11">
        <v>-110930.0</v>
      </c>
      <c r="EB1182" s="12"/>
      <c r="EC1182" s="12"/>
      <c r="ED1182" s="12"/>
      <c r="EE1182" s="23"/>
      <c r="EF1182" s="23"/>
      <c r="EG1182" s="23" t="s">
        <v>155</v>
      </c>
      <c r="EH1182" s="23"/>
    </row>
    <row r="1183">
      <c r="A1183" s="9">
        <f t="shared" si="2"/>
        <v>1181</v>
      </c>
      <c r="B1183" s="10" t="s">
        <v>1318</v>
      </c>
      <c r="C1183" s="11">
        <v>761800.0</v>
      </c>
      <c r="D1183" s="11">
        <v>740700.0</v>
      </c>
      <c r="E1183" s="11">
        <v>890520.0</v>
      </c>
      <c r="F1183" s="11">
        <v>842420.0</v>
      </c>
      <c r="G1183" s="11">
        <v>777610.0</v>
      </c>
      <c r="H1183" s="11">
        <v>782580.0</v>
      </c>
      <c r="I1183" s="11">
        <v>502660.0</v>
      </c>
      <c r="J1183" s="11">
        <v>154520.0</v>
      </c>
      <c r="K1183" s="11">
        <v>129470.0</v>
      </c>
      <c r="L1183" s="11">
        <v>130360.0</v>
      </c>
      <c r="M1183" s="11">
        <v>120500.0</v>
      </c>
      <c r="N1183" s="11">
        <v>83140.0</v>
      </c>
      <c r="O1183" s="11">
        <v>131020.0</v>
      </c>
      <c r="P1183" s="11">
        <v>117290.0</v>
      </c>
      <c r="Q1183" s="11">
        <v>114180.0</v>
      </c>
      <c r="R1183" s="11">
        <v>110210.0</v>
      </c>
      <c r="S1183" s="11">
        <v>75740.0</v>
      </c>
      <c r="T1183" s="12"/>
      <c r="U1183" s="12"/>
      <c r="V1183" s="12"/>
      <c r="W1183" s="12"/>
      <c r="X1183" s="12"/>
      <c r="Y1183" s="11">
        <v>24720.0</v>
      </c>
      <c r="Z1183" s="11">
        <v>13180.0</v>
      </c>
      <c r="AA1183" s="11">
        <v>10490.0</v>
      </c>
      <c r="AB1183" s="11">
        <v>-11810.0</v>
      </c>
      <c r="AC1183" s="11">
        <v>10550.0</v>
      </c>
      <c r="AD1183" s="11">
        <v>22180.0</v>
      </c>
      <c r="AE1183" s="11">
        <v>10510.0</v>
      </c>
      <c r="AF1183" s="11">
        <v>8590.0</v>
      </c>
      <c r="AG1183" s="11">
        <v>-5340.0</v>
      </c>
      <c r="AH1183" s="11">
        <v>7970.0</v>
      </c>
      <c r="AI1183" s="11">
        <v>38710.0</v>
      </c>
      <c r="AJ1183" s="11">
        <v>26570.0</v>
      </c>
      <c r="AK1183" s="11">
        <v>28530.0</v>
      </c>
      <c r="AL1183" s="11">
        <v>22320.0</v>
      </c>
      <c r="AM1183" s="11">
        <v>13760.0</v>
      </c>
      <c r="AN1183" s="11">
        <v>16350.0</v>
      </c>
      <c r="AO1183" s="11">
        <v>10190.0</v>
      </c>
      <c r="AP1183" s="11">
        <v>4860.0</v>
      </c>
      <c r="AQ1183" s="11">
        <v>-3520.0</v>
      </c>
      <c r="AR1183" s="11">
        <v>5870.0</v>
      </c>
      <c r="AS1183" s="11">
        <v>39810.0</v>
      </c>
      <c r="AT1183" s="11">
        <v>4760.0</v>
      </c>
      <c r="AU1183" s="11">
        <v>14850.0</v>
      </c>
      <c r="AV1183" s="11">
        <v>21410.0</v>
      </c>
      <c r="AW1183" s="11">
        <v>2050.0</v>
      </c>
      <c r="AX1183" s="11">
        <v>-6680.0</v>
      </c>
      <c r="AY1183" s="11">
        <v>-5740.0</v>
      </c>
      <c r="AZ1183" s="11">
        <v>-4940.0</v>
      </c>
      <c r="BA1183" s="11">
        <v>-3700.0</v>
      </c>
      <c r="BB1183" s="11">
        <v>-4090.0</v>
      </c>
      <c r="BC1183" s="11">
        <v>-1300.0</v>
      </c>
      <c r="BD1183" s="11">
        <v>-2050.0</v>
      </c>
      <c r="BE1183" s="11">
        <v>-2050.0</v>
      </c>
      <c r="BF1183" s="11">
        <v>-2050.0</v>
      </c>
      <c r="BG1183" s="11">
        <v>-2050.0</v>
      </c>
      <c r="BH1183" s="11">
        <v>5420.0</v>
      </c>
      <c r="BI1183" s="11">
        <v>6990.0</v>
      </c>
      <c r="BJ1183" s="11">
        <v>5810.0</v>
      </c>
      <c r="BK1183" s="11">
        <v>4770.0</v>
      </c>
      <c r="BL1183" s="11">
        <v>7270.0</v>
      </c>
      <c r="BM1183" s="11">
        <v>111410.0</v>
      </c>
      <c r="BN1183" s="11">
        <v>139680.0</v>
      </c>
      <c r="BO1183" s="11">
        <v>116580.0</v>
      </c>
      <c r="BP1183" s="11">
        <v>101670.0</v>
      </c>
      <c r="BQ1183" s="11">
        <v>131560.0</v>
      </c>
      <c r="BR1183" s="12"/>
      <c r="BS1183" s="12"/>
      <c r="BT1183" s="12"/>
      <c r="BU1183" s="12"/>
      <c r="BV1183" s="12"/>
      <c r="BW1183" s="11">
        <v>124890.0</v>
      </c>
      <c r="BX1183" s="11">
        <v>153270.0</v>
      </c>
      <c r="BY1183" s="11">
        <v>129720.0</v>
      </c>
      <c r="BZ1183" s="11">
        <v>113370.0</v>
      </c>
      <c r="CA1183" s="11">
        <v>146480.0</v>
      </c>
      <c r="CB1183" s="11">
        <v>20130.0</v>
      </c>
      <c r="CC1183" s="11">
        <v>18570.0</v>
      </c>
      <c r="CD1183" s="11">
        <v>15230.0</v>
      </c>
      <c r="CE1183" s="11">
        <v>12450.0</v>
      </c>
      <c r="CF1183" s="11">
        <v>13180.0</v>
      </c>
      <c r="CG1183" s="11">
        <v>65390.0</v>
      </c>
      <c r="CH1183" s="11">
        <v>65390.0</v>
      </c>
      <c r="CI1183" s="11">
        <v>66780.0</v>
      </c>
      <c r="CJ1183" s="11">
        <v>62890.0</v>
      </c>
      <c r="CK1183" s="11">
        <v>63090.0</v>
      </c>
      <c r="CL1183" s="11">
        <v>267710.0</v>
      </c>
      <c r="CM1183" s="11">
        <v>305440.0</v>
      </c>
      <c r="CN1183" s="11">
        <v>289540.0</v>
      </c>
      <c r="CO1183" s="11">
        <v>263470.0</v>
      </c>
      <c r="CP1183" s="11">
        <v>308710.0</v>
      </c>
      <c r="CQ1183" s="11">
        <v>74100.0</v>
      </c>
      <c r="CR1183" s="11">
        <v>90150.0</v>
      </c>
      <c r="CS1183" s="11">
        <v>85490.0</v>
      </c>
      <c r="CT1183" s="11">
        <v>75070.0</v>
      </c>
      <c r="CU1183" s="11">
        <v>92740.0</v>
      </c>
      <c r="CV1183" s="11">
        <v>98420.0</v>
      </c>
      <c r="CW1183" s="11"/>
      <c r="CX1183" s="12"/>
      <c r="CY1183" s="12"/>
      <c r="CZ1183" s="12"/>
      <c r="DA1183" s="12"/>
      <c r="DB1183" s="11">
        <v>98420.0</v>
      </c>
      <c r="DC1183" s="11">
        <v>116250.0</v>
      </c>
      <c r="DD1183" s="11">
        <v>109980.0</v>
      </c>
      <c r="DE1183" s="11">
        <v>96510.0</v>
      </c>
      <c r="DF1183" s="11">
        <v>140430.0</v>
      </c>
      <c r="DG1183" s="11">
        <v>171820.0</v>
      </c>
      <c r="DH1183" s="11">
        <v>166080.0</v>
      </c>
      <c r="DI1183" s="11">
        <v>144290.0</v>
      </c>
      <c r="DJ1183" s="11">
        <v>224210.0</v>
      </c>
      <c r="DK1183" s="12"/>
      <c r="DL1183" s="11"/>
      <c r="DM1183" s="11"/>
      <c r="DN1183" s="11"/>
      <c r="DO1183" s="12"/>
      <c r="DP1183" s="11">
        <v>32500.0</v>
      </c>
      <c r="DQ1183" s="11">
        <v>43200.0</v>
      </c>
      <c r="DR1183" s="11">
        <v>37040.0</v>
      </c>
      <c r="DS1183" s="11">
        <v>28900.0</v>
      </c>
      <c r="DT1183" s="11">
        <v>85890.0</v>
      </c>
      <c r="DU1183" s="13"/>
      <c r="DV1183" s="11">
        <v>1.0</v>
      </c>
      <c r="DW1183" s="11">
        <v>1.0</v>
      </c>
      <c r="DX1183" s="11">
        <v>1.0</v>
      </c>
      <c r="DY1183" s="11">
        <v>1.0</v>
      </c>
      <c r="DZ1183" s="11">
        <v>127030.0</v>
      </c>
      <c r="EA1183" s="11">
        <v>133470.0</v>
      </c>
      <c r="EB1183" s="11">
        <v>123410.0</v>
      </c>
      <c r="EC1183" s="11">
        <v>119100.0</v>
      </c>
      <c r="ED1183" s="11">
        <v>84430.0</v>
      </c>
      <c r="EE1183" s="14">
        <v>0.007</v>
      </c>
      <c r="EF1183" s="14">
        <v>0.111</v>
      </c>
      <c r="EG1183" s="14">
        <v>0.0</v>
      </c>
      <c r="EH1183" s="14">
        <v>0.065</v>
      </c>
    </row>
    <row r="1184">
      <c r="A1184" s="9">
        <f t="shared" si="2"/>
        <v>1182</v>
      </c>
      <c r="B1184" s="25" t="s">
        <v>1319</v>
      </c>
      <c r="C1184" s="12">
        <v>73400.0</v>
      </c>
      <c r="D1184" s="12">
        <v>69080.0</v>
      </c>
      <c r="E1184" s="12">
        <v>114290.0</v>
      </c>
      <c r="F1184" s="12">
        <v>135850.0</v>
      </c>
      <c r="G1184" s="12">
        <v>171930.0</v>
      </c>
      <c r="H1184" s="12">
        <v>148350.0</v>
      </c>
      <c r="I1184" s="12">
        <v>142920.0</v>
      </c>
      <c r="J1184" s="12">
        <v>21820.0</v>
      </c>
      <c r="K1184" s="12">
        <v>23600.0</v>
      </c>
      <c r="L1184" s="12">
        <v>31940.0</v>
      </c>
      <c r="M1184" s="12">
        <v>15380.0</v>
      </c>
      <c r="N1184" s="12">
        <v>12580.0</v>
      </c>
      <c r="O1184" s="12">
        <v>28320.0</v>
      </c>
      <c r="P1184" s="12">
        <v>30170.0</v>
      </c>
      <c r="Q1184" s="12">
        <v>29750.0</v>
      </c>
      <c r="R1184" s="12">
        <v>15850.0</v>
      </c>
      <c r="S1184" s="12">
        <v>15590.0</v>
      </c>
      <c r="T1184" s="12">
        <v>0.0</v>
      </c>
      <c r="U1184" s="12">
        <v>0.0</v>
      </c>
      <c r="V1184" s="12">
        <v>0.0</v>
      </c>
      <c r="W1184" s="12">
        <v>0.0</v>
      </c>
      <c r="X1184" s="12">
        <v>0.0</v>
      </c>
      <c r="Y1184" s="12">
        <v>-22790.0</v>
      </c>
      <c r="Z1184" s="12">
        <v>-15100.0</v>
      </c>
      <c r="AA1184" s="12">
        <v>-1530.0</v>
      </c>
      <c r="AB1184" s="12">
        <v>-2110.0</v>
      </c>
      <c r="AC1184" s="12">
        <v>-6660.0</v>
      </c>
      <c r="AD1184" s="12">
        <v>-20720.0</v>
      </c>
      <c r="AE1184" s="12">
        <v>14400.0</v>
      </c>
      <c r="AF1184" s="12">
        <v>-6330.0</v>
      </c>
      <c r="AG1184" s="12">
        <v>-6570.0</v>
      </c>
      <c r="AH1184" s="12">
        <v>4100.0</v>
      </c>
      <c r="AI1184" s="12">
        <v>8070.0</v>
      </c>
      <c r="AJ1184" s="12">
        <v>10430.0</v>
      </c>
      <c r="AK1184" s="12">
        <v>21010.0</v>
      </c>
      <c r="AL1184" s="12">
        <v>15630.0</v>
      </c>
      <c r="AM1184" s="12">
        <v>10300.0</v>
      </c>
      <c r="AN1184" s="12">
        <v>-19030.0</v>
      </c>
      <c r="AO1184" s="12">
        <v>1340.0</v>
      </c>
      <c r="AP1184" s="12">
        <v>0.0</v>
      </c>
      <c r="AQ1184" s="12">
        <v>-5930.0</v>
      </c>
      <c r="AR1184" s="12">
        <v>2720.0</v>
      </c>
      <c r="AS1184" s="12">
        <v>5380.0</v>
      </c>
      <c r="AT1184" s="12">
        <v>-3510.0</v>
      </c>
      <c r="AU1184" s="12">
        <v>14520.0</v>
      </c>
      <c r="AV1184" s="12">
        <v>5560.0</v>
      </c>
      <c r="AW1184" s="12">
        <v>14080.0</v>
      </c>
      <c r="AX1184" s="12">
        <v>-4940.0</v>
      </c>
      <c r="AY1184" s="12">
        <v>-8620.0</v>
      </c>
      <c r="AZ1184" s="12">
        <v>-9780.0</v>
      </c>
      <c r="BA1184" s="12">
        <v>-33510.0</v>
      </c>
      <c r="BB1184" s="12">
        <v>-25400.0</v>
      </c>
      <c r="BC1184" s="13">
        <v>0.0</v>
      </c>
      <c r="BD1184" s="12">
        <v>0.0</v>
      </c>
      <c r="BE1184" s="13">
        <v>0.0</v>
      </c>
      <c r="BF1184" s="13">
        <v>0.0</v>
      </c>
      <c r="BG1184" s="13">
        <v>0.0</v>
      </c>
      <c r="BH1184" s="12">
        <v>31810.0</v>
      </c>
      <c r="BI1184" s="12">
        <v>19790.0</v>
      </c>
      <c r="BJ1184" s="12">
        <v>44860.0</v>
      </c>
      <c r="BK1184" s="12">
        <v>47610.0</v>
      </c>
      <c r="BL1184" s="12">
        <v>53290.0</v>
      </c>
      <c r="BM1184" s="12">
        <v>20850.0</v>
      </c>
      <c r="BN1184" s="12">
        <v>20680.0</v>
      </c>
      <c r="BO1184" s="12">
        <v>15760.0</v>
      </c>
      <c r="BP1184" s="12">
        <v>12360.0</v>
      </c>
      <c r="BQ1184" s="12">
        <v>9090.0</v>
      </c>
      <c r="BR1184" s="12">
        <v>0.0</v>
      </c>
      <c r="BS1184" s="12">
        <v>0.0</v>
      </c>
      <c r="BT1184" s="12">
        <v>0.0</v>
      </c>
      <c r="BU1184" s="12">
        <v>0.0</v>
      </c>
      <c r="BV1184" s="12">
        <v>0.0</v>
      </c>
      <c r="BW1184" s="12">
        <v>58510.0</v>
      </c>
      <c r="BX1184" s="12">
        <v>46690.0</v>
      </c>
      <c r="BY1184" s="12">
        <v>100280.0</v>
      </c>
      <c r="BZ1184" s="12">
        <v>70390.0</v>
      </c>
      <c r="CA1184" s="12">
        <v>65250.0</v>
      </c>
      <c r="CB1184" s="12">
        <v>116950.0</v>
      </c>
      <c r="CC1184" s="12">
        <v>115520.0</v>
      </c>
      <c r="CD1184" s="12">
        <v>165300.0</v>
      </c>
      <c r="CE1184" s="12">
        <v>210490.0</v>
      </c>
      <c r="CF1184" s="12">
        <v>195390.0</v>
      </c>
      <c r="CG1184" s="12">
        <v>18600.0</v>
      </c>
      <c r="CH1184" s="12">
        <v>18600.0</v>
      </c>
      <c r="CI1184" s="12">
        <v>9400.0</v>
      </c>
      <c r="CJ1184" s="12">
        <v>9400.0</v>
      </c>
      <c r="CK1184" s="12">
        <v>8510.0</v>
      </c>
      <c r="CL1184" s="12">
        <v>246520.0</v>
      </c>
      <c r="CM1184" s="12">
        <v>249790.0</v>
      </c>
      <c r="CN1184" s="12">
        <v>327710.0</v>
      </c>
      <c r="CO1184" s="12">
        <v>344540.0</v>
      </c>
      <c r="CP1184" s="12">
        <v>287220.0</v>
      </c>
      <c r="CQ1184" s="12">
        <v>5510.0</v>
      </c>
      <c r="CR1184" s="12">
        <v>5320.0</v>
      </c>
      <c r="CS1184" s="12">
        <v>4100.0</v>
      </c>
      <c r="CT1184" s="12">
        <v>8480.0</v>
      </c>
      <c r="CU1184" s="12">
        <v>9260.0</v>
      </c>
      <c r="CV1184" s="12">
        <v>35480.0</v>
      </c>
      <c r="CW1184" s="12">
        <v>4810.0</v>
      </c>
      <c r="CX1184" s="13">
        <v>0.0</v>
      </c>
      <c r="CY1184" s="13">
        <v>0.0</v>
      </c>
      <c r="CZ1184" s="13">
        <v>0.0</v>
      </c>
      <c r="DA1184" s="12">
        <v>0.0</v>
      </c>
      <c r="DB1184" s="12">
        <v>35480.0</v>
      </c>
      <c r="DC1184" s="12">
        <v>42070.0</v>
      </c>
      <c r="DD1184" s="12">
        <v>87850.0</v>
      </c>
      <c r="DE1184" s="12">
        <v>37390.0</v>
      </c>
      <c r="DF1184" s="12">
        <v>99500.0</v>
      </c>
      <c r="DG1184" s="12">
        <v>64210.0</v>
      </c>
      <c r="DH1184" s="12">
        <v>140110.0</v>
      </c>
      <c r="DI1184" s="12">
        <v>156690.0</v>
      </c>
      <c r="DJ1184" s="12">
        <v>119620.0</v>
      </c>
      <c r="DK1184" s="12">
        <v>0.0</v>
      </c>
      <c r="DL1184" s="12">
        <v>0.0</v>
      </c>
      <c r="DM1184" s="12">
        <v>0.0</v>
      </c>
      <c r="DN1184" s="12">
        <v>0.0</v>
      </c>
      <c r="DO1184" s="12">
        <v>0.0</v>
      </c>
      <c r="DP1184" s="12">
        <v>62240.0</v>
      </c>
      <c r="DQ1184" s="12">
        <v>19110.0</v>
      </c>
      <c r="DR1184" s="12">
        <v>48480.0</v>
      </c>
      <c r="DS1184" s="12">
        <v>106860.0</v>
      </c>
      <c r="DT1184" s="12">
        <v>87560.0</v>
      </c>
      <c r="DU1184" s="12">
        <v>0.0</v>
      </c>
      <c r="DV1184" s="12">
        <v>0.0</v>
      </c>
      <c r="DW1184" s="12">
        <v>0.0</v>
      </c>
      <c r="DX1184" s="12">
        <v>0.0</v>
      </c>
      <c r="DY1184" s="12">
        <v>0.0</v>
      </c>
      <c r="DZ1184" s="12">
        <v>144980.0</v>
      </c>
      <c r="EA1184" s="12">
        <v>164420.0</v>
      </c>
      <c r="EB1184" s="12">
        <v>160220.0</v>
      </c>
      <c r="EC1184" s="12">
        <v>155340.0</v>
      </c>
      <c r="ED1184" s="12">
        <v>133990.0</v>
      </c>
      <c r="EE1184" s="17">
        <v>0.0</v>
      </c>
      <c r="EF1184" s="17">
        <v>0.0</v>
      </c>
      <c r="EG1184" s="17">
        <v>0.0</v>
      </c>
      <c r="EH1184" s="17">
        <v>-3.792</v>
      </c>
    </row>
    <row r="1185">
      <c r="A1185" s="9">
        <f t="shared" si="2"/>
        <v>1183</v>
      </c>
      <c r="B1185" s="25" t="s">
        <v>1320</v>
      </c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3"/>
      <c r="CY1185" s="13"/>
      <c r="CZ1185" s="13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3"/>
      <c r="DV1185" s="12"/>
      <c r="DW1185" s="12"/>
      <c r="DX1185" s="13"/>
      <c r="DY1185" s="13"/>
      <c r="DZ1185" s="12"/>
      <c r="EA1185" s="12"/>
      <c r="EB1185" s="12"/>
      <c r="EC1185" s="12"/>
      <c r="ED1185" s="12"/>
      <c r="EE1185" s="17"/>
      <c r="EF1185" s="17"/>
      <c r="EG1185" s="17"/>
      <c r="EH1185" s="17"/>
    </row>
    <row r="1186">
      <c r="A1186" s="9">
        <f t="shared" si="2"/>
        <v>1184</v>
      </c>
      <c r="B1186" s="10" t="s">
        <v>1321</v>
      </c>
      <c r="C1186" s="15">
        <v>420840.0</v>
      </c>
      <c r="D1186" s="15">
        <v>399520.0</v>
      </c>
      <c r="E1186" s="15">
        <v>224030.0</v>
      </c>
      <c r="F1186" s="15">
        <v>231200.0</v>
      </c>
      <c r="G1186" s="15">
        <v>393100.0</v>
      </c>
      <c r="H1186" s="15">
        <v>336600.0</v>
      </c>
      <c r="I1186" s="15">
        <v>296280.0</v>
      </c>
      <c r="J1186" s="15">
        <v>146390.0</v>
      </c>
      <c r="K1186" s="15">
        <v>171860.0</v>
      </c>
      <c r="L1186" s="15">
        <v>307090.0</v>
      </c>
      <c r="M1186" s="15">
        <v>262070.0</v>
      </c>
      <c r="N1186" s="15">
        <v>248460.0</v>
      </c>
      <c r="O1186" s="15">
        <v>230870.0</v>
      </c>
      <c r="P1186" s="15">
        <v>256610.0</v>
      </c>
      <c r="Q1186" s="15">
        <v>250110.0</v>
      </c>
      <c r="R1186" s="15">
        <v>214450.0</v>
      </c>
      <c r="S1186" s="15">
        <v>179190.0</v>
      </c>
      <c r="T1186" s="15">
        <v>156820.0</v>
      </c>
      <c r="U1186" s="15">
        <v>158340.0</v>
      </c>
      <c r="V1186" s="15">
        <v>149140.0</v>
      </c>
      <c r="W1186" s="15">
        <v>129840.0</v>
      </c>
      <c r="X1186" s="15">
        <v>111110.0</v>
      </c>
      <c r="Y1186" s="15">
        <v>-104540.0</v>
      </c>
      <c r="Z1186" s="15">
        <v>-86970.0</v>
      </c>
      <c r="AA1186" s="15">
        <v>52790.0</v>
      </c>
      <c r="AB1186" s="15">
        <v>33640.0</v>
      </c>
      <c r="AC1186" s="15">
        <v>-1540.0</v>
      </c>
      <c r="AD1186" s="15">
        <v>-87020.0</v>
      </c>
      <c r="AE1186" s="15">
        <v>-70630.0</v>
      </c>
      <c r="AF1186" s="15">
        <v>40990.0</v>
      </c>
      <c r="AG1186" s="15">
        <v>22640.0</v>
      </c>
      <c r="AH1186" s="15">
        <v>60230.0</v>
      </c>
      <c r="AI1186" s="15">
        <v>-43910.0</v>
      </c>
      <c r="AJ1186" s="15">
        <v>-44660.0</v>
      </c>
      <c r="AK1186" s="15">
        <v>112210.0</v>
      </c>
      <c r="AL1186" s="15">
        <v>97720.0</v>
      </c>
      <c r="AM1186" s="15">
        <v>106720.0</v>
      </c>
      <c r="AN1186" s="15">
        <v>-90420.0</v>
      </c>
      <c r="AO1186" s="15">
        <v>-157960.0</v>
      </c>
      <c r="AP1186" s="15">
        <v>-22860.0</v>
      </c>
      <c r="AQ1186" s="15">
        <v>6820.0</v>
      </c>
      <c r="AR1186" s="15">
        <v>211390.0</v>
      </c>
      <c r="AS1186" s="15">
        <v>137820.0</v>
      </c>
      <c r="AT1186" s="15">
        <v>87120.0</v>
      </c>
      <c r="AU1186" s="15">
        <v>117440.0</v>
      </c>
      <c r="AV1186" s="15">
        <v>92540.0</v>
      </c>
      <c r="AW1186" s="15">
        <v>76440.0</v>
      </c>
      <c r="AX1186" s="15">
        <v>-6470.0</v>
      </c>
      <c r="AY1186" s="15">
        <v>-11110.0</v>
      </c>
      <c r="AZ1186" s="15">
        <v>-9510.0</v>
      </c>
      <c r="BA1186" s="15">
        <v>-8560.0</v>
      </c>
      <c r="BB1186" s="15">
        <v>-6130.0</v>
      </c>
      <c r="BC1186" s="15">
        <v>0.0</v>
      </c>
      <c r="BD1186" s="15">
        <v>0.0</v>
      </c>
      <c r="BE1186" s="15">
        <v>0.0</v>
      </c>
      <c r="BF1186" s="15">
        <v>0.0</v>
      </c>
      <c r="BG1186" s="15">
        <v>0.0</v>
      </c>
      <c r="BH1186" s="15">
        <v>407660.0</v>
      </c>
      <c r="BI1186" s="15">
        <v>277760.0</v>
      </c>
      <c r="BJ1186" s="15">
        <v>329380.0</v>
      </c>
      <c r="BK1186" s="15">
        <v>172180.0</v>
      </c>
      <c r="BL1186" s="15">
        <v>287710.0</v>
      </c>
      <c r="BM1186" s="15">
        <v>228410.0</v>
      </c>
      <c r="BN1186" s="15">
        <v>227480.0</v>
      </c>
      <c r="BO1186" s="15">
        <v>25890.0</v>
      </c>
      <c r="BP1186" s="15">
        <v>21100.0</v>
      </c>
      <c r="BQ1186" s="15">
        <v>16410.0</v>
      </c>
      <c r="BR1186" s="15">
        <v>10090.0</v>
      </c>
      <c r="BS1186" s="15">
        <v>6770.0</v>
      </c>
      <c r="BT1186" s="15">
        <v>5160.0</v>
      </c>
      <c r="BU1186" s="15">
        <v>5630.0</v>
      </c>
      <c r="BV1186" s="15">
        <v>1080.0</v>
      </c>
      <c r="BW1186" s="15">
        <v>664680.0</v>
      </c>
      <c r="BX1186" s="15">
        <v>527750.0</v>
      </c>
      <c r="BY1186" s="15">
        <v>371740.0</v>
      </c>
      <c r="BZ1186" s="15">
        <v>216780.0</v>
      </c>
      <c r="CA1186" s="15">
        <v>315590.0</v>
      </c>
      <c r="CB1186" s="15">
        <v>81730.0</v>
      </c>
      <c r="CC1186" s="15">
        <v>57030.0</v>
      </c>
      <c r="CD1186" s="15">
        <v>54300.0</v>
      </c>
      <c r="CE1186" s="15">
        <v>58440.0</v>
      </c>
      <c r="CF1186" s="15">
        <v>56620.0</v>
      </c>
      <c r="CG1186" s="15">
        <v>183470.0</v>
      </c>
      <c r="CH1186" s="15">
        <v>207180.0</v>
      </c>
      <c r="CI1186" s="15">
        <v>209660.0</v>
      </c>
      <c r="CJ1186" s="15">
        <v>204790.0</v>
      </c>
      <c r="CK1186" s="15">
        <v>116900.0</v>
      </c>
      <c r="CL1186" s="15">
        <v>1340000.0</v>
      </c>
      <c r="CM1186" s="15">
        <v>1360000.0</v>
      </c>
      <c r="CN1186" s="15">
        <v>891070.0</v>
      </c>
      <c r="CO1186" s="15">
        <v>783500.0</v>
      </c>
      <c r="CP1186" s="15">
        <v>718020.0</v>
      </c>
      <c r="CQ1186" s="15">
        <v>9550.0</v>
      </c>
      <c r="CR1186" s="15">
        <v>7390.0</v>
      </c>
      <c r="CS1186" s="15">
        <v>9610.0</v>
      </c>
      <c r="CT1186" s="15">
        <v>9790.0</v>
      </c>
      <c r="CU1186" s="15">
        <v>4100.0</v>
      </c>
      <c r="CV1186" s="15">
        <v>86180.0</v>
      </c>
      <c r="CW1186" s="15">
        <v>6360.0</v>
      </c>
      <c r="CX1186" s="15">
        <v>0.0</v>
      </c>
      <c r="CY1186" s="16">
        <v>0.0</v>
      </c>
      <c r="CZ1186" s="16">
        <v>0.0</v>
      </c>
      <c r="DA1186" s="15">
        <v>0.0</v>
      </c>
      <c r="DB1186" s="15">
        <v>86180.0</v>
      </c>
      <c r="DC1186" s="15">
        <v>69290.0</v>
      </c>
      <c r="DD1186" s="15">
        <v>132840.0</v>
      </c>
      <c r="DE1186" s="15">
        <v>51300.0</v>
      </c>
      <c r="DF1186" s="15">
        <v>368070.0</v>
      </c>
      <c r="DG1186" s="15">
        <v>349040.0</v>
      </c>
      <c r="DH1186" s="15">
        <v>319490.0</v>
      </c>
      <c r="DI1186" s="15">
        <v>230710.0</v>
      </c>
      <c r="DJ1186" s="15">
        <v>191490.0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188680.0</v>
      </c>
      <c r="DQ1186" s="15">
        <v>178230.0</v>
      </c>
      <c r="DR1186" s="15">
        <v>172710.0</v>
      </c>
      <c r="DS1186" s="15">
        <v>164200.0</v>
      </c>
      <c r="DT1186" s="15">
        <v>158040.0</v>
      </c>
      <c r="DU1186" s="16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970920.0</v>
      </c>
      <c r="EA1186" s="15">
        <v>1010000.0</v>
      </c>
      <c r="EB1186" s="15">
        <v>571580.0</v>
      </c>
      <c r="EC1186" s="15">
        <v>552780.0</v>
      </c>
      <c r="ED1186" s="15">
        <v>526530.0</v>
      </c>
      <c r="EE1186" s="17">
        <v>0.034</v>
      </c>
      <c r="EF1186" s="17">
        <v>0.01</v>
      </c>
      <c r="EG1186" s="17">
        <v>0.391</v>
      </c>
      <c r="EH1186" s="17">
        <v>0.153</v>
      </c>
    </row>
    <row r="1187">
      <c r="A1187" s="9">
        <f t="shared" si="2"/>
        <v>1185</v>
      </c>
      <c r="B1187" s="22" t="s">
        <v>1322</v>
      </c>
      <c r="C1187" s="11">
        <v>114570.0</v>
      </c>
      <c r="D1187" s="11">
        <v>67050.0</v>
      </c>
      <c r="E1187" s="11">
        <v>61300.0</v>
      </c>
      <c r="F1187" s="11">
        <v>63390.0</v>
      </c>
      <c r="G1187" s="11">
        <v>57300.0</v>
      </c>
      <c r="H1187" s="11">
        <v>53280.0</v>
      </c>
      <c r="I1187" s="11">
        <v>55350.0</v>
      </c>
      <c r="J1187" s="11">
        <v>2840.0</v>
      </c>
      <c r="K1187" s="11">
        <v>-1580.0</v>
      </c>
      <c r="L1187" s="11">
        <v>3700.0</v>
      </c>
      <c r="M1187" s="11">
        <v>6750.0</v>
      </c>
      <c r="N1187" s="11">
        <v>8940.0</v>
      </c>
      <c r="O1187" s="11">
        <v>36930.0</v>
      </c>
      <c r="P1187" s="11">
        <v>29820.0</v>
      </c>
      <c r="Q1187" s="11">
        <v>29620.0</v>
      </c>
      <c r="R1187" s="11">
        <v>26960.0</v>
      </c>
      <c r="S1187" s="11">
        <v>24040.0</v>
      </c>
      <c r="T1187" s="11">
        <v>6890.0</v>
      </c>
      <c r="U1187" s="11">
        <v>6740.0</v>
      </c>
      <c r="V1187" s="11">
        <v>6320.0</v>
      </c>
      <c r="W1187" s="11">
        <v>5840.0</v>
      </c>
      <c r="X1187" s="11">
        <v>4960.0</v>
      </c>
      <c r="Y1187" s="11">
        <v>-34530.0</v>
      </c>
      <c r="Z1187" s="11">
        <v>-32440.0</v>
      </c>
      <c r="AA1187" s="12"/>
      <c r="AB1187" s="12"/>
      <c r="AC1187" s="12"/>
      <c r="AD1187" s="11">
        <v>-34130.0</v>
      </c>
      <c r="AE1187" s="11">
        <v>-32130.0</v>
      </c>
      <c r="AF1187" s="11">
        <v>-25920.0</v>
      </c>
      <c r="AG1187" s="11">
        <v>-19400.0</v>
      </c>
      <c r="AH1187" s="11">
        <v>-14420.0</v>
      </c>
      <c r="AI1187" s="11">
        <v>-31440.0</v>
      </c>
      <c r="AJ1187" s="11">
        <v>-30760.0</v>
      </c>
      <c r="AK1187" s="11">
        <v>-25410.0</v>
      </c>
      <c r="AL1187" s="11">
        <v>-19450.0</v>
      </c>
      <c r="AM1187" s="11">
        <v>-14280.0</v>
      </c>
      <c r="AN1187" s="11">
        <v>-34130.0</v>
      </c>
      <c r="AO1187" s="11">
        <v>-32130.0</v>
      </c>
      <c r="AP1187" s="11">
        <v>-25920.0</v>
      </c>
      <c r="AQ1187" s="11">
        <v>-19800.0</v>
      </c>
      <c r="AR1187" s="11">
        <v>-14420.0</v>
      </c>
      <c r="AS1187" s="11">
        <v>-25450.0</v>
      </c>
      <c r="AT1187" s="11">
        <v>-20420.0</v>
      </c>
      <c r="AU1187" s="11">
        <v>-21110.0</v>
      </c>
      <c r="AV1187" s="11">
        <v>-12450.0</v>
      </c>
      <c r="AW1187" s="11">
        <v>-16240.0</v>
      </c>
      <c r="AX1187" s="11">
        <v>-1340.0</v>
      </c>
      <c r="AY1187" s="11">
        <v>-994.0</v>
      </c>
      <c r="AZ1187" s="11">
        <v>-1680.0</v>
      </c>
      <c r="BA1187" s="11">
        <v>-355.0</v>
      </c>
      <c r="BB1187" s="11">
        <v>-815.0</v>
      </c>
      <c r="BC1187" s="12"/>
      <c r="BD1187" s="12"/>
      <c r="BE1187" s="12"/>
      <c r="BF1187" s="12"/>
      <c r="BG1187" s="12"/>
      <c r="BH1187" s="11">
        <v>26040.0</v>
      </c>
      <c r="BI1187" s="11">
        <v>33530.0</v>
      </c>
      <c r="BJ1187" s="11">
        <v>33060.0</v>
      </c>
      <c r="BK1187" s="11">
        <v>57940.0</v>
      </c>
      <c r="BL1187" s="11">
        <v>70680.0</v>
      </c>
      <c r="BM1187" s="11">
        <v>4200.0</v>
      </c>
      <c r="BN1187" s="11">
        <v>7350.0</v>
      </c>
      <c r="BO1187" s="11">
        <v>6360.0</v>
      </c>
      <c r="BP1187" s="11">
        <v>6390.0</v>
      </c>
      <c r="BQ1187" s="11">
        <v>5050.0</v>
      </c>
      <c r="BR1187" s="11">
        <v>3650.0</v>
      </c>
      <c r="BS1187" s="11">
        <v>4040.0</v>
      </c>
      <c r="BT1187" s="11">
        <v>7640.0</v>
      </c>
      <c r="BU1187" s="11">
        <v>12140.0</v>
      </c>
      <c r="BV1187" s="11">
        <v>7870.0</v>
      </c>
      <c r="BW1187" s="11">
        <v>36870.0</v>
      </c>
      <c r="BX1187" s="11">
        <v>46830.0</v>
      </c>
      <c r="BY1187" s="11">
        <v>48830.0</v>
      </c>
      <c r="BZ1187" s="11">
        <v>78510.0</v>
      </c>
      <c r="CA1187" s="11">
        <v>84630.0</v>
      </c>
      <c r="CB1187" s="11">
        <v>5650.0</v>
      </c>
      <c r="CC1187" s="11">
        <v>2640.0</v>
      </c>
      <c r="CD1187" s="11">
        <v>2550.0</v>
      </c>
      <c r="CE1187" s="11">
        <v>1390.0</v>
      </c>
      <c r="CF1187" s="11">
        <v>1650.0</v>
      </c>
      <c r="CG1187" s="11">
        <v>921.0</v>
      </c>
      <c r="CH1187" s="11">
        <v>921.0</v>
      </c>
      <c r="CI1187" s="11">
        <v>921.0</v>
      </c>
      <c r="CJ1187" s="11">
        <v>921.0</v>
      </c>
      <c r="CK1187" s="11">
        <v>921.0</v>
      </c>
      <c r="CL1187" s="11">
        <v>44320.0</v>
      </c>
      <c r="CM1187" s="11">
        <v>52560.0</v>
      </c>
      <c r="CN1187" s="11">
        <v>58780.0</v>
      </c>
      <c r="CO1187" s="11">
        <v>83150.0</v>
      </c>
      <c r="CP1187" s="11">
        <v>87820.0</v>
      </c>
      <c r="CQ1187" s="11">
        <v>3020.0</v>
      </c>
      <c r="CR1187" s="11">
        <v>4490.0</v>
      </c>
      <c r="CS1187" s="11">
        <v>4220.0</v>
      </c>
      <c r="CT1187" s="11">
        <v>5860.0</v>
      </c>
      <c r="CU1187" s="11">
        <v>4000.0</v>
      </c>
      <c r="CV1187" s="11">
        <v>12370.0</v>
      </c>
      <c r="CW1187" s="11">
        <v>2260.0</v>
      </c>
      <c r="CX1187" s="12"/>
      <c r="CY1187" s="12"/>
      <c r="CZ1187" s="12"/>
      <c r="DA1187" s="12"/>
      <c r="DB1187" s="11">
        <v>12370.0</v>
      </c>
      <c r="DC1187" s="11">
        <v>13200.0</v>
      </c>
      <c r="DD1187" s="11">
        <v>9140.0</v>
      </c>
      <c r="DE1187" s="11">
        <v>10150.0</v>
      </c>
      <c r="DF1187" s="11">
        <v>24000.0</v>
      </c>
      <c r="DG1187" s="11">
        <v>25280.0</v>
      </c>
      <c r="DH1187" s="11">
        <v>25870.0</v>
      </c>
      <c r="DI1187" s="11">
        <v>30200.0</v>
      </c>
      <c r="DJ1187" s="11">
        <v>25500.0</v>
      </c>
      <c r="DK1187" s="12"/>
      <c r="DL1187" s="12"/>
      <c r="DM1187" s="12"/>
      <c r="DN1187" s="12"/>
      <c r="DO1187" s="12"/>
      <c r="DP1187" s="11">
        <v>1780.0</v>
      </c>
      <c r="DQ1187" s="12"/>
      <c r="DR1187" s="12"/>
      <c r="DS1187" s="12"/>
      <c r="DT1187" s="12"/>
      <c r="DU1187" s="13"/>
      <c r="DV1187" s="12"/>
      <c r="DW1187" s="12"/>
      <c r="DX1187" s="13"/>
      <c r="DY1187" s="13"/>
      <c r="DZ1187" s="11">
        <v>20320.0</v>
      </c>
      <c r="EA1187" s="11">
        <v>27280.0</v>
      </c>
      <c r="EB1187" s="11">
        <v>32910.0</v>
      </c>
      <c r="EC1187" s="11">
        <v>52960.0</v>
      </c>
      <c r="ED1187" s="11">
        <v>62320.0</v>
      </c>
      <c r="EE1187" s="14">
        <v>0.184</v>
      </c>
      <c r="EF1187" s="14">
        <v>0.378</v>
      </c>
      <c r="EG1187" s="14">
        <v>0.357</v>
      </c>
      <c r="EH1187" s="14">
        <v>0.173</v>
      </c>
    </row>
    <row r="1188">
      <c r="A1188" s="9">
        <f t="shared" si="2"/>
        <v>1186</v>
      </c>
      <c r="B1188" s="22" t="s">
        <v>1323</v>
      </c>
      <c r="C1188" s="11">
        <v>2600.0</v>
      </c>
      <c r="D1188" s="11">
        <v>4020.0</v>
      </c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3"/>
      <c r="DV1188" s="12"/>
      <c r="DW1188" s="12"/>
      <c r="DX1188" s="13"/>
      <c r="DY1188" s="13"/>
      <c r="DZ1188" s="12"/>
      <c r="EA1188" s="12"/>
      <c r="EB1188" s="12"/>
      <c r="EC1188" s="12"/>
      <c r="ED1188" s="12"/>
      <c r="EE1188" s="14">
        <v>0.622</v>
      </c>
      <c r="EF1188" s="23"/>
      <c r="EG1188" s="14">
        <v>-4.125</v>
      </c>
      <c r="EH1188" s="23"/>
    </row>
    <row r="1189">
      <c r="A1189" s="9">
        <f t="shared" si="2"/>
        <v>1187</v>
      </c>
      <c r="B1189" s="10" t="s">
        <v>1324</v>
      </c>
      <c r="C1189" s="11">
        <v>1200000.0</v>
      </c>
      <c r="D1189" s="11">
        <v>1100000.0</v>
      </c>
      <c r="E1189" s="11">
        <v>1050000.0</v>
      </c>
      <c r="F1189" s="11">
        <v>1000000.0</v>
      </c>
      <c r="G1189" s="11">
        <v>986920.0</v>
      </c>
      <c r="H1189" s="11">
        <v>1010000.0</v>
      </c>
      <c r="I1189" s="11">
        <v>1040000.0</v>
      </c>
      <c r="J1189" s="11">
        <v>249550.0</v>
      </c>
      <c r="K1189" s="11">
        <v>244270.0</v>
      </c>
      <c r="L1189" s="11">
        <v>237460.0</v>
      </c>
      <c r="M1189" s="11">
        <v>254770.0</v>
      </c>
      <c r="N1189" s="11">
        <v>196360.0</v>
      </c>
      <c r="O1189" s="11">
        <v>149240.0</v>
      </c>
      <c r="P1189" s="11">
        <v>143430.0</v>
      </c>
      <c r="Q1189" s="11">
        <v>138720.0</v>
      </c>
      <c r="R1189" s="11">
        <v>157570.0</v>
      </c>
      <c r="S1189" s="11">
        <v>139550.0</v>
      </c>
      <c r="T1189" s="12"/>
      <c r="U1189" s="12"/>
      <c r="V1189" s="12"/>
      <c r="W1189" s="12"/>
      <c r="X1189" s="12"/>
      <c r="Y1189" s="11">
        <v>87840.0</v>
      </c>
      <c r="Z1189" s="11">
        <v>93970.0</v>
      </c>
      <c r="AA1189" s="11">
        <v>92850.0</v>
      </c>
      <c r="AB1189" s="11">
        <v>69060.0</v>
      </c>
      <c r="AC1189" s="11">
        <v>45250.0</v>
      </c>
      <c r="AD1189" s="11">
        <v>84760.0</v>
      </c>
      <c r="AE1189" s="11">
        <v>79950.0</v>
      </c>
      <c r="AF1189" s="11">
        <v>77910.0</v>
      </c>
      <c r="AG1189" s="11">
        <v>49980.0</v>
      </c>
      <c r="AH1189" s="11">
        <v>37100.0</v>
      </c>
      <c r="AI1189" s="11">
        <v>120260.0</v>
      </c>
      <c r="AJ1189" s="11">
        <v>121210.0</v>
      </c>
      <c r="AK1189" s="11">
        <v>120430.0</v>
      </c>
      <c r="AL1189" s="11">
        <v>121310.0</v>
      </c>
      <c r="AM1189" s="11">
        <v>87360.0</v>
      </c>
      <c r="AN1189" s="11">
        <v>65090.0</v>
      </c>
      <c r="AO1189" s="11">
        <v>63810.0</v>
      </c>
      <c r="AP1189" s="11">
        <v>62970.0</v>
      </c>
      <c r="AQ1189" s="11">
        <v>33720.0</v>
      </c>
      <c r="AR1189" s="11">
        <v>23480.0</v>
      </c>
      <c r="AS1189" s="11">
        <v>128700.0</v>
      </c>
      <c r="AT1189" s="11">
        <v>97550.0</v>
      </c>
      <c r="AU1189" s="11">
        <v>70070.0</v>
      </c>
      <c r="AV1189" s="11">
        <v>122680.0</v>
      </c>
      <c r="AW1189" s="11">
        <v>86680.0</v>
      </c>
      <c r="AX1189" s="11">
        <v>-11180.0</v>
      </c>
      <c r="AY1189" s="11">
        <v>-12460.0</v>
      </c>
      <c r="AZ1189" s="11">
        <v>-11400.0</v>
      </c>
      <c r="BA1189" s="11">
        <v>-10780.0</v>
      </c>
      <c r="BB1189" s="11">
        <v>-12370.0</v>
      </c>
      <c r="BC1189" s="13"/>
      <c r="BD1189" s="13"/>
      <c r="BE1189" s="13"/>
      <c r="BF1189" s="13"/>
      <c r="BG1189" s="13"/>
      <c r="BH1189" s="11">
        <v>191360.0</v>
      </c>
      <c r="BI1189" s="11">
        <v>297010.0</v>
      </c>
      <c r="BJ1189" s="11">
        <v>222280.0</v>
      </c>
      <c r="BK1189" s="11">
        <v>170180.0</v>
      </c>
      <c r="BL1189" s="11">
        <v>68860.0</v>
      </c>
      <c r="BM1189" s="11">
        <v>147520.0</v>
      </c>
      <c r="BN1189" s="11">
        <v>140280.0</v>
      </c>
      <c r="BO1189" s="11">
        <v>145390.0</v>
      </c>
      <c r="BP1189" s="11">
        <v>124070.0</v>
      </c>
      <c r="BQ1189" s="11">
        <v>164970.0</v>
      </c>
      <c r="BR1189" s="11">
        <v>78480.0</v>
      </c>
      <c r="BS1189" s="11">
        <v>98910.0</v>
      </c>
      <c r="BT1189" s="11">
        <v>86370.0</v>
      </c>
      <c r="BU1189" s="11">
        <v>89610.0</v>
      </c>
      <c r="BV1189" s="11">
        <v>107060.0</v>
      </c>
      <c r="BW1189" s="11">
        <v>437100.0</v>
      </c>
      <c r="BX1189" s="11">
        <v>544550.0</v>
      </c>
      <c r="BY1189" s="11">
        <v>462760.0</v>
      </c>
      <c r="BZ1189" s="11">
        <v>391200.0</v>
      </c>
      <c r="CA1189" s="11">
        <v>351420.0</v>
      </c>
      <c r="CB1189" s="11">
        <v>123070.0</v>
      </c>
      <c r="CC1189" s="11">
        <v>95830.0</v>
      </c>
      <c r="CD1189" s="11">
        <v>97100.0</v>
      </c>
      <c r="CE1189" s="11">
        <v>108300.0</v>
      </c>
      <c r="CF1189" s="11">
        <v>118930.0</v>
      </c>
      <c r="CG1189" s="11">
        <v>329710.0</v>
      </c>
      <c r="CH1189" s="11">
        <v>323670.0</v>
      </c>
      <c r="CI1189" s="11">
        <v>321070.0</v>
      </c>
      <c r="CJ1189" s="11">
        <v>304030.0</v>
      </c>
      <c r="CK1189" s="11">
        <v>292390.0</v>
      </c>
      <c r="CL1189" s="11">
        <v>984450.0</v>
      </c>
      <c r="CM1189" s="11">
        <v>1080000.0</v>
      </c>
      <c r="CN1189" s="11">
        <v>1010000.0</v>
      </c>
      <c r="CO1189" s="11">
        <v>956800.0</v>
      </c>
      <c r="CP1189" s="11">
        <v>889770.0</v>
      </c>
      <c r="CQ1189" s="11">
        <v>83140.0</v>
      </c>
      <c r="CR1189" s="11">
        <v>79140.0</v>
      </c>
      <c r="CS1189" s="11">
        <v>82390.0</v>
      </c>
      <c r="CT1189" s="11">
        <v>69940.0</v>
      </c>
      <c r="CU1189" s="11">
        <v>89200.0</v>
      </c>
      <c r="CV1189" s="11">
        <v>229200.0</v>
      </c>
      <c r="CW1189" s="11">
        <v>8310.0</v>
      </c>
      <c r="CX1189" s="11"/>
      <c r="CY1189" s="11"/>
      <c r="CZ1189" s="11"/>
      <c r="DA1189" s="11"/>
      <c r="DB1189" s="11">
        <v>229200.0</v>
      </c>
      <c r="DC1189" s="11">
        <v>392870.0</v>
      </c>
      <c r="DD1189" s="11">
        <v>171030.0</v>
      </c>
      <c r="DE1189" s="11">
        <v>152090.0</v>
      </c>
      <c r="DF1189" s="11">
        <v>310490.0</v>
      </c>
      <c r="DG1189" s="11">
        <v>485910.0</v>
      </c>
      <c r="DH1189" s="11">
        <v>483250.0</v>
      </c>
      <c r="DI1189" s="11">
        <v>495920.0</v>
      </c>
      <c r="DJ1189" s="11">
        <v>479690.0</v>
      </c>
      <c r="DK1189" s="11"/>
      <c r="DL1189" s="11"/>
      <c r="DM1189" s="11"/>
      <c r="DN1189" s="11"/>
      <c r="DO1189" s="11"/>
      <c r="DP1189" s="11">
        <v>19670.0</v>
      </c>
      <c r="DQ1189" s="11">
        <v>1600.0</v>
      </c>
      <c r="DR1189" s="11">
        <v>209620.0</v>
      </c>
      <c r="DS1189" s="11">
        <v>209240.0</v>
      </c>
      <c r="DT1189" s="11">
        <v>208880.0</v>
      </c>
      <c r="DU1189" s="13"/>
      <c r="DV1189" s="12"/>
      <c r="DW1189" s="12"/>
      <c r="DX1189" s="13"/>
      <c r="DY1189" s="13"/>
      <c r="DZ1189" s="11">
        <v>673960.0</v>
      </c>
      <c r="EA1189" s="11">
        <v>596690.0</v>
      </c>
      <c r="EB1189" s="11">
        <v>531720.0</v>
      </c>
      <c r="EC1189" s="11">
        <v>460880.0</v>
      </c>
      <c r="ED1189" s="11">
        <v>410090.0</v>
      </c>
      <c r="EE1189" s="23">
        <v>0.1</v>
      </c>
      <c r="EF1189" s="23">
        <v>0.108333333</v>
      </c>
      <c r="EG1189" s="14">
        <v>0.237</v>
      </c>
      <c r="EH1189" s="23">
        <v>0.12325</v>
      </c>
    </row>
    <row r="1190">
      <c r="A1190" s="9">
        <f t="shared" si="2"/>
        <v>1188</v>
      </c>
      <c r="B1190" s="10" t="s">
        <v>1325</v>
      </c>
      <c r="C1190" s="11">
        <v>6650000.0</v>
      </c>
      <c r="D1190" s="11">
        <v>6330000.0</v>
      </c>
      <c r="E1190" s="11">
        <v>6690000.0</v>
      </c>
      <c r="F1190" s="11">
        <v>6660000.0</v>
      </c>
      <c r="G1190" s="11">
        <v>6310000.0</v>
      </c>
      <c r="H1190" s="11">
        <v>5890000.0</v>
      </c>
      <c r="I1190" s="11">
        <v>6320000.0</v>
      </c>
      <c r="J1190" s="11">
        <v>3260000.0</v>
      </c>
      <c r="K1190" s="11">
        <v>3270000.0</v>
      </c>
      <c r="L1190" s="11">
        <v>2980000.0</v>
      </c>
      <c r="M1190" s="11">
        <v>2770000.0</v>
      </c>
      <c r="N1190" s="11">
        <v>2970000.0</v>
      </c>
      <c r="O1190" s="11">
        <v>1920000.0</v>
      </c>
      <c r="P1190" s="11">
        <v>1960000.0</v>
      </c>
      <c r="Q1190" s="11">
        <v>1940000.0</v>
      </c>
      <c r="R1190" s="11">
        <v>1790000.0</v>
      </c>
      <c r="S1190" s="11">
        <v>1810000.0</v>
      </c>
      <c r="T1190" s="11">
        <v>378900.0</v>
      </c>
      <c r="U1190" s="11">
        <v>371800.0</v>
      </c>
      <c r="V1190" s="11">
        <v>348200.0</v>
      </c>
      <c r="W1190" s="11">
        <v>319300.0</v>
      </c>
      <c r="X1190" s="11">
        <v>307300.0</v>
      </c>
      <c r="Y1190" s="11">
        <v>976800.0</v>
      </c>
      <c r="Z1190" s="11">
        <v>90900.0</v>
      </c>
      <c r="AA1190" s="11">
        <v>1000000.0</v>
      </c>
      <c r="AB1190" s="11">
        <v>992000.0</v>
      </c>
      <c r="AC1190" s="11">
        <v>1190000.0</v>
      </c>
      <c r="AD1190" s="11">
        <v>901000.0</v>
      </c>
      <c r="AE1190" s="11">
        <v>1330000.0</v>
      </c>
      <c r="AF1190" s="11">
        <v>1040000.0</v>
      </c>
      <c r="AG1190" s="11">
        <v>943100.0</v>
      </c>
      <c r="AH1190" s="11">
        <v>1130000.0</v>
      </c>
      <c r="AI1190" s="11">
        <v>1500000.0</v>
      </c>
      <c r="AJ1190" s="11">
        <v>1470000.0</v>
      </c>
      <c r="AK1190" s="11">
        <v>1210000.0</v>
      </c>
      <c r="AL1190" s="11">
        <v>1160000.0</v>
      </c>
      <c r="AM1190" s="11">
        <v>1320000.0</v>
      </c>
      <c r="AN1190" s="11">
        <v>695100.0</v>
      </c>
      <c r="AO1190" s="11">
        <v>535000.0</v>
      </c>
      <c r="AP1190" s="11">
        <v>824800.0</v>
      </c>
      <c r="AQ1190" s="11">
        <v>729000.0</v>
      </c>
      <c r="AR1190" s="11">
        <v>826900.0</v>
      </c>
      <c r="AS1190" s="11">
        <v>1180000.0</v>
      </c>
      <c r="AT1190" s="11">
        <v>1300000.0</v>
      </c>
      <c r="AU1190" s="11">
        <v>1030000.0</v>
      </c>
      <c r="AV1190" s="11">
        <v>947300.0</v>
      </c>
      <c r="AW1190" s="11">
        <v>1190000.0</v>
      </c>
      <c r="AX1190" s="11">
        <v>-132800.0</v>
      </c>
      <c r="AY1190" s="11">
        <v>-125500.0</v>
      </c>
      <c r="AZ1190" s="11">
        <v>-141700.0</v>
      </c>
      <c r="BA1190" s="11">
        <v>-116900.0</v>
      </c>
      <c r="BB1190" s="11">
        <v>-122900.0</v>
      </c>
      <c r="BC1190" s="11">
        <v>-459800.0</v>
      </c>
      <c r="BD1190" s="11">
        <v>-440800.0</v>
      </c>
      <c r="BE1190" s="11">
        <v>-390700.0</v>
      </c>
      <c r="BF1190" s="11">
        <v>-378200.0</v>
      </c>
      <c r="BG1190" s="11">
        <v>-350100.0</v>
      </c>
      <c r="BH1190" s="11">
        <v>1060000.0</v>
      </c>
      <c r="BI1190" s="11">
        <v>909700.0</v>
      </c>
      <c r="BJ1190" s="11">
        <v>2540000.0</v>
      </c>
      <c r="BK1190" s="11">
        <v>2430000.0</v>
      </c>
      <c r="BL1190" s="11">
        <v>2150000.0</v>
      </c>
      <c r="BM1190" s="11">
        <v>1180000.0</v>
      </c>
      <c r="BN1190" s="11">
        <v>1190000.0</v>
      </c>
      <c r="BO1190" s="11">
        <v>1140000.0</v>
      </c>
      <c r="BP1190" s="11">
        <v>1080000.0</v>
      </c>
      <c r="BQ1190" s="11">
        <v>1040000.0</v>
      </c>
      <c r="BR1190" s="11">
        <v>575700.0</v>
      </c>
      <c r="BS1190" s="11">
        <v>581600.0</v>
      </c>
      <c r="BT1190" s="11">
        <v>558700.0</v>
      </c>
      <c r="BU1190" s="11">
        <v>526600.0</v>
      </c>
      <c r="BV1190" s="11">
        <v>535600.0</v>
      </c>
      <c r="BW1190" s="11">
        <v>2990000.0</v>
      </c>
      <c r="BX1190" s="11">
        <v>2830000.0</v>
      </c>
      <c r="BY1190" s="11">
        <v>4420000.0</v>
      </c>
      <c r="BZ1190" s="11">
        <v>4190000.0</v>
      </c>
      <c r="CA1190" s="11">
        <v>4050000.0</v>
      </c>
      <c r="CB1190" s="11">
        <v>571900.0</v>
      </c>
      <c r="CC1190" s="11">
        <v>576800.0</v>
      </c>
      <c r="CD1190" s="11">
        <v>583900.0</v>
      </c>
      <c r="CE1190" s="11">
        <v>578300.0</v>
      </c>
      <c r="CF1190" s="11">
        <v>605600.0</v>
      </c>
      <c r="CG1190" s="11">
        <v>1070000.0</v>
      </c>
      <c r="CH1190" s="11">
        <v>1080000.0</v>
      </c>
      <c r="CI1190" s="11">
        <v>1080000.0</v>
      </c>
      <c r="CJ1190" s="11">
        <v>1070000.0</v>
      </c>
      <c r="CK1190" s="11">
        <v>1030000.0</v>
      </c>
      <c r="CL1190" s="11">
        <v>6220000.0</v>
      </c>
      <c r="CM1190" s="11">
        <v>6390000.0</v>
      </c>
      <c r="CN1190" s="11">
        <v>7280000.0</v>
      </c>
      <c r="CO1190" s="11">
        <v>7230000.0</v>
      </c>
      <c r="CP1190" s="11">
        <v>6400000.0</v>
      </c>
      <c r="CQ1190" s="11">
        <v>694600.0</v>
      </c>
      <c r="CR1190" s="11">
        <v>713400.0</v>
      </c>
      <c r="CS1190" s="11">
        <v>623200.0</v>
      </c>
      <c r="CT1190" s="11">
        <v>543100.0</v>
      </c>
      <c r="CU1190" s="11">
        <v>521700.0</v>
      </c>
      <c r="CV1190" s="11">
        <v>1940000.0</v>
      </c>
      <c r="CW1190" s="12"/>
      <c r="CX1190" s="11">
        <v>551000.0</v>
      </c>
      <c r="CY1190" s="11">
        <v>350400.0</v>
      </c>
      <c r="CZ1190" s="11">
        <v>448600.0</v>
      </c>
      <c r="DA1190" s="12"/>
      <c r="DB1190" s="11">
        <v>1940000.0</v>
      </c>
      <c r="DC1190" s="11">
        <v>2240000.0</v>
      </c>
      <c r="DD1190" s="11">
        <v>2150000.0</v>
      </c>
      <c r="DE1190" s="11">
        <v>1980000.0</v>
      </c>
      <c r="DF1190" s="11">
        <v>5820000.0</v>
      </c>
      <c r="DG1190" s="11">
        <v>4770000.0</v>
      </c>
      <c r="DH1190" s="11">
        <v>4620000.0</v>
      </c>
      <c r="DI1190" s="11">
        <v>5240000.0</v>
      </c>
      <c r="DJ1190" s="11">
        <v>4150000.0</v>
      </c>
      <c r="DK1190" s="11">
        <v>804500.0</v>
      </c>
      <c r="DL1190" s="11">
        <v>1290000.0</v>
      </c>
      <c r="DM1190" s="11">
        <v>263000.0</v>
      </c>
      <c r="DN1190" s="12"/>
      <c r="DO1190" s="12"/>
      <c r="DP1190" s="11">
        <v>1960000.0</v>
      </c>
      <c r="DQ1190" s="11">
        <v>1230000.0</v>
      </c>
      <c r="DR1190" s="11">
        <v>1240000.0</v>
      </c>
      <c r="DS1190" s="11">
        <v>1520000.0</v>
      </c>
      <c r="DT1190" s="11">
        <v>1500000.0</v>
      </c>
      <c r="DU1190" s="13"/>
      <c r="DV1190" s="13"/>
      <c r="DW1190" s="12"/>
      <c r="DX1190" s="12"/>
      <c r="DY1190" s="12"/>
      <c r="DZ1190" s="11">
        <v>404200.0</v>
      </c>
      <c r="EA1190" s="11">
        <v>1620000.0</v>
      </c>
      <c r="EB1190" s="11">
        <v>2660000.0</v>
      </c>
      <c r="EC1190" s="11">
        <v>1990000.0</v>
      </c>
      <c r="ED1190" s="11">
        <v>2260000.0</v>
      </c>
      <c r="EE1190" s="14">
        <v>0.019</v>
      </c>
      <c r="EF1190" s="14">
        <v>0.083</v>
      </c>
      <c r="EG1190" s="14">
        <v>0.104</v>
      </c>
      <c r="EH1190" s="14">
        <v>0.123</v>
      </c>
    </row>
    <row r="1191">
      <c r="A1191" s="9">
        <f t="shared" si="2"/>
        <v>1189</v>
      </c>
      <c r="B1191" s="10" t="s">
        <v>1326</v>
      </c>
      <c r="C1191" s="11">
        <v>5960000.0</v>
      </c>
      <c r="D1191" s="11">
        <v>5460000.0</v>
      </c>
      <c r="E1191" s="11">
        <v>5370000.0</v>
      </c>
      <c r="F1191" s="11">
        <v>5190000.0</v>
      </c>
      <c r="G1191" s="11">
        <v>4610000.0</v>
      </c>
      <c r="H1191" s="11">
        <v>3790000.0</v>
      </c>
      <c r="I1191" s="11">
        <v>3580000.0</v>
      </c>
      <c r="J1191" s="11">
        <v>3430000.0</v>
      </c>
      <c r="K1191" s="11">
        <v>3280000.0</v>
      </c>
      <c r="L1191" s="11">
        <v>2860000.0</v>
      </c>
      <c r="M1191" s="11">
        <v>2330000.0</v>
      </c>
      <c r="N1191" s="11">
        <v>2160000.0</v>
      </c>
      <c r="O1191" s="11">
        <v>1930000.0</v>
      </c>
      <c r="P1191" s="11">
        <v>1880000.0</v>
      </c>
      <c r="Q1191" s="11">
        <v>1650000.0</v>
      </c>
      <c r="R1191" s="11">
        <v>1270000.0</v>
      </c>
      <c r="S1191" s="11">
        <v>1130000.0</v>
      </c>
      <c r="T1191" s="11">
        <v>339100.0</v>
      </c>
      <c r="U1191" s="11">
        <v>317000.0</v>
      </c>
      <c r="V1191" s="11">
        <v>281100.0</v>
      </c>
      <c r="W1191" s="11">
        <v>195400.0</v>
      </c>
      <c r="X1191" s="11">
        <v>164200.0</v>
      </c>
      <c r="Y1191" s="11"/>
      <c r="Z1191" s="11">
        <v>1380000.0</v>
      </c>
      <c r="AA1191" s="11"/>
      <c r="AB1191" s="11">
        <v>1050000.0</v>
      </c>
      <c r="AC1191" s="11">
        <v>1020000.0</v>
      </c>
      <c r="AD1191" s="11">
        <v>2230000.0</v>
      </c>
      <c r="AE1191" s="11">
        <v>1200000.0</v>
      </c>
      <c r="AF1191" s="11">
        <v>1030000.0</v>
      </c>
      <c r="AG1191" s="11">
        <v>940650.0</v>
      </c>
      <c r="AH1191" s="11">
        <v>1000000.0</v>
      </c>
      <c r="AI1191" s="11">
        <v>1910000.0</v>
      </c>
      <c r="AJ1191" s="11">
        <v>1760000.0</v>
      </c>
      <c r="AK1191" s="11">
        <v>1550000.0</v>
      </c>
      <c r="AL1191" s="11">
        <v>1300000.0</v>
      </c>
      <c r="AM1191" s="11">
        <v>1240000.0</v>
      </c>
      <c r="AN1191" s="11">
        <v>1770000.0</v>
      </c>
      <c r="AO1191" s="11">
        <v>944400.0</v>
      </c>
      <c r="AP1191" s="11">
        <v>971770.0</v>
      </c>
      <c r="AQ1191" s="11">
        <v>658650.0</v>
      </c>
      <c r="AR1191" s="11">
        <v>696070.0</v>
      </c>
      <c r="AS1191" s="11">
        <v>1460000.0</v>
      </c>
      <c r="AT1191" s="11">
        <v>1430000.0</v>
      </c>
      <c r="AU1191" s="11">
        <v>1230000.0</v>
      </c>
      <c r="AV1191" s="11">
        <v>963790.0</v>
      </c>
      <c r="AW1191" s="11">
        <v>928830.0</v>
      </c>
      <c r="AX1191" s="11">
        <v>-62900.0</v>
      </c>
      <c r="AY1191" s="11">
        <v>-58600.0</v>
      </c>
      <c r="AZ1191" s="11">
        <v>-59540.0</v>
      </c>
      <c r="BA1191" s="11">
        <v>-40110.0</v>
      </c>
      <c r="BB1191" s="11">
        <v>-36260.0</v>
      </c>
      <c r="BC1191" s="11">
        <v>-191700.0</v>
      </c>
      <c r="BD1191" s="11">
        <v>-170100.0</v>
      </c>
      <c r="BE1191" s="11">
        <v>-142750.0</v>
      </c>
      <c r="BF1191" s="11">
        <v>-121130.0</v>
      </c>
      <c r="BG1191" s="11">
        <v>-100330.0</v>
      </c>
      <c r="BH1191" s="11">
        <v>709700.0</v>
      </c>
      <c r="BI1191" s="11">
        <v>364400.0</v>
      </c>
      <c r="BJ1191" s="11">
        <v>671330.0</v>
      </c>
      <c r="BK1191" s="11">
        <v>757200.0</v>
      </c>
      <c r="BL1191" s="11">
        <v>778510.0</v>
      </c>
      <c r="BM1191" s="11">
        <v>993600.0</v>
      </c>
      <c r="BN1191" s="11">
        <v>891900.0</v>
      </c>
      <c r="BO1191" s="11">
        <v>809660.0</v>
      </c>
      <c r="BP1191" s="11">
        <v>749820.0</v>
      </c>
      <c r="BQ1191" s="11">
        <v>610310.0</v>
      </c>
      <c r="BR1191" s="11">
        <v>198600.0</v>
      </c>
      <c r="BS1191" s="11">
        <v>190800.0</v>
      </c>
      <c r="BT1191" s="11">
        <v>204930.0</v>
      </c>
      <c r="BU1191" s="11">
        <v>181950.0</v>
      </c>
      <c r="BV1191" s="11">
        <v>189870.0</v>
      </c>
      <c r="BW1191" s="11">
        <v>2000000.0</v>
      </c>
      <c r="BX1191" s="11">
        <v>1610000.0</v>
      </c>
      <c r="BY1191" s="11">
        <v>1760000.0</v>
      </c>
      <c r="BZ1191" s="11">
        <v>1780000.0</v>
      </c>
      <c r="CA1191" s="11">
        <v>1620000.0</v>
      </c>
      <c r="CB1191" s="11">
        <v>406800.0</v>
      </c>
      <c r="CC1191" s="11">
        <v>128700.0</v>
      </c>
      <c r="CD1191" s="11">
        <v>142540.0</v>
      </c>
      <c r="CE1191" s="11">
        <v>141320.0</v>
      </c>
      <c r="CF1191" s="11">
        <v>105510.0</v>
      </c>
      <c r="CG1191" s="11">
        <v>1.082E7</v>
      </c>
      <c r="CH1191" s="11">
        <v>9350000.0</v>
      </c>
      <c r="CI1191" s="11">
        <v>8820000.0</v>
      </c>
      <c r="CJ1191" s="11">
        <v>8650000.0</v>
      </c>
      <c r="CK1191" s="11">
        <v>5820000.0</v>
      </c>
      <c r="CL1191" s="11">
        <v>1.811E7</v>
      </c>
      <c r="CM1191" s="11">
        <v>1.525E7</v>
      </c>
      <c r="CN1191" s="11">
        <v>1.432E7</v>
      </c>
      <c r="CO1191" s="11">
        <v>1.432E7</v>
      </c>
      <c r="CP1191" s="11">
        <v>1.017E7</v>
      </c>
      <c r="CQ1191" s="11">
        <v>162000.0</v>
      </c>
      <c r="CR1191" s="11">
        <v>165300.0</v>
      </c>
      <c r="CS1191" s="11">
        <v>171070.0</v>
      </c>
      <c r="CT1191" s="11">
        <v>152070.0</v>
      </c>
      <c r="CU1191" s="11">
        <v>139740.0</v>
      </c>
      <c r="CV1191" s="11">
        <v>2400000.0</v>
      </c>
      <c r="CW1191" s="11">
        <v>56800.0</v>
      </c>
      <c r="CX1191" s="12"/>
      <c r="CY1191" s="13"/>
      <c r="CZ1191" s="13"/>
      <c r="DA1191" s="13"/>
      <c r="DB1191" s="11">
        <v>2400000.0</v>
      </c>
      <c r="DC1191" s="11">
        <v>1450000.0</v>
      </c>
      <c r="DD1191" s="11">
        <v>2030000.0</v>
      </c>
      <c r="DE1191" s="11">
        <v>1450000.0</v>
      </c>
      <c r="DF1191" s="11">
        <v>8620000.0</v>
      </c>
      <c r="DG1191" s="11">
        <v>7510000.0</v>
      </c>
      <c r="DH1191" s="11">
        <v>7450000.0</v>
      </c>
      <c r="DI1191" s="11">
        <v>8540000.0</v>
      </c>
      <c r="DJ1191" s="11">
        <v>4870000.0</v>
      </c>
      <c r="DK1191" s="11"/>
      <c r="DL1191" s="11"/>
      <c r="DM1191" s="11"/>
      <c r="DN1191" s="11"/>
      <c r="DO1191" s="11"/>
      <c r="DP1191" s="11">
        <v>4890000.0</v>
      </c>
      <c r="DQ1191" s="11">
        <v>4940000.0</v>
      </c>
      <c r="DR1191" s="11">
        <v>4350000.0</v>
      </c>
      <c r="DS1191" s="11">
        <v>5810000.0</v>
      </c>
      <c r="DT1191" s="11">
        <v>3260000.0</v>
      </c>
      <c r="DU1191" s="13"/>
      <c r="DV1191" s="13"/>
      <c r="DW1191" s="13"/>
      <c r="DX1191" s="13"/>
      <c r="DY1191" s="12"/>
      <c r="DZ1191" s="11">
        <v>9490000.0</v>
      </c>
      <c r="EA1191" s="11">
        <v>7740000.0</v>
      </c>
      <c r="EB1191" s="11">
        <v>6860000.0</v>
      </c>
      <c r="EC1191" s="11">
        <v>5790000.0</v>
      </c>
      <c r="ED1191" s="11">
        <v>5300000.0</v>
      </c>
      <c r="EE1191" s="14">
        <v>0.04</v>
      </c>
      <c r="EF1191" s="14">
        <v>0.154</v>
      </c>
      <c r="EG1191" s="14">
        <v>0.101</v>
      </c>
      <c r="EH1191" s="14">
        <v>0.048</v>
      </c>
    </row>
    <row r="1192">
      <c r="A1192" s="9">
        <f t="shared" si="2"/>
        <v>1190</v>
      </c>
      <c r="B1192" s="10" t="s">
        <v>1327</v>
      </c>
      <c r="C1192" s="11">
        <v>1.617E7</v>
      </c>
      <c r="D1192" s="11">
        <v>1.246E7</v>
      </c>
      <c r="E1192" s="11">
        <v>1.604E7</v>
      </c>
      <c r="F1192" s="11">
        <v>1.498E7</v>
      </c>
      <c r="G1192" s="11">
        <v>1.413E7</v>
      </c>
      <c r="H1192" s="11">
        <v>1.287E7</v>
      </c>
      <c r="I1192" s="11">
        <v>1.194E7</v>
      </c>
      <c r="J1192" s="11">
        <v>4500000.0</v>
      </c>
      <c r="K1192" s="11">
        <v>4260000.0</v>
      </c>
      <c r="L1192" s="11">
        <v>4090000.0</v>
      </c>
      <c r="M1192" s="11">
        <v>3690000.0</v>
      </c>
      <c r="N1192" s="11">
        <v>3360000.0</v>
      </c>
      <c r="O1192" s="11">
        <v>2360000.0</v>
      </c>
      <c r="P1192" s="11">
        <v>2220000.0</v>
      </c>
      <c r="Q1192" s="11">
        <v>2040000.0</v>
      </c>
      <c r="R1192" s="11">
        <v>1890000.0</v>
      </c>
      <c r="S1192" s="11">
        <v>1740000.0</v>
      </c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1">
        <v>2160000.0</v>
      </c>
      <c r="AE1192" s="11">
        <v>2050000.0</v>
      </c>
      <c r="AF1192" s="11">
        <v>2040000.0</v>
      </c>
      <c r="AG1192" s="11">
        <v>1790000.0</v>
      </c>
      <c r="AH1192" s="11">
        <v>1610000.0</v>
      </c>
      <c r="AI1192" s="11">
        <v>2500000.0</v>
      </c>
      <c r="AJ1192" s="11">
        <v>2370000.0</v>
      </c>
      <c r="AK1192" s="11">
        <v>2360000.0</v>
      </c>
      <c r="AL1192" s="11">
        <v>2110000.0</v>
      </c>
      <c r="AM1192" s="11">
        <v>1900000.0</v>
      </c>
      <c r="AN1192" s="11">
        <v>1660000.0</v>
      </c>
      <c r="AO1192" s="11">
        <v>1590000.0</v>
      </c>
      <c r="AP1192" s="11">
        <v>1360000.0</v>
      </c>
      <c r="AQ1192" s="11">
        <v>1120000.0</v>
      </c>
      <c r="AR1192" s="11">
        <v>1020000.0</v>
      </c>
      <c r="AS1192" s="11">
        <v>2170000.0</v>
      </c>
      <c r="AT1192" s="11">
        <v>2070000.0</v>
      </c>
      <c r="AU1192" s="11">
        <v>1680000.0</v>
      </c>
      <c r="AV1192" s="11">
        <v>1560000.0</v>
      </c>
      <c r="AW1192" s="11">
        <v>1330000.0</v>
      </c>
      <c r="AX1192" s="11">
        <v>-555480.0</v>
      </c>
      <c r="AY1192" s="11">
        <v>-413900.0</v>
      </c>
      <c r="AZ1192" s="11">
        <v>-371420.0</v>
      </c>
      <c r="BA1192" s="11">
        <v>-297880.0</v>
      </c>
      <c r="BB1192" s="11">
        <v>-366960.0</v>
      </c>
      <c r="BC1192" s="11">
        <v>-369790.0</v>
      </c>
      <c r="BD1192" s="11">
        <v>-337190.0</v>
      </c>
      <c r="BE1192" s="11">
        <v>-247530.0</v>
      </c>
      <c r="BF1192" s="11">
        <v>-214640.0</v>
      </c>
      <c r="BG1192" s="11">
        <v>-192310.0</v>
      </c>
      <c r="BH1192" s="11">
        <v>1360000.0</v>
      </c>
      <c r="BI1192" s="11">
        <v>1420000.0</v>
      </c>
      <c r="BJ1192" s="11">
        <v>1300000.0</v>
      </c>
      <c r="BK1192" s="11">
        <v>1130000.0</v>
      </c>
      <c r="BL1192" s="11">
        <v>779110.0</v>
      </c>
      <c r="BM1192" s="11">
        <v>102240.0</v>
      </c>
      <c r="BN1192" s="11">
        <v>96710.0</v>
      </c>
      <c r="BO1192" s="11">
        <v>87870.0</v>
      </c>
      <c r="BP1192" s="11">
        <v>75150.0</v>
      </c>
      <c r="BQ1192" s="11">
        <v>73630.0</v>
      </c>
      <c r="BR1192" s="11">
        <v>1830000.0</v>
      </c>
      <c r="BS1192" s="11">
        <v>1750000.0</v>
      </c>
      <c r="BT1192" s="11">
        <v>1640000.0</v>
      </c>
      <c r="BU1192" s="11">
        <v>1510000.0</v>
      </c>
      <c r="BV1192" s="11">
        <v>1420000.0</v>
      </c>
      <c r="BW1192" s="11">
        <v>3430000.0</v>
      </c>
      <c r="BX1192" s="11">
        <v>3400000.0</v>
      </c>
      <c r="BY1192" s="11">
        <v>3150000.0</v>
      </c>
      <c r="BZ1192" s="11">
        <v>2810000.0</v>
      </c>
      <c r="CA1192" s="11">
        <v>2370000.0</v>
      </c>
      <c r="CB1192" s="11">
        <v>5710000.0</v>
      </c>
      <c r="CC1192" s="11">
        <v>2480000.0</v>
      </c>
      <c r="CD1192" s="11">
        <v>2380000.0</v>
      </c>
      <c r="CE1192" s="11">
        <v>2330000.0</v>
      </c>
      <c r="CF1192" s="11">
        <v>2340000.0</v>
      </c>
      <c r="CG1192" s="12"/>
      <c r="CH1192" s="12"/>
      <c r="CI1192" s="12"/>
      <c r="CJ1192" s="12"/>
      <c r="CK1192" s="12"/>
      <c r="CL1192" s="11">
        <v>1.029E7</v>
      </c>
      <c r="CM1192" s="11">
        <v>6230000.0</v>
      </c>
      <c r="CN1192" s="11">
        <v>5890000.0</v>
      </c>
      <c r="CO1192" s="11">
        <v>5540000.0</v>
      </c>
      <c r="CP1192" s="11">
        <v>5080000.0</v>
      </c>
      <c r="CQ1192" s="11">
        <v>1300000.0</v>
      </c>
      <c r="CR1192" s="11">
        <v>1180000.0</v>
      </c>
      <c r="CS1192" s="11">
        <v>1060000.0</v>
      </c>
      <c r="CT1192" s="11">
        <v>1020000.0</v>
      </c>
      <c r="CU1192" s="11">
        <v>945560.0</v>
      </c>
      <c r="CV1192" s="11">
        <v>2700000.0</v>
      </c>
      <c r="CW1192" s="11">
        <v>564480.0</v>
      </c>
      <c r="CX1192" s="12"/>
      <c r="CY1192" s="13"/>
      <c r="CZ1192" s="13"/>
      <c r="DA1192" s="12"/>
      <c r="DB1192" s="11">
        <v>2700000.0</v>
      </c>
      <c r="DC1192" s="11">
        <v>2010000.0</v>
      </c>
      <c r="DD1192" s="11">
        <v>1930000.0</v>
      </c>
      <c r="DE1192" s="11">
        <v>1750000.0</v>
      </c>
      <c r="DF1192" s="11">
        <v>6930000.0</v>
      </c>
      <c r="DG1192" s="11">
        <v>2930000.0</v>
      </c>
      <c r="DH1192" s="11">
        <v>2840000.0</v>
      </c>
      <c r="DI1192" s="11">
        <v>2800000.0</v>
      </c>
      <c r="DJ1192" s="11">
        <v>2610000.0</v>
      </c>
      <c r="DK1192" s="11">
        <v>49980.0</v>
      </c>
      <c r="DL1192" s="11">
        <v>53890.0</v>
      </c>
      <c r="DM1192" s="11">
        <v>54680.0</v>
      </c>
      <c r="DN1192" s="11">
        <v>55860.0</v>
      </c>
      <c r="DO1192" s="11">
        <v>57240.0</v>
      </c>
      <c r="DP1192" s="11">
        <v>2920000.0</v>
      </c>
      <c r="DQ1192" s="11">
        <v>312440.0</v>
      </c>
      <c r="DR1192" s="11">
        <v>311990.0</v>
      </c>
      <c r="DS1192" s="11">
        <v>396490.0</v>
      </c>
      <c r="DT1192" s="11">
        <v>396030.0</v>
      </c>
      <c r="DU1192" s="13"/>
      <c r="DV1192" s="12"/>
      <c r="DW1192" s="12"/>
      <c r="DX1192" s="12"/>
      <c r="DY1192" s="12"/>
      <c r="DZ1192" s="11">
        <v>3360000.0</v>
      </c>
      <c r="EA1192" s="11">
        <v>3310000.0</v>
      </c>
      <c r="EB1192" s="11">
        <v>3050000.0</v>
      </c>
      <c r="EC1192" s="11">
        <v>2750000.0</v>
      </c>
      <c r="ED1192" s="11">
        <v>2470000.0</v>
      </c>
      <c r="EE1192" s="14">
        <v>0.201</v>
      </c>
      <c r="EF1192" s="14">
        <v>0.195</v>
      </c>
      <c r="EG1192" s="14">
        <v>-30.0</v>
      </c>
      <c r="EH1192" s="14">
        <v>-7.474</v>
      </c>
    </row>
    <row r="1193">
      <c r="A1193" s="9">
        <f t="shared" si="2"/>
        <v>1191</v>
      </c>
      <c r="B1193" s="25" t="s">
        <v>1328</v>
      </c>
      <c r="C1193" s="15">
        <v>5480000.0</v>
      </c>
      <c r="D1193" s="15">
        <v>5450000.0</v>
      </c>
      <c r="E1193" s="15">
        <v>5560000.0</v>
      </c>
      <c r="F1193" s="15">
        <v>5320000.0</v>
      </c>
      <c r="G1193" s="15">
        <v>4960000.0</v>
      </c>
      <c r="H1193" s="15">
        <v>4810000.0</v>
      </c>
      <c r="I1193" s="15">
        <v>4590000.0</v>
      </c>
      <c r="J1193" s="15">
        <v>2260000.0</v>
      </c>
      <c r="K1193" s="15">
        <v>2180000.0</v>
      </c>
      <c r="L1193" s="15">
        <v>2170000.0</v>
      </c>
      <c r="M1193" s="15">
        <v>2090000.0</v>
      </c>
      <c r="N1193" s="15">
        <v>1940000.0</v>
      </c>
      <c r="O1193" s="15">
        <v>1720000.0</v>
      </c>
      <c r="P1193" s="15">
        <v>1610000.0</v>
      </c>
      <c r="Q1193" s="15">
        <v>1590000.0</v>
      </c>
      <c r="R1193" s="15">
        <v>1480000.0</v>
      </c>
      <c r="S1193" s="15">
        <v>1410000.0</v>
      </c>
      <c r="T1193" s="15">
        <v>71600.0</v>
      </c>
      <c r="U1193" s="15">
        <v>69700.0</v>
      </c>
      <c r="V1193" s="15">
        <v>64900.0</v>
      </c>
      <c r="W1193" s="15">
        <v>61500.0</v>
      </c>
      <c r="X1193" s="15">
        <v>56700.0</v>
      </c>
      <c r="Y1193" s="15">
        <v>435180.0</v>
      </c>
      <c r="Z1193" s="15">
        <v>500560.0</v>
      </c>
      <c r="AA1193" s="15">
        <v>328550.0</v>
      </c>
      <c r="AB1193" s="15">
        <v>-13110.0</v>
      </c>
      <c r="AC1193" s="15">
        <v>518400.0</v>
      </c>
      <c r="AD1193" s="15">
        <v>339850.0</v>
      </c>
      <c r="AE1193" s="15">
        <v>417050.0</v>
      </c>
      <c r="AF1193" s="15">
        <v>244330.0</v>
      </c>
      <c r="AG1193" s="15">
        <v>483470.0</v>
      </c>
      <c r="AH1193" s="15">
        <v>453250.0</v>
      </c>
      <c r="AI1193" s="15">
        <v>637470.0</v>
      </c>
      <c r="AJ1193" s="15">
        <v>656270.0</v>
      </c>
      <c r="AK1193" s="15">
        <v>642540.0</v>
      </c>
      <c r="AL1193" s="15">
        <v>677110.0</v>
      </c>
      <c r="AM1193" s="15">
        <v>602400.0</v>
      </c>
      <c r="AN1193" s="15">
        <v>265040.0</v>
      </c>
      <c r="AO1193" s="15">
        <v>333910.0</v>
      </c>
      <c r="AP1193" s="15">
        <v>179030.0</v>
      </c>
      <c r="AQ1193" s="15">
        <v>348960.0</v>
      </c>
      <c r="AR1193" s="15">
        <v>234530.0</v>
      </c>
      <c r="AS1193" s="15">
        <v>292940.0</v>
      </c>
      <c r="AT1193" s="15">
        <v>390380.0</v>
      </c>
      <c r="AU1193" s="15">
        <v>386130.0</v>
      </c>
      <c r="AV1193" s="15">
        <v>474710.0</v>
      </c>
      <c r="AW1193" s="15">
        <v>330450.0</v>
      </c>
      <c r="AX1193" s="15">
        <v>-136760.0</v>
      </c>
      <c r="AY1193" s="15">
        <v>-114620.0</v>
      </c>
      <c r="AZ1193" s="15">
        <v>-126110.0</v>
      </c>
      <c r="BA1193" s="15">
        <v>-117180.0</v>
      </c>
      <c r="BB1193" s="15">
        <v>-85360.0</v>
      </c>
      <c r="BC1193" s="15">
        <v>-181410.0</v>
      </c>
      <c r="BD1193" s="15">
        <v>-167480.0</v>
      </c>
      <c r="BE1193" s="15">
        <v>-156750.0</v>
      </c>
      <c r="BF1193" s="15">
        <v>-144350.0</v>
      </c>
      <c r="BG1193" s="15">
        <v>-136180.0</v>
      </c>
      <c r="BH1193" s="15">
        <v>231770.0</v>
      </c>
      <c r="BI1193" s="15">
        <v>341820.0</v>
      </c>
      <c r="BJ1193" s="15">
        <v>440000.0</v>
      </c>
      <c r="BK1193" s="15">
        <v>339350.0</v>
      </c>
      <c r="BL1193" s="15">
        <v>244010.0</v>
      </c>
      <c r="BM1193" s="15">
        <v>1250000.0</v>
      </c>
      <c r="BN1193" s="15">
        <v>1110000.0</v>
      </c>
      <c r="BO1193" s="15">
        <v>995330.0</v>
      </c>
      <c r="BP1193" s="15">
        <v>963090.0</v>
      </c>
      <c r="BQ1193" s="15">
        <v>956210.0</v>
      </c>
      <c r="BR1193" s="15">
        <v>841870.0</v>
      </c>
      <c r="BS1193" s="15">
        <v>834460.0</v>
      </c>
      <c r="BT1193" s="15">
        <v>788200.0</v>
      </c>
      <c r="BU1193" s="15">
        <v>685820.0</v>
      </c>
      <c r="BV1193" s="15">
        <v>674210.0</v>
      </c>
      <c r="BW1193" s="15">
        <v>2520000.0</v>
      </c>
      <c r="BX1193" s="15">
        <v>2470000.0</v>
      </c>
      <c r="BY1193" s="15">
        <v>2400000.0</v>
      </c>
      <c r="BZ1193" s="15">
        <v>2130000.0</v>
      </c>
      <c r="CA1193" s="15">
        <v>2100000.0</v>
      </c>
      <c r="CB1193" s="15">
        <v>819210.0</v>
      </c>
      <c r="CC1193" s="15">
        <v>780310.0</v>
      </c>
      <c r="CD1193" s="15">
        <v>742690.0</v>
      </c>
      <c r="CE1193" s="15">
        <v>629450.0</v>
      </c>
      <c r="CF1193" s="15">
        <v>589650.0</v>
      </c>
      <c r="CG1193" s="15">
        <v>1250000.0</v>
      </c>
      <c r="CH1193" s="15">
        <v>1190000.0</v>
      </c>
      <c r="CI1193" s="15">
        <v>1140000.0</v>
      </c>
      <c r="CJ1193" s="15">
        <v>1220000.0</v>
      </c>
      <c r="CK1193" s="15">
        <v>1220000.0</v>
      </c>
      <c r="CL1193" s="15">
        <v>5440000.0</v>
      </c>
      <c r="CM1193" s="15">
        <v>5270000.0</v>
      </c>
      <c r="CN1193" s="15">
        <v>5090000.0</v>
      </c>
      <c r="CO1193" s="15">
        <v>4760000.0</v>
      </c>
      <c r="CP1193" s="15">
        <v>4690000.0</v>
      </c>
      <c r="CQ1193" s="15">
        <v>556700.0</v>
      </c>
      <c r="CR1193" s="15">
        <v>592280.0</v>
      </c>
      <c r="CS1193" s="15">
        <v>534720.0</v>
      </c>
      <c r="CT1193" s="15">
        <v>500510.0</v>
      </c>
      <c r="CU1193" s="15">
        <v>512170.0</v>
      </c>
      <c r="CV1193" s="15">
        <v>1540000.0</v>
      </c>
      <c r="CW1193" s="15"/>
      <c r="CX1193" s="13"/>
      <c r="CY1193" s="13"/>
      <c r="CZ1193" s="13"/>
      <c r="DA1193" s="12"/>
      <c r="DB1193" s="15">
        <v>1540000.0</v>
      </c>
      <c r="DC1193" s="15">
        <v>1010000.0</v>
      </c>
      <c r="DD1193" s="15">
        <v>1240000.0</v>
      </c>
      <c r="DE1193" s="15">
        <v>1000000.0</v>
      </c>
      <c r="DF1193" s="15">
        <v>4030000.0</v>
      </c>
      <c r="DG1193" s="15">
        <v>3640000.0</v>
      </c>
      <c r="DH1193" s="15">
        <v>3650000.0</v>
      </c>
      <c r="DI1193" s="15">
        <v>3390000.0</v>
      </c>
      <c r="DJ1193" s="15">
        <v>3400000.0</v>
      </c>
      <c r="DK1193" s="15">
        <v>22560.0</v>
      </c>
      <c r="DL1193" s="15">
        <v>70700.0</v>
      </c>
      <c r="DM1193" s="15">
        <v>75000.0</v>
      </c>
      <c r="DN1193" s="15">
        <v>72800.0</v>
      </c>
      <c r="DO1193" s="15">
        <v>85500.0</v>
      </c>
      <c r="DP1193" s="15">
        <v>1970000.0</v>
      </c>
      <c r="DQ1193" s="15">
        <v>2170000.0</v>
      </c>
      <c r="DR1193" s="15">
        <v>1840000.0</v>
      </c>
      <c r="DS1193" s="15">
        <v>1640000.0</v>
      </c>
      <c r="DT1193" s="15">
        <v>1650000.0</v>
      </c>
      <c r="DU1193" s="13"/>
      <c r="DV1193" s="12"/>
      <c r="DW1193" s="15"/>
      <c r="DX1193" s="15"/>
      <c r="DY1193" s="13"/>
      <c r="DZ1193" s="15">
        <v>1410000.0</v>
      </c>
      <c r="EA1193" s="15">
        <v>1630000.0</v>
      </c>
      <c r="EB1193" s="15">
        <v>1440000.0</v>
      </c>
      <c r="EC1193" s="15">
        <v>1370000.0</v>
      </c>
      <c r="ED1193" s="15">
        <v>1290000.0</v>
      </c>
      <c r="EE1193" s="23"/>
      <c r="EF1193" s="23"/>
      <c r="EG1193" s="23">
        <v>0.095</v>
      </c>
      <c r="EH1193" s="23">
        <v>0.064</v>
      </c>
    </row>
    <row r="1194">
      <c r="A1194" s="9">
        <f t="shared" si="2"/>
        <v>1192</v>
      </c>
      <c r="B1194" s="22" t="s">
        <v>1329</v>
      </c>
      <c r="C1194" s="11">
        <v>1980000.0</v>
      </c>
      <c r="D1194" s="11">
        <v>1820000.0</v>
      </c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3"/>
      <c r="DV1194" s="12"/>
      <c r="DW1194" s="12"/>
      <c r="DX1194" s="13"/>
      <c r="DY1194" s="13"/>
      <c r="DZ1194" s="12"/>
      <c r="EA1194" s="12"/>
      <c r="EB1194" s="12"/>
      <c r="EC1194" s="12"/>
      <c r="ED1194" s="12"/>
      <c r="EE1194" s="14">
        <v>0.286</v>
      </c>
      <c r="EF1194" s="14">
        <v>0.237</v>
      </c>
      <c r="EG1194" s="14">
        <v>0.197</v>
      </c>
      <c r="EH1194" s="23"/>
    </row>
    <row r="1195">
      <c r="A1195" s="9">
        <f t="shared" si="2"/>
        <v>1193</v>
      </c>
      <c r="B1195" s="22" t="s">
        <v>1330</v>
      </c>
      <c r="C1195" s="11">
        <v>5000.0</v>
      </c>
      <c r="D1195" s="11">
        <v>3750.0</v>
      </c>
      <c r="E1195" s="12"/>
      <c r="F1195" s="12"/>
      <c r="G1195" s="12"/>
      <c r="H1195" s="12"/>
      <c r="I1195" s="12"/>
      <c r="J1195" s="11">
        <v>-968.0</v>
      </c>
      <c r="K1195" s="11">
        <v>-407.0</v>
      </c>
      <c r="L1195" s="11">
        <v>-102.0</v>
      </c>
      <c r="M1195" s="12"/>
      <c r="N1195" s="12"/>
      <c r="O1195" s="11">
        <v>24840.0</v>
      </c>
      <c r="P1195" s="11">
        <v>12080.0</v>
      </c>
      <c r="Q1195" s="11">
        <v>5910.0</v>
      </c>
      <c r="R1195" s="12"/>
      <c r="S1195" s="12"/>
      <c r="T1195" s="11">
        <v>19890.0</v>
      </c>
      <c r="U1195" s="11">
        <v>9200.0</v>
      </c>
      <c r="V1195" s="11">
        <v>4140.0</v>
      </c>
      <c r="W1195" s="12"/>
      <c r="X1195" s="12"/>
      <c r="Y1195" s="11">
        <v>-27160.0</v>
      </c>
      <c r="Z1195" s="11">
        <v>-13620.0</v>
      </c>
      <c r="AA1195" s="11">
        <v>-7450.0</v>
      </c>
      <c r="AB1195" s="12"/>
      <c r="AC1195" s="12"/>
      <c r="AD1195" s="11">
        <v>-26460.0</v>
      </c>
      <c r="AE1195" s="11">
        <v>-13920.0</v>
      </c>
      <c r="AF1195" s="11">
        <v>-7630.0</v>
      </c>
      <c r="AG1195" s="12"/>
      <c r="AH1195" s="12"/>
      <c r="AI1195" s="11">
        <v>-24840.0</v>
      </c>
      <c r="AJ1195" s="11">
        <v>-12080.0</v>
      </c>
      <c r="AK1195" s="11">
        <v>-5910.0</v>
      </c>
      <c r="AL1195" s="12"/>
      <c r="AM1195" s="12"/>
      <c r="AN1195" s="11">
        <v>-27220.0</v>
      </c>
      <c r="AO1195" s="11">
        <v>-14280.0</v>
      </c>
      <c r="AP1195" s="11">
        <v>-7800.0</v>
      </c>
      <c r="AQ1195" s="12"/>
      <c r="AR1195" s="12"/>
      <c r="AS1195" s="11">
        <v>-18450.0</v>
      </c>
      <c r="AT1195" s="11">
        <v>-12620.0</v>
      </c>
      <c r="AU1195" s="11">
        <v>-6010.0</v>
      </c>
      <c r="AV1195" s="12"/>
      <c r="AW1195" s="12"/>
      <c r="AX1195" s="11">
        <v>-1300.0</v>
      </c>
      <c r="AY1195" s="11">
        <v>-583.0</v>
      </c>
      <c r="AZ1195" s="11">
        <v>-1160.0</v>
      </c>
      <c r="BA1195" s="12"/>
      <c r="BB1195" s="12"/>
      <c r="BC1195" s="12"/>
      <c r="BD1195" s="12"/>
      <c r="BE1195" s="12"/>
      <c r="BF1195" s="12"/>
      <c r="BG1195" s="12"/>
      <c r="BH1195" s="11">
        <v>94800.0</v>
      </c>
      <c r="BI1195" s="11">
        <v>10730.0</v>
      </c>
      <c r="BJ1195" s="12"/>
      <c r="BK1195" s="12"/>
      <c r="BL1195" s="12"/>
      <c r="BM1195" s="11">
        <v>3060.0</v>
      </c>
      <c r="BN1195" s="11">
        <v>1060.0</v>
      </c>
      <c r="BO1195" s="12"/>
      <c r="BP1195" s="12"/>
      <c r="BQ1195" s="12"/>
      <c r="BR1195" s="12"/>
      <c r="BS1195" s="12"/>
      <c r="BT1195" s="12"/>
      <c r="BU1195" s="12"/>
      <c r="BV1195" s="12"/>
      <c r="BW1195" s="11">
        <v>98570.0</v>
      </c>
      <c r="BX1195" s="11">
        <v>12050.0</v>
      </c>
      <c r="BY1195" s="12"/>
      <c r="BZ1195" s="12"/>
      <c r="CA1195" s="12"/>
      <c r="CB1195" s="11">
        <v>3420.0</v>
      </c>
      <c r="CC1195" s="11">
        <v>1650.0</v>
      </c>
      <c r="CD1195" s="12"/>
      <c r="CE1195" s="12"/>
      <c r="CF1195" s="12"/>
      <c r="CG1195" s="12"/>
      <c r="CH1195" s="12"/>
      <c r="CI1195" s="12"/>
      <c r="CJ1195" s="12"/>
      <c r="CK1195" s="12"/>
      <c r="CL1195" s="11">
        <v>102700.0</v>
      </c>
      <c r="CM1195" s="11">
        <v>13930.0</v>
      </c>
      <c r="CN1195" s="12"/>
      <c r="CO1195" s="12"/>
      <c r="CP1195" s="12"/>
      <c r="CQ1195" s="11">
        <v>2130.0</v>
      </c>
      <c r="CR1195" s="11">
        <v>1250.0</v>
      </c>
      <c r="CS1195" s="12"/>
      <c r="CT1195" s="12"/>
      <c r="CU1195" s="12"/>
      <c r="CV1195" s="11">
        <v>4250.0</v>
      </c>
      <c r="CW1195" s="11">
        <v>625.0</v>
      </c>
      <c r="CX1195" s="12"/>
      <c r="CY1195" s="12"/>
      <c r="CZ1195" s="13"/>
      <c r="DA1195" s="13"/>
      <c r="DB1195" s="11">
        <v>4250.0</v>
      </c>
      <c r="DC1195" s="11">
        <v>1910.0</v>
      </c>
      <c r="DD1195" s="12"/>
      <c r="DE1195" s="12"/>
      <c r="DF1195" s="11">
        <v>12830.0</v>
      </c>
      <c r="DG1195" s="11">
        <v>4440.0</v>
      </c>
      <c r="DH1195" s="12"/>
      <c r="DI1195" s="12"/>
      <c r="DJ1195" s="12"/>
      <c r="DK1195" s="11">
        <v>208.0</v>
      </c>
      <c r="DL1195" s="11">
        <v>198.0</v>
      </c>
      <c r="DM1195" s="12"/>
      <c r="DN1195" s="12"/>
      <c r="DO1195" s="12"/>
      <c r="DP1195" s="11">
        <v>439.0</v>
      </c>
      <c r="DQ1195" s="11">
        <v>2490.0</v>
      </c>
      <c r="DR1195" s="12"/>
      <c r="DS1195" s="12"/>
      <c r="DT1195" s="12"/>
      <c r="DU1195" s="11">
        <v>136000.0</v>
      </c>
      <c r="DV1195" s="11">
        <v>31870.0</v>
      </c>
      <c r="DW1195" s="12"/>
      <c r="DX1195" s="12"/>
      <c r="DY1195" s="12"/>
      <c r="DZ1195" s="11">
        <v>89870.0</v>
      </c>
      <c r="EA1195" s="11">
        <v>9490.0</v>
      </c>
      <c r="EB1195" s="12"/>
      <c r="EC1195" s="12"/>
      <c r="ED1195" s="12"/>
      <c r="EE1195" s="23"/>
      <c r="EF1195" s="23"/>
      <c r="EG1195" s="14">
        <v>-39.833</v>
      </c>
      <c r="EH1195" s="23"/>
    </row>
    <row r="1196">
      <c r="A1196" s="9">
        <f t="shared" si="2"/>
        <v>1194</v>
      </c>
      <c r="B1196" s="10" t="s">
        <v>1331</v>
      </c>
      <c r="C1196" s="15">
        <v>1120000.0</v>
      </c>
      <c r="D1196" s="15">
        <v>948110.0</v>
      </c>
      <c r="E1196" s="15">
        <v>1320000.0</v>
      </c>
      <c r="F1196" s="15">
        <v>1340000.0</v>
      </c>
      <c r="G1196" s="15">
        <v>1390000.0</v>
      </c>
      <c r="H1196" s="15">
        <v>1300000.0</v>
      </c>
      <c r="I1196" s="15">
        <v>1260000.0</v>
      </c>
      <c r="J1196" s="15">
        <v>164770.0</v>
      </c>
      <c r="K1196" s="15">
        <v>177200.0</v>
      </c>
      <c r="L1196" s="15">
        <v>208170.0</v>
      </c>
      <c r="M1196" s="15">
        <v>190880.0</v>
      </c>
      <c r="N1196" s="15">
        <v>217710.0</v>
      </c>
      <c r="O1196" s="15">
        <v>155980.0</v>
      </c>
      <c r="P1196" s="15">
        <v>146460.0</v>
      </c>
      <c r="Q1196" s="15">
        <v>156660.0</v>
      </c>
      <c r="R1196" s="15">
        <v>140980.0</v>
      </c>
      <c r="S1196" s="15">
        <v>150090.0</v>
      </c>
      <c r="T1196" s="15"/>
      <c r="U1196" s="15"/>
      <c r="V1196" s="15"/>
      <c r="W1196" s="15"/>
      <c r="X1196" s="15"/>
      <c r="Y1196" s="15">
        <v>-12810.0</v>
      </c>
      <c r="Z1196" s="15">
        <v>-5460.0</v>
      </c>
      <c r="AA1196" s="15">
        <v>-6910.0</v>
      </c>
      <c r="AB1196" s="15">
        <v>11570.0</v>
      </c>
      <c r="AC1196" s="15">
        <v>67050.0</v>
      </c>
      <c r="AD1196" s="15">
        <v>-22240.0</v>
      </c>
      <c r="AE1196" s="15">
        <v>-21410.0</v>
      </c>
      <c r="AF1196" s="15">
        <v>29020.0</v>
      </c>
      <c r="AG1196" s="15">
        <v>4790.0</v>
      </c>
      <c r="AH1196" s="15">
        <v>63240.0</v>
      </c>
      <c r="AI1196" s="15">
        <v>100580.0</v>
      </c>
      <c r="AJ1196" s="15">
        <v>126110.0</v>
      </c>
      <c r="AK1196" s="15">
        <v>144060.0</v>
      </c>
      <c r="AL1196" s="15">
        <v>136590.0</v>
      </c>
      <c r="AM1196" s="15">
        <v>145000.0</v>
      </c>
      <c r="AN1196" s="15">
        <v>-7900.0</v>
      </c>
      <c r="AO1196" s="15">
        <v>-6420.0</v>
      </c>
      <c r="AP1196" s="15">
        <v>30020.0</v>
      </c>
      <c r="AQ1196" s="15">
        <v>11730.0</v>
      </c>
      <c r="AR1196" s="15">
        <v>47700.0</v>
      </c>
      <c r="AS1196" s="15">
        <v>57920.0</v>
      </c>
      <c r="AT1196" s="15">
        <v>126300.0</v>
      </c>
      <c r="AU1196" s="15">
        <v>156610.0</v>
      </c>
      <c r="AV1196" s="15">
        <v>98960.0</v>
      </c>
      <c r="AW1196" s="15">
        <v>140920.0</v>
      </c>
      <c r="AX1196" s="15">
        <v>-57310.0</v>
      </c>
      <c r="AY1196" s="15">
        <v>-50270.0</v>
      </c>
      <c r="AZ1196" s="15">
        <v>-83530.0</v>
      </c>
      <c r="BA1196" s="15">
        <v>-163770.0</v>
      </c>
      <c r="BB1196" s="15">
        <v>-166280.0</v>
      </c>
      <c r="BC1196" s="15"/>
      <c r="BD1196" s="15"/>
      <c r="BE1196" s="15"/>
      <c r="BF1196" s="15"/>
      <c r="BG1196" s="15"/>
      <c r="BH1196" s="15">
        <v>30050.0</v>
      </c>
      <c r="BI1196" s="15">
        <v>18570.0</v>
      </c>
      <c r="BJ1196" s="15">
        <v>17710.0</v>
      </c>
      <c r="BK1196" s="15">
        <v>11730.0</v>
      </c>
      <c r="BL1196" s="15">
        <v>22710.0</v>
      </c>
      <c r="BM1196" s="15">
        <v>22370.0</v>
      </c>
      <c r="BN1196" s="15">
        <v>25030.0</v>
      </c>
      <c r="BO1196" s="15">
        <v>26500.0</v>
      </c>
      <c r="BP1196" s="15">
        <v>24170.0</v>
      </c>
      <c r="BQ1196" s="15">
        <v>27760.0</v>
      </c>
      <c r="BR1196" s="12">
        <v>26420.0</v>
      </c>
      <c r="BS1196" s="12">
        <v>27370.0</v>
      </c>
      <c r="BT1196" s="12">
        <v>29550.0</v>
      </c>
      <c r="BU1196" s="12">
        <v>29900.0</v>
      </c>
      <c r="BV1196" s="12">
        <v>28220.0</v>
      </c>
      <c r="BW1196" s="15">
        <v>105490.0</v>
      </c>
      <c r="BX1196" s="15">
        <v>98550.0</v>
      </c>
      <c r="BY1196" s="15">
        <v>104800.0</v>
      </c>
      <c r="BZ1196" s="15">
        <v>92850.0</v>
      </c>
      <c r="CA1196" s="15">
        <v>96740.0</v>
      </c>
      <c r="CB1196" s="15">
        <v>944260.0</v>
      </c>
      <c r="CC1196" s="15">
        <v>565140.0</v>
      </c>
      <c r="CD1196" s="15">
        <v>638150.0</v>
      </c>
      <c r="CE1196" s="15">
        <v>656440.0</v>
      </c>
      <c r="CF1196" s="15">
        <v>603690.0</v>
      </c>
      <c r="CG1196" s="15">
        <v>96400.0</v>
      </c>
      <c r="CH1196" s="15">
        <v>95840.0</v>
      </c>
      <c r="CI1196" s="15">
        <v>96980.0</v>
      </c>
      <c r="CJ1196" s="15">
        <v>95940.0</v>
      </c>
      <c r="CK1196" s="15">
        <v>81960.0</v>
      </c>
      <c r="CL1196" s="15">
        <v>1240000.0</v>
      </c>
      <c r="CM1196" s="15">
        <v>843940.0</v>
      </c>
      <c r="CN1196" s="15">
        <v>910620.0</v>
      </c>
      <c r="CO1196" s="15">
        <v>918550.0</v>
      </c>
      <c r="CP1196" s="15">
        <v>839980.0</v>
      </c>
      <c r="CQ1196" s="15">
        <v>33040.0</v>
      </c>
      <c r="CR1196" s="15">
        <v>39020.0</v>
      </c>
      <c r="CS1196" s="15">
        <v>35350.0</v>
      </c>
      <c r="CT1196" s="15">
        <v>13740.0</v>
      </c>
      <c r="CU1196" s="15">
        <v>23390.0</v>
      </c>
      <c r="CV1196" s="15">
        <v>194590.0</v>
      </c>
      <c r="CW1196" s="12">
        <v>41970.0</v>
      </c>
      <c r="CX1196" s="13"/>
      <c r="CY1196" s="13"/>
      <c r="CZ1196" s="13"/>
      <c r="DA1196" s="12"/>
      <c r="DB1196" s="15">
        <v>194590.0</v>
      </c>
      <c r="DC1196" s="15">
        <v>171150.0</v>
      </c>
      <c r="DD1196" s="15">
        <v>160340.0</v>
      </c>
      <c r="DE1196" s="15">
        <v>141010.0</v>
      </c>
      <c r="DF1196" s="15">
        <v>877060.0</v>
      </c>
      <c r="DG1196" s="15">
        <v>461140.0</v>
      </c>
      <c r="DH1196" s="15">
        <v>523180.0</v>
      </c>
      <c r="DI1196" s="15">
        <v>570490.0</v>
      </c>
      <c r="DJ1196" s="15">
        <v>465670.0</v>
      </c>
      <c r="DK1196" s="15">
        <v>7340.0</v>
      </c>
      <c r="DL1196" s="15"/>
      <c r="DM1196" s="12"/>
      <c r="DN1196" s="12"/>
      <c r="DO1196" s="13"/>
      <c r="DP1196" s="15">
        <v>672310.0</v>
      </c>
      <c r="DQ1196" s="15">
        <v>202790.0</v>
      </c>
      <c r="DR1196" s="15">
        <v>276570.0</v>
      </c>
      <c r="DS1196" s="15">
        <v>347180.0</v>
      </c>
      <c r="DT1196" s="15">
        <v>210320.0</v>
      </c>
      <c r="DU1196" s="13"/>
      <c r="DV1196" s="12"/>
      <c r="DW1196" s="12"/>
      <c r="DX1196" s="13"/>
      <c r="DY1196" s="13"/>
      <c r="DZ1196" s="15">
        <v>360520.0</v>
      </c>
      <c r="EA1196" s="15">
        <v>382810.0</v>
      </c>
      <c r="EB1196" s="15">
        <v>387440.0</v>
      </c>
      <c r="EC1196" s="15">
        <v>348050.0</v>
      </c>
      <c r="ED1196" s="15">
        <v>374310.0</v>
      </c>
      <c r="EE1196" s="23">
        <v>0.097931675</v>
      </c>
      <c r="EF1196" s="23">
        <v>0.125</v>
      </c>
      <c r="EG1196" s="17">
        <v>-5.055</v>
      </c>
      <c r="EH1196" s="23">
        <v>-0.98525</v>
      </c>
    </row>
    <row r="1197">
      <c r="A1197" s="9">
        <f t="shared" si="2"/>
        <v>1195</v>
      </c>
      <c r="B1197" s="10" t="s">
        <v>1332</v>
      </c>
      <c r="C1197" s="15">
        <v>1400000.0</v>
      </c>
      <c r="D1197" s="15">
        <v>980000.0</v>
      </c>
      <c r="E1197" s="15">
        <v>1860000.0</v>
      </c>
      <c r="F1197" s="15">
        <v>1680000.0</v>
      </c>
      <c r="G1197" s="15">
        <v>1640000.0</v>
      </c>
      <c r="H1197" s="15">
        <v>1450000.0</v>
      </c>
      <c r="I1197" s="15">
        <v>1350000.0</v>
      </c>
      <c r="J1197" s="15">
        <v>684380.0</v>
      </c>
      <c r="K1197" s="15">
        <v>706710.0</v>
      </c>
      <c r="L1197" s="15">
        <v>704670.0</v>
      </c>
      <c r="M1197" s="15">
        <v>660470.0</v>
      </c>
      <c r="N1197" s="15">
        <v>632030.0</v>
      </c>
      <c r="O1197" s="15">
        <v>416360.0</v>
      </c>
      <c r="P1197" s="15">
        <v>390490.0</v>
      </c>
      <c r="Q1197" s="15">
        <v>380930.0</v>
      </c>
      <c r="R1197" s="15">
        <v>326430.0</v>
      </c>
      <c r="S1197" s="15">
        <v>329020.0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146600.0</v>
      </c>
      <c r="Z1197" s="15">
        <v>384620.0</v>
      </c>
      <c r="AA1197" s="15">
        <v>-134550.0</v>
      </c>
      <c r="AB1197" s="15">
        <v>309510.0</v>
      </c>
      <c r="AC1197" s="15">
        <v>289660.0</v>
      </c>
      <c r="AD1197" s="15">
        <v>-8470.0</v>
      </c>
      <c r="AE1197" s="15">
        <v>243360.0</v>
      </c>
      <c r="AF1197" s="15">
        <v>198320.0</v>
      </c>
      <c r="AG1197" s="15">
        <v>163990.0</v>
      </c>
      <c r="AH1197" s="15">
        <v>143420.0</v>
      </c>
      <c r="AI1197" s="15">
        <v>490340.0</v>
      </c>
      <c r="AJ1197" s="15">
        <v>587110.0</v>
      </c>
      <c r="AK1197" s="15">
        <v>641250.0</v>
      </c>
      <c r="AL1197" s="15">
        <v>490710.0</v>
      </c>
      <c r="AM1197" s="15">
        <v>440870.0</v>
      </c>
      <c r="AN1197" s="15">
        <v>-3350.0</v>
      </c>
      <c r="AO1197" s="15">
        <v>157540.0</v>
      </c>
      <c r="AP1197" s="15">
        <v>35420.0</v>
      </c>
      <c r="AQ1197" s="15">
        <v>35290.0</v>
      </c>
      <c r="AR1197" s="15">
        <v>137820.0</v>
      </c>
      <c r="AS1197" s="15">
        <v>317080.0</v>
      </c>
      <c r="AT1197" s="15">
        <v>347370.0</v>
      </c>
      <c r="AU1197" s="15">
        <v>291000.0</v>
      </c>
      <c r="AV1197" s="15">
        <v>347450.0</v>
      </c>
      <c r="AW1197" s="15">
        <v>349340.0</v>
      </c>
      <c r="AX1197" s="15">
        <v>-410620.0</v>
      </c>
      <c r="AY1197" s="15">
        <v>-615390.0</v>
      </c>
      <c r="AZ1197" s="15">
        <v>-271870.0</v>
      </c>
      <c r="BA1197" s="15">
        <v>-162380.0</v>
      </c>
      <c r="BB1197" s="15">
        <v>-103600.0</v>
      </c>
      <c r="BC1197" s="15">
        <v>-27900.0</v>
      </c>
      <c r="BD1197" s="15">
        <v>-27700.0</v>
      </c>
      <c r="BE1197" s="15">
        <v>-26980.0</v>
      </c>
      <c r="BF1197" s="15">
        <v>-10650.0</v>
      </c>
      <c r="BG1197" s="15">
        <v>-211250.0</v>
      </c>
      <c r="BH1197" s="15">
        <v>132920.0</v>
      </c>
      <c r="BI1197" s="15">
        <v>118260.0</v>
      </c>
      <c r="BJ1197" s="15">
        <v>234740.0</v>
      </c>
      <c r="BK1197" s="15">
        <v>136150.0</v>
      </c>
      <c r="BL1197" s="15">
        <v>116430.0</v>
      </c>
      <c r="BM1197" s="15">
        <v>56680.0</v>
      </c>
      <c r="BN1197" s="15">
        <v>51360.0</v>
      </c>
      <c r="BO1197" s="15">
        <v>48990.0</v>
      </c>
      <c r="BP1197" s="15">
        <v>51250.0</v>
      </c>
      <c r="BQ1197" s="15">
        <v>35510.0</v>
      </c>
      <c r="BR1197" s="15">
        <v>17770.0</v>
      </c>
      <c r="BS1197" s="15">
        <v>14910.0</v>
      </c>
      <c r="BT1197" s="15">
        <v>12570.0</v>
      </c>
      <c r="BU1197" s="15">
        <v>11960.0</v>
      </c>
      <c r="BV1197" s="15">
        <v>10330.0</v>
      </c>
      <c r="BW1197" s="15">
        <v>281630.0</v>
      </c>
      <c r="BX1197" s="15">
        <v>261970.0</v>
      </c>
      <c r="BY1197" s="15">
        <v>341560.0</v>
      </c>
      <c r="BZ1197" s="15">
        <v>249840.0</v>
      </c>
      <c r="CA1197" s="15">
        <v>211850.0</v>
      </c>
      <c r="CB1197" s="15">
        <v>3310000.0</v>
      </c>
      <c r="CC1197" s="15">
        <v>3210000.0</v>
      </c>
      <c r="CD1197" s="15">
        <v>2720000.0</v>
      </c>
      <c r="CE1197" s="15">
        <v>2440000.0</v>
      </c>
      <c r="CF1197" s="15">
        <v>2140000.0</v>
      </c>
      <c r="CG1197" s="15">
        <v>195680.0</v>
      </c>
      <c r="CH1197" s="15">
        <v>195680.0</v>
      </c>
      <c r="CI1197" s="15">
        <v>195680.0</v>
      </c>
      <c r="CJ1197" s="15">
        <v>195680.0</v>
      </c>
      <c r="CK1197" s="15">
        <v>195680.0</v>
      </c>
      <c r="CL1197" s="15">
        <v>4110000.0</v>
      </c>
      <c r="CM1197" s="15">
        <v>4010000.0</v>
      </c>
      <c r="CN1197" s="15">
        <v>3620000.0</v>
      </c>
      <c r="CO1197" s="15">
        <v>3530000.0</v>
      </c>
      <c r="CP1197" s="15">
        <v>2930000.0</v>
      </c>
      <c r="CQ1197" s="15">
        <v>33970.0</v>
      </c>
      <c r="CR1197" s="15">
        <v>25900.0</v>
      </c>
      <c r="CS1197" s="15">
        <v>21630.0</v>
      </c>
      <c r="CT1197" s="15">
        <v>30710.0</v>
      </c>
      <c r="CU1197" s="15">
        <v>24260.0</v>
      </c>
      <c r="CV1197" s="15">
        <v>276000.0</v>
      </c>
      <c r="CW1197" s="15">
        <v>3650.0</v>
      </c>
      <c r="CX1197" s="16">
        <v>0.0</v>
      </c>
      <c r="CY1197" s="16">
        <v>0.0</v>
      </c>
      <c r="CZ1197" s="16">
        <v>0.0</v>
      </c>
      <c r="DA1197" s="15">
        <v>0.0</v>
      </c>
      <c r="DB1197" s="15">
        <v>276000.0</v>
      </c>
      <c r="DC1197" s="15">
        <v>333680.0</v>
      </c>
      <c r="DD1197" s="15">
        <v>245250.0</v>
      </c>
      <c r="DE1197" s="15">
        <v>246780.0</v>
      </c>
      <c r="DF1197" s="15">
        <v>3330000.0</v>
      </c>
      <c r="DG1197" s="15">
        <v>3190000.0</v>
      </c>
      <c r="DH1197" s="15">
        <v>2990000.0</v>
      </c>
      <c r="DI1197" s="15">
        <v>2890000.0</v>
      </c>
      <c r="DJ1197" s="15">
        <v>2360000.0</v>
      </c>
      <c r="DK1197" s="15">
        <v>8870.0</v>
      </c>
      <c r="DL1197" s="15">
        <v>24510.0</v>
      </c>
      <c r="DM1197" s="15">
        <v>28520.0</v>
      </c>
      <c r="DN1197" s="15">
        <v>10570.0</v>
      </c>
      <c r="DO1197" s="15">
        <v>14080.0</v>
      </c>
      <c r="DP1197" s="15">
        <v>3010000.0</v>
      </c>
      <c r="DQ1197" s="15">
        <v>2820000.0</v>
      </c>
      <c r="DR1197" s="15">
        <v>2590000.0</v>
      </c>
      <c r="DS1197" s="15">
        <v>2380000.0</v>
      </c>
      <c r="DT1197" s="15">
        <v>2070000.0</v>
      </c>
      <c r="DU1197" s="16">
        <v>0.0</v>
      </c>
      <c r="DV1197" s="15">
        <v>0.0</v>
      </c>
      <c r="DW1197" s="15">
        <v>0.0</v>
      </c>
      <c r="DX1197" s="16">
        <v>0.0</v>
      </c>
      <c r="DY1197" s="16">
        <v>0.0</v>
      </c>
      <c r="DZ1197" s="15">
        <v>500720.0</v>
      </c>
      <c r="EA1197" s="15">
        <v>519620.0</v>
      </c>
      <c r="EB1197" s="15">
        <v>378730.0</v>
      </c>
      <c r="EC1197" s="15">
        <v>349750.0</v>
      </c>
      <c r="ED1197" s="15">
        <v>552920.0</v>
      </c>
      <c r="EE1197" s="17">
        <v>0.516</v>
      </c>
      <c r="EF1197" s="17">
        <v>0.472</v>
      </c>
      <c r="EG1197" s="17">
        <v>-13.111</v>
      </c>
      <c r="EH1197" s="17">
        <v>-4.398</v>
      </c>
    </row>
    <row r="1198">
      <c r="A1198" s="9">
        <f t="shared" si="2"/>
        <v>1196</v>
      </c>
      <c r="B1198" s="10" t="s">
        <v>1333</v>
      </c>
      <c r="C1198" s="11">
        <v>557100.0</v>
      </c>
      <c r="D1198" s="11">
        <v>538700.0</v>
      </c>
      <c r="E1198" s="11">
        <v>1850000.0</v>
      </c>
      <c r="F1198" s="11">
        <v>2220000.0</v>
      </c>
      <c r="G1198" s="11">
        <v>2090000.0</v>
      </c>
      <c r="H1198" s="11">
        <v>2030000.0</v>
      </c>
      <c r="I1198" s="11">
        <v>1990000.0</v>
      </c>
      <c r="J1198" s="11">
        <v>228750.0</v>
      </c>
      <c r="K1198" s="11">
        <v>345210.0</v>
      </c>
      <c r="L1198" s="11">
        <v>326240.0</v>
      </c>
      <c r="M1198" s="11">
        <v>344870.0</v>
      </c>
      <c r="N1198" s="11">
        <v>386890.0</v>
      </c>
      <c r="O1198" s="11">
        <v>356510.0</v>
      </c>
      <c r="P1198" s="11">
        <v>375270.0</v>
      </c>
      <c r="Q1198" s="11">
        <v>393730.0</v>
      </c>
      <c r="R1198" s="11">
        <v>377440.0</v>
      </c>
      <c r="S1198" s="11">
        <v>326890.0</v>
      </c>
      <c r="T1198" s="12"/>
      <c r="U1198" s="12"/>
      <c r="V1198" s="12"/>
      <c r="W1198" s="12"/>
      <c r="X1198" s="12"/>
      <c r="Y1198" s="11">
        <v>-361410.0</v>
      </c>
      <c r="Z1198" s="11">
        <v>-163070.0</v>
      </c>
      <c r="AA1198" s="11">
        <v>-106160.0</v>
      </c>
      <c r="AB1198" s="11">
        <v>-371200.0</v>
      </c>
      <c r="AC1198" s="11">
        <v>2370.0</v>
      </c>
      <c r="AD1198" s="11">
        <v>-344600.0</v>
      </c>
      <c r="AE1198" s="11">
        <v>-175410.0</v>
      </c>
      <c r="AF1198" s="11">
        <v>-116380.0</v>
      </c>
      <c r="AG1198" s="11">
        <v>-426600.0</v>
      </c>
      <c r="AH1198" s="11">
        <v>42930.0</v>
      </c>
      <c r="AI1198" s="11">
        <v>-68760.0</v>
      </c>
      <c r="AJ1198" s="11">
        <v>12710.0</v>
      </c>
      <c r="AK1198" s="11">
        <v>-29740.0</v>
      </c>
      <c r="AL1198" s="11">
        <v>5570.0</v>
      </c>
      <c r="AM1198" s="11">
        <v>91630.0</v>
      </c>
      <c r="AN1198" s="11">
        <v>-340940.0</v>
      </c>
      <c r="AO1198" s="11">
        <v>-165600.0</v>
      </c>
      <c r="AP1198" s="11">
        <v>-91190.0</v>
      </c>
      <c r="AQ1198" s="11">
        <v>-360320.0</v>
      </c>
      <c r="AR1198" s="11">
        <v>25620.0</v>
      </c>
      <c r="AS1198" s="11">
        <v>-97080.0</v>
      </c>
      <c r="AT1198" s="11">
        <v>5590.0</v>
      </c>
      <c r="AU1198" s="11">
        <v>-45550.0</v>
      </c>
      <c r="AV1198" s="11">
        <v>28850.0</v>
      </c>
      <c r="AW1198" s="11">
        <v>68210.0</v>
      </c>
      <c r="AX1198" s="11">
        <v>-27750.0</v>
      </c>
      <c r="AY1198" s="11">
        <v>-25500.0</v>
      </c>
      <c r="AZ1198" s="11">
        <v>-14520.0</v>
      </c>
      <c r="BA1198" s="11">
        <v>-17570.0</v>
      </c>
      <c r="BB1198" s="11">
        <v>-49980.0</v>
      </c>
      <c r="BC1198" s="12"/>
      <c r="BD1198" s="12"/>
      <c r="BE1198" s="12"/>
      <c r="BF1198" s="12"/>
      <c r="BG1198" s="12"/>
      <c r="BH1198" s="11">
        <v>4780.0</v>
      </c>
      <c r="BI1198" s="11">
        <v>11180.0</v>
      </c>
      <c r="BJ1198" s="11">
        <v>25700.0</v>
      </c>
      <c r="BK1198" s="11">
        <v>29510.0</v>
      </c>
      <c r="BL1198" s="11">
        <v>7930.0</v>
      </c>
      <c r="BM1198" s="11">
        <v>219250.0</v>
      </c>
      <c r="BN1198" s="11">
        <v>278750.0</v>
      </c>
      <c r="BO1198" s="11">
        <v>336380.0</v>
      </c>
      <c r="BP1198" s="11">
        <v>313690.0</v>
      </c>
      <c r="BQ1198" s="11">
        <v>280690.0</v>
      </c>
      <c r="BR1198" s="12"/>
      <c r="BS1198" s="12"/>
      <c r="BT1198" s="12"/>
      <c r="BU1198" s="12"/>
      <c r="BV1198" s="12"/>
      <c r="BW1198" s="11">
        <v>264500.0</v>
      </c>
      <c r="BX1198" s="11">
        <v>351040.0</v>
      </c>
      <c r="BY1198" s="11">
        <v>398390.0</v>
      </c>
      <c r="BZ1198" s="11">
        <v>374490.0</v>
      </c>
      <c r="CA1198" s="11">
        <v>346560.0</v>
      </c>
      <c r="CB1198" s="11">
        <v>277560.0</v>
      </c>
      <c r="CC1198" s="11">
        <v>188710.0</v>
      </c>
      <c r="CD1198" s="11">
        <v>159550.0</v>
      </c>
      <c r="CE1198" s="11">
        <v>171860.0</v>
      </c>
      <c r="CF1198" s="11">
        <v>195360.0</v>
      </c>
      <c r="CG1198" s="11">
        <v>97270.0</v>
      </c>
      <c r="CH1198" s="11">
        <v>264830.0</v>
      </c>
      <c r="CI1198" s="11">
        <v>264830.0</v>
      </c>
      <c r="CJ1198" s="11">
        <v>312540.0</v>
      </c>
      <c r="CK1198" s="11">
        <v>682810.0</v>
      </c>
      <c r="CL1198" s="11">
        <v>716630.0</v>
      </c>
      <c r="CM1198" s="11">
        <v>889830.0</v>
      </c>
      <c r="CN1198" s="11">
        <v>906660.0</v>
      </c>
      <c r="CO1198" s="11">
        <v>961670.0</v>
      </c>
      <c r="CP1198" s="11">
        <v>1310000.0</v>
      </c>
      <c r="CQ1198" s="11">
        <v>129720.0</v>
      </c>
      <c r="CR1198" s="11">
        <v>160240.0</v>
      </c>
      <c r="CS1198" s="11">
        <v>171910.0</v>
      </c>
      <c r="CT1198" s="11">
        <v>149070.0</v>
      </c>
      <c r="CU1198" s="11">
        <v>116170.0</v>
      </c>
      <c r="CV1198" s="11">
        <v>274140.0</v>
      </c>
      <c r="CW1198" s="11">
        <v>38570.0</v>
      </c>
      <c r="CX1198" s="12"/>
      <c r="CY1198" s="12"/>
      <c r="CZ1198" s="12"/>
      <c r="DA1198" s="12"/>
      <c r="DB1198" s="11">
        <v>274140.0</v>
      </c>
      <c r="DC1198" s="11">
        <v>297590.0</v>
      </c>
      <c r="DD1198" s="11">
        <v>287260.0</v>
      </c>
      <c r="DE1198" s="11">
        <v>684040.0</v>
      </c>
      <c r="DF1198" s="11">
        <v>660800.0</v>
      </c>
      <c r="DG1198" s="11">
        <v>539100.0</v>
      </c>
      <c r="DH1198" s="11">
        <v>532500.0</v>
      </c>
      <c r="DI1198" s="11">
        <v>764200.0</v>
      </c>
      <c r="DJ1198" s="11">
        <v>751310.0</v>
      </c>
      <c r="DK1198" s="12"/>
      <c r="DL1198" s="11"/>
      <c r="DM1198" s="11"/>
      <c r="DN1198" s="11"/>
      <c r="DO1198" s="12"/>
      <c r="DP1198" s="11">
        <v>337980.0</v>
      </c>
      <c r="DQ1198" s="11">
        <v>193330.0</v>
      </c>
      <c r="DR1198" s="11">
        <v>194260.0</v>
      </c>
      <c r="DS1198" s="12"/>
      <c r="DT1198" s="12"/>
      <c r="DU1198" s="13"/>
      <c r="DV1198" s="11">
        <v>402880.0</v>
      </c>
      <c r="DW1198" s="11">
        <v>263320.0</v>
      </c>
      <c r="DX1198" s="12"/>
      <c r="DY1198" s="12"/>
      <c r="DZ1198" s="11">
        <v>55830.0</v>
      </c>
      <c r="EA1198" s="11">
        <v>350730.0</v>
      </c>
      <c r="EB1198" s="11">
        <v>374160.0</v>
      </c>
      <c r="EC1198" s="11">
        <v>197470.0</v>
      </c>
      <c r="ED1198" s="11">
        <v>556440.0</v>
      </c>
      <c r="EE1198" s="14">
        <v>0.0</v>
      </c>
      <c r="EF1198" s="14">
        <v>0.0</v>
      </c>
      <c r="EG1198" s="14">
        <v>0.35</v>
      </c>
      <c r="EH1198" s="23"/>
    </row>
    <row r="1199">
      <c r="A1199" s="9">
        <f t="shared" si="2"/>
        <v>1197</v>
      </c>
      <c r="B1199" s="10" t="s">
        <v>1334</v>
      </c>
      <c r="C1199" s="15">
        <v>9640000.0</v>
      </c>
      <c r="D1199" s="15">
        <v>8910000.0</v>
      </c>
      <c r="E1199" s="15">
        <v>1.097E7</v>
      </c>
      <c r="F1199" s="15">
        <v>1.153E7</v>
      </c>
      <c r="G1199" s="15">
        <v>9720000.0</v>
      </c>
      <c r="H1199" s="15">
        <v>8610000.0</v>
      </c>
      <c r="I1199" s="15">
        <v>9350000.0</v>
      </c>
      <c r="J1199" s="15">
        <v>3110000.0</v>
      </c>
      <c r="K1199" s="15">
        <v>3070000.0</v>
      </c>
      <c r="L1199" s="15">
        <v>2570000.0</v>
      </c>
      <c r="M1199" s="15">
        <v>2380000.0</v>
      </c>
      <c r="N1199" s="15">
        <v>2330000.0</v>
      </c>
      <c r="O1199" s="15">
        <v>2100000.0</v>
      </c>
      <c r="P1199" s="15">
        <v>2110000.0</v>
      </c>
      <c r="Q1199" s="15">
        <v>1900000.0</v>
      </c>
      <c r="R1199" s="15">
        <v>1800000.0</v>
      </c>
      <c r="S1199" s="15">
        <v>1740000.0</v>
      </c>
      <c r="T1199" s="15">
        <v>0.0</v>
      </c>
      <c r="U1199" s="15">
        <v>0.0</v>
      </c>
      <c r="V1199" s="15">
        <v>0.0</v>
      </c>
      <c r="W1199" s="15">
        <v>0.0</v>
      </c>
      <c r="X1199" s="15">
        <v>0.0</v>
      </c>
      <c r="Y1199" s="15">
        <v>1010000.0</v>
      </c>
      <c r="Z1199" s="15">
        <v>881400.0</v>
      </c>
      <c r="AA1199" s="15">
        <v>658200.0</v>
      </c>
      <c r="AB1199" s="15">
        <v>459200.0</v>
      </c>
      <c r="AC1199" s="15">
        <v>546600.0</v>
      </c>
      <c r="AD1199" s="15">
        <v>929300.0</v>
      </c>
      <c r="AE1199" s="15">
        <v>850600.0</v>
      </c>
      <c r="AF1199" s="15">
        <v>583800.0</v>
      </c>
      <c r="AG1199" s="15">
        <v>429200.0</v>
      </c>
      <c r="AH1199" s="15">
        <v>458700.0</v>
      </c>
      <c r="AI1199" s="15">
        <v>1230000.0</v>
      </c>
      <c r="AJ1199" s="15">
        <v>1170000.0</v>
      </c>
      <c r="AK1199" s="15">
        <v>884900.0</v>
      </c>
      <c r="AL1199" s="15">
        <v>799200.0</v>
      </c>
      <c r="AM1199" s="15">
        <v>809800.0</v>
      </c>
      <c r="AN1199" s="15">
        <v>701500.0</v>
      </c>
      <c r="AO1199" s="15">
        <v>633700.0</v>
      </c>
      <c r="AP1199" s="15">
        <v>613400.0</v>
      </c>
      <c r="AQ1199" s="15">
        <v>304300.0</v>
      </c>
      <c r="AR1199" s="15">
        <v>311500.0</v>
      </c>
      <c r="AS1199" s="15">
        <v>1300000.0</v>
      </c>
      <c r="AT1199" s="15">
        <v>664600.0</v>
      </c>
      <c r="AU1199" s="15">
        <v>399000.0</v>
      </c>
      <c r="AV1199" s="15">
        <v>626500.0</v>
      </c>
      <c r="AW1199" s="15">
        <v>1030000.0</v>
      </c>
      <c r="AX1199" s="15">
        <v>-242200.0</v>
      </c>
      <c r="AY1199" s="15">
        <v>-239900.0</v>
      </c>
      <c r="AZ1199" s="15">
        <v>-161600.0</v>
      </c>
      <c r="BA1199" s="15">
        <v>-154900.0</v>
      </c>
      <c r="BB1199" s="15">
        <v>-172200.0</v>
      </c>
      <c r="BC1199" s="15">
        <v>-151300.0</v>
      </c>
      <c r="BD1199" s="15">
        <v>-145300.0</v>
      </c>
      <c r="BE1199" s="15">
        <v>-132000.0</v>
      </c>
      <c r="BF1199" s="15">
        <v>-120400.0</v>
      </c>
      <c r="BG1199" s="15">
        <v>-120100.0</v>
      </c>
      <c r="BH1199" s="15">
        <v>174300.0</v>
      </c>
      <c r="BI1199" s="15">
        <v>128200.0</v>
      </c>
      <c r="BJ1199" s="15">
        <v>154400.0</v>
      </c>
      <c r="BK1199" s="15">
        <v>122800.0</v>
      </c>
      <c r="BL1199" s="15">
        <v>104300.0</v>
      </c>
      <c r="BM1199" s="15">
        <v>1110000.0</v>
      </c>
      <c r="BN1199" s="15">
        <v>1260000.0</v>
      </c>
      <c r="BO1199" s="15">
        <v>1090000.0</v>
      </c>
      <c r="BP1199" s="15">
        <v>960200.0</v>
      </c>
      <c r="BQ1199" s="15">
        <v>953100.0</v>
      </c>
      <c r="BR1199" s="15">
        <v>1650000.0</v>
      </c>
      <c r="BS1199" s="15">
        <v>1820000.0</v>
      </c>
      <c r="BT1199" s="15">
        <v>1730000.0</v>
      </c>
      <c r="BU1199" s="15">
        <v>1530000.0</v>
      </c>
      <c r="BV1199" s="15">
        <v>1440000.0</v>
      </c>
      <c r="BW1199" s="15">
        <v>3010000.0</v>
      </c>
      <c r="BX1199" s="15">
        <v>3290000.0</v>
      </c>
      <c r="BY1199" s="15">
        <v>3050000.0</v>
      </c>
      <c r="BZ1199" s="15">
        <v>2690000.0</v>
      </c>
      <c r="CA1199" s="15">
        <v>2550000.0</v>
      </c>
      <c r="CB1199" s="15">
        <v>2000000.0</v>
      </c>
      <c r="CC1199" s="15">
        <v>1730000.0</v>
      </c>
      <c r="CD1199" s="15">
        <v>1660000.0</v>
      </c>
      <c r="CE1199" s="15">
        <v>1660000.0</v>
      </c>
      <c r="CF1199" s="15">
        <v>1640000.0</v>
      </c>
      <c r="CG1199" s="15">
        <v>2000000.0</v>
      </c>
      <c r="CH1199" s="15">
        <v>1870000.0</v>
      </c>
      <c r="CI1199" s="15">
        <v>1840000.0</v>
      </c>
      <c r="CJ1199" s="15">
        <v>1830000.0</v>
      </c>
      <c r="CK1199" s="15">
        <v>1720000.0</v>
      </c>
      <c r="CL1199" s="15">
        <v>8130000.0</v>
      </c>
      <c r="CM1199" s="15">
        <v>8040000.0</v>
      </c>
      <c r="CN1199" s="15">
        <v>7750000.0</v>
      </c>
      <c r="CO1199" s="15">
        <v>7410000.0</v>
      </c>
      <c r="CP1199" s="15">
        <v>7120000.0</v>
      </c>
      <c r="CQ1199" s="15">
        <v>275000.0</v>
      </c>
      <c r="CR1199" s="15">
        <v>338800.0</v>
      </c>
      <c r="CS1199" s="15">
        <v>346700.0</v>
      </c>
      <c r="CT1199" s="15">
        <v>302200.0</v>
      </c>
      <c r="CU1199" s="15">
        <v>247000.0</v>
      </c>
      <c r="CV1199" s="15">
        <v>675300.0</v>
      </c>
      <c r="CW1199" s="15">
        <v>117400.0</v>
      </c>
      <c r="CX1199" s="15">
        <v>65200.0</v>
      </c>
      <c r="CY1199" s="15">
        <v>92000.0</v>
      </c>
      <c r="CZ1199" s="15">
        <v>82500.0</v>
      </c>
      <c r="DA1199" s="15">
        <v>500800.0</v>
      </c>
      <c r="DB1199" s="15">
        <v>675300.0</v>
      </c>
      <c r="DC1199" s="15">
        <v>699100.0</v>
      </c>
      <c r="DD1199" s="15">
        <v>703700.0</v>
      </c>
      <c r="DE1199" s="15">
        <v>656000.0</v>
      </c>
      <c r="DF1199" s="15">
        <v>2920000.0</v>
      </c>
      <c r="DG1199" s="15">
        <v>3370000.0</v>
      </c>
      <c r="DH1199" s="15">
        <v>3050000.0</v>
      </c>
      <c r="DI1199" s="15">
        <v>3230000.0</v>
      </c>
      <c r="DJ1199" s="15">
        <v>3180000.0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1670000.0</v>
      </c>
      <c r="DQ1199" s="15">
        <v>2140000.0</v>
      </c>
      <c r="DR1199" s="15">
        <v>1810000.0</v>
      </c>
      <c r="DS1199" s="15">
        <v>1850000.0</v>
      </c>
      <c r="DT1199" s="15">
        <v>1430000.0</v>
      </c>
      <c r="DU1199" s="16">
        <v>0.0</v>
      </c>
      <c r="DV1199" s="15">
        <v>0.0</v>
      </c>
      <c r="DW1199" s="15">
        <v>0.0</v>
      </c>
      <c r="DX1199" s="16">
        <v>0.0</v>
      </c>
      <c r="DY1199" s="16">
        <v>0.0</v>
      </c>
      <c r="DZ1199" s="15">
        <v>5210000.0</v>
      </c>
      <c r="EA1199" s="15">
        <v>4670000.0</v>
      </c>
      <c r="EB1199" s="15">
        <v>4670000.0</v>
      </c>
      <c r="EC1199" s="15">
        <v>4150000.0</v>
      </c>
      <c r="ED1199" s="15">
        <v>3910000.0</v>
      </c>
      <c r="EE1199" s="17">
        <v>0.058</v>
      </c>
      <c r="EF1199" s="17">
        <v>0.078</v>
      </c>
      <c r="EG1199" s="17">
        <v>0.167</v>
      </c>
      <c r="EH1199" s="17">
        <v>0.213</v>
      </c>
    </row>
    <row r="1200">
      <c r="A1200" s="9">
        <f t="shared" si="2"/>
        <v>1198</v>
      </c>
      <c r="B1200" s="10" t="s">
        <v>1335</v>
      </c>
      <c r="C1200" s="11">
        <v>3.182E7</v>
      </c>
      <c r="D1200" s="11">
        <v>3.116E7</v>
      </c>
      <c r="E1200" s="11">
        <v>678870.0</v>
      </c>
      <c r="F1200" s="11">
        <v>587630.0</v>
      </c>
      <c r="G1200" s="11">
        <v>528760.0</v>
      </c>
      <c r="H1200" s="11">
        <v>537590.0</v>
      </c>
      <c r="I1200" s="11">
        <v>516090.0</v>
      </c>
      <c r="J1200" s="11">
        <v>357110.0</v>
      </c>
      <c r="K1200" s="11">
        <v>316200.0</v>
      </c>
      <c r="L1200" s="11">
        <v>288390.0</v>
      </c>
      <c r="M1200" s="11">
        <v>288650.0</v>
      </c>
      <c r="N1200" s="11">
        <v>268930.0</v>
      </c>
      <c r="O1200" s="11">
        <v>352150.0</v>
      </c>
      <c r="P1200" s="11">
        <v>316190.0</v>
      </c>
      <c r="Q1200" s="11">
        <v>303460.0</v>
      </c>
      <c r="R1200" s="11">
        <v>293690.0</v>
      </c>
      <c r="S1200" s="11">
        <v>255270.0</v>
      </c>
      <c r="T1200" s="12"/>
      <c r="U1200" s="12"/>
      <c r="V1200" s="12"/>
      <c r="W1200" s="12"/>
      <c r="X1200" s="12"/>
      <c r="Y1200" s="11">
        <v>7360.0</v>
      </c>
      <c r="Z1200" s="12"/>
      <c r="AA1200" s="12"/>
      <c r="AB1200" s="11">
        <v>-4270.0</v>
      </c>
      <c r="AC1200" s="11">
        <v>12890.0</v>
      </c>
      <c r="AD1200" s="11">
        <v>19190.0</v>
      </c>
      <c r="AE1200" s="11">
        <v>18700.0</v>
      </c>
      <c r="AF1200" s="11">
        <v>5080.0</v>
      </c>
      <c r="AG1200" s="11">
        <v>16660.0</v>
      </c>
      <c r="AH1200" s="11">
        <v>33280.0</v>
      </c>
      <c r="AI1200" s="11">
        <v>45440.0</v>
      </c>
      <c r="AJ1200" s="11">
        <v>26850.0</v>
      </c>
      <c r="AK1200" s="11">
        <v>10980.0</v>
      </c>
      <c r="AL1200" s="11">
        <v>19310.0</v>
      </c>
      <c r="AM1200" s="11">
        <v>35120.0</v>
      </c>
      <c r="AN1200" s="11">
        <v>42590.0</v>
      </c>
      <c r="AO1200" s="11">
        <v>12820.0</v>
      </c>
      <c r="AP1200" s="11">
        <v>3180.0</v>
      </c>
      <c r="AQ1200" s="11">
        <v>11760.0</v>
      </c>
      <c r="AR1200" s="11">
        <v>23810.0</v>
      </c>
      <c r="AS1200" s="11">
        <v>63070.0</v>
      </c>
      <c r="AT1200" s="11">
        <v>37320.0</v>
      </c>
      <c r="AU1200" s="11">
        <v>15860.0</v>
      </c>
      <c r="AV1200" s="11">
        <v>40830.0</v>
      </c>
      <c r="AW1200" s="11">
        <v>59970.0</v>
      </c>
      <c r="AX1200" s="11">
        <v>-19380.0</v>
      </c>
      <c r="AY1200" s="11">
        <v>-24860.0</v>
      </c>
      <c r="AZ1200" s="11">
        <v>-28970.0</v>
      </c>
      <c r="BA1200" s="11">
        <v>-27970.0</v>
      </c>
      <c r="BB1200" s="11">
        <v>-40890.0</v>
      </c>
      <c r="BC1200" s="11">
        <v>-17.0</v>
      </c>
      <c r="BD1200" s="11">
        <v>-17.0</v>
      </c>
      <c r="BE1200" s="11">
        <v>-5580.0</v>
      </c>
      <c r="BF1200" s="11">
        <v>-12570.0</v>
      </c>
      <c r="BG1200" s="11">
        <v>-17.0</v>
      </c>
      <c r="BH1200" s="11">
        <v>55490.0</v>
      </c>
      <c r="BI1200" s="11">
        <v>69780.0</v>
      </c>
      <c r="BJ1200" s="11">
        <v>58130.0</v>
      </c>
      <c r="BK1200" s="11">
        <v>81460.0</v>
      </c>
      <c r="BL1200" s="11">
        <v>80940.0</v>
      </c>
      <c r="BM1200" s="11">
        <v>3840.0</v>
      </c>
      <c r="BN1200" s="11">
        <v>12260.0</v>
      </c>
      <c r="BO1200" s="11">
        <v>29590.0</v>
      </c>
      <c r="BP1200" s="11">
        <v>5730.0</v>
      </c>
      <c r="BQ1200" s="11">
        <v>10290.0</v>
      </c>
      <c r="BR1200" s="11">
        <v>100640.0</v>
      </c>
      <c r="BS1200" s="11">
        <v>92130.0</v>
      </c>
      <c r="BT1200" s="11">
        <v>77840.0</v>
      </c>
      <c r="BU1200" s="11">
        <v>61320.0</v>
      </c>
      <c r="BV1200" s="11">
        <v>70080.0</v>
      </c>
      <c r="BW1200" s="11">
        <v>178390.0</v>
      </c>
      <c r="BX1200" s="11">
        <v>192410.0</v>
      </c>
      <c r="BY1200" s="11">
        <v>169120.0</v>
      </c>
      <c r="BZ1200" s="11">
        <v>182980.0</v>
      </c>
      <c r="CA1200" s="11">
        <v>174240.0</v>
      </c>
      <c r="CB1200" s="11">
        <v>62390.0</v>
      </c>
      <c r="CC1200" s="11">
        <v>60720.0</v>
      </c>
      <c r="CD1200" s="11">
        <v>57150.0</v>
      </c>
      <c r="CE1200" s="11">
        <v>53360.0</v>
      </c>
      <c r="CF1200" s="11">
        <v>54470.0</v>
      </c>
      <c r="CG1200" s="12"/>
      <c r="CH1200" s="12"/>
      <c r="CI1200" s="12"/>
      <c r="CJ1200" s="12"/>
      <c r="CK1200" s="12"/>
      <c r="CL1200" s="11">
        <v>486290.0</v>
      </c>
      <c r="CM1200" s="11">
        <v>348500.0</v>
      </c>
      <c r="CN1200" s="11">
        <v>328750.0</v>
      </c>
      <c r="CO1200" s="11">
        <v>338690.0</v>
      </c>
      <c r="CP1200" s="11">
        <v>325380.0</v>
      </c>
      <c r="CQ1200" s="11">
        <v>24990.0</v>
      </c>
      <c r="CR1200" s="11">
        <v>21160.0</v>
      </c>
      <c r="CS1200" s="11">
        <v>22900.0</v>
      </c>
      <c r="CT1200" s="11">
        <v>24110.0</v>
      </c>
      <c r="CU1200" s="11">
        <v>18880.0</v>
      </c>
      <c r="CV1200" s="11">
        <v>67620.0</v>
      </c>
      <c r="CW1200" s="12"/>
      <c r="CX1200" s="12"/>
      <c r="CY1200" s="12"/>
      <c r="CZ1200" s="12"/>
      <c r="DA1200" s="12"/>
      <c r="DB1200" s="11">
        <v>67620.0</v>
      </c>
      <c r="DC1200" s="11">
        <v>56400.0</v>
      </c>
      <c r="DD1200" s="11">
        <v>46980.0</v>
      </c>
      <c r="DE1200" s="11">
        <v>56070.0</v>
      </c>
      <c r="DF1200" s="11">
        <v>165400.0</v>
      </c>
      <c r="DG1200" s="11">
        <v>75990.0</v>
      </c>
      <c r="DH1200" s="11">
        <v>69280.0</v>
      </c>
      <c r="DI1200" s="11">
        <v>77970.0</v>
      </c>
      <c r="DJ1200" s="11">
        <v>64300.0</v>
      </c>
      <c r="DK1200" s="11">
        <v>219500.0</v>
      </c>
      <c r="DL1200" s="11">
        <v>69570.0</v>
      </c>
      <c r="DM1200" s="11">
        <v>71560.0</v>
      </c>
      <c r="DN1200" s="11">
        <v>72430.0</v>
      </c>
      <c r="DO1200" s="11">
        <v>73120.0</v>
      </c>
      <c r="DP1200" s="11">
        <v>75200.0</v>
      </c>
      <c r="DQ1200" s="12"/>
      <c r="DR1200" s="12"/>
      <c r="DS1200" s="12"/>
      <c r="DT1200" s="12"/>
      <c r="DU1200" s="11">
        <v>280.0</v>
      </c>
      <c r="DV1200" s="24">
        <v>280.0</v>
      </c>
      <c r="DW1200" s="24">
        <v>280.0</v>
      </c>
      <c r="DX1200" s="24">
        <v>280.0</v>
      </c>
      <c r="DY1200" s="24">
        <v>280.0</v>
      </c>
      <c r="DZ1200" s="11">
        <v>312420.0</v>
      </c>
      <c r="EA1200" s="11">
        <v>272510.0</v>
      </c>
      <c r="EB1200" s="11">
        <v>259460.0</v>
      </c>
      <c r="EC1200" s="11">
        <v>260720.0</v>
      </c>
      <c r="ED1200" s="11">
        <v>261080.0</v>
      </c>
      <c r="EE1200" s="14">
        <v>0.006</v>
      </c>
      <c r="EF1200" s="14">
        <v>0.0</v>
      </c>
      <c r="EG1200" s="14">
        <v>0.013</v>
      </c>
      <c r="EH1200" s="14">
        <v>0.079</v>
      </c>
    </row>
    <row r="1201">
      <c r="A1201" s="9">
        <f t="shared" si="2"/>
        <v>1199</v>
      </c>
      <c r="B1201" s="22" t="s">
        <v>1336</v>
      </c>
      <c r="C1201" s="11">
        <v>203980.0</v>
      </c>
      <c r="D1201" s="11">
        <v>193770.0</v>
      </c>
      <c r="E1201" s="11">
        <v>175340.0</v>
      </c>
      <c r="F1201" s="11">
        <v>164250.0</v>
      </c>
      <c r="G1201" s="11">
        <v>154940.0</v>
      </c>
      <c r="H1201" s="11">
        <v>133590.0</v>
      </c>
      <c r="I1201" s="11">
        <v>99890.0</v>
      </c>
      <c r="J1201" s="11">
        <v>149700.0</v>
      </c>
      <c r="K1201" s="11">
        <v>140690.0</v>
      </c>
      <c r="L1201" s="11">
        <v>133530.0</v>
      </c>
      <c r="M1201" s="11">
        <v>112900.0</v>
      </c>
      <c r="N1201" s="11">
        <v>84320.0</v>
      </c>
      <c r="O1201" s="11">
        <v>249510.0</v>
      </c>
      <c r="P1201" s="11">
        <v>209380.0</v>
      </c>
      <c r="Q1201" s="11">
        <v>161700.0</v>
      </c>
      <c r="R1201" s="11">
        <v>147520.0</v>
      </c>
      <c r="S1201" s="11">
        <v>116580.0</v>
      </c>
      <c r="T1201" s="11">
        <v>139800.0</v>
      </c>
      <c r="U1201" s="11">
        <v>122780.0</v>
      </c>
      <c r="V1201" s="11">
        <v>77840.0</v>
      </c>
      <c r="W1201" s="11">
        <v>70530.0</v>
      </c>
      <c r="X1201" s="11">
        <v>49730.0</v>
      </c>
      <c r="Y1201" s="11">
        <v>-137360.0</v>
      </c>
      <c r="Z1201" s="11">
        <v>-97080.0</v>
      </c>
      <c r="AA1201" s="11">
        <v>-58280.0</v>
      </c>
      <c r="AB1201" s="11">
        <v>-56560.0</v>
      </c>
      <c r="AC1201" s="11">
        <v>-40450.0</v>
      </c>
      <c r="AD1201" s="11">
        <v>-146450.0</v>
      </c>
      <c r="AE1201" s="11">
        <v>-101870.0</v>
      </c>
      <c r="AF1201" s="11">
        <v>-58360.0</v>
      </c>
      <c r="AG1201" s="11">
        <v>-57580.0</v>
      </c>
      <c r="AH1201" s="11">
        <v>105470.0</v>
      </c>
      <c r="AI1201" s="11">
        <v>-79400.0</v>
      </c>
      <c r="AJ1201" s="11">
        <v>-50020.0</v>
      </c>
      <c r="AK1201" s="11">
        <v>-10370.0</v>
      </c>
      <c r="AL1201" s="11">
        <v>-18480.0</v>
      </c>
      <c r="AM1201" s="11">
        <v>-18870.0</v>
      </c>
      <c r="AN1201" s="11">
        <v>-146430.0</v>
      </c>
      <c r="AO1201" s="11">
        <v>-102680.0</v>
      </c>
      <c r="AP1201" s="11">
        <v>-59730.0</v>
      </c>
      <c r="AQ1201" s="11">
        <v>-47900.0</v>
      </c>
      <c r="AR1201" s="11">
        <v>117240.0</v>
      </c>
      <c r="AS1201" s="11">
        <v>-58210.0</v>
      </c>
      <c r="AT1201" s="11">
        <v>-24960.0</v>
      </c>
      <c r="AU1201" s="11">
        <v>7400.0</v>
      </c>
      <c r="AV1201" s="11">
        <v>-1600.0</v>
      </c>
      <c r="AW1201" s="11">
        <v>-554.0</v>
      </c>
      <c r="AX1201" s="11">
        <v>-15570.0</v>
      </c>
      <c r="AY1201" s="11">
        <v>-19700.0</v>
      </c>
      <c r="AZ1201" s="11">
        <v>-14010.0</v>
      </c>
      <c r="BA1201" s="11">
        <v>-11920.0</v>
      </c>
      <c r="BB1201" s="11">
        <v>-7030.0</v>
      </c>
      <c r="BC1201" s="12"/>
      <c r="BD1201" s="12"/>
      <c r="BE1201" s="12"/>
      <c r="BF1201" s="12"/>
      <c r="BG1201" s="12"/>
      <c r="BH1201" s="11">
        <v>398520.0</v>
      </c>
      <c r="BI1201" s="11">
        <v>471540.0</v>
      </c>
      <c r="BJ1201" s="11">
        <v>300630.0</v>
      </c>
      <c r="BK1201" s="11">
        <v>255870.0</v>
      </c>
      <c r="BL1201" s="11">
        <v>229600.0</v>
      </c>
      <c r="BM1201" s="11">
        <v>18050.0</v>
      </c>
      <c r="BN1201" s="11">
        <v>14490.0</v>
      </c>
      <c r="BO1201" s="11">
        <v>13870.0</v>
      </c>
      <c r="BP1201" s="11">
        <v>65360.0</v>
      </c>
      <c r="BQ1201" s="11">
        <v>59310.0</v>
      </c>
      <c r="BR1201" s="11">
        <v>6080.0</v>
      </c>
      <c r="BS1201" s="11">
        <v>5620.0</v>
      </c>
      <c r="BT1201" s="11">
        <v>5350.0</v>
      </c>
      <c r="BU1201" s="11">
        <v>2830.0</v>
      </c>
      <c r="BV1201" s="11">
        <v>2540.0</v>
      </c>
      <c r="BW1201" s="11">
        <v>429060.0</v>
      </c>
      <c r="BX1201" s="11">
        <v>495680.0</v>
      </c>
      <c r="BY1201" s="11">
        <v>325810.0</v>
      </c>
      <c r="BZ1201" s="11">
        <v>332350.0</v>
      </c>
      <c r="CA1201" s="11">
        <v>301930.0</v>
      </c>
      <c r="CB1201" s="11">
        <v>9890.0</v>
      </c>
      <c r="CC1201" s="11">
        <v>3150.0</v>
      </c>
      <c r="CD1201" s="11">
        <v>3230.0</v>
      </c>
      <c r="CE1201" s="11">
        <v>2590.0</v>
      </c>
      <c r="CF1201" s="11">
        <v>428.0</v>
      </c>
      <c r="CG1201" s="11">
        <v>936.0</v>
      </c>
      <c r="CH1201" s="11">
        <v>936.0</v>
      </c>
      <c r="CI1201" s="11">
        <v>936.0</v>
      </c>
      <c r="CJ1201" s="11">
        <v>936.0</v>
      </c>
      <c r="CK1201" s="11">
        <v>936.0</v>
      </c>
      <c r="CL1201" s="11">
        <v>604800.0</v>
      </c>
      <c r="CM1201" s="11">
        <v>741870.0</v>
      </c>
      <c r="CN1201" s="11">
        <v>537160.0</v>
      </c>
      <c r="CO1201" s="11">
        <v>567560.0</v>
      </c>
      <c r="CP1201" s="11">
        <v>542370.0</v>
      </c>
      <c r="CQ1201" s="11">
        <v>26610.0</v>
      </c>
      <c r="CR1201" s="11">
        <v>6950.0</v>
      </c>
      <c r="CS1201" s="11">
        <v>18940.0</v>
      </c>
      <c r="CT1201" s="11">
        <v>7520.0</v>
      </c>
      <c r="CU1201" s="11">
        <v>7640.0</v>
      </c>
      <c r="CV1201" s="11">
        <v>95450.0</v>
      </c>
      <c r="CW1201" s="11">
        <v>2610.0</v>
      </c>
      <c r="CX1201" s="12"/>
      <c r="CY1201" s="12"/>
      <c r="CZ1201" s="12"/>
      <c r="DA1201" s="12"/>
      <c r="DB1201" s="11">
        <v>95450.0</v>
      </c>
      <c r="DC1201" s="11">
        <v>104620.0</v>
      </c>
      <c r="DD1201" s="11">
        <v>85670.0</v>
      </c>
      <c r="DE1201" s="11">
        <v>83260.0</v>
      </c>
      <c r="DF1201" s="11">
        <v>383600.0</v>
      </c>
      <c r="DG1201" s="11">
        <v>423610.0</v>
      </c>
      <c r="DH1201" s="11">
        <v>244020.0</v>
      </c>
      <c r="DI1201" s="11">
        <v>259790.0</v>
      </c>
      <c r="DJ1201" s="11">
        <v>242400.0</v>
      </c>
      <c r="DK1201" s="12"/>
      <c r="DL1201" s="11">
        <v>15000.0</v>
      </c>
      <c r="DM1201" s="12"/>
      <c r="DN1201" s="12"/>
      <c r="DO1201" s="12"/>
      <c r="DP1201" s="11">
        <v>212260.0</v>
      </c>
      <c r="DQ1201" s="11">
        <v>195090.0</v>
      </c>
      <c r="DR1201" s="11">
        <v>45080.0</v>
      </c>
      <c r="DS1201" s="11">
        <v>44420.0</v>
      </c>
      <c r="DT1201" s="11">
        <v>43770.0</v>
      </c>
      <c r="DU1201" s="13"/>
      <c r="DV1201" s="12"/>
      <c r="DW1201" s="12"/>
      <c r="DX1201" s="12"/>
      <c r="DY1201" s="12"/>
      <c r="DZ1201" s="11">
        <v>221200.0</v>
      </c>
      <c r="EA1201" s="11">
        <v>318250.0</v>
      </c>
      <c r="EB1201" s="11">
        <v>293130.0</v>
      </c>
      <c r="EC1201" s="11">
        <v>307770.0</v>
      </c>
      <c r="ED1201" s="11">
        <v>299970.0</v>
      </c>
      <c r="EE1201" s="14">
        <v>0.057</v>
      </c>
      <c r="EF1201" s="14">
        <v>0.113</v>
      </c>
      <c r="EG1201" s="14">
        <v>-0.036</v>
      </c>
      <c r="EH1201" s="14">
        <v>0.273</v>
      </c>
    </row>
    <row r="1202">
      <c r="A1202" s="9">
        <f t="shared" si="2"/>
        <v>1200</v>
      </c>
      <c r="B1202" s="10" t="s">
        <v>1337</v>
      </c>
      <c r="C1202" s="15">
        <v>6.853E7</v>
      </c>
      <c r="D1202" s="15">
        <v>6.318E7</v>
      </c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2"/>
      <c r="Z1202" s="12"/>
      <c r="AA1202" s="12"/>
      <c r="AB1202" s="15"/>
      <c r="AC1202" s="15"/>
      <c r="AD1202" s="12"/>
      <c r="AE1202" s="12"/>
      <c r="AF1202" s="12"/>
      <c r="AG1202" s="15"/>
      <c r="AH1202" s="15"/>
      <c r="AI1202" s="12"/>
      <c r="AJ1202" s="12"/>
      <c r="AK1202" s="12"/>
      <c r="AL1202" s="15"/>
      <c r="AM1202" s="15"/>
      <c r="AN1202" s="12"/>
      <c r="AO1202" s="12"/>
      <c r="AP1202" s="12"/>
      <c r="AQ1202" s="15"/>
      <c r="AR1202" s="15"/>
      <c r="AS1202" s="12"/>
      <c r="AT1202" s="12"/>
      <c r="AU1202" s="12"/>
      <c r="AV1202" s="15"/>
      <c r="AW1202" s="15"/>
      <c r="AX1202" s="12"/>
      <c r="AY1202" s="12"/>
      <c r="AZ1202" s="12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6"/>
      <c r="CZ1202" s="16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6"/>
      <c r="DV1202" s="15"/>
      <c r="DW1202" s="15"/>
      <c r="DX1202" s="15"/>
      <c r="DY1202" s="15"/>
      <c r="DZ1202" s="12"/>
      <c r="EA1202" s="15"/>
      <c r="EB1202" s="15"/>
      <c r="EC1202" s="15"/>
      <c r="ED1202" s="15"/>
      <c r="EE1202" s="17">
        <v>0.11</v>
      </c>
      <c r="EF1202" s="17">
        <v>0.075</v>
      </c>
      <c r="EG1202" s="17">
        <v>0.082</v>
      </c>
      <c r="EH1202" s="17">
        <v>0.075</v>
      </c>
    </row>
    <row r="1203">
      <c r="A1203" s="9">
        <f t="shared" si="2"/>
        <v>1201</v>
      </c>
      <c r="B1203" s="22" t="s">
        <v>1338</v>
      </c>
      <c r="C1203" s="12"/>
      <c r="D1203" s="12"/>
      <c r="E1203" s="12"/>
      <c r="F1203" s="12"/>
      <c r="G1203" s="12"/>
      <c r="H1203" s="12"/>
      <c r="I1203" s="12"/>
      <c r="J1203" s="11">
        <v>-3000.0</v>
      </c>
      <c r="K1203" s="11">
        <v>-1260.0</v>
      </c>
      <c r="L1203" s="11">
        <v>-447.0</v>
      </c>
      <c r="M1203" s="11">
        <v>-118.0</v>
      </c>
      <c r="N1203" s="12"/>
      <c r="O1203" s="11">
        <v>166610.0</v>
      </c>
      <c r="P1203" s="11">
        <v>90400.0</v>
      </c>
      <c r="Q1203" s="11">
        <v>42820.0</v>
      </c>
      <c r="R1203" s="11">
        <v>10730.0</v>
      </c>
      <c r="S1203" s="12"/>
      <c r="T1203" s="11">
        <v>109420.0</v>
      </c>
      <c r="U1203" s="11">
        <v>51770.0</v>
      </c>
      <c r="V1203" s="11">
        <v>21230.0</v>
      </c>
      <c r="W1203" s="11">
        <v>8400.0</v>
      </c>
      <c r="X1203" s="12"/>
      <c r="Y1203" s="12"/>
      <c r="Z1203" s="11">
        <v>-93850.0</v>
      </c>
      <c r="AA1203" s="11">
        <v>-44050.0</v>
      </c>
      <c r="AB1203" s="11">
        <v>-10850.0</v>
      </c>
      <c r="AC1203" s="12"/>
      <c r="AD1203" s="11">
        <v>-163460.0</v>
      </c>
      <c r="AE1203" s="11">
        <v>-89200.0</v>
      </c>
      <c r="AF1203" s="11">
        <v>-43850.0</v>
      </c>
      <c r="AG1203" s="11">
        <v>-11020.0</v>
      </c>
      <c r="AH1203" s="12"/>
      <c r="AI1203" s="11">
        <v>-166610.0</v>
      </c>
      <c r="AJ1203" s="11">
        <v>-90400.0</v>
      </c>
      <c r="AK1203" s="11">
        <v>-42820.0</v>
      </c>
      <c r="AL1203" s="11">
        <v>-10730.0</v>
      </c>
      <c r="AM1203" s="12"/>
      <c r="AN1203" s="11">
        <v>-163460.0</v>
      </c>
      <c r="AO1203" s="11">
        <v>-89200.0</v>
      </c>
      <c r="AP1203" s="11">
        <v>-43850.0</v>
      </c>
      <c r="AQ1203" s="11">
        <v>-11020.0</v>
      </c>
      <c r="AR1203" s="12"/>
      <c r="AS1203" s="11">
        <v>-107770.0</v>
      </c>
      <c r="AT1203" s="11">
        <v>-58340.0</v>
      </c>
      <c r="AU1203" s="11">
        <v>-21940.0</v>
      </c>
      <c r="AV1203" s="11">
        <v>-9500.0</v>
      </c>
      <c r="AW1203" s="12"/>
      <c r="AX1203" s="11">
        <v>-40660.0</v>
      </c>
      <c r="AY1203" s="11">
        <v>-14950.0</v>
      </c>
      <c r="AZ1203" s="11">
        <v>-2250.0</v>
      </c>
      <c r="BA1203" s="11">
        <v>-443.0</v>
      </c>
      <c r="BB1203" s="12"/>
      <c r="BC1203" s="12"/>
      <c r="BD1203" s="12"/>
      <c r="BE1203" s="12"/>
      <c r="BF1203" s="12"/>
      <c r="BG1203" s="12"/>
      <c r="BH1203" s="11">
        <v>283290.0</v>
      </c>
      <c r="BI1203" s="11">
        <v>404670.0</v>
      </c>
      <c r="BJ1203" s="11">
        <v>104290.0</v>
      </c>
      <c r="BK1203" s="11">
        <v>6830.0</v>
      </c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1">
        <v>289270.0</v>
      </c>
      <c r="BX1203" s="11">
        <v>414410.0</v>
      </c>
      <c r="BY1203" s="11">
        <v>104990.0</v>
      </c>
      <c r="BZ1203" s="11">
        <v>6890.0</v>
      </c>
      <c r="CA1203" s="12"/>
      <c r="CB1203" s="11">
        <v>103480.0</v>
      </c>
      <c r="CC1203" s="11">
        <v>62800.0</v>
      </c>
      <c r="CD1203" s="11">
        <v>2420.0</v>
      </c>
      <c r="CE1203" s="11">
        <v>868.0</v>
      </c>
      <c r="CF1203" s="12"/>
      <c r="CG1203" s="12"/>
      <c r="CH1203" s="12"/>
      <c r="CI1203" s="12"/>
      <c r="CJ1203" s="12"/>
      <c r="CK1203" s="12"/>
      <c r="CL1203" s="11">
        <v>394840.0</v>
      </c>
      <c r="CM1203" s="11">
        <v>479110.0</v>
      </c>
      <c r="CN1203" s="11">
        <v>107690.0</v>
      </c>
      <c r="CO1203" s="11">
        <v>7990.0</v>
      </c>
      <c r="CP1203" s="12"/>
      <c r="CQ1203" s="11">
        <v>7180.0</v>
      </c>
      <c r="CR1203" s="11">
        <v>7890.0</v>
      </c>
      <c r="CS1203" s="11">
        <v>2030.0</v>
      </c>
      <c r="CT1203" s="11">
        <v>1180.0</v>
      </c>
      <c r="CU1203" s="12"/>
      <c r="CV1203" s="11">
        <v>33760.0</v>
      </c>
      <c r="CW1203" s="11">
        <v>10540.0</v>
      </c>
      <c r="CX1203" s="12"/>
      <c r="CY1203" s="12"/>
      <c r="CZ1203" s="12"/>
      <c r="DA1203" s="12"/>
      <c r="DB1203" s="11">
        <v>33760.0</v>
      </c>
      <c r="DC1203" s="11">
        <v>20000.0</v>
      </c>
      <c r="DD1203" s="11">
        <v>7160.0</v>
      </c>
      <c r="DE1203" s="11">
        <v>2850.0</v>
      </c>
      <c r="DF1203" s="11">
        <v>120630.0</v>
      </c>
      <c r="DG1203" s="11">
        <v>85940.0</v>
      </c>
      <c r="DH1203" s="11">
        <v>11480.0</v>
      </c>
      <c r="DI1203" s="11">
        <v>6050.0</v>
      </c>
      <c r="DJ1203" s="12"/>
      <c r="DK1203" s="11">
        <v>1740.0</v>
      </c>
      <c r="DL1203" s="11">
        <v>1740.0</v>
      </c>
      <c r="DM1203" s="11">
        <v>284.0</v>
      </c>
      <c r="DN1203" s="11">
        <v>234.0</v>
      </c>
      <c r="DO1203" s="12"/>
      <c r="DP1203" s="11">
        <v>86460.0</v>
      </c>
      <c r="DQ1203" s="11">
        <v>65790.0</v>
      </c>
      <c r="DR1203" s="11">
        <v>3300.0</v>
      </c>
      <c r="DS1203" s="11">
        <v>2990.0</v>
      </c>
      <c r="DT1203" s="12"/>
      <c r="DU1203" s="13"/>
      <c r="DV1203" s="12"/>
      <c r="DW1203" s="11">
        <v>139790.0</v>
      </c>
      <c r="DX1203" s="11">
        <v>19070.0</v>
      </c>
      <c r="DY1203" s="13"/>
      <c r="DZ1203" s="11">
        <v>274210.0</v>
      </c>
      <c r="EA1203" s="11">
        <v>393010.0</v>
      </c>
      <c r="EB1203" s="11">
        <v>96100.0</v>
      </c>
      <c r="EC1203" s="11">
        <v>1940.0</v>
      </c>
      <c r="ED1203" s="12"/>
      <c r="EE1203" s="23"/>
      <c r="EF1203" s="23"/>
      <c r="EG1203" s="14">
        <v>0.06</v>
      </c>
      <c r="EH1203" s="14">
        <v>-0.019</v>
      </c>
    </row>
    <row r="1204">
      <c r="A1204" s="9">
        <f t="shared" si="2"/>
        <v>1202</v>
      </c>
      <c r="B1204" s="10" t="s">
        <v>1339</v>
      </c>
      <c r="C1204" s="12"/>
      <c r="D1204" s="12"/>
      <c r="E1204" s="15">
        <v>4040.0</v>
      </c>
      <c r="F1204" s="12"/>
      <c r="G1204" s="12"/>
      <c r="H1204" s="12"/>
      <c r="I1204" s="12"/>
      <c r="J1204" s="15">
        <v>2000.0</v>
      </c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5">
        <v>292.0</v>
      </c>
      <c r="AE1204" s="12"/>
      <c r="AF1204" s="12"/>
      <c r="AG1204" s="12"/>
      <c r="AH1204" s="12"/>
      <c r="AI1204" s="15">
        <v>2110.0</v>
      </c>
      <c r="AJ1204" s="12"/>
      <c r="AK1204" s="12"/>
      <c r="AL1204" s="12"/>
      <c r="AM1204" s="12"/>
      <c r="AN1204" s="15">
        <v>282.0</v>
      </c>
      <c r="AO1204" s="12"/>
      <c r="AP1204" s="12"/>
      <c r="AQ1204" s="12"/>
      <c r="AR1204" s="12"/>
      <c r="AS1204" s="15">
        <v>38.0</v>
      </c>
      <c r="AT1204" s="12"/>
      <c r="AU1204" s="12"/>
      <c r="AV1204" s="12"/>
      <c r="AW1204" s="12"/>
      <c r="AX1204" s="15">
        <v>-501.0</v>
      </c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5">
        <v>913.0</v>
      </c>
      <c r="BI1204" s="12"/>
      <c r="BJ1204" s="12"/>
      <c r="BK1204" s="12"/>
      <c r="BL1204" s="12"/>
      <c r="BM1204" s="15">
        <v>415.0</v>
      </c>
      <c r="BN1204" s="12"/>
      <c r="BO1204" s="12"/>
      <c r="BP1204" s="12"/>
      <c r="BQ1204" s="12"/>
      <c r="BR1204" s="15">
        <v>392.0</v>
      </c>
      <c r="BS1204" s="12"/>
      <c r="BT1204" s="12"/>
      <c r="BU1204" s="12"/>
      <c r="BV1204" s="12"/>
      <c r="BW1204" s="15">
        <v>1970.0</v>
      </c>
      <c r="BX1204" s="12"/>
      <c r="BY1204" s="12"/>
      <c r="BZ1204" s="12"/>
      <c r="CA1204" s="12"/>
      <c r="CB1204" s="15">
        <v>924.0</v>
      </c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5">
        <v>2940.0</v>
      </c>
      <c r="CM1204" s="12"/>
      <c r="CN1204" s="12"/>
      <c r="CO1204" s="12"/>
      <c r="CP1204" s="12"/>
      <c r="CQ1204" s="15">
        <v>257.0</v>
      </c>
      <c r="CR1204" s="12"/>
      <c r="CS1204" s="12"/>
      <c r="CT1204" s="12"/>
      <c r="CU1204" s="12"/>
      <c r="CV1204" s="15">
        <v>1320.0</v>
      </c>
      <c r="CW1204" s="12"/>
      <c r="CX1204" s="12"/>
      <c r="CY1204" s="13"/>
      <c r="CZ1204" s="13"/>
      <c r="DA1204" s="12"/>
      <c r="DB1204" s="15">
        <v>1320.0</v>
      </c>
      <c r="DC1204" s="12"/>
      <c r="DD1204" s="12"/>
      <c r="DE1204" s="12"/>
      <c r="DF1204" s="15">
        <v>1320.0</v>
      </c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3"/>
      <c r="DV1204" s="12"/>
      <c r="DW1204" s="12"/>
      <c r="DX1204" s="12"/>
      <c r="DY1204" s="12"/>
      <c r="DZ1204" s="15">
        <v>1620.0</v>
      </c>
      <c r="EA1204" s="12"/>
      <c r="EB1204" s="12"/>
      <c r="EC1204" s="12"/>
      <c r="ED1204" s="12"/>
      <c r="EE1204" s="23"/>
      <c r="EF1204" s="23"/>
      <c r="EG1204" s="23"/>
      <c r="EH1204" s="23"/>
    </row>
    <row r="1205">
      <c r="A1205" s="9">
        <f t="shared" si="2"/>
        <v>1203</v>
      </c>
      <c r="B1205" s="10" t="s">
        <v>1340</v>
      </c>
      <c r="C1205" s="15">
        <v>390710.0</v>
      </c>
      <c r="D1205" s="15">
        <v>277770.0</v>
      </c>
      <c r="E1205" s="15">
        <v>468030.0</v>
      </c>
      <c r="F1205" s="15">
        <v>452330.0</v>
      </c>
      <c r="G1205" s="15">
        <v>414820.0</v>
      </c>
      <c r="H1205" s="15">
        <v>385950.0</v>
      </c>
      <c r="I1205" s="15">
        <v>373430.0</v>
      </c>
      <c r="J1205" s="15">
        <v>104360.0</v>
      </c>
      <c r="K1205" s="15">
        <v>107430.0</v>
      </c>
      <c r="L1205" s="15">
        <v>98020.0</v>
      </c>
      <c r="M1205" s="15">
        <v>92440.0</v>
      </c>
      <c r="N1205" s="15">
        <v>86970.0</v>
      </c>
      <c r="O1205" s="15">
        <v>49540.0</v>
      </c>
      <c r="P1205" s="15">
        <v>52390.0</v>
      </c>
      <c r="Q1205" s="15">
        <v>45420.0</v>
      </c>
      <c r="R1205" s="15">
        <v>44880.0</v>
      </c>
      <c r="S1205" s="15">
        <v>42200.0</v>
      </c>
      <c r="T1205" s="15"/>
      <c r="U1205" s="15"/>
      <c r="V1205" s="15"/>
      <c r="W1205" s="15"/>
      <c r="X1205" s="15"/>
      <c r="Y1205" s="15">
        <v>54290.0</v>
      </c>
      <c r="Z1205" s="15">
        <v>53530.0</v>
      </c>
      <c r="AA1205" s="15">
        <v>-3900.0</v>
      </c>
      <c r="AB1205" s="15"/>
      <c r="AC1205" s="15"/>
      <c r="AD1205" s="15">
        <v>50380.0</v>
      </c>
      <c r="AE1205" s="15">
        <v>49850.0</v>
      </c>
      <c r="AF1205" s="15">
        <v>45910.0</v>
      </c>
      <c r="AG1205" s="15">
        <v>46420.0</v>
      </c>
      <c r="AH1205" s="15">
        <v>44330.0</v>
      </c>
      <c r="AI1205" s="15">
        <v>76180.0</v>
      </c>
      <c r="AJ1205" s="15">
        <v>73570.0</v>
      </c>
      <c r="AK1205" s="15">
        <v>67590.0</v>
      </c>
      <c r="AL1205" s="15">
        <v>60990.0</v>
      </c>
      <c r="AM1205" s="15">
        <v>57290.0</v>
      </c>
      <c r="AN1205" s="15">
        <v>42210.0</v>
      </c>
      <c r="AO1205" s="15">
        <v>41600.0</v>
      </c>
      <c r="AP1205" s="15">
        <v>30250.0</v>
      </c>
      <c r="AQ1205" s="15">
        <v>30760.0</v>
      </c>
      <c r="AR1205" s="15">
        <v>30170.0</v>
      </c>
      <c r="AS1205" s="15">
        <v>72910.0</v>
      </c>
      <c r="AT1205" s="15">
        <v>78290.0</v>
      </c>
      <c r="AU1205" s="15">
        <v>68690.0</v>
      </c>
      <c r="AV1205" s="15">
        <v>56290.0</v>
      </c>
      <c r="AW1205" s="15">
        <v>54590.0</v>
      </c>
      <c r="AX1205" s="15">
        <v>-31670.0</v>
      </c>
      <c r="AY1205" s="15">
        <v>-31910.0</v>
      </c>
      <c r="AZ1205" s="15">
        <v>-21260.0</v>
      </c>
      <c r="BA1205" s="15">
        <v>-26210.0</v>
      </c>
      <c r="BB1205" s="15">
        <v>-20290.0</v>
      </c>
      <c r="BC1205" s="13">
        <v>-15570.0</v>
      </c>
      <c r="BD1205" s="13">
        <v>-13530.0</v>
      </c>
      <c r="BE1205" s="13">
        <v>-11380.0</v>
      </c>
      <c r="BF1205" s="13">
        <v>-9200.0</v>
      </c>
      <c r="BG1205" s="13">
        <v>-8350.0</v>
      </c>
      <c r="BH1205" s="15">
        <v>5570.0</v>
      </c>
      <c r="BI1205" s="15">
        <v>5060.0</v>
      </c>
      <c r="BJ1205" s="15">
        <v>4050.0</v>
      </c>
      <c r="BK1205" s="15">
        <v>3790.0</v>
      </c>
      <c r="BL1205" s="15">
        <v>3100.0</v>
      </c>
      <c r="BM1205" s="15">
        <v>23770.0</v>
      </c>
      <c r="BN1205" s="15">
        <v>19480.0</v>
      </c>
      <c r="BO1205" s="15">
        <v>21630.0</v>
      </c>
      <c r="BP1205" s="15">
        <v>20790.0</v>
      </c>
      <c r="BQ1205" s="15">
        <v>18500.0</v>
      </c>
      <c r="BR1205" s="15">
        <v>9620.0</v>
      </c>
      <c r="BS1205" s="15">
        <v>9300.0</v>
      </c>
      <c r="BT1205" s="15">
        <v>8690.0</v>
      </c>
      <c r="BU1205" s="15">
        <v>7400.0</v>
      </c>
      <c r="BV1205" s="15">
        <v>7480.0</v>
      </c>
      <c r="BW1205" s="15">
        <v>42010.0</v>
      </c>
      <c r="BX1205" s="15">
        <v>36360.0</v>
      </c>
      <c r="BY1205" s="15">
        <v>37050.0</v>
      </c>
      <c r="BZ1205" s="15">
        <v>34420.0</v>
      </c>
      <c r="CA1205" s="15">
        <v>30580.0</v>
      </c>
      <c r="CB1205" s="15">
        <v>349320.0</v>
      </c>
      <c r="CC1205" s="15">
        <v>125990.0</v>
      </c>
      <c r="CD1205" s="15">
        <v>112210.0</v>
      </c>
      <c r="CE1205" s="15">
        <v>103040.0</v>
      </c>
      <c r="CF1205" s="15">
        <v>87980.0</v>
      </c>
      <c r="CG1205" s="15">
        <v>45550.0</v>
      </c>
      <c r="CH1205" s="15">
        <v>36520.0</v>
      </c>
      <c r="CI1205" s="15">
        <v>36520.0</v>
      </c>
      <c r="CJ1205" s="15">
        <v>24290.0</v>
      </c>
      <c r="CK1205" s="15">
        <v>24290.0</v>
      </c>
      <c r="CL1205" s="15">
        <v>563770.0</v>
      </c>
      <c r="CM1205" s="15">
        <v>266770.0</v>
      </c>
      <c r="CN1205" s="15">
        <v>252780.0</v>
      </c>
      <c r="CO1205" s="15">
        <v>222920.0</v>
      </c>
      <c r="CP1205" s="15">
        <v>213110.0</v>
      </c>
      <c r="CQ1205" s="15">
        <v>13600.0</v>
      </c>
      <c r="CR1205" s="15">
        <v>10270.0</v>
      </c>
      <c r="CS1205" s="15">
        <v>10510.0</v>
      </c>
      <c r="CT1205" s="15">
        <v>7060.0</v>
      </c>
      <c r="CU1205" s="15">
        <v>10020.0</v>
      </c>
      <c r="CV1205" s="15">
        <v>112880.0</v>
      </c>
      <c r="CW1205" s="15">
        <v>14310.0</v>
      </c>
      <c r="CX1205" s="13"/>
      <c r="CY1205" s="13"/>
      <c r="CZ1205" s="13"/>
      <c r="DA1205" s="12"/>
      <c r="DB1205" s="15">
        <v>112880.0</v>
      </c>
      <c r="DC1205" s="15">
        <v>95270.0</v>
      </c>
      <c r="DD1205" s="15">
        <v>88530.0</v>
      </c>
      <c r="DE1205" s="15">
        <v>79420.0</v>
      </c>
      <c r="DF1205" s="15">
        <v>469630.0</v>
      </c>
      <c r="DG1205" s="15">
        <v>176640.0</v>
      </c>
      <c r="DH1205" s="15">
        <v>173270.0</v>
      </c>
      <c r="DI1205" s="15">
        <v>143910.0</v>
      </c>
      <c r="DJ1205" s="15">
        <v>115210.0</v>
      </c>
      <c r="DK1205" s="15"/>
      <c r="DL1205" s="15"/>
      <c r="DM1205" s="15"/>
      <c r="DN1205" s="15"/>
      <c r="DO1205" s="15"/>
      <c r="DP1205" s="15">
        <v>287290.0</v>
      </c>
      <c r="DQ1205" s="15">
        <v>41000.0</v>
      </c>
      <c r="DR1205" s="15">
        <v>50000.0</v>
      </c>
      <c r="DS1205" s="15">
        <v>25000.0</v>
      </c>
      <c r="DT1205" s="15"/>
      <c r="DU1205" s="13"/>
      <c r="DV1205" s="12"/>
      <c r="DW1205" s="12"/>
      <c r="DX1205" s="13"/>
      <c r="DY1205" s="13"/>
      <c r="DZ1205" s="15">
        <v>94150.0</v>
      </c>
      <c r="EA1205" s="15">
        <v>90130.0</v>
      </c>
      <c r="EB1205" s="15">
        <v>79500.0</v>
      </c>
      <c r="EC1205" s="15">
        <v>79010.0</v>
      </c>
      <c r="ED1205" s="15">
        <v>97900.0</v>
      </c>
      <c r="EE1205" s="23">
        <v>0.229686431</v>
      </c>
      <c r="EF1205" s="23">
        <v>0.0831819</v>
      </c>
      <c r="EG1205" s="17">
        <v>-0.69</v>
      </c>
      <c r="EH1205" s="23">
        <v>-0.0375</v>
      </c>
    </row>
    <row r="1206">
      <c r="A1206" s="9">
        <f t="shared" si="2"/>
        <v>1204</v>
      </c>
      <c r="B1206" s="22" t="s">
        <v>1341</v>
      </c>
      <c r="C1206" s="11">
        <v>47360.0</v>
      </c>
      <c r="D1206" s="11">
        <v>52670.0</v>
      </c>
      <c r="E1206" s="11">
        <v>50040.0</v>
      </c>
      <c r="F1206" s="11">
        <v>20170.0</v>
      </c>
      <c r="G1206" s="12"/>
      <c r="H1206" s="12"/>
      <c r="I1206" s="12"/>
      <c r="J1206" s="12"/>
      <c r="K1206" s="12"/>
      <c r="L1206" s="11">
        <v>-1190.0</v>
      </c>
      <c r="M1206" s="12"/>
      <c r="N1206" s="12"/>
      <c r="O1206" s="11">
        <v>100220.0</v>
      </c>
      <c r="P1206" s="11">
        <v>58330.0</v>
      </c>
      <c r="Q1206" s="11">
        <v>29940.0</v>
      </c>
      <c r="R1206" s="12"/>
      <c r="S1206" s="12"/>
      <c r="T1206" s="11">
        <v>91160.0</v>
      </c>
      <c r="U1206" s="11">
        <v>51080.0</v>
      </c>
      <c r="V1206" s="11">
        <v>26590.0</v>
      </c>
      <c r="W1206" s="12"/>
      <c r="X1206" s="12"/>
      <c r="Y1206" s="12"/>
      <c r="Z1206" s="11">
        <v>-42450.0</v>
      </c>
      <c r="AA1206" s="12"/>
      <c r="AB1206" s="12"/>
      <c r="AC1206" s="12"/>
      <c r="AD1206" s="11">
        <v>-52040.0</v>
      </c>
      <c r="AE1206" s="11">
        <v>-41790.0</v>
      </c>
      <c r="AF1206" s="11">
        <v>-31130.0</v>
      </c>
      <c r="AG1206" s="12"/>
      <c r="AH1206" s="12"/>
      <c r="AI1206" s="11">
        <v>-50180.0</v>
      </c>
      <c r="AJ1206" s="11">
        <v>-38170.0</v>
      </c>
      <c r="AK1206" s="11">
        <v>-29940.0</v>
      </c>
      <c r="AL1206" s="12"/>
      <c r="AM1206" s="12"/>
      <c r="AN1206" s="11">
        <v>-47660.0</v>
      </c>
      <c r="AO1206" s="11">
        <v>-41790.0</v>
      </c>
      <c r="AP1206" s="11">
        <v>-31130.0</v>
      </c>
      <c r="AQ1206" s="12"/>
      <c r="AR1206" s="12"/>
      <c r="AS1206" s="11">
        <v>-49620.0</v>
      </c>
      <c r="AT1206" s="11">
        <v>1210.0</v>
      </c>
      <c r="AU1206" s="11">
        <v>-25150.0</v>
      </c>
      <c r="AV1206" s="12"/>
      <c r="AW1206" s="12"/>
      <c r="AX1206" s="11">
        <v>-2590.0</v>
      </c>
      <c r="AY1206" s="11">
        <v>-1500.0</v>
      </c>
      <c r="AZ1206" s="11">
        <v>-1580.0</v>
      </c>
      <c r="BA1206" s="12"/>
      <c r="BB1206" s="12"/>
      <c r="BC1206" s="12"/>
      <c r="BD1206" s="12"/>
      <c r="BE1206" s="12"/>
      <c r="BF1206" s="12"/>
      <c r="BG1206" s="12"/>
      <c r="BH1206" s="11">
        <v>122760.0</v>
      </c>
      <c r="BI1206" s="11">
        <v>69590.0</v>
      </c>
      <c r="BJ1206" s="11">
        <v>9080.0</v>
      </c>
      <c r="BK1206" s="12"/>
      <c r="BL1206" s="12"/>
      <c r="BM1206" s="11">
        <v>8740.0</v>
      </c>
      <c r="BN1206" s="11">
        <v>7300.0</v>
      </c>
      <c r="BO1206" s="12"/>
      <c r="BP1206" s="12"/>
      <c r="BQ1206" s="12"/>
      <c r="BR1206" s="12"/>
      <c r="BS1206" s="12"/>
      <c r="BT1206" s="12"/>
      <c r="BU1206" s="12"/>
      <c r="BV1206" s="12"/>
      <c r="BW1206" s="11">
        <v>133980.0</v>
      </c>
      <c r="BX1206" s="11">
        <v>85430.0</v>
      </c>
      <c r="BY1206" s="11">
        <v>9440.0</v>
      </c>
      <c r="BZ1206" s="12"/>
      <c r="CA1206" s="12"/>
      <c r="CB1206" s="11">
        <v>7150.0</v>
      </c>
      <c r="CC1206" s="11">
        <v>6870.0</v>
      </c>
      <c r="CD1206" s="11">
        <v>5250.0</v>
      </c>
      <c r="CE1206" s="12"/>
      <c r="CF1206" s="12"/>
      <c r="CG1206" s="11">
        <v>14610.0</v>
      </c>
      <c r="CH1206" s="11">
        <v>14610.0</v>
      </c>
      <c r="CI1206" s="12"/>
      <c r="CJ1206" s="12"/>
      <c r="CK1206" s="12"/>
      <c r="CL1206" s="11">
        <v>231360.0</v>
      </c>
      <c r="CM1206" s="11">
        <v>173500.0</v>
      </c>
      <c r="CN1206" s="11">
        <v>15080.0</v>
      </c>
      <c r="CO1206" s="12"/>
      <c r="CP1206" s="12"/>
      <c r="CQ1206" s="11">
        <v>11400.0</v>
      </c>
      <c r="CR1206" s="11">
        <v>5240.0</v>
      </c>
      <c r="CS1206" s="11">
        <v>3350.0</v>
      </c>
      <c r="CT1206" s="12"/>
      <c r="CU1206" s="12"/>
      <c r="CV1206" s="11">
        <v>43050.0</v>
      </c>
      <c r="CW1206" s="12"/>
      <c r="CX1206" s="12"/>
      <c r="CY1206" s="12"/>
      <c r="CZ1206" s="12"/>
      <c r="DA1206" s="12"/>
      <c r="DB1206" s="11">
        <v>43050.0</v>
      </c>
      <c r="DC1206" s="11">
        <v>30550.0</v>
      </c>
      <c r="DD1206" s="11">
        <v>7600.0</v>
      </c>
      <c r="DE1206" s="12"/>
      <c r="DF1206" s="11">
        <v>78830.0</v>
      </c>
      <c r="DG1206" s="11">
        <v>76840.0</v>
      </c>
      <c r="DH1206" s="11">
        <v>10550.0</v>
      </c>
      <c r="DI1206" s="12"/>
      <c r="DJ1206" s="12"/>
      <c r="DK1206" s="11">
        <v>214.0</v>
      </c>
      <c r="DL1206" s="11">
        <v>214.0</v>
      </c>
      <c r="DM1206" s="12"/>
      <c r="DN1206" s="12"/>
      <c r="DO1206" s="12"/>
      <c r="DP1206" s="12"/>
      <c r="DQ1206" s="12"/>
      <c r="DR1206" s="12"/>
      <c r="DS1206" s="12"/>
      <c r="DT1206" s="12"/>
      <c r="DU1206" s="11">
        <v>305110.0</v>
      </c>
      <c r="DV1206" s="11">
        <v>205080.0</v>
      </c>
      <c r="DW1206" s="11">
        <v>72250.0</v>
      </c>
      <c r="DX1206" s="13"/>
      <c r="DY1206" s="13"/>
      <c r="DZ1206" s="11">
        <v>152540.0</v>
      </c>
      <c r="EA1206" s="11">
        <v>96660.0</v>
      </c>
      <c r="EB1206" s="11">
        <v>4530.0</v>
      </c>
      <c r="EC1206" s="12"/>
      <c r="ED1206" s="12"/>
      <c r="EE1206" s="14">
        <v>0.388</v>
      </c>
      <c r="EF1206" s="14">
        <v>0.777</v>
      </c>
      <c r="EG1206" s="14">
        <v>-0.278</v>
      </c>
      <c r="EH1206" s="23"/>
    </row>
    <row r="1207">
      <c r="A1207" s="9">
        <f t="shared" si="2"/>
        <v>1205</v>
      </c>
      <c r="B1207" s="22" t="s">
        <v>1342</v>
      </c>
      <c r="C1207" s="11">
        <v>95760.0</v>
      </c>
      <c r="D1207" s="11">
        <v>6200.0</v>
      </c>
      <c r="E1207" s="11">
        <v>413.0</v>
      </c>
      <c r="F1207" s="11">
        <v>3730.0</v>
      </c>
      <c r="G1207" s="11">
        <v>262.0</v>
      </c>
      <c r="H1207" s="11">
        <v>300.0</v>
      </c>
      <c r="I1207" s="11">
        <v>300.0</v>
      </c>
      <c r="J1207" s="12"/>
      <c r="K1207" s="12"/>
      <c r="L1207" s="12"/>
      <c r="M1207" s="12"/>
      <c r="N1207" s="11">
        <v>-1700.0</v>
      </c>
      <c r="O1207" s="11">
        <v>161960.0</v>
      </c>
      <c r="P1207" s="11">
        <v>144640.0</v>
      </c>
      <c r="Q1207" s="11">
        <v>116290.0</v>
      </c>
      <c r="R1207" s="11">
        <v>78010.0</v>
      </c>
      <c r="S1207" s="11">
        <v>70620.0</v>
      </c>
      <c r="T1207" s="11">
        <v>100820.0</v>
      </c>
      <c r="U1207" s="11">
        <v>92500.0</v>
      </c>
      <c r="V1207" s="11">
        <v>80360.0</v>
      </c>
      <c r="W1207" s="11">
        <v>50380.0</v>
      </c>
      <c r="X1207" s="11">
        <v>47530.0</v>
      </c>
      <c r="Y1207" s="11">
        <v>-164660.0</v>
      </c>
      <c r="Z1207" s="11">
        <v>-142770.0</v>
      </c>
      <c r="AA1207" s="11">
        <v>-121020.0</v>
      </c>
      <c r="AB1207" s="11">
        <v>-88820.0</v>
      </c>
      <c r="AC1207" s="11">
        <v>-72190.0</v>
      </c>
      <c r="AD1207" s="11">
        <v>-159430.0</v>
      </c>
      <c r="AE1207" s="11">
        <v>-139570.0</v>
      </c>
      <c r="AF1207" s="11">
        <v>-120590.0</v>
      </c>
      <c r="AG1207" s="11">
        <v>-89270.0</v>
      </c>
      <c r="AH1207" s="11">
        <v>-73480.0</v>
      </c>
      <c r="AI1207" s="11">
        <v>-161550.0</v>
      </c>
      <c r="AJ1207" s="11">
        <v>-140910.0</v>
      </c>
      <c r="AK1207" s="11">
        <v>-116030.0</v>
      </c>
      <c r="AL1207" s="11">
        <v>-77710.0</v>
      </c>
      <c r="AM1207" s="11">
        <v>-70320.0</v>
      </c>
      <c r="AN1207" s="11">
        <v>-159430.0</v>
      </c>
      <c r="AO1207" s="11">
        <v>-142570.0</v>
      </c>
      <c r="AP1207" s="11">
        <v>-120590.0</v>
      </c>
      <c r="AQ1207" s="11">
        <v>-89270.0</v>
      </c>
      <c r="AR1207" s="11">
        <v>-73480.0</v>
      </c>
      <c r="AS1207" s="11">
        <v>-106160.0</v>
      </c>
      <c r="AT1207" s="11">
        <v>-104250.0</v>
      </c>
      <c r="AU1207" s="11">
        <v>-95340.0</v>
      </c>
      <c r="AV1207" s="11">
        <v>-59830.0</v>
      </c>
      <c r="AW1207" s="11">
        <v>-55670.0</v>
      </c>
      <c r="AX1207" s="11">
        <v>-3240.0</v>
      </c>
      <c r="AY1207" s="11">
        <v>-6990.0</v>
      </c>
      <c r="AZ1207" s="11">
        <v>-2530.0</v>
      </c>
      <c r="BA1207" s="11">
        <v>-1670.0</v>
      </c>
      <c r="BB1207" s="11">
        <v>-3330.0</v>
      </c>
      <c r="BC1207" s="12"/>
      <c r="BD1207" s="12"/>
      <c r="BE1207" s="12"/>
      <c r="BF1207" s="12"/>
      <c r="BG1207" s="12"/>
      <c r="BH1207" s="11">
        <v>290120.0</v>
      </c>
      <c r="BI1207" s="11">
        <v>175810.0</v>
      </c>
      <c r="BJ1207" s="11">
        <v>282900.0</v>
      </c>
      <c r="BK1207" s="11">
        <v>185530.0</v>
      </c>
      <c r="BL1207" s="11">
        <v>252340.0</v>
      </c>
      <c r="BM1207" s="12"/>
      <c r="BN1207" s="11">
        <v>27000.0</v>
      </c>
      <c r="BO1207" s="11">
        <v>48.0</v>
      </c>
      <c r="BP1207" s="11">
        <v>6030.0</v>
      </c>
      <c r="BQ1207" s="11">
        <v>158.0</v>
      </c>
      <c r="BR1207" s="12"/>
      <c r="BS1207" s="12"/>
      <c r="BT1207" s="12"/>
      <c r="BU1207" s="12"/>
      <c r="BV1207" s="12"/>
      <c r="BW1207" s="11">
        <v>296600.0</v>
      </c>
      <c r="BX1207" s="11">
        <v>207920.0</v>
      </c>
      <c r="BY1207" s="11">
        <v>285210.0</v>
      </c>
      <c r="BZ1207" s="11">
        <v>192700.0</v>
      </c>
      <c r="CA1207" s="11">
        <v>253960.0</v>
      </c>
      <c r="CB1207" s="11">
        <v>41290.0</v>
      </c>
      <c r="CC1207" s="11">
        <v>14450.0</v>
      </c>
      <c r="CD1207" s="11">
        <v>9250.0</v>
      </c>
      <c r="CE1207" s="11">
        <v>10590.0</v>
      </c>
      <c r="CF1207" s="11">
        <v>19710.0</v>
      </c>
      <c r="CG1207" s="12"/>
      <c r="CH1207" s="12"/>
      <c r="CI1207" s="12"/>
      <c r="CJ1207" s="12"/>
      <c r="CK1207" s="12"/>
      <c r="CL1207" s="11">
        <v>340290.0</v>
      </c>
      <c r="CM1207" s="11">
        <v>226350.0</v>
      </c>
      <c r="CN1207" s="11">
        <v>295700.0</v>
      </c>
      <c r="CO1207" s="11">
        <v>204360.0</v>
      </c>
      <c r="CP1207" s="11">
        <v>275820.0</v>
      </c>
      <c r="CQ1207" s="11">
        <v>8010.0</v>
      </c>
      <c r="CR1207" s="11">
        <v>8430.0</v>
      </c>
      <c r="CS1207" s="11">
        <v>6810.0</v>
      </c>
      <c r="CT1207" s="11">
        <v>3750.0</v>
      </c>
      <c r="CU1207" s="11">
        <v>2660.0</v>
      </c>
      <c r="CV1207" s="11">
        <v>40980.0</v>
      </c>
      <c r="CW1207" s="11">
        <v>2950.0</v>
      </c>
      <c r="CX1207" s="12"/>
      <c r="CY1207" s="12"/>
      <c r="CZ1207" s="12"/>
      <c r="DA1207" s="12"/>
      <c r="DB1207" s="11">
        <v>40980.0</v>
      </c>
      <c r="DC1207" s="11">
        <v>31970.0</v>
      </c>
      <c r="DD1207" s="11">
        <v>20900.0</v>
      </c>
      <c r="DE1207" s="11">
        <v>19650.0</v>
      </c>
      <c r="DF1207" s="11">
        <v>114800.0</v>
      </c>
      <c r="DG1207" s="11">
        <v>80730.0</v>
      </c>
      <c r="DH1207" s="11">
        <v>26850.0</v>
      </c>
      <c r="DI1207" s="11">
        <v>27290.0</v>
      </c>
      <c r="DJ1207" s="11">
        <v>22570.0</v>
      </c>
      <c r="DK1207" s="11">
        <v>730.0</v>
      </c>
      <c r="DL1207" s="11">
        <v>730.0</v>
      </c>
      <c r="DM1207" s="11">
        <v>580.0</v>
      </c>
      <c r="DN1207" s="11">
        <v>580.0</v>
      </c>
      <c r="DO1207" s="11">
        <v>2150.0</v>
      </c>
      <c r="DP1207" s="11">
        <v>25870.0</v>
      </c>
      <c r="DQ1207" s="12"/>
      <c r="DR1207" s="12"/>
      <c r="DS1207" s="11">
        <v>1870.0</v>
      </c>
      <c r="DT1207" s="11">
        <v>5350.0</v>
      </c>
      <c r="DU1207" s="13"/>
      <c r="DV1207" s="12"/>
      <c r="DW1207" s="12"/>
      <c r="DX1207" s="13"/>
      <c r="DY1207" s="13"/>
      <c r="DZ1207" s="11">
        <v>225490.0</v>
      </c>
      <c r="EA1207" s="11">
        <v>145620.0</v>
      </c>
      <c r="EB1207" s="11">
        <v>268850.0</v>
      </c>
      <c r="EC1207" s="11">
        <v>177070.0</v>
      </c>
      <c r="ED1207" s="11">
        <v>253250.0</v>
      </c>
      <c r="EE1207" s="14">
        <v>3.116</v>
      </c>
      <c r="EF1207" s="14">
        <v>1.26</v>
      </c>
      <c r="EG1207" s="14">
        <v>-0.089</v>
      </c>
      <c r="EH1207" s="14">
        <v>-0.092</v>
      </c>
    </row>
    <row r="1208">
      <c r="A1208" s="9">
        <f t="shared" si="2"/>
        <v>1206</v>
      </c>
      <c r="B1208" s="25" t="s">
        <v>1343</v>
      </c>
      <c r="C1208" s="15">
        <v>9080000.0</v>
      </c>
      <c r="D1208" s="15">
        <v>4520000.0</v>
      </c>
      <c r="E1208" s="15">
        <v>8490000.0</v>
      </c>
      <c r="F1208" s="15">
        <v>7700000.0</v>
      </c>
      <c r="G1208" s="15">
        <v>7150000.0</v>
      </c>
      <c r="H1208" s="15">
        <v>6650000.0</v>
      </c>
      <c r="I1208" s="15">
        <v>6540000.0</v>
      </c>
      <c r="J1208" s="15">
        <v>1710000.0</v>
      </c>
      <c r="K1208" s="15">
        <v>1560000.0</v>
      </c>
      <c r="L1208" s="15">
        <v>2080000.0</v>
      </c>
      <c r="M1208" s="15">
        <v>1860000.0</v>
      </c>
      <c r="N1208" s="15">
        <v>1750000.0</v>
      </c>
      <c r="O1208" s="15">
        <v>578800.0</v>
      </c>
      <c r="P1208" s="15">
        <v>547300.0</v>
      </c>
      <c r="Q1208" s="15">
        <v>410400.0</v>
      </c>
      <c r="R1208" s="15">
        <v>322300.0</v>
      </c>
      <c r="S1208" s="15">
        <v>292700.0</v>
      </c>
      <c r="T1208" s="12"/>
      <c r="U1208" s="12"/>
      <c r="V1208" s="12"/>
      <c r="W1208" s="12"/>
      <c r="X1208" s="12"/>
      <c r="Y1208" s="15">
        <v>720200.0</v>
      </c>
      <c r="Z1208" s="12"/>
      <c r="AA1208" s="12"/>
      <c r="AB1208" s="12"/>
      <c r="AC1208" s="12"/>
      <c r="AD1208" s="15">
        <v>670300.0</v>
      </c>
      <c r="AE1208" s="15">
        <v>963900.0</v>
      </c>
      <c r="AF1208" s="15">
        <v>1610000.0</v>
      </c>
      <c r="AG1208" s="15">
        <v>1470000.0</v>
      </c>
      <c r="AH1208" s="15">
        <v>1720000.0</v>
      </c>
      <c r="AI1208" s="15">
        <v>1880000.0</v>
      </c>
      <c r="AJ1208" s="15">
        <v>1660000.0</v>
      </c>
      <c r="AK1208" s="15">
        <v>2230000.0</v>
      </c>
      <c r="AL1208" s="15">
        <v>2030000.0</v>
      </c>
      <c r="AM1208" s="15">
        <v>1890000.0</v>
      </c>
      <c r="AN1208" s="15">
        <v>648700.0</v>
      </c>
      <c r="AO1208" s="15">
        <v>885000.0</v>
      </c>
      <c r="AP1208" s="15">
        <v>1450000.0</v>
      </c>
      <c r="AQ1208" s="15">
        <v>1320000.0</v>
      </c>
      <c r="AR1208" s="15">
        <v>1560000.0</v>
      </c>
      <c r="AS1208" s="15">
        <v>1940000.0</v>
      </c>
      <c r="AT1208" s="15">
        <v>2020000.0</v>
      </c>
      <c r="AU1208" s="15">
        <v>2230000.0</v>
      </c>
      <c r="AV1208" s="15">
        <v>1930000.0</v>
      </c>
      <c r="AW1208" s="15">
        <v>1850000.0</v>
      </c>
      <c r="AX1208" s="15">
        <v>-1200000.0</v>
      </c>
      <c r="AY1208" s="15">
        <v>-1550000.0</v>
      </c>
      <c r="AZ1208" s="15">
        <v>-1470000.0</v>
      </c>
      <c r="BA1208" s="15">
        <v>-1450000.0</v>
      </c>
      <c r="BB1208" s="15">
        <v>-1220000.0</v>
      </c>
      <c r="BC1208" s="12"/>
      <c r="BD1208" s="12"/>
      <c r="BE1208" s="12"/>
      <c r="BF1208" s="12"/>
      <c r="BG1208" s="15">
        <v>-397900.0</v>
      </c>
      <c r="BH1208" s="15">
        <v>3810000.0</v>
      </c>
      <c r="BI1208" s="15">
        <v>3190000.0</v>
      </c>
      <c r="BJ1208" s="15">
        <v>3890000.0</v>
      </c>
      <c r="BK1208" s="15">
        <v>4430000.0</v>
      </c>
      <c r="BL1208" s="15">
        <v>4600000.0</v>
      </c>
      <c r="BM1208" s="15">
        <v>114300.0</v>
      </c>
      <c r="BN1208" s="15">
        <v>60300.0</v>
      </c>
      <c r="BO1208" s="15">
        <v>57900.0</v>
      </c>
      <c r="BP1208" s="15">
        <v>55300.0</v>
      </c>
      <c r="BQ1208" s="15">
        <v>69500.0</v>
      </c>
      <c r="BR1208" s="15">
        <v>3300.0</v>
      </c>
      <c r="BS1208" s="15">
        <v>2900.0</v>
      </c>
      <c r="BT1208" s="15">
        <v>3700.0</v>
      </c>
      <c r="BU1208" s="15">
        <v>3100.0</v>
      </c>
      <c r="BV1208" s="15">
        <v>3300.0</v>
      </c>
      <c r="BW1208" s="15">
        <v>4490000.0</v>
      </c>
      <c r="BX1208" s="15">
        <v>3800000.0</v>
      </c>
      <c r="BY1208" s="15">
        <v>4190000.0</v>
      </c>
      <c r="BZ1208" s="15">
        <v>4710000.0</v>
      </c>
      <c r="CA1208" s="15">
        <v>4820000.0</v>
      </c>
      <c r="CB1208" s="15">
        <v>9670000.0</v>
      </c>
      <c r="CC1208" s="15">
        <v>9030000.0</v>
      </c>
      <c r="CD1208" s="15">
        <v>8120000.0</v>
      </c>
      <c r="CE1208" s="15">
        <v>7210000.0</v>
      </c>
      <c r="CF1208" s="15">
        <v>6260000.0</v>
      </c>
      <c r="CG1208" s="12"/>
      <c r="CH1208" s="12"/>
      <c r="CI1208" s="12"/>
      <c r="CJ1208" s="12"/>
      <c r="CK1208" s="12"/>
      <c r="CL1208" s="15">
        <v>1.475E7</v>
      </c>
      <c r="CM1208" s="15">
        <v>1.325E7</v>
      </c>
      <c r="CN1208" s="15">
        <v>1.236E7</v>
      </c>
      <c r="CO1208" s="15">
        <v>1.199E7</v>
      </c>
      <c r="CP1208" s="15">
        <v>1.122E7</v>
      </c>
      <c r="CQ1208" s="15">
        <v>1370000.0</v>
      </c>
      <c r="CR1208" s="15">
        <v>573800.0</v>
      </c>
      <c r="CS1208" s="15">
        <v>249600.0</v>
      </c>
      <c r="CT1208" s="15">
        <v>294100.0</v>
      </c>
      <c r="CU1208" s="15">
        <v>230600.0</v>
      </c>
      <c r="CV1208" s="15">
        <v>5510000.0</v>
      </c>
      <c r="CW1208" s="12"/>
      <c r="CX1208" s="12"/>
      <c r="CY1208" s="12"/>
      <c r="CZ1208" s="12"/>
      <c r="DA1208" s="12"/>
      <c r="DB1208" s="15">
        <v>5510000.0</v>
      </c>
      <c r="DC1208" s="15">
        <v>4100000.0</v>
      </c>
      <c r="DD1208" s="15">
        <v>3410000.0</v>
      </c>
      <c r="DE1208" s="15">
        <v>3010000.0</v>
      </c>
      <c r="DF1208" s="15">
        <v>9830000.0</v>
      </c>
      <c r="DG1208" s="15">
        <v>8040000.0</v>
      </c>
      <c r="DH1208" s="15">
        <v>7890000.0</v>
      </c>
      <c r="DI1208" s="15">
        <v>7570000.0</v>
      </c>
      <c r="DJ1208" s="15">
        <v>7620000.0</v>
      </c>
      <c r="DK1208" s="15">
        <v>378500.0</v>
      </c>
      <c r="DL1208" s="15">
        <v>227500.0</v>
      </c>
      <c r="DM1208" s="15">
        <v>2600.0</v>
      </c>
      <c r="DN1208" s="15">
        <v>23000.0</v>
      </c>
      <c r="DO1208" s="15">
        <v>88500.0</v>
      </c>
      <c r="DP1208" s="15">
        <v>3750000.0</v>
      </c>
      <c r="DQ1208" s="15">
        <v>3340000.0</v>
      </c>
      <c r="DR1208" s="15">
        <v>3530000.0</v>
      </c>
      <c r="DS1208" s="15">
        <v>3930000.0</v>
      </c>
      <c r="DT1208" s="15">
        <v>3570000.0</v>
      </c>
      <c r="DU1208" s="12"/>
      <c r="DV1208" s="12"/>
      <c r="DW1208" s="12"/>
      <c r="DX1208" s="12"/>
      <c r="DY1208" s="12"/>
      <c r="DZ1208" s="15">
        <v>4910000.0</v>
      </c>
      <c r="EA1208" s="15">
        <v>5210000.0</v>
      </c>
      <c r="EB1208" s="15">
        <v>4470000.0</v>
      </c>
      <c r="EC1208" s="15">
        <v>4420000.0</v>
      </c>
      <c r="ED1208" s="15">
        <v>3600000.0</v>
      </c>
      <c r="EE1208" s="17">
        <v>0.23</v>
      </c>
      <c r="EF1208" s="17">
        <v>0.028</v>
      </c>
      <c r="EG1208" s="17">
        <v>0.223</v>
      </c>
      <c r="EH1208" s="17">
        <v>0.725</v>
      </c>
    </row>
    <row r="1209">
      <c r="A1209" s="9">
        <f t="shared" si="2"/>
        <v>1207</v>
      </c>
      <c r="B1209" s="25" t="s">
        <v>1344</v>
      </c>
      <c r="C1209" s="15">
        <v>1750000.0</v>
      </c>
      <c r="D1209" s="15">
        <v>1670000.0</v>
      </c>
      <c r="E1209" s="15">
        <v>1780000.0</v>
      </c>
      <c r="F1209" s="15">
        <v>1960000.0</v>
      </c>
      <c r="G1209" s="15">
        <v>961330.0</v>
      </c>
      <c r="H1209" s="15">
        <v>868730.0</v>
      </c>
      <c r="I1209" s="15">
        <v>941380.0</v>
      </c>
      <c r="J1209" s="15">
        <v>47890.0</v>
      </c>
      <c r="K1209" s="15">
        <v>284030.0</v>
      </c>
      <c r="L1209" s="15">
        <v>141090.0</v>
      </c>
      <c r="M1209" s="15">
        <v>181270.0</v>
      </c>
      <c r="N1209" s="15">
        <v>202450.0</v>
      </c>
      <c r="O1209" s="15">
        <v>73370.0</v>
      </c>
      <c r="P1209" s="15">
        <v>94030.0</v>
      </c>
      <c r="Q1209" s="15">
        <v>77420.0</v>
      </c>
      <c r="R1209" s="15">
        <v>37940.0</v>
      </c>
      <c r="S1209" s="15">
        <v>47660.0</v>
      </c>
      <c r="T1209" s="15">
        <v>6000.0</v>
      </c>
      <c r="U1209" s="15"/>
      <c r="V1209" s="15">
        <v>4000.0</v>
      </c>
      <c r="W1209" s="15">
        <v>4000.0</v>
      </c>
      <c r="X1209" s="15">
        <v>3000.0</v>
      </c>
      <c r="Y1209" s="15">
        <v>-64380.0</v>
      </c>
      <c r="Z1209" s="15">
        <v>-2220.0</v>
      </c>
      <c r="AA1209" s="15">
        <v>6740.0</v>
      </c>
      <c r="AB1209" s="15">
        <v>147770.0</v>
      </c>
      <c r="AC1209" s="15">
        <v>-33590.0</v>
      </c>
      <c r="AD1209" s="15">
        <v>-148280.0</v>
      </c>
      <c r="AE1209" s="15">
        <v>126490.0</v>
      </c>
      <c r="AF1209" s="15">
        <v>344700.0</v>
      </c>
      <c r="AG1209" s="15">
        <v>112600.0</v>
      </c>
      <c r="AH1209" s="15">
        <v>82860.0</v>
      </c>
      <c r="AI1209" s="15">
        <v>83980.0</v>
      </c>
      <c r="AJ1209" s="15">
        <v>306300.0</v>
      </c>
      <c r="AK1209" s="15">
        <v>159640.0</v>
      </c>
      <c r="AL1209" s="15">
        <v>231610.0</v>
      </c>
      <c r="AM1209" s="15">
        <v>243980.0</v>
      </c>
      <c r="AN1209" s="15">
        <v>-118610.0</v>
      </c>
      <c r="AO1209" s="15">
        <v>99450.0</v>
      </c>
      <c r="AP1209" s="15">
        <v>324960.0</v>
      </c>
      <c r="AQ1209" s="15">
        <v>73290.0</v>
      </c>
      <c r="AR1209" s="15">
        <v>55260.0</v>
      </c>
      <c r="AS1209" s="15">
        <v>41900.0</v>
      </c>
      <c r="AT1209" s="15">
        <v>246940.0</v>
      </c>
      <c r="AU1209" s="15">
        <v>129770.0</v>
      </c>
      <c r="AV1209" s="15">
        <v>232230.0</v>
      </c>
      <c r="AW1209" s="15">
        <v>201660.0</v>
      </c>
      <c r="AX1209" s="15">
        <v>-102810.0</v>
      </c>
      <c r="AY1209" s="15">
        <v>-128790.0</v>
      </c>
      <c r="AZ1209" s="15">
        <v>-75040.0</v>
      </c>
      <c r="BA1209" s="15">
        <v>-88700.0</v>
      </c>
      <c r="BB1209" s="15">
        <v>-77420.0</v>
      </c>
      <c r="BC1209" s="15">
        <v>-18920.0</v>
      </c>
      <c r="BD1209" s="15">
        <v>-28860.0</v>
      </c>
      <c r="BE1209" s="15">
        <v>-26490.0</v>
      </c>
      <c r="BF1209" s="15">
        <v>-15480.0</v>
      </c>
      <c r="BG1209" s="15">
        <v>-11820.0</v>
      </c>
      <c r="BH1209" s="15">
        <v>64030.0</v>
      </c>
      <c r="BI1209" s="15">
        <v>108970.0</v>
      </c>
      <c r="BJ1209" s="15">
        <v>96240.0</v>
      </c>
      <c r="BK1209" s="15">
        <v>326660.0</v>
      </c>
      <c r="BL1209" s="15">
        <v>101300.0</v>
      </c>
      <c r="BM1209" s="15">
        <v>181660.0</v>
      </c>
      <c r="BN1209" s="15">
        <v>199280.0</v>
      </c>
      <c r="BO1209" s="15">
        <v>181300.0</v>
      </c>
      <c r="BP1209" s="15">
        <v>37630.0</v>
      </c>
      <c r="BQ1209" s="15">
        <v>68890.0</v>
      </c>
      <c r="BR1209" s="15">
        <v>251180.0</v>
      </c>
      <c r="BS1209" s="15">
        <v>304030.0</v>
      </c>
      <c r="BT1209" s="15">
        <v>302090.0</v>
      </c>
      <c r="BU1209" s="15">
        <v>118370.0</v>
      </c>
      <c r="BV1209" s="15">
        <v>125410.0</v>
      </c>
      <c r="BW1209" s="15">
        <v>554830.0</v>
      </c>
      <c r="BX1209" s="15">
        <v>704090.0</v>
      </c>
      <c r="BY1209" s="15">
        <v>646540.0</v>
      </c>
      <c r="BZ1209" s="15">
        <v>519510.0</v>
      </c>
      <c r="CA1209" s="15">
        <v>327750.0</v>
      </c>
      <c r="CB1209" s="15">
        <v>1340000.0</v>
      </c>
      <c r="CC1209" s="15">
        <v>1360000.0</v>
      </c>
      <c r="CD1209" s="15">
        <v>1410000.0</v>
      </c>
      <c r="CE1209" s="15">
        <v>801040.0</v>
      </c>
      <c r="CF1209" s="15">
        <v>803840.0</v>
      </c>
      <c r="CG1209" s="15"/>
      <c r="CH1209" s="15"/>
      <c r="CI1209" s="15"/>
      <c r="CJ1209" s="15"/>
      <c r="CK1209" s="15"/>
      <c r="CL1209" s="15">
        <v>2480000.0</v>
      </c>
      <c r="CM1209" s="15">
        <v>2680000.0</v>
      </c>
      <c r="CN1209" s="15">
        <v>2640000.0</v>
      </c>
      <c r="CO1209" s="15">
        <v>1420000.0</v>
      </c>
      <c r="CP1209" s="15">
        <v>1280000.0</v>
      </c>
      <c r="CQ1209" s="15">
        <v>153180.0</v>
      </c>
      <c r="CR1209" s="15">
        <v>181710.0</v>
      </c>
      <c r="CS1209" s="15">
        <v>157930.0</v>
      </c>
      <c r="CT1209" s="15">
        <v>36380.0</v>
      </c>
      <c r="CU1209" s="15">
        <v>44990.0</v>
      </c>
      <c r="CV1209" s="15">
        <v>286150.0</v>
      </c>
      <c r="CW1209" s="15">
        <v>5890.0</v>
      </c>
      <c r="CX1209" s="15"/>
      <c r="CY1209" s="15"/>
      <c r="CZ1209" s="15"/>
      <c r="DA1209" s="15"/>
      <c r="DB1209" s="15">
        <v>286150.0</v>
      </c>
      <c r="DC1209" s="15">
        <v>370420.0</v>
      </c>
      <c r="DD1209" s="15">
        <v>307570.0</v>
      </c>
      <c r="DE1209" s="15">
        <v>126980.0</v>
      </c>
      <c r="DF1209" s="15">
        <v>1800000.0</v>
      </c>
      <c r="DG1209" s="15">
        <v>1970000.0</v>
      </c>
      <c r="DH1209" s="15">
        <v>1950000.0</v>
      </c>
      <c r="DI1209" s="15">
        <v>1210000.0</v>
      </c>
      <c r="DJ1209" s="15">
        <v>1300000.0</v>
      </c>
      <c r="DK1209" s="15">
        <v>5.0</v>
      </c>
      <c r="DL1209" s="15">
        <v>937.0</v>
      </c>
      <c r="DM1209" s="15">
        <v>749.0</v>
      </c>
      <c r="DN1209" s="15"/>
      <c r="DO1209" s="15"/>
      <c r="DP1209" s="15">
        <v>1080000.0</v>
      </c>
      <c r="DQ1209" s="15">
        <v>1170000.0</v>
      </c>
      <c r="DR1209" s="15">
        <v>1230000.0</v>
      </c>
      <c r="DS1209" s="15">
        <v>773690.0</v>
      </c>
      <c r="DT1209" s="15">
        <v>850120.0</v>
      </c>
      <c r="DU1209" s="13"/>
      <c r="DV1209" s="12">
        <v>17.0</v>
      </c>
      <c r="DW1209" s="15">
        <v>17.0</v>
      </c>
      <c r="DX1209" s="15">
        <v>17.0</v>
      </c>
      <c r="DY1209" s="13"/>
      <c r="DZ1209" s="15">
        <v>682800.0</v>
      </c>
      <c r="EA1209" s="15">
        <v>706870.0</v>
      </c>
      <c r="EB1209" s="15">
        <v>693760.0</v>
      </c>
      <c r="EC1209" s="15">
        <v>211750.0</v>
      </c>
      <c r="ED1209" s="15">
        <v>-17140.0</v>
      </c>
      <c r="EE1209" s="23">
        <v>0.066</v>
      </c>
      <c r="EF1209" s="23">
        <v>0.04</v>
      </c>
      <c r="EG1209" s="23">
        <v>-0.065</v>
      </c>
      <c r="EH1209" s="23">
        <v>0.094</v>
      </c>
    </row>
    <row r="1210">
      <c r="A1210" s="9">
        <f t="shared" si="2"/>
        <v>1208</v>
      </c>
      <c r="B1210" s="25" t="s">
        <v>1345</v>
      </c>
      <c r="C1210" s="12">
        <v>3950000.0</v>
      </c>
      <c r="D1210" s="12">
        <v>3500000.0</v>
      </c>
      <c r="E1210" s="12">
        <v>4500000.0</v>
      </c>
      <c r="F1210" s="12">
        <v>4410000.0</v>
      </c>
      <c r="G1210" s="12">
        <v>3360000.0</v>
      </c>
      <c r="H1210" s="12">
        <v>2860000.0</v>
      </c>
      <c r="I1210" s="12">
        <v>3170000.0</v>
      </c>
      <c r="J1210" s="12">
        <v>837000.0</v>
      </c>
      <c r="K1210" s="12">
        <v>761200.0</v>
      </c>
      <c r="L1210" s="12">
        <v>579400.0</v>
      </c>
      <c r="M1210" s="12">
        <v>560600.0</v>
      </c>
      <c r="N1210" s="12">
        <v>579500.0</v>
      </c>
      <c r="O1210" s="12">
        <v>637500.0</v>
      </c>
      <c r="P1210" s="12">
        <v>613100.0</v>
      </c>
      <c r="Q1210" s="12">
        <v>481400.0</v>
      </c>
      <c r="R1210" s="12">
        <v>435700.0</v>
      </c>
      <c r="S1210" s="12">
        <v>454400.0</v>
      </c>
      <c r="T1210" s="12">
        <v>0.0</v>
      </c>
      <c r="U1210" s="15">
        <v>0.0</v>
      </c>
      <c r="V1210" s="15">
        <v>0.0</v>
      </c>
      <c r="W1210" s="15">
        <v>0.0</v>
      </c>
      <c r="X1210" s="15">
        <v>0.0</v>
      </c>
      <c r="Y1210" s="12">
        <v>189900.0</v>
      </c>
      <c r="Z1210" s="12">
        <v>139400.0</v>
      </c>
      <c r="AA1210" s="12">
        <v>2900.0</v>
      </c>
      <c r="AB1210" s="12">
        <v>-5200.0</v>
      </c>
      <c r="AC1210" s="12">
        <v>91900.0</v>
      </c>
      <c r="AD1210" s="12">
        <v>115200.0</v>
      </c>
      <c r="AE1210" s="12">
        <v>116700.0</v>
      </c>
      <c r="AF1210" s="12">
        <v>16700.0</v>
      </c>
      <c r="AG1210" s="12">
        <v>26100.0</v>
      </c>
      <c r="AH1210" s="12">
        <v>1900.0</v>
      </c>
      <c r="AI1210" s="12">
        <v>257900.0</v>
      </c>
      <c r="AJ1210" s="12">
        <v>201000.0</v>
      </c>
      <c r="AK1210" s="12">
        <v>145100.0</v>
      </c>
      <c r="AL1210" s="12">
        <v>167400.0</v>
      </c>
      <c r="AM1210" s="12">
        <v>168800.0</v>
      </c>
      <c r="AN1210" s="12">
        <v>82400.0</v>
      </c>
      <c r="AO1210" s="12">
        <v>106000.0</v>
      </c>
      <c r="AP1210" s="12">
        <v>17100.0</v>
      </c>
      <c r="AQ1210" s="12">
        <v>18700.0</v>
      </c>
      <c r="AR1210" s="12">
        <v>0.0</v>
      </c>
      <c r="AS1210" s="12">
        <v>193100.0</v>
      </c>
      <c r="AT1210" s="12">
        <v>57400.0</v>
      </c>
      <c r="AU1210" s="12">
        <v>-2500.0</v>
      </c>
      <c r="AV1210" s="12">
        <v>24900.0</v>
      </c>
      <c r="AW1210" s="12">
        <v>259100.0</v>
      </c>
      <c r="AX1210" s="12">
        <v>-45800.0</v>
      </c>
      <c r="AY1210" s="12">
        <v>-38400.0</v>
      </c>
      <c r="AZ1210" s="12">
        <v>-25100.0</v>
      </c>
      <c r="BA1210" s="12">
        <v>-23000.0</v>
      </c>
      <c r="BB1210" s="12">
        <v>-22300.0</v>
      </c>
      <c r="BC1210" s="12">
        <v>0.0</v>
      </c>
      <c r="BD1210" s="12">
        <v>0.0</v>
      </c>
      <c r="BE1210" s="12">
        <v>0.0</v>
      </c>
      <c r="BF1210" s="12">
        <v>0.0</v>
      </c>
      <c r="BG1210" s="12">
        <v>0.0</v>
      </c>
      <c r="BH1210" s="12">
        <v>59800.0</v>
      </c>
      <c r="BI1210" s="12">
        <v>24300.0</v>
      </c>
      <c r="BJ1210" s="12">
        <v>78600.0</v>
      </c>
      <c r="BK1210" s="12">
        <v>82100.0</v>
      </c>
      <c r="BL1210" s="12">
        <v>64400.0</v>
      </c>
      <c r="BM1210" s="12">
        <v>425100.0</v>
      </c>
      <c r="BN1210" s="12">
        <v>521000.0</v>
      </c>
      <c r="BO1210" s="12">
        <v>376300.0</v>
      </c>
      <c r="BP1210" s="12">
        <v>326000.0</v>
      </c>
      <c r="BQ1210" s="12">
        <v>305700.0</v>
      </c>
      <c r="BR1210" s="12">
        <v>742900.0</v>
      </c>
      <c r="BS1210" s="12">
        <v>806300.0</v>
      </c>
      <c r="BT1210" s="12">
        <v>616500.0</v>
      </c>
      <c r="BU1210" s="12">
        <v>563400.0</v>
      </c>
      <c r="BV1210" s="12">
        <v>555800.0</v>
      </c>
      <c r="BW1210" s="12">
        <v>1280000.0</v>
      </c>
      <c r="BX1210" s="12">
        <v>1410000.0</v>
      </c>
      <c r="BY1210" s="12">
        <v>1100000.0</v>
      </c>
      <c r="BZ1210" s="12">
        <v>997800.0</v>
      </c>
      <c r="CA1210" s="12">
        <v>958700.0</v>
      </c>
      <c r="CB1210" s="12">
        <v>567900.0</v>
      </c>
      <c r="CC1210" s="12">
        <v>489000.0</v>
      </c>
      <c r="CD1210" s="12">
        <v>422900.0</v>
      </c>
      <c r="CE1210" s="12">
        <v>388200.0</v>
      </c>
      <c r="CF1210" s="12">
        <v>400300.0</v>
      </c>
      <c r="CG1210" s="12">
        <v>120300.0</v>
      </c>
      <c r="CH1210" s="12">
        <v>120300.0</v>
      </c>
      <c r="CI1210" s="12">
        <v>115300.0</v>
      </c>
      <c r="CJ1210" s="12">
        <v>103200.0</v>
      </c>
      <c r="CK1210" s="12">
        <v>103200.0</v>
      </c>
      <c r="CL1210" s="12">
        <v>2020000.0</v>
      </c>
      <c r="CM1210" s="12">
        <v>2090000.0</v>
      </c>
      <c r="CN1210" s="12">
        <v>1710000.0</v>
      </c>
      <c r="CO1210" s="12">
        <v>1560000.0</v>
      </c>
      <c r="CP1210" s="12">
        <v>1560000.0</v>
      </c>
      <c r="CQ1210" s="12">
        <v>311500.0</v>
      </c>
      <c r="CR1210" s="12">
        <v>390200.0</v>
      </c>
      <c r="CS1210" s="12">
        <v>275000.0</v>
      </c>
      <c r="CT1210" s="12">
        <v>230400.0</v>
      </c>
      <c r="CU1210" s="12">
        <v>206300.0</v>
      </c>
      <c r="CV1210" s="12">
        <v>491900.0</v>
      </c>
      <c r="CW1210" s="12">
        <v>68400.0</v>
      </c>
      <c r="CX1210" s="12">
        <v>0.0</v>
      </c>
      <c r="CY1210" s="12">
        <v>0.0</v>
      </c>
      <c r="CZ1210" s="12">
        <v>0.0</v>
      </c>
      <c r="DA1210" s="15">
        <v>0.0</v>
      </c>
      <c r="DB1210" s="12">
        <v>491900.0</v>
      </c>
      <c r="DC1210" s="12">
        <v>569000.0</v>
      </c>
      <c r="DD1210" s="12">
        <v>402700.0</v>
      </c>
      <c r="DE1210" s="12">
        <v>332400.0</v>
      </c>
      <c r="DF1210" s="12">
        <v>1840000.0</v>
      </c>
      <c r="DG1210" s="12">
        <v>2010000.0</v>
      </c>
      <c r="DH1210" s="12">
        <v>1720000.0</v>
      </c>
      <c r="DI1210" s="12">
        <v>1610000.0</v>
      </c>
      <c r="DJ1210" s="12">
        <v>1700000.0</v>
      </c>
      <c r="DK1210" s="12">
        <v>0.0</v>
      </c>
      <c r="DL1210" s="12">
        <v>1500.0</v>
      </c>
      <c r="DM1210" s="12">
        <v>1000.0</v>
      </c>
      <c r="DN1210" s="12">
        <v>0.0</v>
      </c>
      <c r="DO1210" s="12">
        <v>0.0</v>
      </c>
      <c r="DP1210" s="12">
        <v>1060000.0</v>
      </c>
      <c r="DQ1210" s="12">
        <v>1130000.0</v>
      </c>
      <c r="DR1210" s="12">
        <v>1020000.0</v>
      </c>
      <c r="DS1210" s="12">
        <v>944300.0</v>
      </c>
      <c r="DT1210" s="12">
        <v>1010000.0</v>
      </c>
      <c r="DU1210" s="16">
        <v>0.0</v>
      </c>
      <c r="DV1210" s="15">
        <v>0.0</v>
      </c>
      <c r="DW1210" s="15">
        <v>0.0</v>
      </c>
      <c r="DX1210" s="16">
        <v>0.0</v>
      </c>
      <c r="DY1210" s="16">
        <v>0.0</v>
      </c>
      <c r="DZ1210" s="12">
        <v>172600.0</v>
      </c>
      <c r="EA1210" s="12">
        <v>73200.0</v>
      </c>
      <c r="EB1210" s="12">
        <v>-10000.0</v>
      </c>
      <c r="EC1210" s="12">
        <v>-50800.0</v>
      </c>
      <c r="ED1210" s="12">
        <v>-141600.0</v>
      </c>
      <c r="EE1210" s="23">
        <v>0.083</v>
      </c>
      <c r="EF1210" s="23">
        <v>0.066</v>
      </c>
      <c r="EG1210" s="23">
        <v>0.206</v>
      </c>
      <c r="EH1210" s="23">
        <v>0.286</v>
      </c>
    </row>
    <row r="1211">
      <c r="A1211" s="9">
        <f t="shared" si="2"/>
        <v>1209</v>
      </c>
      <c r="B1211" s="22" t="s">
        <v>1346</v>
      </c>
      <c r="C1211" s="11">
        <v>55420.0</v>
      </c>
      <c r="D1211" s="11">
        <v>2160.0</v>
      </c>
      <c r="E1211" s="12"/>
      <c r="F1211" s="12"/>
      <c r="G1211" s="12"/>
      <c r="H1211" s="12"/>
      <c r="I1211" s="12"/>
      <c r="J1211" s="11">
        <v>-834.0</v>
      </c>
      <c r="K1211" s="11">
        <v>-442.0</v>
      </c>
      <c r="L1211" s="11">
        <v>-223.0</v>
      </c>
      <c r="M1211" s="11">
        <v>-144.0</v>
      </c>
      <c r="N1211" s="12"/>
      <c r="O1211" s="11">
        <v>145170.0</v>
      </c>
      <c r="P1211" s="11">
        <v>77980.0</v>
      </c>
      <c r="Q1211" s="11">
        <v>32190.0</v>
      </c>
      <c r="R1211" s="11">
        <v>25760.0</v>
      </c>
      <c r="S1211" s="11">
        <v>10570.0</v>
      </c>
      <c r="T1211" s="11">
        <v>109450.0</v>
      </c>
      <c r="U1211" s="11">
        <v>50340.0</v>
      </c>
      <c r="V1211" s="11">
        <v>22890.0</v>
      </c>
      <c r="W1211" s="11">
        <v>19590.0</v>
      </c>
      <c r="X1211" s="11">
        <v>7150.0</v>
      </c>
      <c r="Y1211" s="12"/>
      <c r="Z1211" s="12"/>
      <c r="AA1211" s="11">
        <v>-34280.0</v>
      </c>
      <c r="AB1211" s="12"/>
      <c r="AC1211" s="11">
        <v>-11070.0</v>
      </c>
      <c r="AD1211" s="11">
        <v>-140730.0</v>
      </c>
      <c r="AE1211" s="11">
        <v>-74060.0</v>
      </c>
      <c r="AF1211" s="11">
        <v>-33710.0</v>
      </c>
      <c r="AG1211" s="11">
        <v>-25870.0</v>
      </c>
      <c r="AH1211" s="11">
        <v>-11070.0</v>
      </c>
      <c r="AI1211" s="11">
        <v>-145170.0</v>
      </c>
      <c r="AJ1211" s="11">
        <v>-77980.0</v>
      </c>
      <c r="AK1211" s="11">
        <v>-32190.0</v>
      </c>
      <c r="AL1211" s="11">
        <v>-25760.0</v>
      </c>
      <c r="AM1211" s="11">
        <v>-10570.0</v>
      </c>
      <c r="AN1211" s="11">
        <v>-140730.0</v>
      </c>
      <c r="AO1211" s="11">
        <v>-74060.0</v>
      </c>
      <c r="AP1211" s="11">
        <v>-37580.0</v>
      </c>
      <c r="AQ1211" s="11">
        <v>-29070.0</v>
      </c>
      <c r="AR1211" s="11">
        <v>-12000.0</v>
      </c>
      <c r="AS1211" s="11">
        <v>-122750.0</v>
      </c>
      <c r="AT1211" s="11">
        <v>-62060.0</v>
      </c>
      <c r="AU1211" s="11">
        <v>-29460.0</v>
      </c>
      <c r="AV1211" s="11">
        <v>-23220.0</v>
      </c>
      <c r="AW1211" s="11">
        <v>-6750.0</v>
      </c>
      <c r="AX1211" s="11">
        <v>-3390.0</v>
      </c>
      <c r="AY1211" s="11">
        <v>-722.0</v>
      </c>
      <c r="AZ1211" s="11">
        <v>-133.0</v>
      </c>
      <c r="BA1211" s="11">
        <v>-1060.0</v>
      </c>
      <c r="BB1211" s="11">
        <v>-17.0</v>
      </c>
      <c r="BC1211" s="12"/>
      <c r="BD1211" s="12"/>
      <c r="BE1211" s="12"/>
      <c r="BF1211" s="12"/>
      <c r="BG1211" s="12"/>
      <c r="BH1211" s="11">
        <v>292460.0</v>
      </c>
      <c r="BI1211" s="11">
        <v>252060.0</v>
      </c>
      <c r="BJ1211" s="11">
        <v>148080.0</v>
      </c>
      <c r="BK1211" s="11">
        <v>10540.0</v>
      </c>
      <c r="BL1211" s="11">
        <v>34870.0</v>
      </c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1">
        <v>302400.0</v>
      </c>
      <c r="BX1211" s="11">
        <v>258690.0</v>
      </c>
      <c r="BY1211" s="11">
        <v>150670.0</v>
      </c>
      <c r="BZ1211" s="11">
        <v>11180.0</v>
      </c>
      <c r="CA1211" s="11">
        <v>35490.0</v>
      </c>
      <c r="CB1211" s="11">
        <v>5720.0</v>
      </c>
      <c r="CC1211" s="11">
        <v>1120.0</v>
      </c>
      <c r="CD1211" s="11">
        <v>840.0</v>
      </c>
      <c r="CE1211" s="11">
        <v>930.0</v>
      </c>
      <c r="CF1211" s="11">
        <v>17.0</v>
      </c>
      <c r="CG1211" s="12"/>
      <c r="CH1211" s="12"/>
      <c r="CI1211" s="12"/>
      <c r="CJ1211" s="12"/>
      <c r="CK1211" s="12"/>
      <c r="CL1211" s="11">
        <v>308520.0</v>
      </c>
      <c r="CM1211" s="11">
        <v>260210.0</v>
      </c>
      <c r="CN1211" s="11">
        <v>151740.0</v>
      </c>
      <c r="CO1211" s="11">
        <v>12340.0</v>
      </c>
      <c r="CP1211" s="11">
        <v>37280.0</v>
      </c>
      <c r="CQ1211" s="11">
        <v>10420.0</v>
      </c>
      <c r="CR1211" s="11">
        <v>7640.0</v>
      </c>
      <c r="CS1211" s="11">
        <v>2430.0</v>
      </c>
      <c r="CT1211" s="11">
        <v>1900.0</v>
      </c>
      <c r="CU1211" s="11">
        <v>1430.0</v>
      </c>
      <c r="CV1211" s="11">
        <v>24420.0</v>
      </c>
      <c r="CW1211" s="11">
        <v>472.0</v>
      </c>
      <c r="CX1211" s="12"/>
      <c r="CY1211" s="12"/>
      <c r="CZ1211" s="12"/>
      <c r="DA1211" s="12"/>
      <c r="DB1211" s="11">
        <v>24420.0</v>
      </c>
      <c r="DC1211" s="11">
        <v>13580.0</v>
      </c>
      <c r="DD1211" s="11">
        <v>6720.0</v>
      </c>
      <c r="DE1211" s="11">
        <v>4730.0</v>
      </c>
      <c r="DF1211" s="11">
        <v>27500.0</v>
      </c>
      <c r="DG1211" s="11">
        <v>13950.0</v>
      </c>
      <c r="DH1211" s="11">
        <v>6950.0</v>
      </c>
      <c r="DI1211" s="11">
        <v>5040.0</v>
      </c>
      <c r="DJ1211" s="11">
        <v>5270.0</v>
      </c>
      <c r="DK1211" s="11">
        <v>403.0</v>
      </c>
      <c r="DL1211" s="11">
        <v>401.0</v>
      </c>
      <c r="DM1211" s="11">
        <v>225.0</v>
      </c>
      <c r="DN1211" s="11">
        <v>225.0</v>
      </c>
      <c r="DO1211" s="11">
        <v>225.0</v>
      </c>
      <c r="DP1211" s="11">
        <v>3090.0</v>
      </c>
      <c r="DQ1211" s="12"/>
      <c r="DR1211" s="12"/>
      <c r="DS1211" s="12"/>
      <c r="DT1211" s="12"/>
      <c r="DU1211" s="13"/>
      <c r="DV1211" s="13"/>
      <c r="DW1211" s="13"/>
      <c r="DX1211" s="11">
        <v>40000.0</v>
      </c>
      <c r="DY1211" s="11">
        <v>40000.0</v>
      </c>
      <c r="DZ1211" s="11">
        <v>281020.0</v>
      </c>
      <c r="EA1211" s="11">
        <v>246260.0</v>
      </c>
      <c r="EB1211" s="11">
        <v>144790.0</v>
      </c>
      <c r="EC1211" s="11">
        <v>7300.0</v>
      </c>
      <c r="ED1211" s="11">
        <v>32000.0</v>
      </c>
      <c r="EE1211" s="23"/>
      <c r="EF1211" s="14">
        <v>1.872</v>
      </c>
      <c r="EG1211" s="14">
        <v>0.145</v>
      </c>
      <c r="EH1211" s="14">
        <v>0.092</v>
      </c>
    </row>
    <row r="1212">
      <c r="A1212" s="9">
        <f t="shared" si="2"/>
        <v>1210</v>
      </c>
      <c r="B1212" s="25" t="s">
        <v>1347</v>
      </c>
      <c r="C1212" s="12"/>
      <c r="D1212" s="12"/>
      <c r="E1212" s="12">
        <v>0.0</v>
      </c>
      <c r="F1212" s="12">
        <v>0.0</v>
      </c>
      <c r="G1212" s="12">
        <v>0.0</v>
      </c>
      <c r="H1212" s="12">
        <v>0.0</v>
      </c>
      <c r="I1212" s="12">
        <v>0.0</v>
      </c>
      <c r="J1212" s="12">
        <v>0.0</v>
      </c>
      <c r="K1212" s="12">
        <v>-7440.0</v>
      </c>
      <c r="L1212" s="12">
        <v>-2060.0</v>
      </c>
      <c r="M1212" s="12">
        <v>0.0</v>
      </c>
      <c r="N1212" s="12">
        <v>0.0</v>
      </c>
      <c r="O1212" s="12">
        <v>13300.0</v>
      </c>
      <c r="P1212" s="12">
        <v>12370.0</v>
      </c>
      <c r="Q1212" s="12">
        <v>13670.0</v>
      </c>
      <c r="R1212" s="12">
        <v>9680.0</v>
      </c>
      <c r="S1212" s="12">
        <v>9410.0</v>
      </c>
      <c r="T1212" s="12">
        <v>0.0</v>
      </c>
      <c r="U1212" s="12">
        <v>0.0</v>
      </c>
      <c r="V1212" s="12">
        <v>0.0</v>
      </c>
      <c r="W1212" s="12">
        <v>0.0</v>
      </c>
      <c r="X1212" s="12">
        <v>0.0</v>
      </c>
      <c r="Y1212" s="12">
        <v>0.0</v>
      </c>
      <c r="Z1212" s="12">
        <v>-21150.0</v>
      </c>
      <c r="AA1212" s="12">
        <v>-16410.0</v>
      </c>
      <c r="AB1212" s="12">
        <v>0.0</v>
      </c>
      <c r="AC1212" s="12">
        <v>-10650.0</v>
      </c>
      <c r="AD1212" s="12">
        <v>-12110.0</v>
      </c>
      <c r="AE1212" s="12">
        <v>-14810.0</v>
      </c>
      <c r="AF1212" s="12">
        <v>-8020.0</v>
      </c>
      <c r="AG1212" s="12">
        <v>-4320.0</v>
      </c>
      <c r="AH1212" s="12">
        <v>-6370.0</v>
      </c>
      <c r="AI1212" s="12">
        <v>-13300.0</v>
      </c>
      <c r="AJ1212" s="12">
        <v>-12370.0</v>
      </c>
      <c r="AK1212" s="12">
        <v>-13670.0</v>
      </c>
      <c r="AL1212" s="12">
        <v>0.0</v>
      </c>
      <c r="AM1212" s="12">
        <v>0.0</v>
      </c>
      <c r="AN1212" s="12">
        <v>-11610.0</v>
      </c>
      <c r="AO1212" s="12">
        <v>-19940.0</v>
      </c>
      <c r="AP1212" s="12">
        <v>-10290.0</v>
      </c>
      <c r="AQ1212" s="12">
        <v>-7290.0</v>
      </c>
      <c r="AR1212" s="12">
        <v>-9070.0</v>
      </c>
      <c r="AS1212" s="12">
        <v>-10900.0</v>
      </c>
      <c r="AT1212" s="12">
        <v>-9410.0</v>
      </c>
      <c r="AU1212" s="12">
        <v>-10140.0</v>
      </c>
      <c r="AV1212" s="12">
        <v>-5180.0</v>
      </c>
      <c r="AW1212" s="12">
        <v>-7430.0</v>
      </c>
      <c r="AX1212" s="12">
        <v>-27200.0</v>
      </c>
      <c r="AY1212" s="12">
        <v>-37070.0</v>
      </c>
      <c r="AZ1212" s="12">
        <v>-21920.0</v>
      </c>
      <c r="BA1212" s="12">
        <v>-24070.0</v>
      </c>
      <c r="BB1212" s="12">
        <v>-18600.0</v>
      </c>
      <c r="BC1212" s="16">
        <v>0.0</v>
      </c>
      <c r="BD1212" s="16">
        <v>0.0</v>
      </c>
      <c r="BE1212" s="16">
        <v>0.0</v>
      </c>
      <c r="BF1212" s="16">
        <v>0.0</v>
      </c>
      <c r="BG1212" s="16">
        <v>0.0</v>
      </c>
      <c r="BH1212" s="12">
        <v>15940.0</v>
      </c>
      <c r="BI1212" s="12">
        <v>22850.0</v>
      </c>
      <c r="BJ1212" s="12">
        <v>22970.0</v>
      </c>
      <c r="BK1212" s="12">
        <v>12430.0</v>
      </c>
      <c r="BL1212" s="12">
        <v>19570.0</v>
      </c>
      <c r="BM1212" s="12">
        <v>2210.0</v>
      </c>
      <c r="BN1212" s="12">
        <v>1200.0</v>
      </c>
      <c r="BO1212" s="12">
        <v>0.0</v>
      </c>
      <c r="BP1212" s="12">
        <v>0.0</v>
      </c>
      <c r="BQ1212" s="12">
        <v>0.0</v>
      </c>
      <c r="BR1212" s="12">
        <v>0.0</v>
      </c>
      <c r="BS1212" s="12">
        <v>0.0</v>
      </c>
      <c r="BT1212" s="12">
        <v>0.0</v>
      </c>
      <c r="BU1212" s="12">
        <v>0.0</v>
      </c>
      <c r="BV1212" s="12">
        <v>0.0</v>
      </c>
      <c r="BW1212" s="12">
        <v>19210.0</v>
      </c>
      <c r="BX1212" s="12">
        <v>24470.0</v>
      </c>
      <c r="BY1212" s="12">
        <v>23590.0</v>
      </c>
      <c r="BZ1212" s="12">
        <v>13060.0</v>
      </c>
      <c r="CA1212" s="12">
        <v>20130.0</v>
      </c>
      <c r="CB1212" s="12">
        <v>425940.0</v>
      </c>
      <c r="CC1212" s="12">
        <v>395300.0</v>
      </c>
      <c r="CD1212" s="12">
        <v>358140.0</v>
      </c>
      <c r="CE1212" s="12">
        <v>322930.0</v>
      </c>
      <c r="CF1212" s="12">
        <v>278800.0</v>
      </c>
      <c r="CG1212" s="12">
        <v>0.0</v>
      </c>
      <c r="CH1212" s="12">
        <v>0.0</v>
      </c>
      <c r="CI1212" s="12">
        <v>0.0</v>
      </c>
      <c r="CJ1212" s="12">
        <v>0.0</v>
      </c>
      <c r="CK1212" s="12">
        <v>0.0</v>
      </c>
      <c r="CL1212" s="12">
        <v>475480.0</v>
      </c>
      <c r="CM1212" s="12">
        <v>446960.0</v>
      </c>
      <c r="CN1212" s="12">
        <v>403560.0</v>
      </c>
      <c r="CO1212" s="12">
        <v>354110.0</v>
      </c>
      <c r="CP1212" s="12">
        <v>314720.0</v>
      </c>
      <c r="CQ1212" s="12">
        <v>0.0</v>
      </c>
      <c r="CR1212" s="12">
        <v>0.0</v>
      </c>
      <c r="CS1212" s="12">
        <v>0.0</v>
      </c>
      <c r="CT1212" s="12">
        <v>0.0</v>
      </c>
      <c r="CU1212" s="12">
        <v>1190.0</v>
      </c>
      <c r="CV1212" s="12">
        <v>6690.0</v>
      </c>
      <c r="CW1212" s="12">
        <v>0.0</v>
      </c>
      <c r="CX1212" s="16">
        <v>0.0</v>
      </c>
      <c r="CY1212" s="16">
        <v>0.0</v>
      </c>
      <c r="CZ1212" s="16">
        <v>0.0</v>
      </c>
      <c r="DA1212" s="12">
        <v>0.0</v>
      </c>
      <c r="DB1212" s="12">
        <v>6690.0</v>
      </c>
      <c r="DC1212" s="12">
        <v>6500.0</v>
      </c>
      <c r="DD1212" s="12">
        <v>6190.0</v>
      </c>
      <c r="DE1212" s="12">
        <v>5720.0</v>
      </c>
      <c r="DF1212" s="12">
        <v>60460.0</v>
      </c>
      <c r="DG1212" s="12">
        <v>60410.0</v>
      </c>
      <c r="DH1212" s="12">
        <v>47930.0</v>
      </c>
      <c r="DI1212" s="12">
        <v>42750.0</v>
      </c>
      <c r="DJ1212" s="12">
        <v>32740.0</v>
      </c>
      <c r="DK1212" s="12">
        <v>3690.0</v>
      </c>
      <c r="DL1212" s="12">
        <v>3680.0</v>
      </c>
      <c r="DM1212" s="12">
        <v>1190.0</v>
      </c>
      <c r="DN1212" s="12">
        <v>1990.0</v>
      </c>
      <c r="DO1212" s="12">
        <v>1600.0</v>
      </c>
      <c r="DP1212" s="12">
        <v>0.0</v>
      </c>
      <c r="DQ1212" s="12">
        <v>0.0</v>
      </c>
      <c r="DR1212" s="12">
        <v>0.0</v>
      </c>
      <c r="DS1212" s="12">
        <v>0.0</v>
      </c>
      <c r="DT1212" s="12">
        <v>0.0</v>
      </c>
      <c r="DU1212" s="16">
        <v>0.0</v>
      </c>
      <c r="DV1212" s="15">
        <v>0.0</v>
      </c>
      <c r="DW1212" s="12">
        <v>0.0</v>
      </c>
      <c r="DX1212" s="12">
        <v>0.0</v>
      </c>
      <c r="DY1212" s="16">
        <v>0.0</v>
      </c>
      <c r="DZ1212" s="12">
        <v>415020.0</v>
      </c>
      <c r="EA1212" s="12">
        <v>386560.0</v>
      </c>
      <c r="EB1212" s="12">
        <v>355640.0</v>
      </c>
      <c r="EC1212" s="12">
        <v>311360.0</v>
      </c>
      <c r="ED1212" s="12">
        <v>281980.0</v>
      </c>
      <c r="EE1212" s="23"/>
      <c r="EF1212" s="23"/>
      <c r="EG1212" s="23">
        <v>0.0</v>
      </c>
      <c r="EH1212" s="23">
        <v>-0.021</v>
      </c>
    </row>
    <row r="1213">
      <c r="A1213" s="9">
        <f t="shared" si="2"/>
        <v>1211</v>
      </c>
      <c r="B1213" s="10" t="s">
        <v>1348</v>
      </c>
      <c r="C1213" s="15">
        <v>3840000.0</v>
      </c>
      <c r="D1213" s="15">
        <v>3540000.0</v>
      </c>
      <c r="E1213" s="15">
        <v>3440000.0</v>
      </c>
      <c r="F1213" s="15">
        <v>3240000.0</v>
      </c>
      <c r="G1213" s="15">
        <v>3340000.0</v>
      </c>
      <c r="H1213" s="15">
        <v>2820000.0</v>
      </c>
      <c r="I1213" s="15">
        <v>2800000.0</v>
      </c>
      <c r="J1213" s="15">
        <v>272070.0</v>
      </c>
      <c r="K1213" s="15">
        <v>245860.0</v>
      </c>
      <c r="L1213" s="15">
        <v>641540.0</v>
      </c>
      <c r="M1213" s="15">
        <v>454000.0</v>
      </c>
      <c r="N1213" s="15">
        <v>491110.0</v>
      </c>
      <c r="O1213" s="15">
        <v>194710.0</v>
      </c>
      <c r="P1213" s="15">
        <v>202770.0</v>
      </c>
      <c r="Q1213" s="15">
        <v>211880.0</v>
      </c>
      <c r="R1213" s="15">
        <v>159890.0</v>
      </c>
      <c r="S1213" s="15">
        <v>155110.0</v>
      </c>
      <c r="T1213" s="15"/>
      <c r="U1213" s="15"/>
      <c r="V1213" s="15"/>
      <c r="W1213" s="15"/>
      <c r="X1213" s="12"/>
      <c r="Y1213" s="12"/>
      <c r="Z1213" s="12"/>
      <c r="AA1213" s="12"/>
      <c r="AB1213" s="12"/>
      <c r="AC1213" s="12"/>
      <c r="AD1213" s="15">
        <v>63850.0</v>
      </c>
      <c r="AE1213" s="15">
        <v>30560.0</v>
      </c>
      <c r="AF1213" s="15">
        <v>424530.0</v>
      </c>
      <c r="AG1213" s="15">
        <v>292680.0</v>
      </c>
      <c r="AH1213" s="12">
        <v>334090.0</v>
      </c>
      <c r="AI1213" s="15">
        <v>212780.0</v>
      </c>
      <c r="AJ1213" s="15">
        <v>153990.0</v>
      </c>
      <c r="AK1213" s="15">
        <v>530000.0</v>
      </c>
      <c r="AL1213" s="15">
        <v>378690.0</v>
      </c>
      <c r="AM1213" s="12">
        <v>410660.0</v>
      </c>
      <c r="AN1213" s="15">
        <v>52520.0</v>
      </c>
      <c r="AO1213" s="15">
        <v>60550.0</v>
      </c>
      <c r="AP1213" s="15">
        <v>275460.0</v>
      </c>
      <c r="AQ1213" s="15">
        <v>186030.0</v>
      </c>
      <c r="AR1213" s="12">
        <v>211830.0</v>
      </c>
      <c r="AS1213" s="15">
        <v>206800.0</v>
      </c>
      <c r="AT1213" s="15">
        <v>131410.0</v>
      </c>
      <c r="AU1213" s="15">
        <v>408950.0</v>
      </c>
      <c r="AV1213" s="15">
        <v>292850.0</v>
      </c>
      <c r="AW1213" s="12">
        <v>297810.0</v>
      </c>
      <c r="AX1213" s="15">
        <v>-249500.0</v>
      </c>
      <c r="AY1213" s="15">
        <v>-308880.0</v>
      </c>
      <c r="AZ1213" s="15">
        <v>-166770.0</v>
      </c>
      <c r="BA1213" s="15">
        <v>-200880.0</v>
      </c>
      <c r="BB1213" s="12">
        <v>-158290.0</v>
      </c>
      <c r="BC1213" s="13">
        <v>-28360.0</v>
      </c>
      <c r="BD1213" s="13">
        <v>-28970.0</v>
      </c>
      <c r="BE1213" s="13">
        <v>-46400.0</v>
      </c>
      <c r="BF1213" s="13">
        <v>-42900.0</v>
      </c>
      <c r="BG1213" s="13">
        <v>-31090.0</v>
      </c>
      <c r="BH1213" s="15">
        <v>95420.0</v>
      </c>
      <c r="BI1213" s="15">
        <v>121190.0</v>
      </c>
      <c r="BJ1213" s="15">
        <v>419290.0</v>
      </c>
      <c r="BK1213" s="15">
        <v>234110.0</v>
      </c>
      <c r="BL1213" s="15">
        <v>196660.0</v>
      </c>
      <c r="BM1213" s="15">
        <v>138840.0</v>
      </c>
      <c r="BN1213" s="15">
        <v>129030.0</v>
      </c>
      <c r="BO1213" s="15">
        <v>138870.0</v>
      </c>
      <c r="BP1213" s="15">
        <v>124350.0</v>
      </c>
      <c r="BQ1213" s="15">
        <v>129340.0</v>
      </c>
      <c r="BR1213" s="12">
        <v>289930.0</v>
      </c>
      <c r="BS1213" s="12">
        <v>240060.0</v>
      </c>
      <c r="BT1213" s="12">
        <v>252770.0</v>
      </c>
      <c r="BU1213" s="12">
        <v>220310.0</v>
      </c>
      <c r="BV1213" s="12">
        <v>198750.0</v>
      </c>
      <c r="BW1213" s="15">
        <v>581110.0</v>
      </c>
      <c r="BX1213" s="15">
        <v>566490.0</v>
      </c>
      <c r="BY1213" s="15">
        <v>849540.0</v>
      </c>
      <c r="BZ1213" s="15">
        <v>613320.0</v>
      </c>
      <c r="CA1213" s="15">
        <v>562790.0</v>
      </c>
      <c r="CB1213" s="15">
        <v>1190000.0</v>
      </c>
      <c r="CC1213" s="15">
        <v>1090000.0</v>
      </c>
      <c r="CD1213" s="15">
        <v>876810.0</v>
      </c>
      <c r="CE1213" s="15">
        <v>803990.0</v>
      </c>
      <c r="CF1213" s="12">
        <v>682330.0</v>
      </c>
      <c r="CG1213" s="15"/>
      <c r="CH1213" s="15"/>
      <c r="CI1213" s="12"/>
      <c r="CJ1213" s="12"/>
      <c r="CK1213" s="12"/>
      <c r="CL1213" s="15">
        <v>1850000.0</v>
      </c>
      <c r="CM1213" s="15">
        <v>1690000.0</v>
      </c>
      <c r="CN1213" s="15">
        <v>1760000.0</v>
      </c>
      <c r="CO1213" s="15">
        <v>1450000.0</v>
      </c>
      <c r="CP1213" s="15">
        <v>1250000.0</v>
      </c>
      <c r="CQ1213" s="15">
        <v>132740.0</v>
      </c>
      <c r="CR1213" s="15">
        <v>128940.0</v>
      </c>
      <c r="CS1213" s="15">
        <v>90900.0</v>
      </c>
      <c r="CT1213" s="15">
        <v>72770.0</v>
      </c>
      <c r="CU1213" s="15">
        <v>62820.0</v>
      </c>
      <c r="CV1213" s="15">
        <v>215680.0</v>
      </c>
      <c r="CW1213" s="12"/>
      <c r="CX1213" s="13"/>
      <c r="CY1213" s="13"/>
      <c r="CZ1213" s="13"/>
      <c r="DA1213" s="12"/>
      <c r="DB1213" s="15">
        <v>215680.0</v>
      </c>
      <c r="DC1213" s="15">
        <v>198890.0</v>
      </c>
      <c r="DD1213" s="15">
        <v>198720.0</v>
      </c>
      <c r="DE1213" s="15">
        <v>148190.0</v>
      </c>
      <c r="DF1213" s="15">
        <v>432740.0</v>
      </c>
      <c r="DG1213" s="15">
        <v>298860.0</v>
      </c>
      <c r="DH1213" s="15">
        <v>327070.0</v>
      </c>
      <c r="DI1213" s="15">
        <v>254960.0</v>
      </c>
      <c r="DJ1213" s="15">
        <v>221600.0</v>
      </c>
      <c r="DK1213" s="12"/>
      <c r="DL1213" s="12"/>
      <c r="DM1213" s="12"/>
      <c r="DN1213" s="12"/>
      <c r="DO1213" s="13"/>
      <c r="DP1213" s="15">
        <v>55000.0</v>
      </c>
      <c r="DQ1213" s="15"/>
      <c r="DR1213" s="12"/>
      <c r="DS1213" s="15"/>
      <c r="DT1213" s="15"/>
      <c r="DU1213" s="13"/>
      <c r="DV1213" s="12"/>
      <c r="DW1213" s="12"/>
      <c r="DX1213" s="13"/>
      <c r="DY1213" s="13"/>
      <c r="DZ1213" s="15">
        <v>1420000.0</v>
      </c>
      <c r="EA1213" s="15">
        <v>1390000.0</v>
      </c>
      <c r="EB1213" s="15">
        <v>1430000.0</v>
      </c>
      <c r="EC1213" s="15">
        <v>1190000.0</v>
      </c>
      <c r="ED1213" s="15">
        <v>1030000.0</v>
      </c>
      <c r="EE1213" s="23">
        <v>0.04519774</v>
      </c>
      <c r="EF1213" s="23">
        <v>0.096354167</v>
      </c>
      <c r="EG1213" s="17">
        <v>1.491</v>
      </c>
      <c r="EH1213" s="23">
        <v>0.13175</v>
      </c>
    </row>
    <row r="1214">
      <c r="A1214" s="9">
        <f t="shared" si="2"/>
        <v>1212</v>
      </c>
      <c r="B1214" s="22" t="s">
        <v>1349</v>
      </c>
      <c r="C1214" s="11">
        <v>18020.0</v>
      </c>
      <c r="D1214" s="11">
        <v>8180.0</v>
      </c>
      <c r="E1214" s="11">
        <v>6870.0</v>
      </c>
      <c r="F1214" s="11">
        <v>90270.0</v>
      </c>
      <c r="G1214" s="12"/>
      <c r="H1214" s="12"/>
      <c r="I1214" s="12"/>
      <c r="J1214" s="11">
        <v>4190.0</v>
      </c>
      <c r="K1214" s="12"/>
      <c r="L1214" s="11">
        <v>-500.0</v>
      </c>
      <c r="M1214" s="11">
        <v>-281.0</v>
      </c>
      <c r="N1214" s="11">
        <v>-115.0</v>
      </c>
      <c r="O1214" s="11">
        <v>712310.0</v>
      </c>
      <c r="P1214" s="11">
        <v>482410.0</v>
      </c>
      <c r="Q1214" s="11">
        <v>272660.0</v>
      </c>
      <c r="R1214" s="11">
        <v>159880.0</v>
      </c>
      <c r="S1214" s="11">
        <v>94540.0</v>
      </c>
      <c r="T1214" s="11">
        <v>368820.0</v>
      </c>
      <c r="U1214" s="11">
        <v>282110.0</v>
      </c>
      <c r="V1214" s="11">
        <v>210280.0</v>
      </c>
      <c r="W1214" s="11">
        <v>120760.0</v>
      </c>
      <c r="X1214" s="11">
        <v>69360.0</v>
      </c>
      <c r="Y1214" s="12"/>
      <c r="Z1214" s="12"/>
      <c r="AA1214" s="12"/>
      <c r="AB1214" s="12"/>
      <c r="AC1214" s="12"/>
      <c r="AD1214" s="11">
        <v>-680240.0</v>
      </c>
      <c r="AE1214" s="11">
        <v>-372880.0</v>
      </c>
      <c r="AF1214" s="11">
        <v>-270120.0</v>
      </c>
      <c r="AG1214" s="11">
        <v>-158990.0</v>
      </c>
      <c r="AH1214" s="11">
        <v>-94500.0</v>
      </c>
      <c r="AI1214" s="11">
        <v>-705840.0</v>
      </c>
      <c r="AJ1214" s="11">
        <v>-392140.0</v>
      </c>
      <c r="AK1214" s="11">
        <v>-272660.0</v>
      </c>
      <c r="AL1214" s="11">
        <v>-159880.0</v>
      </c>
      <c r="AM1214" s="11">
        <v>-94540.0</v>
      </c>
      <c r="AN1214" s="11">
        <v>-680240.0</v>
      </c>
      <c r="AO1214" s="11">
        <v>-372880.0</v>
      </c>
      <c r="AP1214" s="11">
        <v>-270120.0</v>
      </c>
      <c r="AQ1214" s="11">
        <v>-158990.0</v>
      </c>
      <c r="AR1214" s="11">
        <v>-94500.0</v>
      </c>
      <c r="AS1214" s="11">
        <v>-531510.0</v>
      </c>
      <c r="AT1214" s="11">
        <v>-260670.0</v>
      </c>
      <c r="AU1214" s="11">
        <v>-219280.0</v>
      </c>
      <c r="AV1214" s="11">
        <v>-118680.0</v>
      </c>
      <c r="AW1214" s="11">
        <v>-70680.0</v>
      </c>
      <c r="AX1214" s="11">
        <v>-5750.0</v>
      </c>
      <c r="AY1214" s="11">
        <v>-2860.0</v>
      </c>
      <c r="AZ1214" s="11">
        <v>-1360.0</v>
      </c>
      <c r="BA1214" s="11">
        <v>-1420.0</v>
      </c>
      <c r="BB1214" s="11">
        <v>-198.0</v>
      </c>
      <c r="BC1214" s="12"/>
      <c r="BD1214" s="12"/>
      <c r="BE1214" s="12"/>
      <c r="BF1214" s="12"/>
      <c r="BG1214" s="12"/>
      <c r="BH1214" s="11">
        <v>1010000.0</v>
      </c>
      <c r="BI1214" s="11">
        <v>922780.0</v>
      </c>
      <c r="BJ1214" s="11">
        <v>518850.0</v>
      </c>
      <c r="BK1214" s="11">
        <v>397480.0</v>
      </c>
      <c r="BL1214" s="11">
        <v>186750.0</v>
      </c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1">
        <v>1040000.0</v>
      </c>
      <c r="BX1214" s="11">
        <v>944700.0</v>
      </c>
      <c r="BY1214" s="11">
        <v>525080.0</v>
      </c>
      <c r="BZ1214" s="11">
        <v>402580.0</v>
      </c>
      <c r="CA1214" s="11">
        <v>188490.0</v>
      </c>
      <c r="CB1214" s="11">
        <v>42900.0</v>
      </c>
      <c r="CC1214" s="11">
        <v>5640.0</v>
      </c>
      <c r="CD1214" s="11">
        <v>4010.0</v>
      </c>
      <c r="CE1214" s="11">
        <v>1390.0</v>
      </c>
      <c r="CF1214" s="11">
        <v>286.0</v>
      </c>
      <c r="CG1214" s="12"/>
      <c r="CH1214" s="12"/>
      <c r="CI1214" s="12"/>
      <c r="CJ1214" s="12"/>
      <c r="CK1214" s="12"/>
      <c r="CL1214" s="11">
        <v>1080000.0</v>
      </c>
      <c r="CM1214" s="11">
        <v>952710.0</v>
      </c>
      <c r="CN1214" s="11">
        <v>529940.0</v>
      </c>
      <c r="CO1214" s="11">
        <v>404530.0</v>
      </c>
      <c r="CP1214" s="11">
        <v>189020.0</v>
      </c>
      <c r="CQ1214" s="11">
        <v>15270.0</v>
      </c>
      <c r="CR1214" s="11">
        <v>34040.0</v>
      </c>
      <c r="CS1214" s="11">
        <v>9350.0</v>
      </c>
      <c r="CT1214" s="12"/>
      <c r="CU1214" s="12"/>
      <c r="CV1214" s="11">
        <v>112130.0</v>
      </c>
      <c r="CW1214" s="11">
        <v>10240.0</v>
      </c>
      <c r="CX1214" s="12"/>
      <c r="CY1214" s="12"/>
      <c r="CZ1214" s="12"/>
      <c r="DA1214" s="12"/>
      <c r="DB1214" s="11">
        <v>112130.0</v>
      </c>
      <c r="DC1214" s="11">
        <v>86030.0</v>
      </c>
      <c r="DD1214" s="11">
        <v>51950.0</v>
      </c>
      <c r="DE1214" s="11">
        <v>35170.0</v>
      </c>
      <c r="DF1214" s="11">
        <v>139500.0</v>
      </c>
      <c r="DG1214" s="11">
        <v>89730.0</v>
      </c>
      <c r="DH1214" s="11">
        <v>54460.0</v>
      </c>
      <c r="DI1214" s="11">
        <v>36010.0</v>
      </c>
      <c r="DJ1214" s="11">
        <v>15320.0</v>
      </c>
      <c r="DK1214" s="11">
        <v>2370.0</v>
      </c>
      <c r="DL1214" s="11">
        <v>2370.0</v>
      </c>
      <c r="DM1214" s="11">
        <v>849.0</v>
      </c>
      <c r="DN1214" s="11">
        <v>564.0</v>
      </c>
      <c r="DO1214" s="24">
        <v>39.0</v>
      </c>
      <c r="DP1214" s="11">
        <v>26850.0</v>
      </c>
      <c r="DQ1214" s="12"/>
      <c r="DR1214" s="12"/>
      <c r="DS1214" s="12"/>
      <c r="DT1214" s="12"/>
      <c r="DU1214" s="13"/>
      <c r="DV1214" s="12"/>
      <c r="DW1214" s="12"/>
      <c r="DX1214" s="13"/>
      <c r="DY1214" s="13"/>
      <c r="DZ1214" s="11">
        <v>944660.0</v>
      </c>
      <c r="EA1214" s="11">
        <v>862970.0</v>
      </c>
      <c r="EB1214" s="11">
        <v>475480.0</v>
      </c>
      <c r="EC1214" s="11">
        <v>368520.0</v>
      </c>
      <c r="ED1214" s="11">
        <v>173700.0</v>
      </c>
      <c r="EE1214" s="14">
        <v>1.495</v>
      </c>
      <c r="EF1214" s="14">
        <v>2.062</v>
      </c>
      <c r="EG1214" s="14">
        <v>0.011</v>
      </c>
      <c r="EH1214" s="14">
        <v>0.075</v>
      </c>
    </row>
    <row r="1215">
      <c r="A1215" s="9">
        <f t="shared" si="2"/>
        <v>1213</v>
      </c>
      <c r="B1215" s="10" t="s">
        <v>1350</v>
      </c>
      <c r="C1215" s="15">
        <v>1.128E7</v>
      </c>
      <c r="D1215" s="15">
        <v>9770000.0</v>
      </c>
      <c r="E1215" s="15">
        <v>1.045E7</v>
      </c>
      <c r="F1215" s="15">
        <v>9950000.0</v>
      </c>
      <c r="G1215" s="15">
        <v>9870000.0</v>
      </c>
      <c r="H1215" s="15">
        <v>9730000.0</v>
      </c>
      <c r="I1215" s="15">
        <v>9620000.0</v>
      </c>
      <c r="J1215" s="15">
        <v>1430000.0</v>
      </c>
      <c r="K1215" s="15">
        <v>1350000.0</v>
      </c>
      <c r="L1215" s="15">
        <v>1370000.0</v>
      </c>
      <c r="M1215" s="15">
        <v>1350000.0</v>
      </c>
      <c r="N1215" s="15">
        <v>1350000.0</v>
      </c>
      <c r="O1215" s="15">
        <v>1170000.0</v>
      </c>
      <c r="P1215" s="15">
        <v>1150000.0</v>
      </c>
      <c r="Q1215" s="15">
        <v>1150000.0</v>
      </c>
      <c r="R1215" s="15">
        <v>1110000.0</v>
      </c>
      <c r="S1215" s="15">
        <v>1110000.0</v>
      </c>
      <c r="T1215" s="12"/>
      <c r="U1215" s="12"/>
      <c r="V1215" s="12"/>
      <c r="W1215" s="12"/>
      <c r="X1215" s="12"/>
      <c r="Y1215" s="15">
        <v>227420.0</v>
      </c>
      <c r="Z1215" s="15">
        <v>176730.0</v>
      </c>
      <c r="AA1215" s="15">
        <v>207630.0</v>
      </c>
      <c r="AB1215" s="15">
        <v>227880.0</v>
      </c>
      <c r="AC1215" s="15">
        <v>206620.0</v>
      </c>
      <c r="AD1215" s="15">
        <v>199650.0</v>
      </c>
      <c r="AE1215" s="15">
        <v>75310.0</v>
      </c>
      <c r="AF1215" s="15">
        <v>108120.0</v>
      </c>
      <c r="AG1215" s="15">
        <v>155210.0</v>
      </c>
      <c r="AH1215" s="15">
        <v>145160.0</v>
      </c>
      <c r="AI1215" s="15">
        <v>351490.0</v>
      </c>
      <c r="AJ1215" s="15">
        <v>301620.0</v>
      </c>
      <c r="AK1215" s="15">
        <v>310350.0</v>
      </c>
      <c r="AL1215" s="15">
        <v>319450.0</v>
      </c>
      <c r="AM1215" s="15">
        <v>306700.0</v>
      </c>
      <c r="AN1215" s="15">
        <v>144540.0</v>
      </c>
      <c r="AO1215" s="15">
        <v>52340.0</v>
      </c>
      <c r="AP1215" s="15">
        <v>94070.0</v>
      </c>
      <c r="AQ1215" s="15">
        <v>94460.0</v>
      </c>
      <c r="AR1215" s="15">
        <v>88060.0</v>
      </c>
      <c r="AS1215" s="15">
        <v>131120.0</v>
      </c>
      <c r="AT1215" s="15">
        <v>126840.0</v>
      </c>
      <c r="AU1215" s="15">
        <v>209180.0</v>
      </c>
      <c r="AV1215" s="15">
        <v>259300.0</v>
      </c>
      <c r="AW1215" s="15">
        <v>-112130.0</v>
      </c>
      <c r="AX1215" s="15">
        <v>-125580.0</v>
      </c>
      <c r="AY1215" s="15">
        <v>-163620.0</v>
      </c>
      <c r="AZ1215" s="15">
        <v>-234250.0</v>
      </c>
      <c r="BA1215" s="15">
        <v>-206230.0</v>
      </c>
      <c r="BB1215" s="15">
        <v>-173250.0</v>
      </c>
      <c r="BC1215" s="15">
        <v>-15490.0</v>
      </c>
      <c r="BD1215" s="15">
        <v>-9830.0</v>
      </c>
      <c r="BE1215" s="15">
        <v>-8850.0</v>
      </c>
      <c r="BF1215" s="15">
        <v>-8700.0</v>
      </c>
      <c r="BG1215" s="15">
        <v>-5080.0</v>
      </c>
      <c r="BH1215" s="15">
        <v>29100.0</v>
      </c>
      <c r="BI1215" s="15">
        <v>5850.0</v>
      </c>
      <c r="BJ1215" s="15">
        <v>6350.0</v>
      </c>
      <c r="BK1215" s="15">
        <v>3110.0</v>
      </c>
      <c r="BL1215" s="15">
        <v>77630.0</v>
      </c>
      <c r="BM1215" s="15">
        <v>432740.0</v>
      </c>
      <c r="BN1215" s="15">
        <v>438190.0</v>
      </c>
      <c r="BO1215" s="15">
        <v>482130.0</v>
      </c>
      <c r="BP1215" s="15">
        <v>430240.0</v>
      </c>
      <c r="BQ1215" s="15">
        <v>378520.0</v>
      </c>
      <c r="BR1215" s="15">
        <v>1520000.0</v>
      </c>
      <c r="BS1215" s="15">
        <v>1530000.0</v>
      </c>
      <c r="BT1215" s="15">
        <v>1510000.0</v>
      </c>
      <c r="BU1215" s="15">
        <v>1570000.0</v>
      </c>
      <c r="BV1215" s="15">
        <v>1600000.0</v>
      </c>
      <c r="BW1215" s="15">
        <v>2020000.0</v>
      </c>
      <c r="BX1215" s="15">
        <v>1990000.0</v>
      </c>
      <c r="BY1215" s="15">
        <v>2020000.0</v>
      </c>
      <c r="BZ1215" s="15">
        <v>2030000.0</v>
      </c>
      <c r="CA1215" s="15">
        <v>2080000.0</v>
      </c>
      <c r="CB1215" s="15">
        <v>1470000.0</v>
      </c>
      <c r="CC1215" s="15">
        <v>1180000.0</v>
      </c>
      <c r="CD1215" s="15">
        <v>1150000.0</v>
      </c>
      <c r="CE1215" s="15">
        <v>1010000.0</v>
      </c>
      <c r="CF1215" s="15">
        <v>886900.0</v>
      </c>
      <c r="CG1215" s="15">
        <v>475790.0</v>
      </c>
      <c r="CH1215" s="15">
        <v>509590.0</v>
      </c>
      <c r="CI1215" s="15">
        <v>525780.0</v>
      </c>
      <c r="CJ1215" s="15">
        <v>472440.0</v>
      </c>
      <c r="CK1215" s="15">
        <v>471490.0</v>
      </c>
      <c r="CL1215" s="15">
        <v>4070000.0</v>
      </c>
      <c r="CM1215" s="15">
        <v>3800000.0</v>
      </c>
      <c r="CN1215" s="15">
        <v>3820000.0</v>
      </c>
      <c r="CO1215" s="15">
        <v>3640000.0</v>
      </c>
      <c r="CP1215" s="15">
        <v>3560000.0</v>
      </c>
      <c r="CQ1215" s="15">
        <v>135220.0</v>
      </c>
      <c r="CR1215" s="15">
        <v>114260.0</v>
      </c>
      <c r="CS1215" s="15">
        <v>129900.0</v>
      </c>
      <c r="CT1215" s="15">
        <v>117740.0</v>
      </c>
      <c r="CU1215" s="15">
        <v>131200.0</v>
      </c>
      <c r="CV1215" s="15">
        <v>2070000.0</v>
      </c>
      <c r="CW1215" s="15">
        <v>1580000.0</v>
      </c>
      <c r="CX1215" s="15">
        <v>1530000.0</v>
      </c>
      <c r="CY1215" s="15">
        <v>1510000.0</v>
      </c>
      <c r="CZ1215" s="15">
        <v>1530000.0</v>
      </c>
      <c r="DA1215" s="15">
        <v>1520000.0</v>
      </c>
      <c r="DB1215" s="15">
        <v>2070000.0</v>
      </c>
      <c r="DC1215" s="15">
        <v>1950000.0</v>
      </c>
      <c r="DD1215" s="15">
        <v>1950000.0</v>
      </c>
      <c r="DE1215" s="15">
        <v>1940000.0</v>
      </c>
      <c r="DF1215" s="15">
        <v>3130000.0</v>
      </c>
      <c r="DG1215" s="15">
        <v>2970000.0</v>
      </c>
      <c r="DH1215" s="15">
        <v>3030000.0</v>
      </c>
      <c r="DI1215" s="15">
        <v>2910000.0</v>
      </c>
      <c r="DJ1215" s="15">
        <v>2830000.0</v>
      </c>
      <c r="DK1215" s="15">
        <v>100.0</v>
      </c>
      <c r="DL1215" s="15">
        <v>3000.0</v>
      </c>
      <c r="DM1215" s="12"/>
      <c r="DN1215" s="12"/>
      <c r="DO1215" s="12"/>
      <c r="DP1215" s="15">
        <v>977440.0</v>
      </c>
      <c r="DQ1215" s="15">
        <v>918780.0</v>
      </c>
      <c r="DR1215" s="15">
        <v>963390.0</v>
      </c>
      <c r="DS1215" s="15">
        <v>839680.0</v>
      </c>
      <c r="DT1215" s="15">
        <v>781150.0</v>
      </c>
      <c r="DU1215" s="13"/>
      <c r="DV1215" s="12"/>
      <c r="DW1215" s="12"/>
      <c r="DX1215" s="12"/>
      <c r="DY1215" s="12"/>
      <c r="DZ1215" s="15">
        <v>944760.0</v>
      </c>
      <c r="EA1215" s="15">
        <v>823120.0</v>
      </c>
      <c r="EB1215" s="15">
        <v>786760.0</v>
      </c>
      <c r="EC1215" s="15">
        <v>725160.0</v>
      </c>
      <c r="ED1215" s="15">
        <v>729050.0</v>
      </c>
      <c r="EE1215" s="17">
        <v>0.074</v>
      </c>
      <c r="EF1215" s="17">
        <v>0.175</v>
      </c>
      <c r="EG1215" s="17">
        <v>1.097</v>
      </c>
      <c r="EH1215" s="17">
        <v>0.554</v>
      </c>
    </row>
    <row r="1216">
      <c r="A1216" s="9">
        <f t="shared" si="2"/>
        <v>1214</v>
      </c>
      <c r="B1216" s="10" t="s">
        <v>1351</v>
      </c>
      <c r="C1216" s="11">
        <v>1960000.0</v>
      </c>
      <c r="D1216" s="11">
        <v>1780000.0</v>
      </c>
      <c r="E1216" s="11">
        <v>1790000.0</v>
      </c>
      <c r="F1216" s="11">
        <v>1650000.0</v>
      </c>
      <c r="G1216" s="11">
        <v>1400000.0</v>
      </c>
      <c r="H1216" s="11">
        <v>1220000.0</v>
      </c>
      <c r="I1216" s="11">
        <v>1220000.0</v>
      </c>
      <c r="J1216" s="11">
        <v>152180.0</v>
      </c>
      <c r="K1216" s="11">
        <v>141560.0</v>
      </c>
      <c r="L1216" s="11">
        <v>94530.0</v>
      </c>
      <c r="M1216" s="11">
        <v>79850.0</v>
      </c>
      <c r="N1216" s="11">
        <v>90290.0</v>
      </c>
      <c r="O1216" s="11"/>
      <c r="P1216" s="11"/>
      <c r="Q1216" s="11"/>
      <c r="R1216" s="11"/>
      <c r="S1216" s="11"/>
      <c r="T1216" s="12"/>
      <c r="U1216" s="12"/>
      <c r="V1216" s="12"/>
      <c r="W1216" s="12"/>
      <c r="X1216" s="12"/>
      <c r="Y1216" s="12"/>
      <c r="Z1216" s="12"/>
      <c r="AA1216" s="11"/>
      <c r="AB1216" s="12"/>
      <c r="AC1216" s="12"/>
      <c r="AD1216" s="11">
        <v>146650.0</v>
      </c>
      <c r="AE1216" s="11">
        <v>135830.0</v>
      </c>
      <c r="AF1216" s="11">
        <v>89750.0</v>
      </c>
      <c r="AG1216" s="11">
        <v>74920.0</v>
      </c>
      <c r="AH1216" s="11">
        <v>85960.0</v>
      </c>
      <c r="AI1216" s="11">
        <v>271320.0</v>
      </c>
      <c r="AJ1216" s="11">
        <v>243710.0</v>
      </c>
      <c r="AK1216" s="11">
        <v>181630.0</v>
      </c>
      <c r="AL1216" s="11">
        <v>156090.0</v>
      </c>
      <c r="AM1216" s="11">
        <v>155310.0</v>
      </c>
      <c r="AN1216" s="11">
        <v>113720.0</v>
      </c>
      <c r="AO1216" s="11">
        <v>104980.0</v>
      </c>
      <c r="AP1216" s="11">
        <v>91130.0</v>
      </c>
      <c r="AQ1216" s="11">
        <v>48020.0</v>
      </c>
      <c r="AR1216" s="11">
        <v>55020.0</v>
      </c>
      <c r="AS1216" s="11">
        <v>272880.0</v>
      </c>
      <c r="AT1216" s="11">
        <v>256440.0</v>
      </c>
      <c r="AU1216" s="11">
        <v>157850.0</v>
      </c>
      <c r="AV1216" s="11">
        <v>145780.0</v>
      </c>
      <c r="AW1216" s="11">
        <v>142710.0</v>
      </c>
      <c r="AX1216" s="11">
        <v>-287660.0</v>
      </c>
      <c r="AY1216" s="11">
        <v>-223670.0</v>
      </c>
      <c r="AZ1216" s="11">
        <v>-186700.0</v>
      </c>
      <c r="BA1216" s="11">
        <v>-119370.0</v>
      </c>
      <c r="BB1216" s="11">
        <v>-86500.0</v>
      </c>
      <c r="BC1216" s="12"/>
      <c r="BD1216" s="12"/>
      <c r="BE1216" s="12"/>
      <c r="BF1216" s="12"/>
      <c r="BG1216" s="12"/>
      <c r="BH1216" s="12">
        <v>248.0</v>
      </c>
      <c r="BI1216" s="11">
        <v>2190.0</v>
      </c>
      <c r="BJ1216" s="11">
        <v>4720.0</v>
      </c>
      <c r="BK1216" s="11">
        <v>1540.0</v>
      </c>
      <c r="BL1216" s="12">
        <v>124.0</v>
      </c>
      <c r="BM1216" s="11">
        <v>204410.0</v>
      </c>
      <c r="BN1216" s="11">
        <v>183440.0</v>
      </c>
      <c r="BO1216" s="11">
        <v>173940.0</v>
      </c>
      <c r="BP1216" s="11">
        <v>142070.0</v>
      </c>
      <c r="BQ1216" s="11">
        <v>139970.0</v>
      </c>
      <c r="BR1216" s="12"/>
      <c r="BS1216" s="12"/>
      <c r="BT1216" s="12"/>
      <c r="BU1216" s="12"/>
      <c r="BV1216" s="12"/>
      <c r="BW1216" s="11">
        <v>232380.0</v>
      </c>
      <c r="BX1216" s="11">
        <v>213370.0</v>
      </c>
      <c r="BY1216" s="11">
        <v>203250.0</v>
      </c>
      <c r="BZ1216" s="11">
        <v>166480.0</v>
      </c>
      <c r="CA1216" s="11">
        <v>158990.0</v>
      </c>
      <c r="CB1216" s="11">
        <v>1160000.0</v>
      </c>
      <c r="CC1216" s="11">
        <v>893060.0</v>
      </c>
      <c r="CD1216" s="11">
        <v>735780.0</v>
      </c>
      <c r="CE1216" s="11">
        <v>604120.0</v>
      </c>
      <c r="CF1216" s="11">
        <v>539180.0</v>
      </c>
      <c r="CG1216" s="11">
        <v>12110.0</v>
      </c>
      <c r="CH1216" s="11">
        <v>12110.0</v>
      </c>
      <c r="CI1216" s="11">
        <v>12110.0</v>
      </c>
      <c r="CJ1216" s="11">
        <v>12110.0</v>
      </c>
      <c r="CK1216" s="11">
        <v>12030.0</v>
      </c>
      <c r="CL1216" s="11">
        <v>1420000.0</v>
      </c>
      <c r="CM1216" s="11">
        <v>1170000.0</v>
      </c>
      <c r="CN1216" s="11">
        <v>994490.0</v>
      </c>
      <c r="CO1216" s="11">
        <v>839210.0</v>
      </c>
      <c r="CP1216" s="11">
        <v>768730.0</v>
      </c>
      <c r="CQ1216" s="11">
        <v>83620.0</v>
      </c>
      <c r="CR1216" s="11">
        <v>78990.0</v>
      </c>
      <c r="CS1216" s="11">
        <v>57440.0</v>
      </c>
      <c r="CT1216" s="11">
        <v>45150.0</v>
      </c>
      <c r="CU1216" s="11">
        <v>54750.0</v>
      </c>
      <c r="CV1216" s="11">
        <v>241250.0</v>
      </c>
      <c r="CW1216" s="11">
        <v>19020.0</v>
      </c>
      <c r="CX1216" s="12"/>
      <c r="CY1216" s="12"/>
      <c r="CZ1216" s="12"/>
      <c r="DA1216" s="12"/>
      <c r="DB1216" s="11">
        <v>241250.0</v>
      </c>
      <c r="DC1216" s="11">
        <v>209310.0</v>
      </c>
      <c r="DD1216" s="11">
        <v>166930.0</v>
      </c>
      <c r="DE1216" s="11">
        <v>144940.0</v>
      </c>
      <c r="DF1216" s="11">
        <v>600470.0</v>
      </c>
      <c r="DG1216" s="11">
        <v>469740.0</v>
      </c>
      <c r="DH1216" s="11">
        <v>412000.0</v>
      </c>
      <c r="DI1216" s="11">
        <v>356130.0</v>
      </c>
      <c r="DJ1216" s="11">
        <v>340840.0</v>
      </c>
      <c r="DK1216" s="12"/>
      <c r="DL1216" s="11"/>
      <c r="DM1216" s="11"/>
      <c r="DN1216" s="11"/>
      <c r="DO1216" s="12"/>
      <c r="DP1216" s="11">
        <v>203260.0</v>
      </c>
      <c r="DQ1216" s="11">
        <v>104780.0</v>
      </c>
      <c r="DR1216" s="11">
        <v>118830.0</v>
      </c>
      <c r="DS1216" s="11">
        <v>57040.0</v>
      </c>
      <c r="DT1216" s="11">
        <v>56540.0</v>
      </c>
      <c r="DU1216" s="13"/>
      <c r="DV1216" s="12"/>
      <c r="DW1216" s="12"/>
      <c r="DX1216" s="12"/>
      <c r="DY1216" s="12"/>
      <c r="DZ1216" s="11">
        <v>815230.0</v>
      </c>
      <c r="EA1216" s="11">
        <v>695860.0</v>
      </c>
      <c r="EB1216" s="11">
        <v>582490.0</v>
      </c>
      <c r="EC1216" s="11">
        <v>483080.0</v>
      </c>
      <c r="ED1216" s="11">
        <v>427890.0</v>
      </c>
      <c r="EE1216" s="14">
        <v>0.056</v>
      </c>
      <c r="EF1216" s="14">
        <v>0.122</v>
      </c>
      <c r="EG1216" s="14">
        <v>0.189</v>
      </c>
      <c r="EH1216" s="14">
        <v>0.103</v>
      </c>
    </row>
    <row r="1217">
      <c r="A1217" s="9">
        <f t="shared" si="2"/>
        <v>1215</v>
      </c>
      <c r="B1217" s="10" t="s">
        <v>1352</v>
      </c>
      <c r="C1217" s="15">
        <v>7700000.0</v>
      </c>
      <c r="D1217" s="15">
        <v>7240000.0</v>
      </c>
      <c r="E1217" s="15">
        <v>6380000.0</v>
      </c>
      <c r="F1217" s="15">
        <v>4660000.0</v>
      </c>
      <c r="G1217" s="15">
        <v>4450000.0</v>
      </c>
      <c r="H1217" s="15">
        <v>4440000.0</v>
      </c>
      <c r="I1217" s="15">
        <v>4320000.0</v>
      </c>
      <c r="J1217" s="15">
        <v>611000.0</v>
      </c>
      <c r="K1217" s="15">
        <v>464000.0</v>
      </c>
      <c r="L1217" s="15">
        <v>417000.0</v>
      </c>
      <c r="M1217" s="15">
        <v>439000.0</v>
      </c>
      <c r="N1217" s="15">
        <v>379000.0</v>
      </c>
      <c r="O1217" s="15">
        <v>204000.0</v>
      </c>
      <c r="P1217" s="15">
        <v>164000.0</v>
      </c>
      <c r="Q1217" s="15">
        <v>148000.0</v>
      </c>
      <c r="R1217" s="15">
        <v>176000.0</v>
      </c>
      <c r="S1217" s="15">
        <v>126000.0</v>
      </c>
      <c r="T1217" s="15">
        <v>18000.0</v>
      </c>
      <c r="U1217" s="15">
        <v>5000.0</v>
      </c>
      <c r="V1217" s="15">
        <v>4000.0</v>
      </c>
      <c r="W1217" s="15">
        <v>4000.0</v>
      </c>
      <c r="X1217" s="15">
        <v>4000.0</v>
      </c>
      <c r="Y1217" s="15">
        <v>359000.0</v>
      </c>
      <c r="Z1217" s="15">
        <v>220000.0</v>
      </c>
      <c r="AA1217" s="15">
        <v>256000.0</v>
      </c>
      <c r="AB1217" s="15">
        <v>-5000.0</v>
      </c>
      <c r="AC1217" s="15">
        <v>227000.0</v>
      </c>
      <c r="AD1217" s="15">
        <v>275000.0</v>
      </c>
      <c r="AE1217" s="15">
        <v>170000.0</v>
      </c>
      <c r="AF1217" s="15">
        <v>214000.0</v>
      </c>
      <c r="AG1217" s="15">
        <v>212000.0</v>
      </c>
      <c r="AH1217" s="15">
        <v>183000.0</v>
      </c>
      <c r="AI1217" s="15">
        <v>538000.0</v>
      </c>
      <c r="AJ1217" s="15">
        <v>347000.0</v>
      </c>
      <c r="AK1217" s="15">
        <v>313000.0</v>
      </c>
      <c r="AL1217" s="15">
        <v>313000.0</v>
      </c>
      <c r="AM1217" s="15">
        <v>312000.0</v>
      </c>
      <c r="AN1217" s="15">
        <v>226000.0</v>
      </c>
      <c r="AO1217" s="15">
        <v>137000.0</v>
      </c>
      <c r="AP1217" s="15">
        <v>179000.0</v>
      </c>
      <c r="AQ1217" s="15">
        <v>143000.0</v>
      </c>
      <c r="AR1217" s="15">
        <v>117000.0</v>
      </c>
      <c r="AS1217" s="15">
        <v>458000.0</v>
      </c>
      <c r="AT1217" s="15">
        <v>184000.0</v>
      </c>
      <c r="AU1217" s="15">
        <v>217000.0</v>
      </c>
      <c r="AV1217" s="15">
        <v>273000.0</v>
      </c>
      <c r="AW1217" s="15">
        <v>226000.0</v>
      </c>
      <c r="AX1217" s="15">
        <v>-21000.0</v>
      </c>
      <c r="AY1217" s="15">
        <v>-28000.0</v>
      </c>
      <c r="AZ1217" s="15">
        <v>-22000.0</v>
      </c>
      <c r="BA1217" s="15">
        <v>-15000.0</v>
      </c>
      <c r="BB1217" s="15">
        <v>-20000.0</v>
      </c>
      <c r="BC1217" s="15">
        <v>-87000.0</v>
      </c>
      <c r="BD1217" s="15">
        <v>-53000.0</v>
      </c>
      <c r="BE1217" s="15">
        <v>-54000.0</v>
      </c>
      <c r="BF1217" s="15">
        <v>-54000.0</v>
      </c>
      <c r="BG1217" s="15">
        <v>-55000.0</v>
      </c>
      <c r="BH1217" s="15">
        <v>192000.0</v>
      </c>
      <c r="BI1217" s="15">
        <v>237000.0</v>
      </c>
      <c r="BJ1217" s="15">
        <v>144000.0</v>
      </c>
      <c r="BK1217" s="15">
        <v>211000.0</v>
      </c>
      <c r="BL1217" s="15">
        <v>202000.0</v>
      </c>
      <c r="BM1217" s="15">
        <v>1100000.0</v>
      </c>
      <c r="BN1217" s="15">
        <v>1050000.0</v>
      </c>
      <c r="BO1217" s="15">
        <v>674000.0</v>
      </c>
      <c r="BP1217" s="15">
        <v>539000.0</v>
      </c>
      <c r="BQ1217" s="15">
        <v>635000.0</v>
      </c>
      <c r="BR1217" s="15">
        <v>84000.0</v>
      </c>
      <c r="BS1217" s="15">
        <v>74000.0</v>
      </c>
      <c r="BT1217" s="15">
        <v>68000.0</v>
      </c>
      <c r="BU1217" s="15">
        <v>71000.0</v>
      </c>
      <c r="BV1217" s="15">
        <v>68000.0</v>
      </c>
      <c r="BW1217" s="15">
        <v>1430000.0</v>
      </c>
      <c r="BX1217" s="15">
        <v>1430000.0</v>
      </c>
      <c r="BY1217" s="15">
        <v>950000.0</v>
      </c>
      <c r="BZ1217" s="15">
        <v>901000.0</v>
      </c>
      <c r="CA1217" s="15">
        <v>952000.0</v>
      </c>
      <c r="CB1217" s="15">
        <v>281000.0</v>
      </c>
      <c r="CC1217" s="15">
        <v>103000.0</v>
      </c>
      <c r="CD1217" s="15">
        <v>61000.0</v>
      </c>
      <c r="CE1217" s="15">
        <v>60000.0</v>
      </c>
      <c r="CF1217" s="15">
        <v>71000.0</v>
      </c>
      <c r="CG1217" s="15">
        <v>2140000.0</v>
      </c>
      <c r="CH1217" s="15">
        <v>2120000.0</v>
      </c>
      <c r="CI1217" s="15">
        <v>863000.0</v>
      </c>
      <c r="CJ1217" s="15">
        <v>863000.0</v>
      </c>
      <c r="CK1217" s="15">
        <v>860000.0</v>
      </c>
      <c r="CL1217" s="15">
        <v>4940000.0</v>
      </c>
      <c r="CM1217" s="15">
        <v>4720000.0</v>
      </c>
      <c r="CN1217" s="15">
        <v>2130000.0</v>
      </c>
      <c r="CO1217" s="15">
        <v>2040000.0</v>
      </c>
      <c r="CP1217" s="15">
        <v>2240000.0</v>
      </c>
      <c r="CQ1217" s="15">
        <v>527000.0</v>
      </c>
      <c r="CR1217" s="15">
        <v>455000.0</v>
      </c>
      <c r="CS1217" s="15">
        <v>397000.0</v>
      </c>
      <c r="CT1217" s="15">
        <v>329000.0</v>
      </c>
      <c r="CU1217" s="15">
        <v>351000.0</v>
      </c>
      <c r="CV1217" s="15">
        <v>1130000.0</v>
      </c>
      <c r="CW1217" s="15">
        <v>34000.0</v>
      </c>
      <c r="CX1217" s="15">
        <v>0.0</v>
      </c>
      <c r="CY1217" s="15">
        <v>0.0</v>
      </c>
      <c r="CZ1217" s="15">
        <v>0.0</v>
      </c>
      <c r="DA1217" s="15">
        <v>0.0</v>
      </c>
      <c r="DB1217" s="15">
        <v>1130000.0</v>
      </c>
      <c r="DC1217" s="15">
        <v>897000.0</v>
      </c>
      <c r="DD1217" s="15">
        <v>695000.0</v>
      </c>
      <c r="DE1217" s="15">
        <v>623000.0</v>
      </c>
      <c r="DF1217" s="15">
        <v>3510000.0</v>
      </c>
      <c r="DG1217" s="15">
        <v>3220000.0</v>
      </c>
      <c r="DH1217" s="15">
        <v>1800000.0</v>
      </c>
      <c r="DI1217" s="15">
        <v>1690000.0</v>
      </c>
      <c r="DJ1217" s="15">
        <v>1860000.0</v>
      </c>
      <c r="DK1217" s="15">
        <v>37000.0</v>
      </c>
      <c r="DL1217" s="15">
        <v>9000.0</v>
      </c>
      <c r="DM1217" s="15">
        <v>8000.0</v>
      </c>
      <c r="DN1217" s="15">
        <v>7000.0</v>
      </c>
      <c r="DO1217" s="15">
        <v>7000.0</v>
      </c>
      <c r="DP1217" s="15">
        <v>2020000.0</v>
      </c>
      <c r="DQ1217" s="15">
        <v>2070000.0</v>
      </c>
      <c r="DR1217" s="15">
        <v>983000.0</v>
      </c>
      <c r="DS1217" s="15">
        <v>1020000.0</v>
      </c>
      <c r="DT1217" s="15">
        <v>1010000.0</v>
      </c>
      <c r="DU1217" s="16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1420000.0</v>
      </c>
      <c r="EA1217" s="15">
        <v>1490000.0</v>
      </c>
      <c r="EB1217" s="15">
        <v>327000.0</v>
      </c>
      <c r="EC1217" s="15">
        <v>349000.0</v>
      </c>
      <c r="ED1217" s="15">
        <v>380000.0</v>
      </c>
      <c r="EE1217" s="17">
        <v>0.025</v>
      </c>
      <c r="EF1217" s="17">
        <v>0.045</v>
      </c>
      <c r="EG1217" s="17">
        <v>-0.021</v>
      </c>
      <c r="EH1217" s="17">
        <v>0.043</v>
      </c>
    </row>
    <row r="1218">
      <c r="A1218" s="9">
        <f t="shared" si="2"/>
        <v>1216</v>
      </c>
      <c r="B1218" s="10" t="s">
        <v>1353</v>
      </c>
      <c r="C1218" s="11">
        <v>224230.0</v>
      </c>
      <c r="D1218" s="11">
        <v>162550.0</v>
      </c>
      <c r="E1218" s="11">
        <v>224580.0</v>
      </c>
      <c r="F1218" s="11">
        <v>242500.0</v>
      </c>
      <c r="G1218" s="11">
        <v>162210.0</v>
      </c>
      <c r="H1218" s="11">
        <v>78400.0</v>
      </c>
      <c r="I1218" s="11">
        <v>62520.0</v>
      </c>
      <c r="J1218" s="11">
        <v>47810.0</v>
      </c>
      <c r="K1218" s="11">
        <v>75700.0</v>
      </c>
      <c r="L1218" s="11">
        <v>21210.0</v>
      </c>
      <c r="M1218" s="11">
        <v>-44300.0</v>
      </c>
      <c r="N1218" s="11">
        <v>-33290.0</v>
      </c>
      <c r="O1218" s="11">
        <v>31970.0</v>
      </c>
      <c r="P1218" s="11">
        <v>32390.0</v>
      </c>
      <c r="Q1218" s="11">
        <v>29080.0</v>
      </c>
      <c r="R1218" s="11">
        <v>34000.0</v>
      </c>
      <c r="S1218" s="11">
        <v>35380.0</v>
      </c>
      <c r="T1218" s="12"/>
      <c r="U1218" s="12"/>
      <c r="V1218" s="12"/>
      <c r="W1218" s="12"/>
      <c r="X1218" s="12"/>
      <c r="Y1218" s="11">
        <v>14940.0</v>
      </c>
      <c r="Z1218" s="11">
        <v>43340.0</v>
      </c>
      <c r="AA1218" s="11"/>
      <c r="AB1218" s="11">
        <v>-88300.0</v>
      </c>
      <c r="AC1218" s="12"/>
      <c r="AD1218" s="11">
        <v>-72270.0</v>
      </c>
      <c r="AE1218" s="11">
        <v>-12700.0</v>
      </c>
      <c r="AF1218" s="11">
        <v>-59730.0</v>
      </c>
      <c r="AG1218" s="11">
        <v>-124840.0</v>
      </c>
      <c r="AH1218" s="11">
        <v>-510790.0</v>
      </c>
      <c r="AI1218" s="11">
        <v>70060.0</v>
      </c>
      <c r="AJ1218" s="11">
        <v>99920.0</v>
      </c>
      <c r="AK1218" s="11">
        <v>40640.0</v>
      </c>
      <c r="AL1218" s="11">
        <v>-41740.0</v>
      </c>
      <c r="AM1218" s="11">
        <v>-54410.0</v>
      </c>
      <c r="AN1218" s="11">
        <v>44650.0</v>
      </c>
      <c r="AO1218" s="11">
        <v>-12700.0</v>
      </c>
      <c r="AP1218" s="11">
        <v>-59730.0</v>
      </c>
      <c r="AQ1218" s="11">
        <v>-124840.0</v>
      </c>
      <c r="AR1218" s="11">
        <v>-510790.0</v>
      </c>
      <c r="AS1218" s="11">
        <v>36040.0</v>
      </c>
      <c r="AT1218" s="11">
        <v>70990.0</v>
      </c>
      <c r="AU1218" s="11">
        <v>19580.0</v>
      </c>
      <c r="AV1218" s="11">
        <v>-52200.0</v>
      </c>
      <c r="AW1218" s="11">
        <v>-35140.0</v>
      </c>
      <c r="AX1218" s="11">
        <v>-32610.0</v>
      </c>
      <c r="AY1218" s="11">
        <v>-23030.0</v>
      </c>
      <c r="AZ1218" s="11">
        <v>-217030.0</v>
      </c>
      <c r="BA1218" s="11">
        <v>-408310.0</v>
      </c>
      <c r="BB1218" s="11">
        <v>-875970.0</v>
      </c>
      <c r="BC1218" s="11">
        <v>-5750.0</v>
      </c>
      <c r="BD1218" s="11">
        <v>-6040.0</v>
      </c>
      <c r="BE1218" s="11">
        <v>-1510.0</v>
      </c>
      <c r="BF1218" s="12"/>
      <c r="BG1218" s="12"/>
      <c r="BH1218" s="11">
        <v>42530.0</v>
      </c>
      <c r="BI1218" s="11">
        <v>67500.0</v>
      </c>
      <c r="BJ1218" s="11">
        <v>68540.0</v>
      </c>
      <c r="BK1218" s="11">
        <v>101730.0</v>
      </c>
      <c r="BL1218" s="11">
        <v>200300.0</v>
      </c>
      <c r="BM1218" s="11">
        <v>5950.0</v>
      </c>
      <c r="BN1218" s="11">
        <v>7340.0</v>
      </c>
      <c r="BO1218" s="11">
        <v>6560.0</v>
      </c>
      <c r="BP1218" s="11">
        <v>4240.0</v>
      </c>
      <c r="BQ1218" s="11">
        <v>8200.0</v>
      </c>
      <c r="BR1218" s="11">
        <v>6370.0</v>
      </c>
      <c r="BS1218" s="11">
        <v>3600.0</v>
      </c>
      <c r="BT1218" s="11">
        <v>3670.0</v>
      </c>
      <c r="BU1218" s="12"/>
      <c r="BV1218" s="12"/>
      <c r="BW1218" s="11">
        <v>65290.0</v>
      </c>
      <c r="BX1218" s="11">
        <v>84100.0</v>
      </c>
      <c r="BY1218" s="11">
        <v>82560.0</v>
      </c>
      <c r="BZ1218" s="11">
        <v>115480.0</v>
      </c>
      <c r="CA1218" s="11">
        <v>392630.0</v>
      </c>
      <c r="CB1218" s="11">
        <v>1310000.0</v>
      </c>
      <c r="CC1218" s="11">
        <v>1510000.0</v>
      </c>
      <c r="CD1218" s="11">
        <v>1540000.0</v>
      </c>
      <c r="CE1218" s="11">
        <v>1410000.0</v>
      </c>
      <c r="CF1218" s="11">
        <v>1050000.0</v>
      </c>
      <c r="CG1218" s="11"/>
      <c r="CH1218" s="11"/>
      <c r="CI1218" s="11"/>
      <c r="CJ1218" s="11"/>
      <c r="CK1218" s="11"/>
      <c r="CL1218" s="11">
        <v>1670000.0</v>
      </c>
      <c r="CM1218" s="11">
        <v>1700000.0</v>
      </c>
      <c r="CN1218" s="11">
        <v>1640000.0</v>
      </c>
      <c r="CO1218" s="11">
        <v>1550000.0</v>
      </c>
      <c r="CP1218" s="11">
        <v>1490000.0</v>
      </c>
      <c r="CQ1218" s="11">
        <v>5960.0</v>
      </c>
      <c r="CR1218" s="11">
        <v>5430.0</v>
      </c>
      <c r="CS1218" s="11">
        <v>4270.0</v>
      </c>
      <c r="CT1218" s="11">
        <v>4610.0</v>
      </c>
      <c r="CU1218" s="11">
        <v>11930.0</v>
      </c>
      <c r="CV1218" s="11">
        <v>123830.0</v>
      </c>
      <c r="CW1218" s="11">
        <v>71610.0</v>
      </c>
      <c r="CX1218" s="11">
        <v>133560.0</v>
      </c>
      <c r="CY1218" s="11">
        <v>46990.0</v>
      </c>
      <c r="CZ1218" s="11">
        <v>13480.0</v>
      </c>
      <c r="DA1218" s="12"/>
      <c r="DB1218" s="11">
        <v>123830.0</v>
      </c>
      <c r="DC1218" s="11">
        <v>152610.0</v>
      </c>
      <c r="DD1218" s="11">
        <v>58590.0</v>
      </c>
      <c r="DE1218" s="11">
        <v>24550.0</v>
      </c>
      <c r="DF1218" s="11">
        <v>790590.0</v>
      </c>
      <c r="DG1218" s="11">
        <v>843020.0</v>
      </c>
      <c r="DH1218" s="11">
        <v>726030.0</v>
      </c>
      <c r="DI1218" s="11">
        <v>590540.0</v>
      </c>
      <c r="DJ1218" s="11">
        <v>550910.0</v>
      </c>
      <c r="DK1218" s="11">
        <v>173300.0</v>
      </c>
      <c r="DL1218" s="11">
        <v>92280.0</v>
      </c>
      <c r="DM1218" s="11"/>
      <c r="DN1218" s="11">
        <v>11240.0</v>
      </c>
      <c r="DO1218" s="11">
        <v>12530.0</v>
      </c>
      <c r="DP1218" s="11">
        <v>666760.0</v>
      </c>
      <c r="DQ1218" s="11">
        <v>690410.0</v>
      </c>
      <c r="DR1218" s="11">
        <v>667440.0</v>
      </c>
      <c r="DS1218" s="11">
        <v>565990.0</v>
      </c>
      <c r="DT1218" s="11">
        <v>423840.0</v>
      </c>
      <c r="DU1218" s="13"/>
      <c r="DV1218" s="12"/>
      <c r="DW1218" s="12"/>
      <c r="DX1218" s="12"/>
      <c r="DY1218" s="12"/>
      <c r="DZ1218" s="11">
        <v>874970.0</v>
      </c>
      <c r="EA1218" s="11">
        <v>860800.0</v>
      </c>
      <c r="EB1218" s="11">
        <v>917380.0</v>
      </c>
      <c r="EC1218" s="11">
        <v>956620.0</v>
      </c>
      <c r="ED1218" s="11">
        <v>934530.0</v>
      </c>
      <c r="EE1218" s="14">
        <v>0.109</v>
      </c>
      <c r="EF1218" s="14">
        <v>0.286</v>
      </c>
      <c r="EG1218" s="14">
        <v>-0.549</v>
      </c>
      <c r="EH1218" s="14">
        <v>24.524</v>
      </c>
    </row>
    <row r="1219">
      <c r="A1219" s="9">
        <f t="shared" si="2"/>
        <v>1217</v>
      </c>
      <c r="B1219" s="25" t="s">
        <v>1354</v>
      </c>
      <c r="C1219" s="12">
        <v>70930.0</v>
      </c>
      <c r="D1219" s="12">
        <v>65230.0</v>
      </c>
      <c r="E1219" s="12">
        <v>118670.0</v>
      </c>
      <c r="F1219" s="12">
        <v>94810.0</v>
      </c>
      <c r="G1219" s="12">
        <v>88620.0</v>
      </c>
      <c r="H1219" s="12">
        <v>82640.0</v>
      </c>
      <c r="I1219" s="12">
        <v>67380.0</v>
      </c>
      <c r="J1219" s="12">
        <v>43600.0</v>
      </c>
      <c r="K1219" s="12">
        <v>35070.0</v>
      </c>
      <c r="L1219" s="12">
        <v>28860.0</v>
      </c>
      <c r="M1219" s="12">
        <v>28690.0</v>
      </c>
      <c r="N1219" s="12">
        <v>4570.0</v>
      </c>
      <c r="O1219" s="12">
        <v>18230.0</v>
      </c>
      <c r="P1219" s="12">
        <v>13210.0</v>
      </c>
      <c r="Q1219" s="12">
        <v>13180.0</v>
      </c>
      <c r="R1219" s="12">
        <v>13070.0</v>
      </c>
      <c r="S1219" s="12">
        <v>12570.0</v>
      </c>
      <c r="T1219" s="12">
        <v>0.0</v>
      </c>
      <c r="U1219" s="15">
        <v>0.0</v>
      </c>
      <c r="V1219" s="15">
        <v>0.0</v>
      </c>
      <c r="W1219" s="15">
        <v>0.0</v>
      </c>
      <c r="X1219" s="15">
        <v>0.0</v>
      </c>
      <c r="Y1219" s="12">
        <v>34390.0</v>
      </c>
      <c r="Z1219" s="12">
        <v>16100.0</v>
      </c>
      <c r="AA1219" s="12">
        <v>13760.0</v>
      </c>
      <c r="AB1219" s="12">
        <v>41570.0</v>
      </c>
      <c r="AC1219" s="12">
        <v>-48560.0</v>
      </c>
      <c r="AD1219" s="12">
        <v>30530.0</v>
      </c>
      <c r="AE1219" s="12">
        <v>11280.0</v>
      </c>
      <c r="AF1219" s="12">
        <v>18970.0</v>
      </c>
      <c r="AG1219" s="12">
        <v>39460.0</v>
      </c>
      <c r="AH1219" s="12">
        <v>-43430.0</v>
      </c>
      <c r="AI1219" s="12">
        <v>76180.0</v>
      </c>
      <c r="AJ1219" s="12">
        <v>60860.0</v>
      </c>
      <c r="AK1219" s="12">
        <v>55550.0</v>
      </c>
      <c r="AL1219" s="12">
        <v>52560.0</v>
      </c>
      <c r="AM1219" s="12">
        <v>37450.0</v>
      </c>
      <c r="AN1219" s="12">
        <v>21760.0</v>
      </c>
      <c r="AO1219" s="12">
        <v>7610.0</v>
      </c>
      <c r="AP1219" s="12">
        <v>13680.0</v>
      </c>
      <c r="AQ1219" s="12">
        <v>33460.0</v>
      </c>
      <c r="AR1219" s="12">
        <v>-55080.0</v>
      </c>
      <c r="AS1219" s="12">
        <v>72500.0</v>
      </c>
      <c r="AT1219" s="12">
        <v>60380.0</v>
      </c>
      <c r="AU1219" s="12">
        <v>58120.0</v>
      </c>
      <c r="AV1219" s="12">
        <v>51660.0</v>
      </c>
      <c r="AW1219" s="12">
        <v>39430.0</v>
      </c>
      <c r="AX1219" s="12">
        <v>-81320.0</v>
      </c>
      <c r="AY1219" s="12">
        <v>-59660.0</v>
      </c>
      <c r="AZ1219" s="12">
        <v>-5720.0</v>
      </c>
      <c r="BA1219" s="12">
        <v>-14320.0</v>
      </c>
      <c r="BB1219" s="12">
        <v>-278070.0</v>
      </c>
      <c r="BC1219" s="12">
        <v>0.0</v>
      </c>
      <c r="BD1219" s="12">
        <v>0.0</v>
      </c>
      <c r="BE1219" s="12">
        <v>0.0</v>
      </c>
      <c r="BF1219" s="12">
        <v>0.0</v>
      </c>
      <c r="BG1219" s="12">
        <v>0.0</v>
      </c>
      <c r="BH1219" s="12">
        <v>23050.0</v>
      </c>
      <c r="BI1219" s="12">
        <v>27080.0</v>
      </c>
      <c r="BJ1219" s="12">
        <v>38580.0</v>
      </c>
      <c r="BK1219" s="12">
        <v>28740.0</v>
      </c>
      <c r="BL1219" s="12">
        <v>7430.0</v>
      </c>
      <c r="BM1219" s="12">
        <v>9870.0</v>
      </c>
      <c r="BN1219" s="12">
        <v>9380.0</v>
      </c>
      <c r="BO1219" s="12">
        <v>9480.0</v>
      </c>
      <c r="BP1219" s="12">
        <v>8940.0</v>
      </c>
      <c r="BQ1219" s="12">
        <v>5380.0</v>
      </c>
      <c r="BR1219" s="12">
        <v>0.0</v>
      </c>
      <c r="BS1219" s="12">
        <v>0.0</v>
      </c>
      <c r="BT1219" s="12">
        <v>0.0</v>
      </c>
      <c r="BU1219" s="12">
        <v>0.0</v>
      </c>
      <c r="BV1219" s="12">
        <v>0.0</v>
      </c>
      <c r="BW1219" s="12">
        <v>36500.0</v>
      </c>
      <c r="BX1219" s="12">
        <v>36470.0</v>
      </c>
      <c r="BY1219" s="12">
        <v>48060.0</v>
      </c>
      <c r="BZ1219" s="12">
        <v>37680.0</v>
      </c>
      <c r="CA1219" s="12">
        <v>12810.0</v>
      </c>
      <c r="CB1219" s="12">
        <v>512910.0</v>
      </c>
      <c r="CC1219" s="12">
        <v>511090.0</v>
      </c>
      <c r="CD1219" s="12">
        <v>457920.0</v>
      </c>
      <c r="CE1219" s="12">
        <v>540150.0</v>
      </c>
      <c r="CF1219" s="12">
        <v>575590.0</v>
      </c>
      <c r="CG1219" s="12">
        <v>0.0</v>
      </c>
      <c r="CH1219" s="12">
        <v>0.0</v>
      </c>
      <c r="CI1219" s="12">
        <v>0.0</v>
      </c>
      <c r="CJ1219" s="12">
        <v>0.0</v>
      </c>
      <c r="CK1219" s="12">
        <v>0.0</v>
      </c>
      <c r="CL1219" s="12">
        <v>808100.0</v>
      </c>
      <c r="CM1219" s="12">
        <v>804300.0</v>
      </c>
      <c r="CN1219" s="12">
        <v>828090.0</v>
      </c>
      <c r="CO1219" s="12">
        <v>717300.0</v>
      </c>
      <c r="CP1219" s="12">
        <v>690210.0</v>
      </c>
      <c r="CQ1219" s="12">
        <v>5010.0</v>
      </c>
      <c r="CR1219" s="12">
        <v>6800.0</v>
      </c>
      <c r="CS1219" s="12">
        <v>8070.0</v>
      </c>
      <c r="CT1219" s="12">
        <v>5750.0</v>
      </c>
      <c r="CU1219" s="12">
        <v>10340.0</v>
      </c>
      <c r="CV1219" s="12">
        <v>5010.0</v>
      </c>
      <c r="CW1219" s="12">
        <v>0.0</v>
      </c>
      <c r="CX1219" s="12">
        <v>0.0</v>
      </c>
      <c r="CY1219" s="12">
        <v>0.0</v>
      </c>
      <c r="CZ1219" s="12">
        <v>0.0</v>
      </c>
      <c r="DA1219" s="12">
        <v>0.0</v>
      </c>
      <c r="DB1219" s="12">
        <v>5010.0</v>
      </c>
      <c r="DC1219" s="12">
        <v>6800.0</v>
      </c>
      <c r="DD1219" s="12">
        <v>8070.0</v>
      </c>
      <c r="DE1219" s="12">
        <v>5750.0</v>
      </c>
      <c r="DF1219" s="12">
        <v>67790.0</v>
      </c>
      <c r="DG1219" s="12">
        <v>7500.0</v>
      </c>
      <c r="DH1219" s="12">
        <v>11580.0</v>
      </c>
      <c r="DI1219" s="12">
        <v>10160.0</v>
      </c>
      <c r="DJ1219" s="12">
        <v>130880.0</v>
      </c>
      <c r="DK1219" s="12">
        <v>245640.0</v>
      </c>
      <c r="DL1219" s="12">
        <v>236920.0</v>
      </c>
      <c r="DM1219" s="12">
        <v>298300.0</v>
      </c>
      <c r="DN1219" s="12">
        <v>82200.0</v>
      </c>
      <c r="DO1219" s="12">
        <v>36920.0</v>
      </c>
      <c r="DP1219" s="12">
        <v>62780.0</v>
      </c>
      <c r="DQ1219" s="12">
        <v>0.0</v>
      </c>
      <c r="DR1219" s="12">
        <v>0.0</v>
      </c>
      <c r="DS1219" s="12">
        <v>0.0</v>
      </c>
      <c r="DT1219" s="12">
        <v>115990.0</v>
      </c>
      <c r="DU1219" s="16">
        <v>0.0</v>
      </c>
      <c r="DV1219" s="15">
        <v>0.0</v>
      </c>
      <c r="DW1219" s="15">
        <v>0.0</v>
      </c>
      <c r="DX1219" s="16">
        <v>0.0</v>
      </c>
      <c r="DY1219" s="16">
        <v>0.0</v>
      </c>
      <c r="DZ1219" s="12">
        <v>740310.0</v>
      </c>
      <c r="EA1219" s="12">
        <v>796800.0</v>
      </c>
      <c r="EB1219" s="12">
        <v>816510.0</v>
      </c>
      <c r="EC1219" s="12">
        <v>707140.0</v>
      </c>
      <c r="ED1219" s="12">
        <v>559320.0</v>
      </c>
      <c r="EE1219" s="23">
        <v>0.368</v>
      </c>
      <c r="EF1219" s="23">
        <v>0.583</v>
      </c>
      <c r="EG1219" s="23">
        <v>0.0</v>
      </c>
      <c r="EH1219" s="23">
        <v>-0.625</v>
      </c>
    </row>
    <row r="1220">
      <c r="A1220" s="9">
        <f t="shared" si="2"/>
        <v>1218</v>
      </c>
      <c r="B1220" s="18" t="s">
        <v>1355</v>
      </c>
      <c r="C1220" s="19">
        <v>3140000.0</v>
      </c>
      <c r="D1220" s="19">
        <v>1820000.0</v>
      </c>
      <c r="E1220" s="19">
        <v>3830000.0</v>
      </c>
      <c r="F1220" s="19">
        <v>3320000.0</v>
      </c>
      <c r="G1220" s="19">
        <v>2640000.0</v>
      </c>
      <c r="H1220" s="19">
        <v>2320000.0</v>
      </c>
      <c r="I1220" s="19">
        <v>2140000.0</v>
      </c>
      <c r="J1220" s="19">
        <v>672880.0</v>
      </c>
      <c r="K1220" s="19">
        <v>586420.0</v>
      </c>
      <c r="L1220" s="19">
        <v>515090.0</v>
      </c>
      <c r="M1220" s="19">
        <v>581660.0</v>
      </c>
      <c r="N1220" s="19">
        <v>604680.0</v>
      </c>
      <c r="O1220" s="19">
        <v>153770.0</v>
      </c>
      <c r="P1220" s="19">
        <v>137000.0</v>
      </c>
      <c r="Q1220" s="19">
        <v>113470.0</v>
      </c>
      <c r="R1220" s="19">
        <v>96630.0</v>
      </c>
      <c r="S1220" s="19">
        <v>86580.0</v>
      </c>
      <c r="T1220" s="20"/>
      <c r="U1220" s="20"/>
      <c r="V1220" s="20"/>
      <c r="W1220" s="20"/>
      <c r="X1220" s="20"/>
      <c r="Y1220" s="19">
        <v>518400.0</v>
      </c>
      <c r="Z1220" s="19">
        <v>270140.0</v>
      </c>
      <c r="AA1220" s="19">
        <v>-12630.0</v>
      </c>
      <c r="AB1220" s="19">
        <v>447850.0</v>
      </c>
      <c r="AC1220" s="19">
        <v>521310.0</v>
      </c>
      <c r="AD1220" s="19">
        <v>436430.0</v>
      </c>
      <c r="AE1220" s="19">
        <v>204980.0</v>
      </c>
      <c r="AF1220" s="19">
        <v>349690.0</v>
      </c>
      <c r="AG1220" s="19">
        <v>419460.0</v>
      </c>
      <c r="AH1220" s="19">
        <v>502400.0</v>
      </c>
      <c r="AI1220" s="19">
        <v>744380.0</v>
      </c>
      <c r="AJ1220" s="19">
        <v>626140.0</v>
      </c>
      <c r="AK1220" s="19">
        <v>541770.0</v>
      </c>
      <c r="AL1220" s="19">
        <v>586170.0</v>
      </c>
      <c r="AM1220" s="19">
        <v>592010.0</v>
      </c>
      <c r="AN1220" s="19">
        <v>335260.0</v>
      </c>
      <c r="AO1220" s="19">
        <v>155750.0</v>
      </c>
      <c r="AP1220" s="19">
        <v>415520.0</v>
      </c>
      <c r="AQ1220" s="19">
        <v>264880.0</v>
      </c>
      <c r="AR1220" s="19">
        <v>317220.0</v>
      </c>
      <c r="AS1220" s="19">
        <v>398450.0</v>
      </c>
      <c r="AT1220" s="19">
        <v>506460.0</v>
      </c>
      <c r="AU1220" s="19">
        <v>425240.0</v>
      </c>
      <c r="AV1220" s="19">
        <v>473680.0</v>
      </c>
      <c r="AW1220" s="19">
        <v>472990.0</v>
      </c>
      <c r="AX1220" s="19">
        <v>-294540.0</v>
      </c>
      <c r="AY1220" s="19">
        <v>-784400.0</v>
      </c>
      <c r="AZ1220" s="19">
        <v>-778360.0</v>
      </c>
      <c r="BA1220" s="19">
        <v>-725900.0</v>
      </c>
      <c r="BB1220" s="19">
        <v>-701280.0</v>
      </c>
      <c r="BC1220" s="20"/>
      <c r="BD1220" s="20"/>
      <c r="BE1220" s="20"/>
      <c r="BF1220" s="20"/>
      <c r="BG1220" s="20"/>
      <c r="BH1220" s="19">
        <v>1080000.0</v>
      </c>
      <c r="BI1220" s="19">
        <v>1110000.0</v>
      </c>
      <c r="BJ1220" s="19">
        <v>901790.0</v>
      </c>
      <c r="BK1220" s="19">
        <v>801060.0</v>
      </c>
      <c r="BL1220" s="19">
        <v>803630.0</v>
      </c>
      <c r="BM1220" s="19">
        <v>94820.0</v>
      </c>
      <c r="BN1220" s="19">
        <v>47660.0</v>
      </c>
      <c r="BO1220" s="19">
        <v>119170.0</v>
      </c>
      <c r="BP1220" s="19">
        <v>41140.0</v>
      </c>
      <c r="BQ1220" s="19">
        <v>28270.0</v>
      </c>
      <c r="BR1220" s="20"/>
      <c r="BS1220" s="20"/>
      <c r="BT1220" s="20"/>
      <c r="BU1220" s="20"/>
      <c r="BV1220" s="20"/>
      <c r="BW1220" s="19">
        <v>1390000.0</v>
      </c>
      <c r="BX1220" s="19">
        <v>1350000.0</v>
      </c>
      <c r="BY1220" s="19">
        <v>1280000.0</v>
      </c>
      <c r="BZ1220" s="19">
        <v>975850.0</v>
      </c>
      <c r="CA1220" s="19">
        <v>1030000.0</v>
      </c>
      <c r="CB1220" s="19">
        <v>5190000.0</v>
      </c>
      <c r="CC1220" s="19">
        <v>3350000.0</v>
      </c>
      <c r="CD1220" s="19">
        <v>2490000.0</v>
      </c>
      <c r="CE1220" s="19">
        <v>1790000.0</v>
      </c>
      <c r="CF1220" s="19">
        <v>1130000.0</v>
      </c>
      <c r="CG1220" s="20"/>
      <c r="CH1220" s="20"/>
      <c r="CI1220" s="20"/>
      <c r="CJ1220" s="20"/>
      <c r="CK1220" s="20"/>
      <c r="CL1220" s="19">
        <v>7400000.0</v>
      </c>
      <c r="CM1220" s="19">
        <v>5360000.0</v>
      </c>
      <c r="CN1220" s="19">
        <v>4180000.0</v>
      </c>
      <c r="CO1220" s="19">
        <v>3190000.0</v>
      </c>
      <c r="CP1220" s="19">
        <v>2530000.0</v>
      </c>
      <c r="CQ1220" s="19">
        <v>43600.0</v>
      </c>
      <c r="CR1220" s="19">
        <v>39320.0</v>
      </c>
      <c r="CS1220" s="19">
        <v>22820.0</v>
      </c>
      <c r="CT1220" s="19">
        <v>15190.0</v>
      </c>
      <c r="CU1220" s="19">
        <v>17040.0</v>
      </c>
      <c r="CV1220" s="19">
        <v>1110000.0</v>
      </c>
      <c r="CW1220" s="19">
        <v>120660.0</v>
      </c>
      <c r="CX1220" s="20"/>
      <c r="CY1220" s="27"/>
      <c r="CZ1220" s="27"/>
      <c r="DA1220" s="27"/>
      <c r="DB1220" s="19">
        <v>1110000.0</v>
      </c>
      <c r="DC1220" s="19">
        <v>834540.0</v>
      </c>
      <c r="DD1220" s="19">
        <v>664330.0</v>
      </c>
      <c r="DE1220" s="19">
        <v>531950.0</v>
      </c>
      <c r="DF1220" s="19">
        <v>5140000.0</v>
      </c>
      <c r="DG1220" s="19">
        <v>3430000.0</v>
      </c>
      <c r="DH1220" s="19">
        <v>2420000.0</v>
      </c>
      <c r="DI1220" s="19">
        <v>1790000.0</v>
      </c>
      <c r="DJ1220" s="19">
        <v>1310000.0</v>
      </c>
      <c r="DK1220" s="20"/>
      <c r="DL1220" s="20"/>
      <c r="DM1220" s="20"/>
      <c r="DN1220" s="20"/>
      <c r="DO1220" s="20"/>
      <c r="DP1220" s="39">
        <v>3180000.0</v>
      </c>
      <c r="DQ1220" s="39">
        <v>2020000.0</v>
      </c>
      <c r="DR1220" s="39">
        <v>1390000.0</v>
      </c>
      <c r="DS1220" s="39">
        <v>897360.0</v>
      </c>
      <c r="DT1220" s="39">
        <v>596690.0</v>
      </c>
      <c r="DU1220" s="20"/>
      <c r="DV1220" s="20"/>
      <c r="DW1220" s="20"/>
      <c r="DX1220" s="20"/>
      <c r="DY1220" s="20"/>
      <c r="DZ1220" s="19">
        <v>2260000.0</v>
      </c>
      <c r="EA1220" s="19">
        <v>1930000.0</v>
      </c>
      <c r="EB1220" s="19">
        <v>1760000.0</v>
      </c>
      <c r="EC1220" s="19">
        <v>1390000.0</v>
      </c>
      <c r="ED1220" s="19">
        <v>1230000.0</v>
      </c>
      <c r="EE1220" s="21">
        <v>0.324</v>
      </c>
      <c r="EF1220" s="21">
        <v>0.318</v>
      </c>
      <c r="EG1220" s="21">
        <v>-0.35</v>
      </c>
      <c r="EH1220" s="21">
        <v>-0.162</v>
      </c>
    </row>
    <row r="1221">
      <c r="A1221" s="9">
        <f t="shared" si="2"/>
        <v>1219</v>
      </c>
      <c r="B1221" s="10" t="s">
        <v>1356</v>
      </c>
      <c r="C1221" s="11">
        <v>210600.0</v>
      </c>
      <c r="D1221" s="11">
        <v>176970.0</v>
      </c>
      <c r="E1221" s="11">
        <v>197760.0</v>
      </c>
      <c r="F1221" s="11">
        <v>193190.0</v>
      </c>
      <c r="G1221" s="11">
        <v>148030.0</v>
      </c>
      <c r="H1221" s="11">
        <v>109770.0</v>
      </c>
      <c r="I1221" s="11">
        <v>127320.0</v>
      </c>
      <c r="J1221" s="11">
        <v>65170.0</v>
      </c>
      <c r="K1221" s="11">
        <v>75230.0</v>
      </c>
      <c r="L1221" s="11">
        <v>39880.0</v>
      </c>
      <c r="M1221" s="11">
        <v>3090.0</v>
      </c>
      <c r="N1221" s="11">
        <v>6860.0</v>
      </c>
      <c r="O1221" s="11">
        <v>20640.0</v>
      </c>
      <c r="P1221" s="11">
        <v>19240.0</v>
      </c>
      <c r="Q1221" s="11">
        <v>16120.0</v>
      </c>
      <c r="R1221" s="11">
        <v>15380.0</v>
      </c>
      <c r="S1221" s="11">
        <v>14620.0</v>
      </c>
      <c r="T1221" s="12"/>
      <c r="U1221" s="12"/>
      <c r="V1221" s="12"/>
      <c r="W1221" s="12"/>
      <c r="X1221" s="12"/>
      <c r="Y1221" s="11">
        <v>44340.0</v>
      </c>
      <c r="Z1221" s="11">
        <v>55910.0</v>
      </c>
      <c r="AA1221" s="11">
        <v>-68720.0</v>
      </c>
      <c r="AB1221" s="11">
        <v>-30080.0</v>
      </c>
      <c r="AC1221" s="11">
        <v>-33690.0</v>
      </c>
      <c r="AD1221" s="11">
        <v>16040.0</v>
      </c>
      <c r="AE1221" s="11">
        <v>27680.0</v>
      </c>
      <c r="AF1221" s="11">
        <v>-84680.0</v>
      </c>
      <c r="AG1221" s="11">
        <v>-55970.0</v>
      </c>
      <c r="AH1221" s="11">
        <v>-47940.0</v>
      </c>
      <c r="AI1221" s="11">
        <v>94840.0</v>
      </c>
      <c r="AJ1221" s="11">
        <v>104060.0</v>
      </c>
      <c r="AK1221" s="11">
        <v>75190.0</v>
      </c>
      <c r="AL1221" s="11">
        <v>37190.0</v>
      </c>
      <c r="AM1221" s="11">
        <v>37940.0</v>
      </c>
      <c r="AN1221" s="11">
        <v>16040.0</v>
      </c>
      <c r="AO1221" s="11">
        <v>27680.0</v>
      </c>
      <c r="AP1221" s="11">
        <v>-84680.0</v>
      </c>
      <c r="AQ1221" s="11">
        <v>-55970.0</v>
      </c>
      <c r="AR1221" s="11">
        <v>-47940.0</v>
      </c>
      <c r="AS1221" s="11">
        <v>58280.0</v>
      </c>
      <c r="AT1221" s="11">
        <v>85450.0</v>
      </c>
      <c r="AU1221" s="11">
        <v>50100.0</v>
      </c>
      <c r="AV1221" s="11">
        <v>13480.0</v>
      </c>
      <c r="AW1221" s="11">
        <v>25520.0</v>
      </c>
      <c r="AX1221" s="11">
        <v>-39240.0</v>
      </c>
      <c r="AY1221" s="11">
        <v>-45930.0</v>
      </c>
      <c r="AZ1221" s="11">
        <v>-59940.0</v>
      </c>
      <c r="BA1221" s="11">
        <v>-58370.0</v>
      </c>
      <c r="BB1221" s="11">
        <v>-123540.0</v>
      </c>
      <c r="BC1221" s="11">
        <v>-11500.0</v>
      </c>
      <c r="BD1221" s="11">
        <v>-11390.0</v>
      </c>
      <c r="BE1221" s="11">
        <v>-12320.0</v>
      </c>
      <c r="BF1221" s="11">
        <v>-14050.0</v>
      </c>
      <c r="BG1221" s="11">
        <v>-17540.0</v>
      </c>
      <c r="BH1221" s="11">
        <v>106380.0</v>
      </c>
      <c r="BI1221" s="11">
        <v>82080.0</v>
      </c>
      <c r="BJ1221" s="11">
        <v>60080.0</v>
      </c>
      <c r="BK1221" s="11">
        <v>94810.0</v>
      </c>
      <c r="BL1221" s="11">
        <v>196750.0</v>
      </c>
      <c r="BM1221" s="11">
        <v>16080.0</v>
      </c>
      <c r="BN1221" s="11">
        <v>12220.0</v>
      </c>
      <c r="BO1221" s="11">
        <v>13060.0</v>
      </c>
      <c r="BP1221" s="11">
        <v>9000.0</v>
      </c>
      <c r="BQ1221" s="11">
        <v>7570.0</v>
      </c>
      <c r="BR1221" s="11">
        <v>9270.0</v>
      </c>
      <c r="BS1221" s="11">
        <v>4140.0</v>
      </c>
      <c r="BT1221" s="11">
        <v>4230.0</v>
      </c>
      <c r="BU1221" s="11">
        <v>5170.0</v>
      </c>
      <c r="BV1221" s="11">
        <v>5170.0</v>
      </c>
      <c r="BW1221" s="11">
        <v>135990.0</v>
      </c>
      <c r="BX1221" s="11">
        <v>101260.0</v>
      </c>
      <c r="BY1221" s="11">
        <v>79090.0</v>
      </c>
      <c r="BZ1221" s="11">
        <v>111010.0</v>
      </c>
      <c r="CA1221" s="11">
        <v>243160.0</v>
      </c>
      <c r="CB1221" s="11">
        <v>964000.0</v>
      </c>
      <c r="CC1221" s="11">
        <v>963890.0</v>
      </c>
      <c r="CD1221" s="11">
        <v>946530.0</v>
      </c>
      <c r="CE1221" s="11">
        <v>1050000.0</v>
      </c>
      <c r="CF1221" s="11">
        <v>1060000.0</v>
      </c>
      <c r="CG1221" s="11"/>
      <c r="CH1221" s="11"/>
      <c r="CI1221" s="11"/>
      <c r="CJ1221" s="11"/>
      <c r="CK1221" s="11"/>
      <c r="CL1221" s="11">
        <v>1110000.0</v>
      </c>
      <c r="CM1221" s="11">
        <v>1080000.0</v>
      </c>
      <c r="CN1221" s="11">
        <v>1040000.0</v>
      </c>
      <c r="CO1221" s="11">
        <v>1170000.0</v>
      </c>
      <c r="CP1221" s="11">
        <v>1310000.0</v>
      </c>
      <c r="CQ1221" s="11">
        <v>12970.0</v>
      </c>
      <c r="CR1221" s="11">
        <v>6130.0</v>
      </c>
      <c r="CS1221" s="11">
        <v>4140.0</v>
      </c>
      <c r="CT1221" s="11">
        <v>5390.0</v>
      </c>
      <c r="CU1221" s="11">
        <v>5280.0</v>
      </c>
      <c r="CV1221" s="11">
        <v>86780.0</v>
      </c>
      <c r="CW1221" s="11"/>
      <c r="CX1221" s="12"/>
      <c r="CY1221" s="12"/>
      <c r="CZ1221" s="12"/>
      <c r="DA1221" s="12"/>
      <c r="DB1221" s="11">
        <v>86780.0</v>
      </c>
      <c r="DC1221" s="11">
        <v>54610.0</v>
      </c>
      <c r="DD1221" s="11">
        <v>36930.0</v>
      </c>
      <c r="DE1221" s="11">
        <v>23780.0</v>
      </c>
      <c r="DF1221" s="11">
        <v>624700.0</v>
      </c>
      <c r="DG1221" s="11">
        <v>593370.0</v>
      </c>
      <c r="DH1221" s="11">
        <v>578750.0</v>
      </c>
      <c r="DI1221" s="11">
        <v>595220.0</v>
      </c>
      <c r="DJ1221" s="11">
        <v>675490.0</v>
      </c>
      <c r="DK1221" s="11">
        <v>13700.0</v>
      </c>
      <c r="DL1221" s="11">
        <v>10400.0</v>
      </c>
      <c r="DM1221" s="11">
        <v>8650.0</v>
      </c>
      <c r="DN1221" s="11">
        <v>10090.0</v>
      </c>
      <c r="DO1221" s="11">
        <v>8020.0</v>
      </c>
      <c r="DP1221" s="11">
        <v>537000.0</v>
      </c>
      <c r="DQ1221" s="11">
        <v>538510.0</v>
      </c>
      <c r="DR1221" s="11">
        <v>541820.0</v>
      </c>
      <c r="DS1221" s="11">
        <v>569780.0</v>
      </c>
      <c r="DT1221" s="11">
        <v>569400.0</v>
      </c>
      <c r="DU1221" s="11">
        <v>17260.0</v>
      </c>
      <c r="DV1221" s="11">
        <v>17050.0</v>
      </c>
      <c r="DW1221" s="11">
        <v>59.0</v>
      </c>
      <c r="DX1221" s="11">
        <v>70.0</v>
      </c>
      <c r="DY1221" s="11">
        <v>71.0</v>
      </c>
      <c r="DZ1221" s="11">
        <v>489940.0</v>
      </c>
      <c r="EA1221" s="11">
        <v>482830.0</v>
      </c>
      <c r="EB1221" s="11">
        <v>456350.0</v>
      </c>
      <c r="EC1221" s="11">
        <v>578540.0</v>
      </c>
      <c r="ED1221" s="11">
        <v>634150.0</v>
      </c>
      <c r="EE1221" s="14">
        <v>0.214</v>
      </c>
      <c r="EF1221" s="14">
        <v>0.028</v>
      </c>
      <c r="EG1221" s="14">
        <v>-0.778</v>
      </c>
      <c r="EH1221" s="14">
        <v>-0.57</v>
      </c>
    </row>
    <row r="1222">
      <c r="A1222" s="9">
        <f t="shared" si="2"/>
        <v>1220</v>
      </c>
      <c r="B1222" s="22" t="s">
        <v>1357</v>
      </c>
      <c r="C1222" s="11">
        <v>35560.0</v>
      </c>
      <c r="D1222" s="11">
        <v>27680.0</v>
      </c>
      <c r="E1222" s="11">
        <v>21680.0</v>
      </c>
      <c r="F1222" s="11">
        <v>18030.0</v>
      </c>
      <c r="G1222" s="11">
        <v>7050.0</v>
      </c>
      <c r="H1222" s="12"/>
      <c r="I1222" s="12"/>
      <c r="J1222" s="11">
        <v>12760.0</v>
      </c>
      <c r="K1222" s="11">
        <v>6810.0</v>
      </c>
      <c r="L1222" s="11">
        <v>531.0</v>
      </c>
      <c r="M1222" s="11">
        <v>-10.0</v>
      </c>
      <c r="N1222" s="11">
        <v>-11.0</v>
      </c>
      <c r="O1222" s="11">
        <v>76050.0</v>
      </c>
      <c r="P1222" s="11">
        <v>88730.0</v>
      </c>
      <c r="Q1222" s="11">
        <v>53550.0</v>
      </c>
      <c r="R1222" s="11">
        <v>34890.0</v>
      </c>
      <c r="S1222" s="11">
        <v>38840.0</v>
      </c>
      <c r="T1222" s="11">
        <v>30240.0</v>
      </c>
      <c r="U1222" s="11">
        <v>25400.0</v>
      </c>
      <c r="V1222" s="11">
        <v>17260.0</v>
      </c>
      <c r="W1222" s="11">
        <v>20020.0</v>
      </c>
      <c r="X1222" s="11">
        <v>20140.0</v>
      </c>
      <c r="Y1222" s="11">
        <v>-55740.0</v>
      </c>
      <c r="Z1222" s="11">
        <v>-87140.0</v>
      </c>
      <c r="AA1222" s="11">
        <v>-107510.0</v>
      </c>
      <c r="AB1222" s="11">
        <v>-51140.0</v>
      </c>
      <c r="AC1222" s="11">
        <v>-42850.0</v>
      </c>
      <c r="AD1222" s="11">
        <v>-47680.0</v>
      </c>
      <c r="AE1222" s="11">
        <v>32390.0</v>
      </c>
      <c r="AF1222" s="11">
        <v>-111710.0</v>
      </c>
      <c r="AG1222" s="11">
        <v>-51360.0</v>
      </c>
      <c r="AH1222" s="11">
        <v>-44080.0</v>
      </c>
      <c r="AI1222" s="11">
        <v>-58200.0</v>
      </c>
      <c r="AJ1222" s="11">
        <v>-74690.0</v>
      </c>
      <c r="AK1222" s="11">
        <v>-47990.0</v>
      </c>
      <c r="AL1222" s="11">
        <v>-34890.0</v>
      </c>
      <c r="AM1222" s="11">
        <v>-38840.0</v>
      </c>
      <c r="AN1222" s="11">
        <v>-49450.0</v>
      </c>
      <c r="AO1222" s="11">
        <v>31850.0</v>
      </c>
      <c r="AP1222" s="11">
        <v>-113480.0</v>
      </c>
      <c r="AQ1222" s="11">
        <v>-48600.0</v>
      </c>
      <c r="AR1222" s="11">
        <v>-43580.0</v>
      </c>
      <c r="AS1222" s="11">
        <v>-44780.0</v>
      </c>
      <c r="AT1222" s="11">
        <v>-84580.0</v>
      </c>
      <c r="AU1222" s="11">
        <v>-45340.0</v>
      </c>
      <c r="AV1222" s="11">
        <v>-31710.0</v>
      </c>
      <c r="AW1222" s="11">
        <v>-37360.0</v>
      </c>
      <c r="AX1222" s="11">
        <v>-74.0</v>
      </c>
      <c r="AY1222" s="11">
        <v>-24980.0</v>
      </c>
      <c r="AZ1222" s="12"/>
      <c r="BA1222" s="12"/>
      <c r="BB1222" s="11">
        <v>-25.0</v>
      </c>
      <c r="BC1222" s="12"/>
      <c r="BD1222" s="12"/>
      <c r="BE1222" s="12"/>
      <c r="BF1222" s="12"/>
      <c r="BG1222" s="12"/>
      <c r="BH1222" s="11">
        <v>78100.0</v>
      </c>
      <c r="BI1222" s="11">
        <v>122490.0</v>
      </c>
      <c r="BJ1222" s="11">
        <v>57510.0</v>
      </c>
      <c r="BK1222" s="11">
        <v>66840.0</v>
      </c>
      <c r="BL1222" s="11">
        <v>51620.0</v>
      </c>
      <c r="BM1222" s="11">
        <v>2290.0</v>
      </c>
      <c r="BN1222" s="11">
        <v>1630.0</v>
      </c>
      <c r="BO1222" s="11">
        <v>1580.0</v>
      </c>
      <c r="BP1222" s="11">
        <v>764.0</v>
      </c>
      <c r="BQ1222" s="12"/>
      <c r="BR1222" s="11">
        <v>1990.0</v>
      </c>
      <c r="BS1222" s="11">
        <v>3950.0</v>
      </c>
      <c r="BT1222" s="11">
        <v>511.0</v>
      </c>
      <c r="BU1222" s="12"/>
      <c r="BV1222" s="12"/>
      <c r="BW1222" s="11">
        <v>83540.0</v>
      </c>
      <c r="BX1222" s="11">
        <v>132300.0</v>
      </c>
      <c r="BY1222" s="11">
        <v>60810.0</v>
      </c>
      <c r="BZ1222" s="11">
        <v>67600.0</v>
      </c>
      <c r="CA1222" s="11">
        <v>52880.0</v>
      </c>
      <c r="CB1222" s="11">
        <v>1080.0</v>
      </c>
      <c r="CC1222" s="11">
        <v>294.0</v>
      </c>
      <c r="CD1222" s="11">
        <v>15.0</v>
      </c>
      <c r="CE1222" s="11">
        <v>25.0</v>
      </c>
      <c r="CF1222" s="11">
        <v>35.0</v>
      </c>
      <c r="CG1222" s="11">
        <v>7260.0</v>
      </c>
      <c r="CH1222" s="11">
        <v>7260.0</v>
      </c>
      <c r="CI1222" s="11">
        <v>7260.0</v>
      </c>
      <c r="CJ1222" s="11">
        <v>7260.0</v>
      </c>
      <c r="CK1222" s="11">
        <v>7260.0</v>
      </c>
      <c r="CL1222" s="11">
        <v>117640.0</v>
      </c>
      <c r="CM1222" s="11">
        <v>170290.0</v>
      </c>
      <c r="CN1222" s="11">
        <v>103930.0</v>
      </c>
      <c r="CO1222" s="11">
        <v>137890.0</v>
      </c>
      <c r="CP1222" s="11">
        <v>97330.0</v>
      </c>
      <c r="CQ1222" s="11">
        <v>3330.0</v>
      </c>
      <c r="CR1222" s="11">
        <v>1180.0</v>
      </c>
      <c r="CS1222" s="11">
        <v>1250.0</v>
      </c>
      <c r="CT1222" s="11">
        <v>1090.0</v>
      </c>
      <c r="CU1222" s="11">
        <v>2790.0</v>
      </c>
      <c r="CV1222" s="11">
        <v>24290.0</v>
      </c>
      <c r="CW1222" s="11">
        <v>374.0</v>
      </c>
      <c r="CX1222" s="12"/>
      <c r="CY1222" s="12"/>
      <c r="CZ1222" s="12"/>
      <c r="DA1222" s="12"/>
      <c r="DB1222" s="11">
        <v>24290.0</v>
      </c>
      <c r="DC1222" s="11">
        <v>17250.0</v>
      </c>
      <c r="DD1222" s="11">
        <v>12480.0</v>
      </c>
      <c r="DE1222" s="11">
        <v>15960.0</v>
      </c>
      <c r="DF1222" s="11">
        <v>45450.0</v>
      </c>
      <c r="DG1222" s="11">
        <v>57330.0</v>
      </c>
      <c r="DH1222" s="11">
        <v>115840.0</v>
      </c>
      <c r="DI1222" s="11">
        <v>70920.0</v>
      </c>
      <c r="DJ1222" s="11">
        <v>6400.0</v>
      </c>
      <c r="DK1222" s="12"/>
      <c r="DL1222" s="12"/>
      <c r="DM1222" s="12"/>
      <c r="DN1222" s="12"/>
      <c r="DO1222" s="12"/>
      <c r="DP1222" s="11">
        <v>1080.0</v>
      </c>
      <c r="DQ1222" s="12"/>
      <c r="DR1222" s="11">
        <v>37790.0</v>
      </c>
      <c r="DS1222" s="11">
        <v>18430.0</v>
      </c>
      <c r="DT1222" s="12"/>
      <c r="DU1222" s="13"/>
      <c r="DV1222" s="12"/>
      <c r="DW1222" s="12"/>
      <c r="DX1222" s="13"/>
      <c r="DY1222" s="13"/>
      <c r="DZ1222" s="11">
        <v>72190.0</v>
      </c>
      <c r="EA1222" s="11">
        <v>112960.0</v>
      </c>
      <c r="EB1222" s="11">
        <v>-11910.0</v>
      </c>
      <c r="EC1222" s="11">
        <v>66970.0</v>
      </c>
      <c r="ED1222" s="11">
        <v>90360.0</v>
      </c>
      <c r="EE1222" s="14">
        <v>0.165</v>
      </c>
      <c r="EF1222" s="14">
        <v>0.68</v>
      </c>
      <c r="EG1222" s="14">
        <v>0.429</v>
      </c>
      <c r="EH1222" s="14">
        <v>0.169</v>
      </c>
    </row>
    <row r="1223">
      <c r="A1223" s="9">
        <f t="shared" si="2"/>
        <v>1221</v>
      </c>
      <c r="B1223" s="10" t="s">
        <v>1358</v>
      </c>
      <c r="C1223" s="15">
        <v>3860000.0</v>
      </c>
      <c r="D1223" s="15">
        <v>3540000.0</v>
      </c>
      <c r="E1223" s="15">
        <v>3880000.0</v>
      </c>
      <c r="F1223" s="15">
        <v>3930000.0</v>
      </c>
      <c r="G1223" s="15">
        <v>3940000.0</v>
      </c>
      <c r="H1223" s="15">
        <v>3950000.0</v>
      </c>
      <c r="I1223" s="15">
        <v>3830000.0</v>
      </c>
      <c r="J1223" s="15">
        <v>1800000.0</v>
      </c>
      <c r="K1223" s="15">
        <v>1840000.0</v>
      </c>
      <c r="L1223" s="15">
        <v>1850000.0</v>
      </c>
      <c r="M1223" s="15">
        <v>1860000.0</v>
      </c>
      <c r="N1223" s="15">
        <v>1810000.0</v>
      </c>
      <c r="O1223" s="15">
        <v>1350000.0</v>
      </c>
      <c r="P1223" s="15">
        <v>1380000.0</v>
      </c>
      <c r="Q1223" s="15">
        <v>1350000.0</v>
      </c>
      <c r="R1223" s="15">
        <v>1350000.0</v>
      </c>
      <c r="S1223" s="15">
        <v>1310000.0</v>
      </c>
      <c r="T1223" s="12"/>
      <c r="U1223" s="12"/>
      <c r="V1223" s="12"/>
      <c r="W1223" s="12"/>
      <c r="X1223" s="12"/>
      <c r="Y1223" s="15">
        <v>459190.0</v>
      </c>
      <c r="Z1223" s="15">
        <v>425690.0</v>
      </c>
      <c r="AA1223" s="15">
        <v>-53470.0</v>
      </c>
      <c r="AB1223" s="15">
        <v>465000.0</v>
      </c>
      <c r="AC1223" s="15">
        <v>495330.0</v>
      </c>
      <c r="AD1223" s="15">
        <v>362160.0</v>
      </c>
      <c r="AE1223" s="15">
        <v>328430.0</v>
      </c>
      <c r="AF1223" s="15">
        <v>345700.0</v>
      </c>
      <c r="AG1223" s="15">
        <v>354060.0</v>
      </c>
      <c r="AH1223" s="15">
        <v>378480.0</v>
      </c>
      <c r="AI1223" s="15">
        <v>566160.0</v>
      </c>
      <c r="AJ1223" s="15">
        <v>567470.0</v>
      </c>
      <c r="AK1223" s="15">
        <v>616390.0</v>
      </c>
      <c r="AL1223" s="15">
        <v>613610.0</v>
      </c>
      <c r="AM1223" s="15">
        <v>591490.0</v>
      </c>
      <c r="AN1223" s="15">
        <v>271620.0</v>
      </c>
      <c r="AO1223" s="15">
        <v>258050.0</v>
      </c>
      <c r="AP1223" s="15">
        <v>215080.0</v>
      </c>
      <c r="AQ1223" s="15">
        <v>222940.0</v>
      </c>
      <c r="AR1223" s="15">
        <v>235090.0</v>
      </c>
      <c r="AS1223" s="15">
        <v>320420.0</v>
      </c>
      <c r="AT1223" s="15">
        <v>372660.0</v>
      </c>
      <c r="AU1223" s="15">
        <v>343290.0</v>
      </c>
      <c r="AV1223" s="15">
        <v>351010.0</v>
      </c>
      <c r="AW1223" s="15">
        <v>300790.0</v>
      </c>
      <c r="AX1223" s="15">
        <v>-107760.0</v>
      </c>
      <c r="AY1223" s="15">
        <v>-86510.0</v>
      </c>
      <c r="AZ1223" s="15">
        <v>-89670.0</v>
      </c>
      <c r="BA1223" s="15">
        <v>-151220.0</v>
      </c>
      <c r="BB1223" s="15">
        <v>-106530.0</v>
      </c>
      <c r="BC1223" s="12"/>
      <c r="BD1223" s="12"/>
      <c r="BE1223" s="12"/>
      <c r="BF1223" s="12"/>
      <c r="BG1223" s="12"/>
      <c r="BH1223" s="15">
        <v>71500.0</v>
      </c>
      <c r="BI1223" s="15">
        <v>77300.0</v>
      </c>
      <c r="BJ1223" s="15">
        <v>63760.0</v>
      </c>
      <c r="BK1223" s="15">
        <v>86620.0</v>
      </c>
      <c r="BL1223" s="15">
        <v>140040.0</v>
      </c>
      <c r="BM1223" s="15">
        <v>104540.0</v>
      </c>
      <c r="BN1223" s="15">
        <v>90490.0</v>
      </c>
      <c r="BO1223" s="15">
        <v>92240.0</v>
      </c>
      <c r="BP1223" s="15">
        <v>83980.0</v>
      </c>
      <c r="BQ1223" s="15">
        <v>91090.0</v>
      </c>
      <c r="BR1223" s="15">
        <v>952910.0</v>
      </c>
      <c r="BS1223" s="15">
        <v>944340.0</v>
      </c>
      <c r="BT1223" s="15">
        <v>930860.0</v>
      </c>
      <c r="BU1223" s="15">
        <v>907340.0</v>
      </c>
      <c r="BV1223" s="15">
        <v>885210.0</v>
      </c>
      <c r="BW1223" s="15">
        <v>1160000.0</v>
      </c>
      <c r="BX1223" s="15">
        <v>1160000.0</v>
      </c>
      <c r="BY1223" s="15">
        <v>1140000.0</v>
      </c>
      <c r="BZ1223" s="15">
        <v>1170000.0</v>
      </c>
      <c r="CA1223" s="15">
        <v>1190000.0</v>
      </c>
      <c r="CB1223" s="15">
        <v>319630.0</v>
      </c>
      <c r="CC1223" s="15">
        <v>308360.0</v>
      </c>
      <c r="CD1223" s="15">
        <v>313720.0</v>
      </c>
      <c r="CE1223" s="15">
        <v>319560.0</v>
      </c>
      <c r="CF1223" s="15">
        <v>270850.0</v>
      </c>
      <c r="CG1223" s="15">
        <v>530790.0</v>
      </c>
      <c r="CH1223" s="15">
        <v>535930.0</v>
      </c>
      <c r="CI1223" s="15">
        <v>537790.0</v>
      </c>
      <c r="CJ1223" s="15">
        <v>532710.0</v>
      </c>
      <c r="CK1223" s="15">
        <v>524370.0</v>
      </c>
      <c r="CL1223" s="15">
        <v>2100000.0</v>
      </c>
      <c r="CM1223" s="15">
        <v>2100000.0</v>
      </c>
      <c r="CN1223" s="15">
        <v>2100000.0</v>
      </c>
      <c r="CO1223" s="15">
        <v>2130000.0</v>
      </c>
      <c r="CP1223" s="15">
        <v>2090000.0</v>
      </c>
      <c r="CQ1223" s="15">
        <v>278690.0</v>
      </c>
      <c r="CR1223" s="15">
        <v>303240.0</v>
      </c>
      <c r="CS1223" s="15">
        <v>307750.0</v>
      </c>
      <c r="CT1223" s="15">
        <v>271380.0</v>
      </c>
      <c r="CU1223" s="15">
        <v>275920.0</v>
      </c>
      <c r="CV1223" s="15">
        <v>456080.0</v>
      </c>
      <c r="CW1223" s="12"/>
      <c r="CX1223" s="12"/>
      <c r="CY1223" s="13"/>
      <c r="CZ1223" s="13"/>
      <c r="DA1223" s="12"/>
      <c r="DB1223" s="15">
        <v>456080.0</v>
      </c>
      <c r="DC1223" s="15">
        <v>491170.0</v>
      </c>
      <c r="DD1223" s="15">
        <v>572590.0</v>
      </c>
      <c r="DE1223" s="15">
        <v>488670.0</v>
      </c>
      <c r="DF1223" s="15">
        <v>2160000.0</v>
      </c>
      <c r="DG1223" s="15">
        <v>2370000.0</v>
      </c>
      <c r="DH1223" s="15">
        <v>2460000.0</v>
      </c>
      <c r="DI1223" s="15">
        <v>2410000.0</v>
      </c>
      <c r="DJ1223" s="15">
        <v>2390000.0</v>
      </c>
      <c r="DK1223" s="15">
        <v>344.0</v>
      </c>
      <c r="DL1223" s="15">
        <v>8370.0</v>
      </c>
      <c r="DM1223" s="15">
        <v>5180.0</v>
      </c>
      <c r="DN1223" s="12"/>
      <c r="DO1223" s="12"/>
      <c r="DP1223" s="15">
        <v>1590000.0</v>
      </c>
      <c r="DQ1223" s="15">
        <v>1770000.0</v>
      </c>
      <c r="DR1223" s="15">
        <v>1770000.0</v>
      </c>
      <c r="DS1223" s="15">
        <v>1780000.0</v>
      </c>
      <c r="DT1223" s="15">
        <v>1790000.0</v>
      </c>
      <c r="DU1223" s="13"/>
      <c r="DV1223" s="12"/>
      <c r="DW1223" s="12"/>
      <c r="DX1223" s="12"/>
      <c r="DY1223" s="12"/>
      <c r="DZ1223" s="15">
        <v>-60320.0</v>
      </c>
      <c r="EA1223" s="15">
        <v>-268560.0</v>
      </c>
      <c r="EB1223" s="15">
        <v>-363620.0</v>
      </c>
      <c r="EC1223" s="15">
        <v>-276170.0</v>
      </c>
      <c r="ED1223" s="15">
        <v>-297820.0</v>
      </c>
      <c r="EE1223" s="17">
        <v>0.014</v>
      </c>
      <c r="EF1223" s="17">
        <v>0.044</v>
      </c>
      <c r="EG1223" s="17">
        <v>-1.2</v>
      </c>
      <c r="EH1223" s="17">
        <v>-0.306</v>
      </c>
    </row>
    <row r="1224">
      <c r="A1224" s="9">
        <f t="shared" si="2"/>
        <v>1222</v>
      </c>
      <c r="B1224" s="10" t="s">
        <v>1359</v>
      </c>
      <c r="C1224" s="11">
        <v>672700.0</v>
      </c>
      <c r="D1224" s="11">
        <v>491750.0</v>
      </c>
      <c r="E1224" s="11">
        <v>819350.0</v>
      </c>
      <c r="F1224" s="11">
        <v>649740.0</v>
      </c>
      <c r="G1224" s="11">
        <v>331980.0</v>
      </c>
      <c r="H1224" s="11">
        <v>222360.0</v>
      </c>
      <c r="I1224" s="11">
        <v>243830.0</v>
      </c>
      <c r="J1224" s="11">
        <v>129800.0</v>
      </c>
      <c r="K1224" s="11">
        <v>185050.0</v>
      </c>
      <c r="L1224" s="11">
        <v>66060.0</v>
      </c>
      <c r="M1224" s="11">
        <v>-41730.0</v>
      </c>
      <c r="N1224" s="11">
        <v>-57890.0</v>
      </c>
      <c r="O1224" s="11">
        <v>53930.0</v>
      </c>
      <c r="P1224" s="11">
        <v>34690.0</v>
      </c>
      <c r="Q1224" s="11">
        <v>30960.0</v>
      </c>
      <c r="R1224" s="11">
        <v>24600.0</v>
      </c>
      <c r="S1224" s="11">
        <v>23620.0</v>
      </c>
      <c r="T1224" s="12"/>
      <c r="U1224" s="12"/>
      <c r="V1224" s="12"/>
      <c r="W1224" s="12"/>
      <c r="X1224" s="12"/>
      <c r="Y1224" s="11">
        <v>73350.0</v>
      </c>
      <c r="Z1224" s="11">
        <v>129740.0</v>
      </c>
      <c r="AA1224" s="11">
        <v>34540.0</v>
      </c>
      <c r="AB1224" s="11">
        <v>-96210.0</v>
      </c>
      <c r="AC1224" s="11">
        <v>-412260.0</v>
      </c>
      <c r="AD1224" s="11">
        <v>-16150.0</v>
      </c>
      <c r="AE1224" s="11">
        <v>58410.0</v>
      </c>
      <c r="AF1224" s="11">
        <v>-9630.0</v>
      </c>
      <c r="AG1224" s="11">
        <v>-154090.0</v>
      </c>
      <c r="AH1224" s="11">
        <v>-458390.0</v>
      </c>
      <c r="AI1224" s="11">
        <v>198150.0</v>
      </c>
      <c r="AJ1224" s="11">
        <v>251390.0</v>
      </c>
      <c r="AK1224" s="11">
        <v>117730.0</v>
      </c>
      <c r="AL1224" s="11">
        <v>15860.0</v>
      </c>
      <c r="AM1224" s="11">
        <v>10100.0</v>
      </c>
      <c r="AN1224" s="11">
        <v>-16200.0</v>
      </c>
      <c r="AO1224" s="11">
        <v>58400.0</v>
      </c>
      <c r="AP1224" s="11">
        <v>-9770.0</v>
      </c>
      <c r="AQ1224" s="11">
        <v>-154230.0</v>
      </c>
      <c r="AR1224" s="11">
        <v>-458180.0</v>
      </c>
      <c r="AS1224" s="11">
        <v>73160.0</v>
      </c>
      <c r="AT1224" s="11">
        <v>156440.0</v>
      </c>
      <c r="AU1224" s="11">
        <v>79890.0</v>
      </c>
      <c r="AV1224" s="11">
        <v>-33710.0</v>
      </c>
      <c r="AW1224" s="11">
        <v>-27670.0</v>
      </c>
      <c r="AX1224" s="11">
        <v>-347140.0</v>
      </c>
      <c r="AY1224" s="11">
        <v>-328630.0</v>
      </c>
      <c r="AZ1224" s="11">
        <v>-143680.0</v>
      </c>
      <c r="BA1224" s="11">
        <v>-396150.0</v>
      </c>
      <c r="BB1224" s="11">
        <v>-473920.0</v>
      </c>
      <c r="BC1224" s="11">
        <v>-4800.0</v>
      </c>
      <c r="BD1224" s="12"/>
      <c r="BE1224" s="12"/>
      <c r="BF1224" s="12"/>
      <c r="BG1224" s="12"/>
      <c r="BH1224" s="11">
        <v>125240.0</v>
      </c>
      <c r="BI1224" s="11">
        <v>211360.0</v>
      </c>
      <c r="BJ1224" s="11">
        <v>265160.0</v>
      </c>
      <c r="BK1224" s="11">
        <v>186920.0</v>
      </c>
      <c r="BL1224" s="11">
        <v>211830.0</v>
      </c>
      <c r="BM1224" s="11">
        <v>60270.0</v>
      </c>
      <c r="BN1224" s="11">
        <v>40010.0</v>
      </c>
      <c r="BO1224" s="11">
        <v>18750.0</v>
      </c>
      <c r="BP1224" s="11">
        <v>14920.0</v>
      </c>
      <c r="BQ1224" s="11">
        <v>12100.0</v>
      </c>
      <c r="BR1224" s="11">
        <v>51150.0</v>
      </c>
      <c r="BS1224" s="11">
        <v>27440.0</v>
      </c>
      <c r="BT1224" s="11">
        <v>19350.0</v>
      </c>
      <c r="BU1224" s="11">
        <v>14530.0</v>
      </c>
      <c r="BV1224" s="11">
        <v>14250.0</v>
      </c>
      <c r="BW1224" s="11">
        <v>266040.0</v>
      </c>
      <c r="BX1224" s="11">
        <v>298840.0</v>
      </c>
      <c r="BY1224" s="11">
        <v>312630.0</v>
      </c>
      <c r="BZ1224" s="11">
        <v>228470.0</v>
      </c>
      <c r="CA1224" s="11">
        <v>252060.0</v>
      </c>
      <c r="CB1224" s="11">
        <v>2970000.0</v>
      </c>
      <c r="CC1224" s="11">
        <v>2720000.0</v>
      </c>
      <c r="CD1224" s="11">
        <v>1820000.0</v>
      </c>
      <c r="CE1224" s="11">
        <v>1770000.0</v>
      </c>
      <c r="CF1224" s="11">
        <v>1890000.0</v>
      </c>
      <c r="CG1224" s="11"/>
      <c r="CH1224" s="11"/>
      <c r="CI1224" s="11"/>
      <c r="CJ1224" s="11"/>
      <c r="CK1224" s="11"/>
      <c r="CL1224" s="11">
        <v>3240000.0</v>
      </c>
      <c r="CM1224" s="11">
        <v>3020000.0</v>
      </c>
      <c r="CN1224" s="11">
        <v>2150000.0</v>
      </c>
      <c r="CO1224" s="11">
        <v>2010000.0</v>
      </c>
      <c r="CP1224" s="11">
        <v>2160000.0</v>
      </c>
      <c r="CQ1224" s="11">
        <v>42780.0</v>
      </c>
      <c r="CR1224" s="11">
        <v>20960.0</v>
      </c>
      <c r="CS1224" s="11">
        <v>9940.0</v>
      </c>
      <c r="CT1224" s="11">
        <v>5200.0</v>
      </c>
      <c r="CU1224" s="11">
        <v>9440.0</v>
      </c>
      <c r="CV1224" s="11">
        <v>310930.0</v>
      </c>
      <c r="CW1224" s="11"/>
      <c r="CX1224" s="12"/>
      <c r="CY1224" s="12"/>
      <c r="CZ1224" s="12"/>
      <c r="DA1224" s="12"/>
      <c r="DB1224" s="11">
        <v>310930.0</v>
      </c>
      <c r="DC1224" s="11">
        <v>222720.0</v>
      </c>
      <c r="DD1224" s="11">
        <v>219270.0</v>
      </c>
      <c r="DE1224" s="11">
        <v>28120.0</v>
      </c>
      <c r="DF1224" s="11">
        <v>1690000.0</v>
      </c>
      <c r="DG1224" s="11">
        <v>1500000.0</v>
      </c>
      <c r="DH1224" s="11">
        <v>1060000.0</v>
      </c>
      <c r="DI1224" s="11">
        <v>974470.0</v>
      </c>
      <c r="DJ1224" s="11">
        <v>1030000.0</v>
      </c>
      <c r="DK1224" s="11">
        <v>2180.0</v>
      </c>
      <c r="DL1224" s="11">
        <v>3630.0</v>
      </c>
      <c r="DM1224" s="11">
        <v>9480.0</v>
      </c>
      <c r="DN1224" s="11">
        <v>9850.0</v>
      </c>
      <c r="DO1224" s="11">
        <v>844.0</v>
      </c>
      <c r="DP1224" s="11">
        <v>1380000.0</v>
      </c>
      <c r="DQ1224" s="11">
        <v>1280000.0</v>
      </c>
      <c r="DR1224" s="11">
        <v>837880.0</v>
      </c>
      <c r="DS1224" s="11">
        <v>945090.0</v>
      </c>
      <c r="DT1224" s="11">
        <v>859630.0</v>
      </c>
      <c r="DU1224" s="13"/>
      <c r="DV1224" s="12"/>
      <c r="DW1224" s="12"/>
      <c r="DX1224" s="12"/>
      <c r="DY1224" s="12"/>
      <c r="DZ1224" s="11">
        <v>1540000.0</v>
      </c>
      <c r="EA1224" s="11">
        <v>1520000.0</v>
      </c>
      <c r="EB1224" s="11">
        <v>1090000.0</v>
      </c>
      <c r="EC1224" s="11">
        <v>1040000.0</v>
      </c>
      <c r="ED1224" s="11">
        <v>1140000.0</v>
      </c>
      <c r="EE1224" s="14">
        <v>0.021</v>
      </c>
      <c r="EF1224" s="14">
        <v>0.432</v>
      </c>
      <c r="EG1224" s="14">
        <v>0.367</v>
      </c>
      <c r="EH1224" s="14">
        <v>-1.113</v>
      </c>
    </row>
    <row r="1225">
      <c r="A1225" s="9">
        <f t="shared" si="2"/>
        <v>1223</v>
      </c>
      <c r="B1225" s="10" t="s">
        <v>1360</v>
      </c>
      <c r="C1225" s="15">
        <v>2.771E7</v>
      </c>
      <c r="D1225" s="15">
        <v>2.331E7</v>
      </c>
      <c r="E1225" s="15">
        <v>2.65E7</v>
      </c>
      <c r="F1225" s="15">
        <v>2.472E7</v>
      </c>
      <c r="G1225" s="15">
        <v>2.238E7</v>
      </c>
      <c r="H1225" s="15">
        <v>2.131E7</v>
      </c>
      <c r="I1225" s="12">
        <v>1.915E7</v>
      </c>
      <c r="J1225" s="15">
        <v>5730000.0</v>
      </c>
      <c r="K1225" s="15">
        <v>5620000.0</v>
      </c>
      <c r="L1225" s="15">
        <v>5340000.0</v>
      </c>
      <c r="M1225" s="15">
        <v>5270000.0</v>
      </c>
      <c r="N1225" s="12">
        <v>4560000.0</v>
      </c>
      <c r="O1225" s="15">
        <v>1820000.0</v>
      </c>
      <c r="P1225" s="15">
        <v>1760000.0</v>
      </c>
      <c r="Q1225" s="15">
        <v>1390000.0</v>
      </c>
      <c r="R1225" s="15">
        <v>1360000.0</v>
      </c>
      <c r="S1225" s="12">
        <v>1200000.0</v>
      </c>
      <c r="T1225" s="15"/>
      <c r="U1225" s="15"/>
      <c r="V1225" s="15"/>
      <c r="W1225" s="15"/>
      <c r="X1225" s="12"/>
      <c r="Y1225" s="15">
        <v>3760000.0</v>
      </c>
      <c r="Z1225" s="15">
        <v>4930000.0</v>
      </c>
      <c r="AA1225" s="15">
        <v>3790000.0</v>
      </c>
      <c r="AB1225" s="12">
        <v>-31900.0</v>
      </c>
      <c r="AC1225" s="12">
        <v>313500.0</v>
      </c>
      <c r="AD1225" s="15">
        <v>4470000.0</v>
      </c>
      <c r="AE1225" s="15">
        <v>5780000.0</v>
      </c>
      <c r="AF1225" s="15">
        <v>4320000.0</v>
      </c>
      <c r="AG1225" s="15">
        <v>4200000.0</v>
      </c>
      <c r="AH1225" s="12">
        <v>3900000.0</v>
      </c>
      <c r="AI1225" s="15">
        <v>5350000.0</v>
      </c>
      <c r="AJ1225" s="15">
        <v>5170000.0</v>
      </c>
      <c r="AK1225" s="15">
        <v>5020000.0</v>
      </c>
      <c r="AL1225" s="15">
        <v>4940000.0</v>
      </c>
      <c r="AM1225" s="12">
        <v>4300000.0</v>
      </c>
      <c r="AN1225" s="15">
        <v>3600000.0</v>
      </c>
      <c r="AO1225" s="15">
        <v>4520000.0</v>
      </c>
      <c r="AP1225" s="15">
        <v>2880000.0</v>
      </c>
      <c r="AQ1225" s="15">
        <v>2820000.0</v>
      </c>
      <c r="AR1225" s="12">
        <v>2760000.0</v>
      </c>
      <c r="AS1225" s="15">
        <v>5050000.0</v>
      </c>
      <c r="AT1225" s="15">
        <v>1.194E7</v>
      </c>
      <c r="AU1225" s="15">
        <v>4170000.0</v>
      </c>
      <c r="AV1225" s="15">
        <v>4580000.0</v>
      </c>
      <c r="AW1225" s="12">
        <v>3750000.0</v>
      </c>
      <c r="AX1225" s="15">
        <v>-1810000.0</v>
      </c>
      <c r="AY1225" s="15">
        <v>-1980000.0</v>
      </c>
      <c r="AZ1225" s="15">
        <v>-1520000.0</v>
      </c>
      <c r="BA1225" s="15">
        <v>-1440000.0</v>
      </c>
      <c r="BB1225" s="12">
        <v>-1300000.0</v>
      </c>
      <c r="BC1225" s="13">
        <v>-1760000.0</v>
      </c>
      <c r="BD1225" s="13">
        <v>-1740000.0</v>
      </c>
      <c r="BE1225" s="13">
        <v>-1450000.0</v>
      </c>
      <c r="BF1225" s="13">
        <v>-1180000.0</v>
      </c>
      <c r="BG1225" s="13">
        <v>-928600.0</v>
      </c>
      <c r="BH1225" s="15">
        <v>2760000.0</v>
      </c>
      <c r="BI1225" s="15">
        <v>8940000.0</v>
      </c>
      <c r="BJ1225" s="15">
        <v>2690000.0</v>
      </c>
      <c r="BK1225" s="15">
        <v>2260000.0</v>
      </c>
      <c r="BL1225" s="12">
        <v>1610000.0</v>
      </c>
      <c r="BM1225" s="15">
        <v>1020000.0</v>
      </c>
      <c r="BN1225" s="15">
        <v>1650000.0</v>
      </c>
      <c r="BO1225" s="15">
        <v>870400.0</v>
      </c>
      <c r="BP1225" s="15">
        <v>768800.0</v>
      </c>
      <c r="BQ1225" s="12">
        <v>719000.0</v>
      </c>
      <c r="BR1225" s="12">
        <v>1530000.0</v>
      </c>
      <c r="BS1225" s="12">
        <v>1400000.0</v>
      </c>
      <c r="BT1225" s="12">
        <v>1360000.0</v>
      </c>
      <c r="BU1225" s="12">
        <v>1380000.0</v>
      </c>
      <c r="BV1225" s="12">
        <v>1310000.0</v>
      </c>
      <c r="BW1225" s="15">
        <v>5650000.0</v>
      </c>
      <c r="BX1225" s="15">
        <v>1.249E7</v>
      </c>
      <c r="BY1225" s="15">
        <v>5280000.0</v>
      </c>
      <c r="BZ1225" s="15">
        <v>4760000.0</v>
      </c>
      <c r="CA1225" s="12">
        <v>3970000.0</v>
      </c>
      <c r="CB1225" s="15">
        <v>6430000.0</v>
      </c>
      <c r="CC1225" s="15">
        <v>5930000.0</v>
      </c>
      <c r="CD1225" s="15">
        <v>4920000.0</v>
      </c>
      <c r="CE1225" s="15">
        <v>4530000.0</v>
      </c>
      <c r="CF1225" s="12">
        <v>4090000.0</v>
      </c>
      <c r="CG1225" s="15">
        <v>3490000.0</v>
      </c>
      <c r="CH1225" s="15">
        <v>3540000.0</v>
      </c>
      <c r="CI1225" s="15">
        <v>1540000.0</v>
      </c>
      <c r="CJ1225" s="15">
        <v>1720000.0</v>
      </c>
      <c r="CK1225" s="12">
        <v>1580000.0</v>
      </c>
      <c r="CL1225" s="15">
        <v>1.922E7</v>
      </c>
      <c r="CM1225" s="15">
        <v>2.416E7</v>
      </c>
      <c r="CN1225" s="15">
        <v>1.437E7</v>
      </c>
      <c r="CO1225" s="15">
        <v>1.431E7</v>
      </c>
      <c r="CP1225" s="12">
        <v>1.242E7</v>
      </c>
      <c r="CQ1225" s="15">
        <v>1190000.0</v>
      </c>
      <c r="CR1225" s="15">
        <v>1180000.0</v>
      </c>
      <c r="CS1225" s="15">
        <v>782500.0</v>
      </c>
      <c r="CT1225" s="15">
        <v>730600.0</v>
      </c>
      <c r="CU1225" s="12">
        <v>684200.0</v>
      </c>
      <c r="CV1225" s="15">
        <v>6170000.0</v>
      </c>
      <c r="CW1225" s="15"/>
      <c r="CX1225" s="15"/>
      <c r="CY1225" s="15"/>
      <c r="CZ1225" s="15"/>
      <c r="DA1225" s="12"/>
      <c r="DB1225" s="15">
        <v>6170000.0</v>
      </c>
      <c r="DC1225" s="15">
        <v>5680000.0</v>
      </c>
      <c r="DD1225" s="15">
        <v>4220000.0</v>
      </c>
      <c r="DE1225" s="15">
        <v>4550000.0</v>
      </c>
      <c r="DF1225" s="15">
        <v>2.545E7</v>
      </c>
      <c r="DG1225" s="15">
        <v>2.298E7</v>
      </c>
      <c r="DH1225" s="15">
        <v>8910000.0</v>
      </c>
      <c r="DI1225" s="15">
        <v>8420000.0</v>
      </c>
      <c r="DJ1225" s="12">
        <v>6600000.0</v>
      </c>
      <c r="DK1225" s="15">
        <v>616000.0</v>
      </c>
      <c r="DL1225" s="12">
        <v>602400.0</v>
      </c>
      <c r="DM1225" s="12">
        <v>1020000.0</v>
      </c>
      <c r="DN1225" s="12">
        <v>1500000.0</v>
      </c>
      <c r="DO1225" s="13">
        <v>664500.0</v>
      </c>
      <c r="DP1225" s="15">
        <v>1.123E7</v>
      </c>
      <c r="DQ1225" s="15">
        <v>9140000.0</v>
      </c>
      <c r="DR1225" s="15">
        <v>3990000.0</v>
      </c>
      <c r="DS1225" s="15">
        <v>3190000.0</v>
      </c>
      <c r="DT1225" s="12">
        <v>2350000.0</v>
      </c>
      <c r="DU1225" s="13"/>
      <c r="DV1225" s="12"/>
      <c r="DW1225" s="12"/>
      <c r="DX1225" s="13"/>
      <c r="DY1225" s="13"/>
      <c r="DZ1225" s="15">
        <v>-6230000.0</v>
      </c>
      <c r="EA1225" s="15">
        <v>1170000.0</v>
      </c>
      <c r="EB1225" s="15">
        <v>5450000.0</v>
      </c>
      <c r="EC1225" s="15">
        <v>5880000.0</v>
      </c>
      <c r="ED1225" s="12">
        <v>5820000.0</v>
      </c>
      <c r="EE1225" s="23">
        <v>0.019305019</v>
      </c>
      <c r="EF1225" s="23">
        <v>0.228437387</v>
      </c>
      <c r="EG1225" s="17">
        <v>0.22</v>
      </c>
      <c r="EH1225" s="23">
        <v>0.05</v>
      </c>
    </row>
    <row r="1226">
      <c r="A1226" s="9">
        <f t="shared" si="2"/>
        <v>1224</v>
      </c>
      <c r="B1226" s="10" t="s">
        <v>1361</v>
      </c>
      <c r="C1226" s="15">
        <v>7270000.0</v>
      </c>
      <c r="D1226" s="15">
        <v>6420000.0</v>
      </c>
      <c r="E1226" s="15">
        <v>7290000.0</v>
      </c>
      <c r="F1226" s="15">
        <v>7100000.0</v>
      </c>
      <c r="G1226" s="15">
        <v>6650000.0</v>
      </c>
      <c r="H1226" s="15">
        <v>5380000.0</v>
      </c>
      <c r="I1226" s="15">
        <v>5050000.0</v>
      </c>
      <c r="J1226" s="15">
        <v>2880000.0</v>
      </c>
      <c r="K1226" s="15">
        <v>2980000.0</v>
      </c>
      <c r="L1226" s="15">
        <v>2700000.0</v>
      </c>
      <c r="M1226" s="15">
        <v>1660000.0</v>
      </c>
      <c r="N1226" s="15">
        <v>1560000.0</v>
      </c>
      <c r="O1226" s="15">
        <v>131800.0</v>
      </c>
      <c r="P1226" s="15">
        <v>102600.0</v>
      </c>
      <c r="Q1226" s="15">
        <v>93100.0</v>
      </c>
      <c r="R1226" s="15">
        <v>87400.0</v>
      </c>
      <c r="S1226" s="15">
        <v>99000.0</v>
      </c>
      <c r="T1226" s="15">
        <v>0.0</v>
      </c>
      <c r="U1226" s="15">
        <v>0.0</v>
      </c>
      <c r="V1226" s="15">
        <v>0.0</v>
      </c>
      <c r="W1226" s="15">
        <v>0.0</v>
      </c>
      <c r="X1226" s="15">
        <v>0.0</v>
      </c>
      <c r="Y1226" s="15">
        <v>0.0</v>
      </c>
      <c r="Z1226" s="15">
        <v>0.0</v>
      </c>
      <c r="AA1226" s="15">
        <v>2620000.0</v>
      </c>
      <c r="AB1226" s="15">
        <v>1560000.0</v>
      </c>
      <c r="AC1226" s="15">
        <v>1410000.0</v>
      </c>
      <c r="AD1226" s="15">
        <v>2430000.0</v>
      </c>
      <c r="AE1226" s="15">
        <v>2590000.0</v>
      </c>
      <c r="AF1226" s="15">
        <v>2300000.0</v>
      </c>
      <c r="AG1226" s="15">
        <v>1260000.0</v>
      </c>
      <c r="AH1226" s="15">
        <v>1190000.0</v>
      </c>
      <c r="AI1226" s="15">
        <v>3520000.0</v>
      </c>
      <c r="AJ1226" s="15">
        <v>3560000.0</v>
      </c>
      <c r="AK1226" s="15">
        <v>3310000.0</v>
      </c>
      <c r="AL1226" s="15">
        <v>2240000.0</v>
      </c>
      <c r="AM1226" s="15">
        <v>1940000.0</v>
      </c>
      <c r="AN1226" s="15">
        <v>1490000.0</v>
      </c>
      <c r="AO1226" s="15">
        <v>1540000.0</v>
      </c>
      <c r="AP1226" s="15">
        <v>728500.0</v>
      </c>
      <c r="AQ1226" s="15">
        <v>776500.0</v>
      </c>
      <c r="AR1226" s="15">
        <v>736400.0</v>
      </c>
      <c r="AS1226" s="15">
        <v>1910000.0</v>
      </c>
      <c r="AT1226" s="15">
        <v>2240000.0</v>
      </c>
      <c r="AU1226" s="15">
        <v>1980000.0</v>
      </c>
      <c r="AV1226" s="15">
        <v>923100.0</v>
      </c>
      <c r="AW1226" s="15">
        <v>879800.0</v>
      </c>
      <c r="AX1226" s="15">
        <v>-707500.0</v>
      </c>
      <c r="AY1226" s="15">
        <v>-1120000.0</v>
      </c>
      <c r="AZ1226" s="15">
        <v>-1020000.0</v>
      </c>
      <c r="BA1226" s="15">
        <v>-1120000.0</v>
      </c>
      <c r="BB1226" s="15">
        <v>-1150000.0</v>
      </c>
      <c r="BC1226" s="15">
        <v>-1240000.0</v>
      </c>
      <c r="BD1226" s="15">
        <v>-1080000.0</v>
      </c>
      <c r="BE1226" s="15">
        <v>-456100.0</v>
      </c>
      <c r="BF1226" s="15">
        <v>-139300.0</v>
      </c>
      <c r="BG1226" s="15">
        <v>-271200.0</v>
      </c>
      <c r="BH1226" s="15">
        <v>2010000.0</v>
      </c>
      <c r="BI1226" s="15">
        <v>1060000.0</v>
      </c>
      <c r="BJ1226" s="15">
        <v>1060000.0</v>
      </c>
      <c r="BK1226" s="15">
        <v>600900.0</v>
      </c>
      <c r="BL1226" s="15">
        <v>882300.0</v>
      </c>
      <c r="BM1226" s="15">
        <v>911800.0</v>
      </c>
      <c r="BN1226" s="15">
        <v>972600.0</v>
      </c>
      <c r="BO1226" s="15">
        <v>976400.0</v>
      </c>
      <c r="BP1226" s="15">
        <v>668500.0</v>
      </c>
      <c r="BQ1226" s="15">
        <v>551200.0</v>
      </c>
      <c r="BR1226" s="15">
        <v>1070000.0</v>
      </c>
      <c r="BS1226" s="15">
        <v>1030000.0</v>
      </c>
      <c r="BT1226" s="15">
        <v>1040000.0</v>
      </c>
      <c r="BU1226" s="15">
        <v>1010000.0</v>
      </c>
      <c r="BV1226" s="15">
        <v>857200.0</v>
      </c>
      <c r="BW1226" s="15">
        <v>4180000.0</v>
      </c>
      <c r="BX1226" s="15">
        <v>3180000.0</v>
      </c>
      <c r="BY1226" s="15">
        <v>3170000.0</v>
      </c>
      <c r="BZ1226" s="15">
        <v>2570000.0</v>
      </c>
      <c r="CA1226" s="15">
        <v>2480000.0</v>
      </c>
      <c r="CB1226" s="15">
        <v>1.042E7</v>
      </c>
      <c r="CC1226" s="15">
        <v>9400000.0</v>
      </c>
      <c r="CD1226" s="15">
        <v>9100000.0</v>
      </c>
      <c r="CE1226" s="15">
        <v>8770000.0</v>
      </c>
      <c r="CF1226" s="15">
        <v>8260000.0</v>
      </c>
      <c r="CG1226" s="15">
        <v>41900.0</v>
      </c>
      <c r="CH1226" s="15">
        <v>41900.0</v>
      </c>
      <c r="CI1226" s="15">
        <v>41900.0</v>
      </c>
      <c r="CJ1226" s="15">
        <v>41900.0</v>
      </c>
      <c r="CK1226" s="15">
        <v>41400.0</v>
      </c>
      <c r="CL1226" s="15">
        <v>1.641E7</v>
      </c>
      <c r="CM1226" s="15">
        <v>1.429E7</v>
      </c>
      <c r="CN1226" s="15">
        <v>1.378E7</v>
      </c>
      <c r="CO1226" s="15">
        <v>1.323E7</v>
      </c>
      <c r="CP1226" s="15">
        <v>1.259E7</v>
      </c>
      <c r="CQ1226" s="15">
        <v>598300.0</v>
      </c>
      <c r="CR1226" s="15">
        <v>673400.0</v>
      </c>
      <c r="CS1226" s="15">
        <v>659800.0</v>
      </c>
      <c r="CT1226" s="15">
        <v>584200.0</v>
      </c>
      <c r="CU1226" s="15">
        <v>646600.0</v>
      </c>
      <c r="CV1226" s="15">
        <v>1480000.0</v>
      </c>
      <c r="CW1226" s="15">
        <v>68600.0</v>
      </c>
      <c r="CX1226" s="16">
        <v>0.0</v>
      </c>
      <c r="CY1226" s="15">
        <v>0.0</v>
      </c>
      <c r="CZ1226" s="15">
        <v>0.0</v>
      </c>
      <c r="DA1226" s="15">
        <v>0.0</v>
      </c>
      <c r="DB1226" s="15">
        <v>1480000.0</v>
      </c>
      <c r="DC1226" s="15">
        <v>1220000.0</v>
      </c>
      <c r="DD1226" s="15">
        <v>1170000.0</v>
      </c>
      <c r="DE1226" s="15">
        <v>999000.0</v>
      </c>
      <c r="DF1226" s="15">
        <v>9550000.0</v>
      </c>
      <c r="DG1226" s="15">
        <v>7670000.0</v>
      </c>
      <c r="DH1226" s="15">
        <v>7630000.0</v>
      </c>
      <c r="DI1226" s="15">
        <v>7360000.0</v>
      </c>
      <c r="DJ1226" s="15">
        <v>7290000.0</v>
      </c>
      <c r="DK1226" s="15">
        <v>111900.0</v>
      </c>
      <c r="DL1226" s="15">
        <v>103600.0</v>
      </c>
      <c r="DM1226" s="15">
        <v>99700.0</v>
      </c>
      <c r="DN1226" s="15">
        <v>87500.0</v>
      </c>
      <c r="DO1226" s="15">
        <v>76100.0</v>
      </c>
      <c r="DP1226" s="15">
        <v>8190000.0</v>
      </c>
      <c r="DQ1226" s="15">
        <v>7460000.0</v>
      </c>
      <c r="DR1226" s="15">
        <v>8980000.0</v>
      </c>
      <c r="DS1226" s="15">
        <v>8790000.0</v>
      </c>
      <c r="DT1226" s="15">
        <v>6340000.0</v>
      </c>
      <c r="DU1226" s="16">
        <v>0.0</v>
      </c>
      <c r="DV1226" s="15">
        <v>0.0</v>
      </c>
      <c r="DW1226" s="15">
        <v>0.0</v>
      </c>
      <c r="DX1226" s="15">
        <v>0.0</v>
      </c>
      <c r="DY1226" s="16">
        <v>0.0</v>
      </c>
      <c r="DZ1226" s="15">
        <v>6810000.0</v>
      </c>
      <c r="EA1226" s="15">
        <v>6570000.0</v>
      </c>
      <c r="EB1226" s="15">
        <v>6110000.0</v>
      </c>
      <c r="EC1226" s="15">
        <v>5830000.0</v>
      </c>
      <c r="ED1226" s="15">
        <v>5260000.0</v>
      </c>
      <c r="EE1226" s="17">
        <v>0.159</v>
      </c>
      <c r="EF1226" s="17">
        <v>0.227</v>
      </c>
      <c r="EG1226" s="17">
        <v>-0.317</v>
      </c>
      <c r="EH1226" s="17">
        <v>-0.175</v>
      </c>
    </row>
    <row r="1227">
      <c r="A1227" s="9">
        <f t="shared" si="2"/>
        <v>1225</v>
      </c>
      <c r="B1227" s="25" t="s">
        <v>1362</v>
      </c>
      <c r="C1227" s="15">
        <v>1910000.0</v>
      </c>
      <c r="D1227" s="15">
        <v>1800000.0</v>
      </c>
      <c r="E1227" s="15">
        <v>1860000.0</v>
      </c>
      <c r="F1227" s="15">
        <v>1990000.0</v>
      </c>
      <c r="G1227" s="15">
        <v>1930000.0</v>
      </c>
      <c r="H1227" s="15">
        <v>1770000.0</v>
      </c>
      <c r="I1227" s="15">
        <v>1780000.0</v>
      </c>
      <c r="J1227" s="15">
        <v>339710.0</v>
      </c>
      <c r="K1227" s="15">
        <v>339340.0</v>
      </c>
      <c r="L1227" s="15">
        <v>338510.0</v>
      </c>
      <c r="M1227" s="15">
        <v>338540.0</v>
      </c>
      <c r="N1227" s="15">
        <v>308230.0</v>
      </c>
      <c r="O1227" s="15">
        <v>209710.0</v>
      </c>
      <c r="P1227" s="15">
        <v>187500.0</v>
      </c>
      <c r="Q1227" s="15">
        <v>188260.0</v>
      </c>
      <c r="R1227" s="15">
        <v>205290.0</v>
      </c>
      <c r="S1227" s="15">
        <v>188310.0</v>
      </c>
      <c r="T1227" s="15">
        <v>55040.0</v>
      </c>
      <c r="U1227" s="15">
        <v>54260.0</v>
      </c>
      <c r="V1227" s="15">
        <v>53700.0</v>
      </c>
      <c r="W1227" s="15">
        <v>56090.0</v>
      </c>
      <c r="X1227" s="15">
        <v>50240.0</v>
      </c>
      <c r="Y1227" s="15">
        <v>127250.0</v>
      </c>
      <c r="Z1227" s="15">
        <v>-2590.0</v>
      </c>
      <c r="AA1227" s="15">
        <v>-3070.0</v>
      </c>
      <c r="AB1227" s="15">
        <v>126180.0</v>
      </c>
      <c r="AC1227" s="15"/>
      <c r="AD1227" s="15">
        <v>125900.0</v>
      </c>
      <c r="AE1227" s="15">
        <v>137770.0</v>
      </c>
      <c r="AF1227" s="15">
        <v>139240.0</v>
      </c>
      <c r="AG1227" s="15">
        <v>113820.0</v>
      </c>
      <c r="AH1227" s="15">
        <v>102860.0</v>
      </c>
      <c r="AI1227" s="15">
        <v>208700.0</v>
      </c>
      <c r="AJ1227" s="15">
        <v>232960.0</v>
      </c>
      <c r="AK1227" s="15">
        <v>229280.0</v>
      </c>
      <c r="AL1227" s="15">
        <v>208220.0</v>
      </c>
      <c r="AM1227" s="15">
        <v>186900.0</v>
      </c>
      <c r="AN1227" s="15">
        <v>103130.0</v>
      </c>
      <c r="AO1227" s="15">
        <v>111120.0</v>
      </c>
      <c r="AP1227" s="15">
        <v>91580.0</v>
      </c>
      <c r="AQ1227" s="15">
        <v>86190.0</v>
      </c>
      <c r="AR1227" s="15">
        <v>75970.0</v>
      </c>
      <c r="AS1227" s="15">
        <v>218430.0</v>
      </c>
      <c r="AT1227" s="15">
        <v>171130.0</v>
      </c>
      <c r="AU1227" s="15">
        <v>198860.0</v>
      </c>
      <c r="AV1227" s="15">
        <v>212160.0</v>
      </c>
      <c r="AW1227" s="15">
        <v>183720.0</v>
      </c>
      <c r="AX1227" s="15">
        <v>-105570.0</v>
      </c>
      <c r="AY1227" s="15">
        <v>-86650.0</v>
      </c>
      <c r="AZ1227" s="15">
        <v>-78610.0</v>
      </c>
      <c r="BA1227" s="15">
        <v>-103080.0</v>
      </c>
      <c r="BB1227" s="15">
        <v>-119350.0</v>
      </c>
      <c r="BC1227" s="15">
        <v>-23100.0</v>
      </c>
      <c r="BD1227" s="15">
        <v>-20860.0</v>
      </c>
      <c r="BE1227" s="15">
        <v>-18910.0</v>
      </c>
      <c r="BF1227" s="15">
        <v>-17330.0</v>
      </c>
      <c r="BG1227" s="15">
        <v>-16300.0</v>
      </c>
      <c r="BH1227" s="15">
        <v>315380.0</v>
      </c>
      <c r="BI1227" s="15">
        <v>300190.0</v>
      </c>
      <c r="BJ1227" s="15">
        <v>298890.0</v>
      </c>
      <c r="BK1227" s="15">
        <v>225740.0</v>
      </c>
      <c r="BL1227" s="15">
        <v>176140.0</v>
      </c>
      <c r="BM1227" s="15">
        <v>276840.0</v>
      </c>
      <c r="BN1227" s="15">
        <v>280030.0</v>
      </c>
      <c r="BO1227" s="15">
        <v>293540.0</v>
      </c>
      <c r="BP1227" s="15">
        <v>263410.0</v>
      </c>
      <c r="BQ1227" s="15">
        <v>249600.0</v>
      </c>
      <c r="BR1227" s="15">
        <v>203650.0</v>
      </c>
      <c r="BS1227" s="15">
        <v>231530.0</v>
      </c>
      <c r="BT1227" s="15">
        <v>172750.0</v>
      </c>
      <c r="BU1227" s="15">
        <v>173660.0</v>
      </c>
      <c r="BV1227" s="15">
        <v>170420.0</v>
      </c>
      <c r="BW1227" s="15">
        <v>818790.0</v>
      </c>
      <c r="BX1227" s="15">
        <v>833890.0</v>
      </c>
      <c r="BY1227" s="15">
        <v>788740.0</v>
      </c>
      <c r="BZ1227" s="15">
        <v>685540.0</v>
      </c>
      <c r="CA1227" s="15">
        <v>619570.0</v>
      </c>
      <c r="CB1227" s="15">
        <v>677700.0</v>
      </c>
      <c r="CC1227" s="15">
        <v>608890.0</v>
      </c>
      <c r="CD1227" s="15">
        <v>598440.0</v>
      </c>
      <c r="CE1227" s="15">
        <v>582710.0</v>
      </c>
      <c r="CF1227" s="15">
        <v>555460.0</v>
      </c>
      <c r="CG1227" s="15">
        <v>26090.0</v>
      </c>
      <c r="CH1227" s="15">
        <v>22950.0</v>
      </c>
      <c r="CI1227" s="15">
        <v>25120.0</v>
      </c>
      <c r="CJ1227" s="15">
        <v>25310.0</v>
      </c>
      <c r="CK1227" s="15">
        <v>11270.0</v>
      </c>
      <c r="CL1227" s="15">
        <v>1580000.0</v>
      </c>
      <c r="CM1227" s="15">
        <v>1510000.0</v>
      </c>
      <c r="CN1227" s="15">
        <v>1470000.0</v>
      </c>
      <c r="CO1227" s="15">
        <v>1350000.0</v>
      </c>
      <c r="CP1227" s="15">
        <v>1240000.0</v>
      </c>
      <c r="CQ1227" s="15">
        <v>194280.0</v>
      </c>
      <c r="CR1227" s="15">
        <v>205950.0</v>
      </c>
      <c r="CS1227" s="15">
        <v>204980.0</v>
      </c>
      <c r="CT1227" s="15">
        <v>158320.0</v>
      </c>
      <c r="CU1227" s="15">
        <v>128610.0</v>
      </c>
      <c r="CV1227" s="15">
        <v>339110.0</v>
      </c>
      <c r="CW1227" s="15">
        <v>8750.0</v>
      </c>
      <c r="CX1227" s="13"/>
      <c r="CY1227" s="13"/>
      <c r="CZ1227" s="13"/>
      <c r="DA1227" s="15"/>
      <c r="DB1227" s="15">
        <v>339110.0</v>
      </c>
      <c r="DC1227" s="15">
        <v>338580.0</v>
      </c>
      <c r="DD1227" s="15">
        <v>320250.0</v>
      </c>
      <c r="DE1227" s="15">
        <v>297270.0</v>
      </c>
      <c r="DF1227" s="15">
        <v>686870.0</v>
      </c>
      <c r="DG1227" s="15">
        <v>706430.0</v>
      </c>
      <c r="DH1227" s="15">
        <v>729950.0</v>
      </c>
      <c r="DI1227" s="15">
        <v>717970.0</v>
      </c>
      <c r="DJ1227" s="15">
        <v>680010.0</v>
      </c>
      <c r="DK1227" s="15">
        <v>28230.0</v>
      </c>
      <c r="DL1227" s="15">
        <v>25080.0</v>
      </c>
      <c r="DM1227" s="15">
        <v>28270.0</v>
      </c>
      <c r="DN1227" s="15">
        <v>24060.0</v>
      </c>
      <c r="DO1227" s="15">
        <v>20910.0</v>
      </c>
      <c r="DP1227" s="15">
        <v>228190.0</v>
      </c>
      <c r="DQ1227" s="15">
        <v>239020.0</v>
      </c>
      <c r="DR1227" s="15">
        <v>268300.0</v>
      </c>
      <c r="DS1227" s="15">
        <v>288860.0</v>
      </c>
      <c r="DT1227" s="15">
        <v>312550.0</v>
      </c>
      <c r="DU1227" s="13"/>
      <c r="DV1227" s="12"/>
      <c r="DW1227" s="12"/>
      <c r="DX1227" s="13"/>
      <c r="DY1227" s="13"/>
      <c r="DZ1227" s="15">
        <v>891780.0</v>
      </c>
      <c r="EA1227" s="15">
        <v>807430.0</v>
      </c>
      <c r="EB1227" s="15">
        <v>740100.0</v>
      </c>
      <c r="EC1227" s="15">
        <v>634600.0</v>
      </c>
      <c r="ED1227" s="15">
        <v>556980.0</v>
      </c>
      <c r="EE1227" s="23"/>
      <c r="EF1227" s="23"/>
      <c r="EG1227" s="23">
        <v>0.333</v>
      </c>
      <c r="EH1227" s="23">
        <v>0.191</v>
      </c>
    </row>
    <row r="1228">
      <c r="A1228" s="9">
        <f t="shared" si="2"/>
        <v>1226</v>
      </c>
      <c r="B1228" s="22" t="s">
        <v>1363</v>
      </c>
      <c r="C1228" s="11">
        <v>8080.0</v>
      </c>
      <c r="D1228" s="12"/>
      <c r="E1228" s="12"/>
      <c r="F1228" s="12"/>
      <c r="G1228" s="12"/>
      <c r="H1228" s="12"/>
      <c r="I1228" s="12"/>
      <c r="J1228" s="11">
        <v>-364.0</v>
      </c>
      <c r="K1228" s="11">
        <v>-332.0</v>
      </c>
      <c r="L1228" s="11">
        <v>-167.0</v>
      </c>
      <c r="M1228" s="11">
        <v>-5.0</v>
      </c>
      <c r="N1228" s="11">
        <v>-4.0</v>
      </c>
      <c r="O1228" s="11">
        <v>32540.0</v>
      </c>
      <c r="P1228" s="11">
        <v>29340.0</v>
      </c>
      <c r="Q1228" s="11">
        <v>23270.0</v>
      </c>
      <c r="R1228" s="11">
        <v>17910.0</v>
      </c>
      <c r="S1228" s="11">
        <v>10840.0</v>
      </c>
      <c r="T1228" s="11">
        <v>24630.0</v>
      </c>
      <c r="U1228" s="11">
        <v>15950.0</v>
      </c>
      <c r="V1228" s="11">
        <v>14330.0</v>
      </c>
      <c r="W1228" s="11">
        <v>11860.0</v>
      </c>
      <c r="X1228" s="11">
        <v>8270.0</v>
      </c>
      <c r="Y1228" s="12"/>
      <c r="Z1228" s="12"/>
      <c r="AA1228" s="12"/>
      <c r="AB1228" s="12"/>
      <c r="AC1228" s="11">
        <v>-10450.0</v>
      </c>
      <c r="AD1228" s="11">
        <v>-33000.0</v>
      </c>
      <c r="AE1228" s="11">
        <v>-29440.0</v>
      </c>
      <c r="AF1228" s="11">
        <v>-23820.0</v>
      </c>
      <c r="AG1228" s="11">
        <v>-24380.0</v>
      </c>
      <c r="AH1228" s="11">
        <v>-10520.0</v>
      </c>
      <c r="AI1228" s="11">
        <v>-32540.0</v>
      </c>
      <c r="AJ1228" s="11">
        <v>-29340.0</v>
      </c>
      <c r="AK1228" s="11">
        <v>-23270.0</v>
      </c>
      <c r="AL1228" s="11">
        <v>-17910.0</v>
      </c>
      <c r="AM1228" s="11">
        <v>-10840.0</v>
      </c>
      <c r="AN1228" s="11">
        <v>-33000.0</v>
      </c>
      <c r="AO1228" s="11">
        <v>-29440.0</v>
      </c>
      <c r="AP1228" s="11">
        <v>-23820.0</v>
      </c>
      <c r="AQ1228" s="11">
        <v>-24380.0</v>
      </c>
      <c r="AR1228" s="11">
        <v>-10520.0</v>
      </c>
      <c r="AS1228" s="11">
        <v>-30440.0</v>
      </c>
      <c r="AT1228" s="11">
        <v>-28810.0</v>
      </c>
      <c r="AU1228" s="11">
        <v>-22680.0</v>
      </c>
      <c r="AV1228" s="11">
        <v>-15460.0</v>
      </c>
      <c r="AW1228" s="11">
        <v>-9640.0</v>
      </c>
      <c r="AX1228" s="12"/>
      <c r="AY1228" s="12"/>
      <c r="AZ1228" s="11">
        <v>-194.0</v>
      </c>
      <c r="BA1228" s="11">
        <v>-9.0</v>
      </c>
      <c r="BB1228" s="11">
        <v>-17.0</v>
      </c>
      <c r="BC1228" s="12"/>
      <c r="BD1228" s="12"/>
      <c r="BE1228" s="12"/>
      <c r="BF1228" s="12"/>
      <c r="BG1228" s="12"/>
      <c r="BH1228" s="11">
        <v>72620.0</v>
      </c>
      <c r="BI1228" s="11">
        <v>89480.0</v>
      </c>
      <c r="BJ1228" s="11">
        <v>118300.0</v>
      </c>
      <c r="BK1228" s="11">
        <v>39280.0</v>
      </c>
      <c r="BL1228" s="11">
        <v>1570.0</v>
      </c>
      <c r="BM1228" s="11">
        <v>310.0</v>
      </c>
      <c r="BN1228" s="11">
        <v>479.0</v>
      </c>
      <c r="BO1228" s="11">
        <v>655.0</v>
      </c>
      <c r="BP1228" s="11">
        <v>349.0</v>
      </c>
      <c r="BQ1228" s="11">
        <v>104.0</v>
      </c>
      <c r="BR1228" s="12"/>
      <c r="BS1228" s="12"/>
      <c r="BT1228" s="12"/>
      <c r="BU1228" s="12"/>
      <c r="BV1228" s="12"/>
      <c r="BW1228" s="11">
        <v>75650.0</v>
      </c>
      <c r="BX1228" s="11">
        <v>91890.0</v>
      </c>
      <c r="BY1228" s="11">
        <v>119880.0</v>
      </c>
      <c r="BZ1228" s="11">
        <v>39740.0</v>
      </c>
      <c r="CA1228" s="11">
        <v>1820.0</v>
      </c>
      <c r="CB1228" s="11">
        <v>1310.0</v>
      </c>
      <c r="CC1228" s="11">
        <v>164.0</v>
      </c>
      <c r="CD1228" s="11">
        <v>203.0</v>
      </c>
      <c r="CE1228" s="11">
        <v>26.0</v>
      </c>
      <c r="CF1228" s="11">
        <v>23.0</v>
      </c>
      <c r="CG1228" s="12"/>
      <c r="CH1228" s="12"/>
      <c r="CI1228" s="12"/>
      <c r="CJ1228" s="12"/>
      <c r="CK1228" s="12"/>
      <c r="CL1228" s="11">
        <v>77280.0</v>
      </c>
      <c r="CM1228" s="11">
        <v>93760.0</v>
      </c>
      <c r="CN1228" s="11">
        <v>122050.0</v>
      </c>
      <c r="CO1228" s="11">
        <v>39770.0</v>
      </c>
      <c r="CP1228" s="11">
        <v>1850.0</v>
      </c>
      <c r="CQ1228" s="11">
        <v>1140.0</v>
      </c>
      <c r="CR1228" s="11">
        <v>587.0</v>
      </c>
      <c r="CS1228" s="11">
        <v>1590.0</v>
      </c>
      <c r="CT1228" s="11">
        <v>1550.0</v>
      </c>
      <c r="CU1228" s="11">
        <v>684.0</v>
      </c>
      <c r="CV1228" s="11">
        <v>5240.0</v>
      </c>
      <c r="CW1228" s="11">
        <v>407.0</v>
      </c>
      <c r="CX1228" s="12"/>
      <c r="CY1228" s="12"/>
      <c r="CZ1228" s="12"/>
      <c r="DA1228" s="12"/>
      <c r="DB1228" s="11">
        <v>5240.0</v>
      </c>
      <c r="DC1228" s="11">
        <v>6670.0</v>
      </c>
      <c r="DD1228" s="11">
        <v>5210.0</v>
      </c>
      <c r="DE1228" s="11">
        <v>3740.0</v>
      </c>
      <c r="DF1228" s="11">
        <v>25920.0</v>
      </c>
      <c r="DG1228" s="11">
        <v>15010.0</v>
      </c>
      <c r="DH1228" s="11">
        <v>16050.0</v>
      </c>
      <c r="DI1228" s="11">
        <v>3740.0</v>
      </c>
      <c r="DJ1228" s="11">
        <v>2010.0</v>
      </c>
      <c r="DK1228" s="11">
        <v>182.0</v>
      </c>
      <c r="DL1228" s="12"/>
      <c r="DM1228" s="12"/>
      <c r="DN1228" s="12"/>
      <c r="DO1228" s="12"/>
      <c r="DP1228" s="11">
        <v>19860.0</v>
      </c>
      <c r="DQ1228" s="11">
        <v>6830.0</v>
      </c>
      <c r="DR1228" s="11">
        <v>9110.0</v>
      </c>
      <c r="DS1228" s="12"/>
      <c r="DT1228" s="12"/>
      <c r="DU1228" s="13"/>
      <c r="DV1228" s="12"/>
      <c r="DW1228" s="12"/>
      <c r="DX1228" s="11">
        <v>73100.0</v>
      </c>
      <c r="DY1228" s="11">
        <v>18070.0</v>
      </c>
      <c r="DZ1228" s="11">
        <v>51370.0</v>
      </c>
      <c r="EA1228" s="11">
        <v>78740.0</v>
      </c>
      <c r="EB1228" s="11">
        <v>106000.0</v>
      </c>
      <c r="EC1228" s="11">
        <v>36030.0</v>
      </c>
      <c r="ED1228" s="11">
        <v>-167.0</v>
      </c>
      <c r="EE1228" s="23"/>
      <c r="EF1228" s="14">
        <v>0.946</v>
      </c>
      <c r="EG1228" s="14">
        <v>0.143</v>
      </c>
      <c r="EH1228" s="14">
        <v>0.162</v>
      </c>
    </row>
    <row r="1229">
      <c r="A1229" s="9">
        <f t="shared" si="2"/>
        <v>1227</v>
      </c>
      <c r="B1229" s="10" t="s">
        <v>1364</v>
      </c>
      <c r="C1229" s="15">
        <v>1100000.0</v>
      </c>
      <c r="D1229" s="15">
        <v>985190.0</v>
      </c>
      <c r="E1229" s="15">
        <v>1040000.0</v>
      </c>
      <c r="F1229" s="15">
        <v>1030000.0</v>
      </c>
      <c r="G1229" s="15">
        <v>1020000.0</v>
      </c>
      <c r="H1229" s="15">
        <v>1000000.0</v>
      </c>
      <c r="I1229" s="15">
        <v>983970.0</v>
      </c>
      <c r="J1229" s="15">
        <v>311870.0</v>
      </c>
      <c r="K1229" s="15">
        <v>308990.0</v>
      </c>
      <c r="L1229" s="15">
        <v>292970.0</v>
      </c>
      <c r="M1229" s="15">
        <v>289240.0</v>
      </c>
      <c r="N1229" s="15">
        <v>290520.0</v>
      </c>
      <c r="O1229" s="15">
        <v>255960.0</v>
      </c>
      <c r="P1229" s="15">
        <v>256220.0</v>
      </c>
      <c r="Q1229" s="15">
        <v>250870.0</v>
      </c>
      <c r="R1229" s="15">
        <v>242320.0</v>
      </c>
      <c r="S1229" s="15">
        <v>241080.0</v>
      </c>
      <c r="T1229" s="12"/>
      <c r="U1229" s="12"/>
      <c r="V1229" s="12"/>
      <c r="W1229" s="12"/>
      <c r="X1229" s="12"/>
      <c r="Y1229" s="15">
        <v>54210.0</v>
      </c>
      <c r="Z1229" s="15">
        <v>49970.0</v>
      </c>
      <c r="AA1229" s="15">
        <v>37700.0</v>
      </c>
      <c r="AB1229" s="15">
        <v>37910.0</v>
      </c>
      <c r="AC1229" s="15">
        <v>46630.0</v>
      </c>
      <c r="AD1229" s="15">
        <v>54750.0</v>
      </c>
      <c r="AE1229" s="15">
        <v>50360.0</v>
      </c>
      <c r="AF1229" s="15">
        <v>37410.0</v>
      </c>
      <c r="AG1229" s="15">
        <v>37750.0</v>
      </c>
      <c r="AH1229" s="15">
        <v>46500.0</v>
      </c>
      <c r="AI1229" s="15">
        <v>115180.0</v>
      </c>
      <c r="AJ1229" s="15">
        <v>74610.0</v>
      </c>
      <c r="AK1229" s="15">
        <v>65910.0</v>
      </c>
      <c r="AL1229" s="15">
        <v>67210.0</v>
      </c>
      <c r="AM1229" s="15">
        <v>72510.0</v>
      </c>
      <c r="AN1229" s="15">
        <v>42850.0</v>
      </c>
      <c r="AO1229" s="15">
        <v>37980.0</v>
      </c>
      <c r="AP1229" s="15">
        <v>18680.0</v>
      </c>
      <c r="AQ1229" s="15">
        <v>23030.0</v>
      </c>
      <c r="AR1229" s="15">
        <v>28200.0</v>
      </c>
      <c r="AS1229" s="15">
        <v>112880.0</v>
      </c>
      <c r="AT1229" s="15">
        <v>74140.0</v>
      </c>
      <c r="AU1229" s="15">
        <v>40350.0</v>
      </c>
      <c r="AV1229" s="15">
        <v>63790.0</v>
      </c>
      <c r="AW1229" s="15">
        <v>58560.0</v>
      </c>
      <c r="AX1229" s="15">
        <v>-18500.0</v>
      </c>
      <c r="AY1229" s="15">
        <v>-7410.0</v>
      </c>
      <c r="AZ1229" s="15">
        <v>-19650.0</v>
      </c>
      <c r="BA1229" s="15">
        <v>-21830.0</v>
      </c>
      <c r="BB1229" s="15">
        <v>-27900.0</v>
      </c>
      <c r="BC1229" s="15">
        <v>-5670.0</v>
      </c>
      <c r="BD1229" s="15">
        <v>-4760.0</v>
      </c>
      <c r="BE1229" s="15">
        <v>-4820.0</v>
      </c>
      <c r="BF1229" s="15">
        <v>-5030.0</v>
      </c>
      <c r="BG1229" s="15">
        <v>-5040.0</v>
      </c>
      <c r="BH1229" s="15">
        <v>61900.0</v>
      </c>
      <c r="BI1229" s="15">
        <v>67020.0</v>
      </c>
      <c r="BJ1229" s="15">
        <v>48250.0</v>
      </c>
      <c r="BK1229" s="15">
        <v>62940.0</v>
      </c>
      <c r="BL1229" s="15">
        <v>68810.0</v>
      </c>
      <c r="BM1229" s="15">
        <v>2720.0</v>
      </c>
      <c r="BN1229" s="15">
        <v>1220.0</v>
      </c>
      <c r="BO1229" s="15">
        <v>6270.0</v>
      </c>
      <c r="BP1229" s="15">
        <v>4420.0</v>
      </c>
      <c r="BQ1229" s="15">
        <v>2130.0</v>
      </c>
      <c r="BR1229" s="15">
        <v>259500.0</v>
      </c>
      <c r="BS1229" s="15">
        <v>257540.0</v>
      </c>
      <c r="BT1229" s="15">
        <v>260500.0</v>
      </c>
      <c r="BU1229" s="15">
        <v>279650.0</v>
      </c>
      <c r="BV1229" s="15">
        <v>292880.0</v>
      </c>
      <c r="BW1229" s="15">
        <v>329650.0</v>
      </c>
      <c r="BX1229" s="15">
        <v>337310.0</v>
      </c>
      <c r="BY1229" s="15">
        <v>320590.0</v>
      </c>
      <c r="BZ1229" s="15">
        <v>351750.0</v>
      </c>
      <c r="CA1229" s="15">
        <v>370080.0</v>
      </c>
      <c r="CB1229" s="15">
        <v>282790.0</v>
      </c>
      <c r="CC1229" s="15">
        <v>70610.0</v>
      </c>
      <c r="CD1229" s="15">
        <v>86280.0</v>
      </c>
      <c r="CE1229" s="15">
        <v>96220.0</v>
      </c>
      <c r="CF1229" s="15">
        <v>103390.0</v>
      </c>
      <c r="CG1229" s="12"/>
      <c r="CH1229" s="12"/>
      <c r="CI1229" s="12"/>
      <c r="CJ1229" s="12"/>
      <c r="CK1229" s="12"/>
      <c r="CL1229" s="15">
        <v>685300.0</v>
      </c>
      <c r="CM1229" s="15">
        <v>418000.0</v>
      </c>
      <c r="CN1229" s="15">
        <v>415580.0</v>
      </c>
      <c r="CO1229" s="15">
        <v>458480.0</v>
      </c>
      <c r="CP1229" s="15">
        <v>481090.0</v>
      </c>
      <c r="CQ1229" s="15">
        <v>60670.0</v>
      </c>
      <c r="CR1229" s="15">
        <v>48720.0</v>
      </c>
      <c r="CS1229" s="15">
        <v>41740.0</v>
      </c>
      <c r="CT1229" s="15">
        <v>67810.0</v>
      </c>
      <c r="CU1229" s="15">
        <v>72090.0</v>
      </c>
      <c r="CV1229" s="15">
        <v>122510.0</v>
      </c>
      <c r="CW1229" s="15">
        <v>43150.0</v>
      </c>
      <c r="CX1229" s="12"/>
      <c r="CY1229" s="13"/>
      <c r="CZ1229" s="13"/>
      <c r="DA1229" s="12"/>
      <c r="DB1229" s="15">
        <v>122510.0</v>
      </c>
      <c r="DC1229" s="15">
        <v>70780.0</v>
      </c>
      <c r="DD1229" s="15">
        <v>56780.0</v>
      </c>
      <c r="DE1229" s="15">
        <v>86300.0</v>
      </c>
      <c r="DF1229" s="15">
        <v>387940.0</v>
      </c>
      <c r="DG1229" s="15">
        <v>113570.0</v>
      </c>
      <c r="DH1229" s="15">
        <v>108280.0</v>
      </c>
      <c r="DI1229" s="15">
        <v>139600.0</v>
      </c>
      <c r="DJ1229" s="15">
        <v>141290.0</v>
      </c>
      <c r="DK1229" s="12"/>
      <c r="DL1229" s="12"/>
      <c r="DM1229" s="12"/>
      <c r="DN1229" s="12"/>
      <c r="DO1229" s="12"/>
      <c r="DP1229" s="15">
        <v>194110.0</v>
      </c>
      <c r="DQ1229" s="12"/>
      <c r="DR1229" s="12"/>
      <c r="DS1229" s="12"/>
      <c r="DT1229" s="12"/>
      <c r="DU1229" s="13"/>
      <c r="DV1229" s="12"/>
      <c r="DW1229" s="12"/>
      <c r="DX1229" s="12"/>
      <c r="DY1229" s="12"/>
      <c r="DZ1229" s="15">
        <v>297360.0</v>
      </c>
      <c r="EA1229" s="15">
        <v>304430.0</v>
      </c>
      <c r="EB1229" s="15">
        <v>307300.0</v>
      </c>
      <c r="EC1229" s="15">
        <v>318880.0</v>
      </c>
      <c r="ED1229" s="15">
        <v>339800.0</v>
      </c>
      <c r="EE1229" s="17">
        <v>0.014</v>
      </c>
      <c r="EF1229" s="17">
        <v>0.045</v>
      </c>
      <c r="EG1229" s="17">
        <v>-0.841</v>
      </c>
      <c r="EH1229" s="17">
        <v>-0.154</v>
      </c>
    </row>
    <row r="1230">
      <c r="A1230" s="9">
        <f t="shared" si="2"/>
        <v>1228</v>
      </c>
      <c r="B1230" s="22" t="s">
        <v>1365</v>
      </c>
      <c r="C1230" s="11">
        <v>888640.0</v>
      </c>
      <c r="D1230" s="11">
        <v>629750.0</v>
      </c>
      <c r="E1230" s="11">
        <v>750430.0</v>
      </c>
      <c r="F1230" s="11">
        <v>423230.0</v>
      </c>
      <c r="G1230" s="11">
        <v>145950.0</v>
      </c>
      <c r="H1230" s="12"/>
      <c r="I1230" s="12"/>
      <c r="J1230" s="11">
        <v>555890.0</v>
      </c>
      <c r="K1230" s="11">
        <v>285120.0</v>
      </c>
      <c r="L1230" s="11">
        <v>80570.0</v>
      </c>
      <c r="M1230" s="12"/>
      <c r="N1230" s="12"/>
      <c r="O1230" s="11">
        <v>1050000.0</v>
      </c>
      <c r="P1230" s="11">
        <v>330680.0</v>
      </c>
      <c r="Q1230" s="11">
        <v>111080.0</v>
      </c>
      <c r="R1230" s="12"/>
      <c r="S1230" s="12"/>
      <c r="T1230" s="12"/>
      <c r="U1230" s="12"/>
      <c r="V1230" s="12"/>
      <c r="W1230" s="12"/>
      <c r="X1230" s="12"/>
      <c r="Y1230" s="11">
        <v>-519950.0</v>
      </c>
      <c r="Z1230" s="12"/>
      <c r="AA1230" s="12"/>
      <c r="AB1230" s="12"/>
      <c r="AC1230" s="12"/>
      <c r="AD1230" s="11">
        <v>-535540.0</v>
      </c>
      <c r="AE1230" s="11">
        <v>-74410.0</v>
      </c>
      <c r="AF1230" s="11">
        <v>-32650.0</v>
      </c>
      <c r="AG1230" s="12"/>
      <c r="AH1230" s="12"/>
      <c r="AI1230" s="11">
        <v>-462940.0</v>
      </c>
      <c r="AJ1230" s="11">
        <v>-36700.0</v>
      </c>
      <c r="AK1230" s="11">
        <v>-27990.0</v>
      </c>
      <c r="AL1230" s="12"/>
      <c r="AM1230" s="12"/>
      <c r="AN1230" s="11">
        <v>-114510.0</v>
      </c>
      <c r="AO1230" s="11">
        <v>-74770.0</v>
      </c>
      <c r="AP1230" s="11">
        <v>-32780.0</v>
      </c>
      <c r="AQ1230" s="12"/>
      <c r="AR1230" s="12"/>
      <c r="AS1230" s="11">
        <v>-312890.0</v>
      </c>
      <c r="AT1230" s="11">
        <v>-120370.0</v>
      </c>
      <c r="AU1230" s="11">
        <v>-44190.0</v>
      </c>
      <c r="AV1230" s="12"/>
      <c r="AW1230" s="12"/>
      <c r="AX1230" s="11">
        <v>-106360.0</v>
      </c>
      <c r="AY1230" s="11">
        <v>-41840.0</v>
      </c>
      <c r="AZ1230" s="11">
        <v>-10030.0</v>
      </c>
      <c r="BA1230" s="12"/>
      <c r="BB1230" s="12"/>
      <c r="BC1230" s="12"/>
      <c r="BD1230" s="12"/>
      <c r="BE1230" s="12"/>
      <c r="BF1230" s="12"/>
      <c r="BG1230" s="12"/>
      <c r="BH1230" s="11">
        <v>318460.0</v>
      </c>
      <c r="BI1230" s="11">
        <v>313930.0</v>
      </c>
      <c r="BJ1230" s="11">
        <v>4070.0</v>
      </c>
      <c r="BK1230" s="12"/>
      <c r="BL1230" s="12"/>
      <c r="BM1230" s="11">
        <v>239410.0</v>
      </c>
      <c r="BN1230" s="11">
        <v>113930.0</v>
      </c>
      <c r="BO1230" s="11">
        <v>33740.0</v>
      </c>
      <c r="BP1230" s="12"/>
      <c r="BQ1230" s="12"/>
      <c r="BR1230" s="11">
        <v>21560.0</v>
      </c>
      <c r="BS1230" s="11">
        <v>8780.0</v>
      </c>
      <c r="BT1230" s="11">
        <v>2720.0</v>
      </c>
      <c r="BU1230" s="12"/>
      <c r="BV1230" s="12"/>
      <c r="BW1230" s="11">
        <v>590490.0</v>
      </c>
      <c r="BX1230" s="11">
        <v>442430.0</v>
      </c>
      <c r="BY1230" s="11">
        <v>42910.0</v>
      </c>
      <c r="BZ1230" s="12"/>
      <c r="CA1230" s="12"/>
      <c r="CB1230" s="11">
        <v>177540.0</v>
      </c>
      <c r="CC1230" s="11">
        <v>52550.0</v>
      </c>
      <c r="CD1230" s="11">
        <v>11890.0</v>
      </c>
      <c r="CE1230" s="12"/>
      <c r="CF1230" s="12"/>
      <c r="CG1230" s="12"/>
      <c r="CH1230" s="12"/>
      <c r="CI1230" s="12"/>
      <c r="CJ1230" s="12"/>
      <c r="CK1230" s="12"/>
      <c r="CL1230" s="11">
        <v>885650.0</v>
      </c>
      <c r="CM1230" s="11">
        <v>555190.0</v>
      </c>
      <c r="CN1230" s="11">
        <v>66410.0</v>
      </c>
      <c r="CO1230" s="12"/>
      <c r="CP1230" s="12"/>
      <c r="CQ1230" s="11">
        <v>52710.0</v>
      </c>
      <c r="CR1230" s="11">
        <v>25250.0</v>
      </c>
      <c r="CS1230" s="11">
        <v>7920.0</v>
      </c>
      <c r="CT1230" s="12"/>
      <c r="CU1230" s="12"/>
      <c r="CV1230" s="11">
        <v>206860.0</v>
      </c>
      <c r="CW1230" s="12"/>
      <c r="CX1230" s="12"/>
      <c r="CY1230" s="12"/>
      <c r="CZ1230" s="12"/>
      <c r="DA1230" s="12"/>
      <c r="DB1230" s="11">
        <v>206860.0</v>
      </c>
      <c r="DC1230" s="11">
        <v>117470.0</v>
      </c>
      <c r="DD1230" s="11">
        <v>64290.0</v>
      </c>
      <c r="DE1230" s="12"/>
      <c r="DF1230" s="11">
        <v>427360.0</v>
      </c>
      <c r="DG1230" s="11">
        <v>257000.0</v>
      </c>
      <c r="DH1230" s="11">
        <v>100260.0</v>
      </c>
      <c r="DI1230" s="12"/>
      <c r="DJ1230" s="12"/>
      <c r="DK1230" s="12"/>
      <c r="DL1230" s="12"/>
      <c r="DM1230" s="12"/>
      <c r="DN1230" s="12"/>
      <c r="DO1230" s="12"/>
      <c r="DP1230" s="11">
        <v>173150.0</v>
      </c>
      <c r="DQ1230" s="11">
        <v>138920.0</v>
      </c>
      <c r="DR1230" s="11">
        <v>35400.0</v>
      </c>
      <c r="DS1230" s="12"/>
      <c r="DT1230" s="12"/>
      <c r="DU1230" s="13"/>
      <c r="DV1230" s="11">
        <v>388630.0</v>
      </c>
      <c r="DW1230" s="12"/>
      <c r="DX1230" s="13"/>
      <c r="DY1230" s="13"/>
      <c r="DZ1230" s="11">
        <v>333120.0</v>
      </c>
      <c r="EA1230" s="11">
        <v>298200.0</v>
      </c>
      <c r="EB1230" s="11">
        <v>-33850.0</v>
      </c>
      <c r="EC1230" s="12"/>
      <c r="ED1230" s="12"/>
      <c r="EE1230" s="14">
        <v>0.109</v>
      </c>
      <c r="EF1230" s="14">
        <v>0.228</v>
      </c>
      <c r="EG1230" s="14">
        <v>-0.786</v>
      </c>
      <c r="EH1230" s="14">
        <v>-0.737</v>
      </c>
    </row>
    <row r="1231">
      <c r="A1231" s="9">
        <f t="shared" si="2"/>
        <v>1229</v>
      </c>
      <c r="B1231" s="22" t="s">
        <v>1366</v>
      </c>
      <c r="C1231" s="11">
        <v>162010.0</v>
      </c>
      <c r="D1231" s="11">
        <v>110420.0</v>
      </c>
      <c r="E1231" s="11">
        <v>85540.0</v>
      </c>
      <c r="F1231" s="11">
        <v>66640.0</v>
      </c>
      <c r="G1231" s="11">
        <v>55690.0</v>
      </c>
      <c r="H1231" s="12"/>
      <c r="I1231" s="12"/>
      <c r="J1231" s="11">
        <v>46360.0</v>
      </c>
      <c r="K1231" s="11">
        <v>42900.0</v>
      </c>
      <c r="L1231" s="11">
        <v>39760.0</v>
      </c>
      <c r="M1231" s="12"/>
      <c r="N1231" s="12"/>
      <c r="O1231" s="11">
        <v>85080.0</v>
      </c>
      <c r="P1231" s="11">
        <v>70870.0</v>
      </c>
      <c r="Q1231" s="11">
        <v>58780.0</v>
      </c>
      <c r="R1231" s="12"/>
      <c r="S1231" s="12"/>
      <c r="T1231" s="11">
        <v>38790.0</v>
      </c>
      <c r="U1231" s="11">
        <v>34520.0</v>
      </c>
      <c r="V1231" s="11">
        <v>27670.0</v>
      </c>
      <c r="W1231" s="12"/>
      <c r="X1231" s="12"/>
      <c r="Y1231" s="11">
        <v>-28790.0</v>
      </c>
      <c r="Z1231" s="11">
        <v>-28780.0</v>
      </c>
      <c r="AA1231" s="11">
        <v>-17420.0</v>
      </c>
      <c r="AB1231" s="12"/>
      <c r="AC1231" s="12"/>
      <c r="AD1231" s="11">
        <v>-25970.0</v>
      </c>
      <c r="AE1231" s="11">
        <v>-28350.0</v>
      </c>
      <c r="AF1231" s="11">
        <v>-17060.0</v>
      </c>
      <c r="AG1231" s="12"/>
      <c r="AH1231" s="12"/>
      <c r="AI1231" s="11">
        <v>-35080.0</v>
      </c>
      <c r="AJ1231" s="11">
        <v>-25080.0</v>
      </c>
      <c r="AK1231" s="11">
        <v>-17340.0</v>
      </c>
      <c r="AL1231" s="12"/>
      <c r="AM1231" s="12"/>
      <c r="AN1231" s="11">
        <v>-24570.0</v>
      </c>
      <c r="AO1231" s="11">
        <v>-28430.0</v>
      </c>
      <c r="AP1231" s="11">
        <v>-17390.0</v>
      </c>
      <c r="AQ1231" s="12"/>
      <c r="AR1231" s="12"/>
      <c r="AS1231" s="11">
        <v>-22030.0</v>
      </c>
      <c r="AT1231" s="11">
        <v>-23710.0</v>
      </c>
      <c r="AU1231" s="11">
        <v>-15310.0</v>
      </c>
      <c r="AV1231" s="12"/>
      <c r="AW1231" s="12"/>
      <c r="AX1231" s="11">
        <v>-1840.0</v>
      </c>
      <c r="AY1231" s="11">
        <v>-5260.0</v>
      </c>
      <c r="AZ1231" s="11">
        <v>-3700.0</v>
      </c>
      <c r="BA1231" s="12"/>
      <c r="BB1231" s="12"/>
      <c r="BC1231" s="12"/>
      <c r="BD1231" s="12"/>
      <c r="BE1231" s="12"/>
      <c r="BF1231" s="12"/>
      <c r="BG1231" s="12"/>
      <c r="BH1231" s="11">
        <v>86330.0</v>
      </c>
      <c r="BI1231" s="11">
        <v>84070.0</v>
      </c>
      <c r="BJ1231" s="11">
        <v>36340.0</v>
      </c>
      <c r="BK1231" s="12"/>
      <c r="BL1231" s="12"/>
      <c r="BM1231" s="11">
        <v>25740.0</v>
      </c>
      <c r="BN1231" s="11">
        <v>18020.0</v>
      </c>
      <c r="BO1231" s="11">
        <v>9760.0</v>
      </c>
      <c r="BP1231" s="12"/>
      <c r="BQ1231" s="12"/>
      <c r="BR1231" s="12"/>
      <c r="BS1231" s="12"/>
      <c r="BT1231" s="12"/>
      <c r="BU1231" s="12"/>
      <c r="BV1231" s="12"/>
      <c r="BW1231" s="11">
        <v>118540.0</v>
      </c>
      <c r="BX1231" s="11">
        <v>104690.0</v>
      </c>
      <c r="BY1231" s="11">
        <v>48050.0</v>
      </c>
      <c r="BZ1231" s="12"/>
      <c r="CA1231" s="12"/>
      <c r="CB1231" s="11">
        <v>19030.0</v>
      </c>
      <c r="CC1231" s="11">
        <v>7970.0</v>
      </c>
      <c r="CD1231" s="11">
        <v>5440.0</v>
      </c>
      <c r="CE1231" s="12"/>
      <c r="CF1231" s="12"/>
      <c r="CG1231" s="12"/>
      <c r="CH1231" s="12"/>
      <c r="CI1231" s="12"/>
      <c r="CJ1231" s="12"/>
      <c r="CK1231" s="12"/>
      <c r="CL1231" s="11">
        <v>155270.0</v>
      </c>
      <c r="CM1231" s="11">
        <v>120730.0</v>
      </c>
      <c r="CN1231" s="11">
        <v>58020.0</v>
      </c>
      <c r="CO1231" s="12"/>
      <c r="CP1231" s="12"/>
      <c r="CQ1231" s="11">
        <v>3520.0</v>
      </c>
      <c r="CR1231" s="11">
        <v>2770.0</v>
      </c>
      <c r="CS1231" s="11">
        <v>1610.0</v>
      </c>
      <c r="CT1231" s="12"/>
      <c r="CU1231" s="12"/>
      <c r="CV1231" s="11">
        <v>45020.0</v>
      </c>
      <c r="CW1231" s="11">
        <v>5580.0</v>
      </c>
      <c r="CX1231" s="12"/>
      <c r="CY1231" s="12"/>
      <c r="CZ1231" s="12"/>
      <c r="DA1231" s="12"/>
      <c r="DB1231" s="11">
        <v>45020.0</v>
      </c>
      <c r="DC1231" s="11">
        <v>27010.0</v>
      </c>
      <c r="DD1231" s="11">
        <v>17820.0</v>
      </c>
      <c r="DE1231" s="12"/>
      <c r="DF1231" s="11">
        <v>248590.0</v>
      </c>
      <c r="DG1231" s="11">
        <v>30600.0</v>
      </c>
      <c r="DH1231" s="11">
        <v>21070.0</v>
      </c>
      <c r="DI1231" s="12"/>
      <c r="DJ1231" s="12"/>
      <c r="DK1231" s="11">
        <v>15370.0</v>
      </c>
      <c r="DL1231" s="11">
        <v>5440.0</v>
      </c>
      <c r="DM1231" s="11">
        <v>2610.0</v>
      </c>
      <c r="DN1231" s="12"/>
      <c r="DO1231" s="12"/>
      <c r="DP1231" s="11">
        <v>200470.0</v>
      </c>
      <c r="DQ1231" s="12"/>
      <c r="DR1231" s="12"/>
      <c r="DS1231" s="12"/>
      <c r="DT1231" s="12"/>
      <c r="DU1231" s="13"/>
      <c r="DV1231" s="11">
        <v>161690.0</v>
      </c>
      <c r="DW1231" s="11">
        <v>82310.0</v>
      </c>
      <c r="DX1231" s="13"/>
      <c r="DY1231" s="13"/>
      <c r="DZ1231" s="11">
        <v>-93360.0</v>
      </c>
      <c r="EA1231" s="11">
        <v>90130.0</v>
      </c>
      <c r="EB1231" s="11">
        <v>36950.0</v>
      </c>
      <c r="EC1231" s="12"/>
      <c r="ED1231" s="12"/>
      <c r="EE1231" s="14">
        <v>0.147</v>
      </c>
      <c r="EF1231" s="14">
        <v>0.134</v>
      </c>
      <c r="EG1231" s="14">
        <v>0.821</v>
      </c>
      <c r="EH1231" s="23"/>
    </row>
    <row r="1232">
      <c r="A1232" s="9">
        <f t="shared" si="2"/>
        <v>1230</v>
      </c>
      <c r="B1232" s="10" t="s">
        <v>1367</v>
      </c>
      <c r="C1232" s="15">
        <v>1130000.0</v>
      </c>
      <c r="D1232" s="15">
        <v>662780.0</v>
      </c>
      <c r="E1232" s="15">
        <v>1400000.0</v>
      </c>
      <c r="F1232" s="15">
        <v>1370000.0</v>
      </c>
      <c r="G1232" s="15">
        <v>1260000.0</v>
      </c>
      <c r="H1232" s="15">
        <v>1340000.0</v>
      </c>
      <c r="I1232" s="15">
        <v>1370000.0</v>
      </c>
      <c r="J1232" s="15">
        <v>481780.0</v>
      </c>
      <c r="K1232" s="15">
        <v>398780.0</v>
      </c>
      <c r="L1232" s="15">
        <v>309810.0</v>
      </c>
      <c r="M1232" s="15">
        <v>347260.0</v>
      </c>
      <c r="N1232" s="15">
        <v>375780.0</v>
      </c>
      <c r="O1232" s="15">
        <v>229600.0</v>
      </c>
      <c r="P1232" s="15">
        <v>217620.0</v>
      </c>
      <c r="Q1232" s="15">
        <v>228840.0</v>
      </c>
      <c r="R1232" s="15">
        <v>238560.0</v>
      </c>
      <c r="S1232" s="15">
        <v>214070.0</v>
      </c>
      <c r="T1232" s="15">
        <v>0.0</v>
      </c>
      <c r="U1232" s="15">
        <v>0.0</v>
      </c>
      <c r="V1232" s="15">
        <v>0.0</v>
      </c>
      <c r="W1232" s="15">
        <v>0.0</v>
      </c>
      <c r="X1232" s="15">
        <v>0.0</v>
      </c>
      <c r="Y1232" s="15">
        <v>213200.0</v>
      </c>
      <c r="Z1232" s="15">
        <v>143520.0</v>
      </c>
      <c r="AA1232" s="15">
        <v>-209510.0</v>
      </c>
      <c r="AB1232" s="15">
        <v>59580.0</v>
      </c>
      <c r="AC1232" s="15">
        <v>-23460.0</v>
      </c>
      <c r="AD1232" s="15">
        <v>129000.0</v>
      </c>
      <c r="AE1232" s="15">
        <v>62700.0</v>
      </c>
      <c r="AF1232" s="15">
        <v>-287390.0</v>
      </c>
      <c r="AG1232" s="15">
        <v>-3200.0</v>
      </c>
      <c r="AH1232" s="15">
        <v>72830.0</v>
      </c>
      <c r="AI1232" s="15">
        <v>412730.0</v>
      </c>
      <c r="AJ1232" s="15">
        <v>342110.0</v>
      </c>
      <c r="AK1232" s="15">
        <v>244260.0</v>
      </c>
      <c r="AL1232" s="15">
        <v>274650.0</v>
      </c>
      <c r="AM1232" s="15">
        <v>344210.0</v>
      </c>
      <c r="AN1232" s="15">
        <v>89480.0</v>
      </c>
      <c r="AO1232" s="15">
        <v>44790.0</v>
      </c>
      <c r="AP1232" s="15">
        <v>-202390.0</v>
      </c>
      <c r="AQ1232" s="15">
        <v>-12530.0</v>
      </c>
      <c r="AR1232" s="15">
        <v>49130.0</v>
      </c>
      <c r="AS1232" s="15">
        <v>348420.0</v>
      </c>
      <c r="AT1232" s="15">
        <v>293940.0</v>
      </c>
      <c r="AU1232" s="15">
        <v>192460.0</v>
      </c>
      <c r="AV1232" s="15">
        <v>280410.0</v>
      </c>
      <c r="AW1232" s="15">
        <v>286270.0</v>
      </c>
      <c r="AX1232" s="15">
        <v>-195220.0</v>
      </c>
      <c r="AY1232" s="15">
        <v>-179770.0</v>
      </c>
      <c r="AZ1232" s="15">
        <v>-172520.0</v>
      </c>
      <c r="BA1232" s="15">
        <v>-160520.0</v>
      </c>
      <c r="BB1232" s="15">
        <v>-157420.0</v>
      </c>
      <c r="BC1232" s="16">
        <v>0.0</v>
      </c>
      <c r="BD1232" s="16">
        <v>0.0</v>
      </c>
      <c r="BE1232" s="15">
        <v>-1540.0</v>
      </c>
      <c r="BF1232" s="15">
        <v>-65310.0</v>
      </c>
      <c r="BG1232" s="15">
        <v>-72320.0</v>
      </c>
      <c r="BH1232" s="15">
        <v>40930.0</v>
      </c>
      <c r="BI1232" s="15">
        <v>35010.0</v>
      </c>
      <c r="BJ1232" s="15">
        <v>34000.0</v>
      </c>
      <c r="BK1232" s="15">
        <v>69380.0</v>
      </c>
      <c r="BL1232" s="15">
        <v>19620.0</v>
      </c>
      <c r="BM1232" s="15">
        <v>49730.0</v>
      </c>
      <c r="BN1232" s="15">
        <v>57980.0</v>
      </c>
      <c r="BO1232" s="15">
        <v>42400.0</v>
      </c>
      <c r="BP1232" s="15">
        <v>36730.0</v>
      </c>
      <c r="BQ1232" s="15">
        <v>39540.0</v>
      </c>
      <c r="BR1232" s="15">
        <v>33160.0</v>
      </c>
      <c r="BS1232" s="15">
        <v>35810.0</v>
      </c>
      <c r="BT1232" s="15">
        <v>30890.0</v>
      </c>
      <c r="BU1232" s="15">
        <v>28680.0</v>
      </c>
      <c r="BV1232" s="15">
        <v>31210.0</v>
      </c>
      <c r="BW1232" s="15">
        <v>169150.0</v>
      </c>
      <c r="BX1232" s="15">
        <v>146570.0</v>
      </c>
      <c r="BY1232" s="15">
        <v>118780.0</v>
      </c>
      <c r="BZ1232" s="15">
        <v>153690.0</v>
      </c>
      <c r="CA1232" s="15">
        <v>106080.0</v>
      </c>
      <c r="CB1232" s="15">
        <v>1870000.0</v>
      </c>
      <c r="CC1232" s="15">
        <v>1690000.0</v>
      </c>
      <c r="CD1232" s="15">
        <v>1680000.0</v>
      </c>
      <c r="CE1232" s="15">
        <v>1670000.0</v>
      </c>
      <c r="CF1232" s="15">
        <v>1720000.0</v>
      </c>
      <c r="CG1232" s="15">
        <v>66280.0</v>
      </c>
      <c r="CH1232" s="15">
        <v>66280.0</v>
      </c>
      <c r="CI1232" s="15">
        <v>66280.0</v>
      </c>
      <c r="CJ1232" s="15">
        <v>335610.0</v>
      </c>
      <c r="CK1232" s="15">
        <v>335610.0</v>
      </c>
      <c r="CL1232" s="15">
        <v>2300000.0</v>
      </c>
      <c r="CM1232" s="15">
        <v>2120000.0</v>
      </c>
      <c r="CN1232" s="15">
        <v>2090000.0</v>
      </c>
      <c r="CO1232" s="15">
        <v>2380000.0</v>
      </c>
      <c r="CP1232" s="15">
        <v>2390000.0</v>
      </c>
      <c r="CQ1232" s="15">
        <v>131500.0</v>
      </c>
      <c r="CR1232" s="15">
        <v>120020.0</v>
      </c>
      <c r="CS1232" s="15">
        <v>100570.0</v>
      </c>
      <c r="CT1232" s="15">
        <v>87680.0</v>
      </c>
      <c r="CU1232" s="15">
        <v>93740.0</v>
      </c>
      <c r="CV1232" s="15">
        <v>402660.0</v>
      </c>
      <c r="CW1232" s="15">
        <v>3900.0</v>
      </c>
      <c r="CX1232" s="16">
        <v>0.0</v>
      </c>
      <c r="CY1232" s="16">
        <v>0.0</v>
      </c>
      <c r="CZ1232" s="16">
        <v>0.0</v>
      </c>
      <c r="DA1232" s="15">
        <v>0.0</v>
      </c>
      <c r="DB1232" s="15">
        <v>402660.0</v>
      </c>
      <c r="DC1232" s="15">
        <v>310670.0</v>
      </c>
      <c r="DD1232" s="15">
        <v>253470.0</v>
      </c>
      <c r="DE1232" s="15">
        <v>263610.0</v>
      </c>
      <c r="DF1232" s="15">
        <v>2090000.0</v>
      </c>
      <c r="DG1232" s="15">
        <v>1850000.0</v>
      </c>
      <c r="DH1232" s="15">
        <v>1800000.0</v>
      </c>
      <c r="DI1232" s="15">
        <v>1920000.0</v>
      </c>
      <c r="DJ1232" s="15">
        <v>1880000.0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1610000.0</v>
      </c>
      <c r="DQ1232" s="15">
        <v>1490000.0</v>
      </c>
      <c r="DR1232" s="15">
        <v>1500000.0</v>
      </c>
      <c r="DS1232" s="15">
        <v>1530000.0</v>
      </c>
      <c r="DT1232" s="15">
        <v>1550000.0</v>
      </c>
      <c r="DU1232" s="16">
        <v>0.0</v>
      </c>
      <c r="DV1232" s="15">
        <v>0.0</v>
      </c>
      <c r="DW1232" s="15">
        <v>0.0</v>
      </c>
      <c r="DX1232" s="15">
        <v>0.0</v>
      </c>
      <c r="DY1232" s="15">
        <v>0.0</v>
      </c>
      <c r="DZ1232" s="15">
        <v>210890.0</v>
      </c>
      <c r="EA1232" s="15">
        <v>265190.0</v>
      </c>
      <c r="EB1232" s="15">
        <v>287470.0</v>
      </c>
      <c r="EC1232" s="15">
        <v>461220.0</v>
      </c>
      <c r="ED1232" s="15">
        <v>504120.0</v>
      </c>
      <c r="EE1232" s="17">
        <v>1.42</v>
      </c>
      <c r="EF1232" s="17">
        <v>0.44</v>
      </c>
      <c r="EG1232" s="17">
        <v>-0.029</v>
      </c>
      <c r="EH1232" s="17">
        <v>-4.109</v>
      </c>
    </row>
    <row r="1233">
      <c r="A1233" s="9">
        <f t="shared" si="2"/>
        <v>1231</v>
      </c>
      <c r="B1233" s="10" t="s">
        <v>1368</v>
      </c>
      <c r="C1233" s="15">
        <v>6810000.0</v>
      </c>
      <c r="D1233" s="15"/>
      <c r="E1233" s="15">
        <v>6840000.0</v>
      </c>
      <c r="F1233" s="15">
        <v>6580000.0</v>
      </c>
      <c r="G1233" s="15">
        <v>5810000.0</v>
      </c>
      <c r="H1233" s="15">
        <v>5380000.0</v>
      </c>
      <c r="I1233" s="15">
        <v>5590000.0</v>
      </c>
      <c r="J1233" s="15">
        <v>491000.0</v>
      </c>
      <c r="K1233" s="15">
        <v>533000.0</v>
      </c>
      <c r="L1233" s="15">
        <v>567000.0</v>
      </c>
      <c r="M1233" s="15">
        <v>503000.0</v>
      </c>
      <c r="N1233" s="15">
        <v>425000.0</v>
      </c>
      <c r="O1233" s="15">
        <v>336000.0</v>
      </c>
      <c r="P1233" s="15">
        <v>314000.0</v>
      </c>
      <c r="Q1233" s="15">
        <v>311000.0</v>
      </c>
      <c r="R1233" s="15">
        <v>275000.0</v>
      </c>
      <c r="S1233" s="15">
        <v>270000.0</v>
      </c>
      <c r="T1233" s="15"/>
      <c r="U1233" s="15"/>
      <c r="V1233" s="15"/>
      <c r="W1233" s="15"/>
      <c r="X1233" s="15"/>
      <c r="Y1233" s="15">
        <v>275000.0</v>
      </c>
      <c r="Z1233" s="15">
        <v>94000.0</v>
      </c>
      <c r="AA1233" s="15">
        <v>129000.0</v>
      </c>
      <c r="AB1233" s="15">
        <v>270000.0</v>
      </c>
      <c r="AC1233" s="15">
        <v>124000.0</v>
      </c>
      <c r="AD1233" s="15">
        <v>284000.0</v>
      </c>
      <c r="AE1233" s="15">
        <v>-16000.0</v>
      </c>
      <c r="AF1233" s="15">
        <v>427000.0</v>
      </c>
      <c r="AG1233" s="15">
        <v>384000.0</v>
      </c>
      <c r="AH1233" s="15">
        <v>241000.0</v>
      </c>
      <c r="AI1233" s="15">
        <v>293000.0</v>
      </c>
      <c r="AJ1233" s="15">
        <v>354000.0</v>
      </c>
      <c r="AK1233" s="15">
        <v>376000.0</v>
      </c>
      <c r="AL1233" s="15">
        <v>331000.0</v>
      </c>
      <c r="AM1233" s="15">
        <v>247000.0</v>
      </c>
      <c r="AN1233" s="15">
        <v>283000.0</v>
      </c>
      <c r="AO1233" s="15">
        <v>-17000.0</v>
      </c>
      <c r="AP1233" s="15">
        <v>247000.0</v>
      </c>
      <c r="AQ1233" s="15">
        <v>312000.0</v>
      </c>
      <c r="AR1233" s="15">
        <v>171000.0</v>
      </c>
      <c r="AS1233" s="15">
        <v>171000.0</v>
      </c>
      <c r="AT1233" s="15">
        <v>238000.0</v>
      </c>
      <c r="AU1233" s="15">
        <v>245000.0</v>
      </c>
      <c r="AV1233" s="15">
        <v>427000.0</v>
      </c>
      <c r="AW1233" s="15">
        <v>416000.0</v>
      </c>
      <c r="AX1233" s="15">
        <v>-349000.0</v>
      </c>
      <c r="AY1233" s="15">
        <v>-162000.0</v>
      </c>
      <c r="AZ1233" s="15">
        <v>-173000.0</v>
      </c>
      <c r="BA1233" s="15">
        <v>-158000.0</v>
      </c>
      <c r="BB1233" s="15">
        <v>-139000.0</v>
      </c>
      <c r="BC1233" s="13">
        <v>-10000.0</v>
      </c>
      <c r="BD1233" s="13">
        <v>-7000.0</v>
      </c>
      <c r="BE1233" s="13">
        <v>-7000.0</v>
      </c>
      <c r="BF1233" s="13"/>
      <c r="BG1233" s="13"/>
      <c r="BH1233" s="15">
        <v>1560000.0</v>
      </c>
      <c r="BI1233" s="15">
        <v>1580000.0</v>
      </c>
      <c r="BJ1233" s="15">
        <v>1740000.0</v>
      </c>
      <c r="BK1233" s="15">
        <v>1350000.0</v>
      </c>
      <c r="BL1233" s="15">
        <v>1350000.0</v>
      </c>
      <c r="BM1233" s="15">
        <v>646000.0</v>
      </c>
      <c r="BN1233" s="15">
        <v>551000.0</v>
      </c>
      <c r="BO1233" s="15">
        <v>482000.0</v>
      </c>
      <c r="BP1233" s="15">
        <v>627000.0</v>
      </c>
      <c r="BQ1233" s="15">
        <v>510000.0</v>
      </c>
      <c r="BR1233" s="12">
        <v>1020000.0</v>
      </c>
      <c r="BS1233" s="12">
        <v>815000.0</v>
      </c>
      <c r="BT1233" s="12">
        <v>780000.0</v>
      </c>
      <c r="BU1233" s="12">
        <v>762000.0</v>
      </c>
      <c r="BV1233" s="12">
        <v>739000.0</v>
      </c>
      <c r="BW1233" s="15">
        <v>3350000.0</v>
      </c>
      <c r="BX1233" s="15">
        <v>3030000.0</v>
      </c>
      <c r="BY1233" s="15">
        <v>3130000.0</v>
      </c>
      <c r="BZ1233" s="15">
        <v>2850000.0</v>
      </c>
      <c r="CA1233" s="15">
        <v>2660000.0</v>
      </c>
      <c r="CB1233" s="15">
        <v>1880000.0</v>
      </c>
      <c r="CC1233" s="15">
        <v>1160000.0</v>
      </c>
      <c r="CD1233" s="15">
        <v>1080000.0</v>
      </c>
      <c r="CE1233" s="15">
        <v>1010000.0</v>
      </c>
      <c r="CF1233" s="15">
        <v>831000.0</v>
      </c>
      <c r="CG1233" s="15">
        <v>164000.0</v>
      </c>
      <c r="CH1233" s="15">
        <v>167000.0</v>
      </c>
      <c r="CI1233" s="15">
        <v>22000.0</v>
      </c>
      <c r="CJ1233" s="15">
        <v>19000.0</v>
      </c>
      <c r="CK1233" s="15">
        <v>12000.0</v>
      </c>
      <c r="CL1233" s="15">
        <v>6500000.0</v>
      </c>
      <c r="CM1233" s="15">
        <v>5310000.0</v>
      </c>
      <c r="CN1233" s="15">
        <v>5160000.0</v>
      </c>
      <c r="CO1233" s="15">
        <v>4760000.0</v>
      </c>
      <c r="CP1233" s="15">
        <v>4430000.0</v>
      </c>
      <c r="CQ1233" s="15">
        <v>368000.0</v>
      </c>
      <c r="CR1233" s="15">
        <v>238000.0</v>
      </c>
      <c r="CS1233" s="15">
        <v>272000.0</v>
      </c>
      <c r="CT1233" s="15">
        <v>216000.0</v>
      </c>
      <c r="CU1233" s="15">
        <v>239000.0</v>
      </c>
      <c r="CV1233" s="15">
        <v>1190000.0</v>
      </c>
      <c r="CW1233" s="15">
        <v>350000.0</v>
      </c>
      <c r="CX1233" s="13">
        <v>148000.0</v>
      </c>
      <c r="CY1233" s="13">
        <v>162000.0</v>
      </c>
      <c r="CZ1233" s="13">
        <v>121000.0</v>
      </c>
      <c r="DA1233" s="12">
        <v>141000.0</v>
      </c>
      <c r="DB1233" s="15">
        <v>1190000.0</v>
      </c>
      <c r="DC1233" s="15">
        <v>784000.0</v>
      </c>
      <c r="DD1233" s="15">
        <v>818000.0</v>
      </c>
      <c r="DE1233" s="15">
        <v>785000.0</v>
      </c>
      <c r="DF1233" s="15">
        <v>2950000.0</v>
      </c>
      <c r="DG1233" s="15">
        <v>1980000.0</v>
      </c>
      <c r="DH1233" s="15">
        <v>1750000.0</v>
      </c>
      <c r="DI1233" s="15">
        <v>1580000.0</v>
      </c>
      <c r="DJ1233" s="15">
        <v>1550000.0</v>
      </c>
      <c r="DK1233" s="15">
        <v>735000.0</v>
      </c>
      <c r="DL1233" s="15">
        <v>804000.0</v>
      </c>
      <c r="DM1233" s="15">
        <v>851000.0</v>
      </c>
      <c r="DN1233" s="15">
        <v>799000.0</v>
      </c>
      <c r="DO1233" s="15">
        <v>871000.0</v>
      </c>
      <c r="DP1233" s="15">
        <v>1150000.0</v>
      </c>
      <c r="DQ1233" s="15">
        <v>739000.0</v>
      </c>
      <c r="DR1233" s="15">
        <v>482000.0</v>
      </c>
      <c r="DS1233" s="15">
        <v>499000.0</v>
      </c>
      <c r="DT1233" s="15">
        <v>518000.0</v>
      </c>
      <c r="DU1233" s="13"/>
      <c r="DV1233" s="15"/>
      <c r="DW1233" s="15"/>
      <c r="DX1233" s="15"/>
      <c r="DY1233" s="15"/>
      <c r="DZ1233" s="15">
        <v>3540000.0</v>
      </c>
      <c r="EA1233" s="15">
        <v>3320000.0</v>
      </c>
      <c r="EB1233" s="15">
        <v>3400000.0</v>
      </c>
      <c r="EC1233" s="15">
        <v>3160000.0</v>
      </c>
      <c r="ED1233" s="15">
        <v>2880000.0</v>
      </c>
      <c r="EE1233" s="17"/>
      <c r="EF1233" s="23">
        <v>0.0</v>
      </c>
      <c r="EG1233" s="23" t="s">
        <v>155</v>
      </c>
      <c r="EH1233" s="17"/>
    </row>
    <row r="1234">
      <c r="A1234" s="9">
        <f t="shared" si="2"/>
        <v>1232</v>
      </c>
      <c r="B1234" s="22" t="s">
        <v>1369</v>
      </c>
      <c r="C1234" s="11">
        <v>21550.0</v>
      </c>
      <c r="D1234" s="11">
        <v>27310.0</v>
      </c>
      <c r="E1234" s="11">
        <v>6680.0</v>
      </c>
      <c r="F1234" s="11">
        <v>903.0</v>
      </c>
      <c r="G1234" s="11">
        <v>207.0</v>
      </c>
      <c r="H1234" s="11">
        <v>8080.0</v>
      </c>
      <c r="I1234" s="11">
        <v>6010.0</v>
      </c>
      <c r="J1234" s="12"/>
      <c r="K1234" s="12"/>
      <c r="L1234" s="12"/>
      <c r="M1234" s="12"/>
      <c r="N1234" s="12"/>
      <c r="O1234" s="11">
        <v>57110.0</v>
      </c>
      <c r="P1234" s="11">
        <v>64950.0</v>
      </c>
      <c r="Q1234" s="11">
        <v>63240.0</v>
      </c>
      <c r="R1234" s="11">
        <v>41950.0</v>
      </c>
      <c r="S1234" s="11">
        <v>30270.0</v>
      </c>
      <c r="T1234" s="11">
        <v>42740.0</v>
      </c>
      <c r="U1234" s="11">
        <v>47690.0</v>
      </c>
      <c r="V1234" s="11">
        <v>45170.0</v>
      </c>
      <c r="W1234" s="11">
        <v>29700.0</v>
      </c>
      <c r="X1234" s="11">
        <v>22980.0</v>
      </c>
      <c r="Y1234" s="11">
        <v>-53310.0</v>
      </c>
      <c r="Z1234" s="12"/>
      <c r="AA1234" s="11">
        <v>-64460.0</v>
      </c>
      <c r="AB1234" s="12"/>
      <c r="AC1234" s="12"/>
      <c r="AD1234" s="11">
        <v>-55350.0</v>
      </c>
      <c r="AE1234" s="11">
        <v>-65340.0</v>
      </c>
      <c r="AF1234" s="11">
        <v>-65320.0</v>
      </c>
      <c r="AG1234" s="11">
        <v>-36210.0</v>
      </c>
      <c r="AH1234" s="11">
        <v>-25170.0</v>
      </c>
      <c r="AI1234" s="11">
        <v>-50430.0</v>
      </c>
      <c r="AJ1234" s="11">
        <v>-64050.0</v>
      </c>
      <c r="AK1234" s="11">
        <v>-63030.0</v>
      </c>
      <c r="AL1234" s="11">
        <v>-33870.0</v>
      </c>
      <c r="AM1234" s="11">
        <v>-24260.0</v>
      </c>
      <c r="AN1234" s="11">
        <v>-55350.0</v>
      </c>
      <c r="AO1234" s="11">
        <v>-65340.0</v>
      </c>
      <c r="AP1234" s="11">
        <v>-65320.0</v>
      </c>
      <c r="AQ1234" s="11">
        <v>-36210.0</v>
      </c>
      <c r="AR1234" s="11">
        <v>-25170.0</v>
      </c>
      <c r="AS1234" s="11">
        <v>-51440.0</v>
      </c>
      <c r="AT1234" s="11">
        <v>-59160.0</v>
      </c>
      <c r="AU1234" s="11">
        <v>-52040.0</v>
      </c>
      <c r="AV1234" s="11">
        <v>-19680.0</v>
      </c>
      <c r="AW1234" s="11">
        <v>-22460.0</v>
      </c>
      <c r="AX1234" s="11">
        <v>-47.0</v>
      </c>
      <c r="AY1234" s="11">
        <v>-884.0</v>
      </c>
      <c r="AZ1234" s="11">
        <v>-733.0</v>
      </c>
      <c r="BA1234" s="11">
        <v>-586.0</v>
      </c>
      <c r="BB1234" s="11">
        <v>-1160.0</v>
      </c>
      <c r="BC1234" s="12"/>
      <c r="BD1234" s="12"/>
      <c r="BE1234" s="12"/>
      <c r="BF1234" s="12"/>
      <c r="BG1234" s="12"/>
      <c r="BH1234" s="11">
        <v>90170.0</v>
      </c>
      <c r="BI1234" s="11">
        <v>37400.0</v>
      </c>
      <c r="BJ1234" s="11">
        <v>96640.0</v>
      </c>
      <c r="BK1234" s="11">
        <v>84220.0</v>
      </c>
      <c r="BL1234" s="11">
        <v>36600.0</v>
      </c>
      <c r="BM1234" s="11">
        <v>5000.0</v>
      </c>
      <c r="BN1234" s="12"/>
      <c r="BO1234" s="11">
        <v>63.0</v>
      </c>
      <c r="BP1234" s="11">
        <v>215.0</v>
      </c>
      <c r="BQ1234" s="11">
        <v>824.0</v>
      </c>
      <c r="BR1234" s="12"/>
      <c r="BS1234" s="12"/>
      <c r="BT1234" s="12"/>
      <c r="BU1234" s="12"/>
      <c r="BV1234" s="12"/>
      <c r="BW1234" s="11">
        <v>96670.0</v>
      </c>
      <c r="BX1234" s="11">
        <v>42080.0</v>
      </c>
      <c r="BY1234" s="11">
        <v>98680.0</v>
      </c>
      <c r="BZ1234" s="11">
        <v>86820.0</v>
      </c>
      <c r="CA1234" s="11">
        <v>38910.0</v>
      </c>
      <c r="CB1234" s="11">
        <v>1520.0</v>
      </c>
      <c r="CC1234" s="11">
        <v>2130.0</v>
      </c>
      <c r="CD1234" s="11">
        <v>2090.0</v>
      </c>
      <c r="CE1234" s="11">
        <v>2050.0</v>
      </c>
      <c r="CF1234" s="11">
        <v>2030.0</v>
      </c>
      <c r="CG1234" s="12"/>
      <c r="CH1234" s="12"/>
      <c r="CI1234" s="12"/>
      <c r="CJ1234" s="12"/>
      <c r="CK1234" s="12"/>
      <c r="CL1234" s="11">
        <v>99570.0</v>
      </c>
      <c r="CM1234" s="11">
        <v>44480.0</v>
      </c>
      <c r="CN1234" s="11">
        <v>101100.0</v>
      </c>
      <c r="CO1234" s="11">
        <v>89300.0</v>
      </c>
      <c r="CP1234" s="11">
        <v>42820.0</v>
      </c>
      <c r="CQ1234" s="11">
        <v>500.0</v>
      </c>
      <c r="CR1234" s="11">
        <v>1100.0</v>
      </c>
      <c r="CS1234" s="11">
        <v>1610.0</v>
      </c>
      <c r="CT1234" s="11">
        <v>3880.0</v>
      </c>
      <c r="CU1234" s="11">
        <v>2180.0</v>
      </c>
      <c r="CV1234" s="11">
        <v>34940.0</v>
      </c>
      <c r="CW1234" s="11">
        <v>372.0</v>
      </c>
      <c r="CX1234" s="12"/>
      <c r="CY1234" s="12"/>
      <c r="CZ1234" s="12"/>
      <c r="DA1234" s="12"/>
      <c r="DB1234" s="11">
        <v>34940.0</v>
      </c>
      <c r="DC1234" s="11">
        <v>35140.0</v>
      </c>
      <c r="DD1234" s="11">
        <v>10970.0</v>
      </c>
      <c r="DE1234" s="11">
        <v>13710.0</v>
      </c>
      <c r="DF1234" s="11">
        <v>91170.0</v>
      </c>
      <c r="DG1234" s="11">
        <v>49900.0</v>
      </c>
      <c r="DH1234" s="11">
        <v>49290.0</v>
      </c>
      <c r="DI1234" s="11">
        <v>34340.0</v>
      </c>
      <c r="DJ1234" s="11">
        <v>21840.0</v>
      </c>
      <c r="DK1234" s="11">
        <v>1380.0</v>
      </c>
      <c r="DL1234" s="11">
        <v>279.0</v>
      </c>
      <c r="DM1234" s="12"/>
      <c r="DN1234" s="12"/>
      <c r="DO1234" s="12"/>
      <c r="DP1234" s="12"/>
      <c r="DQ1234" s="12"/>
      <c r="DR1234" s="11">
        <v>21040.0</v>
      </c>
      <c r="DS1234" s="11">
        <v>7980.0</v>
      </c>
      <c r="DT1234" s="11">
        <v>11860.0</v>
      </c>
      <c r="DU1234" s="13"/>
      <c r="DV1234" s="12"/>
      <c r="DW1234" s="12"/>
      <c r="DX1234" s="13"/>
      <c r="DY1234" s="11">
        <v>137480.0</v>
      </c>
      <c r="DZ1234" s="11">
        <v>8400.0</v>
      </c>
      <c r="EA1234" s="11">
        <v>-5420.0</v>
      </c>
      <c r="EB1234" s="11">
        <v>51810.0</v>
      </c>
      <c r="EC1234" s="11">
        <v>54960.0</v>
      </c>
      <c r="ED1234" s="11">
        <v>20990.0</v>
      </c>
      <c r="EE1234" s="23"/>
      <c r="EF1234" s="23"/>
      <c r="EG1234" s="14">
        <v>-24.0</v>
      </c>
      <c r="EH1234" s="14">
        <v>-5.968</v>
      </c>
    </row>
    <row r="1235">
      <c r="A1235" s="9">
        <f t="shared" si="2"/>
        <v>1233</v>
      </c>
      <c r="B1235" s="22" t="s">
        <v>1370</v>
      </c>
      <c r="C1235" s="11">
        <v>15230.0</v>
      </c>
      <c r="D1235" s="12"/>
      <c r="E1235" s="12"/>
      <c r="F1235" s="12"/>
      <c r="G1235" s="11">
        <v>425.0</v>
      </c>
      <c r="H1235" s="11">
        <v>29980.0</v>
      </c>
      <c r="I1235" s="11">
        <v>990.0</v>
      </c>
      <c r="J1235" s="11">
        <v>-219.0</v>
      </c>
      <c r="K1235" s="11">
        <v>-208.0</v>
      </c>
      <c r="L1235" s="12"/>
      <c r="M1235" s="12"/>
      <c r="N1235" s="12"/>
      <c r="O1235" s="11">
        <v>36650.0</v>
      </c>
      <c r="P1235" s="11">
        <v>25490.0</v>
      </c>
      <c r="Q1235" s="11">
        <v>20130.0</v>
      </c>
      <c r="R1235" s="11">
        <v>23640.0</v>
      </c>
      <c r="S1235" s="11">
        <v>35820.0</v>
      </c>
      <c r="T1235" s="11">
        <v>24440.0</v>
      </c>
      <c r="U1235" s="11">
        <v>13870.0</v>
      </c>
      <c r="V1235" s="11">
        <v>12230.0</v>
      </c>
      <c r="W1235" s="11">
        <v>12200.0</v>
      </c>
      <c r="X1235" s="11">
        <v>25970.0</v>
      </c>
      <c r="Y1235" s="11">
        <v>-108490.0</v>
      </c>
      <c r="Z1235" s="11">
        <v>-34500.0</v>
      </c>
      <c r="AA1235" s="11">
        <v>-29250.0</v>
      </c>
      <c r="AB1235" s="11">
        <v>2080.0</v>
      </c>
      <c r="AC1235" s="11">
        <v>-32090.0</v>
      </c>
      <c r="AD1235" s="11">
        <v>-107500.0</v>
      </c>
      <c r="AE1235" s="11">
        <v>-33690.0</v>
      </c>
      <c r="AF1235" s="11">
        <v>-29030.0</v>
      </c>
      <c r="AG1235" s="11">
        <v>1900.0</v>
      </c>
      <c r="AH1235" s="11">
        <v>-33450.0</v>
      </c>
      <c r="AI1235" s="11">
        <v>-36650.0</v>
      </c>
      <c r="AJ1235" s="11">
        <v>-25490.0</v>
      </c>
      <c r="AK1235" s="11">
        <v>-19700.0</v>
      </c>
      <c r="AL1235" s="11">
        <v>6340.0</v>
      </c>
      <c r="AM1235" s="11">
        <v>-34830.0</v>
      </c>
      <c r="AN1235" s="11">
        <v>-107500.0</v>
      </c>
      <c r="AO1235" s="11">
        <v>-33690.0</v>
      </c>
      <c r="AP1235" s="11">
        <v>-29030.0</v>
      </c>
      <c r="AQ1235" s="11">
        <v>1890.0</v>
      </c>
      <c r="AR1235" s="11">
        <v>-33450.0</v>
      </c>
      <c r="AS1235" s="11">
        <v>-37520.0</v>
      </c>
      <c r="AT1235" s="11">
        <v>-22830.0</v>
      </c>
      <c r="AU1235" s="11">
        <v>-17770.0</v>
      </c>
      <c r="AV1235" s="11">
        <v>2620.0</v>
      </c>
      <c r="AW1235" s="11">
        <v>-34530.0</v>
      </c>
      <c r="AX1235" s="11">
        <v>-136.0</v>
      </c>
      <c r="AY1235" s="11">
        <v>-2.0</v>
      </c>
      <c r="AZ1235" s="12"/>
      <c r="BA1235" s="12"/>
      <c r="BB1235" s="11">
        <v>-287.0</v>
      </c>
      <c r="BC1235" s="12"/>
      <c r="BD1235" s="12"/>
      <c r="BE1235" s="12"/>
      <c r="BF1235" s="12"/>
      <c r="BG1235" s="12"/>
      <c r="BH1235" s="11">
        <v>48120.0</v>
      </c>
      <c r="BI1235" s="11">
        <v>50420.0</v>
      </c>
      <c r="BJ1235" s="11">
        <v>14680.0</v>
      </c>
      <c r="BK1235" s="11">
        <v>25340.0</v>
      </c>
      <c r="BL1235" s="11">
        <v>36080.0</v>
      </c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1">
        <v>54450.0</v>
      </c>
      <c r="BX1235" s="11">
        <v>51760.0</v>
      </c>
      <c r="BY1235" s="11">
        <v>14980.0</v>
      </c>
      <c r="BZ1235" s="11">
        <v>25930.0</v>
      </c>
      <c r="CA1235" s="11">
        <v>36310.0</v>
      </c>
      <c r="CB1235" s="11">
        <v>238.0</v>
      </c>
      <c r="CC1235" s="11">
        <v>321.0</v>
      </c>
      <c r="CD1235" s="11">
        <v>522.0</v>
      </c>
      <c r="CE1235" s="11">
        <v>796.0</v>
      </c>
      <c r="CF1235" s="11">
        <v>407.0</v>
      </c>
      <c r="CG1235" s="11">
        <v>13060.0</v>
      </c>
      <c r="CH1235" s="11">
        <v>13060.0</v>
      </c>
      <c r="CI1235" s="11">
        <v>13060.0</v>
      </c>
      <c r="CJ1235" s="11">
        <v>16860.0</v>
      </c>
      <c r="CK1235" s="12"/>
      <c r="CL1235" s="11">
        <v>114370.0</v>
      </c>
      <c r="CM1235" s="11">
        <v>111560.0</v>
      </c>
      <c r="CN1235" s="11">
        <v>75100.0</v>
      </c>
      <c r="CO1235" s="11">
        <v>104100.0</v>
      </c>
      <c r="CP1235" s="11">
        <v>36830.0</v>
      </c>
      <c r="CQ1235" s="11">
        <v>1900.0</v>
      </c>
      <c r="CR1235" s="11">
        <v>1370.0</v>
      </c>
      <c r="CS1235" s="11">
        <v>907.0</v>
      </c>
      <c r="CT1235" s="11">
        <v>1670.0</v>
      </c>
      <c r="CU1235" s="11">
        <v>1250.0</v>
      </c>
      <c r="CV1235" s="11">
        <v>8520.0</v>
      </c>
      <c r="CW1235" s="12"/>
      <c r="CX1235" s="12"/>
      <c r="CY1235" s="12"/>
      <c r="CZ1235" s="12"/>
      <c r="DA1235" s="12"/>
      <c r="DB1235" s="11">
        <v>8520.0</v>
      </c>
      <c r="DC1235" s="11">
        <v>6110.0</v>
      </c>
      <c r="DD1235" s="11">
        <v>4720.0</v>
      </c>
      <c r="DE1235" s="11">
        <v>3980.0</v>
      </c>
      <c r="DF1235" s="11">
        <v>141070.0</v>
      </c>
      <c r="DG1235" s="11">
        <v>67350.0</v>
      </c>
      <c r="DH1235" s="11">
        <v>57060.0</v>
      </c>
      <c r="DI1235" s="11">
        <v>65420.0</v>
      </c>
      <c r="DJ1235" s="11">
        <v>17880.0</v>
      </c>
      <c r="DK1235" s="11">
        <v>20.0</v>
      </c>
      <c r="DL1235" s="11">
        <v>20.0</v>
      </c>
      <c r="DM1235" s="11">
        <v>10.0</v>
      </c>
      <c r="DN1235" s="11">
        <v>10.0</v>
      </c>
      <c r="DO1235" s="24">
        <v>94.0</v>
      </c>
      <c r="DP1235" s="12"/>
      <c r="DQ1235" s="12"/>
      <c r="DR1235" s="12"/>
      <c r="DS1235" s="12"/>
      <c r="DT1235" s="11">
        <v>9760.0</v>
      </c>
      <c r="DU1235" s="13"/>
      <c r="DV1235" s="12"/>
      <c r="DW1235" s="12"/>
      <c r="DX1235" s="13"/>
      <c r="DY1235" s="13"/>
      <c r="DZ1235" s="11">
        <v>-26700.0</v>
      </c>
      <c r="EA1235" s="11">
        <v>44210.0</v>
      </c>
      <c r="EB1235" s="11">
        <v>18030.0</v>
      </c>
      <c r="EC1235" s="11">
        <v>38680.0</v>
      </c>
      <c r="ED1235" s="11">
        <v>18940.0</v>
      </c>
      <c r="EE1235" s="23"/>
      <c r="EF1235" s="23"/>
      <c r="EG1235" s="14">
        <v>-1.667</v>
      </c>
      <c r="EH1235" s="14">
        <v>-0.101</v>
      </c>
    </row>
    <row r="1236">
      <c r="A1236" s="9">
        <f t="shared" si="2"/>
        <v>1234</v>
      </c>
      <c r="B1236" s="10" t="s">
        <v>1371</v>
      </c>
      <c r="C1236" s="11">
        <v>468200.0</v>
      </c>
      <c r="D1236" s="11">
        <v>481830.0</v>
      </c>
      <c r="E1236" s="11">
        <v>458850.0</v>
      </c>
      <c r="F1236" s="11">
        <v>418710.0</v>
      </c>
      <c r="G1236" s="11">
        <v>380880.0</v>
      </c>
      <c r="H1236" s="11">
        <v>412950.0</v>
      </c>
      <c r="I1236" s="11">
        <v>406740.0</v>
      </c>
      <c r="J1236" s="11">
        <v>208030.0</v>
      </c>
      <c r="K1236" s="11">
        <v>186090.0</v>
      </c>
      <c r="L1236" s="11">
        <v>160930.0</v>
      </c>
      <c r="M1236" s="11">
        <v>182640.0</v>
      </c>
      <c r="N1236" s="11">
        <v>207830.0</v>
      </c>
      <c r="O1236" s="11">
        <v>10200.0</v>
      </c>
      <c r="P1236" s="11">
        <v>9170.0</v>
      </c>
      <c r="Q1236" s="11">
        <v>7430.0</v>
      </c>
      <c r="R1236" s="11">
        <v>9070.0</v>
      </c>
      <c r="S1236" s="11">
        <v>6740.0</v>
      </c>
      <c r="T1236" s="12"/>
      <c r="U1236" s="12"/>
      <c r="V1236" s="12"/>
      <c r="W1236" s="12"/>
      <c r="X1236" s="12"/>
      <c r="Y1236" s="11">
        <v>195860.0</v>
      </c>
      <c r="Z1236" s="11">
        <v>139180.0</v>
      </c>
      <c r="AA1236" s="11">
        <v>149870.0</v>
      </c>
      <c r="AB1236" s="11">
        <v>163850.0</v>
      </c>
      <c r="AC1236" s="11">
        <v>-1780.0</v>
      </c>
      <c r="AD1236" s="11">
        <v>72120.0</v>
      </c>
      <c r="AE1236" s="11">
        <v>58990.0</v>
      </c>
      <c r="AF1236" s="11">
        <v>77440.0</v>
      </c>
      <c r="AG1236" s="11">
        <v>118640.0</v>
      </c>
      <c r="AH1236" s="11">
        <v>167230.0</v>
      </c>
      <c r="AI1236" s="11">
        <v>314210.0</v>
      </c>
      <c r="AJ1236" s="11">
        <v>281000.0</v>
      </c>
      <c r="AK1236" s="11">
        <v>241650.0</v>
      </c>
      <c r="AL1236" s="11">
        <v>267860.0</v>
      </c>
      <c r="AM1236" s="11">
        <v>279170.0</v>
      </c>
      <c r="AN1236" s="11">
        <v>89180.0</v>
      </c>
      <c r="AO1236" s="11">
        <v>73620.0</v>
      </c>
      <c r="AP1236" s="11">
        <v>101210.0</v>
      </c>
      <c r="AQ1236" s="11">
        <v>146410.0</v>
      </c>
      <c r="AR1236" s="11">
        <v>200830.0</v>
      </c>
      <c r="AS1236" s="11">
        <v>249710.0</v>
      </c>
      <c r="AT1236" s="11">
        <v>200980.0</v>
      </c>
      <c r="AU1236" s="11">
        <v>177800.0</v>
      </c>
      <c r="AV1236" s="11">
        <v>230070.0</v>
      </c>
      <c r="AW1236" s="11">
        <v>258400.0</v>
      </c>
      <c r="AX1236" s="11">
        <v>-250390.0</v>
      </c>
      <c r="AY1236" s="11">
        <v>-1140000.0</v>
      </c>
      <c r="AZ1236" s="11">
        <v>-81660.0</v>
      </c>
      <c r="BA1236" s="11">
        <v>-188140.0</v>
      </c>
      <c r="BB1236" s="11">
        <v>-496660.0</v>
      </c>
      <c r="BC1236" s="11">
        <v>-150660.0</v>
      </c>
      <c r="BD1236" s="11">
        <v>-149260.0</v>
      </c>
      <c r="BE1236" s="11">
        <v>-152910.0</v>
      </c>
      <c r="BF1236" s="11">
        <v>-168290.0</v>
      </c>
      <c r="BG1236" s="11">
        <v>-162590.0</v>
      </c>
      <c r="BH1236" s="11">
        <v>333280.0</v>
      </c>
      <c r="BI1236" s="11">
        <v>339370.0</v>
      </c>
      <c r="BJ1236" s="11">
        <v>279060.0</v>
      </c>
      <c r="BK1236" s="11">
        <v>213200.0</v>
      </c>
      <c r="BL1236" s="11">
        <v>306910.0</v>
      </c>
      <c r="BM1236" s="11">
        <v>47110.0</v>
      </c>
      <c r="BN1236" s="11">
        <v>57790.0</v>
      </c>
      <c r="BO1236" s="11">
        <v>31220.0</v>
      </c>
      <c r="BP1236" s="11">
        <v>32440.0</v>
      </c>
      <c r="BQ1236" s="11">
        <v>58160.0</v>
      </c>
      <c r="BR1236" s="11">
        <v>7930.0</v>
      </c>
      <c r="BS1236" s="11">
        <v>8550.0</v>
      </c>
      <c r="BT1236" s="11">
        <v>5130.0</v>
      </c>
      <c r="BU1236" s="11">
        <v>5080.0</v>
      </c>
      <c r="BV1236" s="11">
        <v>5060.0</v>
      </c>
      <c r="BW1236" s="11">
        <v>390490.0</v>
      </c>
      <c r="BX1236" s="11">
        <v>413580.0</v>
      </c>
      <c r="BY1236" s="11">
        <v>317700.0</v>
      </c>
      <c r="BZ1236" s="11">
        <v>278430.0</v>
      </c>
      <c r="CA1236" s="11">
        <v>375920.0</v>
      </c>
      <c r="CB1236" s="11">
        <v>2150000.0</v>
      </c>
      <c r="CC1236" s="11">
        <v>2310000.0</v>
      </c>
      <c r="CD1236" s="11">
        <v>1760000.0</v>
      </c>
      <c r="CE1236" s="11">
        <v>1770000.0</v>
      </c>
      <c r="CF1236" s="11">
        <v>1680000.0</v>
      </c>
      <c r="CG1236" s="11"/>
      <c r="CH1236" s="11"/>
      <c r="CI1236" s="11"/>
      <c r="CJ1236" s="11"/>
      <c r="CK1236" s="11"/>
      <c r="CL1236" s="11">
        <v>3890000.0</v>
      </c>
      <c r="CM1236" s="11">
        <v>3880000.0</v>
      </c>
      <c r="CN1236" s="11">
        <v>3010000.0</v>
      </c>
      <c r="CO1236" s="11">
        <v>2940000.0</v>
      </c>
      <c r="CP1236" s="11">
        <v>3030000.0</v>
      </c>
      <c r="CQ1236" s="11">
        <v>3450.0</v>
      </c>
      <c r="CR1236" s="11">
        <v>1950.0</v>
      </c>
      <c r="CS1236" s="11">
        <v>1340.0</v>
      </c>
      <c r="CT1236" s="11">
        <v>2080.0</v>
      </c>
      <c r="CU1236" s="11">
        <v>1250.0</v>
      </c>
      <c r="CV1236" s="11">
        <v>365840.0</v>
      </c>
      <c r="CW1236" s="11">
        <v>253060.0</v>
      </c>
      <c r="CX1236" s="11">
        <v>267150.0</v>
      </c>
      <c r="CY1236" s="11">
        <v>313820.0</v>
      </c>
      <c r="CZ1236" s="12"/>
      <c r="DA1236" s="12"/>
      <c r="DB1236" s="11">
        <v>365840.0</v>
      </c>
      <c r="DC1236" s="11">
        <v>404130.0</v>
      </c>
      <c r="DD1236" s="11">
        <v>343750.0</v>
      </c>
      <c r="DE1236" s="11">
        <v>238970.0</v>
      </c>
      <c r="DF1236" s="11">
        <v>2780000.0</v>
      </c>
      <c r="DG1236" s="11">
        <v>2700000.0</v>
      </c>
      <c r="DH1236" s="11">
        <v>1820000.0</v>
      </c>
      <c r="DI1236" s="11">
        <v>1800000.0</v>
      </c>
      <c r="DJ1236" s="11">
        <v>1790000.0</v>
      </c>
      <c r="DK1236" s="11">
        <v>983840.0</v>
      </c>
      <c r="DL1236" s="11">
        <v>1120000.0</v>
      </c>
      <c r="DM1236" s="11">
        <v>919000.0</v>
      </c>
      <c r="DN1236" s="11">
        <v>860070.0</v>
      </c>
      <c r="DO1236" s="11">
        <v>947430.0</v>
      </c>
      <c r="DP1236" s="11">
        <v>2390000.0</v>
      </c>
      <c r="DQ1236" s="11">
        <v>2270000.0</v>
      </c>
      <c r="DR1236" s="11">
        <v>1420000.0</v>
      </c>
      <c r="DS1236" s="11">
        <v>1500000.0</v>
      </c>
      <c r="DT1236" s="11">
        <v>1430000.0</v>
      </c>
      <c r="DU1236" s="13"/>
      <c r="DV1236" s="12"/>
      <c r="DW1236" s="12"/>
      <c r="DX1236" s="12"/>
      <c r="DY1236" s="12"/>
      <c r="DZ1236" s="11">
        <v>1110000.0</v>
      </c>
      <c r="EA1236" s="11">
        <v>1180000.0</v>
      </c>
      <c r="EB1236" s="11">
        <v>1190000.0</v>
      </c>
      <c r="EC1236" s="11">
        <v>1130000.0</v>
      </c>
      <c r="ED1236" s="11">
        <v>1240000.0</v>
      </c>
      <c r="EE1236" s="14">
        <v>0.027</v>
      </c>
      <c r="EF1236" s="14">
        <v>0.07</v>
      </c>
      <c r="EG1236" s="14">
        <v>-4.24</v>
      </c>
      <c r="EH1236" s="14">
        <v>-1.263</v>
      </c>
    </row>
    <row r="1237">
      <c r="A1237" s="9">
        <f t="shared" si="2"/>
        <v>1235</v>
      </c>
      <c r="B1237" s="10" t="s">
        <v>1372</v>
      </c>
      <c r="C1237" s="15">
        <v>6560000.0</v>
      </c>
      <c r="D1237" s="15">
        <v>6470000.0</v>
      </c>
      <c r="E1237" s="15">
        <v>5630000.0</v>
      </c>
      <c r="F1237" s="15">
        <v>5210000.0</v>
      </c>
      <c r="G1237" s="15">
        <v>4660000.0</v>
      </c>
      <c r="H1237" s="15">
        <v>4050000.0</v>
      </c>
      <c r="I1237" s="15">
        <v>3590000.0</v>
      </c>
      <c r="J1237" s="15">
        <v>1770000.0</v>
      </c>
      <c r="K1237" s="15">
        <v>1640000.0</v>
      </c>
      <c r="L1237" s="15">
        <v>1470000.0</v>
      </c>
      <c r="M1237" s="15">
        <v>1100000.0</v>
      </c>
      <c r="N1237" s="15">
        <v>982290.0</v>
      </c>
      <c r="O1237" s="15">
        <v>1550000.0</v>
      </c>
      <c r="P1237" s="15">
        <v>1400000.0</v>
      </c>
      <c r="Q1237" s="15">
        <v>1250000.0</v>
      </c>
      <c r="R1237" s="15">
        <v>888120.0</v>
      </c>
      <c r="S1237" s="15">
        <v>751730.0</v>
      </c>
      <c r="T1237" s="15"/>
      <c r="U1237" s="15"/>
      <c r="V1237" s="15"/>
      <c r="W1237" s="15"/>
      <c r="X1237" s="15"/>
      <c r="Y1237" s="15">
        <v>217360.0</v>
      </c>
      <c r="Z1237" s="15">
        <v>222910.0</v>
      </c>
      <c r="AA1237" s="15">
        <v>-1130.0</v>
      </c>
      <c r="AB1237" s="15">
        <v>212930.0</v>
      </c>
      <c r="AC1237" s="15">
        <v>223270.0</v>
      </c>
      <c r="AD1237" s="15">
        <v>196170.0</v>
      </c>
      <c r="AE1237" s="15">
        <v>195800.0</v>
      </c>
      <c r="AF1237" s="15">
        <v>205520.0</v>
      </c>
      <c r="AG1237" s="15">
        <v>198590.0</v>
      </c>
      <c r="AH1237" s="15">
        <v>205990.0</v>
      </c>
      <c r="AI1237" s="15">
        <v>429270.0</v>
      </c>
      <c r="AJ1237" s="15">
        <v>346690.0</v>
      </c>
      <c r="AK1237" s="15">
        <v>325200.0</v>
      </c>
      <c r="AL1237" s="15">
        <v>293880.0</v>
      </c>
      <c r="AM1237" s="15">
        <v>299890.0</v>
      </c>
      <c r="AN1237" s="15">
        <v>149630.0</v>
      </c>
      <c r="AO1237" s="15">
        <v>158540.0</v>
      </c>
      <c r="AP1237" s="15">
        <v>158440.0</v>
      </c>
      <c r="AQ1237" s="15">
        <v>124310.0</v>
      </c>
      <c r="AR1237" s="15">
        <v>128990.0</v>
      </c>
      <c r="AS1237" s="15">
        <v>443210.0</v>
      </c>
      <c r="AT1237" s="15">
        <v>294380.0</v>
      </c>
      <c r="AU1237" s="15">
        <v>309570.0</v>
      </c>
      <c r="AV1237" s="15">
        <v>254350.0</v>
      </c>
      <c r="AW1237" s="15">
        <v>239900.0</v>
      </c>
      <c r="AX1237" s="15">
        <v>-183230.0</v>
      </c>
      <c r="AY1237" s="15">
        <v>-177080.0</v>
      </c>
      <c r="AZ1237" s="15">
        <v>-198620.0</v>
      </c>
      <c r="BA1237" s="15">
        <v>-181510.0</v>
      </c>
      <c r="BB1237" s="15">
        <v>-131020.0</v>
      </c>
      <c r="BC1237" s="13"/>
      <c r="BD1237" s="13"/>
      <c r="BE1237" s="13"/>
      <c r="BF1237" s="13"/>
      <c r="BG1237" s="13"/>
      <c r="BH1237" s="15">
        <v>86780.0</v>
      </c>
      <c r="BI1237" s="15">
        <v>2250.0</v>
      </c>
      <c r="BJ1237" s="15">
        <v>19480.0</v>
      </c>
      <c r="BK1237" s="15">
        <v>12470.0</v>
      </c>
      <c r="BL1237" s="15">
        <v>136070.0</v>
      </c>
      <c r="BM1237" s="15">
        <v>15710.0</v>
      </c>
      <c r="BN1237" s="15">
        <v>40980.0</v>
      </c>
      <c r="BO1237" s="15">
        <v>25890.0</v>
      </c>
      <c r="BP1237" s="15">
        <v>27380.0</v>
      </c>
      <c r="BQ1237" s="15">
        <v>26280.0</v>
      </c>
      <c r="BR1237" s="15">
        <v>275980.0</v>
      </c>
      <c r="BS1237" s="15">
        <v>264370.0</v>
      </c>
      <c r="BT1237" s="15">
        <v>229540.0</v>
      </c>
      <c r="BU1237" s="15">
        <v>204460.0</v>
      </c>
      <c r="BV1237" s="15">
        <v>165430.0</v>
      </c>
      <c r="BW1237" s="15">
        <v>387840.0</v>
      </c>
      <c r="BX1237" s="15">
        <v>333840.0</v>
      </c>
      <c r="BY1237" s="15">
        <v>299510.0</v>
      </c>
      <c r="BZ1237" s="15">
        <v>264030.0</v>
      </c>
      <c r="CA1237" s="15">
        <v>345220.0</v>
      </c>
      <c r="CB1237" s="15">
        <v>1770000.0</v>
      </c>
      <c r="CC1237" s="15">
        <v>766430.0</v>
      </c>
      <c r="CD1237" s="15">
        <v>713030.0</v>
      </c>
      <c r="CE1237" s="15">
        <v>604660.0</v>
      </c>
      <c r="CF1237" s="15">
        <v>494070.0</v>
      </c>
      <c r="CG1237" s="15">
        <v>368080.0</v>
      </c>
      <c r="CH1237" s="15">
        <v>368080.0</v>
      </c>
      <c r="CI1237" s="15">
        <v>368080.0</v>
      </c>
      <c r="CJ1237" s="15">
        <v>368080.0</v>
      </c>
      <c r="CK1237" s="15">
        <v>368080.0</v>
      </c>
      <c r="CL1237" s="15">
        <v>2800000.0</v>
      </c>
      <c r="CM1237" s="15">
        <v>1780000.0</v>
      </c>
      <c r="CN1237" s="15">
        <v>1680000.0</v>
      </c>
      <c r="CO1237" s="15">
        <v>1580000.0</v>
      </c>
      <c r="CP1237" s="15">
        <v>1550000.0</v>
      </c>
      <c r="CQ1237" s="15">
        <v>122840.0</v>
      </c>
      <c r="CR1237" s="15">
        <v>120270.0</v>
      </c>
      <c r="CS1237" s="15">
        <v>119030.0</v>
      </c>
      <c r="CT1237" s="15">
        <v>157550.0</v>
      </c>
      <c r="CU1237" s="15">
        <v>134480.0</v>
      </c>
      <c r="CV1237" s="15">
        <v>416810.0</v>
      </c>
      <c r="CW1237" s="15">
        <v>106150.0</v>
      </c>
      <c r="CX1237" s="13"/>
      <c r="CY1237" s="15"/>
      <c r="CZ1237" s="15"/>
      <c r="DA1237" s="15"/>
      <c r="DB1237" s="15">
        <v>416810.0</v>
      </c>
      <c r="DC1237" s="15">
        <v>310000.0</v>
      </c>
      <c r="DD1237" s="15">
        <v>299710.0</v>
      </c>
      <c r="DE1237" s="15">
        <v>259160.0</v>
      </c>
      <c r="DF1237" s="15">
        <v>2220000.0</v>
      </c>
      <c r="DG1237" s="15">
        <v>1190000.0</v>
      </c>
      <c r="DH1237" s="15">
        <v>1030000.0</v>
      </c>
      <c r="DI1237" s="15">
        <v>906790.0</v>
      </c>
      <c r="DJ1237" s="15">
        <v>726700.0</v>
      </c>
      <c r="DK1237" s="12"/>
      <c r="DL1237" s="12"/>
      <c r="DM1237" s="15"/>
      <c r="DN1237" s="15"/>
      <c r="DO1237" s="15"/>
      <c r="DP1237" s="15">
        <v>1630000.0</v>
      </c>
      <c r="DQ1237" s="15">
        <v>572640.0</v>
      </c>
      <c r="DR1237" s="15">
        <v>473490.0</v>
      </c>
      <c r="DS1237" s="15">
        <v>372370.0</v>
      </c>
      <c r="DT1237" s="15">
        <v>275500.0</v>
      </c>
      <c r="DU1237" s="13"/>
      <c r="DV1237" s="12"/>
      <c r="DW1237" s="12"/>
      <c r="DX1237" s="13"/>
      <c r="DY1237" s="13"/>
      <c r="DZ1237" s="15">
        <v>581950.0</v>
      </c>
      <c r="EA1237" s="15">
        <v>589200.0</v>
      </c>
      <c r="EB1237" s="15">
        <v>650690.0</v>
      </c>
      <c r="EC1237" s="15">
        <v>672910.0</v>
      </c>
      <c r="ED1237" s="15">
        <v>822990.0</v>
      </c>
      <c r="EE1237" s="23">
        <v>0.091190108</v>
      </c>
      <c r="EF1237" s="23">
        <v>0.06554878</v>
      </c>
      <c r="EG1237" s="17">
        <v>0.583</v>
      </c>
      <c r="EH1237" s="23">
        <v>0.5655</v>
      </c>
    </row>
    <row r="1238">
      <c r="A1238" s="9">
        <f t="shared" si="2"/>
        <v>1236</v>
      </c>
      <c r="B1238" s="22" t="s">
        <v>1373</v>
      </c>
      <c r="C1238" s="11">
        <v>1720000.0</v>
      </c>
      <c r="D1238" s="11">
        <v>1160000.0</v>
      </c>
      <c r="E1238" s="11">
        <v>916710.0</v>
      </c>
      <c r="F1238" s="11">
        <v>654700.0</v>
      </c>
      <c r="G1238" s="11">
        <v>482250.0</v>
      </c>
      <c r="H1238" s="11">
        <v>418150.0</v>
      </c>
      <c r="I1238" s="11">
        <v>336800.0</v>
      </c>
      <c r="J1238" s="11">
        <v>872760.0</v>
      </c>
      <c r="K1238" s="11">
        <v>566410.0</v>
      </c>
      <c r="L1238" s="11">
        <v>428130.0</v>
      </c>
      <c r="M1238" s="11">
        <v>375830.0</v>
      </c>
      <c r="N1238" s="11">
        <v>299360.0</v>
      </c>
      <c r="O1238" s="11">
        <v>1090000.0</v>
      </c>
      <c r="P1238" s="11">
        <v>817910.0</v>
      </c>
      <c r="Q1238" s="11">
        <v>623930.0</v>
      </c>
      <c r="R1238" s="11">
        <v>518560.0</v>
      </c>
      <c r="S1238" s="11">
        <v>420310.0</v>
      </c>
      <c r="T1238" s="11">
        <v>719370.0</v>
      </c>
      <c r="U1238" s="11">
        <v>565310.0</v>
      </c>
      <c r="V1238" s="11">
        <v>456700.0</v>
      </c>
      <c r="W1238" s="11">
        <v>379310.0</v>
      </c>
      <c r="X1238" s="11">
        <v>294530.0</v>
      </c>
      <c r="Y1238" s="12"/>
      <c r="Z1238" s="11">
        <v>-260000.0</v>
      </c>
      <c r="AA1238" s="11">
        <v>-162020.0</v>
      </c>
      <c r="AB1238" s="12"/>
      <c r="AC1238" s="12"/>
      <c r="AD1238" s="11">
        <v>-158650.0</v>
      </c>
      <c r="AE1238" s="11">
        <v>-246350.0</v>
      </c>
      <c r="AF1238" s="11">
        <v>-158890.0</v>
      </c>
      <c r="AG1238" s="11">
        <v>-140110.0</v>
      </c>
      <c r="AH1238" s="11">
        <v>-120490.0</v>
      </c>
      <c r="AI1238" s="11">
        <v>-187030.0</v>
      </c>
      <c r="AJ1238" s="11">
        <v>-225470.0</v>
      </c>
      <c r="AK1238" s="11">
        <v>-171530.0</v>
      </c>
      <c r="AL1238" s="11">
        <v>-124690.0</v>
      </c>
      <c r="AM1238" s="11">
        <v>-106450.0</v>
      </c>
      <c r="AN1238" s="11">
        <v>-158650.0</v>
      </c>
      <c r="AO1238" s="11">
        <v>-222690.0</v>
      </c>
      <c r="AP1238" s="11">
        <v>-125530.0</v>
      </c>
      <c r="AQ1238" s="11">
        <v>-140110.0</v>
      </c>
      <c r="AR1238" s="11">
        <v>-120490.0</v>
      </c>
      <c r="AS1238" s="11">
        <v>-157080.0</v>
      </c>
      <c r="AT1238" s="11">
        <v>-203540.0</v>
      </c>
      <c r="AU1238" s="11">
        <v>-118900.0</v>
      </c>
      <c r="AV1238" s="11">
        <v>-96970.0</v>
      </c>
      <c r="AW1238" s="11">
        <v>-133200.0</v>
      </c>
      <c r="AX1238" s="11">
        <v>-70750.0</v>
      </c>
      <c r="AY1238" s="11">
        <v>-21220.0</v>
      </c>
      <c r="AZ1238" s="11">
        <v>-28720.0</v>
      </c>
      <c r="BA1238" s="11">
        <v>-27840.0</v>
      </c>
      <c r="BB1238" s="11">
        <v>-13390.0</v>
      </c>
      <c r="BC1238" s="12"/>
      <c r="BD1238" s="12"/>
      <c r="BE1238" s="12"/>
      <c r="BF1238" s="12"/>
      <c r="BG1238" s="12"/>
      <c r="BH1238" s="11">
        <v>811060.0</v>
      </c>
      <c r="BI1238" s="11">
        <v>410670.0</v>
      </c>
      <c r="BJ1238" s="11">
        <v>413170.0</v>
      </c>
      <c r="BK1238" s="11">
        <v>588990.0</v>
      </c>
      <c r="BL1238" s="11">
        <v>649650.0</v>
      </c>
      <c r="BM1238" s="11">
        <v>236000.0</v>
      </c>
      <c r="BN1238" s="11">
        <v>146280.0</v>
      </c>
      <c r="BO1238" s="11">
        <v>84770.0</v>
      </c>
      <c r="BP1238" s="11">
        <v>61930.0</v>
      </c>
      <c r="BQ1238" s="11">
        <v>52930.0</v>
      </c>
      <c r="BR1238" s="11">
        <v>85930.0</v>
      </c>
      <c r="BS1238" s="11">
        <v>53240.0</v>
      </c>
      <c r="BT1238" s="11">
        <v>59980.0</v>
      </c>
      <c r="BU1238" s="11">
        <v>68120.0</v>
      </c>
      <c r="BV1238" s="11">
        <v>56960.0</v>
      </c>
      <c r="BW1238" s="11">
        <v>1180000.0</v>
      </c>
      <c r="BX1238" s="11">
        <v>653600.0</v>
      </c>
      <c r="BY1238" s="11">
        <v>577060.0</v>
      </c>
      <c r="BZ1238" s="11">
        <v>734650.0</v>
      </c>
      <c r="CA1238" s="11">
        <v>771060.0</v>
      </c>
      <c r="CB1238" s="11">
        <v>220720.0</v>
      </c>
      <c r="CC1238" s="11">
        <v>103820.0</v>
      </c>
      <c r="CD1238" s="11">
        <v>103760.0</v>
      </c>
      <c r="CE1238" s="11">
        <v>62870.0</v>
      </c>
      <c r="CF1238" s="11">
        <v>49600.0</v>
      </c>
      <c r="CG1238" s="11">
        <v>274670.0</v>
      </c>
      <c r="CH1238" s="11">
        <v>274670.0</v>
      </c>
      <c r="CI1238" s="12"/>
      <c r="CJ1238" s="12"/>
      <c r="CK1238" s="12"/>
      <c r="CL1238" s="11">
        <v>2210000.0</v>
      </c>
      <c r="CM1238" s="11">
        <v>1500000.0</v>
      </c>
      <c r="CN1238" s="11">
        <v>877950.0</v>
      </c>
      <c r="CO1238" s="11">
        <v>838400.0</v>
      </c>
      <c r="CP1238" s="11">
        <v>895100.0</v>
      </c>
      <c r="CQ1238" s="11">
        <v>52290.0</v>
      </c>
      <c r="CR1238" s="11">
        <v>44180.0</v>
      </c>
      <c r="CS1238" s="11">
        <v>29360.0</v>
      </c>
      <c r="CT1238" s="11">
        <v>91000.0</v>
      </c>
      <c r="CU1238" s="11">
        <v>88030.0</v>
      </c>
      <c r="CV1238" s="11">
        <v>259360.0</v>
      </c>
      <c r="CW1238" s="11">
        <v>9450.0</v>
      </c>
      <c r="CX1238" s="12"/>
      <c r="CY1238" s="12"/>
      <c r="CZ1238" s="12"/>
      <c r="DA1238" s="12"/>
      <c r="DB1238" s="11">
        <v>259360.0</v>
      </c>
      <c r="DC1238" s="11">
        <v>225070.0</v>
      </c>
      <c r="DD1238" s="11">
        <v>167130.0</v>
      </c>
      <c r="DE1238" s="11">
        <v>148520.0</v>
      </c>
      <c r="DF1238" s="11">
        <v>329580.0</v>
      </c>
      <c r="DG1238" s="11">
        <v>229390.0</v>
      </c>
      <c r="DH1238" s="11">
        <v>200380.0</v>
      </c>
      <c r="DI1238" s="11">
        <v>204310.0</v>
      </c>
      <c r="DJ1238" s="11">
        <v>209180.0</v>
      </c>
      <c r="DK1238" s="11">
        <v>221220.0</v>
      </c>
      <c r="DL1238" s="11">
        <v>163010.0</v>
      </c>
      <c r="DM1238" s="11">
        <v>193360.0</v>
      </c>
      <c r="DN1238" s="11">
        <v>34990.0</v>
      </c>
      <c r="DO1238" s="11">
        <v>63060.0</v>
      </c>
      <c r="DP1238" s="11">
        <v>67610.0</v>
      </c>
      <c r="DQ1238" s="12"/>
      <c r="DR1238" s="12"/>
      <c r="DS1238" s="12"/>
      <c r="DT1238" s="12"/>
      <c r="DU1238" s="13"/>
      <c r="DV1238" s="12"/>
      <c r="DW1238" s="12"/>
      <c r="DX1238" s="13"/>
      <c r="DY1238" s="13"/>
      <c r="DZ1238" s="11">
        <v>1880000.0</v>
      </c>
      <c r="EA1238" s="11">
        <v>1270000.0</v>
      </c>
      <c r="EB1238" s="11">
        <v>677570.0</v>
      </c>
      <c r="EC1238" s="11">
        <v>634090.0</v>
      </c>
      <c r="ED1238" s="11">
        <v>685910.0</v>
      </c>
      <c r="EE1238" s="14">
        <v>0.138</v>
      </c>
      <c r="EF1238" s="14">
        <v>0.297</v>
      </c>
      <c r="EG1238" s="14">
        <v>0.81</v>
      </c>
      <c r="EH1238" s="14">
        <v>0.338</v>
      </c>
    </row>
    <row r="1239">
      <c r="A1239" s="9">
        <f t="shared" si="2"/>
        <v>1237</v>
      </c>
      <c r="B1239" s="22" t="s">
        <v>1374</v>
      </c>
      <c r="C1239" s="11">
        <v>120840.0</v>
      </c>
      <c r="D1239" s="11">
        <v>91910.0</v>
      </c>
      <c r="E1239" s="11">
        <v>102430.0</v>
      </c>
      <c r="F1239" s="11">
        <v>84450.0</v>
      </c>
      <c r="G1239" s="11">
        <v>36570.0</v>
      </c>
      <c r="H1239" s="11">
        <v>19390.0</v>
      </c>
      <c r="I1239" s="11">
        <v>39540.0</v>
      </c>
      <c r="J1239" s="12"/>
      <c r="K1239" s="12"/>
      <c r="L1239" s="12"/>
      <c r="M1239" s="12"/>
      <c r="N1239" s="12"/>
      <c r="O1239" s="11">
        <v>203680.0</v>
      </c>
      <c r="P1239" s="11">
        <v>157140.0</v>
      </c>
      <c r="Q1239" s="11">
        <v>91430.0</v>
      </c>
      <c r="R1239" s="11">
        <v>90950.0</v>
      </c>
      <c r="S1239" s="11">
        <v>85340.0</v>
      </c>
      <c r="T1239" s="11">
        <v>145920.0</v>
      </c>
      <c r="U1239" s="11">
        <v>114870.0</v>
      </c>
      <c r="V1239" s="11">
        <v>65730.0</v>
      </c>
      <c r="W1239" s="11">
        <v>65620.0</v>
      </c>
      <c r="X1239" s="11">
        <v>67130.0</v>
      </c>
      <c r="Y1239" s="12"/>
      <c r="Z1239" s="11">
        <v>-77150.0</v>
      </c>
      <c r="AA1239" s="12"/>
      <c r="AB1239" s="12"/>
      <c r="AC1239" s="11">
        <v>-46860.0</v>
      </c>
      <c r="AD1239" s="11">
        <v>-95420.0</v>
      </c>
      <c r="AE1239" s="11">
        <v>-68890.0</v>
      </c>
      <c r="AF1239" s="11">
        <v>-54570.0</v>
      </c>
      <c r="AG1239" s="11">
        <v>-71670.0</v>
      </c>
      <c r="AH1239" s="11">
        <v>-46430.0</v>
      </c>
      <c r="AI1239" s="11">
        <v>-101250.0</v>
      </c>
      <c r="AJ1239" s="11">
        <v>-72690.0</v>
      </c>
      <c r="AK1239" s="11">
        <v>-54860.0</v>
      </c>
      <c r="AL1239" s="11">
        <v>-71560.0</v>
      </c>
      <c r="AM1239" s="11">
        <v>-45800.0</v>
      </c>
      <c r="AN1239" s="11">
        <v>-95190.0</v>
      </c>
      <c r="AO1239" s="11">
        <v>-68330.0</v>
      </c>
      <c r="AP1239" s="11">
        <v>-54570.0</v>
      </c>
      <c r="AQ1239" s="11">
        <v>-71660.0</v>
      </c>
      <c r="AR1239" s="11">
        <v>-40700.0</v>
      </c>
      <c r="AS1239" s="11">
        <v>-144400.0</v>
      </c>
      <c r="AT1239" s="11">
        <v>37150.0</v>
      </c>
      <c r="AU1239" s="11">
        <v>11180.0</v>
      </c>
      <c r="AV1239" s="11">
        <v>-65880.0</v>
      </c>
      <c r="AW1239" s="11">
        <v>-33720.0</v>
      </c>
      <c r="AX1239" s="11">
        <v>-20680.0</v>
      </c>
      <c r="AY1239" s="11">
        <v>-43070.0</v>
      </c>
      <c r="AZ1239" s="11">
        <v>-3750.0</v>
      </c>
      <c r="BA1239" s="11">
        <v>-732.0</v>
      </c>
      <c r="BB1239" s="11">
        <v>-2410.0</v>
      </c>
      <c r="BC1239" s="12"/>
      <c r="BD1239" s="12"/>
      <c r="BE1239" s="12"/>
      <c r="BF1239" s="12"/>
      <c r="BG1239" s="12"/>
      <c r="BH1239" s="11">
        <v>362470.0</v>
      </c>
      <c r="BI1239" s="11">
        <v>400130.0</v>
      </c>
      <c r="BJ1239" s="11">
        <v>243310.0</v>
      </c>
      <c r="BK1239" s="11">
        <v>142540.0</v>
      </c>
      <c r="BL1239" s="11">
        <v>209000.0</v>
      </c>
      <c r="BM1239" s="11">
        <v>37590.0</v>
      </c>
      <c r="BN1239" s="11">
        <v>5050.0</v>
      </c>
      <c r="BO1239" s="11">
        <v>3580.0</v>
      </c>
      <c r="BP1239" s="11">
        <v>5200.0</v>
      </c>
      <c r="BQ1239" s="11">
        <v>2830.0</v>
      </c>
      <c r="BR1239" s="12"/>
      <c r="BS1239" s="12"/>
      <c r="BT1239" s="12"/>
      <c r="BU1239" s="12"/>
      <c r="BV1239" s="12"/>
      <c r="BW1239" s="11">
        <v>405470.0</v>
      </c>
      <c r="BX1239" s="11">
        <v>410520.0</v>
      </c>
      <c r="BY1239" s="11">
        <v>248400.0</v>
      </c>
      <c r="BZ1239" s="11">
        <v>149580.0</v>
      </c>
      <c r="CA1239" s="11">
        <v>212580.0</v>
      </c>
      <c r="CB1239" s="11">
        <v>107220.0</v>
      </c>
      <c r="CC1239" s="11">
        <v>78720.0</v>
      </c>
      <c r="CD1239" s="11">
        <v>31070.0</v>
      </c>
      <c r="CE1239" s="11">
        <v>6560.0</v>
      </c>
      <c r="CF1239" s="11">
        <v>2920.0</v>
      </c>
      <c r="CG1239" s="11">
        <v>39270.0</v>
      </c>
      <c r="CH1239" s="11">
        <v>40040.0</v>
      </c>
      <c r="CI1239" s="11">
        <v>1590.0</v>
      </c>
      <c r="CJ1239" s="11">
        <v>1590.0</v>
      </c>
      <c r="CK1239" s="11">
        <v>1590.0</v>
      </c>
      <c r="CL1239" s="11">
        <v>637520.0</v>
      </c>
      <c r="CM1239" s="11">
        <v>590400.0</v>
      </c>
      <c r="CN1239" s="11">
        <v>286740.0</v>
      </c>
      <c r="CO1239" s="11">
        <v>157890.0</v>
      </c>
      <c r="CP1239" s="11">
        <v>217240.0</v>
      </c>
      <c r="CQ1239" s="11">
        <v>6670.0</v>
      </c>
      <c r="CR1239" s="11">
        <v>3360.0</v>
      </c>
      <c r="CS1239" s="11">
        <v>16.0</v>
      </c>
      <c r="CT1239" s="11">
        <v>2580.0</v>
      </c>
      <c r="CU1239" s="11">
        <v>3910.0</v>
      </c>
      <c r="CV1239" s="11">
        <v>69870.0</v>
      </c>
      <c r="CW1239" s="11">
        <v>3210.0</v>
      </c>
      <c r="CX1239" s="12"/>
      <c r="CY1239" s="12"/>
      <c r="CZ1239" s="12"/>
      <c r="DA1239" s="12"/>
      <c r="DB1239" s="11">
        <v>69870.0</v>
      </c>
      <c r="DC1239" s="11">
        <v>78510.0</v>
      </c>
      <c r="DD1239" s="11">
        <v>44860.0</v>
      </c>
      <c r="DE1239" s="11">
        <v>13290.0</v>
      </c>
      <c r="DF1239" s="11">
        <v>204780.0</v>
      </c>
      <c r="DG1239" s="11">
        <v>223140.0</v>
      </c>
      <c r="DH1239" s="11">
        <v>98840.0</v>
      </c>
      <c r="DI1239" s="11">
        <v>21700.0</v>
      </c>
      <c r="DJ1239" s="11">
        <v>24800.0</v>
      </c>
      <c r="DK1239" s="11">
        <v>23330.0</v>
      </c>
      <c r="DL1239" s="11">
        <v>3500.0</v>
      </c>
      <c r="DM1239" s="11">
        <v>1010.0</v>
      </c>
      <c r="DN1239" s="12"/>
      <c r="DO1239" s="12"/>
      <c r="DP1239" s="11">
        <v>41190.0</v>
      </c>
      <c r="DQ1239" s="11">
        <v>27690.0</v>
      </c>
      <c r="DR1239" s="11">
        <v>24740.0</v>
      </c>
      <c r="DS1239" s="11">
        <v>3950.0</v>
      </c>
      <c r="DT1239" s="12"/>
      <c r="DU1239" s="13"/>
      <c r="DV1239" s="12"/>
      <c r="DW1239" s="12"/>
      <c r="DX1239" s="13"/>
      <c r="DY1239" s="13"/>
      <c r="DZ1239" s="11">
        <v>432550.0</v>
      </c>
      <c r="EA1239" s="11">
        <v>366520.0</v>
      </c>
      <c r="EB1239" s="11">
        <v>187900.0</v>
      </c>
      <c r="EC1239" s="11">
        <v>136200.0</v>
      </c>
      <c r="ED1239" s="11">
        <v>192440.0</v>
      </c>
      <c r="EE1239" s="14">
        <v>0.806</v>
      </c>
      <c r="EF1239" s="14">
        <v>0.746</v>
      </c>
      <c r="EG1239" s="14">
        <v>-4.714</v>
      </c>
      <c r="EH1239" s="14">
        <v>-0.894</v>
      </c>
    </row>
    <row r="1240">
      <c r="A1240" s="9">
        <f t="shared" si="2"/>
        <v>1238</v>
      </c>
      <c r="B1240" s="10" t="s">
        <v>1375</v>
      </c>
      <c r="C1240" s="15">
        <v>702190.0</v>
      </c>
      <c r="D1240" s="15">
        <v>526250.0</v>
      </c>
      <c r="E1240" s="15">
        <v>594520.0</v>
      </c>
      <c r="F1240" s="15">
        <v>459310.0</v>
      </c>
      <c r="G1240" s="15">
        <v>358810.0</v>
      </c>
      <c r="H1240" s="15">
        <v>268480.0</v>
      </c>
      <c r="I1240" s="15">
        <v>190590.0</v>
      </c>
      <c r="J1240" s="15">
        <v>107210.0</v>
      </c>
      <c r="K1240" s="15">
        <v>97630.0</v>
      </c>
      <c r="L1240" s="15">
        <v>83030.0</v>
      </c>
      <c r="M1240" s="15">
        <v>67920.0</v>
      </c>
      <c r="N1240" s="15">
        <v>50030.0</v>
      </c>
      <c r="O1240" s="15">
        <v>65340.0</v>
      </c>
      <c r="P1240" s="15">
        <v>52720.0</v>
      </c>
      <c r="Q1240" s="15">
        <v>39000.0</v>
      </c>
      <c r="R1240" s="15">
        <v>40080.0</v>
      </c>
      <c r="S1240" s="15">
        <v>43260.0</v>
      </c>
      <c r="T1240" s="12"/>
      <c r="U1240" s="12"/>
      <c r="V1240" s="12"/>
      <c r="W1240" s="12"/>
      <c r="X1240" s="12"/>
      <c r="Y1240" s="15">
        <v>42070.0</v>
      </c>
      <c r="Z1240" s="15">
        <v>44850.0</v>
      </c>
      <c r="AA1240" s="12"/>
      <c r="AB1240" s="15"/>
      <c r="AC1240" s="15"/>
      <c r="AD1240" s="15">
        <v>27510.0</v>
      </c>
      <c r="AE1240" s="15">
        <v>30810.0</v>
      </c>
      <c r="AF1240" s="15">
        <v>160290.0</v>
      </c>
      <c r="AG1240" s="15">
        <v>28500.0</v>
      </c>
      <c r="AH1240" s="15">
        <v>6430.0</v>
      </c>
      <c r="AI1240" s="15">
        <v>82580.0</v>
      </c>
      <c r="AJ1240" s="15">
        <v>73910.0</v>
      </c>
      <c r="AK1240" s="15">
        <v>65730.0</v>
      </c>
      <c r="AL1240" s="15">
        <v>42340.0</v>
      </c>
      <c r="AM1240" s="15">
        <v>16990.0</v>
      </c>
      <c r="AN1240" s="15">
        <v>19830.0</v>
      </c>
      <c r="AO1240" s="15">
        <v>15180.0</v>
      </c>
      <c r="AP1240" s="15">
        <v>-320.0</v>
      </c>
      <c r="AQ1240" s="15">
        <v>12450.0</v>
      </c>
      <c r="AR1240" s="15">
        <v>-8780.0</v>
      </c>
      <c r="AS1240" s="15">
        <v>126880.0</v>
      </c>
      <c r="AT1240" s="15">
        <v>85400.0</v>
      </c>
      <c r="AU1240" s="15">
        <v>70880.0</v>
      </c>
      <c r="AV1240" s="15">
        <v>54290.0</v>
      </c>
      <c r="AW1240" s="15">
        <v>41260.0</v>
      </c>
      <c r="AX1240" s="15">
        <v>-106510.0</v>
      </c>
      <c r="AY1240" s="15">
        <v>-87530.0</v>
      </c>
      <c r="AZ1240" s="15">
        <v>-61530.0</v>
      </c>
      <c r="BA1240" s="15">
        <v>-54430.0</v>
      </c>
      <c r="BB1240" s="15">
        <v>-32120.0</v>
      </c>
      <c r="BC1240" s="13"/>
      <c r="BD1240" s="13"/>
      <c r="BE1240" s="13"/>
      <c r="BF1240" s="13"/>
      <c r="BG1240" s="13">
        <v>-11130.0</v>
      </c>
      <c r="BH1240" s="15">
        <v>73610.0</v>
      </c>
      <c r="BI1240" s="15">
        <v>86860.0</v>
      </c>
      <c r="BJ1240" s="15">
        <v>84540.0</v>
      </c>
      <c r="BK1240" s="15">
        <v>75450.0</v>
      </c>
      <c r="BL1240" s="15">
        <v>71120.0</v>
      </c>
      <c r="BM1240" s="15">
        <v>9970.0</v>
      </c>
      <c r="BN1240" s="15">
        <v>10560.0</v>
      </c>
      <c r="BO1240" s="15">
        <v>5660.0</v>
      </c>
      <c r="BP1240" s="15">
        <v>6020.0</v>
      </c>
      <c r="BQ1240" s="15">
        <v>4220.0</v>
      </c>
      <c r="BR1240" s="15">
        <v>2220.0</v>
      </c>
      <c r="BS1240" s="15">
        <v>1750.0</v>
      </c>
      <c r="BT1240" s="15">
        <v>1260.0</v>
      </c>
      <c r="BU1240" s="15">
        <v>806.0</v>
      </c>
      <c r="BV1240" s="15">
        <v>543.0</v>
      </c>
      <c r="BW1240" s="15">
        <v>87680.0</v>
      </c>
      <c r="BX1240" s="15">
        <v>101120.0</v>
      </c>
      <c r="BY1240" s="15">
        <v>93200.0</v>
      </c>
      <c r="BZ1240" s="15">
        <v>83940.0</v>
      </c>
      <c r="CA1240" s="15">
        <v>78930.0</v>
      </c>
      <c r="CB1240" s="15">
        <v>589290.0</v>
      </c>
      <c r="CC1240" s="15">
        <v>261850.0</v>
      </c>
      <c r="CD1240" s="15">
        <v>187100.0</v>
      </c>
      <c r="CE1240" s="15">
        <v>136260.0</v>
      </c>
      <c r="CF1240" s="15">
        <v>93040.0</v>
      </c>
      <c r="CG1240" s="15"/>
      <c r="CH1240" s="15"/>
      <c r="CI1240" s="15"/>
      <c r="CJ1240" s="15"/>
      <c r="CK1240" s="15"/>
      <c r="CL1240" s="15">
        <v>972810.0</v>
      </c>
      <c r="CM1240" s="15">
        <v>611970.0</v>
      </c>
      <c r="CN1240" s="15">
        <v>471280.0</v>
      </c>
      <c r="CO1240" s="15">
        <v>538560.0</v>
      </c>
      <c r="CP1240" s="15">
        <v>379860.0</v>
      </c>
      <c r="CQ1240" s="15">
        <v>14300.0</v>
      </c>
      <c r="CR1240" s="15">
        <v>12470.0</v>
      </c>
      <c r="CS1240" s="15">
        <v>8210.0</v>
      </c>
      <c r="CT1240" s="15">
        <v>6920.0</v>
      </c>
      <c r="CU1240" s="15">
        <v>6790.0</v>
      </c>
      <c r="CV1240" s="15">
        <v>99390.0</v>
      </c>
      <c r="CW1240" s="15">
        <v>30000.0</v>
      </c>
      <c r="CX1240" s="13"/>
      <c r="CY1240" s="13"/>
      <c r="CZ1240" s="13"/>
      <c r="DA1240" s="12"/>
      <c r="DB1240" s="15">
        <v>99390.0</v>
      </c>
      <c r="DC1240" s="15">
        <v>59950.0</v>
      </c>
      <c r="DD1240" s="15">
        <v>34020.0</v>
      </c>
      <c r="DE1240" s="15">
        <v>31720.0</v>
      </c>
      <c r="DF1240" s="15">
        <v>650820.0</v>
      </c>
      <c r="DG1240" s="15">
        <v>338510.0</v>
      </c>
      <c r="DH1240" s="15">
        <v>246800.0</v>
      </c>
      <c r="DI1240" s="15">
        <v>337210.0</v>
      </c>
      <c r="DJ1240" s="15">
        <v>222840.0</v>
      </c>
      <c r="DK1240" s="12"/>
      <c r="DL1240" s="12"/>
      <c r="DM1240" s="15"/>
      <c r="DN1240" s="15">
        <v>639.0</v>
      </c>
      <c r="DO1240" s="15">
        <v>2110.0</v>
      </c>
      <c r="DP1240" s="15">
        <v>308560.0</v>
      </c>
      <c r="DQ1240" s="15">
        <v>20850.0</v>
      </c>
      <c r="DR1240" s="15">
        <v>14520.0</v>
      </c>
      <c r="DS1240" s="15">
        <v>2010.0</v>
      </c>
      <c r="DT1240" s="15">
        <v>313.0</v>
      </c>
      <c r="DU1240" s="13"/>
      <c r="DV1240" s="12"/>
      <c r="DW1240" s="12"/>
      <c r="DX1240" s="13"/>
      <c r="DY1240" s="13"/>
      <c r="DZ1240" s="15">
        <v>298820.0</v>
      </c>
      <c r="EA1240" s="15">
        <v>226080.0</v>
      </c>
      <c r="EB1240" s="15">
        <v>169490.0</v>
      </c>
      <c r="EC1240" s="15">
        <v>152190.0</v>
      </c>
      <c r="ED1240" s="15">
        <v>100620.0</v>
      </c>
      <c r="EE1240" s="23">
        <v>0.163230404</v>
      </c>
      <c r="EF1240" s="23">
        <v>0.349591991</v>
      </c>
      <c r="EG1240" s="17">
        <v>-0.216</v>
      </c>
      <c r="EH1240" s="17"/>
    </row>
    <row r="1241">
      <c r="A1241" s="9">
        <f t="shared" si="2"/>
        <v>1239</v>
      </c>
      <c r="B1241" s="25" t="s">
        <v>1376</v>
      </c>
      <c r="C1241" s="15">
        <v>1590000.0</v>
      </c>
      <c r="D1241" s="15">
        <v>1160000.0</v>
      </c>
      <c r="E1241" s="15">
        <v>1790000.0</v>
      </c>
      <c r="F1241" s="15">
        <v>1680000.0</v>
      </c>
      <c r="G1241" s="15">
        <v>1550000.0</v>
      </c>
      <c r="H1241" s="15">
        <v>1400000.0</v>
      </c>
      <c r="I1241" s="15">
        <v>1410000.0</v>
      </c>
      <c r="J1241" s="15">
        <v>663780.0</v>
      </c>
      <c r="K1241" s="15">
        <v>618450.0</v>
      </c>
      <c r="L1241" s="15">
        <v>557390.0</v>
      </c>
      <c r="M1241" s="15">
        <v>502590.0</v>
      </c>
      <c r="N1241" s="15">
        <v>483460.0</v>
      </c>
      <c r="O1241" s="15">
        <v>473940.0</v>
      </c>
      <c r="P1241" s="15">
        <v>441270.0</v>
      </c>
      <c r="Q1241" s="15">
        <v>412020.0</v>
      </c>
      <c r="R1241" s="15">
        <v>345150.0</v>
      </c>
      <c r="S1241" s="15">
        <v>320020.0</v>
      </c>
      <c r="T1241" s="15"/>
      <c r="U1241" s="15"/>
      <c r="V1241" s="12"/>
      <c r="W1241" s="15"/>
      <c r="X1241" s="15"/>
      <c r="Y1241" s="15">
        <v>176820.0</v>
      </c>
      <c r="Z1241" s="15">
        <v>-3760.0</v>
      </c>
      <c r="AA1241" s="15">
        <v>155580.0</v>
      </c>
      <c r="AB1241" s="15">
        <v>425.0</v>
      </c>
      <c r="AC1241" s="15">
        <v>157350.0</v>
      </c>
      <c r="AD1241" s="15">
        <v>181230.0</v>
      </c>
      <c r="AE1241" s="15">
        <v>177340.0</v>
      </c>
      <c r="AF1241" s="15">
        <v>172330.0</v>
      </c>
      <c r="AG1241" s="15">
        <v>171000.0</v>
      </c>
      <c r="AH1241" s="15">
        <v>172470.0</v>
      </c>
      <c r="AI1241" s="15">
        <v>212090.0</v>
      </c>
      <c r="AJ1241" s="15">
        <v>198930.0</v>
      </c>
      <c r="AK1241" s="15">
        <v>165780.0</v>
      </c>
      <c r="AL1241" s="15">
        <v>177300.0</v>
      </c>
      <c r="AM1241" s="15">
        <v>182830.0</v>
      </c>
      <c r="AN1241" s="15">
        <v>141310.0</v>
      </c>
      <c r="AO1241" s="15">
        <v>129140.0</v>
      </c>
      <c r="AP1241" s="15">
        <v>117950.0</v>
      </c>
      <c r="AQ1241" s="15">
        <v>120910.0</v>
      </c>
      <c r="AR1241" s="15">
        <v>112940.0</v>
      </c>
      <c r="AS1241" s="15">
        <v>233780.0</v>
      </c>
      <c r="AT1241" s="15">
        <v>154380.0</v>
      </c>
      <c r="AU1241" s="15">
        <v>157940.0</v>
      </c>
      <c r="AV1241" s="15">
        <v>153600.0</v>
      </c>
      <c r="AW1241" s="15">
        <v>134720.0</v>
      </c>
      <c r="AX1241" s="15">
        <v>-18310.0</v>
      </c>
      <c r="AY1241" s="15">
        <v>-12450.0</v>
      </c>
      <c r="AZ1241" s="15">
        <v>-14780.0</v>
      </c>
      <c r="BA1241" s="15">
        <v>-15900.0</v>
      </c>
      <c r="BB1241" s="15">
        <v>-19460.0</v>
      </c>
      <c r="BC1241" s="15">
        <v>-48430.0</v>
      </c>
      <c r="BD1241" s="15">
        <v>-47320.0</v>
      </c>
      <c r="BE1241" s="13"/>
      <c r="BF1241" s="13"/>
      <c r="BG1241" s="13"/>
      <c r="BH1241" s="15">
        <v>304620.0</v>
      </c>
      <c r="BI1241" s="15">
        <v>267000.0</v>
      </c>
      <c r="BJ1241" s="15">
        <v>245240.0</v>
      </c>
      <c r="BK1241" s="15">
        <v>165610.0</v>
      </c>
      <c r="BL1241" s="15">
        <v>104840.0</v>
      </c>
      <c r="BM1241" s="15">
        <v>254640.0</v>
      </c>
      <c r="BN1241" s="15">
        <v>266450.0</v>
      </c>
      <c r="BO1241" s="15">
        <v>240910.0</v>
      </c>
      <c r="BP1241" s="15">
        <v>200960.0</v>
      </c>
      <c r="BQ1241" s="15">
        <v>198380.0</v>
      </c>
      <c r="BR1241" s="15">
        <v>136900.0</v>
      </c>
      <c r="BS1241" s="15">
        <v>137250.0</v>
      </c>
      <c r="BT1241" s="15">
        <v>110320.0</v>
      </c>
      <c r="BU1241" s="15">
        <v>119820.0</v>
      </c>
      <c r="BV1241" s="15">
        <v>102080.0</v>
      </c>
      <c r="BW1241" s="15">
        <v>718880.0</v>
      </c>
      <c r="BX1241" s="15">
        <v>703130.0</v>
      </c>
      <c r="BY1241" s="15">
        <v>645520.0</v>
      </c>
      <c r="BZ1241" s="15">
        <v>528670.0</v>
      </c>
      <c r="CA1241" s="15">
        <v>457820.0</v>
      </c>
      <c r="CB1241" s="15">
        <v>221200.0</v>
      </c>
      <c r="CC1241" s="15">
        <v>64810.0</v>
      </c>
      <c r="CD1241" s="15">
        <v>71500.0</v>
      </c>
      <c r="CE1241" s="15">
        <v>72380.0</v>
      </c>
      <c r="CF1241" s="15">
        <v>72010.0</v>
      </c>
      <c r="CG1241" s="15">
        <v>171350.0</v>
      </c>
      <c r="CH1241" s="15">
        <v>148110.0</v>
      </c>
      <c r="CI1241" s="15">
        <v>148540.0</v>
      </c>
      <c r="CJ1241" s="15">
        <v>135710.0</v>
      </c>
      <c r="CK1241" s="15">
        <v>137100.0</v>
      </c>
      <c r="CL1241" s="15">
        <v>1350000.0</v>
      </c>
      <c r="CM1241" s="15">
        <v>1070000.0</v>
      </c>
      <c r="CN1241" s="15">
        <v>1060000.0</v>
      </c>
      <c r="CO1241" s="15">
        <v>960880.0</v>
      </c>
      <c r="CP1241" s="15">
        <v>914390.0</v>
      </c>
      <c r="CQ1241" s="15">
        <v>61710.0</v>
      </c>
      <c r="CR1241" s="15">
        <v>79800.0</v>
      </c>
      <c r="CS1241" s="15">
        <v>66960.0</v>
      </c>
      <c r="CT1241" s="15">
        <v>80580.0</v>
      </c>
      <c r="CU1241" s="15">
        <v>79790.0</v>
      </c>
      <c r="CV1241" s="15">
        <v>281270.0</v>
      </c>
      <c r="CW1241" s="15">
        <v>38620.0</v>
      </c>
      <c r="CX1241" s="15"/>
      <c r="CY1241" s="15"/>
      <c r="CZ1241" s="15"/>
      <c r="DA1241" s="15"/>
      <c r="DB1241" s="15">
        <v>281270.0</v>
      </c>
      <c r="DC1241" s="15">
        <v>224690.0</v>
      </c>
      <c r="DD1241" s="15">
        <v>206610.0</v>
      </c>
      <c r="DE1241" s="15">
        <v>183130.0</v>
      </c>
      <c r="DF1241" s="15">
        <v>506480.0</v>
      </c>
      <c r="DG1241" s="15">
        <v>257890.0</v>
      </c>
      <c r="DH1241" s="15">
        <v>248230.0</v>
      </c>
      <c r="DI1241" s="15">
        <v>219800.0</v>
      </c>
      <c r="DJ1241" s="15">
        <v>235720.0</v>
      </c>
      <c r="DK1241" s="15"/>
      <c r="DL1241" s="15"/>
      <c r="DM1241" s="15">
        <v>29520.0</v>
      </c>
      <c r="DN1241" s="15">
        <v>70560.0</v>
      </c>
      <c r="DO1241" s="15">
        <v>88470.0</v>
      </c>
      <c r="DP1241" s="15">
        <v>133170.0</v>
      </c>
      <c r="DQ1241" s="15"/>
      <c r="DR1241" s="15"/>
      <c r="DS1241" s="15"/>
      <c r="DT1241" s="15"/>
      <c r="DU1241" s="13"/>
      <c r="DV1241" s="12"/>
      <c r="DW1241" s="12"/>
      <c r="DX1241" s="13"/>
      <c r="DY1241" s="13"/>
      <c r="DZ1241" s="15">
        <v>828500.0</v>
      </c>
      <c r="EA1241" s="15">
        <v>805810.0</v>
      </c>
      <c r="EB1241" s="15">
        <v>802820.0</v>
      </c>
      <c r="EC1241" s="15">
        <v>740870.0</v>
      </c>
      <c r="ED1241" s="15">
        <v>678400.0</v>
      </c>
      <c r="EE1241" s="17">
        <v>0.078</v>
      </c>
      <c r="EF1241" s="17">
        <v>0.189</v>
      </c>
      <c r="EG1241" s="17">
        <v>0.296</v>
      </c>
      <c r="EH1241" s="17">
        <v>0.098</v>
      </c>
    </row>
    <row r="1242">
      <c r="A1242" s="9">
        <f t="shared" si="2"/>
        <v>1240</v>
      </c>
      <c r="B1242" s="25" t="s">
        <v>1377</v>
      </c>
      <c r="C1242" s="15">
        <v>1.833E7</v>
      </c>
      <c r="D1242" s="15">
        <v>1.744E7</v>
      </c>
      <c r="E1242" s="15">
        <v>1.79E7</v>
      </c>
      <c r="F1242" s="15">
        <v>1.753E7</v>
      </c>
      <c r="G1242" s="15">
        <v>1.498E7</v>
      </c>
      <c r="H1242" s="15">
        <v>1.186E7</v>
      </c>
      <c r="I1242" s="15">
        <v>1.134E7</v>
      </c>
      <c r="J1242" s="15">
        <v>7920000.0</v>
      </c>
      <c r="K1242" s="15">
        <v>7080000.0</v>
      </c>
      <c r="L1242" s="15">
        <v>6660000.0</v>
      </c>
      <c r="M1242" s="15">
        <v>5980000.0</v>
      </c>
      <c r="N1242" s="15">
        <v>5620000.0</v>
      </c>
      <c r="O1242" s="15">
        <v>5380000.0</v>
      </c>
      <c r="P1242" s="15">
        <v>5090000.0</v>
      </c>
      <c r="Q1242" s="15">
        <v>4860000.0</v>
      </c>
      <c r="R1242" s="15">
        <v>4120000.0</v>
      </c>
      <c r="S1242" s="15">
        <v>3930000.0</v>
      </c>
      <c r="T1242" s="15">
        <v>103100.0</v>
      </c>
      <c r="U1242" s="15">
        <v>51920.0</v>
      </c>
      <c r="V1242" s="15">
        <v>58470.0</v>
      </c>
      <c r="W1242" s="15">
        <v>58040.0</v>
      </c>
      <c r="X1242" s="15">
        <v>57670.0</v>
      </c>
      <c r="Y1242" s="15">
        <v>2320000.0</v>
      </c>
      <c r="Z1242" s="15">
        <v>1750000.0</v>
      </c>
      <c r="AA1242" s="15">
        <v>-2020.0</v>
      </c>
      <c r="AB1242" s="15">
        <v>1640000.0</v>
      </c>
      <c r="AC1242" s="15">
        <v>-481.0</v>
      </c>
      <c r="AD1242" s="15">
        <v>1980000.0</v>
      </c>
      <c r="AE1242" s="15">
        <v>1360000.0</v>
      </c>
      <c r="AF1242" s="15">
        <v>1470000.0</v>
      </c>
      <c r="AG1242" s="15">
        <v>1600000.0</v>
      </c>
      <c r="AH1242" s="15">
        <v>1550000.0</v>
      </c>
      <c r="AI1242" s="15">
        <v>3400000.0</v>
      </c>
      <c r="AJ1242" s="15">
        <v>2660000.0</v>
      </c>
      <c r="AK1242" s="15">
        <v>2210000.0</v>
      </c>
      <c r="AL1242" s="15">
        <v>1980000.0</v>
      </c>
      <c r="AM1242" s="15">
        <v>1810000.0</v>
      </c>
      <c r="AN1242" s="15">
        <v>1540000.0</v>
      </c>
      <c r="AO1242" s="15">
        <v>1110000.0</v>
      </c>
      <c r="AP1242" s="15">
        <v>1810000.0</v>
      </c>
      <c r="AQ1242" s="15">
        <v>1130000.0</v>
      </c>
      <c r="AR1242" s="15">
        <v>1050000.0</v>
      </c>
      <c r="AS1242" s="15">
        <v>2690000.0</v>
      </c>
      <c r="AT1242" s="15">
        <v>1940000.0</v>
      </c>
      <c r="AU1242" s="15">
        <v>1880000.0</v>
      </c>
      <c r="AV1242" s="15">
        <v>1310000.0</v>
      </c>
      <c r="AW1242" s="15">
        <v>1450000.0</v>
      </c>
      <c r="AX1242" s="15">
        <v>-328900.0</v>
      </c>
      <c r="AY1242" s="15">
        <v>-250960.0</v>
      </c>
      <c r="AZ1242" s="15">
        <v>-222770.0</v>
      </c>
      <c r="BA1242" s="15">
        <v>-239030.0</v>
      </c>
      <c r="BB1242" s="15">
        <v>-234340.0</v>
      </c>
      <c r="BC1242" s="15">
        <v>-420800.0</v>
      </c>
      <c r="BD1242" s="15">
        <v>-322930.0</v>
      </c>
      <c r="BE1242" s="15">
        <v>-319030.0</v>
      </c>
      <c r="BF1242" s="15">
        <v>-312080.0</v>
      </c>
      <c r="BG1242" s="15">
        <v>-249650.0</v>
      </c>
      <c r="BH1242" s="15">
        <v>161800.0</v>
      </c>
      <c r="BI1242" s="15">
        <v>155510.0</v>
      </c>
      <c r="BJ1242" s="15">
        <v>204210.0</v>
      </c>
      <c r="BK1242" s="15">
        <v>889790.0</v>
      </c>
      <c r="BL1242" s="15">
        <v>205740.0</v>
      </c>
      <c r="BM1242" s="15">
        <v>2140000.0</v>
      </c>
      <c r="BN1242" s="15">
        <v>2020000.0</v>
      </c>
      <c r="BO1242" s="15">
        <v>2100000.0</v>
      </c>
      <c r="BP1242" s="15">
        <v>1230000.0</v>
      </c>
      <c r="BQ1242" s="15">
        <v>1110000.0</v>
      </c>
      <c r="BR1242" s="15">
        <v>1890000.0</v>
      </c>
      <c r="BS1242" s="15">
        <v>1820000.0</v>
      </c>
      <c r="BT1242" s="15">
        <v>1740000.0</v>
      </c>
      <c r="BU1242" s="15">
        <v>1070000.0</v>
      </c>
      <c r="BV1242" s="15">
        <v>1020000.0</v>
      </c>
      <c r="BW1242" s="15">
        <v>4630000.0</v>
      </c>
      <c r="BX1242" s="15">
        <v>4340000.0</v>
      </c>
      <c r="BY1242" s="15">
        <v>4410000.0</v>
      </c>
      <c r="BZ1242" s="15">
        <v>3560000.0</v>
      </c>
      <c r="CA1242" s="15">
        <v>2660000.0</v>
      </c>
      <c r="CB1242" s="15">
        <v>3520000.0</v>
      </c>
      <c r="CC1242" s="15">
        <v>1780000.0</v>
      </c>
      <c r="CD1242" s="15">
        <v>1880000.0</v>
      </c>
      <c r="CE1242" s="15">
        <v>1100000.0</v>
      </c>
      <c r="CF1242" s="15">
        <v>1040000.0</v>
      </c>
      <c r="CG1242" s="15">
        <v>7000000.0</v>
      </c>
      <c r="CH1242" s="15">
        <v>6960000.0</v>
      </c>
      <c r="CI1242" s="15">
        <v>6810000.0</v>
      </c>
      <c r="CJ1242" s="15">
        <v>1130000.0</v>
      </c>
      <c r="CK1242" s="15">
        <v>1140000.0</v>
      </c>
      <c r="CL1242" s="15">
        <v>2.05E7</v>
      </c>
      <c r="CM1242" s="15">
        <v>1.913E7</v>
      </c>
      <c r="CN1242" s="15">
        <v>1.99E7</v>
      </c>
      <c r="CO1242" s="15">
        <v>6750000.0</v>
      </c>
      <c r="CP1242" s="15">
        <v>5780000.0</v>
      </c>
      <c r="CQ1242" s="15">
        <v>1880000.0</v>
      </c>
      <c r="CR1242" s="15">
        <v>1800000.0</v>
      </c>
      <c r="CS1242" s="15">
        <v>1790000.0</v>
      </c>
      <c r="CT1242" s="15">
        <v>1030000.0</v>
      </c>
      <c r="CU1242" s="15">
        <v>1160000.0</v>
      </c>
      <c r="CV1242" s="15">
        <v>4520000.0</v>
      </c>
      <c r="CW1242" s="15">
        <v>576300.0</v>
      </c>
      <c r="CX1242" s="15">
        <v>328400.0</v>
      </c>
      <c r="CY1242" s="15">
        <v>633730.0</v>
      </c>
      <c r="CZ1242" s="15">
        <v>40740.0</v>
      </c>
      <c r="DA1242" s="15">
        <v>39460.0</v>
      </c>
      <c r="DB1242" s="15">
        <v>4520000.0</v>
      </c>
      <c r="DC1242" s="15">
        <v>4300000.0</v>
      </c>
      <c r="DD1242" s="15">
        <v>3990000.0</v>
      </c>
      <c r="DE1242" s="15">
        <v>2830000.0</v>
      </c>
      <c r="DF1242" s="15">
        <v>1.637E7</v>
      </c>
      <c r="DG1242" s="15">
        <v>1.54E7</v>
      </c>
      <c r="DH1242" s="15">
        <v>1.625E7</v>
      </c>
      <c r="DI1242" s="15">
        <v>4870000.0</v>
      </c>
      <c r="DJ1242" s="15">
        <v>4910000.0</v>
      </c>
      <c r="DK1242" s="15">
        <v>176200.0</v>
      </c>
      <c r="DL1242" s="15">
        <v>181170.0</v>
      </c>
      <c r="DM1242" s="15">
        <v>189390.0</v>
      </c>
      <c r="DN1242" s="15">
        <v>193410.0</v>
      </c>
      <c r="DO1242" s="15">
        <v>189480.0</v>
      </c>
      <c r="DP1242" s="15">
        <v>9420000.0</v>
      </c>
      <c r="DQ1242" s="15">
        <v>8710000.0</v>
      </c>
      <c r="DR1242" s="15">
        <v>9890000.0</v>
      </c>
      <c r="DS1242" s="15">
        <v>1210000.0</v>
      </c>
      <c r="DT1242" s="15">
        <v>1910000.0</v>
      </c>
      <c r="DU1242" s="13"/>
      <c r="DV1242" s="12"/>
      <c r="DW1242" s="12"/>
      <c r="DX1242" s="13"/>
      <c r="DY1242" s="13"/>
      <c r="DZ1242" s="15">
        <v>4120000.0</v>
      </c>
      <c r="EA1242" s="15">
        <v>3730000.0</v>
      </c>
      <c r="EB1242" s="15">
        <v>3650000.0</v>
      </c>
      <c r="EC1242" s="15">
        <v>1880000.0</v>
      </c>
      <c r="ED1242" s="15">
        <v>867910.0</v>
      </c>
      <c r="EE1242" s="23">
        <v>0.087</v>
      </c>
      <c r="EF1242" s="23">
        <v>0.076</v>
      </c>
      <c r="EG1242" s="23">
        <v>0.036</v>
      </c>
      <c r="EH1242" s="23">
        <v>0.017</v>
      </c>
    </row>
    <row r="1243">
      <c r="A1243" s="9">
        <f t="shared" si="2"/>
        <v>1241</v>
      </c>
      <c r="B1243" s="10" t="s">
        <v>1378</v>
      </c>
      <c r="C1243" s="15">
        <v>2.608E7</v>
      </c>
      <c r="D1243" s="15">
        <v>2.387E7</v>
      </c>
      <c r="E1243" s="15">
        <v>2.544E7</v>
      </c>
      <c r="F1243" s="15">
        <v>2.297E7</v>
      </c>
      <c r="G1243" s="15">
        <v>1.852E7</v>
      </c>
      <c r="H1243" s="15">
        <v>1.715E7</v>
      </c>
      <c r="I1243" s="15">
        <v>1.526E7</v>
      </c>
      <c r="J1243" s="15">
        <v>7960000.0</v>
      </c>
      <c r="K1243" s="15">
        <v>6680000.0</v>
      </c>
      <c r="L1243" s="15">
        <v>4840000.0</v>
      </c>
      <c r="M1243" s="15">
        <v>4420000.0</v>
      </c>
      <c r="N1243" s="15">
        <v>3420000.0</v>
      </c>
      <c r="O1243" s="15">
        <v>2960000.0</v>
      </c>
      <c r="P1243" s="15">
        <v>2870000.0</v>
      </c>
      <c r="Q1243" s="15">
        <v>2340000.0</v>
      </c>
      <c r="R1243" s="15">
        <v>2310000.0</v>
      </c>
      <c r="S1243" s="15">
        <v>1990000.0</v>
      </c>
      <c r="T1243" s="15">
        <v>27910.0</v>
      </c>
      <c r="U1243" s="15">
        <v>36430.0</v>
      </c>
      <c r="V1243" s="15">
        <v>36900.0</v>
      </c>
      <c r="W1243" s="15">
        <v>33430.0</v>
      </c>
      <c r="X1243" s="15">
        <v>41500.0</v>
      </c>
      <c r="Y1243" s="15">
        <v>4290000.0</v>
      </c>
      <c r="Z1243" s="15">
        <v>3410000.0</v>
      </c>
      <c r="AA1243" s="15">
        <v>2230000.0</v>
      </c>
      <c r="AB1243" s="15">
        <v>1800000.0</v>
      </c>
      <c r="AC1243" s="15">
        <v>-541020.0</v>
      </c>
      <c r="AD1243" s="15">
        <v>1290000.0</v>
      </c>
      <c r="AE1243" s="15">
        <v>5320000.0</v>
      </c>
      <c r="AF1243" s="15">
        <v>411230.0</v>
      </c>
      <c r="AG1243" s="15">
        <v>-641870.0</v>
      </c>
      <c r="AH1243" s="15">
        <v>525070.0</v>
      </c>
      <c r="AI1243" s="15">
        <v>5940000.0</v>
      </c>
      <c r="AJ1243" s="15">
        <v>4900000.0</v>
      </c>
      <c r="AK1243" s="15">
        <v>3720000.0</v>
      </c>
      <c r="AL1243" s="15">
        <v>3360000.0</v>
      </c>
      <c r="AM1243" s="15">
        <v>2530000.0</v>
      </c>
      <c r="AN1243" s="15">
        <v>1790000.0</v>
      </c>
      <c r="AO1243" s="15">
        <v>5070000.0</v>
      </c>
      <c r="AP1243" s="15">
        <v>10270.0</v>
      </c>
      <c r="AQ1243" s="15">
        <v>-925190.0</v>
      </c>
      <c r="AR1243" s="15">
        <v>-1220000.0</v>
      </c>
      <c r="AS1243" s="15">
        <v>4870000.0</v>
      </c>
      <c r="AT1243" s="15">
        <v>2210000.0</v>
      </c>
      <c r="AU1243" s="15">
        <v>578570.0</v>
      </c>
      <c r="AV1243" s="15">
        <v>237010.0</v>
      </c>
      <c r="AW1243" s="15">
        <v>5100000.0</v>
      </c>
      <c r="AX1243" s="15">
        <v>-2220000.0</v>
      </c>
      <c r="AY1243" s="15">
        <v>-1320000.0</v>
      </c>
      <c r="AZ1243" s="15">
        <v>0.0</v>
      </c>
      <c r="BA1243" s="15">
        <v>-1630000.0</v>
      </c>
      <c r="BB1243" s="15">
        <v>-1620000.0</v>
      </c>
      <c r="BC1243" s="15">
        <v>-1310000.0</v>
      </c>
      <c r="BD1243" s="15">
        <v>-502000.0</v>
      </c>
      <c r="BE1243" s="16">
        <v>0.0</v>
      </c>
      <c r="BF1243" s="16">
        <v>0.0</v>
      </c>
      <c r="BG1243" s="15">
        <v>-549840.0</v>
      </c>
      <c r="BH1243" s="15">
        <v>3730000.0</v>
      </c>
      <c r="BI1243" s="15">
        <v>3150000.0</v>
      </c>
      <c r="BJ1243" s="15">
        <v>4150000.0</v>
      </c>
      <c r="BK1243" s="15">
        <v>5640000.0</v>
      </c>
      <c r="BL1243" s="15">
        <v>8750000.0</v>
      </c>
      <c r="BM1243" s="15">
        <v>3410000.0</v>
      </c>
      <c r="BN1243" s="15">
        <v>3570000.0</v>
      </c>
      <c r="BO1243" s="15">
        <v>3150000.0</v>
      </c>
      <c r="BP1243" s="15">
        <v>2780000.0</v>
      </c>
      <c r="BQ1243" s="15">
        <v>2580000.0</v>
      </c>
      <c r="BR1243" s="15">
        <v>5280000.0</v>
      </c>
      <c r="BS1243" s="15">
        <v>5040000.0</v>
      </c>
      <c r="BT1243" s="15">
        <v>4460000.0</v>
      </c>
      <c r="BU1243" s="15">
        <v>3960000.0</v>
      </c>
      <c r="BV1243" s="15">
        <v>4940000.0</v>
      </c>
      <c r="BW1243" s="15">
        <v>1.273E7</v>
      </c>
      <c r="BX1243" s="15">
        <v>1.201E7</v>
      </c>
      <c r="BY1243" s="15">
        <v>1.188E7</v>
      </c>
      <c r="BZ1243" s="15">
        <v>1.244E7</v>
      </c>
      <c r="CA1243" s="15">
        <v>1.643E7</v>
      </c>
      <c r="CB1243" s="15">
        <v>1.97E7</v>
      </c>
      <c r="CC1243" s="15">
        <v>1.805E7</v>
      </c>
      <c r="CD1243" s="15">
        <v>1.796E7</v>
      </c>
      <c r="CE1243" s="15">
        <v>1.814E7</v>
      </c>
      <c r="CF1243" s="15">
        <v>1.783E7</v>
      </c>
      <c r="CG1243" s="15">
        <v>3610000.0</v>
      </c>
      <c r="CH1243" s="15">
        <v>3590000.0</v>
      </c>
      <c r="CI1243" s="15">
        <v>3590000.0</v>
      </c>
      <c r="CJ1243" s="15">
        <v>3590000.0</v>
      </c>
      <c r="CK1243" s="15">
        <v>3600000.0</v>
      </c>
      <c r="CL1243" s="15">
        <v>5.087E7</v>
      </c>
      <c r="CM1243" s="15">
        <v>4.733E7</v>
      </c>
      <c r="CN1243" s="15">
        <v>4.521E7</v>
      </c>
      <c r="CO1243" s="15">
        <v>4.415E7</v>
      </c>
      <c r="CP1243" s="15">
        <v>4.734E7</v>
      </c>
      <c r="CQ1243" s="15">
        <v>3010000.0</v>
      </c>
      <c r="CR1243" s="15">
        <v>3470000.0</v>
      </c>
      <c r="CS1243" s="15">
        <v>2460000.0</v>
      </c>
      <c r="CT1243" s="15">
        <v>1760000.0</v>
      </c>
      <c r="CU1243" s="15">
        <v>1290000.0</v>
      </c>
      <c r="CV1243" s="15">
        <v>1.162E7</v>
      </c>
      <c r="CW1243" s="15">
        <v>5130000.0</v>
      </c>
      <c r="CX1243" s="15">
        <v>5650000.0</v>
      </c>
      <c r="CY1243" s="15">
        <v>6530000.0</v>
      </c>
      <c r="CZ1243" s="15">
        <v>2120000.0</v>
      </c>
      <c r="DA1243" s="15">
        <v>1870000.0</v>
      </c>
      <c r="DB1243" s="15">
        <v>1.162E7</v>
      </c>
      <c r="DC1243" s="15">
        <v>1.144E7</v>
      </c>
      <c r="DD1243" s="15">
        <v>1.067E7</v>
      </c>
      <c r="DE1243" s="15">
        <v>5500000.0</v>
      </c>
      <c r="DF1243" s="15">
        <v>3.951E7</v>
      </c>
      <c r="DG1243" s="15">
        <v>3.731E7</v>
      </c>
      <c r="DH1243" s="15">
        <v>3.692E7</v>
      </c>
      <c r="DI1243" s="15">
        <v>3.677E7</v>
      </c>
      <c r="DJ1243" s="15">
        <v>4.025E7</v>
      </c>
      <c r="DK1243" s="15">
        <v>4010000.0</v>
      </c>
      <c r="DL1243" s="15">
        <v>6010000.0</v>
      </c>
      <c r="DM1243" s="15">
        <v>5900000.0</v>
      </c>
      <c r="DN1243" s="15">
        <v>4960000.0</v>
      </c>
      <c r="DO1243" s="15">
        <v>4370000.0</v>
      </c>
      <c r="DP1243" s="15">
        <v>2.328E7</v>
      </c>
      <c r="DQ1243" s="15">
        <v>2.317E7</v>
      </c>
      <c r="DR1243" s="15">
        <v>2.298E7</v>
      </c>
      <c r="DS1243" s="15">
        <v>2.832E7</v>
      </c>
      <c r="DT1243" s="15">
        <v>3.241E7</v>
      </c>
      <c r="DU1243" s="16">
        <v>0.0</v>
      </c>
      <c r="DV1243" s="15">
        <v>0.0</v>
      </c>
      <c r="DW1243" s="15">
        <v>0.0</v>
      </c>
      <c r="DX1243" s="16">
        <v>0.0</v>
      </c>
      <c r="DY1243" s="16">
        <v>0.0</v>
      </c>
      <c r="DZ1243" s="15">
        <v>1.017E7</v>
      </c>
      <c r="EA1243" s="15">
        <v>8700000.0</v>
      </c>
      <c r="EB1243" s="15">
        <v>7030000.0</v>
      </c>
      <c r="EC1243" s="15">
        <v>6190000.0</v>
      </c>
      <c r="ED1243" s="15">
        <v>5960000.0</v>
      </c>
      <c r="EE1243" s="17">
        <v>0.066</v>
      </c>
      <c r="EF1243" s="17">
        <v>0.15</v>
      </c>
      <c r="EG1243" s="17">
        <v>0.665</v>
      </c>
      <c r="EH1243" s="17">
        <v>-1.341</v>
      </c>
    </row>
    <row r="1244">
      <c r="A1244" s="9">
        <f t="shared" si="2"/>
        <v>1242</v>
      </c>
      <c r="B1244" s="10" t="s">
        <v>1379</v>
      </c>
      <c r="C1244" s="11">
        <v>9.186E7</v>
      </c>
      <c r="D1244" s="11">
        <v>8.688E7</v>
      </c>
      <c r="E1244" s="11">
        <v>8.685E7</v>
      </c>
      <c r="F1244" s="11">
        <v>8.304E7</v>
      </c>
      <c r="G1244" s="11">
        <v>8.286E7</v>
      </c>
      <c r="H1244" s="11">
        <v>7.964E7</v>
      </c>
      <c r="I1244" s="11">
        <v>7.564E7</v>
      </c>
      <c r="J1244" s="11">
        <v>2.593E7</v>
      </c>
      <c r="K1244" s="11">
        <v>2.486E7</v>
      </c>
      <c r="L1244" s="11">
        <v>2.504E7</v>
      </c>
      <c r="M1244" s="11">
        <v>2.382E7</v>
      </c>
      <c r="N1244" s="11">
        <v>2.185E7</v>
      </c>
      <c r="O1244" s="11">
        <v>1.902E7</v>
      </c>
      <c r="P1244" s="11">
        <v>1.85E7</v>
      </c>
      <c r="Q1244" s="11"/>
      <c r="R1244" s="11">
        <v>1.64E7</v>
      </c>
      <c r="S1244" s="11">
        <v>1.589E7</v>
      </c>
      <c r="T1244" s="11">
        <v>5670000.0</v>
      </c>
      <c r="U1244" s="11">
        <v>5560000.0</v>
      </c>
      <c r="V1244" s="11">
        <v>5160000.0</v>
      </c>
      <c r="W1244" s="11">
        <v>4730000.0</v>
      </c>
      <c r="X1244" s="11">
        <v>4480000.0</v>
      </c>
      <c r="Y1244" s="11"/>
      <c r="Z1244" s="12"/>
      <c r="AA1244" s="12"/>
      <c r="AB1244" s="11">
        <v>7420000.0</v>
      </c>
      <c r="AC1244" s="11">
        <v>5950000.0</v>
      </c>
      <c r="AD1244" s="11">
        <v>7320000.0</v>
      </c>
      <c r="AE1244" s="11">
        <v>8050000.0</v>
      </c>
      <c r="AF1244" s="11">
        <v>8150000.0</v>
      </c>
      <c r="AG1244" s="11">
        <v>7270000.0</v>
      </c>
      <c r="AH1244" s="11">
        <v>5980000.0</v>
      </c>
      <c r="AI1244" s="11">
        <v>1.041E7</v>
      </c>
      <c r="AJ1244" s="11">
        <v>9780000.0</v>
      </c>
      <c r="AK1244" s="11"/>
      <c r="AL1244" s="11">
        <v>1.018E7</v>
      </c>
      <c r="AM1244" s="11">
        <v>8500000.0</v>
      </c>
      <c r="AN1244" s="11">
        <v>5170000.0</v>
      </c>
      <c r="AO1244" s="11">
        <v>5680000.0</v>
      </c>
      <c r="AP1244" s="11"/>
      <c r="AQ1244" s="11">
        <v>5260000.0</v>
      </c>
      <c r="AR1244" s="11">
        <v>5250000.0</v>
      </c>
      <c r="AS1244" s="11">
        <v>7330000.0</v>
      </c>
      <c r="AT1244" s="11">
        <v>7420000.0</v>
      </c>
      <c r="AU1244" s="11"/>
      <c r="AV1244" s="11">
        <v>6800000.0</v>
      </c>
      <c r="AW1244" s="11">
        <v>6020000.0</v>
      </c>
      <c r="AX1244" s="11">
        <v>-2610000.0</v>
      </c>
      <c r="AY1244" s="11">
        <v>-2600000.0</v>
      </c>
      <c r="AZ1244" s="11"/>
      <c r="BA1244" s="11">
        <v>-2140000.0</v>
      </c>
      <c r="BB1244" s="11">
        <v>-1900000.0</v>
      </c>
      <c r="BC1244" s="11">
        <v>-3060000.0</v>
      </c>
      <c r="BD1244" s="11">
        <v>-3010000.0</v>
      </c>
      <c r="BE1244" s="11">
        <v>-2910000.0</v>
      </c>
      <c r="BF1244" s="11">
        <v>-2830000.0</v>
      </c>
      <c r="BG1244" s="11">
        <v>-2730000.0</v>
      </c>
      <c r="BH1244" s="11">
        <v>1.372E7</v>
      </c>
      <c r="BI1244" s="11">
        <v>1.295E7</v>
      </c>
      <c r="BJ1244" s="11">
        <v>1.015E7</v>
      </c>
      <c r="BK1244" s="11">
        <v>1.266E7</v>
      </c>
      <c r="BL1244" s="11">
        <v>1.316E7</v>
      </c>
      <c r="BM1244" s="11">
        <v>3.82E7</v>
      </c>
      <c r="BN1244" s="11">
        <v>3.474E7</v>
      </c>
      <c r="BO1244" s="11">
        <v>3.262E7</v>
      </c>
      <c r="BP1244" s="11">
        <v>2.199E7</v>
      </c>
      <c r="BQ1244" s="11">
        <v>1.975E7</v>
      </c>
      <c r="BR1244" s="11">
        <v>1.481E7</v>
      </c>
      <c r="BS1244" s="11">
        <v>1.389E7</v>
      </c>
      <c r="BT1244" s="11">
        <v>1.389E7</v>
      </c>
      <c r="BU1244" s="11">
        <v>1.816E7</v>
      </c>
      <c r="BV1244" s="11">
        <v>1.725E7</v>
      </c>
      <c r="BW1244" s="11">
        <v>7.037E7</v>
      </c>
      <c r="BX1244" s="11">
        <v>6.457E7</v>
      </c>
      <c r="BY1244" s="11">
        <v>6.075E7</v>
      </c>
      <c r="BZ1244" s="11">
        <v>5.533E7</v>
      </c>
      <c r="CA1244" s="11">
        <v>5.144E7</v>
      </c>
      <c r="CB1244" s="11">
        <v>1.218E7</v>
      </c>
      <c r="CC1244" s="11">
        <v>1.138E7</v>
      </c>
      <c r="CD1244" s="11">
        <v>1.098E7</v>
      </c>
      <c r="CE1244" s="11">
        <v>1.016E7</v>
      </c>
      <c r="CF1244" s="11">
        <v>1.021E7</v>
      </c>
      <c r="CG1244" s="11">
        <v>3.016E7</v>
      </c>
      <c r="CH1244" s="11">
        <v>2.834E7</v>
      </c>
      <c r="CI1244" s="11">
        <v>2.791E7</v>
      </c>
      <c r="CJ1244" s="11">
        <v>2.416E7</v>
      </c>
      <c r="CK1244" s="11">
        <v>2.317E7</v>
      </c>
      <c r="CL1244" s="11">
        <v>1.5025E8</v>
      </c>
      <c r="CM1244" s="11">
        <v>1.3892E8</v>
      </c>
      <c r="CN1244" s="11">
        <v>1.3611E8</v>
      </c>
      <c r="CO1244" s="11">
        <v>1.2572E8</v>
      </c>
      <c r="CP1244" s="11">
        <v>1.2035E8</v>
      </c>
      <c r="CQ1244" s="11">
        <v>1.141E7</v>
      </c>
      <c r="CR1244" s="11">
        <v>1.072E7</v>
      </c>
      <c r="CS1244" s="11">
        <v>9760000.0</v>
      </c>
      <c r="CT1244" s="11">
        <v>8050000.0</v>
      </c>
      <c r="CU1244" s="11">
        <v>7770000.0</v>
      </c>
      <c r="CV1244" s="11">
        <v>5.072E7</v>
      </c>
      <c r="CW1244" s="11">
        <v>6020000.0</v>
      </c>
      <c r="CX1244" s="11">
        <v>5040000.0</v>
      </c>
      <c r="CY1244" s="11">
        <v>5420000.0</v>
      </c>
      <c r="CZ1244" s="11">
        <v>6190000.0</v>
      </c>
      <c r="DA1244" s="12"/>
      <c r="DB1244" s="11">
        <v>5.072E7</v>
      </c>
      <c r="DC1244" s="11">
        <v>4.787E7</v>
      </c>
      <c r="DD1244" s="11">
        <v>4.608E7</v>
      </c>
      <c r="DE1244" s="11">
        <v>4.292E7</v>
      </c>
      <c r="DF1244" s="11">
        <v>9.926E7</v>
      </c>
      <c r="DG1244" s="11">
        <v>9.087E7</v>
      </c>
      <c r="DH1244" s="11"/>
      <c r="DI1244" s="11">
        <v>9.09E7</v>
      </c>
      <c r="DJ1244" s="11">
        <v>8.529E7</v>
      </c>
      <c r="DK1244" s="11">
        <v>5570000.0</v>
      </c>
      <c r="DL1244" s="11">
        <v>4720000.0</v>
      </c>
      <c r="DM1244" s="11"/>
      <c r="DN1244" s="11">
        <v>8230000.0</v>
      </c>
      <c r="DO1244" s="11">
        <v>8030000.0</v>
      </c>
      <c r="DP1244" s="11">
        <v>3.041E7</v>
      </c>
      <c r="DQ1244" s="11">
        <v>2.712E7</v>
      </c>
      <c r="DR1244" s="11">
        <v>2.678E7</v>
      </c>
      <c r="DS1244" s="11">
        <v>2.476E7</v>
      </c>
      <c r="DT1244" s="11">
        <v>2.668E7</v>
      </c>
      <c r="DU1244" s="13"/>
      <c r="DV1244" s="13"/>
      <c r="DW1244" s="13"/>
      <c r="DX1244" s="12"/>
      <c r="DY1244" s="12"/>
      <c r="DZ1244" s="11">
        <v>4.813E7</v>
      </c>
      <c r="EA1244" s="11">
        <v>4.547E7</v>
      </c>
      <c r="EB1244" s="11">
        <v>4.318E7</v>
      </c>
      <c r="EC1244" s="11">
        <v>3.421E7</v>
      </c>
      <c r="ED1244" s="11">
        <v>3.447E7</v>
      </c>
      <c r="EE1244" s="14">
        <v>0.412</v>
      </c>
      <c r="EF1244" s="14">
        <v>0.371</v>
      </c>
      <c r="EG1244" s="14">
        <v>4.636</v>
      </c>
      <c r="EH1244" s="14"/>
    </row>
    <row r="1245">
      <c r="A1245" s="9">
        <f t="shared" si="2"/>
        <v>1243</v>
      </c>
      <c r="B1245" s="10" t="s">
        <v>1380</v>
      </c>
      <c r="C1245" s="15">
        <v>5200000.0</v>
      </c>
      <c r="D1245" s="15">
        <v>4620000.0</v>
      </c>
      <c r="E1245" s="15">
        <v>6140000.0</v>
      </c>
      <c r="F1245" s="15">
        <v>6250000.0</v>
      </c>
      <c r="G1245" s="15">
        <v>6250000.0</v>
      </c>
      <c r="H1245" s="15">
        <v>6410000.0</v>
      </c>
      <c r="I1245" s="15">
        <v>6550000.0</v>
      </c>
      <c r="J1245" s="15">
        <v>2230000.0</v>
      </c>
      <c r="K1245" s="15">
        <v>2220000.0</v>
      </c>
      <c r="L1245" s="15">
        <v>2190000.0</v>
      </c>
      <c r="M1245" s="15">
        <v>2360000.0</v>
      </c>
      <c r="N1245" s="15">
        <v>2440000.0</v>
      </c>
      <c r="O1245" s="15">
        <v>1920000.0</v>
      </c>
      <c r="P1245" s="15">
        <v>1990000.0</v>
      </c>
      <c r="Q1245" s="15">
        <v>2110000.0</v>
      </c>
      <c r="R1245" s="15">
        <v>2100000.0</v>
      </c>
      <c r="S1245" s="15">
        <v>2130000.0</v>
      </c>
      <c r="T1245" s="12"/>
      <c r="U1245" s="12"/>
      <c r="V1245" s="12"/>
      <c r="W1245" s="12"/>
      <c r="X1245" s="12"/>
      <c r="Y1245" s="15">
        <v>182000.0</v>
      </c>
      <c r="Z1245" s="15">
        <v>-806300.0</v>
      </c>
      <c r="AA1245" s="15">
        <v>321600.0</v>
      </c>
      <c r="AB1245" s="15">
        <v>482700.0</v>
      </c>
      <c r="AC1245" s="15">
        <v>-84100.0</v>
      </c>
      <c r="AD1245" s="15">
        <v>129700.0</v>
      </c>
      <c r="AE1245" s="15">
        <v>-802600.0</v>
      </c>
      <c r="AF1245" s="15">
        <v>527200.0</v>
      </c>
      <c r="AG1245" s="15">
        <v>713800.0</v>
      </c>
      <c r="AH1245" s="15">
        <v>657800.0</v>
      </c>
      <c r="AI1245" s="15">
        <v>489900.0</v>
      </c>
      <c r="AJ1245" s="15">
        <v>413400.0</v>
      </c>
      <c r="AK1245" s="15">
        <v>528600.0</v>
      </c>
      <c r="AL1245" s="15">
        <v>693600.0</v>
      </c>
      <c r="AM1245" s="15">
        <v>708500.0</v>
      </c>
      <c r="AN1245" s="15">
        <v>105500.0</v>
      </c>
      <c r="AO1245" s="15">
        <v>-657400.0</v>
      </c>
      <c r="AP1245" s="15">
        <v>519300.0</v>
      </c>
      <c r="AQ1245" s="15">
        <v>543200.0</v>
      </c>
      <c r="AR1245" s="15">
        <v>467900.0</v>
      </c>
      <c r="AS1245" s="15">
        <v>555700.0</v>
      </c>
      <c r="AT1245" s="15">
        <v>697700.0</v>
      </c>
      <c r="AU1245" s="15">
        <v>1940000.0</v>
      </c>
      <c r="AV1245" s="15">
        <v>678300.0</v>
      </c>
      <c r="AW1245" s="15">
        <v>443300.0</v>
      </c>
      <c r="AX1245" s="15">
        <v>-136300.0</v>
      </c>
      <c r="AY1245" s="15">
        <v>-133500.0</v>
      </c>
      <c r="AZ1245" s="15">
        <v>-237400.0</v>
      </c>
      <c r="BA1245" s="15">
        <v>-278000.0</v>
      </c>
      <c r="BB1245" s="15">
        <v>-226500.0</v>
      </c>
      <c r="BC1245" s="15">
        <v>-108600.0</v>
      </c>
      <c r="BD1245" s="15">
        <v>-110200.0</v>
      </c>
      <c r="BE1245" s="15">
        <v>-111200.0</v>
      </c>
      <c r="BF1245" s="15">
        <v>-75600.0</v>
      </c>
      <c r="BG1245" s="15">
        <v>-67100.0</v>
      </c>
      <c r="BH1245" s="15">
        <v>374500.0</v>
      </c>
      <c r="BI1245" s="15">
        <v>195400.0</v>
      </c>
      <c r="BJ1245" s="15">
        <v>225100.0</v>
      </c>
      <c r="BK1245" s="15">
        <v>98700.0</v>
      </c>
      <c r="BL1245" s="15">
        <v>137700.0</v>
      </c>
      <c r="BM1245" s="15">
        <v>40700.0</v>
      </c>
      <c r="BN1245" s="15">
        <v>97800.0</v>
      </c>
      <c r="BO1245" s="15">
        <v>782300.0</v>
      </c>
      <c r="BP1245" s="15">
        <v>1960000.0</v>
      </c>
      <c r="BQ1245" s="15">
        <v>1840000.0</v>
      </c>
      <c r="BR1245" s="15">
        <v>2330000.0</v>
      </c>
      <c r="BS1245" s="15">
        <v>2390000.0</v>
      </c>
      <c r="BT1245" s="15">
        <v>2280000.0</v>
      </c>
      <c r="BU1245" s="15">
        <v>2450000.0</v>
      </c>
      <c r="BV1245" s="15">
        <v>2450000.0</v>
      </c>
      <c r="BW1245" s="15">
        <v>3130000.0</v>
      </c>
      <c r="BX1245" s="15">
        <v>2830000.0</v>
      </c>
      <c r="BY1245" s="15">
        <v>3420000.0</v>
      </c>
      <c r="BZ1245" s="15">
        <v>4610000.0</v>
      </c>
      <c r="CA1245" s="15">
        <v>4560000.0</v>
      </c>
      <c r="CB1245" s="15">
        <v>2430000.0</v>
      </c>
      <c r="CC1245" s="15">
        <v>800500.0</v>
      </c>
      <c r="CD1245" s="15">
        <v>877900.0</v>
      </c>
      <c r="CE1245" s="15">
        <v>822900.0</v>
      </c>
      <c r="CF1245" s="15">
        <v>727600.0</v>
      </c>
      <c r="CG1245" s="15">
        <v>248800.0</v>
      </c>
      <c r="CH1245" s="15">
        <v>296600.0</v>
      </c>
      <c r="CI1245" s="15">
        <v>821700.0</v>
      </c>
      <c r="CJ1245" s="15">
        <v>517600.0</v>
      </c>
      <c r="CK1245" s="15">
        <v>515500.0</v>
      </c>
      <c r="CL1245" s="15">
        <v>6300000.0</v>
      </c>
      <c r="CM1245" s="15">
        <v>4420000.0</v>
      </c>
      <c r="CN1245" s="15">
        <v>5840000.0</v>
      </c>
      <c r="CO1245" s="15">
        <v>6600000.0</v>
      </c>
      <c r="CP1245" s="15">
        <v>6460000.0</v>
      </c>
      <c r="CQ1245" s="15">
        <v>227900.0</v>
      </c>
      <c r="CR1245" s="15">
        <v>153700.0</v>
      </c>
      <c r="CS1245" s="15">
        <v>237000.0</v>
      </c>
      <c r="CT1245" s="15">
        <v>255700.0</v>
      </c>
      <c r="CU1245" s="15">
        <v>269100.0</v>
      </c>
      <c r="CV1245" s="15">
        <v>1650000.0</v>
      </c>
      <c r="CW1245" s="15">
        <v>338200.0</v>
      </c>
      <c r="CX1245" s="12"/>
      <c r="CY1245" s="13"/>
      <c r="CZ1245" s="13"/>
      <c r="DA1245" s="12"/>
      <c r="DB1245" s="15">
        <v>1650000.0</v>
      </c>
      <c r="DC1245" s="15">
        <v>1030000.0</v>
      </c>
      <c r="DD1245" s="15">
        <v>1040000.0</v>
      </c>
      <c r="DE1245" s="15">
        <v>1200000.0</v>
      </c>
      <c r="DF1245" s="15">
        <v>4460000.0</v>
      </c>
      <c r="DG1245" s="15">
        <v>2600000.0</v>
      </c>
      <c r="DH1245" s="15">
        <v>2730000.0</v>
      </c>
      <c r="DI1245" s="15">
        <v>3500000.0</v>
      </c>
      <c r="DJ1245" s="15">
        <v>3400000.0</v>
      </c>
      <c r="DK1245" s="15">
        <v>20400.0</v>
      </c>
      <c r="DL1245" s="15">
        <v>16800.0</v>
      </c>
      <c r="DM1245" s="15">
        <v>27900.0</v>
      </c>
      <c r="DN1245" s="15">
        <v>27200.0</v>
      </c>
      <c r="DO1245" s="15">
        <v>26800.0</v>
      </c>
      <c r="DP1245" s="15">
        <v>1950000.0</v>
      </c>
      <c r="DQ1245" s="15">
        <v>649600.0</v>
      </c>
      <c r="DR1245" s="15">
        <v>688200.0</v>
      </c>
      <c r="DS1245" s="15">
        <v>1320000.0</v>
      </c>
      <c r="DT1245" s="15">
        <v>1320000.0</v>
      </c>
      <c r="DU1245" s="15">
        <v>617000.0</v>
      </c>
      <c r="DV1245" s="15">
        <v>615300.0</v>
      </c>
      <c r="DW1245" s="15">
        <v>613600.0</v>
      </c>
      <c r="DX1245" s="15">
        <v>611900.0</v>
      </c>
      <c r="DY1245" s="12"/>
      <c r="DZ1245" s="15">
        <v>1840000.0</v>
      </c>
      <c r="EA1245" s="15">
        <v>1820000.0</v>
      </c>
      <c r="EB1245" s="15">
        <v>3110000.0</v>
      </c>
      <c r="EC1245" s="15">
        <v>3100000.0</v>
      </c>
      <c r="ED1245" s="15">
        <v>3060000.0</v>
      </c>
      <c r="EE1245" s="17">
        <v>0.11</v>
      </c>
      <c r="EF1245" s="17">
        <v>0.244</v>
      </c>
      <c r="EG1245" s="17">
        <v>0.436</v>
      </c>
      <c r="EH1245" s="17">
        <v>0.479</v>
      </c>
    </row>
    <row r="1246">
      <c r="A1246" s="9">
        <f t="shared" si="2"/>
        <v>1244</v>
      </c>
      <c r="B1246" s="22" t="s">
        <v>1381</v>
      </c>
      <c r="C1246" s="12"/>
      <c r="D1246" s="12"/>
      <c r="E1246" s="11">
        <v>26740.0</v>
      </c>
      <c r="F1246" s="11">
        <v>477050.0</v>
      </c>
      <c r="G1246" s="11">
        <v>12270.0</v>
      </c>
      <c r="H1246" s="11">
        <v>14990.0</v>
      </c>
      <c r="I1246" s="11">
        <v>8180.0</v>
      </c>
      <c r="J1246" s="11">
        <v>24960.0</v>
      </c>
      <c r="K1246" s="11">
        <v>381780.0</v>
      </c>
      <c r="L1246" s="12"/>
      <c r="M1246" s="12"/>
      <c r="N1246" s="12"/>
      <c r="O1246" s="11">
        <v>26510.0</v>
      </c>
      <c r="P1246" s="11">
        <v>25860.0</v>
      </c>
      <c r="Q1246" s="11">
        <v>28850.0</v>
      </c>
      <c r="R1246" s="11">
        <v>32570.0</v>
      </c>
      <c r="S1246" s="11">
        <v>24470.0</v>
      </c>
      <c r="T1246" s="11">
        <v>13300.0</v>
      </c>
      <c r="U1246" s="11">
        <v>13020.0</v>
      </c>
      <c r="V1246" s="11">
        <v>16680.0</v>
      </c>
      <c r="W1246" s="11">
        <v>19710.0</v>
      </c>
      <c r="X1246" s="11">
        <v>13130.0</v>
      </c>
      <c r="Y1246" s="11">
        <v>2770.0</v>
      </c>
      <c r="Z1246" s="11">
        <v>348180.0</v>
      </c>
      <c r="AA1246" s="11">
        <v>-23590.0</v>
      </c>
      <c r="AB1246" s="11">
        <v>-23960.0</v>
      </c>
      <c r="AC1246" s="11">
        <v>-38760.0</v>
      </c>
      <c r="AD1246" s="11">
        <v>-10180.0</v>
      </c>
      <c r="AE1246" s="11">
        <v>411640.0</v>
      </c>
      <c r="AF1246" s="11">
        <v>-38330.0</v>
      </c>
      <c r="AG1246" s="11">
        <v>-39680.0</v>
      </c>
      <c r="AH1246" s="11">
        <v>-38990.0</v>
      </c>
      <c r="AI1246" s="11">
        <v>-1750.0</v>
      </c>
      <c r="AJ1246" s="11">
        <v>355200.0</v>
      </c>
      <c r="AK1246" s="11">
        <v>-17490.0</v>
      </c>
      <c r="AL1246" s="11">
        <v>-18490.0</v>
      </c>
      <c r="AM1246" s="11">
        <v>-16300.0</v>
      </c>
      <c r="AN1246" s="11">
        <v>-7240.0</v>
      </c>
      <c r="AO1246" s="11">
        <v>421810.0</v>
      </c>
      <c r="AP1246" s="11">
        <v>-36240.0</v>
      </c>
      <c r="AQ1246" s="11">
        <v>-39700.0</v>
      </c>
      <c r="AR1246" s="11">
        <v>-39450.0</v>
      </c>
      <c r="AS1246" s="11">
        <v>-18200.0</v>
      </c>
      <c r="AT1246" s="11">
        <v>68870.0</v>
      </c>
      <c r="AU1246" s="11">
        <v>-8160.0</v>
      </c>
      <c r="AV1246" s="11">
        <v>-115590.0</v>
      </c>
      <c r="AW1246" s="11">
        <v>11110.0</v>
      </c>
      <c r="AX1246" s="11">
        <v>-29.0</v>
      </c>
      <c r="AY1246" s="11">
        <v>-102.0</v>
      </c>
      <c r="AZ1246" s="11">
        <v>-100.0</v>
      </c>
      <c r="BA1246" s="11">
        <v>-24.0</v>
      </c>
      <c r="BB1246" s="11">
        <v>-109.0</v>
      </c>
      <c r="BC1246" s="12"/>
      <c r="BD1246" s="12"/>
      <c r="BE1246" s="12"/>
      <c r="BF1246" s="12"/>
      <c r="BG1246" s="12"/>
      <c r="BH1246" s="11">
        <v>160990.0</v>
      </c>
      <c r="BI1246" s="11">
        <v>112100.0</v>
      </c>
      <c r="BJ1246" s="11">
        <v>30560.0</v>
      </c>
      <c r="BK1246" s="11">
        <v>38840.0</v>
      </c>
      <c r="BL1246" s="11">
        <v>112710.0</v>
      </c>
      <c r="BM1246" s="11">
        <v>4170.0</v>
      </c>
      <c r="BN1246" s="11">
        <v>1960.0</v>
      </c>
      <c r="BO1246" s="11">
        <v>1800.0</v>
      </c>
      <c r="BP1246" s="11">
        <v>3150.0</v>
      </c>
      <c r="BQ1246" s="11">
        <v>3680.0</v>
      </c>
      <c r="BR1246" s="11">
        <v>9650.0</v>
      </c>
      <c r="BS1246" s="11">
        <v>2910.0</v>
      </c>
      <c r="BT1246" s="11">
        <v>2980.0</v>
      </c>
      <c r="BU1246" s="11">
        <v>26210.0</v>
      </c>
      <c r="BV1246" s="11">
        <v>12450.0</v>
      </c>
      <c r="BW1246" s="11">
        <v>180040.0</v>
      </c>
      <c r="BX1246" s="11">
        <v>121290.0</v>
      </c>
      <c r="BY1246" s="11">
        <v>37360.0</v>
      </c>
      <c r="BZ1246" s="11">
        <v>69160.0</v>
      </c>
      <c r="CA1246" s="11">
        <v>129460.0</v>
      </c>
      <c r="CB1246" s="11">
        <v>2620.0</v>
      </c>
      <c r="CC1246" s="11">
        <v>171.0</v>
      </c>
      <c r="CD1246" s="11">
        <v>139.0</v>
      </c>
      <c r="CE1246" s="11">
        <v>299.0</v>
      </c>
      <c r="CF1246" s="11">
        <v>450.0</v>
      </c>
      <c r="CG1246" s="11">
        <v>898.0</v>
      </c>
      <c r="CH1246" s="11">
        <v>898.0</v>
      </c>
      <c r="CI1246" s="11">
        <v>898.0</v>
      </c>
      <c r="CJ1246" s="11">
        <v>898.0</v>
      </c>
      <c r="CK1246" s="11">
        <v>898.0</v>
      </c>
      <c r="CL1246" s="11">
        <v>199300.0</v>
      </c>
      <c r="CM1246" s="11">
        <v>203920.0</v>
      </c>
      <c r="CN1246" s="11">
        <v>167480.0</v>
      </c>
      <c r="CO1246" s="11">
        <v>187820.0</v>
      </c>
      <c r="CP1246" s="11">
        <v>204890.0</v>
      </c>
      <c r="CQ1246" s="11">
        <v>3050.0</v>
      </c>
      <c r="CR1246" s="11">
        <v>1690.0</v>
      </c>
      <c r="CS1246" s="11">
        <v>1330.0</v>
      </c>
      <c r="CT1246" s="11">
        <v>2520.0</v>
      </c>
      <c r="CU1246" s="11">
        <v>3940.0</v>
      </c>
      <c r="CV1246" s="11">
        <v>91740.0</v>
      </c>
      <c r="CW1246" s="11">
        <v>420.0</v>
      </c>
      <c r="CX1246" s="12"/>
      <c r="CY1246" s="12"/>
      <c r="CZ1246" s="12"/>
      <c r="DA1246" s="12"/>
      <c r="DB1246" s="11">
        <v>91740.0</v>
      </c>
      <c r="DC1246" s="11">
        <v>11340.0</v>
      </c>
      <c r="DD1246" s="11">
        <v>6810.0</v>
      </c>
      <c r="DE1246" s="11">
        <v>13830.0</v>
      </c>
      <c r="DF1246" s="11">
        <v>101520.0</v>
      </c>
      <c r="DG1246" s="11">
        <v>101010.0</v>
      </c>
      <c r="DH1246" s="11">
        <v>490620.0</v>
      </c>
      <c r="DI1246" s="11">
        <v>475240.0</v>
      </c>
      <c r="DJ1246" s="11">
        <v>489320.0</v>
      </c>
      <c r="DK1246" s="12"/>
      <c r="DL1246" s="11">
        <v>68290.0</v>
      </c>
      <c r="DM1246" s="11">
        <v>6540.0</v>
      </c>
      <c r="DN1246" s="11">
        <v>17330.0</v>
      </c>
      <c r="DO1246" s="11">
        <v>1300.0</v>
      </c>
      <c r="DP1246" s="11">
        <v>2400.0</v>
      </c>
      <c r="DQ1246" s="11">
        <v>75550.0</v>
      </c>
      <c r="DR1246" s="11">
        <v>71050.0</v>
      </c>
      <c r="DS1246" s="11">
        <v>66550.0</v>
      </c>
      <c r="DT1246" s="12"/>
      <c r="DU1246" s="13"/>
      <c r="DV1246" s="12"/>
      <c r="DW1246" s="12"/>
      <c r="DX1246" s="13"/>
      <c r="DY1246" s="13"/>
      <c r="DZ1246" s="11">
        <v>97780.0</v>
      </c>
      <c r="EA1246" s="11">
        <v>102910.0</v>
      </c>
      <c r="EB1246" s="11">
        <v>-323140.0</v>
      </c>
      <c r="EC1246" s="11">
        <v>-287420.0</v>
      </c>
      <c r="ED1246" s="11">
        <v>-284430.0</v>
      </c>
      <c r="EE1246" s="23"/>
      <c r="EF1246" s="23"/>
      <c r="EG1246" s="23" t="s">
        <v>155</v>
      </c>
      <c r="EH1246" s="23"/>
    </row>
    <row r="1247">
      <c r="A1247" s="9">
        <f t="shared" si="2"/>
        <v>1245</v>
      </c>
      <c r="B1247" s="10" t="s">
        <v>1382</v>
      </c>
      <c r="C1247" s="12"/>
      <c r="D1247" s="15">
        <v>140000.0</v>
      </c>
      <c r="E1247" s="15">
        <v>65910.0</v>
      </c>
      <c r="F1247" s="15">
        <v>134410.0</v>
      </c>
      <c r="G1247" s="15">
        <v>227250.0</v>
      </c>
      <c r="H1247" s="15">
        <v>188310.0</v>
      </c>
      <c r="I1247" s="15">
        <v>199190.0</v>
      </c>
      <c r="J1247" s="15">
        <v>16260.0</v>
      </c>
      <c r="K1247" s="15">
        <v>44570.0</v>
      </c>
      <c r="L1247" s="15">
        <v>111440.0</v>
      </c>
      <c r="M1247" s="15">
        <v>94030.0</v>
      </c>
      <c r="N1247" s="15">
        <v>106600.0</v>
      </c>
      <c r="O1247" s="15">
        <v>73930.0</v>
      </c>
      <c r="P1247" s="15">
        <v>70520.0</v>
      </c>
      <c r="Q1247" s="15">
        <v>110800.0</v>
      </c>
      <c r="R1247" s="15">
        <v>108000.0</v>
      </c>
      <c r="S1247" s="15">
        <v>112800.0</v>
      </c>
      <c r="T1247" s="15">
        <v>44460.0</v>
      </c>
      <c r="U1247" s="15">
        <v>46380.0</v>
      </c>
      <c r="V1247" s="15">
        <v>68780.0</v>
      </c>
      <c r="W1247" s="15">
        <v>66060.0</v>
      </c>
      <c r="X1247" s="15">
        <v>71620.0</v>
      </c>
      <c r="Y1247" s="15">
        <v>-117350.0</v>
      </c>
      <c r="Z1247" s="15">
        <v>-2030.0</v>
      </c>
      <c r="AA1247" s="15">
        <v>-1540.0</v>
      </c>
      <c r="AB1247" s="15">
        <v>-18480.0</v>
      </c>
      <c r="AC1247" s="15">
        <v>-10010.0</v>
      </c>
      <c r="AD1247" s="15">
        <v>-119820.0</v>
      </c>
      <c r="AE1247" s="15">
        <v>-27700.0</v>
      </c>
      <c r="AF1247" s="15">
        <v>7350.0</v>
      </c>
      <c r="AG1247" s="15">
        <v>-16710.0</v>
      </c>
      <c r="AH1247" s="15">
        <v>-8100.0</v>
      </c>
      <c r="AI1247" s="15">
        <v>-96000.0</v>
      </c>
      <c r="AJ1247" s="15">
        <v>-10160.0</v>
      </c>
      <c r="AK1247" s="15">
        <v>22610.0</v>
      </c>
      <c r="AL1247" s="15">
        <v>7740.0</v>
      </c>
      <c r="AM1247" s="15">
        <v>13960.0</v>
      </c>
      <c r="AN1247" s="15">
        <v>-119100.0</v>
      </c>
      <c r="AO1247" s="15">
        <v>-33450.0</v>
      </c>
      <c r="AP1247" s="15">
        <v>0.0</v>
      </c>
      <c r="AQ1247" s="15">
        <v>-21700.0</v>
      </c>
      <c r="AR1247" s="15">
        <v>-11050.0</v>
      </c>
      <c r="AS1247" s="15">
        <v>-20390.0</v>
      </c>
      <c r="AT1247" s="15">
        <v>11720.0</v>
      </c>
      <c r="AU1247" s="15">
        <v>0.0</v>
      </c>
      <c r="AV1247" s="15">
        <v>15680.0</v>
      </c>
      <c r="AW1247" s="15">
        <v>21430.0</v>
      </c>
      <c r="AX1247" s="15">
        <v>-19310.0</v>
      </c>
      <c r="AY1247" s="15">
        <v>-18990.0</v>
      </c>
      <c r="AZ1247" s="15">
        <v>-14060.0</v>
      </c>
      <c r="BA1247" s="15">
        <v>-12330.0</v>
      </c>
      <c r="BB1247" s="15">
        <v>-21860.0</v>
      </c>
      <c r="BC1247" s="15">
        <v>0.0</v>
      </c>
      <c r="BD1247" s="15">
        <v>0.0</v>
      </c>
      <c r="BE1247" s="15">
        <v>0.0</v>
      </c>
      <c r="BF1247" s="15">
        <v>0.0</v>
      </c>
      <c r="BG1247" s="15">
        <v>0.0</v>
      </c>
      <c r="BH1247" s="15">
        <v>38630.0</v>
      </c>
      <c r="BI1247" s="15">
        <v>69210.0</v>
      </c>
      <c r="BJ1247" s="15">
        <v>69500.0</v>
      </c>
      <c r="BK1247" s="15">
        <v>90250.0</v>
      </c>
      <c r="BL1247" s="15">
        <v>73890.0</v>
      </c>
      <c r="BM1247" s="15">
        <v>9720.0</v>
      </c>
      <c r="BN1247" s="15">
        <v>19990.0</v>
      </c>
      <c r="BO1247" s="15">
        <v>30360.0</v>
      </c>
      <c r="BP1247" s="15">
        <v>27000.0</v>
      </c>
      <c r="BQ1247" s="15">
        <v>29320.0</v>
      </c>
      <c r="BR1247" s="15">
        <v>3040.0</v>
      </c>
      <c r="BS1247" s="15">
        <v>9460.0</v>
      </c>
      <c r="BT1247" s="15">
        <v>30430.0</v>
      </c>
      <c r="BU1247" s="15">
        <v>22120.0</v>
      </c>
      <c r="BV1247" s="15">
        <v>22070.0</v>
      </c>
      <c r="BW1247" s="15">
        <v>80050.0</v>
      </c>
      <c r="BX1247" s="15">
        <v>133530.0</v>
      </c>
      <c r="BY1247" s="15">
        <v>140650.0</v>
      </c>
      <c r="BZ1247" s="15">
        <v>149230.0</v>
      </c>
      <c r="CA1247" s="15">
        <v>134160.0</v>
      </c>
      <c r="CB1247" s="15">
        <v>4340.0</v>
      </c>
      <c r="CC1247" s="15">
        <v>11260.0</v>
      </c>
      <c r="CD1247" s="15">
        <v>14090.0</v>
      </c>
      <c r="CE1247" s="15">
        <v>21590.0</v>
      </c>
      <c r="CF1247" s="15">
        <v>27090.0</v>
      </c>
      <c r="CG1247" s="15">
        <v>0.0</v>
      </c>
      <c r="CH1247" s="15">
        <v>10590.0</v>
      </c>
      <c r="CI1247" s="15">
        <v>11070.0</v>
      </c>
      <c r="CJ1247" s="15">
        <v>0.0</v>
      </c>
      <c r="CK1247" s="15">
        <v>0.0</v>
      </c>
      <c r="CL1247" s="15">
        <v>96100.0</v>
      </c>
      <c r="CM1247" s="15">
        <v>201810.0</v>
      </c>
      <c r="CN1247" s="15">
        <v>216670.0</v>
      </c>
      <c r="CO1247" s="15">
        <v>205330.0</v>
      </c>
      <c r="CP1247" s="15">
        <v>215780.0</v>
      </c>
      <c r="CQ1247" s="15">
        <v>9330.0</v>
      </c>
      <c r="CR1247" s="15">
        <v>8310.0</v>
      </c>
      <c r="CS1247" s="15">
        <v>26180.0</v>
      </c>
      <c r="CT1247" s="15">
        <v>21210.0</v>
      </c>
      <c r="CU1247" s="15">
        <v>16180.0</v>
      </c>
      <c r="CV1247" s="15">
        <v>37060.0</v>
      </c>
      <c r="CW1247" s="15">
        <v>0.0</v>
      </c>
      <c r="CX1247" s="15">
        <v>0.0</v>
      </c>
      <c r="CY1247" s="15">
        <v>0.0</v>
      </c>
      <c r="CZ1247" s="15">
        <v>0.0</v>
      </c>
      <c r="DA1247" s="15">
        <v>0.0</v>
      </c>
      <c r="DB1247" s="15">
        <v>37060.0</v>
      </c>
      <c r="DC1247" s="15">
        <v>35960.0</v>
      </c>
      <c r="DD1247" s="15">
        <v>48170.0</v>
      </c>
      <c r="DE1247" s="15">
        <v>50910.0</v>
      </c>
      <c r="DF1247" s="15">
        <v>55980.0</v>
      </c>
      <c r="DG1247" s="15">
        <v>58260.0</v>
      </c>
      <c r="DH1247" s="15">
        <v>63860.0</v>
      </c>
      <c r="DI1247" s="15">
        <v>62040.0</v>
      </c>
      <c r="DJ1247" s="15">
        <v>57380.0</v>
      </c>
      <c r="DK1247" s="15">
        <v>0.0</v>
      </c>
      <c r="DL1247" s="15">
        <v>2000.0</v>
      </c>
      <c r="DM1247" s="15">
        <v>6410.0</v>
      </c>
      <c r="DN1247" s="15">
        <v>7520.0</v>
      </c>
      <c r="DO1247" s="15">
        <v>19380.0</v>
      </c>
      <c r="DP1247" s="15">
        <v>0.0</v>
      </c>
      <c r="DQ1247" s="15">
        <v>0.0</v>
      </c>
      <c r="DR1247" s="15">
        <v>0.0</v>
      </c>
      <c r="DS1247" s="15">
        <v>0.0</v>
      </c>
      <c r="DT1247" s="15">
        <v>0.0</v>
      </c>
      <c r="DU1247" s="15">
        <v>0.0</v>
      </c>
      <c r="DV1247" s="15">
        <v>0.0</v>
      </c>
      <c r="DW1247" s="15">
        <v>0.0</v>
      </c>
      <c r="DX1247" s="15">
        <v>0.0</v>
      </c>
      <c r="DY1247" s="15">
        <v>0.0</v>
      </c>
      <c r="DZ1247" s="15">
        <v>40120.0</v>
      </c>
      <c r="EA1247" s="15">
        <v>143550.0</v>
      </c>
      <c r="EB1247" s="15">
        <v>152810.0</v>
      </c>
      <c r="EC1247" s="15">
        <v>143290.0</v>
      </c>
      <c r="ED1247" s="15">
        <v>158390.0</v>
      </c>
      <c r="EE1247" s="17">
        <v>0.0</v>
      </c>
      <c r="EF1247" s="23"/>
      <c r="EG1247" s="17">
        <v>-1.714</v>
      </c>
      <c r="EH1247" s="17">
        <v>-0.696</v>
      </c>
    </row>
    <row r="1248">
      <c r="A1248" s="9">
        <f t="shared" si="2"/>
        <v>1246</v>
      </c>
      <c r="B1248" s="22" t="s">
        <v>1383</v>
      </c>
      <c r="C1248" s="11">
        <v>117040.0</v>
      </c>
      <c r="D1248" s="11">
        <v>76930.0</v>
      </c>
      <c r="E1248" s="11">
        <v>63350.0</v>
      </c>
      <c r="F1248" s="11">
        <v>34560.0</v>
      </c>
      <c r="G1248" s="11">
        <v>14260.0</v>
      </c>
      <c r="H1248" s="12"/>
      <c r="I1248" s="12"/>
      <c r="J1248" s="11">
        <v>47430.0</v>
      </c>
      <c r="K1248" s="11">
        <v>23680.0</v>
      </c>
      <c r="L1248" s="11">
        <v>9130.0</v>
      </c>
      <c r="M1248" s="12"/>
      <c r="N1248" s="12"/>
      <c r="O1248" s="11">
        <v>75490.0</v>
      </c>
      <c r="P1248" s="11">
        <v>45080.0</v>
      </c>
      <c r="Q1248" s="11">
        <v>27500.0</v>
      </c>
      <c r="R1248" s="12"/>
      <c r="S1248" s="12"/>
      <c r="T1248" s="11">
        <v>12270.0</v>
      </c>
      <c r="U1248" s="11">
        <v>10260.0</v>
      </c>
      <c r="V1248" s="11">
        <v>7240.0</v>
      </c>
      <c r="W1248" s="12"/>
      <c r="X1248" s="12"/>
      <c r="Y1248" s="11">
        <v>-49100.0</v>
      </c>
      <c r="Z1248" s="11">
        <v>11910.0</v>
      </c>
      <c r="AA1248" s="11">
        <v>-21330.0</v>
      </c>
      <c r="AB1248" s="12"/>
      <c r="AC1248" s="12"/>
      <c r="AD1248" s="11">
        <v>-52420.0</v>
      </c>
      <c r="AE1248" s="11">
        <v>-37630.0</v>
      </c>
      <c r="AF1248" s="11">
        <v>-19360.0</v>
      </c>
      <c r="AG1248" s="12"/>
      <c r="AH1248" s="12"/>
      <c r="AI1248" s="11">
        <v>-26770.0</v>
      </c>
      <c r="AJ1248" s="11">
        <v>-20880.0</v>
      </c>
      <c r="AK1248" s="11">
        <v>-18250.0</v>
      </c>
      <c r="AL1248" s="12"/>
      <c r="AM1248" s="12"/>
      <c r="AN1248" s="11">
        <v>-52420.0</v>
      </c>
      <c r="AO1248" s="11">
        <v>-37630.0</v>
      </c>
      <c r="AP1248" s="11">
        <v>-19360.0</v>
      </c>
      <c r="AQ1248" s="12"/>
      <c r="AR1248" s="12"/>
      <c r="AS1248" s="11">
        <v>-29610.0</v>
      </c>
      <c r="AT1248" s="11">
        <v>-21700.0</v>
      </c>
      <c r="AU1248" s="11">
        <v>-25250.0</v>
      </c>
      <c r="AV1248" s="12"/>
      <c r="AW1248" s="12"/>
      <c r="AX1248" s="11">
        <v>-535.0</v>
      </c>
      <c r="AY1248" s="11">
        <v>-2280.0</v>
      </c>
      <c r="AZ1248" s="11">
        <v>-445.0</v>
      </c>
      <c r="BA1248" s="12"/>
      <c r="BB1248" s="12"/>
      <c r="BC1248" s="12"/>
      <c r="BD1248" s="12"/>
      <c r="BE1248" s="12"/>
      <c r="BF1248" s="12"/>
      <c r="BG1248" s="12"/>
      <c r="BH1248" s="11">
        <v>90690.0</v>
      </c>
      <c r="BI1248" s="11">
        <v>24990.0</v>
      </c>
      <c r="BJ1248" s="11">
        <v>33330.0</v>
      </c>
      <c r="BK1248" s="12"/>
      <c r="BL1248" s="12"/>
      <c r="BM1248" s="11">
        <v>8600.0</v>
      </c>
      <c r="BN1248" s="11">
        <v>6380.0</v>
      </c>
      <c r="BO1248" s="11">
        <v>5210.0</v>
      </c>
      <c r="BP1248" s="12"/>
      <c r="BQ1248" s="12"/>
      <c r="BR1248" s="11">
        <v>10320.0</v>
      </c>
      <c r="BS1248" s="11">
        <v>5740.0</v>
      </c>
      <c r="BT1248" s="11">
        <v>3250.0</v>
      </c>
      <c r="BU1248" s="12"/>
      <c r="BV1248" s="12"/>
      <c r="BW1248" s="11">
        <v>112490.0</v>
      </c>
      <c r="BX1248" s="11">
        <v>38520.0</v>
      </c>
      <c r="BY1248" s="11">
        <v>42070.0</v>
      </c>
      <c r="BZ1248" s="12"/>
      <c r="CA1248" s="12"/>
      <c r="CB1248" s="11">
        <v>6130.0</v>
      </c>
      <c r="CC1248" s="11">
        <v>2880.0</v>
      </c>
      <c r="CD1248" s="11">
        <v>486.0</v>
      </c>
      <c r="CE1248" s="12"/>
      <c r="CF1248" s="12"/>
      <c r="CG1248" s="12"/>
      <c r="CH1248" s="12"/>
      <c r="CI1248" s="12"/>
      <c r="CJ1248" s="12"/>
      <c r="CK1248" s="12"/>
      <c r="CL1248" s="11">
        <v>137400.0</v>
      </c>
      <c r="CM1248" s="11">
        <v>42740.0</v>
      </c>
      <c r="CN1248" s="11">
        <v>43090.0</v>
      </c>
      <c r="CO1248" s="12"/>
      <c r="CP1248" s="12"/>
      <c r="CQ1248" s="11">
        <v>1900.0</v>
      </c>
      <c r="CR1248" s="11">
        <v>1250.0</v>
      </c>
      <c r="CS1248" s="11">
        <v>1550.0</v>
      </c>
      <c r="CT1248" s="12"/>
      <c r="CU1248" s="12"/>
      <c r="CV1248" s="11">
        <v>16930.0</v>
      </c>
      <c r="CW1248" s="11">
        <v>769.0</v>
      </c>
      <c r="CX1248" s="12"/>
      <c r="CY1248" s="12"/>
      <c r="CZ1248" s="12"/>
      <c r="DA1248" s="12"/>
      <c r="DB1248" s="11">
        <v>16930.0</v>
      </c>
      <c r="DC1248" s="11">
        <v>10700.0</v>
      </c>
      <c r="DD1248" s="11">
        <v>4650.0</v>
      </c>
      <c r="DE1248" s="12"/>
      <c r="DF1248" s="11">
        <v>65510.0</v>
      </c>
      <c r="DG1248" s="11">
        <v>72060.0</v>
      </c>
      <c r="DH1248" s="11">
        <v>36430.0</v>
      </c>
      <c r="DI1248" s="12"/>
      <c r="DJ1248" s="12"/>
      <c r="DK1248" s="11">
        <v>18530.0</v>
      </c>
      <c r="DL1248" s="11">
        <v>310.0</v>
      </c>
      <c r="DM1248" s="11">
        <v>510.0</v>
      </c>
      <c r="DN1248" s="12"/>
      <c r="DO1248" s="12"/>
      <c r="DP1248" s="11">
        <v>48580.0</v>
      </c>
      <c r="DQ1248" s="11">
        <v>44200.0</v>
      </c>
      <c r="DR1248" s="11">
        <v>31770.0</v>
      </c>
      <c r="DS1248" s="12"/>
      <c r="DT1248" s="12"/>
      <c r="DU1248" s="13"/>
      <c r="DV1248" s="11">
        <v>105240.0</v>
      </c>
      <c r="DW1248" s="11">
        <v>105240.0</v>
      </c>
      <c r="DX1248" s="13"/>
      <c r="DY1248" s="13"/>
      <c r="DZ1248" s="11">
        <v>71890.0</v>
      </c>
      <c r="EA1248" s="11">
        <v>-29320.0</v>
      </c>
      <c r="EB1248" s="11">
        <v>6660.0</v>
      </c>
      <c r="EC1248" s="12"/>
      <c r="ED1248" s="12"/>
      <c r="EE1248" s="14">
        <v>0.154</v>
      </c>
      <c r="EF1248" s="14">
        <v>0.101</v>
      </c>
      <c r="EG1248" s="14">
        <v>0.135</v>
      </c>
      <c r="EH1248" s="14">
        <v>0.035</v>
      </c>
    </row>
    <row r="1249">
      <c r="A1249" s="9">
        <f t="shared" si="2"/>
        <v>1247</v>
      </c>
      <c r="B1249" s="10" t="s">
        <v>1384</v>
      </c>
      <c r="C1249" s="15">
        <v>2080000.0</v>
      </c>
      <c r="D1249" s="12"/>
      <c r="E1249" s="15">
        <v>3.417E7</v>
      </c>
      <c r="F1249" s="15">
        <v>3.568E7</v>
      </c>
      <c r="G1249" s="15">
        <v>2.87E7</v>
      </c>
      <c r="H1249" s="15">
        <v>2.752E7</v>
      </c>
      <c r="I1249" s="15">
        <v>2.448E7</v>
      </c>
      <c r="J1249" s="15">
        <v>4100000.0</v>
      </c>
      <c r="K1249" s="15">
        <v>5110000.0</v>
      </c>
      <c r="L1249" s="15">
        <v>4420000.0</v>
      </c>
      <c r="M1249" s="15">
        <v>4340000.0</v>
      </c>
      <c r="N1249" s="15">
        <v>959850.0</v>
      </c>
      <c r="O1249" s="15">
        <v>1640000.0</v>
      </c>
      <c r="P1249" s="15">
        <v>1080000.0</v>
      </c>
      <c r="Q1249" s="15">
        <v>953940.0</v>
      </c>
      <c r="R1249" s="15">
        <v>879490.0</v>
      </c>
      <c r="S1249" s="15">
        <v>1110000.0</v>
      </c>
      <c r="T1249" s="15">
        <v>0.0</v>
      </c>
      <c r="U1249" s="15">
        <v>0.0</v>
      </c>
      <c r="V1249" s="15">
        <v>0.0</v>
      </c>
      <c r="W1249" s="15">
        <v>0.0</v>
      </c>
      <c r="X1249" s="15">
        <v>0.0</v>
      </c>
      <c r="Y1249" s="15">
        <v>2470000.0</v>
      </c>
      <c r="Z1249" s="15">
        <v>6410.0</v>
      </c>
      <c r="AA1249" s="15">
        <v>0.0</v>
      </c>
      <c r="AB1249" s="15">
        <v>0.0</v>
      </c>
      <c r="AC1249" s="15">
        <v>-2040000.0</v>
      </c>
      <c r="AD1249" s="15">
        <v>1640000.0</v>
      </c>
      <c r="AE1249" s="15">
        <v>4200000.0</v>
      </c>
      <c r="AF1249" s="15">
        <v>2820000.0</v>
      </c>
      <c r="AG1249" s="15">
        <v>5270000.0</v>
      </c>
      <c r="AH1249" s="15">
        <v>-2490000.0</v>
      </c>
      <c r="AI1249" s="15">
        <v>3570000.0</v>
      </c>
      <c r="AJ1249" s="15">
        <v>5160000.0</v>
      </c>
      <c r="AK1249" s="15">
        <v>4940000.0</v>
      </c>
      <c r="AL1249" s="15">
        <v>4900000.0</v>
      </c>
      <c r="AM1249" s="15">
        <v>1120000.0</v>
      </c>
      <c r="AN1249" s="15">
        <v>-1640000.0</v>
      </c>
      <c r="AO1249" s="15">
        <v>3650000.0</v>
      </c>
      <c r="AP1249" s="15">
        <v>1720000.0</v>
      </c>
      <c r="AQ1249" s="15">
        <v>2880000.0</v>
      </c>
      <c r="AR1249" s="15">
        <v>-1210000.0</v>
      </c>
      <c r="AS1249" s="15">
        <v>1130000.0</v>
      </c>
      <c r="AT1249" s="15">
        <v>3310000.0</v>
      </c>
      <c r="AU1249" s="15">
        <v>2770000.0</v>
      </c>
      <c r="AV1249" s="15">
        <v>5890000.0</v>
      </c>
      <c r="AW1249" s="15">
        <v>-387850.0</v>
      </c>
      <c r="AX1249" s="15">
        <v>-1320000.0</v>
      </c>
      <c r="AY1249" s="15">
        <v>-1990000.0</v>
      </c>
      <c r="AZ1249" s="15">
        <v>-3040000.0</v>
      </c>
      <c r="BA1249" s="15">
        <v>-3100000.0</v>
      </c>
      <c r="BB1249" s="15">
        <v>-647740.0</v>
      </c>
      <c r="BC1249" s="16">
        <v>0.0</v>
      </c>
      <c r="BD1249" s="16">
        <v>0.0</v>
      </c>
      <c r="BE1249" s="16">
        <v>0.0</v>
      </c>
      <c r="BF1249" s="15">
        <v>0.0</v>
      </c>
      <c r="BG1249" s="16">
        <v>0.0</v>
      </c>
      <c r="BH1249" s="15">
        <v>7450000.0</v>
      </c>
      <c r="BI1249" s="15">
        <v>6990000.0</v>
      </c>
      <c r="BJ1249" s="15">
        <v>7290000.0</v>
      </c>
      <c r="BK1249" s="15">
        <v>7960000.0</v>
      </c>
      <c r="BL1249" s="15">
        <v>6600000.0</v>
      </c>
      <c r="BM1249" s="15">
        <v>7960000.0</v>
      </c>
      <c r="BN1249" s="15">
        <v>8180000.0</v>
      </c>
      <c r="BO1249" s="15">
        <v>1.004E7</v>
      </c>
      <c r="BP1249" s="15">
        <v>7440000.0</v>
      </c>
      <c r="BQ1249" s="15">
        <v>3950000.0</v>
      </c>
      <c r="BR1249" s="15">
        <v>8240000.0</v>
      </c>
      <c r="BS1249" s="15">
        <v>1.014E7</v>
      </c>
      <c r="BT1249" s="15">
        <v>8260000.0</v>
      </c>
      <c r="BU1249" s="15">
        <v>7180000.0</v>
      </c>
      <c r="BV1249" s="15">
        <v>6110000.0</v>
      </c>
      <c r="BW1249" s="15">
        <v>2.445E7</v>
      </c>
      <c r="BX1249" s="15">
        <v>2.61E7</v>
      </c>
      <c r="BY1249" s="15">
        <v>2.611E7</v>
      </c>
      <c r="BZ1249" s="15">
        <v>2.301E7</v>
      </c>
      <c r="CA1249" s="15">
        <v>1.698E7</v>
      </c>
      <c r="CB1249" s="15">
        <v>1.674E7</v>
      </c>
      <c r="CC1249" s="15">
        <v>1.697E7</v>
      </c>
      <c r="CD1249" s="15">
        <v>1.574E7</v>
      </c>
      <c r="CE1249" s="15">
        <v>1.449E7</v>
      </c>
      <c r="CF1249" s="15">
        <v>1.113E7</v>
      </c>
      <c r="CG1249" s="15">
        <v>1810000.0</v>
      </c>
      <c r="CH1249" s="15">
        <v>1810000.0</v>
      </c>
      <c r="CI1249" s="15">
        <v>1810000.0</v>
      </c>
      <c r="CJ1249" s="15">
        <v>1810000.0</v>
      </c>
      <c r="CK1249" s="15">
        <v>1810000.0</v>
      </c>
      <c r="CL1249" s="15">
        <v>4.618E7</v>
      </c>
      <c r="CM1249" s="15">
        <v>4.897E7</v>
      </c>
      <c r="CN1249" s="15">
        <v>4.568E7</v>
      </c>
      <c r="CO1249" s="15">
        <v>4.175E7</v>
      </c>
      <c r="CP1249" s="15">
        <v>3.235E7</v>
      </c>
      <c r="CQ1249" s="15">
        <v>4180000.0</v>
      </c>
      <c r="CR1249" s="15">
        <v>4390000.0</v>
      </c>
      <c r="CS1249" s="15">
        <v>3980000.0</v>
      </c>
      <c r="CT1249" s="15">
        <v>2830000.0</v>
      </c>
      <c r="CU1249" s="15">
        <v>3100000.0</v>
      </c>
      <c r="CV1249" s="15">
        <v>9320000.0</v>
      </c>
      <c r="CW1249" s="15">
        <v>5700.0</v>
      </c>
      <c r="CX1249" s="15">
        <v>5940.0</v>
      </c>
      <c r="CY1249" s="15">
        <v>990580.0</v>
      </c>
      <c r="CZ1249" s="15">
        <v>1020000.0</v>
      </c>
      <c r="DA1249" s="15">
        <v>5240.0</v>
      </c>
      <c r="DB1249" s="15">
        <v>9320000.0</v>
      </c>
      <c r="DC1249" s="15">
        <v>8990000.0</v>
      </c>
      <c r="DD1249" s="15">
        <v>7240000.0</v>
      </c>
      <c r="DE1249" s="15">
        <v>5520000.0</v>
      </c>
      <c r="DF1249" s="15">
        <v>1.357E7</v>
      </c>
      <c r="DG1249" s="15">
        <v>1.346E7</v>
      </c>
      <c r="DH1249" s="15">
        <v>1.156E7</v>
      </c>
      <c r="DI1249" s="15">
        <v>8540000.0</v>
      </c>
      <c r="DJ1249" s="15">
        <v>7220000.0</v>
      </c>
      <c r="DK1249" s="15">
        <v>0.0</v>
      </c>
      <c r="DL1249" s="15">
        <v>0.0</v>
      </c>
      <c r="DM1249" s="15">
        <v>0.0</v>
      </c>
      <c r="DN1249" s="15">
        <v>0.0</v>
      </c>
      <c r="DO1249" s="15">
        <v>0.0</v>
      </c>
      <c r="DP1249" s="15">
        <v>0.0</v>
      </c>
      <c r="DQ1249" s="15">
        <v>0.0</v>
      </c>
      <c r="DR1249" s="15">
        <v>0.0</v>
      </c>
      <c r="DS1249" s="15">
        <v>0.0</v>
      </c>
      <c r="DT1249" s="15">
        <v>0.0</v>
      </c>
      <c r="DU1249" s="16">
        <v>0.0</v>
      </c>
      <c r="DV1249" s="15">
        <v>0.0</v>
      </c>
      <c r="DW1249" s="15">
        <v>0.0</v>
      </c>
      <c r="DX1249" s="15">
        <v>0.0</v>
      </c>
      <c r="DY1249" s="15">
        <v>0.0</v>
      </c>
      <c r="DZ1249" s="15">
        <v>3.258E7</v>
      </c>
      <c r="EA1249" s="15">
        <v>3.583E7</v>
      </c>
      <c r="EB1249" s="15">
        <v>3.423E7</v>
      </c>
      <c r="EC1249" s="15">
        <v>3.332E7</v>
      </c>
      <c r="ED1249" s="15">
        <v>2.657E7</v>
      </c>
      <c r="EE1249" s="23"/>
      <c r="EF1249" s="17">
        <v>0.0</v>
      </c>
      <c r="EG1249" s="17">
        <v>0.042</v>
      </c>
      <c r="EH1249" s="17">
        <v>-0.201</v>
      </c>
    </row>
    <row r="1250">
      <c r="A1250" s="9">
        <f t="shared" si="2"/>
        <v>1248</v>
      </c>
      <c r="B1250" s="10" t="s">
        <v>1385</v>
      </c>
      <c r="C1250" s="15">
        <v>593620.0</v>
      </c>
      <c r="D1250" s="15">
        <v>546340.0</v>
      </c>
      <c r="E1250" s="15">
        <v>458110.0</v>
      </c>
      <c r="F1250" s="15">
        <v>530630.0</v>
      </c>
      <c r="G1250" s="15">
        <v>525470.0</v>
      </c>
      <c r="H1250" s="15">
        <v>556880.0</v>
      </c>
      <c r="I1250" s="15">
        <v>361120.0</v>
      </c>
      <c r="J1250" s="15">
        <v>222590.0</v>
      </c>
      <c r="K1250" s="15">
        <v>257980.0</v>
      </c>
      <c r="L1250" s="15">
        <v>249640.0</v>
      </c>
      <c r="M1250" s="15">
        <v>272860.0</v>
      </c>
      <c r="N1250" s="15">
        <v>183390.0</v>
      </c>
      <c r="O1250" s="15">
        <v>153230.0</v>
      </c>
      <c r="P1250" s="15">
        <v>149020.0</v>
      </c>
      <c r="Q1250" s="15">
        <v>145430.0</v>
      </c>
      <c r="R1250" s="15">
        <v>135420.0</v>
      </c>
      <c r="S1250" s="15">
        <v>107000.0</v>
      </c>
      <c r="T1250" s="15">
        <v>110330.0</v>
      </c>
      <c r="U1250" s="15">
        <v>102080.0</v>
      </c>
      <c r="V1250" s="15">
        <v>102460.0</v>
      </c>
      <c r="W1250" s="15">
        <v>92530.0</v>
      </c>
      <c r="X1250" s="15">
        <v>71130.0</v>
      </c>
      <c r="Y1250" s="15">
        <v>52590.0</v>
      </c>
      <c r="Z1250" s="15">
        <v>104890.0</v>
      </c>
      <c r="AA1250" s="15">
        <v>93720.0</v>
      </c>
      <c r="AB1250" s="15">
        <v>137430.0</v>
      </c>
      <c r="AC1250" s="15">
        <v>0.0</v>
      </c>
      <c r="AD1250" s="15">
        <v>72210.0</v>
      </c>
      <c r="AE1250" s="15">
        <v>110390.0</v>
      </c>
      <c r="AF1250" s="15">
        <v>99390.0</v>
      </c>
      <c r="AG1250" s="15">
        <v>138810.0</v>
      </c>
      <c r="AH1250" s="15">
        <v>78460.0</v>
      </c>
      <c r="AI1250" s="15">
        <v>81670.0</v>
      </c>
      <c r="AJ1250" s="15">
        <v>123760.0</v>
      </c>
      <c r="AK1250" s="15">
        <v>117400.0</v>
      </c>
      <c r="AL1250" s="15">
        <v>146940.0</v>
      </c>
      <c r="AM1250" s="15">
        <v>85380.0</v>
      </c>
      <c r="AN1250" s="15">
        <v>64520.0</v>
      </c>
      <c r="AO1250" s="15">
        <v>98120.0</v>
      </c>
      <c r="AP1250" s="15">
        <v>75250.0</v>
      </c>
      <c r="AQ1250" s="15">
        <v>111090.0</v>
      </c>
      <c r="AR1250" s="15">
        <v>60220.0</v>
      </c>
      <c r="AS1250" s="15">
        <v>77150.0</v>
      </c>
      <c r="AT1250" s="15">
        <v>105060.0</v>
      </c>
      <c r="AU1250" s="15">
        <v>107510.0</v>
      </c>
      <c r="AV1250" s="15">
        <v>128450.0</v>
      </c>
      <c r="AW1250" s="15">
        <v>65910.0</v>
      </c>
      <c r="AX1250" s="15">
        <v>-10340.0</v>
      </c>
      <c r="AY1250" s="15">
        <v>-74890.0</v>
      </c>
      <c r="AZ1250" s="15">
        <v>-11730.0</v>
      </c>
      <c r="BA1250" s="15">
        <v>-12240.0</v>
      </c>
      <c r="BB1250" s="15">
        <v>-23650.0</v>
      </c>
      <c r="BC1250" s="15">
        <v>-44110.0</v>
      </c>
      <c r="BD1250" s="15">
        <v>-43300.0</v>
      </c>
      <c r="BE1250" s="15">
        <v>-32250.0</v>
      </c>
      <c r="BF1250" s="15">
        <v>-22930.0</v>
      </c>
      <c r="BG1250" s="15">
        <v>-20760.0</v>
      </c>
      <c r="BH1250" s="15">
        <v>325190.0</v>
      </c>
      <c r="BI1250" s="15">
        <v>307720.0</v>
      </c>
      <c r="BJ1250" s="15">
        <v>385860.0</v>
      </c>
      <c r="BK1250" s="15">
        <v>322830.0</v>
      </c>
      <c r="BL1250" s="15">
        <v>204500.0</v>
      </c>
      <c r="BM1250" s="15">
        <v>108740.0</v>
      </c>
      <c r="BN1250" s="15">
        <v>91750.0</v>
      </c>
      <c r="BO1250" s="15">
        <v>79130.0</v>
      </c>
      <c r="BP1250" s="15">
        <v>73750.0</v>
      </c>
      <c r="BQ1250" s="15">
        <v>58970.0</v>
      </c>
      <c r="BR1250" s="15">
        <v>88440.0</v>
      </c>
      <c r="BS1250" s="15">
        <v>81510.0</v>
      </c>
      <c r="BT1250" s="15">
        <v>94180.0</v>
      </c>
      <c r="BU1250" s="15">
        <v>72030.0</v>
      </c>
      <c r="BV1250" s="15">
        <v>47100.0</v>
      </c>
      <c r="BW1250" s="15">
        <v>565220.0</v>
      </c>
      <c r="BX1250" s="15">
        <v>498430.0</v>
      </c>
      <c r="BY1250" s="15">
        <v>568730.0</v>
      </c>
      <c r="BZ1250" s="15">
        <v>477870.0</v>
      </c>
      <c r="CA1250" s="15">
        <v>315130.0</v>
      </c>
      <c r="CB1250" s="15">
        <v>97780.0</v>
      </c>
      <c r="CC1250" s="15">
        <v>101400.0</v>
      </c>
      <c r="CD1250" s="15">
        <v>51360.0</v>
      </c>
      <c r="CE1250" s="15">
        <v>47990.0</v>
      </c>
      <c r="CF1250" s="15">
        <v>50460.0</v>
      </c>
      <c r="CG1250" s="15">
        <v>0.0</v>
      </c>
      <c r="CH1250" s="15">
        <v>58320.0</v>
      </c>
      <c r="CI1250" s="15">
        <v>58960.0</v>
      </c>
      <c r="CJ1250" s="15">
        <v>68800.0</v>
      </c>
      <c r="CK1250" s="15">
        <v>68650.0</v>
      </c>
      <c r="CL1250" s="15">
        <v>697750.0</v>
      </c>
      <c r="CM1250" s="15">
        <v>672530.0</v>
      </c>
      <c r="CN1250" s="15">
        <v>693650.0</v>
      </c>
      <c r="CO1250" s="15">
        <v>607260.0</v>
      </c>
      <c r="CP1250" s="15">
        <v>445570.0</v>
      </c>
      <c r="CQ1250" s="15">
        <v>30690.0</v>
      </c>
      <c r="CR1250" s="15">
        <v>27650.0</v>
      </c>
      <c r="CS1250" s="15">
        <v>56420.0</v>
      </c>
      <c r="CT1250" s="15">
        <v>31800.0</v>
      </c>
      <c r="CU1250" s="15">
        <v>22540.0</v>
      </c>
      <c r="CV1250" s="15">
        <v>125770.0</v>
      </c>
      <c r="CW1250" s="15">
        <v>0.0</v>
      </c>
      <c r="CX1250" s="15">
        <v>0.0</v>
      </c>
      <c r="CY1250" s="15">
        <v>25000.0</v>
      </c>
      <c r="CZ1250" s="15">
        <v>25050.0</v>
      </c>
      <c r="DA1250" s="15">
        <v>0.0</v>
      </c>
      <c r="DB1250" s="15">
        <v>125770.0</v>
      </c>
      <c r="DC1250" s="15">
        <v>113640.0</v>
      </c>
      <c r="DD1250" s="15">
        <v>177220.0</v>
      </c>
      <c r="DE1250" s="15">
        <v>146280.0</v>
      </c>
      <c r="DF1250" s="15">
        <v>160950.0</v>
      </c>
      <c r="DG1250" s="15">
        <v>140320.0</v>
      </c>
      <c r="DH1250" s="15">
        <v>199550.0</v>
      </c>
      <c r="DI1250" s="15">
        <v>163230.0</v>
      </c>
      <c r="DJ1250" s="15">
        <v>101040.0</v>
      </c>
      <c r="DK1250" s="15">
        <v>3000.0</v>
      </c>
      <c r="DL1250" s="15">
        <v>7220.0</v>
      </c>
      <c r="DM1250" s="15">
        <v>2550.0</v>
      </c>
      <c r="DN1250" s="15">
        <v>0.0</v>
      </c>
      <c r="DO1250" s="15">
        <v>0.0</v>
      </c>
      <c r="DP1250" s="15">
        <v>0.0</v>
      </c>
      <c r="DQ1250" s="15">
        <v>0.0</v>
      </c>
      <c r="DR1250" s="15">
        <v>0.0</v>
      </c>
      <c r="DS1250" s="15">
        <v>0.0</v>
      </c>
      <c r="DT1250" s="15">
        <v>0.0</v>
      </c>
      <c r="DU1250" s="16">
        <v>0.0</v>
      </c>
      <c r="DV1250" s="15">
        <v>0.0</v>
      </c>
      <c r="DW1250" s="15">
        <v>0.0</v>
      </c>
      <c r="DX1250" s="15">
        <v>0.0</v>
      </c>
      <c r="DY1250" s="15">
        <v>0.0</v>
      </c>
      <c r="DZ1250" s="15">
        <v>536800.0</v>
      </c>
      <c r="EA1250" s="15">
        <v>532210.0</v>
      </c>
      <c r="EB1250" s="15">
        <v>493990.0</v>
      </c>
      <c r="EC1250" s="15">
        <v>443670.0</v>
      </c>
      <c r="ED1250" s="15">
        <v>344450.0</v>
      </c>
      <c r="EE1250" s="17">
        <v>0.087</v>
      </c>
      <c r="EF1250" s="17">
        <v>0.174</v>
      </c>
      <c r="EG1250" s="17">
        <v>0.194</v>
      </c>
      <c r="EH1250" s="17">
        <v>0.132</v>
      </c>
    </row>
    <row r="1251">
      <c r="A1251" s="9">
        <f t="shared" si="2"/>
        <v>1249</v>
      </c>
      <c r="B1251" s="10" t="s">
        <v>1386</v>
      </c>
      <c r="C1251" s="15">
        <v>1210000.0</v>
      </c>
      <c r="D1251" s="15">
        <v>681070.0</v>
      </c>
      <c r="E1251" s="15">
        <v>1490000.0</v>
      </c>
      <c r="F1251" s="15">
        <v>1460000.0</v>
      </c>
      <c r="G1251" s="15">
        <v>1360000.0</v>
      </c>
      <c r="H1251" s="15">
        <v>1320000.0</v>
      </c>
      <c r="I1251" s="15">
        <v>1260000.0</v>
      </c>
      <c r="J1251" s="15">
        <v>631260.0</v>
      </c>
      <c r="K1251" s="15">
        <v>651490.0</v>
      </c>
      <c r="L1251" s="15">
        <v>625160.0</v>
      </c>
      <c r="M1251" s="15">
        <v>613520.0</v>
      </c>
      <c r="N1251" s="15">
        <v>590600.0</v>
      </c>
      <c r="O1251" s="15">
        <v>199190.0</v>
      </c>
      <c r="P1251" s="15">
        <v>132170.0</v>
      </c>
      <c r="Q1251" s="15">
        <v>159070.0</v>
      </c>
      <c r="R1251" s="15">
        <v>291790.0</v>
      </c>
      <c r="S1251" s="15">
        <v>234810.0</v>
      </c>
      <c r="T1251" s="15">
        <v>0.0</v>
      </c>
      <c r="U1251" s="15">
        <v>0.0</v>
      </c>
      <c r="V1251" s="15">
        <v>0.0</v>
      </c>
      <c r="W1251" s="15">
        <v>0.0</v>
      </c>
      <c r="X1251" s="15">
        <v>0.0</v>
      </c>
      <c r="Y1251" s="15">
        <v>425580.0</v>
      </c>
      <c r="Z1251" s="15">
        <v>0.0</v>
      </c>
      <c r="AA1251" s="15">
        <v>-37120.0</v>
      </c>
      <c r="AB1251" s="15">
        <v>318750.0</v>
      </c>
      <c r="AC1251" s="15">
        <v>349230.0</v>
      </c>
      <c r="AD1251" s="15">
        <v>311760.0</v>
      </c>
      <c r="AE1251" s="15">
        <v>411860.0</v>
      </c>
      <c r="AF1251" s="15">
        <v>329050.0</v>
      </c>
      <c r="AG1251" s="15">
        <v>233270.0</v>
      </c>
      <c r="AH1251" s="15">
        <v>263220.0</v>
      </c>
      <c r="AI1251" s="15">
        <v>550290.0</v>
      </c>
      <c r="AJ1251" s="15">
        <v>635010.0</v>
      </c>
      <c r="AK1251" s="15">
        <v>577760.0</v>
      </c>
      <c r="AL1251" s="15">
        <v>428620.0</v>
      </c>
      <c r="AM1251" s="15">
        <v>463200.0</v>
      </c>
      <c r="AN1251" s="15">
        <v>179070.0</v>
      </c>
      <c r="AO1251" s="15">
        <v>276000.0</v>
      </c>
      <c r="AP1251" s="15">
        <v>273820.0</v>
      </c>
      <c r="AQ1251" s="15">
        <v>118300.0</v>
      </c>
      <c r="AR1251" s="15">
        <v>154690.0</v>
      </c>
      <c r="AS1251" s="15">
        <v>418490.0</v>
      </c>
      <c r="AT1251" s="15">
        <v>413130.0</v>
      </c>
      <c r="AU1251" s="15">
        <v>445070.0</v>
      </c>
      <c r="AV1251" s="15">
        <v>463240.0</v>
      </c>
      <c r="AW1251" s="15">
        <v>473760.0</v>
      </c>
      <c r="AX1251" s="15">
        <v>-143910.0</v>
      </c>
      <c r="AY1251" s="15">
        <v>-135620.0</v>
      </c>
      <c r="AZ1251" s="15">
        <v>-135220.0</v>
      </c>
      <c r="BA1251" s="15">
        <v>-129380.0</v>
      </c>
      <c r="BB1251" s="15">
        <v>-114400.0</v>
      </c>
      <c r="BC1251" s="15">
        <v>-278950.0</v>
      </c>
      <c r="BD1251" s="15">
        <v>-267040.0</v>
      </c>
      <c r="BE1251" s="15">
        <v>-227100.0</v>
      </c>
      <c r="BF1251" s="15">
        <v>-220310.0</v>
      </c>
      <c r="BG1251" s="15">
        <v>-200960.0</v>
      </c>
      <c r="BH1251" s="15">
        <v>174180.0</v>
      </c>
      <c r="BI1251" s="15">
        <v>44610.0</v>
      </c>
      <c r="BJ1251" s="15">
        <v>77500.0</v>
      </c>
      <c r="BK1251" s="15">
        <v>141310.0</v>
      </c>
      <c r="BL1251" s="15">
        <v>99760.0</v>
      </c>
      <c r="BM1251" s="15">
        <v>108680.0</v>
      </c>
      <c r="BN1251" s="15">
        <v>116040.0</v>
      </c>
      <c r="BO1251" s="15">
        <v>72690.0</v>
      </c>
      <c r="BP1251" s="15">
        <v>69020.0</v>
      </c>
      <c r="BQ1251" s="15">
        <v>63800.0</v>
      </c>
      <c r="BR1251" s="15">
        <v>55850.0</v>
      </c>
      <c r="BS1251" s="15">
        <v>51680.0</v>
      </c>
      <c r="BT1251" s="15">
        <v>46060.0</v>
      </c>
      <c r="BU1251" s="15">
        <v>45560.0</v>
      </c>
      <c r="BV1251" s="15">
        <v>43640.0</v>
      </c>
      <c r="BW1251" s="15">
        <v>376240.0</v>
      </c>
      <c r="BX1251" s="15">
        <v>241930.0</v>
      </c>
      <c r="BY1251" s="15">
        <v>221070.0</v>
      </c>
      <c r="BZ1251" s="15">
        <v>278790.0</v>
      </c>
      <c r="CA1251" s="15">
        <v>227980.0</v>
      </c>
      <c r="CB1251" s="15">
        <v>1490000.0</v>
      </c>
      <c r="CC1251" s="15">
        <v>1250000.0</v>
      </c>
      <c r="CD1251" s="15">
        <v>1240000.0</v>
      </c>
      <c r="CE1251" s="15">
        <v>1210000.0</v>
      </c>
      <c r="CF1251" s="15">
        <v>1200000.0</v>
      </c>
      <c r="CG1251" s="15">
        <v>659620.0</v>
      </c>
      <c r="CH1251" s="15">
        <v>659620.0</v>
      </c>
      <c r="CI1251" s="15">
        <v>630250.0</v>
      </c>
      <c r="CJ1251" s="15">
        <v>630250.0</v>
      </c>
      <c r="CK1251" s="15">
        <v>630250.0</v>
      </c>
      <c r="CL1251" s="15">
        <v>2880000.0</v>
      </c>
      <c r="CM1251" s="15">
        <v>2520000.0</v>
      </c>
      <c r="CN1251" s="15">
        <v>2460000.0</v>
      </c>
      <c r="CO1251" s="15">
        <v>2490000.0</v>
      </c>
      <c r="CP1251" s="15">
        <v>2430000.0</v>
      </c>
      <c r="CQ1251" s="15">
        <v>32900.0</v>
      </c>
      <c r="CR1251" s="15">
        <v>32910.0</v>
      </c>
      <c r="CS1251" s="15">
        <v>29000.0</v>
      </c>
      <c r="CT1251" s="15">
        <v>26210.0</v>
      </c>
      <c r="CU1251" s="15">
        <v>25570.0</v>
      </c>
      <c r="CV1251" s="15">
        <v>339730.0</v>
      </c>
      <c r="CW1251" s="15">
        <v>10710.0</v>
      </c>
      <c r="CX1251" s="16">
        <v>0.0</v>
      </c>
      <c r="CY1251" s="15">
        <v>0.0</v>
      </c>
      <c r="CZ1251" s="16">
        <v>0.0</v>
      </c>
      <c r="DA1251" s="15">
        <v>0.0</v>
      </c>
      <c r="DB1251" s="15">
        <v>339730.0</v>
      </c>
      <c r="DC1251" s="15">
        <v>368360.0</v>
      </c>
      <c r="DD1251" s="15">
        <v>297840.0</v>
      </c>
      <c r="DE1251" s="15">
        <v>315950.0</v>
      </c>
      <c r="DF1251" s="15">
        <v>3070000.0</v>
      </c>
      <c r="DG1251" s="15">
        <v>2640000.0</v>
      </c>
      <c r="DH1251" s="15">
        <v>2470000.0</v>
      </c>
      <c r="DI1251" s="15">
        <v>2190000.0</v>
      </c>
      <c r="DJ1251" s="15">
        <v>1970000.0</v>
      </c>
      <c r="DK1251" s="15">
        <v>1440.0</v>
      </c>
      <c r="DL1251" s="15">
        <v>0.0</v>
      </c>
      <c r="DM1251" s="15">
        <v>0.0</v>
      </c>
      <c r="DN1251" s="15">
        <v>0.0</v>
      </c>
      <c r="DO1251" s="15">
        <v>3040.0</v>
      </c>
      <c r="DP1251" s="15">
        <v>2460000.0</v>
      </c>
      <c r="DQ1251" s="15">
        <v>2060000.0</v>
      </c>
      <c r="DR1251" s="15">
        <v>2020000.0</v>
      </c>
      <c r="DS1251" s="15">
        <v>1620000.0</v>
      </c>
      <c r="DT1251" s="15">
        <v>1500000.0</v>
      </c>
      <c r="DU1251" s="16">
        <v>0.0</v>
      </c>
      <c r="DV1251" s="15">
        <v>0.0</v>
      </c>
      <c r="DW1251" s="15">
        <v>0.0</v>
      </c>
      <c r="DX1251" s="16">
        <v>0.0</v>
      </c>
      <c r="DY1251" s="16">
        <v>0.0</v>
      </c>
      <c r="DZ1251" s="15">
        <v>-716120.0</v>
      </c>
      <c r="EA1251" s="15">
        <v>-643090.0</v>
      </c>
      <c r="EB1251" s="15">
        <v>-505110.0</v>
      </c>
      <c r="EC1251" s="15">
        <v>-186490.0</v>
      </c>
      <c r="ED1251" s="15">
        <v>24220.0</v>
      </c>
      <c r="EE1251" s="17">
        <v>0.755</v>
      </c>
      <c r="EF1251" s="17">
        <v>0.423</v>
      </c>
      <c r="EG1251" s="17">
        <v>0.057</v>
      </c>
      <c r="EH1251" s="17">
        <v>-0.5</v>
      </c>
    </row>
    <row r="1252">
      <c r="A1252" s="9">
        <f t="shared" si="2"/>
        <v>1250</v>
      </c>
      <c r="B1252" s="25" t="s">
        <v>1387</v>
      </c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3"/>
      <c r="BD1252" s="13"/>
      <c r="BE1252" s="13"/>
      <c r="BF1252" s="13"/>
      <c r="BG1252" s="13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3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3"/>
      <c r="DV1252" s="12"/>
      <c r="DW1252" s="12"/>
      <c r="DX1252" s="12"/>
      <c r="DY1252" s="13"/>
      <c r="DZ1252" s="12"/>
      <c r="EA1252" s="12"/>
      <c r="EB1252" s="12"/>
      <c r="EC1252" s="12"/>
      <c r="ED1252" s="12"/>
      <c r="EE1252" s="17"/>
      <c r="EF1252" s="17"/>
      <c r="EG1252" s="17"/>
      <c r="EH1252" s="17"/>
    </row>
    <row r="1253">
      <c r="A1253" s="9">
        <f t="shared" si="2"/>
        <v>1251</v>
      </c>
      <c r="B1253" s="10" t="s">
        <v>1388</v>
      </c>
      <c r="C1253" s="15">
        <v>5610000.0</v>
      </c>
      <c r="D1253" s="15">
        <v>4530000.0</v>
      </c>
      <c r="E1253" s="15">
        <v>5220000.0</v>
      </c>
      <c r="F1253" s="15">
        <v>4640000.0</v>
      </c>
      <c r="G1253" s="15">
        <v>4160000.0</v>
      </c>
      <c r="H1253" s="15">
        <v>3560000.0</v>
      </c>
      <c r="I1253" s="15">
        <v>3150000.0</v>
      </c>
      <c r="J1253" s="15">
        <v>2380000.0</v>
      </c>
      <c r="K1253" s="15">
        <v>2110000.0</v>
      </c>
      <c r="L1253" s="15">
        <v>1840000.0</v>
      </c>
      <c r="M1253" s="15">
        <v>1560000.0</v>
      </c>
      <c r="N1253" s="15">
        <v>1370000.0</v>
      </c>
      <c r="O1253" s="15">
        <v>1880000.0</v>
      </c>
      <c r="P1253" s="15">
        <v>1700000.0</v>
      </c>
      <c r="Q1253" s="15">
        <v>1480000.0</v>
      </c>
      <c r="R1253" s="15">
        <v>1200000.0</v>
      </c>
      <c r="S1253" s="15">
        <v>1030000.0</v>
      </c>
      <c r="T1253" s="15">
        <v>16800.0</v>
      </c>
      <c r="U1253" s="15">
        <v>18500.0</v>
      </c>
      <c r="V1253" s="15">
        <v>18800.0</v>
      </c>
      <c r="W1253" s="15">
        <v>13600.0</v>
      </c>
      <c r="X1253" s="15">
        <v>11200.0</v>
      </c>
      <c r="Y1253" s="12"/>
      <c r="Z1253" s="12"/>
      <c r="AA1253" s="12"/>
      <c r="AB1253" s="12"/>
      <c r="AC1253" s="12"/>
      <c r="AD1253" s="15">
        <v>516010.0</v>
      </c>
      <c r="AE1253" s="15">
        <v>431880.0</v>
      </c>
      <c r="AF1253" s="15">
        <v>384260.0</v>
      </c>
      <c r="AG1253" s="15">
        <v>359480.0</v>
      </c>
      <c r="AH1253" s="15">
        <v>333500.0</v>
      </c>
      <c r="AI1253" s="15">
        <v>607470.0</v>
      </c>
      <c r="AJ1253" s="15">
        <v>526860.0</v>
      </c>
      <c r="AK1253" s="15">
        <v>462720.0</v>
      </c>
      <c r="AL1253" s="15">
        <v>435820.0</v>
      </c>
      <c r="AM1253" s="15">
        <v>392730.0</v>
      </c>
      <c r="AN1253" s="15">
        <v>346560.0</v>
      </c>
      <c r="AO1253" s="15">
        <v>301040.0</v>
      </c>
      <c r="AP1253" s="15">
        <v>179190.0</v>
      </c>
      <c r="AQ1253" s="15">
        <v>243490.0</v>
      </c>
      <c r="AR1253" s="15">
        <v>231910.0</v>
      </c>
      <c r="AS1253" s="15">
        <v>426550.0</v>
      </c>
      <c r="AT1253" s="15">
        <v>568550.0</v>
      </c>
      <c r="AU1253" s="15">
        <v>159340.0</v>
      </c>
      <c r="AV1253" s="15">
        <v>361620.0</v>
      </c>
      <c r="AW1253" s="15">
        <v>232210.0</v>
      </c>
      <c r="AX1253" s="15">
        <v>-236110.0</v>
      </c>
      <c r="AY1253" s="15">
        <v>-143040.0</v>
      </c>
      <c r="AZ1253" s="15">
        <v>-136190.0</v>
      </c>
      <c r="BA1253" s="15">
        <v>-119470.0</v>
      </c>
      <c r="BB1253" s="15">
        <v>-118200.0</v>
      </c>
      <c r="BC1253" s="12"/>
      <c r="BD1253" s="12"/>
      <c r="BE1253" s="12"/>
      <c r="BF1253" s="12"/>
      <c r="BG1253" s="12"/>
      <c r="BH1253" s="15">
        <v>936910.0</v>
      </c>
      <c r="BI1253" s="15">
        <v>972270.0</v>
      </c>
      <c r="BJ1253" s="15">
        <v>736430.0</v>
      </c>
      <c r="BK1253" s="15">
        <v>718540.0</v>
      </c>
      <c r="BL1253" s="15">
        <v>507990.0</v>
      </c>
      <c r="BM1253" s="15">
        <v>699240.0</v>
      </c>
      <c r="BN1253" s="15">
        <v>557600.0</v>
      </c>
      <c r="BO1253" s="15">
        <v>433000.0</v>
      </c>
      <c r="BP1253" s="15">
        <v>346040.0</v>
      </c>
      <c r="BQ1253" s="15">
        <v>362590.0</v>
      </c>
      <c r="BR1253" s="15">
        <v>1070000.0</v>
      </c>
      <c r="BS1253" s="15">
        <v>863260.0</v>
      </c>
      <c r="BT1253" s="15">
        <v>873020.0</v>
      </c>
      <c r="BU1253" s="15">
        <v>700520.0</v>
      </c>
      <c r="BV1253" s="15">
        <v>620250.0</v>
      </c>
      <c r="BW1253" s="15">
        <v>2820000.0</v>
      </c>
      <c r="BX1253" s="15">
        <v>2470000.0</v>
      </c>
      <c r="BY1253" s="15">
        <v>2110000.0</v>
      </c>
      <c r="BZ1253" s="15">
        <v>1830000.0</v>
      </c>
      <c r="CA1253" s="15">
        <v>1550000.0</v>
      </c>
      <c r="CB1253" s="15">
        <v>1810000.0</v>
      </c>
      <c r="CC1253" s="15">
        <v>585460.0</v>
      </c>
      <c r="CD1253" s="15">
        <v>541600.0</v>
      </c>
      <c r="CE1253" s="15">
        <v>494470.0</v>
      </c>
      <c r="CF1253" s="15">
        <v>435910.0</v>
      </c>
      <c r="CG1253" s="12"/>
      <c r="CH1253" s="12"/>
      <c r="CI1253" s="12"/>
      <c r="CJ1253" s="12"/>
      <c r="CK1253" s="12"/>
      <c r="CL1253" s="15">
        <v>4890000.0</v>
      </c>
      <c r="CM1253" s="15">
        <v>3230000.0</v>
      </c>
      <c r="CN1253" s="15">
        <v>2740000.0</v>
      </c>
      <c r="CO1253" s="15">
        <v>2390000.0</v>
      </c>
      <c r="CP1253" s="15">
        <v>2040000.0</v>
      </c>
      <c r="CQ1253" s="15">
        <v>550140.0</v>
      </c>
      <c r="CR1253" s="15">
        <v>499050.0</v>
      </c>
      <c r="CS1253" s="15">
        <v>327930.0</v>
      </c>
      <c r="CT1253" s="15">
        <v>259740.0</v>
      </c>
      <c r="CU1253" s="15">
        <v>353580.0</v>
      </c>
      <c r="CV1253" s="15">
        <v>1240000.0</v>
      </c>
      <c r="CW1253" s="15">
        <v>411620.0</v>
      </c>
      <c r="CX1253" s="15">
        <v>187720.0</v>
      </c>
      <c r="CY1253" s="15">
        <v>185410.0</v>
      </c>
      <c r="CZ1253" s="15">
        <v>266790.0</v>
      </c>
      <c r="DA1253" s="15">
        <v>120460.0</v>
      </c>
      <c r="DB1253" s="15">
        <v>1240000.0</v>
      </c>
      <c r="DC1253" s="15">
        <v>850220.0</v>
      </c>
      <c r="DD1253" s="15">
        <v>597350.0</v>
      </c>
      <c r="DE1253" s="15">
        <v>621730.0</v>
      </c>
      <c r="DF1253" s="15">
        <v>2360000.0</v>
      </c>
      <c r="DG1253" s="15">
        <v>1040000.0</v>
      </c>
      <c r="DH1253" s="15">
        <v>786870.0</v>
      </c>
      <c r="DI1253" s="15">
        <v>708160.0</v>
      </c>
      <c r="DJ1253" s="15">
        <v>664140.0</v>
      </c>
      <c r="DK1253" s="15">
        <v>94590.0</v>
      </c>
      <c r="DL1253" s="15">
        <v>93750.0</v>
      </c>
      <c r="DM1253" s="12"/>
      <c r="DN1253" s="12"/>
      <c r="DO1253" s="12"/>
      <c r="DP1253" s="15">
        <v>1020000.0</v>
      </c>
      <c r="DQ1253" s="15">
        <v>88120.0</v>
      </c>
      <c r="DR1253" s="15">
        <v>71100.0</v>
      </c>
      <c r="DS1253" s="15">
        <v>67160.0</v>
      </c>
      <c r="DT1253" s="15">
        <v>68940.0</v>
      </c>
      <c r="DU1253" s="13"/>
      <c r="DV1253" s="12"/>
      <c r="DW1253" s="12"/>
      <c r="DX1253" s="12"/>
      <c r="DY1253" s="12"/>
      <c r="DZ1253" s="15">
        <v>2310000.0</v>
      </c>
      <c r="EA1253" s="15">
        <v>2030000.0</v>
      </c>
      <c r="EB1253" s="15">
        <v>1830000.0</v>
      </c>
      <c r="EC1253" s="15">
        <v>1600000.0</v>
      </c>
      <c r="ED1253" s="15">
        <v>1330000.0</v>
      </c>
      <c r="EE1253" s="17">
        <v>0.084</v>
      </c>
      <c r="EF1253" s="17">
        <v>0.207</v>
      </c>
      <c r="EG1253" s="17">
        <v>0.333</v>
      </c>
      <c r="EH1253" s="17">
        <v>0.034</v>
      </c>
    </row>
    <row r="1254">
      <c r="A1254" s="9">
        <f t="shared" si="2"/>
        <v>1252</v>
      </c>
      <c r="B1254" s="10" t="s">
        <v>1389</v>
      </c>
      <c r="C1254" s="11">
        <v>1320000.0</v>
      </c>
      <c r="D1254" s="11">
        <v>1150000.0</v>
      </c>
      <c r="E1254" s="11">
        <v>1370000.0</v>
      </c>
      <c r="F1254" s="11">
        <v>1360000.0</v>
      </c>
      <c r="G1254" s="11">
        <v>1060000.0</v>
      </c>
      <c r="H1254" s="11">
        <v>236500.0</v>
      </c>
      <c r="I1254" s="11">
        <v>211770.0</v>
      </c>
      <c r="J1254" s="11">
        <v>273550.0</v>
      </c>
      <c r="K1254" s="11">
        <v>240540.0</v>
      </c>
      <c r="L1254" s="11">
        <v>176620.0</v>
      </c>
      <c r="M1254" s="11">
        <v>21980.0</v>
      </c>
      <c r="N1254" s="11">
        <v>23310.0</v>
      </c>
      <c r="O1254" s="11">
        <v>182280.0</v>
      </c>
      <c r="P1254" s="11">
        <v>260960.0</v>
      </c>
      <c r="Q1254" s="11">
        <v>122580.0</v>
      </c>
      <c r="R1254" s="11">
        <v>22910.0</v>
      </c>
      <c r="S1254" s="11">
        <v>21120.0</v>
      </c>
      <c r="T1254" s="12"/>
      <c r="U1254" s="12"/>
      <c r="V1254" s="12"/>
      <c r="W1254" s="12"/>
      <c r="X1254" s="12"/>
      <c r="Y1254" s="11">
        <v>87680.0</v>
      </c>
      <c r="Z1254" s="11">
        <v>-36520.0</v>
      </c>
      <c r="AA1254" s="12"/>
      <c r="AB1254" s="11">
        <v>349.0</v>
      </c>
      <c r="AC1254" s="12"/>
      <c r="AD1254" s="11">
        <v>85050.0</v>
      </c>
      <c r="AE1254" s="11">
        <v>-41300.0</v>
      </c>
      <c r="AF1254" s="11">
        <v>43120.0</v>
      </c>
      <c r="AG1254" s="11">
        <v>5.0</v>
      </c>
      <c r="AH1254" s="11">
        <v>1870.0</v>
      </c>
      <c r="AI1254" s="11">
        <v>109810.0</v>
      </c>
      <c r="AJ1254" s="11">
        <v>-4340.0</v>
      </c>
      <c r="AK1254" s="11">
        <v>62300.0</v>
      </c>
      <c r="AL1254" s="11">
        <v>95.0</v>
      </c>
      <c r="AM1254" s="11">
        <v>3250.0</v>
      </c>
      <c r="AN1254" s="11">
        <v>57990.0</v>
      </c>
      <c r="AO1254" s="11">
        <v>-58210.0</v>
      </c>
      <c r="AP1254" s="11">
        <v>15800.0</v>
      </c>
      <c r="AQ1254" s="11">
        <v>5.0</v>
      </c>
      <c r="AR1254" s="11">
        <v>1870.0</v>
      </c>
      <c r="AS1254" s="11">
        <v>76740.0</v>
      </c>
      <c r="AT1254" s="11">
        <v>65230.0</v>
      </c>
      <c r="AU1254" s="11">
        <v>31690.0</v>
      </c>
      <c r="AV1254" s="11">
        <v>1950.0</v>
      </c>
      <c r="AW1254" s="11">
        <v>3420.0</v>
      </c>
      <c r="AX1254" s="11">
        <v>-15390.0</v>
      </c>
      <c r="AY1254" s="11">
        <v>-12090.0</v>
      </c>
      <c r="AZ1254" s="11">
        <v>-9440.0</v>
      </c>
      <c r="BA1254" s="11">
        <v>-1360.0</v>
      </c>
      <c r="BB1254" s="11">
        <v>-1130.0</v>
      </c>
      <c r="BC1254" s="13"/>
      <c r="BD1254" s="24">
        <v>-65280.0</v>
      </c>
      <c r="BE1254" s="24">
        <v>-888.0</v>
      </c>
      <c r="BF1254" s="13"/>
      <c r="BG1254" s="13"/>
      <c r="BH1254" s="11">
        <v>209460.0</v>
      </c>
      <c r="BI1254" s="11">
        <v>126630.0</v>
      </c>
      <c r="BJ1254" s="11">
        <v>113730.0</v>
      </c>
      <c r="BK1254" s="11">
        <v>11380.0</v>
      </c>
      <c r="BL1254" s="11">
        <v>7660.0</v>
      </c>
      <c r="BM1254" s="11">
        <v>45730.0</v>
      </c>
      <c r="BN1254" s="11">
        <v>57650.0</v>
      </c>
      <c r="BO1254" s="11">
        <v>41980.0</v>
      </c>
      <c r="BP1254" s="11">
        <v>12750.0</v>
      </c>
      <c r="BQ1254" s="11">
        <v>15150.0</v>
      </c>
      <c r="BR1254" s="11">
        <v>126390.0</v>
      </c>
      <c r="BS1254" s="11">
        <v>122640.0</v>
      </c>
      <c r="BT1254" s="11">
        <v>98020.0</v>
      </c>
      <c r="BU1254" s="11">
        <v>12230.0</v>
      </c>
      <c r="BV1254" s="11">
        <v>11380.0</v>
      </c>
      <c r="BW1254" s="11">
        <v>398810.0</v>
      </c>
      <c r="BX1254" s="11">
        <v>318290.0</v>
      </c>
      <c r="BY1254" s="11">
        <v>263100.0</v>
      </c>
      <c r="BZ1254" s="11">
        <v>37300.0</v>
      </c>
      <c r="CA1254" s="11">
        <v>35820.0</v>
      </c>
      <c r="CB1254" s="11">
        <v>124100.0</v>
      </c>
      <c r="CC1254" s="11">
        <v>108590.0</v>
      </c>
      <c r="CD1254" s="11">
        <v>67960.0</v>
      </c>
      <c r="CE1254" s="11">
        <v>10980.0</v>
      </c>
      <c r="CF1254" s="11">
        <v>11650.0</v>
      </c>
      <c r="CG1254" s="11">
        <v>173520.0</v>
      </c>
      <c r="CH1254" s="11">
        <v>173410.0</v>
      </c>
      <c r="CI1254" s="11">
        <v>3180.0</v>
      </c>
      <c r="CJ1254" s="12"/>
      <c r="CK1254" s="12"/>
      <c r="CL1254" s="11">
        <v>781700.0</v>
      </c>
      <c r="CM1254" s="11">
        <v>699950.0</v>
      </c>
      <c r="CN1254" s="11">
        <v>395400.0</v>
      </c>
      <c r="CO1254" s="11">
        <v>55640.0</v>
      </c>
      <c r="CP1254" s="11">
        <v>54980.0</v>
      </c>
      <c r="CQ1254" s="11">
        <v>38700.0</v>
      </c>
      <c r="CR1254" s="11">
        <v>43420.0</v>
      </c>
      <c r="CS1254" s="11">
        <v>36770.0</v>
      </c>
      <c r="CT1254" s="11">
        <v>3860.0</v>
      </c>
      <c r="CU1254" s="11">
        <v>3920.0</v>
      </c>
      <c r="CV1254" s="11">
        <v>186650.0</v>
      </c>
      <c r="CW1254" s="11">
        <v>38700.0</v>
      </c>
      <c r="CX1254" s="24">
        <v>33320.0</v>
      </c>
      <c r="CY1254" s="24">
        <v>29830.0</v>
      </c>
      <c r="CZ1254" s="13"/>
      <c r="DA1254" s="12"/>
      <c r="DB1254" s="11">
        <v>186650.0</v>
      </c>
      <c r="DC1254" s="11">
        <v>206300.0</v>
      </c>
      <c r="DD1254" s="11">
        <v>167110.0</v>
      </c>
      <c r="DE1254" s="11">
        <v>18390.0</v>
      </c>
      <c r="DF1254" s="11">
        <v>307390.0</v>
      </c>
      <c r="DG1254" s="11">
        <v>287980.0</v>
      </c>
      <c r="DH1254" s="11">
        <v>242100.0</v>
      </c>
      <c r="DI1254" s="11">
        <v>30350.0</v>
      </c>
      <c r="DJ1254" s="11">
        <v>29850.0</v>
      </c>
      <c r="DK1254" s="12"/>
      <c r="DL1254" s="12"/>
      <c r="DM1254" s="11">
        <v>22890.0</v>
      </c>
      <c r="DN1254" s="12"/>
      <c r="DO1254" s="13"/>
      <c r="DP1254" s="11">
        <v>87350.0</v>
      </c>
      <c r="DQ1254" s="11">
        <v>54330.0</v>
      </c>
      <c r="DR1254" s="11">
        <v>58930.0</v>
      </c>
      <c r="DS1254" s="11">
        <v>4310.0</v>
      </c>
      <c r="DT1254" s="11">
        <v>4310.0</v>
      </c>
      <c r="DU1254" s="13"/>
      <c r="DV1254" s="12"/>
      <c r="DW1254" s="12"/>
      <c r="DX1254" s="13"/>
      <c r="DY1254" s="13"/>
      <c r="DZ1254" s="11">
        <v>474320.0</v>
      </c>
      <c r="EA1254" s="11">
        <v>411970.0</v>
      </c>
      <c r="EB1254" s="11">
        <v>153300.0</v>
      </c>
      <c r="EC1254" s="11">
        <v>25300.0</v>
      </c>
      <c r="ED1254" s="11">
        <v>25130.0</v>
      </c>
      <c r="EE1254" s="23">
        <v>0.165217391</v>
      </c>
      <c r="EF1254" s="23">
        <v>0.075757576</v>
      </c>
      <c r="EG1254" s="14">
        <v>-0.3</v>
      </c>
      <c r="EH1254" s="23">
        <v>0.03125</v>
      </c>
    </row>
    <row r="1255">
      <c r="A1255" s="9">
        <f t="shared" si="2"/>
        <v>1253</v>
      </c>
      <c r="B1255" s="18" t="s">
        <v>1390</v>
      </c>
      <c r="C1255" s="19">
        <v>2520000.0</v>
      </c>
      <c r="D1255" s="19">
        <v>2080000.0</v>
      </c>
      <c r="E1255" s="19">
        <v>2970000.0</v>
      </c>
      <c r="F1255" s="19">
        <v>3220000.0</v>
      </c>
      <c r="G1255" s="19">
        <v>3120000.0</v>
      </c>
      <c r="H1255" s="19">
        <v>3120000.0</v>
      </c>
      <c r="I1255" s="19">
        <v>3100000.0</v>
      </c>
      <c r="J1255" s="19">
        <v>777860.0</v>
      </c>
      <c r="K1255" s="19">
        <v>747110.0</v>
      </c>
      <c r="L1255" s="19">
        <v>638980.0</v>
      </c>
      <c r="M1255" s="19">
        <v>598010.0</v>
      </c>
      <c r="N1255" s="19">
        <v>494200.0</v>
      </c>
      <c r="O1255" s="19">
        <v>243730.0</v>
      </c>
      <c r="P1255" s="19">
        <v>272830.0</v>
      </c>
      <c r="Q1255" s="19">
        <v>250780.0</v>
      </c>
      <c r="R1255" s="19">
        <v>305040.0</v>
      </c>
      <c r="S1255" s="19">
        <v>259690.0</v>
      </c>
      <c r="T1255" s="20"/>
      <c r="U1255" s="20"/>
      <c r="V1255" s="20"/>
      <c r="W1255" s="20"/>
      <c r="X1255" s="20"/>
      <c r="Y1255" s="19">
        <v>512260.0</v>
      </c>
      <c r="Z1255" s="20"/>
      <c r="AA1255" s="20"/>
      <c r="AB1255" s="19">
        <v>-464370.0</v>
      </c>
      <c r="AC1255" s="19">
        <v>33660.0</v>
      </c>
      <c r="AD1255" s="19">
        <v>446310.0</v>
      </c>
      <c r="AE1255" s="19">
        <v>366310.0</v>
      </c>
      <c r="AF1255" s="19">
        <v>288180.0</v>
      </c>
      <c r="AG1255" s="19">
        <v>-248810.0</v>
      </c>
      <c r="AH1255" s="19">
        <v>194320.0</v>
      </c>
      <c r="AI1255" s="19">
        <v>902230.0</v>
      </c>
      <c r="AJ1255" s="19">
        <v>808870.0</v>
      </c>
      <c r="AK1255" s="19">
        <v>680970.0</v>
      </c>
      <c r="AL1255" s="19">
        <v>577930.0</v>
      </c>
      <c r="AM1255" s="19">
        <v>499020.0</v>
      </c>
      <c r="AN1255" s="19">
        <v>340100.0</v>
      </c>
      <c r="AO1255" s="19">
        <v>280370.0</v>
      </c>
      <c r="AP1255" s="19">
        <v>428910.0</v>
      </c>
      <c r="AQ1255" s="19">
        <v>-161590.0</v>
      </c>
      <c r="AR1255" s="19">
        <v>117820.0</v>
      </c>
      <c r="AS1255" s="19">
        <v>721030.0</v>
      </c>
      <c r="AT1255" s="19">
        <v>802530.0</v>
      </c>
      <c r="AU1255" s="19">
        <v>675880.0</v>
      </c>
      <c r="AV1255" s="19">
        <v>506690.0</v>
      </c>
      <c r="AW1255" s="19">
        <v>413960.0</v>
      </c>
      <c r="AX1255" s="19">
        <v>-668390.0</v>
      </c>
      <c r="AY1255" s="19">
        <v>-1130000.0</v>
      </c>
      <c r="AZ1255" s="19">
        <v>-709750.0</v>
      </c>
      <c r="BA1255" s="19">
        <v>-1150000.0</v>
      </c>
      <c r="BB1255" s="19">
        <v>-721280.0</v>
      </c>
      <c r="BC1255" s="19">
        <v>-23470.0</v>
      </c>
      <c r="BD1255" s="19">
        <v>-19740.0</v>
      </c>
      <c r="BE1255" s="19">
        <v>-15020.0</v>
      </c>
      <c r="BF1255" s="19">
        <v>-9260.0</v>
      </c>
      <c r="BG1255" s="19">
        <v>-8260.0</v>
      </c>
      <c r="BH1255" s="19">
        <v>520170.0</v>
      </c>
      <c r="BI1255" s="19">
        <v>689330.0</v>
      </c>
      <c r="BJ1255" s="19">
        <v>685300.0</v>
      </c>
      <c r="BK1255" s="19">
        <v>564910.0</v>
      </c>
      <c r="BL1255" s="19">
        <v>497920.0</v>
      </c>
      <c r="BM1255" s="19">
        <v>94120.0</v>
      </c>
      <c r="BN1255" s="19">
        <v>90130.0</v>
      </c>
      <c r="BO1255" s="19">
        <v>48050.0</v>
      </c>
      <c r="BP1255" s="19">
        <v>53910.0</v>
      </c>
      <c r="BQ1255" s="19">
        <v>65030.0</v>
      </c>
      <c r="BR1255" s="19">
        <v>110500.0</v>
      </c>
      <c r="BS1255" s="19">
        <v>127690.0</v>
      </c>
      <c r="BT1255" s="19">
        <v>119760.0</v>
      </c>
      <c r="BU1255" s="19">
        <v>118510.0</v>
      </c>
      <c r="BV1255" s="19">
        <v>140310.0</v>
      </c>
      <c r="BW1255" s="19">
        <v>760350.0</v>
      </c>
      <c r="BX1255" s="19">
        <v>1020000.0</v>
      </c>
      <c r="BY1255" s="19">
        <v>995130.0</v>
      </c>
      <c r="BZ1255" s="19">
        <v>917790.0</v>
      </c>
      <c r="CA1255" s="19">
        <v>1020000.0</v>
      </c>
      <c r="CB1255" s="19">
        <v>5730000.0</v>
      </c>
      <c r="CC1255" s="19">
        <v>5010000.0</v>
      </c>
      <c r="CD1255" s="19">
        <v>4180000.0</v>
      </c>
      <c r="CE1255" s="19">
        <v>3820000.0</v>
      </c>
      <c r="CF1255" s="19">
        <v>3470000.0</v>
      </c>
      <c r="CG1255" s="20"/>
      <c r="CH1255" s="20"/>
      <c r="CI1255" s="20"/>
      <c r="CJ1255" s="20"/>
      <c r="CK1255" s="20"/>
      <c r="CL1255" s="19">
        <v>6660000.0</v>
      </c>
      <c r="CM1255" s="19">
        <v>6310000.0</v>
      </c>
      <c r="CN1255" s="19">
        <v>5470000.0</v>
      </c>
      <c r="CO1255" s="19">
        <v>5010000.0</v>
      </c>
      <c r="CP1255" s="19">
        <v>4780000.0</v>
      </c>
      <c r="CQ1255" s="19">
        <v>284470.0</v>
      </c>
      <c r="CR1255" s="19">
        <v>331980.0</v>
      </c>
      <c r="CS1255" s="19">
        <v>288900.0</v>
      </c>
      <c r="CT1255" s="19">
        <v>241220.0</v>
      </c>
      <c r="CU1255" s="19">
        <v>279860.0</v>
      </c>
      <c r="CV1255" s="19">
        <v>924680.0</v>
      </c>
      <c r="CW1255" s="19">
        <v>94810.0</v>
      </c>
      <c r="CX1255" s="20"/>
      <c r="CY1255" s="20"/>
      <c r="CZ1255" s="20"/>
      <c r="DA1255" s="20"/>
      <c r="DB1255" s="19">
        <v>924680.0</v>
      </c>
      <c r="DC1255" s="19">
        <v>924830.0</v>
      </c>
      <c r="DD1255" s="19">
        <v>820830.0</v>
      </c>
      <c r="DE1255" s="19">
        <v>747270.0</v>
      </c>
      <c r="DF1255" s="19">
        <v>4480000.0</v>
      </c>
      <c r="DG1255" s="19">
        <v>4350000.0</v>
      </c>
      <c r="DH1255" s="19">
        <v>3720000.0</v>
      </c>
      <c r="DI1255" s="19">
        <v>3660000.0</v>
      </c>
      <c r="DJ1255" s="19">
        <v>3280000.0</v>
      </c>
      <c r="DK1255" s="19">
        <v>23900.0</v>
      </c>
      <c r="DL1255" s="20"/>
      <c r="DM1255" s="20"/>
      <c r="DN1255" s="20"/>
      <c r="DO1255" s="19">
        <v>2300.0</v>
      </c>
      <c r="DP1255" s="39">
        <v>2890000.0</v>
      </c>
      <c r="DQ1255" s="39">
        <v>2810000.0</v>
      </c>
      <c r="DR1255" s="39">
        <v>2380000.0</v>
      </c>
      <c r="DS1255" s="39">
        <v>2240000.0</v>
      </c>
      <c r="DT1255" s="39">
        <v>1660000.0</v>
      </c>
      <c r="DU1255" s="27"/>
      <c r="DV1255" s="27"/>
      <c r="DW1255" s="27"/>
      <c r="DX1255" s="20"/>
      <c r="DY1255" s="27"/>
      <c r="DZ1255" s="19">
        <v>2180000.0</v>
      </c>
      <c r="EA1255" s="19">
        <v>1960000.0</v>
      </c>
      <c r="EB1255" s="19">
        <v>1750000.0</v>
      </c>
      <c r="EC1255" s="19">
        <v>1350000.0</v>
      </c>
      <c r="ED1255" s="19">
        <v>1510000.0</v>
      </c>
      <c r="EE1255" s="21">
        <v>0.125</v>
      </c>
      <c r="EF1255" s="21">
        <v>0.19</v>
      </c>
      <c r="EG1255" s="21">
        <v>-18.667</v>
      </c>
      <c r="EH1255" s="21">
        <v>-4.744</v>
      </c>
    </row>
    <row r="1256">
      <c r="A1256" s="9">
        <f t="shared" si="2"/>
        <v>1254</v>
      </c>
      <c r="B1256" s="10" t="s">
        <v>1391</v>
      </c>
      <c r="C1256" s="15">
        <v>922610.0</v>
      </c>
      <c r="D1256" s="15">
        <v>835080.0</v>
      </c>
      <c r="E1256" s="15">
        <v>837550.0</v>
      </c>
      <c r="F1256" s="15">
        <v>868270.0</v>
      </c>
      <c r="G1256" s="15">
        <v>768870.0</v>
      </c>
      <c r="H1256" s="15">
        <v>697630.0</v>
      </c>
      <c r="I1256" s="15">
        <v>644830.0</v>
      </c>
      <c r="J1256" s="15">
        <v>510280.0</v>
      </c>
      <c r="K1256" s="15">
        <v>521400.0</v>
      </c>
      <c r="L1256" s="15">
        <v>454190.0</v>
      </c>
      <c r="M1256" s="15">
        <v>421500.0</v>
      </c>
      <c r="N1256" s="15">
        <v>380770.0</v>
      </c>
      <c r="O1256" s="15">
        <v>452800.0</v>
      </c>
      <c r="P1256" s="15">
        <v>431290.0</v>
      </c>
      <c r="Q1256" s="15">
        <v>369670.0</v>
      </c>
      <c r="R1256" s="15">
        <v>357630.0</v>
      </c>
      <c r="S1256" s="15">
        <v>348440.0</v>
      </c>
      <c r="T1256" s="15">
        <v>257150.0</v>
      </c>
      <c r="U1256" s="15">
        <v>238350.0</v>
      </c>
      <c r="V1256" s="15">
        <v>209490.0</v>
      </c>
      <c r="W1256" s="15">
        <v>199740.0</v>
      </c>
      <c r="X1256" s="15">
        <v>188050.0</v>
      </c>
      <c r="Y1256" s="15">
        <v>0.0</v>
      </c>
      <c r="Z1256" s="15">
        <v>83510.0</v>
      </c>
      <c r="AA1256" s="15">
        <v>84770.0</v>
      </c>
      <c r="AB1256" s="15">
        <v>66190.0</v>
      </c>
      <c r="AC1256" s="15">
        <v>33170.0</v>
      </c>
      <c r="AD1256" s="15">
        <v>49650.0</v>
      </c>
      <c r="AE1256" s="15">
        <v>72160.0</v>
      </c>
      <c r="AF1256" s="15">
        <v>76900.0</v>
      </c>
      <c r="AG1256" s="15">
        <v>64500.0</v>
      </c>
      <c r="AH1256" s="15">
        <v>30260.0</v>
      </c>
      <c r="AI1256" s="15">
        <v>113860.0</v>
      </c>
      <c r="AJ1256" s="15">
        <v>144020.0</v>
      </c>
      <c r="AK1256" s="15">
        <v>126390.0</v>
      </c>
      <c r="AL1256" s="15">
        <v>104400.0</v>
      </c>
      <c r="AM1256" s="15">
        <v>73980.0</v>
      </c>
      <c r="AN1256" s="15">
        <v>19270.0</v>
      </c>
      <c r="AO1256" s="15">
        <v>83590.0</v>
      </c>
      <c r="AP1256" s="15">
        <v>47090.0</v>
      </c>
      <c r="AQ1256" s="15">
        <v>61490.0</v>
      </c>
      <c r="AR1256" s="15">
        <v>29590.0</v>
      </c>
      <c r="AS1256" s="15">
        <v>165390.0</v>
      </c>
      <c r="AT1256" s="15">
        <v>173540.0</v>
      </c>
      <c r="AU1256" s="15">
        <v>189520.0</v>
      </c>
      <c r="AV1256" s="15">
        <v>128910.0</v>
      </c>
      <c r="AW1256" s="15">
        <v>105450.0</v>
      </c>
      <c r="AX1256" s="15">
        <v>-24680.0</v>
      </c>
      <c r="AY1256" s="15">
        <v>-35530.0</v>
      </c>
      <c r="AZ1256" s="15">
        <v>-17210.0</v>
      </c>
      <c r="BA1256" s="15">
        <v>-19730.0</v>
      </c>
      <c r="BB1256" s="15">
        <v>-17670.0</v>
      </c>
      <c r="BC1256" s="15">
        <v>0.0</v>
      </c>
      <c r="BD1256" s="15">
        <v>0.0</v>
      </c>
      <c r="BE1256" s="15">
        <v>0.0</v>
      </c>
      <c r="BF1256" s="15">
        <v>0.0</v>
      </c>
      <c r="BG1256" s="15">
        <v>0.0</v>
      </c>
      <c r="BH1256" s="15">
        <v>725970.0</v>
      </c>
      <c r="BI1256" s="15">
        <v>613820.0</v>
      </c>
      <c r="BJ1256" s="15">
        <v>764020.0</v>
      </c>
      <c r="BK1256" s="15">
        <v>295070.0</v>
      </c>
      <c r="BL1256" s="15">
        <v>242990.0</v>
      </c>
      <c r="BM1256" s="15">
        <v>75640.0</v>
      </c>
      <c r="BN1256" s="15">
        <v>73190.0</v>
      </c>
      <c r="BO1256" s="15">
        <v>71370.0</v>
      </c>
      <c r="BP1256" s="15">
        <v>74400.0</v>
      </c>
      <c r="BQ1256" s="15">
        <v>73600.0</v>
      </c>
      <c r="BR1256" s="15">
        <v>73060.0</v>
      </c>
      <c r="BS1256" s="15">
        <v>74970.0</v>
      </c>
      <c r="BT1256" s="15">
        <v>73130.0</v>
      </c>
      <c r="BU1256" s="15">
        <v>59580.0</v>
      </c>
      <c r="BV1256" s="15">
        <v>53900.0</v>
      </c>
      <c r="BW1256" s="15">
        <v>943860.0</v>
      </c>
      <c r="BX1256" s="15">
        <v>826640.0</v>
      </c>
      <c r="BY1256" s="15">
        <v>947640.0</v>
      </c>
      <c r="BZ1256" s="15">
        <v>490850.0</v>
      </c>
      <c r="CA1256" s="15">
        <v>423140.0</v>
      </c>
      <c r="CB1256" s="15">
        <v>152030.0</v>
      </c>
      <c r="CC1256" s="15">
        <v>139050.0</v>
      </c>
      <c r="CD1256" s="15">
        <v>127680.0</v>
      </c>
      <c r="CE1256" s="15">
        <v>129560.0</v>
      </c>
      <c r="CF1256" s="15">
        <v>131130.0</v>
      </c>
      <c r="CG1256" s="15">
        <v>398400.0</v>
      </c>
      <c r="CH1256" s="15">
        <v>397340.0</v>
      </c>
      <c r="CI1256" s="15">
        <v>288230.0</v>
      </c>
      <c r="CJ1256" s="15">
        <v>276130.0</v>
      </c>
      <c r="CK1256" s="15">
        <v>272720.0</v>
      </c>
      <c r="CL1256" s="15">
        <v>1670000.0</v>
      </c>
      <c r="CM1256" s="15">
        <v>1620000.0</v>
      </c>
      <c r="CN1256" s="15">
        <v>1540000.0</v>
      </c>
      <c r="CO1256" s="15">
        <v>1080000.0</v>
      </c>
      <c r="CP1256" s="15">
        <v>1010000.0</v>
      </c>
      <c r="CQ1256" s="15">
        <v>38900.0</v>
      </c>
      <c r="CR1256" s="15">
        <v>41170.0</v>
      </c>
      <c r="CS1256" s="15">
        <v>38850.0</v>
      </c>
      <c r="CT1256" s="15">
        <v>39580.0</v>
      </c>
      <c r="CU1256" s="15">
        <v>42130.0</v>
      </c>
      <c r="CV1256" s="15">
        <v>137700.0</v>
      </c>
      <c r="CW1256" s="15">
        <v>5600.0</v>
      </c>
      <c r="CX1256" s="15">
        <v>5290.0</v>
      </c>
      <c r="CY1256" s="16">
        <v>0.0</v>
      </c>
      <c r="CZ1256" s="16">
        <v>0.0</v>
      </c>
      <c r="DA1256" s="15">
        <v>0.0</v>
      </c>
      <c r="DB1256" s="15">
        <v>137700.0</v>
      </c>
      <c r="DC1256" s="15">
        <v>144850.0</v>
      </c>
      <c r="DD1256" s="15">
        <v>162330.0</v>
      </c>
      <c r="DE1256" s="15">
        <v>139700.0</v>
      </c>
      <c r="DF1256" s="15">
        <v>559800.0</v>
      </c>
      <c r="DG1256" s="15">
        <v>557060.0</v>
      </c>
      <c r="DH1256" s="15">
        <v>582070.0</v>
      </c>
      <c r="DI1256" s="15">
        <v>254890.0</v>
      </c>
      <c r="DJ1256" s="15">
        <v>250350.0</v>
      </c>
      <c r="DK1256" s="15">
        <v>12350.0</v>
      </c>
      <c r="DL1256" s="15">
        <v>11860.0</v>
      </c>
      <c r="DM1256" s="15">
        <v>9480.0</v>
      </c>
      <c r="DN1256" s="15">
        <v>8000.0</v>
      </c>
      <c r="DO1256" s="15">
        <v>7130.0</v>
      </c>
      <c r="DP1256" s="15">
        <v>380550.0</v>
      </c>
      <c r="DQ1256" s="15">
        <v>373710.0</v>
      </c>
      <c r="DR1256" s="15">
        <v>341880.0</v>
      </c>
      <c r="DS1256" s="15">
        <v>72500.0</v>
      </c>
      <c r="DT1256" s="15">
        <v>67500.0</v>
      </c>
      <c r="DU1256" s="16">
        <v>0.0</v>
      </c>
      <c r="DV1256" s="15">
        <v>0.0</v>
      </c>
      <c r="DW1256" s="15">
        <v>0.0</v>
      </c>
      <c r="DX1256" s="15">
        <v>0.0</v>
      </c>
      <c r="DY1256" s="15">
        <v>0.0</v>
      </c>
      <c r="DZ1256" s="15">
        <v>1120000.0</v>
      </c>
      <c r="EA1256" s="15">
        <v>1070000.0</v>
      </c>
      <c r="EB1256" s="15">
        <v>953020.0</v>
      </c>
      <c r="EC1256" s="15">
        <v>826960.0</v>
      </c>
      <c r="ED1256" s="15">
        <v>761110.0</v>
      </c>
      <c r="EE1256" s="17">
        <v>0.038</v>
      </c>
      <c r="EF1256" s="17">
        <v>0.088</v>
      </c>
      <c r="EG1256" s="17">
        <v>0.327</v>
      </c>
      <c r="EH1256" s="17">
        <v>0.134</v>
      </c>
    </row>
    <row r="1257">
      <c r="A1257" s="9">
        <f t="shared" si="2"/>
        <v>1255</v>
      </c>
      <c r="B1257" s="10" t="s">
        <v>1392</v>
      </c>
      <c r="C1257" s="15">
        <v>719210.0</v>
      </c>
      <c r="D1257" s="15">
        <v>697060.0</v>
      </c>
      <c r="E1257" s="15">
        <v>1470000.0</v>
      </c>
      <c r="F1257" s="15">
        <v>1580000.0</v>
      </c>
      <c r="G1257" s="15">
        <v>1240000.0</v>
      </c>
      <c r="H1257" s="15">
        <v>559630.0</v>
      </c>
      <c r="I1257" s="15">
        <v>642990.0</v>
      </c>
      <c r="J1257" s="15">
        <v>161740.0</v>
      </c>
      <c r="K1257" s="15">
        <v>265340.0</v>
      </c>
      <c r="L1257" s="15">
        <v>276800.0</v>
      </c>
      <c r="M1257" s="15">
        <v>14200.0</v>
      </c>
      <c r="N1257" s="15">
        <v>89450.0</v>
      </c>
      <c r="O1257" s="15">
        <v>141750.0</v>
      </c>
      <c r="P1257" s="15">
        <v>132670.0</v>
      </c>
      <c r="Q1257" s="15">
        <v>107060.0</v>
      </c>
      <c r="R1257" s="15">
        <v>63330.0</v>
      </c>
      <c r="S1257" s="15">
        <v>62780.0</v>
      </c>
      <c r="T1257" s="15">
        <v>0.0</v>
      </c>
      <c r="U1257" s="15">
        <v>0.0</v>
      </c>
      <c r="V1257" s="15">
        <v>0.0</v>
      </c>
      <c r="W1257" s="15">
        <v>0.0</v>
      </c>
      <c r="X1257" s="15">
        <v>0.0</v>
      </c>
      <c r="Y1257" s="15">
        <v>-335960.0</v>
      </c>
      <c r="Z1257" s="15">
        <v>-168030.0</v>
      </c>
      <c r="AA1257" s="15">
        <v>0.0</v>
      </c>
      <c r="AB1257" s="15">
        <v>-53530.0</v>
      </c>
      <c r="AC1257" s="15">
        <v>0.0</v>
      </c>
      <c r="AD1257" s="15">
        <v>-428910.0</v>
      </c>
      <c r="AE1257" s="15">
        <v>-229950.0</v>
      </c>
      <c r="AF1257" s="15">
        <v>136530.0</v>
      </c>
      <c r="AG1257" s="15">
        <v>-77750.0</v>
      </c>
      <c r="AH1257" s="15">
        <v>0.0</v>
      </c>
      <c r="AI1257" s="15">
        <v>199440.0</v>
      </c>
      <c r="AJ1257" s="15">
        <v>281500.0</v>
      </c>
      <c r="AK1257" s="15">
        <v>266980.0</v>
      </c>
      <c r="AL1257" s="15">
        <v>19000.0</v>
      </c>
      <c r="AM1257" s="15">
        <v>85150.0</v>
      </c>
      <c r="AN1257" s="15">
        <v>-329080.0</v>
      </c>
      <c r="AO1257" s="15">
        <v>-200810.0</v>
      </c>
      <c r="AP1257" s="15">
        <v>145210.0</v>
      </c>
      <c r="AQ1257" s="15">
        <v>-41060.0</v>
      </c>
      <c r="AR1257" s="15">
        <v>11870.0</v>
      </c>
      <c r="AS1257" s="15">
        <v>144050.0</v>
      </c>
      <c r="AT1257" s="15">
        <v>310710.0</v>
      </c>
      <c r="AU1257" s="15">
        <v>222010.0</v>
      </c>
      <c r="AV1257" s="15">
        <v>0.0</v>
      </c>
      <c r="AW1257" s="15">
        <v>61490.0</v>
      </c>
      <c r="AX1257" s="15">
        <v>-122290.0</v>
      </c>
      <c r="AY1257" s="15">
        <v>-349860.0</v>
      </c>
      <c r="AZ1257" s="15">
        <v>-372070.0</v>
      </c>
      <c r="BA1257" s="15">
        <v>-47410.0</v>
      </c>
      <c r="BB1257" s="15">
        <v>-53650.0</v>
      </c>
      <c r="BC1257" s="15">
        <v>-18590.0</v>
      </c>
      <c r="BD1257" s="15">
        <v>-19910.0</v>
      </c>
      <c r="BE1257" s="15">
        <v>-20380.0</v>
      </c>
      <c r="BF1257" s="15">
        <v>-15130.0</v>
      </c>
      <c r="BG1257" s="15">
        <v>-26800.0</v>
      </c>
      <c r="BH1257" s="15">
        <v>185740.0</v>
      </c>
      <c r="BI1257" s="15">
        <v>202500.0</v>
      </c>
      <c r="BJ1257" s="15">
        <v>384570.0</v>
      </c>
      <c r="BK1257" s="15">
        <v>711230.0</v>
      </c>
      <c r="BL1257" s="15">
        <v>298930.0</v>
      </c>
      <c r="BM1257" s="15">
        <v>182240.0</v>
      </c>
      <c r="BN1257" s="15">
        <v>215490.0</v>
      </c>
      <c r="BO1257" s="15">
        <v>212590.0</v>
      </c>
      <c r="BP1257" s="15">
        <v>89010.0</v>
      </c>
      <c r="BQ1257" s="15">
        <v>58710.0</v>
      </c>
      <c r="BR1257" s="15">
        <v>124430.0</v>
      </c>
      <c r="BS1257" s="15">
        <v>162090.0</v>
      </c>
      <c r="BT1257" s="15">
        <v>92380.0</v>
      </c>
      <c r="BU1257" s="15">
        <v>78710.0</v>
      </c>
      <c r="BV1257" s="15">
        <v>65000.0</v>
      </c>
      <c r="BW1257" s="15">
        <v>509040.0</v>
      </c>
      <c r="BX1257" s="15">
        <v>600240.0</v>
      </c>
      <c r="BY1257" s="15">
        <v>703240.0</v>
      </c>
      <c r="BZ1257" s="15">
        <v>892950.0</v>
      </c>
      <c r="CA1257" s="15">
        <v>439140.0</v>
      </c>
      <c r="CB1257" s="15">
        <v>1570000.0</v>
      </c>
      <c r="CC1257" s="15">
        <v>1830000.0</v>
      </c>
      <c r="CD1257" s="15">
        <v>1170000.0</v>
      </c>
      <c r="CE1257" s="15">
        <v>783310.0</v>
      </c>
      <c r="CF1257" s="15">
        <v>561200.0</v>
      </c>
      <c r="CG1257" s="15">
        <v>273520.0</v>
      </c>
      <c r="CH1257" s="15">
        <v>261340.0</v>
      </c>
      <c r="CI1257" s="15">
        <v>272080.0</v>
      </c>
      <c r="CJ1257" s="15">
        <v>240980.0</v>
      </c>
      <c r="CK1257" s="15">
        <v>68650.0</v>
      </c>
      <c r="CL1257" s="15">
        <v>2700000.0</v>
      </c>
      <c r="CM1257" s="15">
        <v>2990000.0</v>
      </c>
      <c r="CN1257" s="15">
        <v>2410000.0</v>
      </c>
      <c r="CO1257" s="15">
        <v>2210000.0</v>
      </c>
      <c r="CP1257" s="15">
        <v>1110000.0</v>
      </c>
      <c r="CQ1257" s="15">
        <v>168530.0</v>
      </c>
      <c r="CR1257" s="15">
        <v>178800.0</v>
      </c>
      <c r="CS1257" s="15">
        <v>148770.0</v>
      </c>
      <c r="CT1257" s="15">
        <v>70780.0</v>
      </c>
      <c r="CU1257" s="15">
        <v>49630.0</v>
      </c>
      <c r="CV1257" s="15">
        <v>335400.0</v>
      </c>
      <c r="CW1257" s="15">
        <v>53590.0</v>
      </c>
      <c r="CX1257" s="15">
        <v>0.0</v>
      </c>
      <c r="CY1257" s="15">
        <v>0.0</v>
      </c>
      <c r="CZ1257" s="15">
        <v>0.0</v>
      </c>
      <c r="DA1257" s="15">
        <v>0.0</v>
      </c>
      <c r="DB1257" s="15">
        <v>335400.0</v>
      </c>
      <c r="DC1257" s="15">
        <v>261340.0</v>
      </c>
      <c r="DD1257" s="15">
        <v>215600.0</v>
      </c>
      <c r="DE1257" s="15">
        <v>109960.0</v>
      </c>
      <c r="DF1257" s="15">
        <v>1980000.0</v>
      </c>
      <c r="DG1257" s="15">
        <v>1940000.0</v>
      </c>
      <c r="DH1257" s="15">
        <v>1020000.0</v>
      </c>
      <c r="DI1257" s="15">
        <v>940080.0</v>
      </c>
      <c r="DJ1257" s="15">
        <v>724450.0</v>
      </c>
      <c r="DK1257" s="15">
        <v>0.0</v>
      </c>
      <c r="DL1257" s="15">
        <v>0.0</v>
      </c>
      <c r="DM1257" s="15">
        <v>0.0</v>
      </c>
      <c r="DN1257" s="15">
        <v>0.0</v>
      </c>
      <c r="DO1257" s="15">
        <v>0.0</v>
      </c>
      <c r="DP1257" s="15">
        <v>1330000.0</v>
      </c>
      <c r="DQ1257" s="15">
        <v>1250000.0</v>
      </c>
      <c r="DR1257" s="15">
        <v>505080.0</v>
      </c>
      <c r="DS1257" s="15">
        <v>509130.0</v>
      </c>
      <c r="DT1257" s="15">
        <v>488380.0</v>
      </c>
      <c r="DU1257" s="15">
        <v>0.0</v>
      </c>
      <c r="DV1257" s="15">
        <v>0.0</v>
      </c>
      <c r="DW1257" s="15">
        <v>0.0</v>
      </c>
      <c r="DX1257" s="16">
        <v>0.0</v>
      </c>
      <c r="DY1257" s="16">
        <v>0.0</v>
      </c>
      <c r="DZ1257" s="15">
        <v>705220.0</v>
      </c>
      <c r="EA1257" s="15">
        <v>1040000.0</v>
      </c>
      <c r="EB1257" s="15">
        <v>1400000.0</v>
      </c>
      <c r="EC1257" s="15">
        <v>1270000.0</v>
      </c>
      <c r="ED1257" s="15">
        <v>384170.0</v>
      </c>
      <c r="EE1257" s="17">
        <v>0.172</v>
      </c>
      <c r="EF1257" s="17">
        <v>0.594</v>
      </c>
      <c r="EG1257" s="17">
        <v>0.93</v>
      </c>
      <c r="EH1257" s="17">
        <v>-0.309</v>
      </c>
    </row>
    <row r="1258">
      <c r="A1258" s="9">
        <f t="shared" si="2"/>
        <v>1256</v>
      </c>
      <c r="B1258" s="22" t="s">
        <v>1393</v>
      </c>
      <c r="C1258" s="12"/>
      <c r="D1258" s="12"/>
      <c r="E1258" s="12"/>
      <c r="F1258" s="12"/>
      <c r="G1258" s="12"/>
      <c r="H1258" s="12"/>
      <c r="I1258" s="12"/>
      <c r="J1258" s="11">
        <v>-2820.0</v>
      </c>
      <c r="K1258" s="11">
        <v>-1570.0</v>
      </c>
      <c r="L1258" s="11">
        <v>-448.0</v>
      </c>
      <c r="M1258" s="11">
        <v>-56.0</v>
      </c>
      <c r="N1258" s="12"/>
      <c r="O1258" s="11">
        <v>116490.0</v>
      </c>
      <c r="P1258" s="11">
        <v>74120.0</v>
      </c>
      <c r="Q1258" s="11">
        <v>54410.0</v>
      </c>
      <c r="R1258" s="11">
        <v>25520.0</v>
      </c>
      <c r="S1258" s="11">
        <v>6560.0</v>
      </c>
      <c r="T1258" s="11">
        <v>94740.0</v>
      </c>
      <c r="U1258" s="11">
        <v>57970.0</v>
      </c>
      <c r="V1258" s="11">
        <v>39910.0</v>
      </c>
      <c r="W1258" s="11">
        <v>20120.0</v>
      </c>
      <c r="X1258" s="11">
        <v>4190.0</v>
      </c>
      <c r="Y1258" s="12"/>
      <c r="Z1258" s="12"/>
      <c r="AA1258" s="11">
        <v>-54400.0</v>
      </c>
      <c r="AB1258" s="11">
        <v>-24410.0</v>
      </c>
      <c r="AC1258" s="11">
        <v>-6670.0</v>
      </c>
      <c r="AD1258" s="11">
        <v>-117220.0</v>
      </c>
      <c r="AE1258" s="11">
        <v>-74800.0</v>
      </c>
      <c r="AF1258" s="11">
        <v>-53180.0</v>
      </c>
      <c r="AG1258" s="11">
        <v>-23770.0</v>
      </c>
      <c r="AH1258" s="11">
        <v>-6660.0</v>
      </c>
      <c r="AI1258" s="11">
        <v>-116490.0</v>
      </c>
      <c r="AJ1258" s="11">
        <v>-74120.0</v>
      </c>
      <c r="AK1258" s="11">
        <v>-54410.0</v>
      </c>
      <c r="AL1258" s="11">
        <v>-25520.0</v>
      </c>
      <c r="AM1258" s="11">
        <v>-6560.0</v>
      </c>
      <c r="AN1258" s="11">
        <v>-117220.0</v>
      </c>
      <c r="AO1258" s="11">
        <v>-74800.0</v>
      </c>
      <c r="AP1258" s="11">
        <v>-54040.0</v>
      </c>
      <c r="AQ1258" s="11">
        <v>-21540.0</v>
      </c>
      <c r="AR1258" s="11">
        <v>-6380.0</v>
      </c>
      <c r="AS1258" s="11">
        <v>-92710.0</v>
      </c>
      <c r="AT1258" s="11">
        <v>-70200.0</v>
      </c>
      <c r="AU1258" s="11">
        <v>-43220.0</v>
      </c>
      <c r="AV1258" s="11">
        <v>-20120.0</v>
      </c>
      <c r="AW1258" s="11">
        <v>-4200.0</v>
      </c>
      <c r="AX1258" s="11">
        <v>-4390.0</v>
      </c>
      <c r="AY1258" s="11">
        <v>-7780.0</v>
      </c>
      <c r="AZ1258" s="11">
        <v>-2280.0</v>
      </c>
      <c r="BA1258" s="11">
        <v>-392.0</v>
      </c>
      <c r="BB1258" s="12"/>
      <c r="BC1258" s="12"/>
      <c r="BD1258" s="12"/>
      <c r="BE1258" s="12"/>
      <c r="BF1258" s="12"/>
      <c r="BG1258" s="12"/>
      <c r="BH1258" s="11">
        <v>83520.0</v>
      </c>
      <c r="BI1258" s="11">
        <v>122460.0</v>
      </c>
      <c r="BJ1258" s="11">
        <v>69090.0</v>
      </c>
      <c r="BK1258" s="11">
        <v>37660.0</v>
      </c>
      <c r="BL1258" s="11">
        <v>55390.0</v>
      </c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1">
        <v>86300.0</v>
      </c>
      <c r="BX1258" s="11">
        <v>128640.0</v>
      </c>
      <c r="BY1258" s="11">
        <v>70660.0</v>
      </c>
      <c r="BZ1258" s="11">
        <v>39970.0</v>
      </c>
      <c r="CA1258" s="11">
        <v>55700.0</v>
      </c>
      <c r="CB1258" s="11">
        <v>16630.0</v>
      </c>
      <c r="CC1258" s="11">
        <v>10420.0</v>
      </c>
      <c r="CD1258" s="11">
        <v>2430.0</v>
      </c>
      <c r="CE1258" s="11">
        <v>452.0</v>
      </c>
      <c r="CF1258" s="12"/>
      <c r="CG1258" s="12"/>
      <c r="CH1258" s="12"/>
      <c r="CI1258" s="12"/>
      <c r="CJ1258" s="12"/>
      <c r="CK1258" s="12"/>
      <c r="CL1258" s="11">
        <v>103470.0</v>
      </c>
      <c r="CM1258" s="11">
        <v>139600.0</v>
      </c>
      <c r="CN1258" s="11">
        <v>76190.0</v>
      </c>
      <c r="CO1258" s="11">
        <v>40640.0</v>
      </c>
      <c r="CP1258" s="11">
        <v>55700.0</v>
      </c>
      <c r="CQ1258" s="11">
        <v>7120.0</v>
      </c>
      <c r="CR1258" s="11">
        <v>3690.0</v>
      </c>
      <c r="CS1258" s="11">
        <v>5070.0</v>
      </c>
      <c r="CT1258" s="11">
        <v>2980.0</v>
      </c>
      <c r="CU1258" s="11">
        <v>608.0</v>
      </c>
      <c r="CV1258" s="11">
        <v>18280.0</v>
      </c>
      <c r="CW1258" s="11">
        <v>1740.0</v>
      </c>
      <c r="CX1258" s="12"/>
      <c r="CY1258" s="12"/>
      <c r="CZ1258" s="12"/>
      <c r="DA1258" s="12"/>
      <c r="DB1258" s="11">
        <v>18280.0</v>
      </c>
      <c r="DC1258" s="11">
        <v>12480.0</v>
      </c>
      <c r="DD1258" s="11">
        <v>11270.0</v>
      </c>
      <c r="DE1258" s="11">
        <v>6870.0</v>
      </c>
      <c r="DF1258" s="11">
        <v>23420.0</v>
      </c>
      <c r="DG1258" s="11">
        <v>14410.0</v>
      </c>
      <c r="DH1258" s="11">
        <v>11270.0</v>
      </c>
      <c r="DI1258" s="11">
        <v>6870.0</v>
      </c>
      <c r="DJ1258" s="11">
        <v>13920.0</v>
      </c>
      <c r="DK1258" s="11">
        <v>327.0</v>
      </c>
      <c r="DL1258" s="12"/>
      <c r="DM1258" s="12"/>
      <c r="DN1258" s="12"/>
      <c r="DO1258" s="12"/>
      <c r="DP1258" s="11">
        <v>5150.0</v>
      </c>
      <c r="DQ1258" s="11">
        <v>859.0</v>
      </c>
      <c r="DR1258" s="12"/>
      <c r="DS1258" s="12"/>
      <c r="DT1258" s="12"/>
      <c r="DU1258" s="13"/>
      <c r="DV1258" s="12"/>
      <c r="DW1258" s="11">
        <v>124180.0</v>
      </c>
      <c r="DX1258" s="11">
        <v>71650.0</v>
      </c>
      <c r="DY1258" s="11">
        <v>61700.0</v>
      </c>
      <c r="DZ1258" s="11">
        <v>80050.0</v>
      </c>
      <c r="EA1258" s="11">
        <v>125180.0</v>
      </c>
      <c r="EB1258" s="11">
        <v>64920.0</v>
      </c>
      <c r="EC1258" s="11">
        <v>-12710.0</v>
      </c>
      <c r="ED1258" s="11">
        <v>-5820.0</v>
      </c>
      <c r="EE1258" s="23"/>
      <c r="EF1258" s="23"/>
      <c r="EG1258" s="14">
        <v>0.22</v>
      </c>
      <c r="EH1258" s="14">
        <v>0.008</v>
      </c>
    </row>
    <row r="1259">
      <c r="A1259" s="9">
        <f t="shared" si="2"/>
        <v>1257</v>
      </c>
      <c r="B1259" s="22" t="s">
        <v>1394</v>
      </c>
      <c r="C1259" s="11">
        <v>32010.0</v>
      </c>
      <c r="D1259" s="11">
        <v>8690.0</v>
      </c>
      <c r="E1259" s="11">
        <v>22900.0</v>
      </c>
      <c r="F1259" s="11">
        <v>129.0</v>
      </c>
      <c r="G1259" s="11">
        <v>174.0</v>
      </c>
      <c r="H1259" s="12"/>
      <c r="I1259" s="12"/>
      <c r="J1259" s="12"/>
      <c r="K1259" s="12"/>
      <c r="L1259" s="11">
        <v>-126.0</v>
      </c>
      <c r="M1259" s="11">
        <v>-359.0</v>
      </c>
      <c r="N1259" s="11">
        <v>-300.0</v>
      </c>
      <c r="O1259" s="11">
        <v>47970.0</v>
      </c>
      <c r="P1259" s="11">
        <v>32890.0</v>
      </c>
      <c r="Q1259" s="11">
        <v>31510.0</v>
      </c>
      <c r="R1259" s="11">
        <v>20400.0</v>
      </c>
      <c r="S1259" s="11">
        <v>9350.0</v>
      </c>
      <c r="T1259" s="11">
        <v>40580.0</v>
      </c>
      <c r="U1259" s="11">
        <v>28150.0</v>
      </c>
      <c r="V1259" s="11">
        <v>25810.0</v>
      </c>
      <c r="W1259" s="11">
        <v>17020.0</v>
      </c>
      <c r="X1259" s="11">
        <v>7180.0</v>
      </c>
      <c r="Y1259" s="12"/>
      <c r="Z1259" s="12"/>
      <c r="AA1259" s="12"/>
      <c r="AB1259" s="12"/>
      <c r="AC1259" s="12"/>
      <c r="AD1259" s="11">
        <v>-24580.0</v>
      </c>
      <c r="AE1259" s="11">
        <v>-32200.0</v>
      </c>
      <c r="AF1259" s="11">
        <v>-31570.0</v>
      </c>
      <c r="AG1259" s="11">
        <v>-20770.0</v>
      </c>
      <c r="AH1259" s="11">
        <v>-9660.0</v>
      </c>
      <c r="AI1259" s="11">
        <v>-25060.0</v>
      </c>
      <c r="AJ1259" s="11">
        <v>-32760.0</v>
      </c>
      <c r="AK1259" s="11">
        <v>-31330.0</v>
      </c>
      <c r="AL1259" s="11">
        <v>-20400.0</v>
      </c>
      <c r="AM1259" s="11">
        <v>-9350.0</v>
      </c>
      <c r="AN1259" s="11">
        <v>-24610.0</v>
      </c>
      <c r="AO1259" s="11">
        <v>-32200.0</v>
      </c>
      <c r="AP1259" s="11">
        <v>-31570.0</v>
      </c>
      <c r="AQ1259" s="11">
        <v>-20770.0</v>
      </c>
      <c r="AR1259" s="11">
        <v>-9660.0</v>
      </c>
      <c r="AS1259" s="11">
        <v>-22500.0</v>
      </c>
      <c r="AT1259" s="11">
        <v>-23470.0</v>
      </c>
      <c r="AU1259" s="11">
        <v>-24090.0</v>
      </c>
      <c r="AV1259" s="11">
        <v>-18500.0</v>
      </c>
      <c r="AW1259" s="11">
        <v>-8040.0</v>
      </c>
      <c r="AX1259" s="11">
        <v>-597.0</v>
      </c>
      <c r="AY1259" s="11">
        <v>-1050.0</v>
      </c>
      <c r="AZ1259" s="11">
        <v>-1930.0</v>
      </c>
      <c r="BA1259" s="11">
        <v>-385.0</v>
      </c>
      <c r="BB1259" s="11">
        <v>-291.0</v>
      </c>
      <c r="BC1259" s="12"/>
      <c r="BD1259" s="12"/>
      <c r="BE1259" s="12"/>
      <c r="BF1259" s="12"/>
      <c r="BG1259" s="12"/>
      <c r="BH1259" s="11">
        <v>50380.0</v>
      </c>
      <c r="BI1259" s="11">
        <v>62990.0</v>
      </c>
      <c r="BJ1259" s="11">
        <v>9020.0</v>
      </c>
      <c r="BK1259" s="11">
        <v>7000.0</v>
      </c>
      <c r="BL1259" s="11">
        <v>5900.0</v>
      </c>
      <c r="BM1259" s="11">
        <v>4120.0</v>
      </c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1">
        <v>55790.0</v>
      </c>
      <c r="BX1259" s="11">
        <v>65970.0</v>
      </c>
      <c r="BY1259" s="11">
        <v>10550.0</v>
      </c>
      <c r="BZ1259" s="11">
        <v>8300.0</v>
      </c>
      <c r="CA1259" s="11">
        <v>6140.0</v>
      </c>
      <c r="CB1259" s="11">
        <v>4350.0</v>
      </c>
      <c r="CC1259" s="11">
        <v>2600.0</v>
      </c>
      <c r="CD1259" s="11">
        <v>2310.0</v>
      </c>
      <c r="CE1259" s="11">
        <v>798.0</v>
      </c>
      <c r="CF1259" s="11">
        <v>785.0</v>
      </c>
      <c r="CG1259" s="12"/>
      <c r="CH1259" s="12"/>
      <c r="CI1259" s="12"/>
      <c r="CJ1259" s="12"/>
      <c r="CK1259" s="12"/>
      <c r="CL1259" s="11">
        <v>61300.0</v>
      </c>
      <c r="CM1259" s="11">
        <v>69680.0</v>
      </c>
      <c r="CN1259" s="11">
        <v>15320.0</v>
      </c>
      <c r="CO1259" s="11">
        <v>10990.0</v>
      </c>
      <c r="CP1259" s="11">
        <v>8240.0</v>
      </c>
      <c r="CQ1259" s="11">
        <v>1710.0</v>
      </c>
      <c r="CR1259" s="11">
        <v>2920.0</v>
      </c>
      <c r="CS1259" s="11">
        <v>534.0</v>
      </c>
      <c r="CT1259" s="11">
        <v>667.0</v>
      </c>
      <c r="CU1259" s="11">
        <v>311.0</v>
      </c>
      <c r="CV1259" s="11">
        <v>6510.0</v>
      </c>
      <c r="CW1259" s="11">
        <v>672.0</v>
      </c>
      <c r="CX1259" s="12"/>
      <c r="CY1259" s="12"/>
      <c r="CZ1259" s="12"/>
      <c r="DA1259" s="12"/>
      <c r="DB1259" s="11">
        <v>6510.0</v>
      </c>
      <c r="DC1259" s="11">
        <v>4900.0</v>
      </c>
      <c r="DD1259" s="11">
        <v>67200.0</v>
      </c>
      <c r="DE1259" s="11">
        <v>41630.0</v>
      </c>
      <c r="DF1259" s="11">
        <v>8840.0</v>
      </c>
      <c r="DG1259" s="11">
        <v>5770.0</v>
      </c>
      <c r="DH1259" s="11">
        <v>68010.0</v>
      </c>
      <c r="DI1259" s="11">
        <v>42320.0</v>
      </c>
      <c r="DJ1259" s="11">
        <v>19760.0</v>
      </c>
      <c r="DK1259" s="11">
        <v>472.0</v>
      </c>
      <c r="DL1259" s="12"/>
      <c r="DM1259" s="11">
        <v>120.0</v>
      </c>
      <c r="DN1259" s="11">
        <v>107.0</v>
      </c>
      <c r="DO1259" s="24">
        <v>92.0</v>
      </c>
      <c r="DP1259" s="11">
        <v>1370.0</v>
      </c>
      <c r="DQ1259" s="12"/>
      <c r="DR1259" s="12"/>
      <c r="DS1259" s="12"/>
      <c r="DT1259" s="12"/>
      <c r="DU1259" s="13"/>
      <c r="DV1259" s="12"/>
      <c r="DW1259" s="12"/>
      <c r="DX1259" s="13"/>
      <c r="DY1259" s="13"/>
      <c r="DZ1259" s="11">
        <v>52470.0</v>
      </c>
      <c r="EA1259" s="11">
        <v>63910.0</v>
      </c>
      <c r="EB1259" s="11">
        <v>-52700.0</v>
      </c>
      <c r="EC1259" s="11">
        <v>-31340.0</v>
      </c>
      <c r="ED1259" s="11">
        <v>-11520.0</v>
      </c>
      <c r="EE1259" s="14">
        <v>0.399</v>
      </c>
      <c r="EF1259" s="14">
        <v>0.892</v>
      </c>
      <c r="EG1259" s="14">
        <v>0.088</v>
      </c>
      <c r="EH1259" s="14">
        <v>-0.058</v>
      </c>
    </row>
    <row r="1260">
      <c r="A1260" s="9">
        <f t="shared" si="2"/>
        <v>1258</v>
      </c>
      <c r="B1260" s="22" t="s">
        <v>1395</v>
      </c>
      <c r="C1260" s="12"/>
      <c r="D1260" s="12"/>
      <c r="E1260" s="12"/>
      <c r="F1260" s="12"/>
      <c r="G1260" s="12"/>
      <c r="H1260" s="12"/>
      <c r="I1260" s="11">
        <v>607.0</v>
      </c>
      <c r="J1260" s="11">
        <v>-2300.0</v>
      </c>
      <c r="K1260" s="11">
        <v>-1920.0</v>
      </c>
      <c r="L1260" s="11">
        <v>-1610.0</v>
      </c>
      <c r="M1260" s="11">
        <v>-20.0</v>
      </c>
      <c r="N1260" s="11">
        <v>255.0</v>
      </c>
      <c r="O1260" s="11">
        <v>20900.0</v>
      </c>
      <c r="P1260" s="11">
        <v>11820.0</v>
      </c>
      <c r="Q1260" s="11">
        <v>8070.0</v>
      </c>
      <c r="R1260" s="11">
        <v>8300.0</v>
      </c>
      <c r="S1260" s="11">
        <v>12410.0</v>
      </c>
      <c r="T1260" s="11">
        <v>16270.0</v>
      </c>
      <c r="U1260" s="11">
        <v>7180.0</v>
      </c>
      <c r="V1260" s="11">
        <v>3070.0</v>
      </c>
      <c r="W1260" s="11">
        <v>2250.0</v>
      </c>
      <c r="X1260" s="11">
        <v>4540.0</v>
      </c>
      <c r="Y1260" s="11">
        <v>-30450.0</v>
      </c>
      <c r="Z1260" s="11">
        <v>-11790.0</v>
      </c>
      <c r="AA1260" s="11">
        <v>-3180.0</v>
      </c>
      <c r="AB1260" s="11">
        <v>1670.0</v>
      </c>
      <c r="AC1260" s="11">
        <v>-15720.0</v>
      </c>
      <c r="AD1260" s="11">
        <v>-30770.0</v>
      </c>
      <c r="AE1260" s="11">
        <v>-11840.0</v>
      </c>
      <c r="AF1260" s="11">
        <v>-13440.0</v>
      </c>
      <c r="AG1260" s="11">
        <v>-6740.0</v>
      </c>
      <c r="AH1260" s="11">
        <v>-15910.0</v>
      </c>
      <c r="AI1260" s="11">
        <v>-20900.0</v>
      </c>
      <c r="AJ1260" s="11">
        <v>-11820.0</v>
      </c>
      <c r="AK1260" s="11">
        <v>-8070.0</v>
      </c>
      <c r="AL1260" s="11">
        <v>-8300.0</v>
      </c>
      <c r="AM1260" s="11">
        <v>-12050.0</v>
      </c>
      <c r="AN1260" s="11">
        <v>-30770.0</v>
      </c>
      <c r="AO1260" s="11">
        <v>-11840.0</v>
      </c>
      <c r="AP1260" s="11">
        <v>-11790.0</v>
      </c>
      <c r="AQ1260" s="11">
        <v>-10390.0</v>
      </c>
      <c r="AR1260" s="11">
        <v>-15910.0</v>
      </c>
      <c r="AS1260" s="11">
        <v>-17020.0</v>
      </c>
      <c r="AT1260" s="11">
        <v>-11680.0</v>
      </c>
      <c r="AU1260" s="11">
        <v>-9950.0</v>
      </c>
      <c r="AV1260" s="11">
        <v>-13500.0</v>
      </c>
      <c r="AW1260" s="11">
        <v>-10300.0</v>
      </c>
      <c r="AX1260" s="11">
        <v>-21.0</v>
      </c>
      <c r="AY1260" s="11">
        <v>-8.0</v>
      </c>
      <c r="AZ1260" s="11">
        <v>-2.0</v>
      </c>
      <c r="BA1260" s="11">
        <v>-15.0</v>
      </c>
      <c r="BB1260" s="11">
        <v>-1310.0</v>
      </c>
      <c r="BC1260" s="12"/>
      <c r="BD1260" s="12"/>
      <c r="BE1260" s="12"/>
      <c r="BF1260" s="12"/>
      <c r="BG1260" s="12"/>
      <c r="BH1260" s="11">
        <v>20730.0</v>
      </c>
      <c r="BI1260" s="11">
        <v>24080.0</v>
      </c>
      <c r="BJ1260" s="11">
        <v>17140.0</v>
      </c>
      <c r="BK1260" s="11">
        <v>2760.0</v>
      </c>
      <c r="BL1260" s="11">
        <v>5530.0</v>
      </c>
      <c r="BM1260" s="12"/>
      <c r="BN1260" s="11">
        <v>64.0</v>
      </c>
      <c r="BO1260" s="12"/>
      <c r="BP1260" s="12"/>
      <c r="BQ1260" s="11">
        <v>156.0</v>
      </c>
      <c r="BR1260" s="12"/>
      <c r="BS1260" s="12"/>
      <c r="BT1260" s="12"/>
      <c r="BU1260" s="12"/>
      <c r="BV1260" s="11">
        <v>551.0</v>
      </c>
      <c r="BW1260" s="11">
        <v>21140.0</v>
      </c>
      <c r="BX1260" s="11">
        <v>24670.0</v>
      </c>
      <c r="BY1260" s="11">
        <v>17990.0</v>
      </c>
      <c r="BZ1260" s="11">
        <v>3800.0</v>
      </c>
      <c r="CA1260" s="11">
        <v>6400.0</v>
      </c>
      <c r="CB1260" s="11">
        <v>444.0</v>
      </c>
      <c r="CC1260" s="11">
        <v>12.0</v>
      </c>
      <c r="CD1260" s="11">
        <v>23.0</v>
      </c>
      <c r="CE1260" s="11">
        <v>42.0</v>
      </c>
      <c r="CF1260" s="11">
        <v>86.0</v>
      </c>
      <c r="CG1260" s="12"/>
      <c r="CH1260" s="12"/>
      <c r="CI1260" s="12"/>
      <c r="CJ1260" s="12"/>
      <c r="CK1260" s="11">
        <v>718.0</v>
      </c>
      <c r="CL1260" s="11">
        <v>38170.0</v>
      </c>
      <c r="CM1260" s="11">
        <v>43150.0</v>
      </c>
      <c r="CN1260" s="11">
        <v>39020.0</v>
      </c>
      <c r="CO1260" s="11">
        <v>5560.0</v>
      </c>
      <c r="CP1260" s="11">
        <v>8200.0</v>
      </c>
      <c r="CQ1260" s="11">
        <v>2000.0</v>
      </c>
      <c r="CR1260" s="11">
        <v>934.0</v>
      </c>
      <c r="CS1260" s="11">
        <v>633.0</v>
      </c>
      <c r="CT1260" s="11">
        <v>411.0</v>
      </c>
      <c r="CU1260" s="11">
        <v>695.0</v>
      </c>
      <c r="CV1260" s="11">
        <v>4960.0</v>
      </c>
      <c r="CW1260" s="11">
        <v>305.0</v>
      </c>
      <c r="CX1260" s="12"/>
      <c r="CY1260" s="12"/>
      <c r="CZ1260" s="12"/>
      <c r="DA1260" s="12"/>
      <c r="DB1260" s="11">
        <v>4960.0</v>
      </c>
      <c r="DC1260" s="11">
        <v>1880.0</v>
      </c>
      <c r="DD1260" s="11">
        <v>1730.0</v>
      </c>
      <c r="DE1260" s="11">
        <v>1710.0</v>
      </c>
      <c r="DF1260" s="11">
        <v>23230.0</v>
      </c>
      <c r="DG1260" s="11">
        <v>12740.0</v>
      </c>
      <c r="DH1260" s="11">
        <v>12210.0</v>
      </c>
      <c r="DI1260" s="11">
        <v>2130.0</v>
      </c>
      <c r="DJ1260" s="11">
        <v>4980.0</v>
      </c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3"/>
      <c r="DV1260" s="12"/>
      <c r="DW1260" s="12"/>
      <c r="DX1260" s="24">
        <v>0.0</v>
      </c>
      <c r="DY1260" s="24">
        <v>0.0</v>
      </c>
      <c r="DZ1260" s="11">
        <v>14950.0</v>
      </c>
      <c r="EA1260" s="11">
        <v>30410.0</v>
      </c>
      <c r="EB1260" s="11">
        <v>26820.0</v>
      </c>
      <c r="EC1260" s="11">
        <v>3440.0</v>
      </c>
      <c r="ED1260" s="11">
        <v>3220.0</v>
      </c>
      <c r="EE1260" s="23"/>
      <c r="EF1260" s="23"/>
      <c r="EG1260" s="14">
        <v>0.2</v>
      </c>
      <c r="EH1260" s="14">
        <v>0.122</v>
      </c>
    </row>
    <row r="1261">
      <c r="A1261" s="9">
        <f t="shared" si="2"/>
        <v>1259</v>
      </c>
      <c r="B1261" s="25" t="s">
        <v>1396</v>
      </c>
      <c r="C1261" s="15">
        <v>3780000.0</v>
      </c>
      <c r="D1261" s="15">
        <v>3660000.0</v>
      </c>
      <c r="E1261" s="15">
        <v>3160000.0</v>
      </c>
      <c r="F1261" s="15">
        <v>2660000.0</v>
      </c>
      <c r="G1261" s="15">
        <v>2640000.0</v>
      </c>
      <c r="H1261" s="15">
        <v>2510000.0</v>
      </c>
      <c r="I1261" s="15">
        <v>2730000.0</v>
      </c>
      <c r="J1261" s="15">
        <v>993600.0</v>
      </c>
      <c r="K1261" s="15">
        <v>850800.0</v>
      </c>
      <c r="L1261" s="15">
        <v>950100.0</v>
      </c>
      <c r="M1261" s="15">
        <v>896200.0</v>
      </c>
      <c r="N1261" s="15">
        <v>912300.0</v>
      </c>
      <c r="O1261" s="15">
        <v>568400.0</v>
      </c>
      <c r="P1261" s="15">
        <v>511200.0</v>
      </c>
      <c r="Q1261" s="15">
        <v>529000.0</v>
      </c>
      <c r="R1261" s="15">
        <v>504400.0</v>
      </c>
      <c r="S1261" s="15">
        <v>558700.0</v>
      </c>
      <c r="T1261" s="15">
        <v>39600.0</v>
      </c>
      <c r="U1261" s="15">
        <v>42500.0</v>
      </c>
      <c r="V1261" s="15">
        <v>39900.0</v>
      </c>
      <c r="W1261" s="15">
        <v>36000.0</v>
      </c>
      <c r="X1261" s="15">
        <v>44400.0</v>
      </c>
      <c r="Y1261" s="15">
        <v>418100.0</v>
      </c>
      <c r="Z1261" s="15">
        <v>201700.0</v>
      </c>
      <c r="AA1261" s="15">
        <v>417000.0</v>
      </c>
      <c r="AB1261" s="15">
        <v>26000.0</v>
      </c>
      <c r="AC1261" s="15">
        <v>-85500.0</v>
      </c>
      <c r="AD1261" s="15">
        <v>581600.0</v>
      </c>
      <c r="AE1261" s="15">
        <v>115700.0</v>
      </c>
      <c r="AF1261" s="15">
        <v>314900.0</v>
      </c>
      <c r="AG1261" s="15">
        <v>383700.0</v>
      </c>
      <c r="AH1261" s="15">
        <v>211600.0</v>
      </c>
      <c r="AI1261" s="15">
        <v>514500.0</v>
      </c>
      <c r="AJ1261" s="15">
        <v>423000.0</v>
      </c>
      <c r="AK1261" s="15">
        <v>501200.0</v>
      </c>
      <c r="AL1261" s="15">
        <v>465300.0</v>
      </c>
      <c r="AM1261" s="15">
        <v>422600.0</v>
      </c>
      <c r="AN1261" s="15">
        <v>437200.0</v>
      </c>
      <c r="AO1261" s="15">
        <v>127600.0</v>
      </c>
      <c r="AP1261" s="15">
        <v>197800.0</v>
      </c>
      <c r="AQ1261" s="15">
        <v>246600.0</v>
      </c>
      <c r="AR1261" s="15">
        <v>138900.0</v>
      </c>
      <c r="AS1261" s="15">
        <v>226800.0</v>
      </c>
      <c r="AT1261" s="15">
        <v>342500.0</v>
      </c>
      <c r="AU1261" s="15">
        <v>354000.0</v>
      </c>
      <c r="AV1261" s="15">
        <v>237400.0</v>
      </c>
      <c r="AW1261" s="15">
        <v>246900.0</v>
      </c>
      <c r="AX1261" s="15">
        <v>-42400.0</v>
      </c>
      <c r="AY1261" s="15">
        <v>-68200.0</v>
      </c>
      <c r="AZ1261" s="15">
        <v>-69600.0</v>
      </c>
      <c r="BA1261" s="15">
        <v>-58300.0</v>
      </c>
      <c r="BB1261" s="15">
        <v>-361700.0</v>
      </c>
      <c r="BC1261" s="15">
        <v>-124500.0</v>
      </c>
      <c r="BD1261" s="15">
        <v>-120000.0</v>
      </c>
      <c r="BE1261" s="15">
        <v>-120300.0</v>
      </c>
      <c r="BF1261" s="15">
        <v>-116600.0</v>
      </c>
      <c r="BG1261" s="15">
        <v>-111300.0</v>
      </c>
      <c r="BH1261" s="15">
        <v>18800.0</v>
      </c>
      <c r="BI1261" s="15">
        <v>33900.0</v>
      </c>
      <c r="BJ1261" s="15">
        <v>120500.0</v>
      </c>
      <c r="BK1261" s="15">
        <v>28600.0</v>
      </c>
      <c r="BL1261" s="15">
        <v>71400.0</v>
      </c>
      <c r="BM1261" s="15">
        <v>308400.0</v>
      </c>
      <c r="BN1261" s="15">
        <v>310500.0</v>
      </c>
      <c r="BO1261" s="15">
        <v>286600.0</v>
      </c>
      <c r="BP1261" s="15">
        <v>301700.0</v>
      </c>
      <c r="BQ1261" s="15">
        <v>321500.0</v>
      </c>
      <c r="BR1261" s="15">
        <v>540300.0</v>
      </c>
      <c r="BS1261" s="15">
        <v>481400.0</v>
      </c>
      <c r="BT1261" s="15">
        <v>407500.0</v>
      </c>
      <c r="BU1261" s="15">
        <v>394700.0</v>
      </c>
      <c r="BV1261" s="15">
        <v>395800.0</v>
      </c>
      <c r="BW1261" s="15">
        <v>1040000.0</v>
      </c>
      <c r="BX1261" s="15">
        <v>885700.0</v>
      </c>
      <c r="BY1261" s="15">
        <v>881700.0</v>
      </c>
      <c r="BZ1261" s="15">
        <v>1030000.0</v>
      </c>
      <c r="CA1261" s="15">
        <v>1120000.0</v>
      </c>
      <c r="CB1261" s="15">
        <v>546000.0</v>
      </c>
      <c r="CC1261" s="15">
        <v>530800.0</v>
      </c>
      <c r="CD1261" s="15">
        <v>467700.0</v>
      </c>
      <c r="CE1261" s="15">
        <v>444900.0</v>
      </c>
      <c r="CF1261" s="15">
        <v>444100.0</v>
      </c>
      <c r="CG1261" s="15">
        <v>538700.0</v>
      </c>
      <c r="CH1261" s="15">
        <v>543000.0</v>
      </c>
      <c r="CI1261" s="15">
        <v>441600.0</v>
      </c>
      <c r="CJ1261" s="15">
        <v>371900.0</v>
      </c>
      <c r="CK1261" s="15">
        <v>283800.0</v>
      </c>
      <c r="CL1261" s="15">
        <v>3100000.0</v>
      </c>
      <c r="CM1261" s="15">
        <v>3150000.0</v>
      </c>
      <c r="CN1261" s="15">
        <v>2750000.0</v>
      </c>
      <c r="CO1261" s="15">
        <v>2760000.0</v>
      </c>
      <c r="CP1261" s="15">
        <v>2530000.0</v>
      </c>
      <c r="CQ1261" s="15">
        <v>214200.0</v>
      </c>
      <c r="CR1261" s="15">
        <v>150500.0</v>
      </c>
      <c r="CS1261" s="15">
        <v>153100.0</v>
      </c>
      <c r="CT1261" s="15">
        <v>131200.0</v>
      </c>
      <c r="CU1261" s="15">
        <v>193100.0</v>
      </c>
      <c r="CV1261" s="15">
        <v>620500.0</v>
      </c>
      <c r="CW1261" s="15"/>
      <c r="CX1261" s="15"/>
      <c r="CY1261" s="15"/>
      <c r="CZ1261" s="13"/>
      <c r="DA1261" s="12"/>
      <c r="DB1261" s="15">
        <v>620500.0</v>
      </c>
      <c r="DC1261" s="15">
        <v>612700.0</v>
      </c>
      <c r="DD1261" s="15">
        <v>544500.0</v>
      </c>
      <c r="DE1261" s="15">
        <v>707100.0</v>
      </c>
      <c r="DF1261" s="15">
        <v>2380000.0</v>
      </c>
      <c r="DG1261" s="15">
        <v>2790000.0</v>
      </c>
      <c r="DH1261" s="15">
        <v>2090000.0</v>
      </c>
      <c r="DI1261" s="15">
        <v>2020000.0</v>
      </c>
      <c r="DJ1261" s="15">
        <v>1890000.0</v>
      </c>
      <c r="DK1261" s="15">
        <v>11300.0</v>
      </c>
      <c r="DL1261" s="15">
        <v>50900.0</v>
      </c>
      <c r="DM1261" s="15">
        <v>42900.0</v>
      </c>
      <c r="DN1261" s="15">
        <v>111900.0</v>
      </c>
      <c r="DO1261" s="15"/>
      <c r="DP1261" s="15">
        <v>1520000.0</v>
      </c>
      <c r="DQ1261" s="15">
        <v>1880000.0</v>
      </c>
      <c r="DR1261" s="15">
        <v>1260000.0</v>
      </c>
      <c r="DS1261" s="15">
        <v>1030000.0</v>
      </c>
      <c r="DT1261" s="15">
        <v>1030000.0</v>
      </c>
      <c r="DU1261" s="13"/>
      <c r="DV1261" s="12"/>
      <c r="DW1261" s="12"/>
      <c r="DX1261" s="13"/>
      <c r="DY1261" s="13"/>
      <c r="DZ1261" s="15">
        <v>718700.0</v>
      </c>
      <c r="EA1261" s="15">
        <v>354600.0</v>
      </c>
      <c r="EB1261" s="15">
        <v>648800.0</v>
      </c>
      <c r="EC1261" s="15">
        <v>715200.0</v>
      </c>
      <c r="ED1261" s="15">
        <v>620700.0</v>
      </c>
      <c r="EE1261" s="23"/>
      <c r="EF1261" s="23"/>
      <c r="EG1261" s="23">
        <v>0.077</v>
      </c>
      <c r="EH1261" s="23">
        <v>0.068</v>
      </c>
    </row>
    <row r="1262">
      <c r="A1262" s="9">
        <f t="shared" si="2"/>
        <v>1260</v>
      </c>
      <c r="B1262" s="10" t="s">
        <v>1397</v>
      </c>
      <c r="C1262" s="12"/>
      <c r="D1262" s="12"/>
      <c r="E1262" s="15">
        <v>1240000.0</v>
      </c>
      <c r="F1262" s="15">
        <v>1270000.0</v>
      </c>
      <c r="G1262" s="15">
        <v>1330000.0</v>
      </c>
      <c r="H1262" s="15">
        <v>1360000.0</v>
      </c>
      <c r="I1262" s="15">
        <v>1360000.0</v>
      </c>
      <c r="J1262" s="15">
        <v>335430.0</v>
      </c>
      <c r="K1262" s="15">
        <v>352920.0</v>
      </c>
      <c r="L1262" s="15">
        <v>344880.0</v>
      </c>
      <c r="M1262" s="15">
        <v>326380.0</v>
      </c>
      <c r="N1262" s="15">
        <v>355410.0</v>
      </c>
      <c r="O1262" s="15">
        <v>332140.0</v>
      </c>
      <c r="P1262" s="15">
        <v>343190.0</v>
      </c>
      <c r="Q1262" s="15">
        <v>371520.0</v>
      </c>
      <c r="R1262" s="15">
        <v>318780.0</v>
      </c>
      <c r="S1262" s="15">
        <v>311840.0</v>
      </c>
      <c r="T1262" s="12"/>
      <c r="U1262" s="12"/>
      <c r="V1262" s="12"/>
      <c r="W1262" s="12"/>
      <c r="X1262" s="12"/>
      <c r="Y1262" s="15">
        <v>-704.0</v>
      </c>
      <c r="Z1262" s="15">
        <v>-5040.0</v>
      </c>
      <c r="AA1262" s="15">
        <v>-4590.0</v>
      </c>
      <c r="AB1262" s="15">
        <v>3570.0</v>
      </c>
      <c r="AC1262" s="15">
        <v>41560.0</v>
      </c>
      <c r="AD1262" s="15">
        <v>-9820.0</v>
      </c>
      <c r="AE1262" s="15">
        <v>-6200.0</v>
      </c>
      <c r="AF1262" s="15">
        <v>-36020.0</v>
      </c>
      <c r="AG1262" s="15">
        <v>-318.0</v>
      </c>
      <c r="AH1262" s="15">
        <v>38280.0</v>
      </c>
      <c r="AI1262" s="15">
        <v>31450.0</v>
      </c>
      <c r="AJ1262" s="15">
        <v>41210.0</v>
      </c>
      <c r="AK1262" s="15">
        <v>5690.0</v>
      </c>
      <c r="AL1262" s="15">
        <v>40200.0</v>
      </c>
      <c r="AM1262" s="15">
        <v>73440.0</v>
      </c>
      <c r="AN1262" s="15">
        <v>-10460.0</v>
      </c>
      <c r="AO1262" s="15">
        <v>-6170.0</v>
      </c>
      <c r="AP1262" s="15">
        <v>-24330.0</v>
      </c>
      <c r="AQ1262" s="15">
        <v>379.0</v>
      </c>
      <c r="AR1262" s="15">
        <v>23340.0</v>
      </c>
      <c r="AS1262" s="15">
        <v>16700.0</v>
      </c>
      <c r="AT1262" s="15">
        <v>8900.0</v>
      </c>
      <c r="AU1262" s="15">
        <v>47710.0</v>
      </c>
      <c r="AV1262" s="15">
        <v>60590.0</v>
      </c>
      <c r="AW1262" s="15">
        <v>38410.0</v>
      </c>
      <c r="AX1262" s="15">
        <v>-5830.0</v>
      </c>
      <c r="AY1262" s="15">
        <v>-8990.0</v>
      </c>
      <c r="AZ1262" s="15">
        <v>-21240.0</v>
      </c>
      <c r="BA1262" s="15">
        <v>-42380.0</v>
      </c>
      <c r="BB1262" s="15">
        <v>-44370.0</v>
      </c>
      <c r="BC1262" s="15">
        <v>-97.0</v>
      </c>
      <c r="BD1262" s="15">
        <v>-223.0</v>
      </c>
      <c r="BE1262" s="15">
        <v>-3640.0</v>
      </c>
      <c r="BF1262" s="15">
        <v>-14700.0</v>
      </c>
      <c r="BG1262" s="15">
        <v>-239090.0</v>
      </c>
      <c r="BH1262" s="15">
        <v>9500.0</v>
      </c>
      <c r="BI1262" s="15">
        <v>9050.0</v>
      </c>
      <c r="BJ1262" s="15">
        <v>3100.0</v>
      </c>
      <c r="BK1262" s="15">
        <v>2600.0</v>
      </c>
      <c r="BL1262" s="15">
        <v>11830.0</v>
      </c>
      <c r="BM1262" s="12"/>
      <c r="BN1262" s="12"/>
      <c r="BO1262" s="15">
        <v>7300.0</v>
      </c>
      <c r="BP1262" s="15">
        <v>8000.0</v>
      </c>
      <c r="BQ1262" s="12"/>
      <c r="BR1262" s="15">
        <v>248590.0</v>
      </c>
      <c r="BS1262" s="15">
        <v>255880.0</v>
      </c>
      <c r="BT1262" s="15">
        <v>270240.0</v>
      </c>
      <c r="BU1262" s="15">
        <v>291110.0</v>
      </c>
      <c r="BV1262" s="15">
        <v>293610.0</v>
      </c>
      <c r="BW1262" s="15">
        <v>281120.0</v>
      </c>
      <c r="BX1262" s="15">
        <v>293260.0</v>
      </c>
      <c r="BY1262" s="15">
        <v>307260.0</v>
      </c>
      <c r="BZ1262" s="15">
        <v>331960.0</v>
      </c>
      <c r="CA1262" s="15">
        <v>324020.0</v>
      </c>
      <c r="CB1262" s="15">
        <v>458240.0</v>
      </c>
      <c r="CC1262" s="15">
        <v>119740.0</v>
      </c>
      <c r="CD1262" s="15">
        <v>151130.0</v>
      </c>
      <c r="CE1262" s="15">
        <v>165540.0</v>
      </c>
      <c r="CF1262" s="15">
        <v>162950.0</v>
      </c>
      <c r="CG1262" s="12"/>
      <c r="CH1262" s="12"/>
      <c r="CI1262" s="12"/>
      <c r="CJ1262" s="12"/>
      <c r="CK1262" s="12"/>
      <c r="CL1262" s="15">
        <v>765510.0</v>
      </c>
      <c r="CM1262" s="15">
        <v>437110.0</v>
      </c>
      <c r="CN1262" s="15">
        <v>483360.0</v>
      </c>
      <c r="CO1262" s="15">
        <v>527850.0</v>
      </c>
      <c r="CP1262" s="15">
        <v>516230.0</v>
      </c>
      <c r="CQ1262" s="15">
        <v>87310.0</v>
      </c>
      <c r="CR1262" s="15">
        <v>89650.0</v>
      </c>
      <c r="CS1262" s="15">
        <v>119390.0</v>
      </c>
      <c r="CT1262" s="15">
        <v>114420.0</v>
      </c>
      <c r="CU1262" s="15">
        <v>105570.0</v>
      </c>
      <c r="CV1262" s="15">
        <v>249670.0</v>
      </c>
      <c r="CW1262" s="15">
        <v>82130.0</v>
      </c>
      <c r="CX1262" s="12"/>
      <c r="CY1262" s="13"/>
      <c r="CZ1262" s="13"/>
      <c r="DA1262" s="12"/>
      <c r="DB1262" s="15">
        <v>249670.0</v>
      </c>
      <c r="DC1262" s="15">
        <v>167300.0</v>
      </c>
      <c r="DD1262" s="15">
        <v>211580.0</v>
      </c>
      <c r="DE1262" s="15">
        <v>197190.0</v>
      </c>
      <c r="DF1262" s="15">
        <v>733580.0</v>
      </c>
      <c r="DG1262" s="15">
        <v>394150.0</v>
      </c>
      <c r="DH1262" s="15">
        <v>435040.0</v>
      </c>
      <c r="DI1262" s="15">
        <v>457590.0</v>
      </c>
      <c r="DJ1262" s="15">
        <v>439910.0</v>
      </c>
      <c r="DK1262" s="12"/>
      <c r="DL1262" s="12"/>
      <c r="DM1262" s="12"/>
      <c r="DN1262" s="12"/>
      <c r="DO1262" s="12"/>
      <c r="DP1262" s="15">
        <v>455000.0</v>
      </c>
      <c r="DQ1262" s="15">
        <v>153250.0</v>
      </c>
      <c r="DR1262" s="15">
        <v>142390.0</v>
      </c>
      <c r="DS1262" s="15">
        <v>171790.0</v>
      </c>
      <c r="DT1262" s="15">
        <v>180150.0</v>
      </c>
      <c r="DU1262" s="13"/>
      <c r="DV1262" s="12"/>
      <c r="DW1262" s="12"/>
      <c r="DX1262" s="12"/>
      <c r="DY1262" s="12"/>
      <c r="DZ1262" s="15">
        <v>31940.0</v>
      </c>
      <c r="EA1262" s="15">
        <v>42950.0</v>
      </c>
      <c r="EB1262" s="15">
        <v>48320.0</v>
      </c>
      <c r="EC1262" s="15">
        <v>70260.0</v>
      </c>
      <c r="ED1262" s="15">
        <v>76320.0</v>
      </c>
      <c r="EE1262" s="23"/>
      <c r="EF1262" s="23"/>
      <c r="EG1262" s="17" t="s">
        <v>155</v>
      </c>
      <c r="EH1262" s="23"/>
    </row>
    <row r="1263">
      <c r="A1263" s="9">
        <f t="shared" si="2"/>
        <v>1261</v>
      </c>
      <c r="B1263" s="10" t="s">
        <v>1398</v>
      </c>
      <c r="C1263" s="15">
        <v>632620.0</v>
      </c>
      <c r="D1263" s="15">
        <v>568430.0</v>
      </c>
      <c r="E1263" s="15">
        <v>547510.0</v>
      </c>
      <c r="F1263" s="15">
        <v>627200.0</v>
      </c>
      <c r="G1263" s="15">
        <v>587850.0</v>
      </c>
      <c r="H1263" s="15">
        <v>544270.0</v>
      </c>
      <c r="I1263" s="15">
        <v>490220.0</v>
      </c>
      <c r="J1263" s="15">
        <v>320140.0</v>
      </c>
      <c r="K1263" s="15">
        <v>350370.0</v>
      </c>
      <c r="L1263" s="15">
        <v>324100.0</v>
      </c>
      <c r="M1263" s="15">
        <v>299560.0</v>
      </c>
      <c r="N1263" s="15">
        <v>268050.0</v>
      </c>
      <c r="O1263" s="15">
        <v>269310.0</v>
      </c>
      <c r="P1263" s="15">
        <v>261600.0</v>
      </c>
      <c r="Q1263" s="15">
        <v>244740.0</v>
      </c>
      <c r="R1263" s="15">
        <v>239190.0</v>
      </c>
      <c r="S1263" s="15">
        <v>249890.0</v>
      </c>
      <c r="T1263" s="15">
        <v>107370.0</v>
      </c>
      <c r="U1263" s="15">
        <v>109050.0</v>
      </c>
      <c r="V1263" s="15">
        <v>104800.0</v>
      </c>
      <c r="W1263" s="15">
        <v>102500.0</v>
      </c>
      <c r="X1263" s="15">
        <v>113740.0</v>
      </c>
      <c r="Y1263" s="15">
        <v>50800.0</v>
      </c>
      <c r="Z1263" s="15">
        <v>-13280.0</v>
      </c>
      <c r="AA1263" s="15">
        <v>67580.0</v>
      </c>
      <c r="AB1263" s="15">
        <v>58310.0</v>
      </c>
      <c r="AC1263" s="15">
        <v>28800.0</v>
      </c>
      <c r="AD1263" s="15">
        <v>44590.0</v>
      </c>
      <c r="AE1263" s="15">
        <v>70120.0</v>
      </c>
      <c r="AF1263" s="15">
        <v>59870.0</v>
      </c>
      <c r="AG1263" s="15">
        <v>73060.0</v>
      </c>
      <c r="AH1263" s="15">
        <v>20380.0</v>
      </c>
      <c r="AI1263" s="15">
        <v>90410.0</v>
      </c>
      <c r="AJ1263" s="15">
        <v>138410.0</v>
      </c>
      <c r="AK1263" s="15">
        <v>128370.0</v>
      </c>
      <c r="AL1263" s="15">
        <v>107430.0</v>
      </c>
      <c r="AM1263" s="15">
        <v>66500.0</v>
      </c>
      <c r="AN1263" s="15">
        <v>31870.0</v>
      </c>
      <c r="AO1263" s="15">
        <v>69640.0</v>
      </c>
      <c r="AP1263" s="15">
        <v>36430.0</v>
      </c>
      <c r="AQ1263" s="15">
        <v>54660.0</v>
      </c>
      <c r="AR1263" s="15">
        <v>11500.0</v>
      </c>
      <c r="AS1263" s="15">
        <v>118620.0</v>
      </c>
      <c r="AT1263" s="15">
        <v>183560.0</v>
      </c>
      <c r="AU1263" s="15">
        <v>111490.0</v>
      </c>
      <c r="AV1263" s="15">
        <v>117610.0</v>
      </c>
      <c r="AW1263" s="15">
        <v>102080.0</v>
      </c>
      <c r="AX1263" s="15">
        <v>-23060.0</v>
      </c>
      <c r="AY1263" s="15">
        <v>-17050.0</v>
      </c>
      <c r="AZ1263" s="15">
        <v>-35460.0</v>
      </c>
      <c r="BA1263" s="15">
        <v>-32920.0</v>
      </c>
      <c r="BB1263" s="15">
        <v>-13030.0</v>
      </c>
      <c r="BC1263" s="15">
        <v>0.0</v>
      </c>
      <c r="BD1263" s="15">
        <v>0.0</v>
      </c>
      <c r="BE1263" s="15">
        <v>0.0</v>
      </c>
      <c r="BF1263" s="15">
        <v>0.0</v>
      </c>
      <c r="BG1263" s="15">
        <v>0.0</v>
      </c>
      <c r="BH1263" s="15">
        <v>304020.0</v>
      </c>
      <c r="BI1263" s="15">
        <v>315230.0</v>
      </c>
      <c r="BJ1263" s="15">
        <v>309880.0</v>
      </c>
      <c r="BK1263" s="15">
        <v>297130.0</v>
      </c>
      <c r="BL1263" s="15">
        <v>211810.0</v>
      </c>
      <c r="BM1263" s="15">
        <v>61930.0</v>
      </c>
      <c r="BN1263" s="15">
        <v>79220.0</v>
      </c>
      <c r="BO1263" s="15">
        <v>53180.0</v>
      </c>
      <c r="BP1263" s="15">
        <v>51440.0</v>
      </c>
      <c r="BQ1263" s="15">
        <v>44130.0</v>
      </c>
      <c r="BR1263" s="15">
        <v>73010.0</v>
      </c>
      <c r="BS1263" s="15">
        <v>63680.0</v>
      </c>
      <c r="BT1263" s="15">
        <v>71070.0</v>
      </c>
      <c r="BU1263" s="15">
        <v>65870.0</v>
      </c>
      <c r="BV1263" s="15">
        <v>63880.0</v>
      </c>
      <c r="BW1263" s="15">
        <v>460740.0</v>
      </c>
      <c r="BX1263" s="15">
        <v>485300.0</v>
      </c>
      <c r="BY1263" s="15">
        <v>461230.0</v>
      </c>
      <c r="BZ1263" s="15">
        <v>438430.0</v>
      </c>
      <c r="CA1263" s="15">
        <v>341220.0</v>
      </c>
      <c r="CB1263" s="15">
        <v>135380.0</v>
      </c>
      <c r="CC1263" s="15">
        <v>118490.0</v>
      </c>
      <c r="CD1263" s="15">
        <v>124590.0</v>
      </c>
      <c r="CE1263" s="15">
        <v>108910.0</v>
      </c>
      <c r="CF1263" s="15">
        <v>101010.0</v>
      </c>
      <c r="CG1263" s="15">
        <v>351140.0</v>
      </c>
      <c r="CH1263" s="15">
        <v>351140.0</v>
      </c>
      <c r="CI1263" s="15">
        <v>341900.0</v>
      </c>
      <c r="CJ1263" s="15">
        <v>329700.0</v>
      </c>
      <c r="CK1263" s="15">
        <v>329700.0</v>
      </c>
      <c r="CL1263" s="15">
        <v>1050000.0</v>
      </c>
      <c r="CM1263" s="15">
        <v>1060000.0</v>
      </c>
      <c r="CN1263" s="15">
        <v>1090000.0</v>
      </c>
      <c r="CO1263" s="15">
        <v>1010000.0</v>
      </c>
      <c r="CP1263" s="15">
        <v>911520.0</v>
      </c>
      <c r="CQ1263" s="15">
        <v>48010.0</v>
      </c>
      <c r="CR1263" s="15">
        <v>43180.0</v>
      </c>
      <c r="CS1263" s="15">
        <v>37210.0</v>
      </c>
      <c r="CT1263" s="15">
        <v>41960.0</v>
      </c>
      <c r="CU1263" s="15">
        <v>35490.0</v>
      </c>
      <c r="CV1263" s="15">
        <v>98640.0</v>
      </c>
      <c r="CW1263" s="15">
        <v>3270.0</v>
      </c>
      <c r="CX1263" s="15">
        <v>0.0</v>
      </c>
      <c r="CY1263" s="16">
        <v>0.0</v>
      </c>
      <c r="CZ1263" s="16">
        <v>0.0</v>
      </c>
      <c r="DA1263" s="15">
        <v>0.0</v>
      </c>
      <c r="DB1263" s="15">
        <v>98640.0</v>
      </c>
      <c r="DC1263" s="15">
        <v>129910.0</v>
      </c>
      <c r="DD1263" s="15">
        <v>126210.0</v>
      </c>
      <c r="DE1263" s="15">
        <v>122980.0</v>
      </c>
      <c r="DF1263" s="15">
        <v>375230.0</v>
      </c>
      <c r="DG1263" s="15">
        <v>380200.0</v>
      </c>
      <c r="DH1263" s="15">
        <v>420760.0</v>
      </c>
      <c r="DI1263" s="15">
        <v>406280.0</v>
      </c>
      <c r="DJ1263" s="15">
        <v>383470.0</v>
      </c>
      <c r="DK1263" s="15">
        <v>22700.0</v>
      </c>
      <c r="DL1263" s="15">
        <v>19400.0</v>
      </c>
      <c r="DM1263" s="15">
        <v>46500.0</v>
      </c>
      <c r="DN1263" s="15">
        <v>35830.0</v>
      </c>
      <c r="DO1263" s="15">
        <v>20700.0</v>
      </c>
      <c r="DP1263" s="15">
        <v>202930.0</v>
      </c>
      <c r="DQ1263" s="15">
        <v>192850.0</v>
      </c>
      <c r="DR1263" s="15">
        <v>211110.0</v>
      </c>
      <c r="DS1263" s="15">
        <v>226520.0</v>
      </c>
      <c r="DT1263" s="15">
        <v>239180.0</v>
      </c>
      <c r="DU1263" s="16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676950.0</v>
      </c>
      <c r="EA1263" s="15">
        <v>682580.0</v>
      </c>
      <c r="EB1263" s="15">
        <v>665010.0</v>
      </c>
      <c r="EC1263" s="15">
        <v>605260.0</v>
      </c>
      <c r="ED1263" s="15">
        <v>528050.0</v>
      </c>
      <c r="EE1263" s="17">
        <v>0.04</v>
      </c>
      <c r="EF1263" s="17">
        <v>0.1</v>
      </c>
      <c r="EG1263" s="17">
        <v>0.094</v>
      </c>
      <c r="EH1263" s="17">
        <v>0.087</v>
      </c>
    </row>
    <row r="1264">
      <c r="A1264" s="9">
        <f t="shared" si="2"/>
        <v>1262</v>
      </c>
      <c r="B1264" s="10" t="s">
        <v>1399</v>
      </c>
      <c r="C1264" s="15">
        <v>1810000.0</v>
      </c>
      <c r="D1264" s="15">
        <v>1730000.0</v>
      </c>
      <c r="E1264" s="15">
        <v>1700000.0</v>
      </c>
      <c r="F1264" s="15">
        <v>1530000.0</v>
      </c>
      <c r="G1264" s="15">
        <v>1440000.0</v>
      </c>
      <c r="H1264" s="15">
        <v>1310000.0</v>
      </c>
      <c r="I1264" s="15">
        <v>1210000.0</v>
      </c>
      <c r="J1264" s="15">
        <v>1050000.0</v>
      </c>
      <c r="K1264" s="15">
        <v>927960.0</v>
      </c>
      <c r="L1264" s="15">
        <v>897350.0</v>
      </c>
      <c r="M1264" s="15">
        <v>819190.0</v>
      </c>
      <c r="N1264" s="15">
        <v>750120.0</v>
      </c>
      <c r="O1264" s="15">
        <v>939830.0</v>
      </c>
      <c r="P1264" s="15">
        <v>835530.0</v>
      </c>
      <c r="Q1264" s="15">
        <v>805430.0</v>
      </c>
      <c r="R1264" s="15">
        <v>737010.0</v>
      </c>
      <c r="S1264" s="15">
        <v>669160.0</v>
      </c>
      <c r="T1264" s="15">
        <v>34950.0</v>
      </c>
      <c r="U1264" s="15">
        <v>28780.0</v>
      </c>
      <c r="V1264" s="15">
        <v>27810.0</v>
      </c>
      <c r="W1264" s="15">
        <v>27990.0</v>
      </c>
      <c r="X1264" s="15">
        <v>15970.0</v>
      </c>
      <c r="Y1264" s="12"/>
      <c r="Z1264" s="12"/>
      <c r="AA1264" s="12"/>
      <c r="AB1264" s="15">
        <v>76650.0</v>
      </c>
      <c r="AC1264" s="15">
        <v>3500.0</v>
      </c>
      <c r="AD1264" s="15">
        <v>100510.0</v>
      </c>
      <c r="AE1264" s="15">
        <v>86520.0</v>
      </c>
      <c r="AF1264" s="15">
        <v>91040.0</v>
      </c>
      <c r="AG1264" s="15">
        <v>75930.0</v>
      </c>
      <c r="AH1264" s="15">
        <v>75430.0</v>
      </c>
      <c r="AI1264" s="15">
        <v>173960.0</v>
      </c>
      <c r="AJ1264" s="15">
        <v>154390.0</v>
      </c>
      <c r="AK1264" s="15">
        <v>153210.0</v>
      </c>
      <c r="AL1264" s="15">
        <v>130320.0</v>
      </c>
      <c r="AM1264" s="15">
        <v>119230.0</v>
      </c>
      <c r="AN1264" s="15">
        <v>81850.0</v>
      </c>
      <c r="AO1264" s="15">
        <v>69540.0</v>
      </c>
      <c r="AP1264" s="15">
        <v>65080.0</v>
      </c>
      <c r="AQ1264" s="15">
        <v>51420.0</v>
      </c>
      <c r="AR1264" s="15">
        <v>50520.0</v>
      </c>
      <c r="AS1264" s="15">
        <v>189160.0</v>
      </c>
      <c r="AT1264" s="15">
        <v>131540.0</v>
      </c>
      <c r="AU1264" s="15">
        <v>172610.0</v>
      </c>
      <c r="AV1264" s="15">
        <v>151650.0</v>
      </c>
      <c r="AW1264" s="15">
        <v>107940.0</v>
      </c>
      <c r="AX1264" s="15">
        <v>-59240.0</v>
      </c>
      <c r="AY1264" s="15">
        <v>-45520.0</v>
      </c>
      <c r="AZ1264" s="15">
        <v>-59830.0</v>
      </c>
      <c r="BA1264" s="15">
        <v>-57850.0</v>
      </c>
      <c r="BB1264" s="15">
        <v>-85590.0</v>
      </c>
      <c r="BC1264" s="12"/>
      <c r="BD1264" s="12"/>
      <c r="BE1264" s="12"/>
      <c r="BF1264" s="12"/>
      <c r="BG1264" s="12"/>
      <c r="BH1264" s="15">
        <v>1590.0</v>
      </c>
      <c r="BI1264" s="15">
        <v>1610.0</v>
      </c>
      <c r="BJ1264" s="15">
        <v>3650.0</v>
      </c>
      <c r="BK1264" s="15">
        <v>11610.0</v>
      </c>
      <c r="BL1264" s="15">
        <v>27560.0</v>
      </c>
      <c r="BM1264" s="15">
        <v>43550.0</v>
      </c>
      <c r="BN1264" s="15">
        <v>24800.0</v>
      </c>
      <c r="BO1264" s="15">
        <v>19310.0</v>
      </c>
      <c r="BP1264" s="15">
        <v>19710.0</v>
      </c>
      <c r="BQ1264" s="15">
        <v>44290.0</v>
      </c>
      <c r="BR1264" s="15">
        <v>87070.0</v>
      </c>
      <c r="BS1264" s="15">
        <v>84880.0</v>
      </c>
      <c r="BT1264" s="15">
        <v>84300.0</v>
      </c>
      <c r="BU1264" s="15">
        <v>75030.0</v>
      </c>
      <c r="BV1264" s="15">
        <v>86600.0</v>
      </c>
      <c r="BW1264" s="15">
        <v>160370.0</v>
      </c>
      <c r="BX1264" s="15">
        <v>130300.0</v>
      </c>
      <c r="BY1264" s="15">
        <v>133490.0</v>
      </c>
      <c r="BZ1264" s="15">
        <v>125530.0</v>
      </c>
      <c r="CA1264" s="15">
        <v>172890.0</v>
      </c>
      <c r="CB1264" s="15">
        <v>524440.0</v>
      </c>
      <c r="CC1264" s="15">
        <v>205630.0</v>
      </c>
      <c r="CD1264" s="15">
        <v>208650.0</v>
      </c>
      <c r="CE1264" s="15">
        <v>208370.0</v>
      </c>
      <c r="CF1264" s="15">
        <v>204380.0</v>
      </c>
      <c r="CG1264" s="15">
        <v>64000.0</v>
      </c>
      <c r="CH1264" s="15">
        <v>64000.0</v>
      </c>
      <c r="CI1264" s="15">
        <v>64000.0</v>
      </c>
      <c r="CJ1264" s="15">
        <v>64050.0</v>
      </c>
      <c r="CK1264" s="15">
        <v>64050.0</v>
      </c>
      <c r="CL1264" s="15">
        <v>921680.0</v>
      </c>
      <c r="CM1264" s="15">
        <v>500440.0</v>
      </c>
      <c r="CN1264" s="15">
        <v>498020.0</v>
      </c>
      <c r="CO1264" s="15">
        <v>457170.0</v>
      </c>
      <c r="CP1264" s="15">
        <v>500900.0</v>
      </c>
      <c r="CQ1264" s="15">
        <v>134590.0</v>
      </c>
      <c r="CR1264" s="15">
        <v>144780.0</v>
      </c>
      <c r="CS1264" s="15">
        <v>129190.0</v>
      </c>
      <c r="CT1264" s="15">
        <v>78780.0</v>
      </c>
      <c r="CU1264" s="15">
        <v>103940.0</v>
      </c>
      <c r="CV1264" s="15">
        <v>594770.0</v>
      </c>
      <c r="CW1264" s="15">
        <v>290560.0</v>
      </c>
      <c r="CX1264" s="15">
        <v>199600.0</v>
      </c>
      <c r="CY1264" s="15">
        <v>24500.0</v>
      </c>
      <c r="CZ1264" s="15">
        <v>26600.0</v>
      </c>
      <c r="DA1264" s="12"/>
      <c r="DB1264" s="15">
        <v>594770.0</v>
      </c>
      <c r="DC1264" s="15">
        <v>488670.0</v>
      </c>
      <c r="DD1264" s="15">
        <v>306390.0</v>
      </c>
      <c r="DE1264" s="15">
        <v>225320.0</v>
      </c>
      <c r="DF1264" s="15">
        <v>1080000.0</v>
      </c>
      <c r="DG1264" s="15">
        <v>609990.0</v>
      </c>
      <c r="DH1264" s="15">
        <v>408860.0</v>
      </c>
      <c r="DI1264" s="15">
        <v>296850.0</v>
      </c>
      <c r="DJ1264" s="15">
        <v>278560.0</v>
      </c>
      <c r="DK1264" s="12"/>
      <c r="DL1264" s="12"/>
      <c r="DM1264" s="12"/>
      <c r="DN1264" s="12"/>
      <c r="DO1264" s="15">
        <v>8550.0</v>
      </c>
      <c r="DP1264" s="15">
        <v>298090.0</v>
      </c>
      <c r="DQ1264" s="12"/>
      <c r="DR1264" s="12"/>
      <c r="DS1264" s="12"/>
      <c r="DT1264" s="12"/>
      <c r="DU1264" s="13"/>
      <c r="DV1264" s="12"/>
      <c r="DW1264" s="12"/>
      <c r="DX1264" s="12"/>
      <c r="DY1264" s="12"/>
      <c r="DZ1264" s="15">
        <v>-159430.0</v>
      </c>
      <c r="EA1264" s="15">
        <v>-109550.0</v>
      </c>
      <c r="EB1264" s="15">
        <v>89160.0</v>
      </c>
      <c r="EC1264" s="15">
        <v>160320.0</v>
      </c>
      <c r="ED1264" s="15">
        <v>222340.0</v>
      </c>
      <c r="EE1264" s="17">
        <v>0.081</v>
      </c>
      <c r="EF1264" s="17">
        <v>0.177</v>
      </c>
      <c r="EG1264" s="17">
        <v>0.328</v>
      </c>
      <c r="EH1264" s="17">
        <v>0.375</v>
      </c>
    </row>
    <row r="1265">
      <c r="A1265" s="9">
        <f t="shared" si="2"/>
        <v>1263</v>
      </c>
      <c r="B1265" s="25" t="s">
        <v>1400</v>
      </c>
      <c r="C1265" s="12">
        <v>121810.0</v>
      </c>
      <c r="D1265" s="12">
        <v>124790.0</v>
      </c>
      <c r="E1265" s="12">
        <v>233070.0</v>
      </c>
      <c r="F1265" s="12">
        <v>212470.0</v>
      </c>
      <c r="G1265" s="12">
        <v>137210.0</v>
      </c>
      <c r="H1265" s="12">
        <v>59230.0</v>
      </c>
      <c r="I1265" s="12">
        <v>47700.0</v>
      </c>
      <c r="J1265" s="12">
        <v>67080.0</v>
      </c>
      <c r="K1265" s="12">
        <v>54680.0</v>
      </c>
      <c r="L1265" s="12">
        <v>28160.0</v>
      </c>
      <c r="M1265" s="12">
        <v>24890.0</v>
      </c>
      <c r="N1265" s="12">
        <v>21250.0</v>
      </c>
      <c r="O1265" s="12">
        <v>11330.0</v>
      </c>
      <c r="P1265" s="12">
        <v>11670.0</v>
      </c>
      <c r="Q1265" s="12">
        <v>9460.0</v>
      </c>
      <c r="R1265" s="12">
        <v>4500.0</v>
      </c>
      <c r="S1265" s="12">
        <v>4670.0</v>
      </c>
      <c r="T1265" s="12">
        <v>0.0</v>
      </c>
      <c r="U1265" s="12">
        <v>0.0</v>
      </c>
      <c r="V1265" s="12">
        <v>0.0</v>
      </c>
      <c r="W1265" s="12">
        <v>0.0</v>
      </c>
      <c r="X1265" s="12">
        <v>0.0</v>
      </c>
      <c r="Y1265" s="12">
        <v>42920.0</v>
      </c>
      <c r="Z1265" s="12">
        <v>25880.0</v>
      </c>
      <c r="AA1265" s="12">
        <v>0.0</v>
      </c>
      <c r="AB1265" s="12">
        <v>17440.0</v>
      </c>
      <c r="AC1265" s="12">
        <v>0.0</v>
      </c>
      <c r="AD1265" s="12">
        <v>39430.0</v>
      </c>
      <c r="AE1265" s="12">
        <v>23810.0</v>
      </c>
      <c r="AF1265" s="12">
        <v>18720.0</v>
      </c>
      <c r="AG1265" s="12">
        <v>19770.0</v>
      </c>
      <c r="AH1265" s="12">
        <v>9120.0</v>
      </c>
      <c r="AI1265" s="12">
        <v>83580.0</v>
      </c>
      <c r="AJ1265" s="12">
        <v>61210.0</v>
      </c>
      <c r="AK1265" s="12">
        <v>26520.0</v>
      </c>
      <c r="AL1265" s="12">
        <v>26870.0</v>
      </c>
      <c r="AM1265" s="12">
        <v>21900.0</v>
      </c>
      <c r="AN1265" s="12">
        <v>31620.0</v>
      </c>
      <c r="AO1265" s="12">
        <v>18690.0</v>
      </c>
      <c r="AP1265" s="12">
        <v>21530.0</v>
      </c>
      <c r="AQ1265" s="12">
        <v>10380.0</v>
      </c>
      <c r="AR1265" s="12">
        <v>4990.0</v>
      </c>
      <c r="AS1265" s="12">
        <v>44630.0</v>
      </c>
      <c r="AT1265" s="12">
        <v>50910.0</v>
      </c>
      <c r="AU1265" s="12">
        <v>15630.0</v>
      </c>
      <c r="AV1265" s="12">
        <v>26700.0</v>
      </c>
      <c r="AW1265" s="12">
        <v>30700.0</v>
      </c>
      <c r="AX1265" s="12">
        <v>-25530.0</v>
      </c>
      <c r="AY1265" s="12">
        <v>-96090.0</v>
      </c>
      <c r="AZ1265" s="12">
        <v>-51160.0</v>
      </c>
      <c r="BA1265" s="12">
        <v>-2520.0</v>
      </c>
      <c r="BB1265" s="12">
        <v>-29380.0</v>
      </c>
      <c r="BC1265" s="12">
        <v>0.0</v>
      </c>
      <c r="BD1265" s="12">
        <v>0.0</v>
      </c>
      <c r="BE1265" s="12">
        <v>0.0</v>
      </c>
      <c r="BF1265" s="12">
        <v>0.0</v>
      </c>
      <c r="BG1265" s="12">
        <v>0.0</v>
      </c>
      <c r="BH1265" s="12">
        <v>2640.0</v>
      </c>
      <c r="BI1265" s="12">
        <v>1470.0</v>
      </c>
      <c r="BJ1265" s="12">
        <v>35230.0</v>
      </c>
      <c r="BK1265" s="12">
        <v>47530.0</v>
      </c>
      <c r="BL1265" s="12">
        <v>3900.0</v>
      </c>
      <c r="BM1265" s="12">
        <v>64820.0</v>
      </c>
      <c r="BN1265" s="12">
        <v>26810.0</v>
      </c>
      <c r="BO1265" s="12">
        <v>25370.0</v>
      </c>
      <c r="BP1265" s="12">
        <v>5770.0</v>
      </c>
      <c r="BQ1265" s="12">
        <v>6040.0</v>
      </c>
      <c r="BR1265" s="12">
        <v>21420.0</v>
      </c>
      <c r="BS1265" s="12">
        <v>18580.0</v>
      </c>
      <c r="BT1265" s="12">
        <v>9090.0</v>
      </c>
      <c r="BU1265" s="12">
        <v>10340.0</v>
      </c>
      <c r="BV1265" s="12">
        <v>5030.0</v>
      </c>
      <c r="BW1265" s="12">
        <v>90380.0</v>
      </c>
      <c r="BX1265" s="12">
        <v>50100.0</v>
      </c>
      <c r="BY1265" s="12">
        <v>72740.0</v>
      </c>
      <c r="BZ1265" s="12">
        <v>65020.0</v>
      </c>
      <c r="CA1265" s="12">
        <v>16490.0</v>
      </c>
      <c r="CB1265" s="12">
        <v>258640.0</v>
      </c>
      <c r="CC1265" s="12">
        <v>248400.0</v>
      </c>
      <c r="CD1265" s="12">
        <v>172200.0</v>
      </c>
      <c r="CE1265" s="12">
        <v>104100.0</v>
      </c>
      <c r="CF1265" s="12">
        <v>108930.0</v>
      </c>
      <c r="CG1265" s="12">
        <v>0.0</v>
      </c>
      <c r="CH1265" s="12">
        <v>0.0</v>
      </c>
      <c r="CI1265" s="12">
        <v>0.0</v>
      </c>
      <c r="CJ1265" s="12">
        <v>0.0</v>
      </c>
      <c r="CK1265" s="12">
        <v>0.0</v>
      </c>
      <c r="CL1265" s="12">
        <v>369410.0</v>
      </c>
      <c r="CM1265" s="12">
        <v>329790.0</v>
      </c>
      <c r="CN1265" s="12">
        <v>246980.0</v>
      </c>
      <c r="CO1265" s="12">
        <v>174020.0</v>
      </c>
      <c r="CP1265" s="12">
        <v>133100.0</v>
      </c>
      <c r="CQ1265" s="12">
        <v>3960.0</v>
      </c>
      <c r="CR1265" s="12">
        <v>11340.0</v>
      </c>
      <c r="CS1265" s="12">
        <v>26120.0</v>
      </c>
      <c r="CT1265" s="12">
        <v>1660.0</v>
      </c>
      <c r="CU1265" s="12">
        <v>1170.0</v>
      </c>
      <c r="CV1265" s="12">
        <v>40020.0</v>
      </c>
      <c r="CW1265" s="12">
        <v>13110.0</v>
      </c>
      <c r="CX1265" s="12">
        <v>0.0</v>
      </c>
      <c r="CY1265" s="12">
        <v>0.0</v>
      </c>
      <c r="CZ1265" s="12">
        <v>0.0</v>
      </c>
      <c r="DA1265" s="12">
        <v>0.0</v>
      </c>
      <c r="DB1265" s="12">
        <v>40020.0</v>
      </c>
      <c r="DC1265" s="12">
        <v>24650.0</v>
      </c>
      <c r="DD1265" s="12">
        <v>34560.0</v>
      </c>
      <c r="DE1265" s="12">
        <v>13720.0</v>
      </c>
      <c r="DF1265" s="12">
        <v>125270.0</v>
      </c>
      <c r="DG1265" s="12">
        <v>120430.0</v>
      </c>
      <c r="DH1265" s="12">
        <v>56960.0</v>
      </c>
      <c r="DI1265" s="12">
        <v>31580.0</v>
      </c>
      <c r="DJ1265" s="12">
        <v>129370.0</v>
      </c>
      <c r="DK1265" s="12">
        <v>0.0</v>
      </c>
      <c r="DL1265" s="12">
        <v>0.0</v>
      </c>
      <c r="DM1265" s="12">
        <v>0.0</v>
      </c>
      <c r="DN1265" s="12">
        <v>0.0</v>
      </c>
      <c r="DO1265" s="12">
        <v>0.0</v>
      </c>
      <c r="DP1265" s="12">
        <v>43710.0</v>
      </c>
      <c r="DQ1265" s="12">
        <v>47890.0</v>
      </c>
      <c r="DR1265" s="12">
        <v>0.0</v>
      </c>
      <c r="DS1265" s="12">
        <v>0.0</v>
      </c>
      <c r="DT1265" s="12">
        <v>64580.0</v>
      </c>
      <c r="DU1265" s="16">
        <v>0.0</v>
      </c>
      <c r="DV1265" s="15">
        <v>0.0</v>
      </c>
      <c r="DW1265" s="15">
        <v>0.0</v>
      </c>
      <c r="DX1265" s="16">
        <v>0.0</v>
      </c>
      <c r="DY1265" s="16">
        <v>0.0</v>
      </c>
      <c r="DZ1265" s="12">
        <v>244140.0</v>
      </c>
      <c r="EA1265" s="12">
        <v>209360.0</v>
      </c>
      <c r="EB1265" s="12">
        <v>190020.0</v>
      </c>
      <c r="EC1265" s="12">
        <v>142440.0</v>
      </c>
      <c r="ED1265" s="12">
        <v>3730.0</v>
      </c>
      <c r="EE1265" s="23">
        <v>0.261</v>
      </c>
      <c r="EF1265" s="23">
        <v>0.405</v>
      </c>
      <c r="EG1265" s="23">
        <v>-1.0</v>
      </c>
      <c r="EH1265" s="23">
        <v>0.331</v>
      </c>
    </row>
    <row r="1266">
      <c r="A1266" s="9">
        <f t="shared" si="2"/>
        <v>1264</v>
      </c>
      <c r="B1266" s="10" t="s">
        <v>1401</v>
      </c>
      <c r="C1266" s="11">
        <v>4730000.0</v>
      </c>
      <c r="D1266" s="11">
        <v>4420000.0</v>
      </c>
      <c r="E1266" s="11">
        <v>4750000.0</v>
      </c>
      <c r="F1266" s="11">
        <v>4980000.0</v>
      </c>
      <c r="G1266" s="11">
        <v>4380000.0</v>
      </c>
      <c r="H1266" s="11">
        <v>4050000.0</v>
      </c>
      <c r="I1266" s="11">
        <v>3960000.0</v>
      </c>
      <c r="J1266" s="11">
        <v>436500.0</v>
      </c>
      <c r="K1266" s="11">
        <v>522100.0</v>
      </c>
      <c r="L1266" s="11">
        <v>386100.0</v>
      </c>
      <c r="M1266" s="11">
        <v>392540.0</v>
      </c>
      <c r="N1266" s="11">
        <v>391450.0</v>
      </c>
      <c r="O1266" s="11">
        <v>116100.0</v>
      </c>
      <c r="P1266" s="11">
        <v>138500.0</v>
      </c>
      <c r="Q1266" s="11">
        <v>105800.0</v>
      </c>
      <c r="R1266" s="11">
        <v>102140.0</v>
      </c>
      <c r="S1266" s="11">
        <v>125180.0</v>
      </c>
      <c r="T1266" s="12"/>
      <c r="U1266" s="12"/>
      <c r="V1266" s="12"/>
      <c r="W1266" s="12"/>
      <c r="X1266" s="12"/>
      <c r="Y1266" s="11">
        <v>207800.0</v>
      </c>
      <c r="Z1266" s="11">
        <v>375800.0</v>
      </c>
      <c r="AA1266" s="11"/>
      <c r="AB1266" s="12"/>
      <c r="AC1266" s="11">
        <v>260240.0</v>
      </c>
      <c r="AD1266" s="11">
        <v>198100.0</v>
      </c>
      <c r="AE1266" s="11">
        <v>364600.0</v>
      </c>
      <c r="AF1266" s="11">
        <v>263400.0</v>
      </c>
      <c r="AG1266" s="11">
        <v>265600.0</v>
      </c>
      <c r="AH1266" s="11">
        <v>238720.0</v>
      </c>
      <c r="AI1266" s="11">
        <v>613300.0</v>
      </c>
      <c r="AJ1266" s="11">
        <v>674900.0</v>
      </c>
      <c r="AK1266" s="11">
        <v>559300.0</v>
      </c>
      <c r="AL1266" s="11">
        <v>556440.0</v>
      </c>
      <c r="AM1266" s="11">
        <v>502610.0</v>
      </c>
      <c r="AN1266" s="11">
        <v>147000.0</v>
      </c>
      <c r="AO1266" s="11">
        <v>268900.0</v>
      </c>
      <c r="AP1266" s="11">
        <v>389900.0</v>
      </c>
      <c r="AQ1266" s="11">
        <v>156850.0</v>
      </c>
      <c r="AR1266" s="11">
        <v>140930.0</v>
      </c>
      <c r="AS1266" s="11">
        <v>636300.0</v>
      </c>
      <c r="AT1266" s="11">
        <v>566500.0</v>
      </c>
      <c r="AU1266" s="11">
        <v>461300.0</v>
      </c>
      <c r="AV1266" s="11">
        <v>455310.0</v>
      </c>
      <c r="AW1266" s="11">
        <v>485560.0</v>
      </c>
      <c r="AX1266" s="11">
        <v>-465700.0</v>
      </c>
      <c r="AY1266" s="11">
        <v>-512500.0</v>
      </c>
      <c r="AZ1266" s="11">
        <v>-532000.0</v>
      </c>
      <c r="BA1266" s="11">
        <v>-547520.0</v>
      </c>
      <c r="BB1266" s="11">
        <v>-607260.0</v>
      </c>
      <c r="BC1266" s="11">
        <v>-42500.0</v>
      </c>
      <c r="BD1266" s="11">
        <v>-40700.0</v>
      </c>
      <c r="BE1266" s="11">
        <v>-25500.0</v>
      </c>
      <c r="BF1266" s="11">
        <v>-31270.0</v>
      </c>
      <c r="BG1266" s="11">
        <v>-25160.0</v>
      </c>
      <c r="BH1266" s="11">
        <v>599900.0</v>
      </c>
      <c r="BI1266" s="11">
        <v>430000.0</v>
      </c>
      <c r="BJ1266" s="11">
        <v>280100.0</v>
      </c>
      <c r="BK1266" s="11">
        <v>183280.0</v>
      </c>
      <c r="BL1266" s="11">
        <v>210990.0</v>
      </c>
      <c r="BM1266" s="11">
        <v>633800.0</v>
      </c>
      <c r="BN1266" s="11">
        <v>754000.0</v>
      </c>
      <c r="BO1266" s="11">
        <v>655200.0</v>
      </c>
      <c r="BP1266" s="11">
        <v>586000.0</v>
      </c>
      <c r="BQ1266" s="11">
        <v>590110.0</v>
      </c>
      <c r="BR1266" s="11">
        <v>71900.0</v>
      </c>
      <c r="BS1266" s="11">
        <v>60800.0</v>
      </c>
      <c r="BT1266" s="11">
        <v>83100.0</v>
      </c>
      <c r="BU1266" s="11">
        <v>74130.0</v>
      </c>
      <c r="BV1266" s="11">
        <v>68470.0</v>
      </c>
      <c r="BW1266" s="11">
        <v>1410000.0</v>
      </c>
      <c r="BX1266" s="11">
        <v>1320000.0</v>
      </c>
      <c r="BY1266" s="11">
        <v>1090000.0</v>
      </c>
      <c r="BZ1266" s="11">
        <v>923650.0</v>
      </c>
      <c r="CA1266" s="11">
        <v>913000.0</v>
      </c>
      <c r="CB1266" s="11">
        <v>1930000.0</v>
      </c>
      <c r="CC1266" s="11">
        <v>1920000.0</v>
      </c>
      <c r="CD1266" s="11">
        <v>1860000.0</v>
      </c>
      <c r="CE1266" s="11">
        <v>1760000.0</v>
      </c>
      <c r="CF1266" s="11">
        <v>1500000.0</v>
      </c>
      <c r="CG1266" s="11">
        <v>127500.0</v>
      </c>
      <c r="CH1266" s="11">
        <v>162200.0</v>
      </c>
      <c r="CI1266" s="11">
        <v>164800.0</v>
      </c>
      <c r="CJ1266" s="11">
        <v>164040.0</v>
      </c>
      <c r="CK1266" s="11">
        <v>26710.0</v>
      </c>
      <c r="CL1266" s="11">
        <v>3710000.0</v>
      </c>
      <c r="CM1266" s="11">
        <v>3660000.0</v>
      </c>
      <c r="CN1266" s="11">
        <v>3330000.0</v>
      </c>
      <c r="CO1266" s="11">
        <v>3050000.0</v>
      </c>
      <c r="CP1266" s="11">
        <v>2620000.0</v>
      </c>
      <c r="CQ1266" s="11">
        <v>207700.0</v>
      </c>
      <c r="CR1266" s="11">
        <v>226000.0</v>
      </c>
      <c r="CS1266" s="11">
        <v>230400.0</v>
      </c>
      <c r="CT1266" s="11">
        <v>227250.0</v>
      </c>
      <c r="CU1266" s="11">
        <v>210310.0</v>
      </c>
      <c r="CV1266" s="11">
        <v>465200.0</v>
      </c>
      <c r="CW1266" s="11">
        <v>26700.0</v>
      </c>
      <c r="CX1266" s="12"/>
      <c r="CY1266" s="12"/>
      <c r="CZ1266" s="12"/>
      <c r="DA1266" s="12"/>
      <c r="DB1266" s="11">
        <v>465200.0</v>
      </c>
      <c r="DC1266" s="11">
        <v>522600.0</v>
      </c>
      <c r="DD1266" s="11">
        <v>462000.0</v>
      </c>
      <c r="DE1266" s="11">
        <v>677270.0</v>
      </c>
      <c r="DF1266" s="11">
        <v>1470000.0</v>
      </c>
      <c r="DG1266" s="11">
        <v>1530000.0</v>
      </c>
      <c r="DH1266" s="11">
        <v>1440000.0</v>
      </c>
      <c r="DI1266" s="11">
        <v>1870000.0</v>
      </c>
      <c r="DJ1266" s="11">
        <v>1570000.0</v>
      </c>
      <c r="DK1266" s="11">
        <v>3500.0</v>
      </c>
      <c r="DL1266" s="11"/>
      <c r="DM1266" s="11"/>
      <c r="DN1266" s="11"/>
      <c r="DO1266" s="12"/>
      <c r="DP1266" s="11">
        <v>361700.0</v>
      </c>
      <c r="DQ1266" s="11">
        <v>359600.0</v>
      </c>
      <c r="DR1266" s="11">
        <v>420600.0</v>
      </c>
      <c r="DS1266" s="11">
        <v>439630.0</v>
      </c>
      <c r="DT1266" s="11">
        <v>539610.0</v>
      </c>
      <c r="DU1266" s="13"/>
      <c r="DV1266" s="12"/>
      <c r="DW1266" s="12"/>
      <c r="DX1266" s="12"/>
      <c r="DY1266" s="12"/>
      <c r="DZ1266" s="11">
        <v>2240000.0</v>
      </c>
      <c r="EA1266" s="11">
        <v>2130000.0</v>
      </c>
      <c r="EB1266" s="11">
        <v>1890000.0</v>
      </c>
      <c r="EC1266" s="11">
        <v>1190000.0</v>
      </c>
      <c r="ED1266" s="11">
        <v>1060000.0</v>
      </c>
      <c r="EE1266" s="14">
        <v>0.059</v>
      </c>
      <c r="EF1266" s="14">
        <v>0.089</v>
      </c>
      <c r="EG1266" s="14">
        <v>0.368</v>
      </c>
      <c r="EH1266" s="14">
        <v>0.13</v>
      </c>
    </row>
    <row r="1267">
      <c r="A1267" s="9">
        <f t="shared" si="2"/>
        <v>1265</v>
      </c>
      <c r="B1267" s="22" t="s">
        <v>1402</v>
      </c>
      <c r="C1267" s="12"/>
      <c r="D1267" s="11">
        <v>1500.0</v>
      </c>
      <c r="E1267" s="11">
        <v>1520.0</v>
      </c>
      <c r="F1267" s="11">
        <v>1520.0</v>
      </c>
      <c r="G1267" s="11">
        <v>2110.0</v>
      </c>
      <c r="H1267" s="11">
        <v>1220.0</v>
      </c>
      <c r="I1267" s="11">
        <v>627.0</v>
      </c>
      <c r="J1267" s="12"/>
      <c r="K1267" s="12"/>
      <c r="L1267" s="12"/>
      <c r="M1267" s="12"/>
      <c r="N1267" s="12"/>
      <c r="O1267" s="11">
        <v>58610.0</v>
      </c>
      <c r="P1267" s="11">
        <v>77320.0</v>
      </c>
      <c r="Q1267" s="11">
        <v>63990.0</v>
      </c>
      <c r="R1267" s="11">
        <v>44900.0</v>
      </c>
      <c r="S1267" s="11">
        <v>21120.0</v>
      </c>
      <c r="T1267" s="11">
        <v>42990.0</v>
      </c>
      <c r="U1267" s="11">
        <v>60110.0</v>
      </c>
      <c r="V1267" s="11">
        <v>48200.0</v>
      </c>
      <c r="W1267" s="11">
        <v>31670.0</v>
      </c>
      <c r="X1267" s="11">
        <v>9550.0</v>
      </c>
      <c r="Y1267" s="12"/>
      <c r="Z1267" s="12"/>
      <c r="AA1267" s="12"/>
      <c r="AB1267" s="11">
        <v>-45470.0</v>
      </c>
      <c r="AC1267" s="11">
        <v>-22680.0</v>
      </c>
      <c r="AD1267" s="11">
        <v>-56050.0</v>
      </c>
      <c r="AE1267" s="11">
        <v>-73960.0</v>
      </c>
      <c r="AF1267" s="11">
        <v>-60800.0</v>
      </c>
      <c r="AG1267" s="11">
        <v>-44470.0</v>
      </c>
      <c r="AH1267" s="11">
        <v>-24120.0</v>
      </c>
      <c r="AI1267" s="11">
        <v>-57090.0</v>
      </c>
      <c r="AJ1267" s="11">
        <v>-75800.0</v>
      </c>
      <c r="AK1267" s="11">
        <v>-61880.0</v>
      </c>
      <c r="AL1267" s="11">
        <v>-43680.0</v>
      </c>
      <c r="AM1267" s="11">
        <v>-20490.0</v>
      </c>
      <c r="AN1267" s="11">
        <v>-56050.0</v>
      </c>
      <c r="AO1267" s="11">
        <v>-73960.0</v>
      </c>
      <c r="AP1267" s="11">
        <v>-60800.0</v>
      </c>
      <c r="AQ1267" s="11">
        <v>-44470.0</v>
      </c>
      <c r="AR1267" s="11">
        <v>-24120.0</v>
      </c>
      <c r="AS1267" s="11">
        <v>-50610.0</v>
      </c>
      <c r="AT1267" s="11">
        <v>-68530.0</v>
      </c>
      <c r="AU1267" s="11">
        <v>-47370.0</v>
      </c>
      <c r="AV1267" s="11">
        <v>-35160.0</v>
      </c>
      <c r="AW1267" s="11">
        <v>-2430.0</v>
      </c>
      <c r="AX1267" s="12"/>
      <c r="AY1267" s="11">
        <v>-187.0</v>
      </c>
      <c r="AZ1267" s="11">
        <v>-84.0</v>
      </c>
      <c r="BA1267" s="11">
        <v>-261.0</v>
      </c>
      <c r="BB1267" s="11">
        <v>-49.0</v>
      </c>
      <c r="BC1267" s="12"/>
      <c r="BD1267" s="12"/>
      <c r="BE1267" s="12"/>
      <c r="BF1267" s="12"/>
      <c r="BG1267" s="12"/>
      <c r="BH1267" s="11">
        <v>59780.0</v>
      </c>
      <c r="BI1267" s="11">
        <v>81010.0</v>
      </c>
      <c r="BJ1267" s="11">
        <v>130080.0</v>
      </c>
      <c r="BK1267" s="11">
        <v>105480.0</v>
      </c>
      <c r="BL1267" s="11">
        <v>86540.0</v>
      </c>
      <c r="BM1267" s="11">
        <v>116.0</v>
      </c>
      <c r="BN1267" s="24">
        <v>253.0</v>
      </c>
      <c r="BO1267" s="24">
        <v>377.0</v>
      </c>
      <c r="BP1267" s="24">
        <v>306.0</v>
      </c>
      <c r="BQ1267" s="24">
        <v>258.0</v>
      </c>
      <c r="BR1267" s="12"/>
      <c r="BS1267" s="12"/>
      <c r="BT1267" s="12"/>
      <c r="BU1267" s="12"/>
      <c r="BV1267" s="12"/>
      <c r="BW1267" s="11">
        <v>62330.0</v>
      </c>
      <c r="BX1267" s="11">
        <v>83350.0</v>
      </c>
      <c r="BY1267" s="11">
        <v>133440.0</v>
      </c>
      <c r="BZ1267" s="11">
        <v>108510.0</v>
      </c>
      <c r="CA1267" s="11">
        <v>88010.0</v>
      </c>
      <c r="CB1267" s="11">
        <v>997.0</v>
      </c>
      <c r="CC1267" s="11">
        <v>373.0</v>
      </c>
      <c r="CD1267" s="11">
        <v>267.0</v>
      </c>
      <c r="CE1267" s="11">
        <v>260.0</v>
      </c>
      <c r="CF1267" s="11">
        <v>88.0</v>
      </c>
      <c r="CG1267" s="12"/>
      <c r="CH1267" s="12"/>
      <c r="CI1267" s="12"/>
      <c r="CJ1267" s="12"/>
      <c r="CK1267" s="12"/>
      <c r="CL1267" s="11">
        <v>63530.0</v>
      </c>
      <c r="CM1267" s="11">
        <v>83940.0</v>
      </c>
      <c r="CN1267" s="11">
        <v>137190.0</v>
      </c>
      <c r="CO1267" s="11">
        <v>109010.0</v>
      </c>
      <c r="CP1267" s="11">
        <v>89900.0</v>
      </c>
      <c r="CQ1267" s="11">
        <v>6180.0</v>
      </c>
      <c r="CR1267" s="11">
        <v>1440.0</v>
      </c>
      <c r="CS1267" s="11">
        <v>2230.0</v>
      </c>
      <c r="CT1267" s="11">
        <v>2380.0</v>
      </c>
      <c r="CU1267" s="11">
        <v>1450.0</v>
      </c>
      <c r="CV1267" s="11">
        <v>18370.0</v>
      </c>
      <c r="CW1267" s="11">
        <v>478.0</v>
      </c>
      <c r="CX1267" s="12"/>
      <c r="CY1267" s="12"/>
      <c r="CZ1267" s="12"/>
      <c r="DA1267" s="12"/>
      <c r="DB1267" s="11">
        <v>18370.0</v>
      </c>
      <c r="DC1267" s="11">
        <v>16110.0</v>
      </c>
      <c r="DD1267" s="11">
        <v>15800.0</v>
      </c>
      <c r="DE1267" s="11">
        <v>10370.0</v>
      </c>
      <c r="DF1267" s="11">
        <v>31930.0</v>
      </c>
      <c r="DG1267" s="11">
        <v>30890.0</v>
      </c>
      <c r="DH1267" s="11">
        <v>32870.0</v>
      </c>
      <c r="DI1267" s="11">
        <v>24870.0</v>
      </c>
      <c r="DJ1267" s="11">
        <v>23210.0</v>
      </c>
      <c r="DK1267" s="11">
        <v>115.0</v>
      </c>
      <c r="DL1267" s="12"/>
      <c r="DM1267" s="11">
        <v>3250.0</v>
      </c>
      <c r="DN1267" s="12"/>
      <c r="DO1267" s="12"/>
      <c r="DP1267" s="11">
        <v>419.0</v>
      </c>
      <c r="DQ1267" s="12"/>
      <c r="DR1267" s="12"/>
      <c r="DS1267" s="12"/>
      <c r="DT1267" s="12"/>
      <c r="DU1267" s="13"/>
      <c r="DV1267" s="12"/>
      <c r="DW1267" s="12"/>
      <c r="DX1267" s="13"/>
      <c r="DY1267" s="11">
        <v>326340.0</v>
      </c>
      <c r="DZ1267" s="11">
        <v>31600.0</v>
      </c>
      <c r="EA1267" s="11">
        <v>53050.0</v>
      </c>
      <c r="EB1267" s="11">
        <v>104320.0</v>
      </c>
      <c r="EC1267" s="11">
        <v>84140.0</v>
      </c>
      <c r="ED1267" s="11">
        <v>66700.0</v>
      </c>
      <c r="EE1267" s="14">
        <v>0.0</v>
      </c>
      <c r="EF1267" s="23"/>
      <c r="EG1267" s="14">
        <v>0.067</v>
      </c>
      <c r="EH1267" s="14">
        <v>0.012</v>
      </c>
    </row>
    <row r="1268">
      <c r="A1268" s="9">
        <f t="shared" si="2"/>
        <v>1266</v>
      </c>
      <c r="B1268" s="25" t="s">
        <v>1403</v>
      </c>
      <c r="C1268" s="15">
        <v>8.592E7</v>
      </c>
      <c r="D1268" s="15">
        <v>7.925E7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>
        <v>4.9929E8</v>
      </c>
      <c r="U1268" s="15">
        <v>4.812E8</v>
      </c>
      <c r="V1268" s="15">
        <v>4.5852E8</v>
      </c>
      <c r="W1268" s="15">
        <v>4.4746E8</v>
      </c>
      <c r="X1268" s="15">
        <v>4.6818E8</v>
      </c>
      <c r="Y1268" s="15">
        <v>8.1905E8</v>
      </c>
      <c r="Z1268" s="15">
        <v>8.846E8</v>
      </c>
      <c r="AA1268" s="15">
        <v>6.9257E8</v>
      </c>
      <c r="AB1268" s="15">
        <v>2.8761E8</v>
      </c>
      <c r="AC1268" s="15">
        <v>2.2878E8</v>
      </c>
      <c r="AD1268" s="15">
        <v>7.9945E8</v>
      </c>
      <c r="AE1268" s="12"/>
      <c r="AF1268" s="15">
        <v>6.9905E8</v>
      </c>
      <c r="AG1268" s="15">
        <v>2.5162E8</v>
      </c>
      <c r="AH1268" s="15">
        <v>3.045E8</v>
      </c>
      <c r="AI1268" s="12"/>
      <c r="AJ1268" s="12"/>
      <c r="AK1268" s="12"/>
      <c r="AL1268" s="15"/>
      <c r="AM1268" s="15"/>
      <c r="AN1268" s="15">
        <v>5.8219E8</v>
      </c>
      <c r="AO1268" s="15">
        <v>9.1627E8</v>
      </c>
      <c r="AP1268" s="15">
        <v>4.9079E8</v>
      </c>
      <c r="AQ1268" s="15">
        <v>7.329E7</v>
      </c>
      <c r="AR1268" s="15">
        <v>1.4779E8</v>
      </c>
      <c r="AS1268" s="12"/>
      <c r="AT1268" s="12"/>
      <c r="AU1268" s="12"/>
      <c r="AV1268" s="15">
        <v>8.9072E8</v>
      </c>
      <c r="AW1268" s="15">
        <v>8.5652E8</v>
      </c>
      <c r="AX1268" s="15">
        <v>-4.3976E8</v>
      </c>
      <c r="AY1268" s="15">
        <v>-3.1264E8</v>
      </c>
      <c r="AZ1268" s="15">
        <v>-2.6299E8</v>
      </c>
      <c r="BA1268" s="15">
        <v>-3.3351E8</v>
      </c>
      <c r="BB1268" s="15">
        <v>-3.7541E8</v>
      </c>
      <c r="BC1268" s="15">
        <v>-4.957E7</v>
      </c>
      <c r="BD1268" s="15">
        <v>-3.807E7</v>
      </c>
      <c r="BE1268" s="15">
        <v>-2.849E7</v>
      </c>
      <c r="BF1268" s="15">
        <v>-2.53E7</v>
      </c>
      <c r="BG1268" s="15">
        <v>-1.275E7</v>
      </c>
      <c r="BH1268" s="15"/>
      <c r="BI1268" s="15"/>
      <c r="BJ1268" s="15"/>
      <c r="BK1268" s="15"/>
      <c r="BL1268" s="15"/>
      <c r="BM1268" s="15"/>
      <c r="BN1268" s="15"/>
      <c r="BO1268" s="15"/>
      <c r="BP1268" s="15"/>
      <c r="BQ1268" s="15"/>
      <c r="BR1268" s="15">
        <v>5.8997E8</v>
      </c>
      <c r="BS1268" s="15">
        <v>6.5328E8</v>
      </c>
      <c r="BT1268" s="15">
        <v>6.9294E8</v>
      </c>
      <c r="BU1268" s="15">
        <v>6.4084E8</v>
      </c>
      <c r="BV1268" s="15">
        <v>6.8315E8</v>
      </c>
      <c r="BW1268" s="15"/>
      <c r="BX1268" s="15"/>
      <c r="BY1268" s="15"/>
      <c r="BZ1268" s="15"/>
      <c r="CA1268" s="15"/>
      <c r="CB1268" s="15"/>
      <c r="CC1268" s="15">
        <v>7.7705E8</v>
      </c>
      <c r="CD1268" s="15">
        <v>7.3947E8</v>
      </c>
      <c r="CE1268" s="15">
        <v>7.582E8</v>
      </c>
      <c r="CF1268" s="15">
        <v>8.2082E8</v>
      </c>
      <c r="CG1268" s="15">
        <v>7.8389E8</v>
      </c>
      <c r="CH1268" s="15">
        <v>7.6855E8</v>
      </c>
      <c r="CI1268" s="15">
        <v>5.3049E8</v>
      </c>
      <c r="CJ1268" s="15">
        <v>5.2254E8</v>
      </c>
      <c r="CK1268" s="15">
        <v>6.0629E8</v>
      </c>
      <c r="CL1268" s="15"/>
      <c r="CM1268" s="15"/>
      <c r="CN1268" s="15"/>
      <c r="CO1268" s="15"/>
      <c r="CP1268" s="15"/>
      <c r="CQ1268" s="15">
        <v>3.8081E8</v>
      </c>
      <c r="CR1268" s="15">
        <v>4.9212E8</v>
      </c>
      <c r="CS1268" s="15">
        <v>4.6855E8</v>
      </c>
      <c r="CT1268" s="15">
        <v>5.399E8</v>
      </c>
      <c r="CU1268" s="15">
        <v>5.5096E8</v>
      </c>
      <c r="CV1268" s="15"/>
      <c r="CW1268" s="15">
        <v>8.7912E8</v>
      </c>
      <c r="CX1268" s="15">
        <v>6.1862E8</v>
      </c>
      <c r="CY1268" s="15">
        <v>4.9609E8</v>
      </c>
      <c r="CZ1268" s="15">
        <v>4.6466E8</v>
      </c>
      <c r="DA1268" s="15">
        <v>1.4927E8</v>
      </c>
      <c r="DB1268" s="15"/>
      <c r="DC1268" s="15"/>
      <c r="DD1268" s="15"/>
      <c r="DE1268" s="15"/>
      <c r="DF1268" s="15"/>
      <c r="DG1268" s="15"/>
      <c r="DH1268" s="15"/>
      <c r="DI1268" s="15"/>
      <c r="DJ1268" s="15"/>
      <c r="DK1268" s="15"/>
      <c r="DL1268" s="15"/>
      <c r="DM1268" s="15"/>
      <c r="DN1268" s="12"/>
      <c r="DO1268" s="15"/>
      <c r="DP1268" s="15">
        <v>9.3944E8</v>
      </c>
      <c r="DQ1268" s="15">
        <v>5.5751E8</v>
      </c>
      <c r="DR1268" s="15">
        <v>6.2345E8</v>
      </c>
      <c r="DS1268" s="15">
        <v>6.8146E8</v>
      </c>
      <c r="DT1268" s="15">
        <v>5.5661E8</v>
      </c>
      <c r="DU1268" s="13"/>
      <c r="DV1268" s="12"/>
      <c r="DW1268" s="12"/>
      <c r="DX1268" s="13"/>
      <c r="DY1268" s="13"/>
      <c r="DZ1268" s="12"/>
      <c r="EA1268" s="15"/>
      <c r="EB1268" s="15"/>
      <c r="EC1268" s="15"/>
      <c r="ED1268" s="15"/>
      <c r="EE1268" s="17">
        <v>0.013</v>
      </c>
      <c r="EF1268" s="17">
        <v>0.025</v>
      </c>
      <c r="EG1268" s="17">
        <v>-0.167</v>
      </c>
      <c r="EH1268" s="17">
        <v>0.184</v>
      </c>
    </row>
    <row r="1269">
      <c r="A1269" s="9">
        <f t="shared" si="2"/>
        <v>1267</v>
      </c>
      <c r="B1269" s="10" t="s">
        <v>1404</v>
      </c>
      <c r="C1269" s="12"/>
      <c r="D1269" s="12"/>
      <c r="E1269" s="11">
        <v>1.283E7</v>
      </c>
      <c r="F1269" s="11">
        <v>1.249E7</v>
      </c>
      <c r="G1269" s="11">
        <v>1.29E7</v>
      </c>
      <c r="H1269" s="11">
        <v>9850000.0</v>
      </c>
      <c r="I1269" s="11">
        <v>8340000.0</v>
      </c>
      <c r="J1269" s="11">
        <v>4710000.0</v>
      </c>
      <c r="K1269" s="11">
        <v>4650000.0</v>
      </c>
      <c r="L1269" s="11">
        <v>4490000.0</v>
      </c>
      <c r="M1269" s="11">
        <v>3370000.0</v>
      </c>
      <c r="N1269" s="11">
        <v>2840000.0</v>
      </c>
      <c r="O1269" s="11">
        <v>4570000.0</v>
      </c>
      <c r="P1269" s="11">
        <v>4410000.0</v>
      </c>
      <c r="Q1269" s="12"/>
      <c r="R1269" s="12"/>
      <c r="S1269" s="11">
        <v>447310.0</v>
      </c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1">
        <v>780330.0</v>
      </c>
      <c r="AD1269" s="12"/>
      <c r="AE1269" s="12"/>
      <c r="AF1269" s="12"/>
      <c r="AG1269" s="11">
        <v>1170000.0</v>
      </c>
      <c r="AH1269" s="11">
        <v>861450.0</v>
      </c>
      <c r="AI1269" s="11">
        <v>407000.0</v>
      </c>
      <c r="AJ1269" s="11">
        <v>478000.0</v>
      </c>
      <c r="AK1269" s="12"/>
      <c r="AL1269" s="12"/>
      <c r="AM1269" s="11">
        <v>926730.0</v>
      </c>
      <c r="AN1269" s="12"/>
      <c r="AO1269" s="12"/>
      <c r="AP1269" s="12"/>
      <c r="AQ1269" s="12"/>
      <c r="AR1269" s="11">
        <v>735580.0</v>
      </c>
      <c r="AS1269" s="12"/>
      <c r="AT1269" s="12"/>
      <c r="AU1269" s="12"/>
      <c r="AV1269" s="12"/>
      <c r="AW1269" s="11">
        <v>1240000.0</v>
      </c>
      <c r="AX1269" s="12"/>
      <c r="AY1269" s="12"/>
      <c r="AZ1269" s="12"/>
      <c r="BA1269" s="12"/>
      <c r="BB1269" s="12"/>
      <c r="BC1269" s="13"/>
      <c r="BD1269" s="13"/>
      <c r="BE1269" s="13"/>
      <c r="BF1269" s="13"/>
      <c r="BG1269" s="13"/>
      <c r="BH1269" s="11">
        <v>1280000.0</v>
      </c>
      <c r="BI1269" s="11">
        <v>735000.0</v>
      </c>
      <c r="BJ1269" s="11">
        <v>877000.0</v>
      </c>
      <c r="BK1269" s="11">
        <v>2920000.0</v>
      </c>
      <c r="BL1269" s="11">
        <v>1120000.0</v>
      </c>
      <c r="BM1269" s="11">
        <v>1350000.0</v>
      </c>
      <c r="BN1269" s="11">
        <v>919000.0</v>
      </c>
      <c r="BO1269" s="11">
        <v>867000.0</v>
      </c>
      <c r="BP1269" s="11">
        <v>1780000.0</v>
      </c>
      <c r="BQ1269" s="11">
        <v>1560000.0</v>
      </c>
      <c r="BR1269" s="11">
        <v>2160000.0</v>
      </c>
      <c r="BS1269" s="11">
        <v>2560000.0</v>
      </c>
      <c r="BT1269" s="11">
        <v>2590000.0</v>
      </c>
      <c r="BU1269" s="11">
        <v>1900000.0</v>
      </c>
      <c r="BV1269" s="11">
        <v>1230000.0</v>
      </c>
      <c r="BW1269" s="11">
        <v>6830000.0</v>
      </c>
      <c r="BX1269" s="11">
        <v>4440000.0</v>
      </c>
      <c r="BY1269" s="11">
        <v>4560000.0</v>
      </c>
      <c r="BZ1269" s="11">
        <v>7010000.0</v>
      </c>
      <c r="CA1269" s="11">
        <v>4040000.0</v>
      </c>
      <c r="CB1269" s="11">
        <v>2150000.0</v>
      </c>
      <c r="CC1269" s="11">
        <v>3300000.0</v>
      </c>
      <c r="CD1269" s="11">
        <v>3770000.0</v>
      </c>
      <c r="CE1269" s="11">
        <v>4240000.0</v>
      </c>
      <c r="CF1269" s="11">
        <v>3710000.0</v>
      </c>
      <c r="CG1269" s="11">
        <v>4490000.0</v>
      </c>
      <c r="CH1269" s="11">
        <v>4590000.0</v>
      </c>
      <c r="CI1269" s="11">
        <v>7180000.0</v>
      </c>
      <c r="CJ1269" s="11">
        <v>5950000.0</v>
      </c>
      <c r="CK1269" s="11">
        <v>1910000.0</v>
      </c>
      <c r="CL1269" s="11">
        <v>1.637E7</v>
      </c>
      <c r="CM1269" s="11">
        <v>1.751E7</v>
      </c>
      <c r="CN1269" s="11">
        <v>2.102E7</v>
      </c>
      <c r="CO1269" s="11">
        <v>2.318E7</v>
      </c>
      <c r="CP1269" s="11">
        <v>1.389E7</v>
      </c>
      <c r="CQ1269" s="11">
        <v>1490000.0</v>
      </c>
      <c r="CR1269" s="11">
        <v>2060000.0</v>
      </c>
      <c r="CS1269" s="11">
        <v>2340000.0</v>
      </c>
      <c r="CT1269" s="11">
        <v>2270000.0</v>
      </c>
      <c r="CU1269" s="11">
        <v>1490000.0</v>
      </c>
      <c r="CV1269" s="11">
        <v>1.278E7</v>
      </c>
      <c r="CW1269" s="11">
        <v>45000.0</v>
      </c>
      <c r="CX1269" s="11">
        <v>944000.0</v>
      </c>
      <c r="CY1269" s="11">
        <v>633000.0</v>
      </c>
      <c r="CZ1269" s="11">
        <v>137240.0</v>
      </c>
      <c r="DA1269" s="11">
        <v>167240.0</v>
      </c>
      <c r="DB1269" s="11">
        <v>1.278E7</v>
      </c>
      <c r="DC1269" s="11">
        <v>1.403E7</v>
      </c>
      <c r="DD1269" s="11">
        <v>1.297E7</v>
      </c>
      <c r="DE1269" s="11">
        <v>4180000.0</v>
      </c>
      <c r="DF1269" s="11">
        <v>1.573E7</v>
      </c>
      <c r="DG1269" s="11">
        <v>1.542E7</v>
      </c>
      <c r="DH1269" s="12"/>
      <c r="DI1269" s="12"/>
      <c r="DJ1269" s="11">
        <v>7960000.0</v>
      </c>
      <c r="DK1269" s="11">
        <v>564000.0</v>
      </c>
      <c r="DL1269" s="11">
        <v>2200000.0</v>
      </c>
      <c r="DM1269" s="12"/>
      <c r="DN1269" s="12"/>
      <c r="DO1269" s="11">
        <v>618630.0</v>
      </c>
      <c r="DP1269" s="11">
        <v>2030000.0</v>
      </c>
      <c r="DQ1269" s="12"/>
      <c r="DR1269" s="12"/>
      <c r="DS1269" s="11">
        <v>4240000.0</v>
      </c>
      <c r="DT1269" s="11">
        <v>3910000.0</v>
      </c>
      <c r="DU1269" s="13"/>
      <c r="DV1269" s="12"/>
      <c r="DW1269" s="12"/>
      <c r="DX1269" s="11">
        <v>360990.0</v>
      </c>
      <c r="DY1269" s="11">
        <v>232120.0</v>
      </c>
      <c r="DZ1269" s="12"/>
      <c r="EA1269" s="11">
        <v>924000.0</v>
      </c>
      <c r="EB1269" s="11">
        <v>5500000.0</v>
      </c>
      <c r="EC1269" s="11">
        <v>1.331E7</v>
      </c>
      <c r="ED1269" s="11">
        <v>5820000.0</v>
      </c>
      <c r="EE1269" s="23"/>
      <c r="EF1269" s="23"/>
      <c r="EG1269" s="23"/>
      <c r="EH1269" s="23"/>
    </row>
    <row r="1270">
      <c r="A1270" s="9">
        <f t="shared" si="2"/>
        <v>1268</v>
      </c>
      <c r="B1270" s="10" t="s">
        <v>1405</v>
      </c>
      <c r="C1270" s="12"/>
      <c r="D1270" s="12"/>
      <c r="E1270" s="11">
        <v>4030000.0</v>
      </c>
      <c r="F1270" s="11">
        <v>3680000.0</v>
      </c>
      <c r="G1270" s="11">
        <v>3700000.0</v>
      </c>
      <c r="H1270" s="11">
        <v>3460000.0</v>
      </c>
      <c r="I1270" s="11">
        <v>3030000.0</v>
      </c>
      <c r="J1270" s="11">
        <v>2830000.0</v>
      </c>
      <c r="K1270" s="11">
        <v>2580000.0</v>
      </c>
      <c r="L1270" s="11">
        <v>2580000.0</v>
      </c>
      <c r="M1270" s="11">
        <v>2380000.0</v>
      </c>
      <c r="N1270" s="11">
        <v>2140000.0</v>
      </c>
      <c r="O1270" s="11">
        <v>2020000.0</v>
      </c>
      <c r="P1270" s="11">
        <v>1800000.0</v>
      </c>
      <c r="Q1270" s="11">
        <v>1840000.0</v>
      </c>
      <c r="R1270" s="11">
        <v>1710000.0</v>
      </c>
      <c r="S1270" s="11">
        <v>1510000.0</v>
      </c>
      <c r="T1270" s="11">
        <v>210070.0</v>
      </c>
      <c r="U1270" s="11">
        <v>177740.0</v>
      </c>
      <c r="V1270" s="11">
        <v>173160.0</v>
      </c>
      <c r="W1270" s="11">
        <v>170460.0</v>
      </c>
      <c r="X1270" s="11">
        <v>145310.0</v>
      </c>
      <c r="Y1270" s="11">
        <v>651390.0</v>
      </c>
      <c r="Z1270" s="11">
        <v>661460.0</v>
      </c>
      <c r="AA1270" s="11">
        <v>735350.0</v>
      </c>
      <c r="AB1270" s="11">
        <v>604760.0</v>
      </c>
      <c r="AC1270" s="11">
        <v>420870.0</v>
      </c>
      <c r="AD1270" s="11">
        <v>581620.0</v>
      </c>
      <c r="AE1270" s="11">
        <v>593970.0</v>
      </c>
      <c r="AF1270" s="11">
        <v>677890.0</v>
      </c>
      <c r="AG1270" s="11">
        <v>789300.0</v>
      </c>
      <c r="AH1270" s="11">
        <v>376360.0</v>
      </c>
      <c r="AI1270" s="11">
        <v>1190000.0</v>
      </c>
      <c r="AJ1270" s="11">
        <v>1100000.0</v>
      </c>
      <c r="AK1270" s="11">
        <v>1080000.0</v>
      </c>
      <c r="AL1270" s="11">
        <v>978290.0</v>
      </c>
      <c r="AM1270" s="11">
        <v>920280.0</v>
      </c>
      <c r="AN1270" s="11">
        <v>470320.0</v>
      </c>
      <c r="AO1270" s="11">
        <v>497220.0</v>
      </c>
      <c r="AP1270" s="11">
        <v>595580.0</v>
      </c>
      <c r="AQ1270" s="11">
        <v>581040.0</v>
      </c>
      <c r="AR1270" s="11">
        <v>268360.0</v>
      </c>
      <c r="AS1270" s="11">
        <v>917900.0</v>
      </c>
      <c r="AT1270" s="11">
        <v>699710.0</v>
      </c>
      <c r="AU1270" s="11">
        <v>846390.0</v>
      </c>
      <c r="AV1270" s="11">
        <v>629220.0</v>
      </c>
      <c r="AW1270" s="11">
        <v>674170.0</v>
      </c>
      <c r="AX1270" s="12"/>
      <c r="AY1270" s="12"/>
      <c r="AZ1270" s="12"/>
      <c r="BA1270" s="12"/>
      <c r="BB1270" s="12"/>
      <c r="BC1270" s="12"/>
      <c r="BD1270" s="12"/>
      <c r="BE1270" s="13"/>
      <c r="BF1270" s="13"/>
      <c r="BG1270" s="13"/>
      <c r="BH1270" s="11">
        <v>209100.0</v>
      </c>
      <c r="BI1270" s="11">
        <v>286590.0</v>
      </c>
      <c r="BJ1270" s="11">
        <v>124930.0</v>
      </c>
      <c r="BK1270" s="11">
        <v>80930.0</v>
      </c>
      <c r="BL1270" s="11">
        <v>81420.0</v>
      </c>
      <c r="BM1270" s="11">
        <v>945840.0</v>
      </c>
      <c r="BN1270" s="11">
        <v>979900.0</v>
      </c>
      <c r="BO1270" s="11">
        <v>869340.0</v>
      </c>
      <c r="BP1270" s="11">
        <v>899930.0</v>
      </c>
      <c r="BQ1270" s="11">
        <v>715790.0</v>
      </c>
      <c r="BR1270" s="11">
        <v>1220000.0</v>
      </c>
      <c r="BS1270" s="11">
        <v>1100000.0</v>
      </c>
      <c r="BT1270" s="11">
        <v>963960.0</v>
      </c>
      <c r="BU1270" s="11">
        <v>1010000.0</v>
      </c>
      <c r="BV1270" s="11">
        <v>825700.0</v>
      </c>
      <c r="BW1270" s="11">
        <v>2430000.0</v>
      </c>
      <c r="BX1270" s="11">
        <v>2420000.0</v>
      </c>
      <c r="BY1270" s="11">
        <v>2020000.0</v>
      </c>
      <c r="BZ1270" s="11">
        <v>2050000.0</v>
      </c>
      <c r="CA1270" s="11">
        <v>1680000.0</v>
      </c>
      <c r="CB1270" s="11">
        <v>998680.0</v>
      </c>
      <c r="CC1270" s="11">
        <v>833860.0</v>
      </c>
      <c r="CD1270" s="11">
        <v>775460.0</v>
      </c>
      <c r="CE1270" s="11">
        <v>794720.0</v>
      </c>
      <c r="CF1270" s="11">
        <v>632340.0</v>
      </c>
      <c r="CG1270" s="11">
        <v>2110000.0</v>
      </c>
      <c r="CH1270" s="11">
        <v>1830000.0</v>
      </c>
      <c r="CI1270" s="11">
        <v>1750000.0</v>
      </c>
      <c r="CJ1270" s="11">
        <v>1770000.0</v>
      </c>
      <c r="CK1270" s="11">
        <v>1370000.0</v>
      </c>
      <c r="CL1270" s="11">
        <v>7020000.0</v>
      </c>
      <c r="CM1270" s="11">
        <v>6330000.0</v>
      </c>
      <c r="CN1270" s="11">
        <v>5810000.0</v>
      </c>
      <c r="CO1270" s="11">
        <v>5940000.0</v>
      </c>
      <c r="CP1270" s="11">
        <v>4860000.0</v>
      </c>
      <c r="CQ1270" s="11">
        <v>710320.0</v>
      </c>
      <c r="CR1270" s="11">
        <v>670540.0</v>
      </c>
      <c r="CS1270" s="11">
        <v>645350.0</v>
      </c>
      <c r="CT1270" s="11">
        <v>653100.0</v>
      </c>
      <c r="CU1270" s="11">
        <v>548210.0</v>
      </c>
      <c r="CV1270" s="11">
        <v>1180000.0</v>
      </c>
      <c r="CW1270" s="11">
        <v>19630.0</v>
      </c>
      <c r="CX1270" s="11">
        <v>25130.0</v>
      </c>
      <c r="CY1270" s="11">
        <v>10350.0</v>
      </c>
      <c r="CZ1270" s="11">
        <v>50180.0</v>
      </c>
      <c r="DA1270" s="11">
        <v>12210.0</v>
      </c>
      <c r="DB1270" s="11">
        <v>1180000.0</v>
      </c>
      <c r="DC1270" s="11">
        <v>1150000.0</v>
      </c>
      <c r="DD1270" s="11">
        <v>995010.0</v>
      </c>
      <c r="DE1270" s="11">
        <v>1090000.0</v>
      </c>
      <c r="DF1270" s="11">
        <v>3140000.0</v>
      </c>
      <c r="DG1270" s="11">
        <v>2500000.0</v>
      </c>
      <c r="DH1270" s="11">
        <v>2380000.0</v>
      </c>
      <c r="DI1270" s="11">
        <v>2740000.0</v>
      </c>
      <c r="DJ1270" s="11">
        <v>2170000.0</v>
      </c>
      <c r="DK1270" s="11">
        <v>83030.0</v>
      </c>
      <c r="DL1270" s="11">
        <v>109140.0</v>
      </c>
      <c r="DM1270" s="11">
        <v>102750.0</v>
      </c>
      <c r="DN1270" s="11">
        <v>110870.0</v>
      </c>
      <c r="DO1270" s="11">
        <v>86840.0</v>
      </c>
      <c r="DP1270" s="11">
        <v>1490000.0</v>
      </c>
      <c r="DQ1270" s="11">
        <v>1020000.0</v>
      </c>
      <c r="DR1270" s="11">
        <v>1050000.0</v>
      </c>
      <c r="DS1270" s="11">
        <v>1270000.0</v>
      </c>
      <c r="DT1270" s="11">
        <v>972930.0</v>
      </c>
      <c r="DU1270" s="12"/>
      <c r="DV1270" s="12"/>
      <c r="DW1270" s="12"/>
      <c r="DX1270" s="12"/>
      <c r="DY1270" s="12"/>
      <c r="DZ1270" s="11">
        <v>3880000.0</v>
      </c>
      <c r="EA1270" s="11">
        <v>3830000.0</v>
      </c>
      <c r="EB1270" s="11">
        <v>3430000.0</v>
      </c>
      <c r="EC1270" s="11">
        <v>3200000.0</v>
      </c>
      <c r="ED1270" s="11">
        <v>2690000.0</v>
      </c>
      <c r="EE1270" s="23"/>
      <c r="EF1270" s="23"/>
      <c r="EG1270" s="29" t="s">
        <v>155</v>
      </c>
      <c r="EH1270" s="23"/>
    </row>
    <row r="1271">
      <c r="A1271" s="9">
        <f t="shared" si="2"/>
        <v>1269</v>
      </c>
      <c r="B1271" s="10" t="s">
        <v>1406</v>
      </c>
      <c r="C1271" s="15">
        <v>3930000.0</v>
      </c>
      <c r="D1271" s="15">
        <v>3630000.0</v>
      </c>
      <c r="E1271" s="15">
        <v>3360000.0</v>
      </c>
      <c r="F1271" s="15">
        <v>3120000.0</v>
      </c>
      <c r="G1271" s="15">
        <v>2730000.0</v>
      </c>
      <c r="H1271" s="15">
        <v>2430000.0</v>
      </c>
      <c r="I1271" s="15">
        <v>2230000.0</v>
      </c>
      <c r="J1271" s="15">
        <v>2570000.0</v>
      </c>
      <c r="K1271" s="15">
        <v>2340000.0</v>
      </c>
      <c r="L1271" s="15">
        <v>2040000.0</v>
      </c>
      <c r="M1271" s="15">
        <v>1860000.0</v>
      </c>
      <c r="N1271" s="15">
        <v>1690000.0</v>
      </c>
      <c r="O1271" s="15">
        <v>1980000.0</v>
      </c>
      <c r="P1271" s="15">
        <v>1930000.0</v>
      </c>
      <c r="Q1271" s="15">
        <v>1610000.0</v>
      </c>
      <c r="R1271" s="15">
        <v>1510000.0</v>
      </c>
      <c r="S1271" s="15">
        <v>1380000.0</v>
      </c>
      <c r="T1271" s="15">
        <v>1140000.0</v>
      </c>
      <c r="U1271" s="15">
        <v>1080000.0</v>
      </c>
      <c r="V1271" s="15">
        <v>908840.0</v>
      </c>
      <c r="W1271" s="15">
        <v>856710.0</v>
      </c>
      <c r="X1271" s="15">
        <v>776230.0</v>
      </c>
      <c r="Y1271" s="15">
        <v>541030.0</v>
      </c>
      <c r="Z1271" s="15">
        <v>356010.0</v>
      </c>
      <c r="AA1271" s="15">
        <v>354520.0</v>
      </c>
      <c r="AB1271" s="15">
        <v>341100.0</v>
      </c>
      <c r="AC1271" s="15">
        <v>280420.0</v>
      </c>
      <c r="AD1271" s="15">
        <v>545510.0</v>
      </c>
      <c r="AE1271" s="15">
        <v>363540.0</v>
      </c>
      <c r="AF1271" s="15">
        <v>383100.0</v>
      </c>
      <c r="AG1271" s="15">
        <v>329550.0</v>
      </c>
      <c r="AH1271" s="15">
        <v>281610.0</v>
      </c>
      <c r="AI1271" s="15">
        <v>786240.0</v>
      </c>
      <c r="AJ1271" s="15">
        <v>609650.0</v>
      </c>
      <c r="AK1271" s="15">
        <v>627720.0</v>
      </c>
      <c r="AL1271" s="15">
        <v>558970.0</v>
      </c>
      <c r="AM1271" s="15">
        <v>523200.0</v>
      </c>
      <c r="AN1271" s="15">
        <v>532370.0</v>
      </c>
      <c r="AO1271" s="15">
        <v>432520.0</v>
      </c>
      <c r="AP1271" s="15">
        <v>136560.0</v>
      </c>
      <c r="AQ1271" s="15">
        <v>266830.0</v>
      </c>
      <c r="AR1271" s="15">
        <v>225930.0</v>
      </c>
      <c r="AS1271" s="15">
        <v>800510.0</v>
      </c>
      <c r="AT1271" s="15">
        <v>424230.0</v>
      </c>
      <c r="AU1271" s="15">
        <v>634570.0</v>
      </c>
      <c r="AV1271" s="15">
        <v>586640.0</v>
      </c>
      <c r="AW1271" s="15">
        <v>495160.0</v>
      </c>
      <c r="AX1271" s="15">
        <v>-202390.0</v>
      </c>
      <c r="AY1271" s="15">
        <v>-101930.0</v>
      </c>
      <c r="AZ1271" s="15">
        <v>-73550.0</v>
      </c>
      <c r="BA1271" s="15">
        <v>-71040.0</v>
      </c>
      <c r="BB1271" s="15">
        <v>-90650.0</v>
      </c>
      <c r="BC1271" s="15">
        <v>0.0</v>
      </c>
      <c r="BD1271" s="15">
        <v>0.0</v>
      </c>
      <c r="BE1271" s="15">
        <v>0.0</v>
      </c>
      <c r="BF1271" s="15">
        <v>0.0</v>
      </c>
      <c r="BG1271" s="15">
        <v>0.0</v>
      </c>
      <c r="BH1271" s="15">
        <v>728600.0</v>
      </c>
      <c r="BI1271" s="15">
        <v>723120.0</v>
      </c>
      <c r="BJ1271" s="15">
        <v>1050000.0</v>
      </c>
      <c r="BK1271" s="15">
        <v>1120000.0</v>
      </c>
      <c r="BL1271" s="15">
        <v>964940.0</v>
      </c>
      <c r="BM1271" s="15">
        <v>553900.0</v>
      </c>
      <c r="BN1271" s="15">
        <v>554220.0</v>
      </c>
      <c r="BO1271" s="15">
        <v>451140.0</v>
      </c>
      <c r="BP1271" s="15">
        <v>438870.0</v>
      </c>
      <c r="BQ1271" s="15">
        <v>385690.0</v>
      </c>
      <c r="BR1271" s="15">
        <v>141520.0</v>
      </c>
      <c r="BS1271" s="15">
        <v>122410.0</v>
      </c>
      <c r="BT1271" s="15">
        <v>0.0</v>
      </c>
      <c r="BU1271" s="15">
        <v>0.0</v>
      </c>
      <c r="BV1271" s="15">
        <v>0.0</v>
      </c>
      <c r="BW1271" s="15">
        <v>1740000.0</v>
      </c>
      <c r="BX1271" s="15">
        <v>1540000.0</v>
      </c>
      <c r="BY1271" s="15">
        <v>1680000.0</v>
      </c>
      <c r="BZ1271" s="15">
        <v>1720000.0</v>
      </c>
      <c r="CA1271" s="15">
        <v>1560000.0</v>
      </c>
      <c r="CB1271" s="15">
        <v>429530.0</v>
      </c>
      <c r="CC1271" s="15">
        <v>309310.0</v>
      </c>
      <c r="CD1271" s="15">
        <v>266010.0</v>
      </c>
      <c r="CE1271" s="15">
        <v>257040.0</v>
      </c>
      <c r="CF1271" s="15">
        <v>263080.0</v>
      </c>
      <c r="CG1271" s="15">
        <v>3170000.0</v>
      </c>
      <c r="CH1271" s="15">
        <v>3140000.0</v>
      </c>
      <c r="CI1271" s="15">
        <v>2710000.0</v>
      </c>
      <c r="CJ1271" s="15">
        <v>2520000.0</v>
      </c>
      <c r="CK1271" s="15">
        <v>2470000.0</v>
      </c>
      <c r="CL1271" s="15">
        <v>6410000.0</v>
      </c>
      <c r="CM1271" s="15">
        <v>6150000.0</v>
      </c>
      <c r="CN1271" s="15">
        <v>5400000.0</v>
      </c>
      <c r="CO1271" s="15">
        <v>5240000.0</v>
      </c>
      <c r="CP1271" s="15">
        <v>5050000.0</v>
      </c>
      <c r="CQ1271" s="15">
        <v>19820.0</v>
      </c>
      <c r="CR1271" s="15">
        <v>85050.0</v>
      </c>
      <c r="CS1271" s="15">
        <v>19950.0</v>
      </c>
      <c r="CT1271" s="15">
        <v>13750.0</v>
      </c>
      <c r="CU1271" s="15">
        <v>9920.0</v>
      </c>
      <c r="CV1271" s="15">
        <v>1750000.0</v>
      </c>
      <c r="CW1271" s="15">
        <v>17610.0</v>
      </c>
      <c r="CX1271" s="15">
        <v>329710.0</v>
      </c>
      <c r="CY1271" s="15">
        <v>9920.0</v>
      </c>
      <c r="CZ1271" s="15">
        <v>205000.0</v>
      </c>
      <c r="DA1271" s="15">
        <v>160000.0</v>
      </c>
      <c r="DB1271" s="15">
        <v>1750000.0</v>
      </c>
      <c r="DC1271" s="15">
        <v>2100000.0</v>
      </c>
      <c r="DD1271" s="15">
        <v>1610000.0</v>
      </c>
      <c r="DE1271" s="15">
        <v>1710000.0</v>
      </c>
      <c r="DF1271" s="15">
        <v>2320000.0</v>
      </c>
      <c r="DG1271" s="15">
        <v>2660000.0</v>
      </c>
      <c r="DH1271" s="15">
        <v>2120000.0</v>
      </c>
      <c r="DI1271" s="15">
        <v>2050000.0</v>
      </c>
      <c r="DJ1271" s="15">
        <v>1910000.0</v>
      </c>
      <c r="DK1271" s="15">
        <v>0.0</v>
      </c>
      <c r="DL1271" s="15">
        <v>0.0</v>
      </c>
      <c r="DM1271" s="15">
        <v>0.0</v>
      </c>
      <c r="DN1271" s="15">
        <v>0.0</v>
      </c>
      <c r="DO1271" s="15">
        <v>10280.0</v>
      </c>
      <c r="DP1271" s="15">
        <v>120090.0</v>
      </c>
      <c r="DQ1271" s="15">
        <v>125540.0</v>
      </c>
      <c r="DR1271" s="15">
        <v>134060.0</v>
      </c>
      <c r="DS1271" s="15">
        <v>0.0</v>
      </c>
      <c r="DT1271" s="15">
        <v>0.0</v>
      </c>
      <c r="DU1271" s="16">
        <v>0.0</v>
      </c>
      <c r="DV1271" s="15">
        <v>0.0</v>
      </c>
      <c r="DW1271" s="15">
        <v>0.0</v>
      </c>
      <c r="DX1271" s="15">
        <v>0.0</v>
      </c>
      <c r="DY1271" s="15">
        <v>0.0</v>
      </c>
      <c r="DZ1271" s="15">
        <v>4080000.0</v>
      </c>
      <c r="EA1271" s="15">
        <v>3480000.0</v>
      </c>
      <c r="EB1271" s="15">
        <v>3280000.0</v>
      </c>
      <c r="EC1271" s="15">
        <v>3200000.0</v>
      </c>
      <c r="ED1271" s="15">
        <v>3130000.0</v>
      </c>
      <c r="EE1271" s="17">
        <v>0.028</v>
      </c>
      <c r="EF1271" s="17">
        <v>0.066</v>
      </c>
      <c r="EG1271" s="17">
        <v>0.232</v>
      </c>
      <c r="EH1271" s="17">
        <v>0.105</v>
      </c>
    </row>
    <row r="1272">
      <c r="A1272" s="9">
        <f t="shared" si="2"/>
        <v>1270</v>
      </c>
      <c r="B1272" s="32" t="s">
        <v>1407</v>
      </c>
      <c r="C1272" s="11">
        <v>4.551E7</v>
      </c>
      <c r="D1272" s="11">
        <v>4.343E7</v>
      </c>
      <c r="E1272" s="11">
        <v>3.613E7</v>
      </c>
      <c r="F1272" s="11">
        <v>3.446E7</v>
      </c>
      <c r="G1272" s="11">
        <v>3.507E7</v>
      </c>
      <c r="H1272" s="11">
        <v>3.382E7</v>
      </c>
      <c r="I1272" s="11">
        <v>3.406E7</v>
      </c>
      <c r="J1272" s="11">
        <v>2.186E7</v>
      </c>
      <c r="K1272" s="11">
        <v>2.074E7</v>
      </c>
      <c r="L1272" s="11">
        <v>2.148E7</v>
      </c>
      <c r="M1272" s="11">
        <v>1.22E7</v>
      </c>
      <c r="N1272" s="11">
        <v>1.176E7</v>
      </c>
      <c r="O1272" s="11">
        <v>1.578E7</v>
      </c>
      <c r="P1272" s="11">
        <v>1.566E7</v>
      </c>
      <c r="Q1272" s="11">
        <v>1.547E7</v>
      </c>
      <c r="R1272" s="11">
        <v>1.49E7</v>
      </c>
      <c r="S1272" s="11">
        <v>1.474E7</v>
      </c>
      <c r="T1272" s="11">
        <v>6020000.0</v>
      </c>
      <c r="U1272" s="11">
        <v>5890000.0</v>
      </c>
      <c r="V1272" s="11">
        <v>5450000.0</v>
      </c>
      <c r="W1272" s="11">
        <v>5160000.0</v>
      </c>
      <c r="X1272" s="11">
        <v>5070000.0</v>
      </c>
      <c r="Y1272" s="11">
        <v>1890000.0</v>
      </c>
      <c r="Z1272" s="11">
        <v>2850000.0</v>
      </c>
      <c r="AA1272" s="11">
        <v>-1390000.0</v>
      </c>
      <c r="AB1272" s="11">
        <v>5120000.0</v>
      </c>
      <c r="AC1272" s="11">
        <v>-1470000.0</v>
      </c>
      <c r="AD1272" s="11">
        <v>2820000.0</v>
      </c>
      <c r="AE1272" s="11">
        <v>4410000.0</v>
      </c>
      <c r="AF1272" s="11">
        <v>5530000.0</v>
      </c>
      <c r="AG1272" s="11">
        <v>5680000.0</v>
      </c>
      <c r="AH1272" s="11">
        <v>5240000.0</v>
      </c>
      <c r="AI1272" s="11">
        <v>9820000.0</v>
      </c>
      <c r="AJ1272" s="11">
        <v>8550000.0</v>
      </c>
      <c r="AK1272" s="11">
        <v>9170000.0</v>
      </c>
      <c r="AL1272" s="11">
        <v>9720000.0</v>
      </c>
      <c r="AM1272" s="11">
        <v>1.049E7</v>
      </c>
      <c r="AN1272" s="11">
        <v>2910000.0</v>
      </c>
      <c r="AO1272" s="11">
        <v>4320000.0</v>
      </c>
      <c r="AP1272" s="11">
        <v>3770000.0</v>
      </c>
      <c r="AQ1272" s="11">
        <v>4400000.0</v>
      </c>
      <c r="AR1272" s="11">
        <v>4410000.0</v>
      </c>
      <c r="AS1272" s="11">
        <v>7740000.0</v>
      </c>
      <c r="AT1272" s="11">
        <v>5550000.0</v>
      </c>
      <c r="AU1272" s="11">
        <v>7380000.0</v>
      </c>
      <c r="AV1272" s="11">
        <v>8180000.0</v>
      </c>
      <c r="AW1272" s="11">
        <v>8920000.0</v>
      </c>
      <c r="AX1272" s="11">
        <v>-1820000.0</v>
      </c>
      <c r="AY1272" s="11">
        <v>-1980000.0</v>
      </c>
      <c r="AZ1272" s="11">
        <v>-1960000.0</v>
      </c>
      <c r="BA1272" s="11">
        <v>-2080000.0</v>
      </c>
      <c r="BB1272" s="11">
        <v>-2770000.0</v>
      </c>
      <c r="BC1272" s="11">
        <v>-3830000.0</v>
      </c>
      <c r="BD1272" s="11">
        <v>-3770000.0</v>
      </c>
      <c r="BE1272" s="11">
        <v>-3710000.0</v>
      </c>
      <c r="BF1272" s="11">
        <v>-3760000.0</v>
      </c>
      <c r="BG1272" s="11">
        <v>-3690000.0</v>
      </c>
      <c r="BH1272" s="11">
        <v>9740000.0</v>
      </c>
      <c r="BI1272" s="11">
        <v>6930000.0</v>
      </c>
      <c r="BJ1272" s="11">
        <v>1.032E7</v>
      </c>
      <c r="BK1272" s="11">
        <v>1.038E7</v>
      </c>
      <c r="BL1272" s="11">
        <v>9250000.0</v>
      </c>
      <c r="BM1272" s="11">
        <v>1.008E7</v>
      </c>
      <c r="BN1272" s="11">
        <v>9350000.0</v>
      </c>
      <c r="BO1272" s="11">
        <v>8680000.0</v>
      </c>
      <c r="BP1272" s="11">
        <v>9050000.0</v>
      </c>
      <c r="BQ1272" s="11">
        <v>8850000.0</v>
      </c>
      <c r="BR1272" s="11">
        <v>7990000.0</v>
      </c>
      <c r="BS1272" s="11">
        <v>7480000.0</v>
      </c>
      <c r="BT1272" s="11">
        <v>6820000.0</v>
      </c>
      <c r="BU1272" s="11">
        <v>6890000.0</v>
      </c>
      <c r="BV1272" s="11">
        <v>6520000.0</v>
      </c>
      <c r="BW1272" s="11">
        <v>2.861E7</v>
      </c>
      <c r="BX1272" s="11">
        <v>2.458E7</v>
      </c>
      <c r="BY1272" s="11">
        <v>2.635E7</v>
      </c>
      <c r="BZ1272" s="11">
        <v>2.669E7</v>
      </c>
      <c r="CA1272" s="11">
        <v>2.493E7</v>
      </c>
      <c r="CB1272" s="11">
        <v>1.102E7</v>
      </c>
      <c r="CC1272" s="11">
        <v>9650000.0</v>
      </c>
      <c r="CD1272" s="11">
        <v>9580000.0</v>
      </c>
      <c r="CE1272" s="11">
        <v>1.002E7</v>
      </c>
      <c r="CF1272" s="11">
        <v>9940000.0</v>
      </c>
      <c r="CG1272" s="11">
        <v>4.452E7</v>
      </c>
      <c r="CH1272" s="11">
        <v>4.424E7</v>
      </c>
      <c r="CI1272" s="11">
        <v>4.026E7</v>
      </c>
      <c r="CJ1272" s="11">
        <v>4.029E7</v>
      </c>
      <c r="CK1272" s="11">
        <v>3.956E7</v>
      </c>
      <c r="CL1272" s="11">
        <v>1.1274E8</v>
      </c>
      <c r="CM1272" s="11">
        <v>1.1141E8</v>
      </c>
      <c r="CN1272" s="11">
        <v>9.981E7</v>
      </c>
      <c r="CO1272" s="11">
        <v>1.0467E8</v>
      </c>
      <c r="CP1272" s="11">
        <v>1.0232E8</v>
      </c>
      <c r="CQ1272" s="11">
        <v>5310000.0</v>
      </c>
      <c r="CR1272" s="11">
        <v>5040000.0</v>
      </c>
      <c r="CS1272" s="11">
        <v>4630000.0</v>
      </c>
      <c r="CT1272" s="11">
        <v>4300000.0</v>
      </c>
      <c r="CU1272" s="11">
        <v>3820000.0</v>
      </c>
      <c r="CV1272" s="11">
        <v>2.038E7</v>
      </c>
      <c r="CW1272" s="11">
        <v>4550000.0</v>
      </c>
      <c r="CX1272" s="11">
        <v>2630000.0</v>
      </c>
      <c r="CY1272" s="11">
        <v>1260000.0</v>
      </c>
      <c r="CZ1272" s="11">
        <v>1750000.0</v>
      </c>
      <c r="DA1272" s="11">
        <v>3420000.0</v>
      </c>
      <c r="DB1272" s="11">
        <v>2.038E7</v>
      </c>
      <c r="DC1272" s="11">
        <v>1.738E7</v>
      </c>
      <c r="DD1272" s="11">
        <v>1.546E7</v>
      </c>
      <c r="DE1272" s="11">
        <v>1.643E7</v>
      </c>
      <c r="DF1272" s="11">
        <v>5.363E7</v>
      </c>
      <c r="DG1272" s="11">
        <v>5.237E7</v>
      </c>
      <c r="DH1272" s="11">
        <v>4.157E7</v>
      </c>
      <c r="DI1272" s="11">
        <v>4.695E7</v>
      </c>
      <c r="DJ1272" s="11">
        <v>4.411E7</v>
      </c>
      <c r="DK1272" s="11">
        <v>5300000.0</v>
      </c>
      <c r="DL1272" s="11">
        <v>5550000.0</v>
      </c>
      <c r="DM1272" s="11">
        <v>5440000.0</v>
      </c>
      <c r="DN1272" s="11">
        <v>4900000.0</v>
      </c>
      <c r="DO1272" s="11">
        <v>4680000.0</v>
      </c>
      <c r="DP1272" s="11">
        <v>2.112E7</v>
      </c>
      <c r="DQ1272" s="11">
        <v>2.201E7</v>
      </c>
      <c r="DR1272" s="11">
        <v>1.433E7</v>
      </c>
      <c r="DS1272" s="11">
        <v>1.682E7</v>
      </c>
      <c r="DT1272" s="11">
        <v>1.312E7</v>
      </c>
      <c r="DU1272" s="13"/>
      <c r="DV1272" s="12"/>
      <c r="DW1272" s="12"/>
      <c r="DX1272" s="12"/>
      <c r="DY1272" s="13"/>
      <c r="DZ1272" s="11">
        <v>5.893E7</v>
      </c>
      <c r="EA1272" s="11">
        <v>5.888E7</v>
      </c>
      <c r="EB1272" s="11">
        <v>5.807E7</v>
      </c>
      <c r="EC1272" s="11">
        <v>5.755E7</v>
      </c>
      <c r="ED1272" s="11">
        <v>5.805E7</v>
      </c>
      <c r="EE1272" s="14">
        <v>0.096</v>
      </c>
      <c r="EF1272" s="14">
        <v>0.073</v>
      </c>
      <c r="EG1272" s="14">
        <v>0.072</v>
      </c>
      <c r="EH1272" s="14">
        <v>0.02</v>
      </c>
    </row>
    <row r="1273">
      <c r="A1273" s="9">
        <f t="shared" si="2"/>
        <v>1271</v>
      </c>
      <c r="B1273" s="10" t="s">
        <v>1408</v>
      </c>
      <c r="C1273" s="15"/>
      <c r="D1273" s="15"/>
      <c r="E1273" s="15">
        <v>4180000.0</v>
      </c>
      <c r="F1273" s="15">
        <v>3430000.0</v>
      </c>
      <c r="G1273" s="15">
        <v>2450000.0</v>
      </c>
      <c r="H1273" s="15">
        <v>2070000.0</v>
      </c>
      <c r="I1273" s="15">
        <v>1770000.0</v>
      </c>
      <c r="J1273" s="15">
        <v>1420000.0</v>
      </c>
      <c r="K1273" s="15">
        <v>1310000.0</v>
      </c>
      <c r="L1273" s="15">
        <v>849370.0</v>
      </c>
      <c r="M1273" s="15">
        <v>669570.0</v>
      </c>
      <c r="N1273" s="15">
        <v>471780.0</v>
      </c>
      <c r="O1273" s="15">
        <v>608900.0</v>
      </c>
      <c r="P1273" s="15">
        <v>504310.0</v>
      </c>
      <c r="Q1273" s="15">
        <v>369530.0</v>
      </c>
      <c r="R1273" s="15">
        <v>254690.0</v>
      </c>
      <c r="S1273" s="15">
        <v>152540.0</v>
      </c>
      <c r="T1273" s="15">
        <v>5570.0</v>
      </c>
      <c r="U1273" s="15">
        <v>4270.0</v>
      </c>
      <c r="V1273" s="15">
        <v>2860.0</v>
      </c>
      <c r="W1273" s="15">
        <v>8390.0</v>
      </c>
      <c r="X1273" s="15">
        <v>3600.0</v>
      </c>
      <c r="Y1273" s="15">
        <v>966160.0</v>
      </c>
      <c r="Z1273" s="15">
        <v>1040000.0</v>
      </c>
      <c r="AA1273" s="15">
        <v>41800.0</v>
      </c>
      <c r="AB1273" s="15">
        <v>12260.0</v>
      </c>
      <c r="AC1273" s="15">
        <v>318050.0</v>
      </c>
      <c r="AD1273" s="15">
        <v>1000000.0</v>
      </c>
      <c r="AE1273" s="15">
        <v>1380000.0</v>
      </c>
      <c r="AF1273" s="15">
        <v>638860.0</v>
      </c>
      <c r="AG1273" s="15">
        <v>572580.0</v>
      </c>
      <c r="AH1273" s="15">
        <v>456590.0</v>
      </c>
      <c r="AI1273" s="15">
        <v>1020000.0</v>
      </c>
      <c r="AJ1273" s="15">
        <v>967780.0</v>
      </c>
      <c r="AK1273" s="15">
        <v>618850.0</v>
      </c>
      <c r="AL1273" s="15">
        <v>516050.0</v>
      </c>
      <c r="AM1273" s="15">
        <v>413020.0</v>
      </c>
      <c r="AN1273" s="15">
        <v>1110000.0</v>
      </c>
      <c r="AO1273" s="15">
        <v>1560000.0</v>
      </c>
      <c r="AP1273" s="15">
        <v>661090.0</v>
      </c>
      <c r="AQ1273" s="15">
        <v>575810.0</v>
      </c>
      <c r="AR1273" s="15">
        <v>434410.0</v>
      </c>
      <c r="AS1273" s="15">
        <v>875170.0</v>
      </c>
      <c r="AT1273" s="15">
        <v>994490.0</v>
      </c>
      <c r="AU1273" s="15">
        <v>542040.0</v>
      </c>
      <c r="AV1273" s="15">
        <v>530930.0</v>
      </c>
      <c r="AW1273" s="15">
        <v>379350.0</v>
      </c>
      <c r="AX1273" s="15">
        <v>-283520.0</v>
      </c>
      <c r="AY1273" s="15">
        <v>-821640.0</v>
      </c>
      <c r="AZ1273" s="15">
        <v>-132870.0</v>
      </c>
      <c r="BA1273" s="15">
        <v>-169980.0</v>
      </c>
      <c r="BB1273" s="15">
        <v>-226570.0</v>
      </c>
      <c r="BC1273" s="13">
        <v>-345000.0</v>
      </c>
      <c r="BD1273" s="13">
        <v>-225680.0</v>
      </c>
      <c r="BE1273" s="13">
        <v>-200000.0</v>
      </c>
      <c r="BF1273" s="13">
        <v>-240000.0</v>
      </c>
      <c r="BG1273" s="13">
        <v>-60000.0</v>
      </c>
      <c r="BH1273" s="15">
        <v>2390000.0</v>
      </c>
      <c r="BI1273" s="15">
        <v>1260000.0</v>
      </c>
      <c r="BJ1273" s="15">
        <v>811570.0</v>
      </c>
      <c r="BK1273" s="15">
        <v>979480.0</v>
      </c>
      <c r="BL1273" s="15">
        <v>858920.0</v>
      </c>
      <c r="BM1273" s="15">
        <v>1080000.0</v>
      </c>
      <c r="BN1273" s="15">
        <v>943110.0</v>
      </c>
      <c r="BO1273" s="15">
        <v>559950.0</v>
      </c>
      <c r="BP1273" s="15">
        <v>466530.0</v>
      </c>
      <c r="BQ1273" s="15">
        <v>383730.0</v>
      </c>
      <c r="BR1273" s="15">
        <v>576210.0</v>
      </c>
      <c r="BS1273" s="15">
        <v>385430.0</v>
      </c>
      <c r="BT1273" s="15">
        <v>252130.0</v>
      </c>
      <c r="BU1273" s="15">
        <v>222010.0</v>
      </c>
      <c r="BV1273" s="15">
        <v>185700.0</v>
      </c>
      <c r="BW1273" s="15">
        <v>4050000.0</v>
      </c>
      <c r="BX1273" s="15">
        <v>2610000.0</v>
      </c>
      <c r="BY1273" s="15">
        <v>1680000.0</v>
      </c>
      <c r="BZ1273" s="15">
        <v>1720000.0</v>
      </c>
      <c r="CA1273" s="15">
        <v>1500000.0</v>
      </c>
      <c r="CB1273" s="15">
        <v>2280000.0</v>
      </c>
      <c r="CC1273" s="15">
        <v>2090000.0</v>
      </c>
      <c r="CD1273" s="15">
        <v>1290000.0</v>
      </c>
      <c r="CE1273" s="15">
        <v>1210000.0</v>
      </c>
      <c r="CF1273" s="15">
        <v>1090000.0</v>
      </c>
      <c r="CG1273" s="15">
        <v>26530.0</v>
      </c>
      <c r="CH1273" s="15">
        <v>25060.0</v>
      </c>
      <c r="CI1273" s="15">
        <v>21500.0</v>
      </c>
      <c r="CJ1273" s="15">
        <v>8740.0</v>
      </c>
      <c r="CK1273" s="15">
        <v>7490.0</v>
      </c>
      <c r="CL1273" s="15">
        <v>8630000.0</v>
      </c>
      <c r="CM1273" s="15">
        <v>6370000.0</v>
      </c>
      <c r="CN1273" s="15">
        <v>3930000.0</v>
      </c>
      <c r="CO1273" s="15">
        <v>3370000.0</v>
      </c>
      <c r="CP1273" s="15">
        <v>2880000.0</v>
      </c>
      <c r="CQ1273" s="15">
        <v>506210.0</v>
      </c>
      <c r="CR1273" s="15">
        <v>447250.0</v>
      </c>
      <c r="CS1273" s="15">
        <v>275730.0</v>
      </c>
      <c r="CT1273" s="15">
        <v>236220.0</v>
      </c>
      <c r="CU1273" s="15">
        <v>222780.0</v>
      </c>
      <c r="CV1273" s="15">
        <v>1520000.0</v>
      </c>
      <c r="CW1273" s="15">
        <v>69190.0</v>
      </c>
      <c r="CX1273" s="13">
        <v>19.0</v>
      </c>
      <c r="CY1273" s="13">
        <v>3420.0</v>
      </c>
      <c r="CZ1273" s="13">
        <v>2930.0</v>
      </c>
      <c r="DA1273" s="12">
        <v>33620.0</v>
      </c>
      <c r="DB1273" s="15">
        <v>1520000.0</v>
      </c>
      <c r="DC1273" s="15">
        <v>1090000.0</v>
      </c>
      <c r="DD1273" s="15">
        <v>431390.0</v>
      </c>
      <c r="DE1273" s="15">
        <v>488550.0</v>
      </c>
      <c r="DF1273" s="15">
        <v>2890000.0</v>
      </c>
      <c r="DG1273" s="15">
        <v>1500000.0</v>
      </c>
      <c r="DH1273" s="15">
        <v>740560.0</v>
      </c>
      <c r="DI1273" s="15">
        <v>764480.0</v>
      </c>
      <c r="DJ1273" s="15">
        <v>691520.0</v>
      </c>
      <c r="DK1273" s="12">
        <v>1190000.0</v>
      </c>
      <c r="DL1273" s="12">
        <v>1100000.0</v>
      </c>
      <c r="DM1273" s="12">
        <v>852140.0</v>
      </c>
      <c r="DN1273" s="12">
        <v>381080.0</v>
      </c>
      <c r="DO1273" s="15">
        <v>245350.0</v>
      </c>
      <c r="DP1273" s="15">
        <v>1310000.0</v>
      </c>
      <c r="DQ1273" s="15">
        <v>321330.0</v>
      </c>
      <c r="DR1273" s="15">
        <v>264640.0</v>
      </c>
      <c r="DS1273" s="15">
        <v>250020.0</v>
      </c>
      <c r="DT1273" s="15">
        <v>235140.0</v>
      </c>
      <c r="DU1273" s="13"/>
      <c r="DV1273" s="12"/>
      <c r="DW1273" s="12"/>
      <c r="DX1273" s="13"/>
      <c r="DY1273" s="13"/>
      <c r="DZ1273" s="15">
        <v>5740000.0</v>
      </c>
      <c r="EA1273" s="15">
        <v>4860000.0</v>
      </c>
      <c r="EB1273" s="15">
        <v>3190000.0</v>
      </c>
      <c r="EC1273" s="15">
        <v>2600000.0</v>
      </c>
      <c r="ED1273" s="15">
        <v>2160000.0</v>
      </c>
      <c r="EE1273" s="17"/>
      <c r="EF1273" s="17"/>
      <c r="EG1273" s="17"/>
      <c r="EH1273" s="17"/>
    </row>
    <row r="1274">
      <c r="A1274" s="9">
        <f t="shared" si="2"/>
        <v>1272</v>
      </c>
      <c r="B1274" s="25" t="s">
        <v>1409</v>
      </c>
      <c r="C1274" s="15">
        <v>100500.0</v>
      </c>
      <c r="D1274" s="15">
        <v>85100.0</v>
      </c>
      <c r="E1274" s="15">
        <v>119320.0</v>
      </c>
      <c r="F1274" s="15">
        <v>96820.0</v>
      </c>
      <c r="G1274" s="15">
        <v>103320.0</v>
      </c>
      <c r="H1274" s="15">
        <v>80340.0</v>
      </c>
      <c r="I1274" s="15">
        <v>1280000.0</v>
      </c>
      <c r="J1274" s="15">
        <v>34280.0</v>
      </c>
      <c r="K1274" s="15">
        <v>28040.0</v>
      </c>
      <c r="L1274" s="15">
        <v>14180.0</v>
      </c>
      <c r="M1274" s="15">
        <v>7220.0</v>
      </c>
      <c r="N1274" s="15">
        <v>187760.0</v>
      </c>
      <c r="O1274" s="15">
        <v>16540.0</v>
      </c>
      <c r="P1274" s="15">
        <v>11080.0</v>
      </c>
      <c r="Q1274" s="15">
        <v>7920.0</v>
      </c>
      <c r="R1274" s="15">
        <v>7360.0</v>
      </c>
      <c r="S1274" s="15">
        <v>175380.0</v>
      </c>
      <c r="T1274" s="15">
        <v>0.0</v>
      </c>
      <c r="U1274" s="15">
        <v>0.0</v>
      </c>
      <c r="V1274" s="15">
        <v>0.0</v>
      </c>
      <c r="W1274" s="15">
        <v>0.0</v>
      </c>
      <c r="X1274" s="15">
        <v>43880.0</v>
      </c>
      <c r="Y1274" s="15">
        <v>10860.0</v>
      </c>
      <c r="Z1274" s="15">
        <v>0.0</v>
      </c>
      <c r="AA1274" s="15">
        <v>0.0</v>
      </c>
      <c r="AB1274" s="15">
        <v>0.0</v>
      </c>
      <c r="AC1274" s="15">
        <v>21340.0</v>
      </c>
      <c r="AD1274" s="15">
        <v>-10590.0</v>
      </c>
      <c r="AE1274" s="15">
        <v>4900.0</v>
      </c>
      <c r="AF1274" s="15">
        <v>3530.0</v>
      </c>
      <c r="AG1274" s="15">
        <v>0.0</v>
      </c>
      <c r="AH1274" s="15">
        <v>-4400.0</v>
      </c>
      <c r="AI1274" s="15">
        <v>0.0</v>
      </c>
      <c r="AJ1274" s="15">
        <v>25360.0</v>
      </c>
      <c r="AK1274" s="15">
        <v>10750.0</v>
      </c>
      <c r="AL1274" s="15">
        <v>2250.0</v>
      </c>
      <c r="AM1274" s="15">
        <v>102430.0</v>
      </c>
      <c r="AN1274" s="15">
        <v>-8850.0</v>
      </c>
      <c r="AO1274" s="15">
        <v>1760.0</v>
      </c>
      <c r="AP1274" s="15">
        <v>3210.0</v>
      </c>
      <c r="AQ1274" s="15">
        <v>0.0</v>
      </c>
      <c r="AR1274" s="15">
        <v>-5070.0</v>
      </c>
      <c r="AS1274" s="15">
        <v>56010.0</v>
      </c>
      <c r="AT1274" s="15">
        <v>-51040.0</v>
      </c>
      <c r="AU1274" s="15">
        <v>18490.0</v>
      </c>
      <c r="AV1274" s="15">
        <v>27480.0</v>
      </c>
      <c r="AW1274" s="15">
        <v>2210.0</v>
      </c>
      <c r="AX1274" s="15">
        <v>0.0</v>
      </c>
      <c r="AY1274" s="15">
        <v>-40360.0</v>
      </c>
      <c r="AZ1274" s="15">
        <v>-80590.0</v>
      </c>
      <c r="BA1274" s="15">
        <v>0.0</v>
      </c>
      <c r="BB1274" s="15">
        <v>-16810.0</v>
      </c>
      <c r="BC1274" s="15">
        <v>0.0</v>
      </c>
      <c r="BD1274" s="15">
        <v>0.0</v>
      </c>
      <c r="BE1274" s="15">
        <v>0.0</v>
      </c>
      <c r="BF1274" s="15">
        <v>0.0</v>
      </c>
      <c r="BG1274" s="15">
        <v>0.0</v>
      </c>
      <c r="BH1274" s="15">
        <v>24700.0</v>
      </c>
      <c r="BI1274" s="15">
        <v>9030.0</v>
      </c>
      <c r="BJ1274" s="15">
        <v>13430.0</v>
      </c>
      <c r="BK1274" s="15">
        <v>3970.0</v>
      </c>
      <c r="BL1274" s="15">
        <v>178440.0</v>
      </c>
      <c r="BM1274" s="15">
        <v>21340.0</v>
      </c>
      <c r="BN1274" s="15">
        <v>47480.0</v>
      </c>
      <c r="BO1274" s="15">
        <v>38670.0</v>
      </c>
      <c r="BP1274" s="15">
        <v>5040.0</v>
      </c>
      <c r="BQ1274" s="15">
        <v>189410.0</v>
      </c>
      <c r="BR1274" s="15">
        <v>0.0</v>
      </c>
      <c r="BS1274" s="15">
        <v>0.0</v>
      </c>
      <c r="BT1274" s="15">
        <v>0.0</v>
      </c>
      <c r="BU1274" s="15">
        <v>0.0</v>
      </c>
      <c r="BV1274" s="15">
        <v>211650.0</v>
      </c>
      <c r="BW1274" s="15">
        <v>103060.0</v>
      </c>
      <c r="BX1274" s="15">
        <v>71010.0</v>
      </c>
      <c r="BY1274" s="15">
        <v>62890.0</v>
      </c>
      <c r="BZ1274" s="15">
        <v>459330.0</v>
      </c>
      <c r="CA1274" s="15">
        <v>617550.0</v>
      </c>
      <c r="CB1274" s="15">
        <v>192280.0</v>
      </c>
      <c r="CC1274" s="15">
        <v>190790.0</v>
      </c>
      <c r="CD1274" s="15">
        <v>154660.0</v>
      </c>
      <c r="CE1274" s="15">
        <v>20580.0</v>
      </c>
      <c r="CF1274" s="15">
        <v>630850.0</v>
      </c>
      <c r="CG1274" s="15">
        <v>0.0</v>
      </c>
      <c r="CH1274" s="15">
        <v>0.0</v>
      </c>
      <c r="CI1274" s="15">
        <v>0.0</v>
      </c>
      <c r="CJ1274" s="15">
        <v>0.0</v>
      </c>
      <c r="CK1274" s="15">
        <v>0.0</v>
      </c>
      <c r="CL1274" s="15">
        <v>319940.0</v>
      </c>
      <c r="CM1274" s="15">
        <v>377710.0</v>
      </c>
      <c r="CN1274" s="15">
        <v>335690.0</v>
      </c>
      <c r="CO1274" s="15">
        <v>1090000.0</v>
      </c>
      <c r="CP1274" s="15">
        <v>1350000.0</v>
      </c>
      <c r="CQ1274" s="15">
        <v>20430.0</v>
      </c>
      <c r="CR1274" s="15">
        <v>12050.0</v>
      </c>
      <c r="CS1274" s="15">
        <v>25790.0</v>
      </c>
      <c r="CT1274" s="15">
        <v>0.0</v>
      </c>
      <c r="CU1274" s="15">
        <v>300180.0</v>
      </c>
      <c r="CV1274" s="15">
        <v>109400.0</v>
      </c>
      <c r="CW1274" s="15">
        <v>38710.0</v>
      </c>
      <c r="CX1274" s="15">
        <v>3370.0</v>
      </c>
      <c r="CY1274" s="15">
        <v>6610.0</v>
      </c>
      <c r="CZ1274" s="16">
        <v>0.0</v>
      </c>
      <c r="DA1274" s="15">
        <v>667690.0</v>
      </c>
      <c r="DB1274" s="15">
        <v>109400.0</v>
      </c>
      <c r="DC1274" s="15">
        <v>133740.0</v>
      </c>
      <c r="DD1274" s="15">
        <v>145190.0</v>
      </c>
      <c r="DE1274" s="15">
        <v>904460.0</v>
      </c>
      <c r="DF1274" s="15">
        <v>182400.0</v>
      </c>
      <c r="DG1274" s="15">
        <v>253040.0</v>
      </c>
      <c r="DH1274" s="15">
        <v>245210.0</v>
      </c>
      <c r="DI1274" s="15">
        <v>1020000.0</v>
      </c>
      <c r="DJ1274" s="15">
        <v>1210000.0</v>
      </c>
      <c r="DK1274" s="15">
        <v>0.0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72990.0</v>
      </c>
      <c r="DQ1274" s="15">
        <v>119310.0</v>
      </c>
      <c r="DR1274" s="15">
        <v>100020.0</v>
      </c>
      <c r="DS1274" s="15">
        <v>28840.0</v>
      </c>
      <c r="DT1274" s="15">
        <v>38780.0</v>
      </c>
      <c r="DU1274" s="16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94720.0</v>
      </c>
      <c r="EA1274" s="15">
        <v>90670.0</v>
      </c>
      <c r="EB1274" s="15">
        <v>90480.0</v>
      </c>
      <c r="EC1274" s="15">
        <v>66150.0</v>
      </c>
      <c r="ED1274" s="15">
        <v>111940.0</v>
      </c>
      <c r="EE1274" s="17">
        <v>0.0</v>
      </c>
      <c r="EF1274" s="17">
        <v>0.0</v>
      </c>
      <c r="EG1274" s="17">
        <v>-2.0</v>
      </c>
      <c r="EH1274" s="17">
        <v>-2.2</v>
      </c>
    </row>
    <row r="1275">
      <c r="A1275" s="9">
        <f t="shared" si="2"/>
        <v>1273</v>
      </c>
      <c r="B1275" s="10" t="s">
        <v>1410</v>
      </c>
      <c r="C1275" s="15"/>
      <c r="D1275" s="15"/>
      <c r="E1275" s="15">
        <v>284600.0</v>
      </c>
      <c r="F1275" s="15">
        <v>222680.0</v>
      </c>
      <c r="G1275" s="15">
        <v>177160.0</v>
      </c>
      <c r="H1275" s="15">
        <v>185040.0</v>
      </c>
      <c r="I1275" s="15">
        <v>170130.0</v>
      </c>
      <c r="J1275" s="15">
        <v>38010.0</v>
      </c>
      <c r="K1275" s="15">
        <v>39070.0</v>
      </c>
      <c r="L1275" s="15">
        <v>20250.0</v>
      </c>
      <c r="M1275" s="15">
        <v>21000.0</v>
      </c>
      <c r="N1275" s="15">
        <v>216.395</v>
      </c>
      <c r="O1275" s="15">
        <v>32800.0</v>
      </c>
      <c r="P1275" s="15">
        <v>40830.0</v>
      </c>
      <c r="Q1275" s="15">
        <v>31830.0</v>
      </c>
      <c r="R1275" s="15">
        <v>24270.0</v>
      </c>
      <c r="S1275" s="15">
        <v>3.614</v>
      </c>
      <c r="T1275" s="15"/>
      <c r="U1275" s="15"/>
      <c r="V1275" s="15"/>
      <c r="W1275" s="15"/>
      <c r="X1275" s="15"/>
      <c r="Y1275" s="12"/>
      <c r="Z1275" s="15">
        <v>-1810.0</v>
      </c>
      <c r="AA1275" s="15">
        <v>-89.126</v>
      </c>
      <c r="AB1275" s="15"/>
      <c r="AC1275" s="15"/>
      <c r="AD1275" s="15">
        <v>-11900.0</v>
      </c>
      <c r="AE1275" s="15">
        <v>566.971</v>
      </c>
      <c r="AF1275" s="15">
        <v>-968.334</v>
      </c>
      <c r="AG1275" s="15">
        <v>25970.0</v>
      </c>
      <c r="AH1275" s="15">
        <v>-2160.0</v>
      </c>
      <c r="AI1275" s="15">
        <v>31810.0</v>
      </c>
      <c r="AJ1275" s="15">
        <v>22340.0</v>
      </c>
      <c r="AK1275" s="15">
        <v>5840.0</v>
      </c>
      <c r="AL1275" s="15">
        <v>-7860.0</v>
      </c>
      <c r="AM1275" s="15">
        <v>14040.0</v>
      </c>
      <c r="AN1275" s="15">
        <v>-13890.0</v>
      </c>
      <c r="AO1275" s="15">
        <v>-394.069</v>
      </c>
      <c r="AP1275" s="15">
        <v>-3590.0</v>
      </c>
      <c r="AQ1275" s="15">
        <v>19420.0</v>
      </c>
      <c r="AR1275" s="15">
        <v>-294.678</v>
      </c>
      <c r="AS1275" s="15">
        <v>14740.0</v>
      </c>
      <c r="AT1275" s="15">
        <v>39340.0</v>
      </c>
      <c r="AU1275" s="15">
        <v>23880.0</v>
      </c>
      <c r="AV1275" s="15">
        <v>17890.0</v>
      </c>
      <c r="AW1275" s="15">
        <v>35880.0</v>
      </c>
      <c r="AX1275" s="15">
        <v>-40130.0</v>
      </c>
      <c r="AY1275" s="15">
        <v>-27170.0</v>
      </c>
      <c r="AZ1275" s="15">
        <v>-10750.0</v>
      </c>
      <c r="BA1275" s="15">
        <v>-9750.0</v>
      </c>
      <c r="BB1275" s="15">
        <v>-13960.0</v>
      </c>
      <c r="BC1275" s="13">
        <v>-23870.0</v>
      </c>
      <c r="BD1275" s="13">
        <v>-16390.0</v>
      </c>
      <c r="BE1275" s="13">
        <v>-25090.0</v>
      </c>
      <c r="BF1275" s="13">
        <v>-16250.0</v>
      </c>
      <c r="BG1275" s="13">
        <v>-924.617</v>
      </c>
      <c r="BH1275" s="15">
        <v>23410.0</v>
      </c>
      <c r="BI1275" s="15">
        <v>7560.0</v>
      </c>
      <c r="BJ1275" s="15">
        <v>7310.0</v>
      </c>
      <c r="BK1275" s="15">
        <v>32750.0</v>
      </c>
      <c r="BL1275" s="15">
        <v>35320.0</v>
      </c>
      <c r="BM1275" s="15">
        <v>80850.0</v>
      </c>
      <c r="BN1275" s="15">
        <v>55980.0</v>
      </c>
      <c r="BO1275" s="15">
        <v>48460.0</v>
      </c>
      <c r="BP1275" s="15">
        <v>42900.0</v>
      </c>
      <c r="BQ1275" s="15">
        <v>41050.0</v>
      </c>
      <c r="BR1275" s="12">
        <v>49140.0</v>
      </c>
      <c r="BS1275" s="12">
        <v>63260.0</v>
      </c>
      <c r="BT1275" s="12">
        <v>94400.0</v>
      </c>
      <c r="BU1275" s="12">
        <v>104510.0</v>
      </c>
      <c r="BV1275" s="12">
        <v>126760.0</v>
      </c>
      <c r="BW1275" s="15">
        <v>156130.0</v>
      </c>
      <c r="BX1275" s="15">
        <v>134790.0</v>
      </c>
      <c r="BY1275" s="15">
        <v>154710.0</v>
      </c>
      <c r="BZ1275" s="15">
        <v>183480.0</v>
      </c>
      <c r="CA1275" s="15">
        <v>207840.0</v>
      </c>
      <c r="CB1275" s="15">
        <v>326770.0</v>
      </c>
      <c r="CC1275" s="15">
        <v>266260.0</v>
      </c>
      <c r="CD1275" s="15">
        <v>265430.0</v>
      </c>
      <c r="CE1275" s="15">
        <v>238780.0</v>
      </c>
      <c r="CF1275" s="15">
        <v>251500.0</v>
      </c>
      <c r="CG1275" s="15">
        <v>33640.0</v>
      </c>
      <c r="CH1275" s="15">
        <v>52020.0</v>
      </c>
      <c r="CI1275" s="15">
        <v>47380.0</v>
      </c>
      <c r="CJ1275" s="15">
        <v>37840.0</v>
      </c>
      <c r="CK1275" s="15">
        <v>60890.0</v>
      </c>
      <c r="CL1275" s="15">
        <v>558930.0</v>
      </c>
      <c r="CM1275" s="15">
        <v>501930.0</v>
      </c>
      <c r="CN1275" s="15">
        <v>516130.0</v>
      </c>
      <c r="CO1275" s="15">
        <v>500380.0</v>
      </c>
      <c r="CP1275" s="15">
        <v>574030.0</v>
      </c>
      <c r="CQ1275" s="15">
        <v>31990.0</v>
      </c>
      <c r="CR1275" s="15">
        <v>27230.0</v>
      </c>
      <c r="CS1275" s="15">
        <v>25370.0</v>
      </c>
      <c r="CT1275" s="15">
        <v>16480.0</v>
      </c>
      <c r="CU1275" s="15">
        <v>17170.0</v>
      </c>
      <c r="CV1275" s="15">
        <v>179440.0</v>
      </c>
      <c r="CW1275" s="15">
        <v>56780.0</v>
      </c>
      <c r="CX1275" s="13">
        <v>19880.0</v>
      </c>
      <c r="CY1275" s="13">
        <v>24790.0</v>
      </c>
      <c r="CZ1275" s="13">
        <v>1260.0</v>
      </c>
      <c r="DA1275" s="12">
        <v>18060.0</v>
      </c>
      <c r="DB1275" s="15">
        <v>179440.0</v>
      </c>
      <c r="DC1275" s="15">
        <v>151480.0</v>
      </c>
      <c r="DD1275" s="15">
        <v>103760.0</v>
      </c>
      <c r="DE1275" s="15">
        <v>59290.0</v>
      </c>
      <c r="DF1275" s="15">
        <v>340950.0</v>
      </c>
      <c r="DG1275" s="15">
        <v>233900.0</v>
      </c>
      <c r="DH1275" s="15">
        <v>224760.0</v>
      </c>
      <c r="DI1275" s="15">
        <v>180020.0</v>
      </c>
      <c r="DJ1275" s="15">
        <v>263900.0</v>
      </c>
      <c r="DK1275" s="15">
        <v>2120.0</v>
      </c>
      <c r="DL1275" s="15">
        <v>2290.0</v>
      </c>
      <c r="DM1275" s="15">
        <v>2000.0</v>
      </c>
      <c r="DN1275" s="15">
        <v>1710.0</v>
      </c>
      <c r="DO1275" s="15">
        <v>20250.0</v>
      </c>
      <c r="DP1275" s="15">
        <v>137470.0</v>
      </c>
      <c r="DQ1275" s="15">
        <v>59430.0</v>
      </c>
      <c r="DR1275" s="12">
        <v>88470.0</v>
      </c>
      <c r="DS1275" s="12">
        <v>94260.0</v>
      </c>
      <c r="DT1275" s="12">
        <v>103920.0</v>
      </c>
      <c r="DU1275" s="13"/>
      <c r="DV1275" s="15"/>
      <c r="DW1275" s="15"/>
      <c r="DX1275" s="13"/>
      <c r="DY1275" s="15"/>
      <c r="DZ1275" s="15">
        <v>215790.0</v>
      </c>
      <c r="EA1275" s="15">
        <v>258590.0</v>
      </c>
      <c r="EB1275" s="15">
        <v>280450.0</v>
      </c>
      <c r="EC1275" s="15">
        <v>310430.0</v>
      </c>
      <c r="ED1275" s="15">
        <v>299890.0</v>
      </c>
      <c r="EE1275" s="17"/>
      <c r="EF1275" s="17"/>
      <c r="EG1275" s="17"/>
      <c r="EH1275" s="17"/>
    </row>
    <row r="1276">
      <c r="A1276" s="9">
        <f t="shared" si="2"/>
        <v>1274</v>
      </c>
      <c r="B1276" s="25" t="s">
        <v>1411</v>
      </c>
      <c r="C1276" s="15">
        <v>3880000.0</v>
      </c>
      <c r="D1276" s="15">
        <v>3810000.0</v>
      </c>
      <c r="E1276" s="15">
        <v>3800000.0</v>
      </c>
      <c r="F1276" s="15">
        <v>3810000.0</v>
      </c>
      <c r="G1276" s="15">
        <v>3010000.0</v>
      </c>
      <c r="H1276" s="15">
        <v>5050000.0</v>
      </c>
      <c r="I1276" s="15">
        <v>4820000.0</v>
      </c>
      <c r="J1276" s="15">
        <v>1300000.0</v>
      </c>
      <c r="K1276" s="15">
        <v>1350000.0</v>
      </c>
      <c r="L1276" s="15">
        <v>1190000.0</v>
      </c>
      <c r="M1276" s="15">
        <v>1930000.0</v>
      </c>
      <c r="N1276" s="15">
        <v>1580000.0</v>
      </c>
      <c r="O1276" s="15">
        <v>998600.0</v>
      </c>
      <c r="P1276" s="15">
        <v>941700.0</v>
      </c>
      <c r="Q1276" s="15">
        <v>812300.0</v>
      </c>
      <c r="R1276" s="15">
        <v>1290000.0</v>
      </c>
      <c r="S1276" s="15">
        <v>1310000.0</v>
      </c>
      <c r="T1276" s="15">
        <v>43500.0</v>
      </c>
      <c r="U1276" s="15">
        <v>44600.0</v>
      </c>
      <c r="V1276" s="15">
        <v>27200.0</v>
      </c>
      <c r="W1276" s="15">
        <v>58700.0</v>
      </c>
      <c r="X1276" s="15">
        <v>51300.0</v>
      </c>
      <c r="Y1276" s="15">
        <v>108400.0</v>
      </c>
      <c r="Z1276" s="15">
        <v>-174300.0</v>
      </c>
      <c r="AA1276" s="15">
        <v>-98000.0</v>
      </c>
      <c r="AB1276" s="15">
        <v>-47000.0</v>
      </c>
      <c r="AC1276" s="15">
        <v>-221000.0</v>
      </c>
      <c r="AD1276" s="15">
        <v>-193800.0</v>
      </c>
      <c r="AE1276" s="15">
        <v>-35700.0</v>
      </c>
      <c r="AF1276" s="15">
        <v>-31100.0</v>
      </c>
      <c r="AG1276" s="15">
        <v>175800.0</v>
      </c>
      <c r="AH1276" s="15">
        <v>-307100.0</v>
      </c>
      <c r="AI1276" s="15">
        <v>480800.0</v>
      </c>
      <c r="AJ1276" s="15">
        <v>530000.0</v>
      </c>
      <c r="AK1276" s="15">
        <v>514300.0</v>
      </c>
      <c r="AL1276" s="15">
        <v>816800.0</v>
      </c>
      <c r="AM1276" s="15">
        <v>442200.0</v>
      </c>
      <c r="AN1276" s="15">
        <v>-188000.0</v>
      </c>
      <c r="AO1276" s="15">
        <v>356500.0</v>
      </c>
      <c r="AP1276" s="15">
        <v>-121100.0</v>
      </c>
      <c r="AQ1276" s="15">
        <v>-1600.0</v>
      </c>
      <c r="AR1276" s="15">
        <v>-313300.0</v>
      </c>
      <c r="AS1276" s="15">
        <v>1100.0</v>
      </c>
      <c r="AT1276" s="15">
        <v>343300.0</v>
      </c>
      <c r="AU1276" s="15">
        <v>840100.0</v>
      </c>
      <c r="AV1276" s="15">
        <v>913300.0</v>
      </c>
      <c r="AW1276" s="15">
        <v>316800.0</v>
      </c>
      <c r="AX1276" s="15">
        <v>-58400.0</v>
      </c>
      <c r="AY1276" s="15">
        <v>-75900.0</v>
      </c>
      <c r="AZ1276" s="15">
        <v>-77800.0</v>
      </c>
      <c r="BA1276" s="15">
        <v>-95400.0</v>
      </c>
      <c r="BB1276" s="15">
        <v>-90600.0</v>
      </c>
      <c r="BC1276" s="15">
        <v>-85500.0</v>
      </c>
      <c r="BD1276" s="15">
        <v>-22400.0</v>
      </c>
      <c r="BE1276" s="13"/>
      <c r="BF1276" s="13"/>
      <c r="BG1276" s="13"/>
      <c r="BH1276" s="15">
        <v>627100.0</v>
      </c>
      <c r="BI1276" s="15">
        <v>561400.0</v>
      </c>
      <c r="BJ1276" s="15">
        <v>270100.0</v>
      </c>
      <c r="BK1276" s="15">
        <v>465200.0</v>
      </c>
      <c r="BL1276" s="15">
        <v>661200.0</v>
      </c>
      <c r="BM1276" s="15">
        <v>430900.0</v>
      </c>
      <c r="BN1276" s="15">
        <v>368800.0</v>
      </c>
      <c r="BO1276" s="15">
        <v>285700.0</v>
      </c>
      <c r="BP1276" s="15">
        <v>539100.0</v>
      </c>
      <c r="BQ1276" s="15">
        <v>2320000.0</v>
      </c>
      <c r="BR1276" s="15">
        <v>548400.0</v>
      </c>
      <c r="BS1276" s="15">
        <v>583600.0</v>
      </c>
      <c r="BT1276" s="15">
        <v>496300.0</v>
      </c>
      <c r="BU1276" s="15">
        <v>740600.0</v>
      </c>
      <c r="BV1276" s="15">
        <v>780800.0</v>
      </c>
      <c r="BW1276" s="15">
        <v>1660000.0</v>
      </c>
      <c r="BX1276" s="15">
        <v>3970000.0</v>
      </c>
      <c r="BY1276" s="15">
        <v>3.004E7</v>
      </c>
      <c r="BZ1276" s="15">
        <v>1740000.0</v>
      </c>
      <c r="CA1276" s="15">
        <v>3770000.0</v>
      </c>
      <c r="CB1276" s="15">
        <v>452900.0</v>
      </c>
      <c r="CC1276" s="15">
        <v>500000.0</v>
      </c>
      <c r="CD1276" s="15">
        <v>503900.0</v>
      </c>
      <c r="CE1276" s="15">
        <v>543400.0</v>
      </c>
      <c r="CF1276" s="15">
        <v>509500.0</v>
      </c>
      <c r="CG1276" s="15">
        <v>1330000.0</v>
      </c>
      <c r="CH1276" s="15">
        <v>1450000.0</v>
      </c>
      <c r="CI1276" s="15">
        <v>2280000.0</v>
      </c>
      <c r="CJ1276" s="15">
        <v>2480000.0</v>
      </c>
      <c r="CK1276" s="15">
        <v>2490000.0</v>
      </c>
      <c r="CL1276" s="15">
        <v>5230000.0</v>
      </c>
      <c r="CM1276" s="15">
        <v>7800000.0</v>
      </c>
      <c r="CN1276" s="15">
        <v>3.585E7</v>
      </c>
      <c r="CO1276" s="15">
        <v>3.358E7</v>
      </c>
      <c r="CP1276" s="15">
        <v>3.503E7</v>
      </c>
      <c r="CQ1276" s="15">
        <v>454500.0</v>
      </c>
      <c r="CR1276" s="15">
        <v>583800.0</v>
      </c>
      <c r="CS1276" s="15">
        <v>370500.0</v>
      </c>
      <c r="CT1276" s="15">
        <v>581300.0</v>
      </c>
      <c r="CU1276" s="15">
        <v>623900.0</v>
      </c>
      <c r="CV1276" s="15">
        <v>1140000.0</v>
      </c>
      <c r="CW1276" s="15"/>
      <c r="CX1276" s="15"/>
      <c r="CY1276" s="15"/>
      <c r="CZ1276" s="15"/>
      <c r="DA1276" s="15"/>
      <c r="DB1276" s="15">
        <v>1140000.0</v>
      </c>
      <c r="DC1276" s="15">
        <v>1430000.0</v>
      </c>
      <c r="DD1276" s="15">
        <v>2.765E7</v>
      </c>
      <c r="DE1276" s="15">
        <v>1240000.0</v>
      </c>
      <c r="DF1276" s="15">
        <v>3520000.0</v>
      </c>
      <c r="DG1276" s="15">
        <v>6210000.0</v>
      </c>
      <c r="DH1276" s="15">
        <v>3.39E7</v>
      </c>
      <c r="DI1276" s="15">
        <v>3.176E7</v>
      </c>
      <c r="DJ1276" s="15">
        <v>3.344E7</v>
      </c>
      <c r="DK1276" s="15">
        <v>231300.0</v>
      </c>
      <c r="DL1276" s="15">
        <v>1200.0</v>
      </c>
      <c r="DM1276" s="15">
        <v>600.0</v>
      </c>
      <c r="DN1276" s="12"/>
      <c r="DO1276" s="15">
        <v>52200.0</v>
      </c>
      <c r="DP1276" s="15">
        <v>2210000.0</v>
      </c>
      <c r="DQ1276" s="15">
        <v>4620000.0</v>
      </c>
      <c r="DR1276" s="15">
        <v>5540000.0</v>
      </c>
      <c r="DS1276" s="15">
        <v>5270000.0</v>
      </c>
      <c r="DT1276" s="15">
        <v>5940000.0</v>
      </c>
      <c r="DU1276" s="13"/>
      <c r="DV1276" s="12"/>
      <c r="DW1276" s="12"/>
      <c r="DX1276" s="13"/>
      <c r="DY1276" s="15"/>
      <c r="DZ1276" s="15">
        <v>1700000.0</v>
      </c>
      <c r="EA1276" s="15">
        <v>1580000.0</v>
      </c>
      <c r="EB1276" s="15">
        <v>758000.0</v>
      </c>
      <c r="EC1276" s="15">
        <v>638100.0</v>
      </c>
      <c r="ED1276" s="15">
        <v>586700.0</v>
      </c>
      <c r="EE1276" s="17">
        <v>0.016</v>
      </c>
      <c r="EF1276" s="17">
        <v>0.036</v>
      </c>
      <c r="EG1276" s="17">
        <v>0.462</v>
      </c>
      <c r="EH1276" s="17">
        <v>0.313</v>
      </c>
    </row>
    <row r="1277">
      <c r="A1277" s="9">
        <f t="shared" si="2"/>
        <v>1275</v>
      </c>
      <c r="B1277" s="10" t="s">
        <v>1412</v>
      </c>
      <c r="C1277" s="15">
        <v>23000.0</v>
      </c>
      <c r="D1277" s="15">
        <v>21880.0</v>
      </c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3"/>
      <c r="DV1277" s="12"/>
      <c r="DW1277" s="12"/>
      <c r="DX1277" s="13"/>
      <c r="DY1277" s="13"/>
      <c r="DZ1277" s="12"/>
      <c r="EA1277" s="12"/>
      <c r="EB1277" s="12"/>
      <c r="EC1277" s="12"/>
      <c r="ED1277" s="12"/>
      <c r="EE1277" s="17">
        <v>0.0</v>
      </c>
      <c r="EF1277" s="17">
        <v>0.0</v>
      </c>
      <c r="EG1277" s="17">
        <v>-0.1</v>
      </c>
      <c r="EH1277" s="17">
        <v>1.256</v>
      </c>
    </row>
    <row r="1278">
      <c r="A1278" s="9">
        <f t="shared" si="2"/>
        <v>1276</v>
      </c>
      <c r="B1278" s="22" t="s">
        <v>1413</v>
      </c>
      <c r="C1278" s="11">
        <v>70760.0</v>
      </c>
      <c r="D1278" s="11">
        <v>4020.0</v>
      </c>
      <c r="E1278" s="12"/>
      <c r="F1278" s="12"/>
      <c r="G1278" s="11">
        <v>128370.0</v>
      </c>
      <c r="H1278" s="11">
        <v>146440.0</v>
      </c>
      <c r="I1278" s="11">
        <v>162560.0</v>
      </c>
      <c r="J1278" s="11">
        <v>-2120.0</v>
      </c>
      <c r="K1278" s="11">
        <v>-200.0</v>
      </c>
      <c r="L1278" s="11">
        <v>53500.0</v>
      </c>
      <c r="M1278" s="11">
        <v>84660.0</v>
      </c>
      <c r="N1278" s="11">
        <v>103710.0</v>
      </c>
      <c r="O1278" s="11">
        <v>136880.0</v>
      </c>
      <c r="P1278" s="11">
        <v>137650.0</v>
      </c>
      <c r="Q1278" s="11">
        <v>150160.0</v>
      </c>
      <c r="R1278" s="11">
        <v>147540.0</v>
      </c>
      <c r="S1278" s="11">
        <v>137280.0</v>
      </c>
      <c r="T1278" s="11">
        <v>79130.0</v>
      </c>
      <c r="U1278" s="11">
        <v>75160.0</v>
      </c>
      <c r="V1278" s="11">
        <v>65900.0</v>
      </c>
      <c r="W1278" s="11">
        <v>59120.0</v>
      </c>
      <c r="X1278" s="11">
        <v>50770.0</v>
      </c>
      <c r="Y1278" s="11">
        <v>-154060.0</v>
      </c>
      <c r="Z1278" s="11">
        <v>10460.0</v>
      </c>
      <c r="AA1278" s="11">
        <v>-102420.0</v>
      </c>
      <c r="AB1278" s="11">
        <v>-674.0</v>
      </c>
      <c r="AC1278" s="11">
        <v>-6480.0</v>
      </c>
      <c r="AD1278" s="11">
        <v>-144590.0</v>
      </c>
      <c r="AE1278" s="11">
        <v>-128610.0</v>
      </c>
      <c r="AF1278" s="11">
        <v>-108030.0</v>
      </c>
      <c r="AG1278" s="11">
        <v>-72080.0</v>
      </c>
      <c r="AH1278" s="11">
        <v>-50380.0</v>
      </c>
      <c r="AI1278" s="11">
        <v>-136880.0</v>
      </c>
      <c r="AJ1278" s="11">
        <v>-137650.0</v>
      </c>
      <c r="AK1278" s="11">
        <v>-68690.0</v>
      </c>
      <c r="AL1278" s="11">
        <v>-36390.0</v>
      </c>
      <c r="AM1278" s="11">
        <v>-1700.0</v>
      </c>
      <c r="AN1278" s="11">
        <v>-135390.0</v>
      </c>
      <c r="AO1278" s="11">
        <v>-126710.0</v>
      </c>
      <c r="AP1278" s="11">
        <v>-91250.0</v>
      </c>
      <c r="AQ1278" s="11">
        <v>-69770.0</v>
      </c>
      <c r="AR1278" s="11">
        <v>-50790.0</v>
      </c>
      <c r="AS1278" s="11">
        <v>-134630.0</v>
      </c>
      <c r="AT1278" s="11">
        <v>-62400.0</v>
      </c>
      <c r="AU1278" s="11">
        <v>-38860.0</v>
      </c>
      <c r="AV1278" s="11">
        <v>-40460.0</v>
      </c>
      <c r="AW1278" s="11">
        <v>6740.0</v>
      </c>
      <c r="AX1278" s="11">
        <v>-9020.0</v>
      </c>
      <c r="AY1278" s="11">
        <v>-2760.0</v>
      </c>
      <c r="AZ1278" s="11">
        <v>-465.0</v>
      </c>
      <c r="BA1278" s="11">
        <v>-78.0</v>
      </c>
      <c r="BB1278" s="11">
        <v>-223.0</v>
      </c>
      <c r="BC1278" s="12"/>
      <c r="BD1278" s="12"/>
      <c r="BE1278" s="12"/>
      <c r="BF1278" s="24">
        <v>-6.0</v>
      </c>
      <c r="BG1278" s="12"/>
      <c r="BH1278" s="11">
        <v>223870.0</v>
      </c>
      <c r="BI1278" s="11">
        <v>203990.0</v>
      </c>
      <c r="BJ1278" s="11">
        <v>227570.0</v>
      </c>
      <c r="BK1278" s="11">
        <v>158470.0</v>
      </c>
      <c r="BL1278" s="11">
        <v>139990.0</v>
      </c>
      <c r="BM1278" s="11">
        <v>10000.0</v>
      </c>
      <c r="BN1278" s="11">
        <v>33570.0</v>
      </c>
      <c r="BO1278" s="11">
        <v>34390.0</v>
      </c>
      <c r="BP1278" s="11">
        <v>45540.0</v>
      </c>
      <c r="BQ1278" s="11">
        <v>42960.0</v>
      </c>
      <c r="BR1278" s="12"/>
      <c r="BS1278" s="12"/>
      <c r="BT1278" s="11">
        <v>5720.0</v>
      </c>
      <c r="BU1278" s="11">
        <v>8720.0</v>
      </c>
      <c r="BV1278" s="11">
        <v>4180.0</v>
      </c>
      <c r="BW1278" s="11">
        <v>244020.0</v>
      </c>
      <c r="BX1278" s="11">
        <v>250690.0</v>
      </c>
      <c r="BY1278" s="11">
        <v>277750.0</v>
      </c>
      <c r="BZ1278" s="11">
        <v>216650.0</v>
      </c>
      <c r="CA1278" s="11">
        <v>190630.0</v>
      </c>
      <c r="CB1278" s="11">
        <v>15410.0</v>
      </c>
      <c r="CC1278" s="11">
        <v>385.0</v>
      </c>
      <c r="CD1278" s="11">
        <v>589.0</v>
      </c>
      <c r="CE1278" s="11">
        <v>449.0</v>
      </c>
      <c r="CF1278" s="11">
        <v>918.0</v>
      </c>
      <c r="CG1278" s="12"/>
      <c r="CH1278" s="12"/>
      <c r="CI1278" s="11">
        <v>18160.0</v>
      </c>
      <c r="CJ1278" s="11">
        <v>17890.0</v>
      </c>
      <c r="CK1278" s="11">
        <v>17960.0</v>
      </c>
      <c r="CL1278" s="11">
        <v>263430.0</v>
      </c>
      <c r="CM1278" s="11">
        <v>403200.0</v>
      </c>
      <c r="CN1278" s="11">
        <v>493290.0</v>
      </c>
      <c r="CO1278" s="11">
        <v>439640.0</v>
      </c>
      <c r="CP1278" s="11">
        <v>419050.0</v>
      </c>
      <c r="CQ1278" s="11">
        <v>32010.0</v>
      </c>
      <c r="CR1278" s="11">
        <v>44920.0</v>
      </c>
      <c r="CS1278" s="11">
        <v>28550.0</v>
      </c>
      <c r="CT1278" s="11">
        <v>30490.0</v>
      </c>
      <c r="CU1278" s="11">
        <v>26680.0</v>
      </c>
      <c r="CV1278" s="11">
        <v>61970.0</v>
      </c>
      <c r="CW1278" s="11">
        <v>1680.0</v>
      </c>
      <c r="CX1278" s="12"/>
      <c r="CY1278" s="12"/>
      <c r="CZ1278" s="12"/>
      <c r="DA1278" s="12"/>
      <c r="DB1278" s="11">
        <v>61970.0</v>
      </c>
      <c r="DC1278" s="11">
        <v>98330.0</v>
      </c>
      <c r="DD1278" s="11">
        <v>109750.0</v>
      </c>
      <c r="DE1278" s="11">
        <v>65510.0</v>
      </c>
      <c r="DF1278" s="11">
        <v>73040.0</v>
      </c>
      <c r="DG1278" s="11">
        <v>131790.0</v>
      </c>
      <c r="DH1278" s="11">
        <v>141950.0</v>
      </c>
      <c r="DI1278" s="11">
        <v>203620.0</v>
      </c>
      <c r="DJ1278" s="11">
        <v>206190.0</v>
      </c>
      <c r="DK1278" s="12"/>
      <c r="DL1278" s="12"/>
      <c r="DM1278" s="11">
        <v>37530.0</v>
      </c>
      <c r="DN1278" s="11">
        <v>11530.0</v>
      </c>
      <c r="DO1278" s="11">
        <v>5190.0</v>
      </c>
      <c r="DP1278" s="11">
        <v>2370.0</v>
      </c>
      <c r="DQ1278" s="12"/>
      <c r="DR1278" s="12"/>
      <c r="DS1278" s="11">
        <v>97040.0</v>
      </c>
      <c r="DT1278" s="11">
        <v>99380.0</v>
      </c>
      <c r="DU1278" s="13"/>
      <c r="DV1278" s="12"/>
      <c r="DW1278" s="12"/>
      <c r="DX1278" s="13"/>
      <c r="DY1278" s="24">
        <v>123.0</v>
      </c>
      <c r="DZ1278" s="11">
        <v>190390.0</v>
      </c>
      <c r="EA1278" s="11">
        <v>271410.0</v>
      </c>
      <c r="EB1278" s="11">
        <v>351340.0</v>
      </c>
      <c r="EC1278" s="11">
        <v>236030.0</v>
      </c>
      <c r="ED1278" s="11">
        <v>212860.0</v>
      </c>
      <c r="EE1278" s="23"/>
      <c r="EF1278" s="14">
        <v>0.769</v>
      </c>
      <c r="EG1278" s="14">
        <v>0.125</v>
      </c>
      <c r="EH1278" s="14">
        <v>0.119</v>
      </c>
    </row>
    <row r="1279">
      <c r="A1279" s="9">
        <f t="shared" si="2"/>
        <v>1277</v>
      </c>
      <c r="B1279" s="10" t="s">
        <v>1414</v>
      </c>
      <c r="C1279" s="11">
        <v>4470000.0</v>
      </c>
      <c r="D1279" s="11">
        <v>3790000.0</v>
      </c>
      <c r="E1279" s="11">
        <v>7860000.0</v>
      </c>
      <c r="F1279" s="11">
        <v>7220000.0</v>
      </c>
      <c r="G1279" s="11">
        <v>6980000.0</v>
      </c>
      <c r="H1279" s="11">
        <v>6790000.0</v>
      </c>
      <c r="I1279" s="11">
        <v>6640000.0</v>
      </c>
      <c r="J1279" s="11">
        <v>1080000.0</v>
      </c>
      <c r="K1279" s="11">
        <v>1090000.0</v>
      </c>
      <c r="L1279" s="11">
        <v>1120000.0</v>
      </c>
      <c r="M1279" s="11">
        <v>1120000.0</v>
      </c>
      <c r="N1279" s="11">
        <v>1120000.0</v>
      </c>
      <c r="O1279" s="11">
        <v>283600.0</v>
      </c>
      <c r="P1279" s="11">
        <v>236500.0</v>
      </c>
      <c r="Q1279" s="11">
        <v>235900.0</v>
      </c>
      <c r="R1279" s="11">
        <v>252100.0</v>
      </c>
      <c r="S1279" s="11">
        <v>248600.0</v>
      </c>
      <c r="T1279" s="11">
        <v>54500.0</v>
      </c>
      <c r="U1279" s="11">
        <v>42500.0</v>
      </c>
      <c r="V1279" s="11">
        <v>31200.0</v>
      </c>
      <c r="W1279" s="11">
        <v>23800.0</v>
      </c>
      <c r="X1279" s="11">
        <v>27800.0</v>
      </c>
      <c r="Y1279" s="11">
        <v>774300.0</v>
      </c>
      <c r="Z1279" s="11">
        <v>807900.0</v>
      </c>
      <c r="AA1279" s="11">
        <v>-355400.0</v>
      </c>
      <c r="AB1279" s="11">
        <v>725100.0</v>
      </c>
      <c r="AC1279" s="11">
        <v>-10000.0</v>
      </c>
      <c r="AD1279" s="11">
        <v>663100.0</v>
      </c>
      <c r="AE1279" s="11">
        <v>756200.0</v>
      </c>
      <c r="AF1279" s="11">
        <v>534600.0</v>
      </c>
      <c r="AG1279" s="11">
        <v>660500.0</v>
      </c>
      <c r="AH1279" s="11">
        <v>808100.0</v>
      </c>
      <c r="AI1279" s="11">
        <v>1040000.0</v>
      </c>
      <c r="AJ1279" s="11">
        <v>1090000.0</v>
      </c>
      <c r="AK1279" s="11">
        <v>1100000.0</v>
      </c>
      <c r="AL1279" s="11">
        <v>1070000.0</v>
      </c>
      <c r="AM1279" s="11">
        <v>1050000.0</v>
      </c>
      <c r="AN1279" s="11">
        <v>529700.0</v>
      </c>
      <c r="AO1279" s="11">
        <v>616500.0</v>
      </c>
      <c r="AP1279" s="11">
        <v>354700.0</v>
      </c>
      <c r="AQ1279" s="11">
        <v>469400.0</v>
      </c>
      <c r="AR1279" s="11">
        <v>788000.0</v>
      </c>
      <c r="AS1279" s="11">
        <v>922700.0</v>
      </c>
      <c r="AT1279" s="11">
        <v>769900.0</v>
      </c>
      <c r="AU1279" s="11">
        <v>573700.0</v>
      </c>
      <c r="AV1279" s="11">
        <v>716900.0</v>
      </c>
      <c r="AW1279" s="11">
        <v>1290000.0</v>
      </c>
      <c r="AX1279" s="11">
        <v>-232200.0</v>
      </c>
      <c r="AY1279" s="11">
        <v>-271200.0</v>
      </c>
      <c r="AZ1279" s="11">
        <v>-273100.0</v>
      </c>
      <c r="BA1279" s="11">
        <v>-254000.0</v>
      </c>
      <c r="BB1279" s="11">
        <v>-360100.0</v>
      </c>
      <c r="BC1279" s="11">
        <v>-50400.0</v>
      </c>
      <c r="BD1279" s="11">
        <v>-48000.0</v>
      </c>
      <c r="BE1279" s="11">
        <v>-47100.0</v>
      </c>
      <c r="BF1279" s="12"/>
      <c r="BG1279" s="12"/>
      <c r="BH1279" s="11">
        <v>2350000.0</v>
      </c>
      <c r="BI1279" s="11">
        <v>773900.0</v>
      </c>
      <c r="BJ1279" s="11">
        <v>425500.0</v>
      </c>
      <c r="BK1279" s="11">
        <v>697700.0</v>
      </c>
      <c r="BL1279" s="11">
        <v>957300.0</v>
      </c>
      <c r="BM1279" s="11">
        <v>1150000.0</v>
      </c>
      <c r="BN1279" s="11">
        <v>1030000.0</v>
      </c>
      <c r="BO1279" s="11">
        <v>749300.0</v>
      </c>
      <c r="BP1279" s="11">
        <v>667900.0</v>
      </c>
      <c r="BQ1279" s="11">
        <v>543800.0</v>
      </c>
      <c r="BR1279" s="11">
        <v>1120000.0</v>
      </c>
      <c r="BS1279" s="11">
        <v>1010000.0</v>
      </c>
      <c r="BT1279" s="11">
        <v>1450000.0</v>
      </c>
      <c r="BU1279" s="11">
        <v>1520000.0</v>
      </c>
      <c r="BV1279" s="11">
        <v>1770000.0</v>
      </c>
      <c r="BW1279" s="11">
        <v>4640000.0</v>
      </c>
      <c r="BX1279" s="11">
        <v>2850000.0</v>
      </c>
      <c r="BY1279" s="11">
        <v>2650000.0</v>
      </c>
      <c r="BZ1279" s="11">
        <v>2910000.0</v>
      </c>
      <c r="CA1279" s="11">
        <v>3300000.0</v>
      </c>
      <c r="CB1279" s="11">
        <v>2320000.0</v>
      </c>
      <c r="CC1279" s="11">
        <v>2170000.0</v>
      </c>
      <c r="CD1279" s="11">
        <v>2110000.0</v>
      </c>
      <c r="CE1279" s="11">
        <v>1990000.0</v>
      </c>
      <c r="CF1279" s="11">
        <v>1950000.0</v>
      </c>
      <c r="CG1279" s="11">
        <v>2400.0</v>
      </c>
      <c r="CH1279" s="11">
        <v>2400.0</v>
      </c>
      <c r="CI1279" s="11">
        <v>2500.0</v>
      </c>
      <c r="CJ1279" s="11">
        <v>2300.0</v>
      </c>
      <c r="CK1279" s="11">
        <v>2700.0</v>
      </c>
      <c r="CL1279" s="11">
        <v>7610000.0</v>
      </c>
      <c r="CM1279" s="11">
        <v>5690000.0</v>
      </c>
      <c r="CN1279" s="11">
        <v>5270000.0</v>
      </c>
      <c r="CO1279" s="11">
        <v>5410000.0</v>
      </c>
      <c r="CP1279" s="11">
        <v>5760000.0</v>
      </c>
      <c r="CQ1279" s="11">
        <v>1060000.0</v>
      </c>
      <c r="CR1279" s="11">
        <v>902600.0</v>
      </c>
      <c r="CS1279" s="11">
        <v>693100.0</v>
      </c>
      <c r="CT1279" s="11">
        <v>579700.0</v>
      </c>
      <c r="CU1279" s="11">
        <v>618200.0</v>
      </c>
      <c r="CV1279" s="11">
        <v>1760000.0</v>
      </c>
      <c r="CW1279" s="11">
        <v>6000.0</v>
      </c>
      <c r="CX1279" s="12"/>
      <c r="CY1279" s="12"/>
      <c r="CZ1279" s="12"/>
      <c r="DA1279" s="12"/>
      <c r="DB1279" s="11">
        <v>1760000.0</v>
      </c>
      <c r="DC1279" s="11">
        <v>1580000.0</v>
      </c>
      <c r="DD1279" s="11">
        <v>1620000.0</v>
      </c>
      <c r="DE1279" s="11">
        <v>1540000.0</v>
      </c>
      <c r="DF1279" s="11">
        <v>5840000.0</v>
      </c>
      <c r="DG1279" s="11">
        <v>4420000.0</v>
      </c>
      <c r="DH1279" s="11">
        <v>3430000.0</v>
      </c>
      <c r="DI1279" s="11">
        <v>3410000.0</v>
      </c>
      <c r="DJ1279" s="11">
        <v>3560000.0</v>
      </c>
      <c r="DK1279" s="11">
        <v>24100.0</v>
      </c>
      <c r="DL1279" s="11">
        <v>20200.0</v>
      </c>
      <c r="DM1279" s="11">
        <v>24700.0</v>
      </c>
      <c r="DN1279" s="11">
        <v>24300.0</v>
      </c>
      <c r="DO1279" s="11">
        <v>23100.0</v>
      </c>
      <c r="DP1279" s="11">
        <v>3030000.0</v>
      </c>
      <c r="DQ1279" s="11">
        <v>1860000.0</v>
      </c>
      <c r="DR1279" s="11">
        <v>1120000.0</v>
      </c>
      <c r="DS1279" s="11">
        <v>1060000.0</v>
      </c>
      <c r="DT1279" s="11">
        <v>1090000.0</v>
      </c>
      <c r="DU1279" s="12"/>
      <c r="DV1279" s="12"/>
      <c r="DW1279" s="12"/>
      <c r="DX1279" s="12"/>
      <c r="DY1279" s="12"/>
      <c r="DZ1279" s="11">
        <v>1760000.0</v>
      </c>
      <c r="EA1279" s="11">
        <v>1240000.0</v>
      </c>
      <c r="EB1279" s="11">
        <v>1800000.0</v>
      </c>
      <c r="EC1279" s="11">
        <v>1930000.0</v>
      </c>
      <c r="ED1279" s="11">
        <v>2120000.0</v>
      </c>
      <c r="EE1279" s="14">
        <v>0.557</v>
      </c>
      <c r="EF1279" s="14">
        <v>0.562</v>
      </c>
      <c r="EG1279" s="14">
        <v>0.358</v>
      </c>
      <c r="EH1279" s="14">
        <v>-0.076</v>
      </c>
    </row>
    <row r="1280">
      <c r="A1280" s="9">
        <f t="shared" si="2"/>
        <v>1278</v>
      </c>
      <c r="B1280" s="22" t="s">
        <v>1415</v>
      </c>
      <c r="C1280" s="11">
        <v>15000.0</v>
      </c>
      <c r="D1280" s="11">
        <v>10480.0</v>
      </c>
      <c r="E1280" s="11">
        <v>18150.0</v>
      </c>
      <c r="F1280" s="11">
        <v>3970.0</v>
      </c>
      <c r="G1280" s="11">
        <v>1980.0</v>
      </c>
      <c r="H1280" s="11">
        <v>335.0</v>
      </c>
      <c r="I1280" s="12"/>
      <c r="J1280" s="12"/>
      <c r="K1280" s="12"/>
      <c r="L1280" s="12"/>
      <c r="M1280" s="12"/>
      <c r="N1280" s="11">
        <v>-11.0</v>
      </c>
      <c r="O1280" s="11">
        <v>80210.0</v>
      </c>
      <c r="P1280" s="11">
        <v>46360.0</v>
      </c>
      <c r="Q1280" s="11">
        <v>43350.0</v>
      </c>
      <c r="R1280" s="11">
        <v>33280.0</v>
      </c>
      <c r="S1280" s="11">
        <v>13320.0</v>
      </c>
      <c r="T1280" s="11">
        <v>64620.0</v>
      </c>
      <c r="U1280" s="11">
        <v>33890.0</v>
      </c>
      <c r="V1280" s="11">
        <v>32870.0</v>
      </c>
      <c r="W1280" s="11">
        <v>26330.0</v>
      </c>
      <c r="X1280" s="11">
        <v>11130.0</v>
      </c>
      <c r="Y1280" s="11">
        <v>-62990.0</v>
      </c>
      <c r="Z1280" s="12"/>
      <c r="AA1280" s="11">
        <v>-40190.0</v>
      </c>
      <c r="AB1280" s="11">
        <v>-32640.0</v>
      </c>
      <c r="AC1280" s="11">
        <v>-13150.0</v>
      </c>
      <c r="AD1280" s="11">
        <v>-60930.0</v>
      </c>
      <c r="AE1280" s="11">
        <v>-41660.0</v>
      </c>
      <c r="AF1280" s="11">
        <v>-39890.0</v>
      </c>
      <c r="AG1280" s="11">
        <v>-32640.0</v>
      </c>
      <c r="AH1280" s="11">
        <v>-13150.0</v>
      </c>
      <c r="AI1280" s="11">
        <v>-62060.0</v>
      </c>
      <c r="AJ1280" s="11">
        <v>-42400.0</v>
      </c>
      <c r="AK1280" s="11">
        <v>-41370.0</v>
      </c>
      <c r="AL1280" s="11">
        <v>-32940.0</v>
      </c>
      <c r="AM1280" s="11">
        <v>-13320.0</v>
      </c>
      <c r="AN1280" s="11">
        <v>-60930.0</v>
      </c>
      <c r="AO1280" s="11">
        <v>-41660.0</v>
      </c>
      <c r="AP1280" s="11">
        <v>-38740.0</v>
      </c>
      <c r="AQ1280" s="11">
        <v>-25490.0</v>
      </c>
      <c r="AR1280" s="11">
        <v>-10150.0</v>
      </c>
      <c r="AS1280" s="11">
        <v>-50020.0</v>
      </c>
      <c r="AT1280" s="11">
        <v>-39630.0</v>
      </c>
      <c r="AU1280" s="11">
        <v>-39110.0</v>
      </c>
      <c r="AV1280" s="11">
        <v>-28960.0</v>
      </c>
      <c r="AW1280" s="11">
        <v>-9610.0</v>
      </c>
      <c r="AX1280" s="11">
        <v>-314.0</v>
      </c>
      <c r="AY1280" s="11">
        <v>-2440.0</v>
      </c>
      <c r="AZ1280" s="11">
        <v>-27.0</v>
      </c>
      <c r="BA1280" s="11">
        <v>-830.0</v>
      </c>
      <c r="BB1280" s="11">
        <v>-232.0</v>
      </c>
      <c r="BC1280" s="12"/>
      <c r="BD1280" s="12"/>
      <c r="BE1280" s="12"/>
      <c r="BF1280" s="12"/>
      <c r="BG1280" s="12"/>
      <c r="BH1280" s="11">
        <v>82050.0</v>
      </c>
      <c r="BI1280" s="11">
        <v>115440.0</v>
      </c>
      <c r="BJ1280" s="11">
        <v>87290.0</v>
      </c>
      <c r="BK1280" s="11">
        <v>10320.0</v>
      </c>
      <c r="BL1280" s="11">
        <v>5690.0</v>
      </c>
      <c r="BM1280" s="11">
        <v>10250.0</v>
      </c>
      <c r="BN1280" s="11">
        <v>1300.0</v>
      </c>
      <c r="BO1280" s="11">
        <v>2940.0</v>
      </c>
      <c r="BP1280" s="11">
        <v>304.0</v>
      </c>
      <c r="BQ1280" s="11">
        <v>10.0</v>
      </c>
      <c r="BR1280" s="12"/>
      <c r="BS1280" s="12"/>
      <c r="BT1280" s="12"/>
      <c r="BU1280" s="12"/>
      <c r="BV1280" s="12"/>
      <c r="BW1280" s="11">
        <v>95410.0</v>
      </c>
      <c r="BX1280" s="11">
        <v>124220.0</v>
      </c>
      <c r="BY1280" s="11">
        <v>92060.0</v>
      </c>
      <c r="BZ1280" s="11">
        <v>11870.0</v>
      </c>
      <c r="CA1280" s="11">
        <v>5990.0</v>
      </c>
      <c r="CB1280" s="11">
        <v>7150.0</v>
      </c>
      <c r="CC1280" s="11">
        <v>2890.0</v>
      </c>
      <c r="CD1280" s="11">
        <v>1160.0</v>
      </c>
      <c r="CE1280" s="11">
        <v>1500.0</v>
      </c>
      <c r="CF1280" s="11">
        <v>949.0</v>
      </c>
      <c r="CG1280" s="12"/>
      <c r="CH1280" s="12"/>
      <c r="CI1280" s="12"/>
      <c r="CJ1280" s="12"/>
      <c r="CK1280" s="12"/>
      <c r="CL1280" s="11">
        <v>106100.0</v>
      </c>
      <c r="CM1280" s="11">
        <v>129010.0</v>
      </c>
      <c r="CN1280" s="11">
        <v>93480.0</v>
      </c>
      <c r="CO1280" s="11">
        <v>13770.0</v>
      </c>
      <c r="CP1280" s="11">
        <v>7180.0</v>
      </c>
      <c r="CQ1280" s="11">
        <v>4150.0</v>
      </c>
      <c r="CR1280" s="11">
        <v>3600.0</v>
      </c>
      <c r="CS1280" s="11">
        <v>3470.0</v>
      </c>
      <c r="CT1280" s="11">
        <v>1140.0</v>
      </c>
      <c r="CU1280" s="11">
        <v>1790.0</v>
      </c>
      <c r="CV1280" s="11">
        <v>26660.0</v>
      </c>
      <c r="CW1280" s="11">
        <v>928.0</v>
      </c>
      <c r="CX1280" s="12"/>
      <c r="CY1280" s="12"/>
      <c r="CZ1280" s="12"/>
      <c r="DA1280" s="12"/>
      <c r="DB1280" s="11">
        <v>26660.0</v>
      </c>
      <c r="DC1280" s="11">
        <v>12320.0</v>
      </c>
      <c r="DD1280" s="11">
        <v>8160.0</v>
      </c>
      <c r="DE1280" s="11">
        <v>6920.0</v>
      </c>
      <c r="DF1280" s="11">
        <v>31530.0</v>
      </c>
      <c r="DG1280" s="11">
        <v>13150.0</v>
      </c>
      <c r="DH1280" s="11">
        <v>8520.0</v>
      </c>
      <c r="DI1280" s="11">
        <v>7410.0</v>
      </c>
      <c r="DJ1280" s="11">
        <v>7430.0</v>
      </c>
      <c r="DK1280" s="12"/>
      <c r="DL1280" s="12"/>
      <c r="DM1280" s="11">
        <v>50.0</v>
      </c>
      <c r="DN1280" s="11">
        <v>50.0</v>
      </c>
      <c r="DO1280" s="24">
        <v>50.0</v>
      </c>
      <c r="DP1280" s="11">
        <v>4620.0</v>
      </c>
      <c r="DQ1280" s="12"/>
      <c r="DR1280" s="12"/>
      <c r="DS1280" s="12"/>
      <c r="DT1280" s="12"/>
      <c r="DU1280" s="13"/>
      <c r="DV1280" s="12"/>
      <c r="DW1280" s="12"/>
      <c r="DX1280" s="11">
        <v>55610.0</v>
      </c>
      <c r="DY1280" s="11">
        <v>18300.0</v>
      </c>
      <c r="DZ1280" s="11">
        <v>74570.0</v>
      </c>
      <c r="EA1280" s="11">
        <v>115500.0</v>
      </c>
      <c r="EB1280" s="11">
        <v>84600.0</v>
      </c>
      <c r="EC1280" s="11">
        <v>10170.0</v>
      </c>
      <c r="ED1280" s="11">
        <v>196.0</v>
      </c>
      <c r="EE1280" s="14">
        <v>1.116</v>
      </c>
      <c r="EF1280" s="14">
        <v>1.393</v>
      </c>
      <c r="EG1280" s="14">
        <v>0.241</v>
      </c>
      <c r="EH1280" s="14">
        <v>-0.019</v>
      </c>
    </row>
    <row r="1281">
      <c r="A1281" s="9">
        <f t="shared" si="2"/>
        <v>1279</v>
      </c>
      <c r="B1281" s="10" t="s">
        <v>1416</v>
      </c>
      <c r="C1281" s="15">
        <v>8840000.0</v>
      </c>
      <c r="D1281" s="15">
        <v>9450000.0</v>
      </c>
      <c r="E1281" s="15">
        <v>8540000.0</v>
      </c>
      <c r="F1281" s="15">
        <v>8060000.0</v>
      </c>
      <c r="G1281" s="15">
        <v>7960000.0</v>
      </c>
      <c r="H1281" s="15">
        <v>7730000.0</v>
      </c>
      <c r="I1281" s="15">
        <v>7650000.0</v>
      </c>
      <c r="J1281" s="15">
        <v>1240000.0</v>
      </c>
      <c r="K1281" s="15">
        <v>1110000.0</v>
      </c>
      <c r="L1281" s="15">
        <v>1140000.0</v>
      </c>
      <c r="M1281" s="15">
        <v>1110000.0</v>
      </c>
      <c r="N1281" s="15">
        <v>1120000.0</v>
      </c>
      <c r="O1281" s="15">
        <v>1170000.0</v>
      </c>
      <c r="P1281" s="15">
        <v>997410.0</v>
      </c>
      <c r="Q1281" s="15">
        <v>1020000.0</v>
      </c>
      <c r="R1281" s="15">
        <v>963650.0</v>
      </c>
      <c r="S1281" s="15">
        <v>975570.0</v>
      </c>
      <c r="T1281" s="15"/>
      <c r="U1281" s="15"/>
      <c r="V1281" s="15"/>
      <c r="W1281" s="15"/>
      <c r="X1281" s="15"/>
      <c r="Y1281" s="15">
        <v>36810.0</v>
      </c>
      <c r="Z1281" s="15">
        <v>70510.0</v>
      </c>
      <c r="AA1281" s="15">
        <v>-236970.0</v>
      </c>
      <c r="AB1281" s="15">
        <v>108520.0</v>
      </c>
      <c r="AC1281" s="15">
        <v>121700.0</v>
      </c>
      <c r="AD1281" s="15">
        <v>3580.0</v>
      </c>
      <c r="AE1281" s="15">
        <v>40700.0</v>
      </c>
      <c r="AF1281" s="15">
        <v>-131640.0</v>
      </c>
      <c r="AG1281" s="15">
        <v>89960.0</v>
      </c>
      <c r="AH1281" s="15">
        <v>100260.0</v>
      </c>
      <c r="AI1281" s="15">
        <v>162030.0</v>
      </c>
      <c r="AJ1281" s="15">
        <v>197190.0</v>
      </c>
      <c r="AK1281" s="15">
        <v>214280.0</v>
      </c>
      <c r="AL1281" s="15">
        <v>227030.0</v>
      </c>
      <c r="AM1281" s="15">
        <v>225020.0</v>
      </c>
      <c r="AN1281" s="15">
        <v>5770.0</v>
      </c>
      <c r="AO1281" s="15">
        <v>33050.0</v>
      </c>
      <c r="AP1281" s="15">
        <v>-51710.0</v>
      </c>
      <c r="AQ1281" s="15">
        <v>56050.0</v>
      </c>
      <c r="AR1281" s="15">
        <v>62070.0</v>
      </c>
      <c r="AS1281" s="15">
        <v>180190.0</v>
      </c>
      <c r="AT1281" s="15">
        <v>171370.0</v>
      </c>
      <c r="AU1281" s="15">
        <v>52710.0</v>
      </c>
      <c r="AV1281" s="15">
        <v>154520.0</v>
      </c>
      <c r="AW1281" s="15">
        <v>219490.0</v>
      </c>
      <c r="AX1281" s="15">
        <v>-74820.0</v>
      </c>
      <c r="AY1281" s="15">
        <v>-71500.0</v>
      </c>
      <c r="AZ1281" s="15">
        <v>-70910.0</v>
      </c>
      <c r="BA1281" s="15">
        <v>-73430.0</v>
      </c>
      <c r="BB1281" s="15">
        <v>-79390.0</v>
      </c>
      <c r="BC1281" s="13">
        <v>-20710.0</v>
      </c>
      <c r="BD1281" s="13">
        <v>-25920.0</v>
      </c>
      <c r="BE1281" s="13">
        <v>-24700.0</v>
      </c>
      <c r="BF1281" s="13">
        <v>-22500.0</v>
      </c>
      <c r="BG1281" s="13">
        <v>-20300.0</v>
      </c>
      <c r="BH1281" s="15">
        <v>24170.0</v>
      </c>
      <c r="BI1281" s="15">
        <v>18590.0</v>
      </c>
      <c r="BJ1281" s="15">
        <v>15670.0</v>
      </c>
      <c r="BK1281" s="15">
        <v>24350.0</v>
      </c>
      <c r="BL1281" s="15">
        <v>22720.0</v>
      </c>
      <c r="BM1281" s="15">
        <v>345320.0</v>
      </c>
      <c r="BN1281" s="15">
        <v>346260.0</v>
      </c>
      <c r="BO1281" s="15">
        <v>344060.0</v>
      </c>
      <c r="BP1281" s="15">
        <v>291570.0</v>
      </c>
      <c r="BQ1281" s="15">
        <v>317180.0</v>
      </c>
      <c r="BR1281" s="15">
        <v>537210.0</v>
      </c>
      <c r="BS1281" s="15">
        <v>553800.0</v>
      </c>
      <c r="BT1281" s="15">
        <v>597160.0</v>
      </c>
      <c r="BU1281" s="15">
        <v>539860.0</v>
      </c>
      <c r="BV1281" s="15">
        <v>521160.0</v>
      </c>
      <c r="BW1281" s="15">
        <v>996680.0</v>
      </c>
      <c r="BX1281" s="15">
        <v>1000000.0</v>
      </c>
      <c r="BY1281" s="15">
        <v>1000000.0</v>
      </c>
      <c r="BZ1281" s="15">
        <v>893480.0</v>
      </c>
      <c r="CA1281" s="15">
        <v>883590.0</v>
      </c>
      <c r="CB1281" s="15">
        <v>884800.0</v>
      </c>
      <c r="CC1281" s="15">
        <v>579060.0</v>
      </c>
      <c r="CD1281" s="15">
        <v>600240.0</v>
      </c>
      <c r="CE1281" s="15">
        <v>559720.0</v>
      </c>
      <c r="CF1281" s="15">
        <v>583700.0</v>
      </c>
      <c r="CG1281" s="15">
        <v>181040.0</v>
      </c>
      <c r="CH1281" s="15">
        <v>178650.0</v>
      </c>
      <c r="CI1281" s="15">
        <v>178650.0</v>
      </c>
      <c r="CJ1281" s="15">
        <v>322690.0</v>
      </c>
      <c r="CK1281" s="15">
        <v>322900.0</v>
      </c>
      <c r="CL1281" s="15">
        <v>2410000.0</v>
      </c>
      <c r="CM1281" s="15">
        <v>2010000.0</v>
      </c>
      <c r="CN1281" s="15">
        <v>2090000.0</v>
      </c>
      <c r="CO1281" s="15">
        <v>1990000.0</v>
      </c>
      <c r="CP1281" s="15">
        <v>1980000.0</v>
      </c>
      <c r="CQ1281" s="15">
        <v>405370.0</v>
      </c>
      <c r="CR1281" s="15">
        <v>357800.0</v>
      </c>
      <c r="CS1281" s="15">
        <v>376980.0</v>
      </c>
      <c r="CT1281" s="15">
        <v>372430.0</v>
      </c>
      <c r="CU1281" s="15">
        <v>353690.0</v>
      </c>
      <c r="CV1281" s="15">
        <v>565130.0</v>
      </c>
      <c r="CW1281" s="15">
        <v>42440.0</v>
      </c>
      <c r="CX1281" s="13"/>
      <c r="CY1281" s="13"/>
      <c r="CZ1281" s="13"/>
      <c r="DA1281" s="15"/>
      <c r="DB1281" s="15">
        <v>565130.0</v>
      </c>
      <c r="DC1281" s="15">
        <v>476450.0</v>
      </c>
      <c r="DD1281" s="15">
        <v>494580.0</v>
      </c>
      <c r="DE1281" s="15">
        <v>505980.0</v>
      </c>
      <c r="DF1281" s="15">
        <v>1720000.0</v>
      </c>
      <c r="DG1281" s="15">
        <v>1300000.0</v>
      </c>
      <c r="DH1281" s="15">
        <v>1370000.0</v>
      </c>
      <c r="DI1281" s="15">
        <v>1160000.0</v>
      </c>
      <c r="DJ1281" s="15">
        <v>1180000.0</v>
      </c>
      <c r="DK1281" s="15"/>
      <c r="DL1281" s="15"/>
      <c r="DM1281" s="15"/>
      <c r="DN1281" s="12"/>
      <c r="DO1281" s="13"/>
      <c r="DP1281" s="15">
        <v>949550.0</v>
      </c>
      <c r="DQ1281" s="15">
        <v>679800.0</v>
      </c>
      <c r="DR1281" s="15">
        <v>740760.0</v>
      </c>
      <c r="DS1281" s="15">
        <v>413680.0</v>
      </c>
      <c r="DT1281" s="15">
        <v>475980.0</v>
      </c>
      <c r="DU1281" s="13"/>
      <c r="DV1281" s="12"/>
      <c r="DW1281" s="12"/>
      <c r="DX1281" s="13"/>
      <c r="DY1281" s="13"/>
      <c r="DZ1281" s="15">
        <v>687540.0</v>
      </c>
      <c r="EA1281" s="15">
        <v>715950.0</v>
      </c>
      <c r="EB1281" s="15">
        <v>721950.0</v>
      </c>
      <c r="EC1281" s="15">
        <v>825410.0</v>
      </c>
      <c r="ED1281" s="15">
        <v>790780.0</v>
      </c>
      <c r="EE1281" s="23">
        <v>0.053968254</v>
      </c>
      <c r="EF1281" s="23">
        <v>0.049773756</v>
      </c>
      <c r="EG1281" s="17">
        <v>0.426</v>
      </c>
      <c r="EH1281" s="23">
        <v>0.01675</v>
      </c>
    </row>
    <row r="1282">
      <c r="A1282" s="9">
        <f t="shared" si="2"/>
        <v>1280</v>
      </c>
      <c r="B1282" s="10" t="s">
        <v>1417</v>
      </c>
      <c r="C1282" s="15">
        <v>1090000.0</v>
      </c>
      <c r="D1282" s="15">
        <v>1090000.0</v>
      </c>
      <c r="E1282" s="15">
        <v>886400.0</v>
      </c>
      <c r="F1282" s="15">
        <v>849130.0</v>
      </c>
      <c r="G1282" s="15">
        <v>809670.0</v>
      </c>
      <c r="H1282" s="15">
        <v>779960.0</v>
      </c>
      <c r="I1282" s="15">
        <v>706760.0</v>
      </c>
      <c r="J1282" s="15">
        <v>277310.0</v>
      </c>
      <c r="K1282" s="15">
        <v>266680.0</v>
      </c>
      <c r="L1282" s="15">
        <v>273860.0</v>
      </c>
      <c r="M1282" s="15">
        <v>263230.0</v>
      </c>
      <c r="N1282" s="15">
        <v>238530.0</v>
      </c>
      <c r="O1282" s="15">
        <v>243190.0</v>
      </c>
      <c r="P1282" s="15">
        <v>222660.0</v>
      </c>
      <c r="Q1282" s="15">
        <v>227290.0</v>
      </c>
      <c r="R1282" s="15">
        <v>202400.0</v>
      </c>
      <c r="S1282" s="15">
        <v>182490.0</v>
      </c>
      <c r="T1282" s="12"/>
      <c r="U1282" s="12"/>
      <c r="V1282" s="12"/>
      <c r="W1282" s="12"/>
      <c r="X1282" s="12"/>
      <c r="Y1282" s="15">
        <v>33460.0</v>
      </c>
      <c r="Z1282" s="12"/>
      <c r="AA1282" s="12"/>
      <c r="AB1282" s="15">
        <v>60690.0</v>
      </c>
      <c r="AC1282" s="15">
        <v>3270.0</v>
      </c>
      <c r="AD1282" s="15">
        <v>25470.0</v>
      </c>
      <c r="AE1282" s="15">
        <v>30810.0</v>
      </c>
      <c r="AF1282" s="15">
        <v>32830.0</v>
      </c>
      <c r="AG1282" s="15">
        <v>47290.0</v>
      </c>
      <c r="AH1282" s="15">
        <v>45160.0</v>
      </c>
      <c r="AI1282" s="15">
        <v>80460.0</v>
      </c>
      <c r="AJ1282" s="15">
        <v>62270.0</v>
      </c>
      <c r="AK1282" s="15">
        <v>64270.0</v>
      </c>
      <c r="AL1282" s="15">
        <v>74800.0</v>
      </c>
      <c r="AM1282" s="15">
        <v>67610.0</v>
      </c>
      <c r="AN1282" s="15">
        <v>20220.0</v>
      </c>
      <c r="AO1282" s="15">
        <v>23750.0</v>
      </c>
      <c r="AP1282" s="15">
        <v>17740.0</v>
      </c>
      <c r="AQ1282" s="15">
        <v>29670.0</v>
      </c>
      <c r="AR1282" s="15">
        <v>27770.0</v>
      </c>
      <c r="AS1282" s="15">
        <v>106240.0</v>
      </c>
      <c r="AT1282" s="15">
        <v>32170.0</v>
      </c>
      <c r="AU1282" s="15">
        <v>30780.0</v>
      </c>
      <c r="AV1282" s="15">
        <v>15480.0</v>
      </c>
      <c r="AW1282" s="15">
        <v>35420.0</v>
      </c>
      <c r="AX1282" s="15">
        <v>-30370.0</v>
      </c>
      <c r="AY1282" s="15">
        <v>-18200.0</v>
      </c>
      <c r="AZ1282" s="15">
        <v>-41170.0</v>
      </c>
      <c r="BA1282" s="15">
        <v>-39420.0</v>
      </c>
      <c r="BB1282" s="15">
        <v>-33960.0</v>
      </c>
      <c r="BC1282" s="12"/>
      <c r="BD1282" s="12"/>
      <c r="BE1282" s="12"/>
      <c r="BF1282" s="12"/>
      <c r="BG1282" s="12"/>
      <c r="BH1282" s="15">
        <v>1690.0</v>
      </c>
      <c r="BI1282" s="15">
        <v>1550.0</v>
      </c>
      <c r="BJ1282" s="15">
        <v>1770.0</v>
      </c>
      <c r="BK1282" s="15">
        <v>1910.0</v>
      </c>
      <c r="BL1282" s="15">
        <v>2110.0</v>
      </c>
      <c r="BM1282" s="15">
        <v>1720.0</v>
      </c>
      <c r="BN1282" s="15">
        <v>249.0</v>
      </c>
      <c r="BO1282" s="15">
        <v>319.0</v>
      </c>
      <c r="BP1282" s="15">
        <v>411.0</v>
      </c>
      <c r="BQ1282" s="15">
        <v>469.0</v>
      </c>
      <c r="BR1282" s="15">
        <v>275510.0</v>
      </c>
      <c r="BS1282" s="15">
        <v>276600.0</v>
      </c>
      <c r="BT1282" s="15">
        <v>270590.0</v>
      </c>
      <c r="BU1282" s="15">
        <v>246290.0</v>
      </c>
      <c r="BV1282" s="15">
        <v>217790.0</v>
      </c>
      <c r="BW1282" s="15">
        <v>291640.0</v>
      </c>
      <c r="BX1282" s="15">
        <v>293570.0</v>
      </c>
      <c r="BY1282" s="15">
        <v>280760.0</v>
      </c>
      <c r="BZ1282" s="15">
        <v>255920.0</v>
      </c>
      <c r="CA1282" s="15">
        <v>232710.0</v>
      </c>
      <c r="CB1282" s="15">
        <v>323290.0</v>
      </c>
      <c r="CC1282" s="15">
        <v>92080.0</v>
      </c>
      <c r="CD1282" s="15">
        <v>94040.0</v>
      </c>
      <c r="CE1282" s="15">
        <v>83110.0</v>
      </c>
      <c r="CF1282" s="15">
        <v>62430.0</v>
      </c>
      <c r="CG1282" s="15">
        <v>1500.0</v>
      </c>
      <c r="CH1282" s="12"/>
      <c r="CI1282" s="12"/>
      <c r="CJ1282" s="12"/>
      <c r="CK1282" s="12"/>
      <c r="CL1282" s="15">
        <v>687250.0</v>
      </c>
      <c r="CM1282" s="15">
        <v>404210.0</v>
      </c>
      <c r="CN1282" s="15">
        <v>392390.0</v>
      </c>
      <c r="CO1282" s="15">
        <v>362390.0</v>
      </c>
      <c r="CP1282" s="15">
        <v>301330.0</v>
      </c>
      <c r="CQ1282" s="15">
        <v>38160.0</v>
      </c>
      <c r="CR1282" s="15">
        <v>24950.0</v>
      </c>
      <c r="CS1282" s="15">
        <v>36790.0</v>
      </c>
      <c r="CT1282" s="15">
        <v>31550.0</v>
      </c>
      <c r="CU1282" s="15">
        <v>46700.0</v>
      </c>
      <c r="CV1282" s="15">
        <v>264780.0</v>
      </c>
      <c r="CW1282" s="15">
        <v>166390.0</v>
      </c>
      <c r="CX1282" s="15">
        <v>154600.0</v>
      </c>
      <c r="CY1282" s="15">
        <v>69940.0</v>
      </c>
      <c r="CZ1282" s="15">
        <v>66330.0</v>
      </c>
      <c r="DA1282" s="15">
        <v>32450.0</v>
      </c>
      <c r="DB1282" s="15">
        <v>264780.0</v>
      </c>
      <c r="DC1282" s="15">
        <v>240670.0</v>
      </c>
      <c r="DD1282" s="15">
        <v>155550.0</v>
      </c>
      <c r="DE1282" s="15">
        <v>147220.0</v>
      </c>
      <c r="DF1282" s="15">
        <v>576980.0</v>
      </c>
      <c r="DG1282" s="15">
        <v>325550.0</v>
      </c>
      <c r="DH1282" s="15">
        <v>342600.0</v>
      </c>
      <c r="DI1282" s="15">
        <v>332390.0</v>
      </c>
      <c r="DJ1282" s="15">
        <v>303390.0</v>
      </c>
      <c r="DK1282" s="12"/>
      <c r="DL1282" s="12"/>
      <c r="DM1282" s="12"/>
      <c r="DN1282" s="12"/>
      <c r="DO1282" s="12"/>
      <c r="DP1282" s="15">
        <v>241040.0</v>
      </c>
      <c r="DQ1282" s="15">
        <v>27720.0</v>
      </c>
      <c r="DR1282" s="15">
        <v>132350.0</v>
      </c>
      <c r="DS1282" s="15">
        <v>133720.0</v>
      </c>
      <c r="DT1282" s="15">
        <v>146330.0</v>
      </c>
      <c r="DU1282" s="13"/>
      <c r="DV1282" s="12"/>
      <c r="DW1282" s="12"/>
      <c r="DX1282" s="12"/>
      <c r="DY1282" s="12"/>
      <c r="DZ1282" s="15">
        <v>110270.0</v>
      </c>
      <c r="EA1282" s="15">
        <v>78660.0</v>
      </c>
      <c r="EB1282" s="15">
        <v>49800.0</v>
      </c>
      <c r="EC1282" s="15">
        <v>30000.0</v>
      </c>
      <c r="ED1282" s="15">
        <v>-2060.0</v>
      </c>
      <c r="EE1282" s="17">
        <v>0.055</v>
      </c>
      <c r="EF1282" s="17">
        <v>0.064</v>
      </c>
      <c r="EG1282" s="17">
        <v>1.143</v>
      </c>
      <c r="EH1282" s="17">
        <v>0.333</v>
      </c>
    </row>
    <row r="1283">
      <c r="A1283" s="9">
        <f t="shared" si="2"/>
        <v>1281</v>
      </c>
      <c r="B1283" s="10" t="s">
        <v>1418</v>
      </c>
      <c r="C1283" s="15">
        <v>2180000.0</v>
      </c>
      <c r="D1283" s="15">
        <v>1890000.0</v>
      </c>
      <c r="E1283" s="15">
        <v>1860000.0</v>
      </c>
      <c r="F1283" s="15">
        <v>1730000.0</v>
      </c>
      <c r="G1283" s="15">
        <v>1790000.0</v>
      </c>
      <c r="H1283" s="15">
        <v>2550000.0</v>
      </c>
      <c r="I1283" s="15">
        <v>1570000.0</v>
      </c>
      <c r="J1283" s="15">
        <v>98870.0</v>
      </c>
      <c r="K1283" s="15">
        <v>58020.0</v>
      </c>
      <c r="L1283" s="15">
        <v>-18650.0</v>
      </c>
      <c r="M1283" s="15">
        <v>228800.0</v>
      </c>
      <c r="N1283" s="15">
        <v>239900.0</v>
      </c>
      <c r="O1283" s="15">
        <v>327960.0</v>
      </c>
      <c r="P1283" s="15">
        <v>327820.0</v>
      </c>
      <c r="Q1283" s="15">
        <v>360890.0</v>
      </c>
      <c r="R1283" s="15">
        <v>445190.0</v>
      </c>
      <c r="S1283" s="15">
        <v>444550.0</v>
      </c>
      <c r="T1283" s="15">
        <v>67520.0</v>
      </c>
      <c r="U1283" s="15">
        <v>68910.0</v>
      </c>
      <c r="V1283" s="15">
        <v>82250.0</v>
      </c>
      <c r="W1283" s="15">
        <v>116130.0</v>
      </c>
      <c r="X1283" s="15">
        <v>99060.0</v>
      </c>
      <c r="Y1283" s="15">
        <v>-84470.0</v>
      </c>
      <c r="Z1283" s="15">
        <v>-855400.0</v>
      </c>
      <c r="AA1283" s="15">
        <v>-897750.0</v>
      </c>
      <c r="AB1283" s="15">
        <v>-421930.0</v>
      </c>
      <c r="AC1283" s="15">
        <v>-260820.0</v>
      </c>
      <c r="AD1283" s="15">
        <v>25970.0</v>
      </c>
      <c r="AE1283" s="15">
        <v>-898670.0</v>
      </c>
      <c r="AF1283" s="15">
        <v>-1200000.0</v>
      </c>
      <c r="AG1283" s="15">
        <v>-564600.0</v>
      </c>
      <c r="AH1283" s="15">
        <v>-242310.0</v>
      </c>
      <c r="AI1283" s="15">
        <v>-149010.0</v>
      </c>
      <c r="AJ1283" s="15">
        <v>-142590.0</v>
      </c>
      <c r="AK1283" s="15">
        <v>-194250.0</v>
      </c>
      <c r="AL1283" s="15">
        <v>-42180.0</v>
      </c>
      <c r="AM1283" s="15">
        <v>-66640.0</v>
      </c>
      <c r="AN1283" s="15">
        <v>22160.0</v>
      </c>
      <c r="AO1283" s="15">
        <v>-811090.0</v>
      </c>
      <c r="AP1283" s="15">
        <v>-929120.0</v>
      </c>
      <c r="AQ1283" s="15">
        <v>-471060.0</v>
      </c>
      <c r="AR1283" s="15">
        <v>-187020.0</v>
      </c>
      <c r="AS1283" s="15">
        <v>-259510.0</v>
      </c>
      <c r="AT1283" s="15">
        <v>-530440.0</v>
      </c>
      <c r="AU1283" s="15">
        <v>-263640.0</v>
      </c>
      <c r="AV1283" s="15">
        <v>-312280.0</v>
      </c>
      <c r="AW1283" s="15">
        <v>-726230.0</v>
      </c>
      <c r="AX1283" s="15">
        <v>-100680.0</v>
      </c>
      <c r="AY1283" s="15">
        <v>-155330.0</v>
      </c>
      <c r="AZ1283" s="15">
        <v>-282880.0</v>
      </c>
      <c r="BA1283" s="15">
        <v>-310650.0</v>
      </c>
      <c r="BB1283" s="15">
        <v>-338370.0</v>
      </c>
      <c r="BC1283" s="15">
        <v>0.0</v>
      </c>
      <c r="BD1283" s="15">
        <v>0.0</v>
      </c>
      <c r="BE1283" s="15">
        <v>0.0</v>
      </c>
      <c r="BF1283" s="15">
        <v>0.0</v>
      </c>
      <c r="BG1283" s="15">
        <v>0.0</v>
      </c>
      <c r="BH1283" s="15">
        <v>455490.0</v>
      </c>
      <c r="BI1283" s="15">
        <v>351900.0</v>
      </c>
      <c r="BJ1283" s="15">
        <v>481420.0</v>
      </c>
      <c r="BK1283" s="15">
        <v>463770.0</v>
      </c>
      <c r="BL1283" s="15">
        <v>987750.0</v>
      </c>
      <c r="BM1283" s="15">
        <v>371030.0</v>
      </c>
      <c r="BN1283" s="15">
        <v>292170.0</v>
      </c>
      <c r="BO1283" s="15">
        <v>300620.0</v>
      </c>
      <c r="BP1283" s="15">
        <v>352510.0</v>
      </c>
      <c r="BQ1283" s="15">
        <v>322650.0</v>
      </c>
      <c r="BR1283" s="15">
        <v>465650.0</v>
      </c>
      <c r="BS1283" s="15">
        <v>346020.0</v>
      </c>
      <c r="BT1283" s="15">
        <v>383520.0</v>
      </c>
      <c r="BU1283" s="15">
        <v>597130.0</v>
      </c>
      <c r="BV1283" s="15">
        <v>518020.0</v>
      </c>
      <c r="BW1283" s="15">
        <v>1320000.0</v>
      </c>
      <c r="BX1283" s="15">
        <v>1030000.0</v>
      </c>
      <c r="BY1283" s="15">
        <v>1290000.0</v>
      </c>
      <c r="BZ1283" s="15">
        <v>1820000.0</v>
      </c>
      <c r="CA1283" s="15">
        <v>2410000.0</v>
      </c>
      <c r="CB1283" s="15">
        <v>429320.0</v>
      </c>
      <c r="CC1283" s="15">
        <v>932430.0</v>
      </c>
      <c r="CD1283" s="15">
        <v>1520000.0</v>
      </c>
      <c r="CE1283" s="15">
        <v>1680000.0</v>
      </c>
      <c r="CF1283" s="15">
        <v>1270000.0</v>
      </c>
      <c r="CG1283" s="15">
        <v>0.0</v>
      </c>
      <c r="CH1283" s="15">
        <v>0.0</v>
      </c>
      <c r="CI1283" s="15">
        <v>0.0</v>
      </c>
      <c r="CJ1283" s="15">
        <v>0.0</v>
      </c>
      <c r="CK1283" s="15">
        <v>58140.0</v>
      </c>
      <c r="CL1283" s="15">
        <v>2170000.0</v>
      </c>
      <c r="CM1283" s="15">
        <v>2350000.0</v>
      </c>
      <c r="CN1283" s="15">
        <v>4030000.0</v>
      </c>
      <c r="CO1283" s="15">
        <v>4570000.0</v>
      </c>
      <c r="CP1283" s="15">
        <v>4860000.0</v>
      </c>
      <c r="CQ1283" s="15">
        <v>441760.0</v>
      </c>
      <c r="CR1283" s="15">
        <v>325550.0</v>
      </c>
      <c r="CS1283" s="15">
        <v>406900.0</v>
      </c>
      <c r="CT1283" s="15">
        <v>540300.0</v>
      </c>
      <c r="CU1283" s="15">
        <v>514650.0</v>
      </c>
      <c r="CV1283" s="15">
        <v>898410.0</v>
      </c>
      <c r="CW1283" s="15">
        <v>114320.0</v>
      </c>
      <c r="CX1283" s="15">
        <v>40070.0</v>
      </c>
      <c r="CY1283" s="15">
        <v>357820.0</v>
      </c>
      <c r="CZ1283" s="15">
        <v>71380.0</v>
      </c>
      <c r="DA1283" s="15">
        <v>21040.0</v>
      </c>
      <c r="DB1283" s="15">
        <v>898410.0</v>
      </c>
      <c r="DC1283" s="15">
        <v>705010.0</v>
      </c>
      <c r="DD1283" s="15">
        <v>1100000.0</v>
      </c>
      <c r="DE1283" s="15">
        <v>1090000.0</v>
      </c>
      <c r="DF1283" s="15">
        <v>2150000.0</v>
      </c>
      <c r="DG1283" s="15">
        <v>2500000.0</v>
      </c>
      <c r="DH1283" s="15">
        <v>3320000.0</v>
      </c>
      <c r="DI1283" s="15">
        <v>3380000.0</v>
      </c>
      <c r="DJ1283" s="15">
        <v>3280000.0</v>
      </c>
      <c r="DK1283" s="15">
        <v>235960.0</v>
      </c>
      <c r="DL1283" s="15">
        <v>107240.0</v>
      </c>
      <c r="DM1283" s="15">
        <v>557610.0</v>
      </c>
      <c r="DN1283" s="15">
        <v>104140.0</v>
      </c>
      <c r="DO1283" s="15">
        <v>271000.0</v>
      </c>
      <c r="DP1283" s="15">
        <v>980180.0</v>
      </c>
      <c r="DQ1283" s="15">
        <v>1440000.0</v>
      </c>
      <c r="DR1283" s="15">
        <v>1730000.0</v>
      </c>
      <c r="DS1283" s="15">
        <v>1800000.0</v>
      </c>
      <c r="DT1283" s="15">
        <v>1740000.0</v>
      </c>
      <c r="DU1283" s="16">
        <v>0.0</v>
      </c>
      <c r="DV1283" s="15">
        <v>0.0</v>
      </c>
      <c r="DW1283" s="15">
        <v>0.0</v>
      </c>
      <c r="DX1283" s="15">
        <v>0.0</v>
      </c>
      <c r="DY1283" s="15">
        <v>0.0</v>
      </c>
      <c r="DZ1283" s="15">
        <v>10160.0</v>
      </c>
      <c r="EA1283" s="15">
        <v>-208700.0</v>
      </c>
      <c r="EB1283" s="15">
        <v>588210.0</v>
      </c>
      <c r="EC1283" s="15">
        <v>1010000.0</v>
      </c>
      <c r="ED1283" s="15">
        <v>1450000.0</v>
      </c>
      <c r="EE1283" s="17">
        <v>0.333</v>
      </c>
      <c r="EF1283" s="17">
        <v>0.358</v>
      </c>
      <c r="EG1283" s="17">
        <v>0.474</v>
      </c>
      <c r="EH1283" s="17">
        <v>0.559</v>
      </c>
    </row>
    <row r="1284">
      <c r="A1284" s="9">
        <f t="shared" si="2"/>
        <v>1282</v>
      </c>
      <c r="B1284" s="25" t="s">
        <v>1419</v>
      </c>
      <c r="C1284" s="15">
        <v>2360000.0</v>
      </c>
      <c r="D1284" s="15">
        <v>2020000.0</v>
      </c>
      <c r="E1284" s="15"/>
      <c r="F1284" s="15"/>
      <c r="G1284" s="15"/>
      <c r="H1284" s="15"/>
      <c r="I1284" s="15"/>
      <c r="J1284" s="15">
        <v>3.8509E8</v>
      </c>
      <c r="K1284" s="15">
        <v>5.0248E8</v>
      </c>
      <c r="L1284" s="15">
        <v>4.9473E8</v>
      </c>
      <c r="M1284" s="15">
        <v>4.1313E8</v>
      </c>
      <c r="N1284" s="15">
        <v>3.4997E8</v>
      </c>
      <c r="O1284" s="15">
        <v>8.141E7</v>
      </c>
      <c r="P1284" s="15">
        <v>8.365E7</v>
      </c>
      <c r="Q1284" s="15">
        <v>7.401E7</v>
      </c>
      <c r="R1284" s="15">
        <v>6.467E7</v>
      </c>
      <c r="S1284" s="15">
        <v>5.814E7</v>
      </c>
      <c r="T1284" s="15"/>
      <c r="U1284" s="15"/>
      <c r="V1284" s="15"/>
      <c r="W1284" s="15"/>
      <c r="X1284" s="15"/>
      <c r="Y1284" s="15">
        <v>3.0549E8</v>
      </c>
      <c r="Z1284" s="15">
        <v>4.2094E8</v>
      </c>
      <c r="AA1284" s="15">
        <v>4.0177E8</v>
      </c>
      <c r="AB1284" s="15">
        <v>3.0342E8</v>
      </c>
      <c r="AC1284" s="15">
        <v>2.3032E8</v>
      </c>
      <c r="AD1284" s="15">
        <v>2.6789E8</v>
      </c>
      <c r="AE1284" s="15">
        <v>3.9465E8</v>
      </c>
      <c r="AF1284" s="15">
        <v>3.7646E8</v>
      </c>
      <c r="AG1284" s="15">
        <v>2.7174E8</v>
      </c>
      <c r="AH1284" s="15">
        <v>1.9044E8</v>
      </c>
      <c r="AI1284" s="15">
        <v>4.4825E8</v>
      </c>
      <c r="AJ1284" s="15">
        <v>5.5538E8</v>
      </c>
      <c r="AK1284" s="15">
        <v>5.5982E8</v>
      </c>
      <c r="AL1284" s="15">
        <v>4.922E8</v>
      </c>
      <c r="AM1284" s="15">
        <v>4.5601E8</v>
      </c>
      <c r="AN1284" s="15">
        <v>1.9563E8</v>
      </c>
      <c r="AO1284" s="15">
        <v>2.8239E8</v>
      </c>
      <c r="AP1284" s="15">
        <v>2.7754E8</v>
      </c>
      <c r="AQ1284" s="15">
        <v>1.8819E8</v>
      </c>
      <c r="AR1284" s="15">
        <v>1.3961E8</v>
      </c>
      <c r="AS1284" s="15">
        <v>3.0034E8</v>
      </c>
      <c r="AT1284" s="15">
        <v>3.3697E8</v>
      </c>
      <c r="AU1284" s="15">
        <v>4.5683E8</v>
      </c>
      <c r="AV1284" s="15">
        <v>4.3287E8</v>
      </c>
      <c r="AW1284" s="15">
        <v>2.7987E8</v>
      </c>
      <c r="AX1284" s="15">
        <v>-2.2778E8</v>
      </c>
      <c r="AY1284" s="15">
        <v>-2.0485E8</v>
      </c>
      <c r="AZ1284" s="15">
        <v>-9.224E7</v>
      </c>
      <c r="BA1284" s="15">
        <v>-9.017E7</v>
      </c>
      <c r="BB1284" s="15">
        <v>-7.291E7</v>
      </c>
      <c r="BC1284" s="15">
        <v>-2.3198E8</v>
      </c>
      <c r="BD1284" s="15">
        <v>-3.5335E8</v>
      </c>
      <c r="BE1284" s="15">
        <v>-2.4265E8</v>
      </c>
      <c r="BF1284" s="15">
        <v>-2.7009E8</v>
      </c>
      <c r="BG1284" s="15">
        <v>-8.34E7</v>
      </c>
      <c r="BH1284" s="15">
        <v>8.2265E8</v>
      </c>
      <c r="BI1284" s="15">
        <v>6.0294E8</v>
      </c>
      <c r="BJ1284" s="15">
        <v>6.1339E8</v>
      </c>
      <c r="BK1284" s="15">
        <v>5.3841E8</v>
      </c>
      <c r="BL1284" s="15">
        <v>8.2452E8</v>
      </c>
      <c r="BM1284" s="15">
        <v>3.942E8</v>
      </c>
      <c r="BN1284" s="15">
        <v>3.9334E8</v>
      </c>
      <c r="BO1284" s="15">
        <v>3.2216E8</v>
      </c>
      <c r="BP1284" s="15">
        <v>3.0984E8</v>
      </c>
      <c r="BQ1284" s="15">
        <v>3.1566E8</v>
      </c>
      <c r="BR1284" s="15">
        <v>7.3942E8</v>
      </c>
      <c r="BS1284" s="15">
        <v>6.3409E8</v>
      </c>
      <c r="BT1284" s="15">
        <v>5.5476E8</v>
      </c>
      <c r="BU1284" s="15">
        <v>6.6514E8</v>
      </c>
      <c r="BV1284" s="15">
        <v>7.1133E8</v>
      </c>
      <c r="BW1284" s="15"/>
      <c r="BX1284" s="15"/>
      <c r="BY1284" s="15"/>
      <c r="BZ1284" s="15"/>
      <c r="CA1284" s="15"/>
      <c r="CB1284" s="15"/>
      <c r="CC1284" s="15"/>
      <c r="CD1284" s="15">
        <v>8.8384E8</v>
      </c>
      <c r="CE1284" s="15"/>
      <c r="CF1284" s="15"/>
      <c r="CG1284" s="15">
        <v>2.611E7</v>
      </c>
      <c r="CH1284" s="15">
        <v>2.409E7</v>
      </c>
      <c r="CI1284" s="15">
        <v>2.717E7</v>
      </c>
      <c r="CJ1284" s="15">
        <v>2.543E7</v>
      </c>
      <c r="CK1284" s="15">
        <v>2.72E7</v>
      </c>
      <c r="CL1284" s="15"/>
      <c r="CM1284" s="15"/>
      <c r="CN1284" s="15"/>
      <c r="CO1284" s="15"/>
      <c r="CP1284" s="15"/>
      <c r="CQ1284" s="15">
        <v>1.5446E8</v>
      </c>
      <c r="CR1284" s="15">
        <v>1.1338E8</v>
      </c>
      <c r="CS1284" s="15">
        <v>1.2045E8</v>
      </c>
      <c r="CT1284" s="15">
        <v>1.341E8</v>
      </c>
      <c r="CU1284" s="15">
        <v>9.684E7</v>
      </c>
      <c r="CV1284" s="15">
        <v>5.8412E8</v>
      </c>
      <c r="CW1284" s="15">
        <v>7790000.0</v>
      </c>
      <c r="CX1284" s="15">
        <v>1.616E7</v>
      </c>
      <c r="CY1284" s="15">
        <v>1.355E8</v>
      </c>
      <c r="CZ1284" s="15">
        <v>8.049E7</v>
      </c>
      <c r="DA1284" s="15">
        <v>7.074E7</v>
      </c>
      <c r="DB1284" s="15">
        <v>5.8412E8</v>
      </c>
      <c r="DC1284" s="15">
        <v>3.8563E8</v>
      </c>
      <c r="DD1284" s="15">
        <v>4.6003E8</v>
      </c>
      <c r="DE1284" s="15">
        <v>3.8871E8</v>
      </c>
      <c r="DF1284" s="15"/>
      <c r="DG1284" s="15"/>
      <c r="DH1284" s="15"/>
      <c r="DI1284" s="15"/>
      <c r="DJ1284" s="15"/>
      <c r="DK1284" s="15">
        <v>8.93E7</v>
      </c>
      <c r="DL1284" s="15">
        <v>8.98E7</v>
      </c>
      <c r="DM1284" s="15">
        <v>1.1689E8</v>
      </c>
      <c r="DN1284" s="15">
        <v>9.862E7</v>
      </c>
      <c r="DO1284" s="15">
        <v>5.689E7</v>
      </c>
      <c r="DP1284" s="15"/>
      <c r="DQ1284" s="15">
        <v>9.2329E8</v>
      </c>
      <c r="DR1284" s="15">
        <v>6.3436E8</v>
      </c>
      <c r="DS1284" s="15">
        <v>7.3237E8</v>
      </c>
      <c r="DT1284" s="15">
        <v>9.1424E8</v>
      </c>
      <c r="DU1284" s="13"/>
      <c r="DV1284" s="12"/>
      <c r="DW1284" s="12"/>
      <c r="DX1284" s="13"/>
      <c r="DY1284" s="13"/>
      <c r="DZ1284" s="12"/>
      <c r="EA1284" s="15"/>
      <c r="EB1284" s="15"/>
      <c r="EC1284" s="15"/>
      <c r="ED1284" s="15"/>
      <c r="EE1284" s="23"/>
      <c r="EF1284" s="23"/>
      <c r="EG1284" s="23">
        <v>-0.292</v>
      </c>
      <c r="EH1284" s="23">
        <v>-0.169</v>
      </c>
    </row>
    <row r="1285">
      <c r="A1285" s="9">
        <f t="shared" si="2"/>
        <v>1283</v>
      </c>
      <c r="B1285" s="25" t="s">
        <v>1420</v>
      </c>
      <c r="C1285" s="15">
        <v>78000.0</v>
      </c>
      <c r="D1285" s="15">
        <v>50610.0</v>
      </c>
      <c r="E1285" s="15">
        <v>30860.0</v>
      </c>
      <c r="F1285" s="15">
        <v>40210.0</v>
      </c>
      <c r="G1285" s="15">
        <v>48760.0</v>
      </c>
      <c r="H1285" s="15">
        <v>45480.0</v>
      </c>
      <c r="I1285" s="15">
        <v>32380.0</v>
      </c>
      <c r="J1285" s="15">
        <v>5090.0</v>
      </c>
      <c r="K1285" s="15">
        <v>10960.0</v>
      </c>
      <c r="L1285" s="15">
        <v>16930.0</v>
      </c>
      <c r="M1285" s="15">
        <v>16080.0</v>
      </c>
      <c r="N1285" s="15">
        <v>8670.0</v>
      </c>
      <c r="O1285" s="15">
        <v>36360.0</v>
      </c>
      <c r="P1285" s="15">
        <v>46570.0</v>
      </c>
      <c r="Q1285" s="15">
        <v>40040.0</v>
      </c>
      <c r="R1285" s="15">
        <v>37740.0</v>
      </c>
      <c r="S1285" s="15">
        <v>34840.0</v>
      </c>
      <c r="T1285" s="15">
        <v>27160.0</v>
      </c>
      <c r="U1285" s="15">
        <v>32010.0</v>
      </c>
      <c r="V1285" s="15">
        <v>28840.0</v>
      </c>
      <c r="W1285" s="15">
        <v>28230.0</v>
      </c>
      <c r="X1285" s="15">
        <v>27830.0</v>
      </c>
      <c r="Y1285" s="15">
        <v>-31320.0</v>
      </c>
      <c r="Z1285" s="15">
        <v>-35870.0</v>
      </c>
      <c r="AA1285" s="15">
        <v>-23430.0</v>
      </c>
      <c r="AB1285" s="15">
        <v>-23240.0</v>
      </c>
      <c r="AC1285" s="15">
        <v>-28200.0</v>
      </c>
      <c r="AD1285" s="15">
        <v>-40600.0</v>
      </c>
      <c r="AE1285" s="15">
        <v>-40180.0</v>
      </c>
      <c r="AF1285" s="15">
        <v>-29510.0</v>
      </c>
      <c r="AG1285" s="15">
        <v>-26410.0</v>
      </c>
      <c r="AH1285" s="15">
        <v>-29600.0</v>
      </c>
      <c r="AI1285" s="15">
        <v>-22920.0</v>
      </c>
      <c r="AJ1285" s="15">
        <v>-29450.0</v>
      </c>
      <c r="AK1285" s="15">
        <v>-17470.0</v>
      </c>
      <c r="AL1285" s="15">
        <v>-16370.0</v>
      </c>
      <c r="AM1285" s="15">
        <v>-20920.0</v>
      </c>
      <c r="AN1285" s="15">
        <v>-36690.0</v>
      </c>
      <c r="AO1285" s="15">
        <v>-36190.0</v>
      </c>
      <c r="AP1285" s="15">
        <v>-26430.0</v>
      </c>
      <c r="AQ1285" s="15">
        <v>-24730.0</v>
      </c>
      <c r="AR1285" s="15">
        <v>-27270.0</v>
      </c>
      <c r="AS1285" s="15">
        <v>2740.0</v>
      </c>
      <c r="AT1285" s="15">
        <v>-23530.0</v>
      </c>
      <c r="AU1285" s="15">
        <v>-29190.0</v>
      </c>
      <c r="AV1285" s="15">
        <v>-15760.0</v>
      </c>
      <c r="AW1285" s="15">
        <v>-16480.0</v>
      </c>
      <c r="AX1285" s="15">
        <v>-9140.0</v>
      </c>
      <c r="AY1285" s="15">
        <v>-9200.0</v>
      </c>
      <c r="AZ1285" s="15">
        <v>-6490.0</v>
      </c>
      <c r="BA1285" s="15">
        <v>-5380.0</v>
      </c>
      <c r="BB1285" s="15">
        <v>-5460.0</v>
      </c>
      <c r="BC1285" s="15">
        <v>0.0</v>
      </c>
      <c r="BD1285" s="15">
        <v>0.0</v>
      </c>
      <c r="BE1285" s="15">
        <v>0.0</v>
      </c>
      <c r="BF1285" s="15">
        <v>0.0</v>
      </c>
      <c r="BG1285" s="15">
        <v>0.0</v>
      </c>
      <c r="BH1285" s="15">
        <v>14100.0</v>
      </c>
      <c r="BI1285" s="15">
        <v>12090.0</v>
      </c>
      <c r="BJ1285" s="15">
        <v>2950.0</v>
      </c>
      <c r="BK1285" s="15">
        <v>20200.0</v>
      </c>
      <c r="BL1285" s="15">
        <v>8290.0</v>
      </c>
      <c r="BM1285" s="15">
        <v>13710.0</v>
      </c>
      <c r="BN1285" s="15">
        <v>19600.0</v>
      </c>
      <c r="BO1285" s="15">
        <v>24860.0</v>
      </c>
      <c r="BP1285" s="15">
        <v>17660.0</v>
      </c>
      <c r="BQ1285" s="15">
        <v>19900.0</v>
      </c>
      <c r="BR1285" s="15">
        <v>6660.0</v>
      </c>
      <c r="BS1285" s="15">
        <v>8240.0</v>
      </c>
      <c r="BT1285" s="15">
        <v>7380.0</v>
      </c>
      <c r="BU1285" s="15">
        <v>8690.0</v>
      </c>
      <c r="BV1285" s="15">
        <v>4070.0</v>
      </c>
      <c r="BW1285" s="15">
        <v>37030.0</v>
      </c>
      <c r="BX1285" s="15">
        <v>43160.0</v>
      </c>
      <c r="BY1285" s="15">
        <v>39750.0</v>
      </c>
      <c r="BZ1285" s="15">
        <v>50070.0</v>
      </c>
      <c r="CA1285" s="15">
        <v>35820.0</v>
      </c>
      <c r="CB1285" s="15">
        <v>8860.0</v>
      </c>
      <c r="CC1285" s="15">
        <v>6270.0</v>
      </c>
      <c r="CD1285" s="15">
        <v>6990.0</v>
      </c>
      <c r="CE1285" s="15">
        <v>6660.0</v>
      </c>
      <c r="CF1285" s="15">
        <v>7120.0</v>
      </c>
      <c r="CG1285" s="15">
        <v>0.0</v>
      </c>
      <c r="CH1285" s="15">
        <v>0.0</v>
      </c>
      <c r="CI1285" s="15">
        <v>0.0</v>
      </c>
      <c r="CJ1285" s="15">
        <v>0.0</v>
      </c>
      <c r="CK1285" s="15">
        <v>0.0</v>
      </c>
      <c r="CL1285" s="15">
        <v>63320.0</v>
      </c>
      <c r="CM1285" s="15">
        <v>62570.0</v>
      </c>
      <c r="CN1285" s="15">
        <v>57060.0</v>
      </c>
      <c r="CO1285" s="15">
        <v>65080.0</v>
      </c>
      <c r="CP1285" s="15">
        <v>48860.0</v>
      </c>
      <c r="CQ1285" s="15">
        <v>8830.0</v>
      </c>
      <c r="CR1285" s="15">
        <v>9410.0</v>
      </c>
      <c r="CS1285" s="15">
        <v>13020.0</v>
      </c>
      <c r="CT1285" s="15">
        <v>18360.0</v>
      </c>
      <c r="CU1285" s="15">
        <v>9500.0</v>
      </c>
      <c r="CV1285" s="15">
        <v>38060.0</v>
      </c>
      <c r="CW1285" s="15">
        <v>16510.0</v>
      </c>
      <c r="CX1285" s="15">
        <v>11120.0</v>
      </c>
      <c r="CY1285" s="15">
        <v>7410.0</v>
      </c>
      <c r="CZ1285" s="15">
        <v>7710.0</v>
      </c>
      <c r="DA1285" s="15">
        <v>6470.0</v>
      </c>
      <c r="DB1285" s="15">
        <v>38060.0</v>
      </c>
      <c r="DC1285" s="15">
        <v>27200.0</v>
      </c>
      <c r="DD1285" s="15">
        <v>27940.0</v>
      </c>
      <c r="DE1285" s="15">
        <v>31470.0</v>
      </c>
      <c r="DF1285" s="15">
        <v>86730.0</v>
      </c>
      <c r="DG1285" s="15">
        <v>61920.0</v>
      </c>
      <c r="DH1285" s="15">
        <v>47880.0</v>
      </c>
      <c r="DI1285" s="15">
        <v>51070.0</v>
      </c>
      <c r="DJ1285" s="15">
        <v>44720.0</v>
      </c>
      <c r="DK1285" s="15">
        <v>0.0</v>
      </c>
      <c r="DL1285" s="15">
        <v>0.0</v>
      </c>
      <c r="DM1285" s="15">
        <v>0.0</v>
      </c>
      <c r="DN1285" s="15">
        <v>0.0</v>
      </c>
      <c r="DO1285" s="15">
        <v>0.0</v>
      </c>
      <c r="DP1285" s="15">
        <v>33620.0</v>
      </c>
      <c r="DQ1285" s="15">
        <v>31530.0</v>
      </c>
      <c r="DR1285" s="15">
        <v>17060.0</v>
      </c>
      <c r="DS1285" s="15">
        <v>16340.0</v>
      </c>
      <c r="DT1285" s="15">
        <v>8980.0</v>
      </c>
      <c r="DU1285" s="16">
        <v>0.0</v>
      </c>
      <c r="DV1285" s="15">
        <v>0.0</v>
      </c>
      <c r="DW1285" s="15">
        <v>0.0</v>
      </c>
      <c r="DX1285" s="15">
        <v>0.0</v>
      </c>
      <c r="DY1285" s="15">
        <v>0.0</v>
      </c>
      <c r="DZ1285" s="15">
        <v>-29560.0</v>
      </c>
      <c r="EA1285" s="15">
        <v>-5020.0</v>
      </c>
      <c r="EB1285" s="15">
        <v>4150.0</v>
      </c>
      <c r="EC1285" s="15">
        <v>8860.0</v>
      </c>
      <c r="ED1285" s="15">
        <v>-1250.0</v>
      </c>
      <c r="EE1285" s="17">
        <v>0.107</v>
      </c>
      <c r="EF1285" s="17">
        <v>0.299</v>
      </c>
      <c r="EG1285" s="17">
        <v>0.027</v>
      </c>
      <c r="EH1285" s="17">
        <v>-0.094</v>
      </c>
    </row>
    <row r="1286">
      <c r="A1286" s="9">
        <f t="shared" si="2"/>
        <v>1284</v>
      </c>
      <c r="B1286" s="35" t="s">
        <v>1421</v>
      </c>
      <c r="C1286" s="11">
        <v>344530.0</v>
      </c>
      <c r="D1286" s="11">
        <v>58660.0</v>
      </c>
      <c r="E1286" s="11">
        <v>31430.0</v>
      </c>
      <c r="F1286" s="11">
        <v>21190.0</v>
      </c>
      <c r="G1286" s="11">
        <v>151860.0</v>
      </c>
      <c r="H1286" s="11">
        <v>8150.0</v>
      </c>
      <c r="I1286" s="11">
        <v>4590.0</v>
      </c>
      <c r="J1286" s="11">
        <v>15250.0</v>
      </c>
      <c r="K1286" s="11">
        <v>11120.0</v>
      </c>
      <c r="L1286" s="11">
        <v>140830.0</v>
      </c>
      <c r="M1286" s="11">
        <v>4460.0</v>
      </c>
      <c r="N1286" s="11">
        <v>1480.0</v>
      </c>
      <c r="O1286" s="11">
        <v>210440.0</v>
      </c>
      <c r="P1286" s="11">
        <v>140600.0</v>
      </c>
      <c r="Q1286" s="11">
        <v>88490.0</v>
      </c>
      <c r="R1286" s="11">
        <v>64350.0</v>
      </c>
      <c r="S1286" s="11">
        <v>51480.0</v>
      </c>
      <c r="T1286" s="11">
        <v>106880.0</v>
      </c>
      <c r="U1286" s="11">
        <v>76960.0</v>
      </c>
      <c r="V1286" s="11">
        <v>55530.0</v>
      </c>
      <c r="W1286" s="11">
        <v>42180.0</v>
      </c>
      <c r="X1286" s="11">
        <v>31340.0</v>
      </c>
      <c r="Y1286" s="11">
        <v>-324000.0</v>
      </c>
      <c r="Z1286" s="11">
        <v>-155680.0</v>
      </c>
      <c r="AA1286" s="11">
        <v>21060.0</v>
      </c>
      <c r="AB1286" s="11">
        <v>-91480.0</v>
      </c>
      <c r="AC1286" s="11">
        <v>-77370.0</v>
      </c>
      <c r="AD1286" s="11">
        <v>-359580.0</v>
      </c>
      <c r="AE1286" s="11">
        <v>-213780.0</v>
      </c>
      <c r="AF1286" s="11">
        <v>15320.0</v>
      </c>
      <c r="AG1286" s="11">
        <v>-64830.0</v>
      </c>
      <c r="AH1286" s="11">
        <v>-13760.0</v>
      </c>
      <c r="AI1286" s="11">
        <v>-180140.0</v>
      </c>
      <c r="AJ1286" s="11">
        <v>-120420.0</v>
      </c>
      <c r="AK1286" s="11">
        <v>59420.0</v>
      </c>
      <c r="AL1286" s="11">
        <v>-57010.0</v>
      </c>
      <c r="AM1286" s="11">
        <v>-47620.0</v>
      </c>
      <c r="AN1286" s="11">
        <v>-292070.0</v>
      </c>
      <c r="AO1286" s="11">
        <v>-203540.0</v>
      </c>
      <c r="AP1286" s="11">
        <v>9060.0</v>
      </c>
      <c r="AQ1286" s="11">
        <v>-60920.0</v>
      </c>
      <c r="AR1286" s="11">
        <v>-45810.0</v>
      </c>
      <c r="AS1286" s="11">
        <v>-173000.0</v>
      </c>
      <c r="AT1286" s="11">
        <v>-111770.0</v>
      </c>
      <c r="AU1286" s="11">
        <v>-99180.0</v>
      </c>
      <c r="AV1286" s="11">
        <v>-70890.0</v>
      </c>
      <c r="AW1286" s="11">
        <v>-42070.0</v>
      </c>
      <c r="AX1286" s="11">
        <v>-11440.0</v>
      </c>
      <c r="AY1286" s="11">
        <v>-21200.0</v>
      </c>
      <c r="AZ1286" s="11">
        <v>-10970.0</v>
      </c>
      <c r="BA1286" s="11">
        <v>-6860.0</v>
      </c>
      <c r="BB1286" s="11">
        <v>-3710.0</v>
      </c>
      <c r="BC1286" s="12"/>
      <c r="BD1286" s="12"/>
      <c r="BE1286" s="12"/>
      <c r="BF1286" s="12"/>
      <c r="BG1286" s="12"/>
      <c r="BH1286" s="11">
        <v>35620.0</v>
      </c>
      <c r="BI1286" s="11">
        <v>168630.0</v>
      </c>
      <c r="BJ1286" s="11">
        <v>20870.0</v>
      </c>
      <c r="BK1286" s="11">
        <v>83500.0</v>
      </c>
      <c r="BL1286" s="11">
        <v>136400.0</v>
      </c>
      <c r="BM1286" s="11">
        <v>14510.0</v>
      </c>
      <c r="BN1286" s="11">
        <v>4360.0</v>
      </c>
      <c r="BO1286" s="11">
        <v>3930.0</v>
      </c>
      <c r="BP1286" s="11">
        <v>2990.0</v>
      </c>
      <c r="BQ1286" s="11">
        <v>2620.0</v>
      </c>
      <c r="BR1286" s="11">
        <v>3360.0</v>
      </c>
      <c r="BS1286" s="12"/>
      <c r="BT1286" s="12"/>
      <c r="BU1286" s="12"/>
      <c r="BV1286" s="12"/>
      <c r="BW1286" s="11">
        <v>67590.0</v>
      </c>
      <c r="BX1286" s="11">
        <v>179560.0</v>
      </c>
      <c r="BY1286" s="11">
        <v>29700.0</v>
      </c>
      <c r="BZ1286" s="11">
        <v>89650.0</v>
      </c>
      <c r="CA1286" s="11">
        <v>141020.0</v>
      </c>
      <c r="CB1286" s="11">
        <v>76270.0</v>
      </c>
      <c r="CC1286" s="11">
        <v>24380.0</v>
      </c>
      <c r="CD1286" s="11">
        <v>19350.0</v>
      </c>
      <c r="CE1286" s="11">
        <v>12710.0</v>
      </c>
      <c r="CF1286" s="11">
        <v>7250.0</v>
      </c>
      <c r="CG1286" s="11">
        <v>38300.0</v>
      </c>
      <c r="CH1286" s="11">
        <v>38300.0</v>
      </c>
      <c r="CI1286" s="11">
        <v>38300.0</v>
      </c>
      <c r="CJ1286" s="11">
        <v>41550.0</v>
      </c>
      <c r="CK1286" s="11">
        <v>20630.0</v>
      </c>
      <c r="CL1286" s="11">
        <v>617990.0</v>
      </c>
      <c r="CM1286" s="11">
        <v>674730.0</v>
      </c>
      <c r="CN1286" s="11">
        <v>479780.0</v>
      </c>
      <c r="CO1286" s="11">
        <v>401590.0</v>
      </c>
      <c r="CP1286" s="11">
        <v>343520.0</v>
      </c>
      <c r="CQ1286" s="11">
        <v>27630.0</v>
      </c>
      <c r="CR1286" s="11">
        <v>13820.0</v>
      </c>
      <c r="CS1286" s="11">
        <v>9910.0</v>
      </c>
      <c r="CT1286" s="11">
        <v>8280.0</v>
      </c>
      <c r="CU1286" s="11">
        <v>1340.0</v>
      </c>
      <c r="CV1286" s="11">
        <v>115210.0</v>
      </c>
      <c r="CW1286" s="11">
        <v>3320.0</v>
      </c>
      <c r="CX1286" s="12"/>
      <c r="CY1286" s="12"/>
      <c r="CZ1286" s="12"/>
      <c r="DA1286" s="12"/>
      <c r="DB1286" s="11">
        <v>115210.0</v>
      </c>
      <c r="DC1286" s="11">
        <v>61620.0</v>
      </c>
      <c r="DD1286" s="11">
        <v>78960.0</v>
      </c>
      <c r="DE1286" s="11">
        <v>76090.0</v>
      </c>
      <c r="DF1286" s="11">
        <v>585230.0</v>
      </c>
      <c r="DG1286" s="11">
        <v>467230.0</v>
      </c>
      <c r="DH1286" s="11">
        <v>273170.0</v>
      </c>
      <c r="DI1286" s="11">
        <v>315080.0</v>
      </c>
      <c r="DJ1286" s="11">
        <v>202580.0</v>
      </c>
      <c r="DK1286" s="11">
        <v>307390.0</v>
      </c>
      <c r="DL1286" s="11">
        <v>309990.0</v>
      </c>
      <c r="DM1286" s="11">
        <v>270010.0</v>
      </c>
      <c r="DN1286" s="11">
        <v>189000.0</v>
      </c>
      <c r="DO1286" s="11">
        <v>170130.0</v>
      </c>
      <c r="DP1286" s="11">
        <v>251200.0</v>
      </c>
      <c r="DQ1286" s="11">
        <v>223140.0</v>
      </c>
      <c r="DR1286" s="11">
        <v>5210.0</v>
      </c>
      <c r="DS1286" s="11">
        <v>47110.0</v>
      </c>
      <c r="DT1286" s="11">
        <v>4390.0</v>
      </c>
      <c r="DU1286" s="13"/>
      <c r="DV1286" s="12"/>
      <c r="DW1286" s="12"/>
      <c r="DX1286" s="13"/>
      <c r="DY1286" s="13"/>
      <c r="DZ1286" s="11">
        <v>78590.0</v>
      </c>
      <c r="EA1286" s="11">
        <v>209470.0</v>
      </c>
      <c r="EB1286" s="11">
        <v>199570.0</v>
      </c>
      <c r="EC1286" s="11">
        <v>80040.0</v>
      </c>
      <c r="ED1286" s="11">
        <v>145150.0</v>
      </c>
      <c r="EE1286" s="14">
        <v>0.0</v>
      </c>
      <c r="EF1286" s="14">
        <v>0.0</v>
      </c>
      <c r="EG1286" s="14">
        <v>-0.545</v>
      </c>
      <c r="EH1286" s="14">
        <v>-0.397</v>
      </c>
    </row>
    <row r="1287">
      <c r="A1287" s="9">
        <f t="shared" si="2"/>
        <v>1285</v>
      </c>
      <c r="B1287" s="35" t="s">
        <v>1422</v>
      </c>
      <c r="C1287" s="11">
        <v>879460.0</v>
      </c>
      <c r="D1287" s="11">
        <v>566210.0</v>
      </c>
      <c r="E1287" s="11">
        <v>380830.0</v>
      </c>
      <c r="F1287" s="11">
        <v>301030.0</v>
      </c>
      <c r="G1287" s="11">
        <v>154580.0</v>
      </c>
      <c r="H1287" s="11">
        <v>5420.0</v>
      </c>
      <c r="I1287" s="11">
        <v>1250.0</v>
      </c>
      <c r="J1287" s="11">
        <v>323400.0</v>
      </c>
      <c r="K1287" s="11">
        <v>265980.0</v>
      </c>
      <c r="L1287" s="11">
        <v>146180.0</v>
      </c>
      <c r="M1287" s="11">
        <v>-320.0</v>
      </c>
      <c r="N1287" s="12"/>
      <c r="O1287" s="11">
        <v>845520.0</v>
      </c>
      <c r="P1287" s="11">
        <v>607930.0</v>
      </c>
      <c r="Q1287" s="11">
        <v>282830.0</v>
      </c>
      <c r="R1287" s="11">
        <v>261850.0</v>
      </c>
      <c r="S1287" s="11">
        <v>207010.0</v>
      </c>
      <c r="T1287" s="11">
        <v>560710.0</v>
      </c>
      <c r="U1287" s="11">
        <v>397940.0</v>
      </c>
      <c r="V1287" s="11">
        <v>166520.0</v>
      </c>
      <c r="W1287" s="11">
        <v>186260.0</v>
      </c>
      <c r="X1287" s="11">
        <v>146390.0</v>
      </c>
      <c r="Y1287" s="11">
        <v>-705560.0</v>
      </c>
      <c r="Z1287" s="11">
        <v>-345950.0</v>
      </c>
      <c r="AA1287" s="11">
        <v>-46640.0</v>
      </c>
      <c r="AB1287" s="11">
        <v>-266730.0</v>
      </c>
      <c r="AC1287" s="11">
        <v>-220180.0</v>
      </c>
      <c r="AD1287" s="11">
        <v>-713880.0</v>
      </c>
      <c r="AE1287" s="11">
        <v>-362610.0</v>
      </c>
      <c r="AF1287" s="11">
        <v>-48630.0</v>
      </c>
      <c r="AG1287" s="11">
        <v>-267270.0</v>
      </c>
      <c r="AH1287" s="11">
        <v>-220030.0</v>
      </c>
      <c r="AI1287" s="11">
        <v>-491580.0</v>
      </c>
      <c r="AJ1287" s="11">
        <v>-329710.0</v>
      </c>
      <c r="AK1287" s="11">
        <v>-128560.0</v>
      </c>
      <c r="AL1287" s="11">
        <v>-256560.0</v>
      </c>
      <c r="AM1287" s="11">
        <v>-205760.0</v>
      </c>
      <c r="AN1287" s="11">
        <v>-715080.0</v>
      </c>
      <c r="AO1287" s="11">
        <v>-361920.0</v>
      </c>
      <c r="AP1287" s="11">
        <v>-50690.0</v>
      </c>
      <c r="AQ1287" s="11">
        <v>-267270.0</v>
      </c>
      <c r="AR1287" s="11">
        <v>-220030.0</v>
      </c>
      <c r="AS1287" s="11">
        <v>-460800.0</v>
      </c>
      <c r="AT1287" s="11">
        <v>-388660.0</v>
      </c>
      <c r="AU1287" s="11">
        <v>-232000.0</v>
      </c>
      <c r="AV1287" s="11">
        <v>-245820.0</v>
      </c>
      <c r="AW1287" s="11">
        <v>-149470.0</v>
      </c>
      <c r="AX1287" s="11">
        <v>-62710.0</v>
      </c>
      <c r="AY1287" s="11">
        <v>-64350.0</v>
      </c>
      <c r="AZ1287" s="11">
        <v>-21220.0</v>
      </c>
      <c r="BA1287" s="11">
        <v>-6870.0</v>
      </c>
      <c r="BB1287" s="11">
        <v>-4830.0</v>
      </c>
      <c r="BC1287" s="12"/>
      <c r="BD1287" s="12"/>
      <c r="BE1287" s="12"/>
      <c r="BF1287" s="12"/>
      <c r="BG1287" s="12"/>
      <c r="BH1287" s="11">
        <v>1120000.0</v>
      </c>
      <c r="BI1287" s="11">
        <v>1170000.0</v>
      </c>
      <c r="BJ1287" s="11">
        <v>1080000.0</v>
      </c>
      <c r="BK1287" s="11">
        <v>328540.0</v>
      </c>
      <c r="BL1287" s="11">
        <v>203190.0</v>
      </c>
      <c r="BM1287" s="11">
        <v>93940.0</v>
      </c>
      <c r="BN1287" s="11">
        <v>64440.0</v>
      </c>
      <c r="BO1287" s="11">
        <v>29470.0</v>
      </c>
      <c r="BP1287" s="11">
        <v>5230.0</v>
      </c>
      <c r="BQ1287" s="11">
        <v>3980.0</v>
      </c>
      <c r="BR1287" s="11">
        <v>171380.0</v>
      </c>
      <c r="BS1287" s="11">
        <v>125450.0</v>
      </c>
      <c r="BT1287" s="11">
        <v>83610.0</v>
      </c>
      <c r="BU1287" s="11">
        <v>12810.0</v>
      </c>
      <c r="BV1287" s="12"/>
      <c r="BW1287" s="11">
        <v>1470000.0</v>
      </c>
      <c r="BX1287" s="11">
        <v>1430000.0</v>
      </c>
      <c r="BY1287" s="11">
        <v>1230000.0</v>
      </c>
      <c r="BZ1287" s="11">
        <v>373480.0</v>
      </c>
      <c r="CA1287" s="11">
        <v>224540.0</v>
      </c>
      <c r="CB1287" s="11">
        <v>167550.0</v>
      </c>
      <c r="CC1287" s="11">
        <v>97020.0</v>
      </c>
      <c r="CD1287" s="11">
        <v>43160.0</v>
      </c>
      <c r="CE1287" s="11">
        <v>37800.0</v>
      </c>
      <c r="CF1287" s="11">
        <v>37340.0</v>
      </c>
      <c r="CG1287" s="12"/>
      <c r="CH1287" s="12"/>
      <c r="CI1287" s="12"/>
      <c r="CJ1287" s="12"/>
      <c r="CK1287" s="12"/>
      <c r="CL1287" s="11">
        <v>1820000.0</v>
      </c>
      <c r="CM1287" s="11">
        <v>1640000.0</v>
      </c>
      <c r="CN1287" s="11">
        <v>1310000.0</v>
      </c>
      <c r="CO1287" s="11">
        <v>424100.0</v>
      </c>
      <c r="CP1287" s="11">
        <v>273780.0</v>
      </c>
      <c r="CQ1287" s="11">
        <v>68090.0</v>
      </c>
      <c r="CR1287" s="11">
        <v>33830.0</v>
      </c>
      <c r="CS1287" s="11">
        <v>8470.0</v>
      </c>
      <c r="CT1287" s="11">
        <v>29690.0</v>
      </c>
      <c r="CU1287" s="11">
        <v>20230.0</v>
      </c>
      <c r="CV1287" s="11">
        <v>264770.0</v>
      </c>
      <c r="CW1287" s="11">
        <v>7850.0</v>
      </c>
      <c r="CX1287" s="12"/>
      <c r="CY1287" s="12"/>
      <c r="CZ1287" s="12"/>
      <c r="DA1287" s="12"/>
      <c r="DB1287" s="11">
        <v>264770.0</v>
      </c>
      <c r="DC1287" s="11">
        <v>173690.0</v>
      </c>
      <c r="DD1287" s="11">
        <v>88330.0</v>
      </c>
      <c r="DE1287" s="11">
        <v>75420.0</v>
      </c>
      <c r="DF1287" s="11">
        <v>1000000.0</v>
      </c>
      <c r="DG1287" s="11">
        <v>609800.0</v>
      </c>
      <c r="DH1287" s="11">
        <v>518750.0</v>
      </c>
      <c r="DI1287" s="11">
        <v>87410.0</v>
      </c>
      <c r="DJ1287" s="11">
        <v>83440.0</v>
      </c>
      <c r="DK1287" s="11">
        <v>41500.0</v>
      </c>
      <c r="DL1287" s="11">
        <v>32740.0</v>
      </c>
      <c r="DM1287" s="11">
        <v>10760.0</v>
      </c>
      <c r="DN1287" s="11">
        <v>784.0</v>
      </c>
      <c r="DO1287" s="24">
        <v>783.0</v>
      </c>
      <c r="DP1287" s="11">
        <v>729620.0</v>
      </c>
      <c r="DQ1287" s="11">
        <v>420550.0</v>
      </c>
      <c r="DR1287" s="11">
        <v>424880.0</v>
      </c>
      <c r="DS1287" s="11">
        <v>6040.0</v>
      </c>
      <c r="DT1287" s="11">
        <v>14970.0</v>
      </c>
      <c r="DU1287" s="13"/>
      <c r="DV1287" s="12"/>
      <c r="DW1287" s="12"/>
      <c r="DX1287" s="13"/>
      <c r="DY1287" s="13"/>
      <c r="DZ1287" s="11">
        <v>818190.0</v>
      </c>
      <c r="EA1287" s="11">
        <v>1030000.0</v>
      </c>
      <c r="EB1287" s="11">
        <v>789220.0</v>
      </c>
      <c r="EC1287" s="11">
        <v>336690.0</v>
      </c>
      <c r="ED1287" s="11">
        <v>190350.0</v>
      </c>
      <c r="EE1287" s="14">
        <v>1.28</v>
      </c>
      <c r="EF1287" s="14">
        <v>2.148</v>
      </c>
      <c r="EG1287" s="14">
        <v>-0.097</v>
      </c>
      <c r="EH1287" s="14">
        <v>-0.044</v>
      </c>
    </row>
    <row r="1288">
      <c r="A1288" s="9">
        <f t="shared" si="2"/>
        <v>1286</v>
      </c>
      <c r="B1288" s="22" t="s">
        <v>1423</v>
      </c>
      <c r="C1288" s="12"/>
      <c r="D1288" s="12"/>
      <c r="E1288" s="12"/>
      <c r="F1288" s="12"/>
      <c r="G1288" s="12"/>
      <c r="H1288" s="12"/>
      <c r="I1288" s="12"/>
      <c r="J1288" s="11">
        <v>-83.0</v>
      </c>
      <c r="K1288" s="11">
        <v>-111.0</v>
      </c>
      <c r="L1288" s="11">
        <v>-258.0</v>
      </c>
      <c r="M1288" s="11">
        <v>-197.0</v>
      </c>
      <c r="N1288" s="11">
        <v>-111.0</v>
      </c>
      <c r="O1288" s="11">
        <v>66910.0</v>
      </c>
      <c r="P1288" s="11">
        <v>55210.0</v>
      </c>
      <c r="Q1288" s="11">
        <v>42290.0</v>
      </c>
      <c r="R1288" s="11">
        <v>45160.0</v>
      </c>
      <c r="S1288" s="11">
        <v>35720.0</v>
      </c>
      <c r="T1288" s="11">
        <v>53250.0</v>
      </c>
      <c r="U1288" s="11">
        <v>40980.0</v>
      </c>
      <c r="V1288" s="11">
        <v>30090.0</v>
      </c>
      <c r="W1288" s="11">
        <v>31650.0</v>
      </c>
      <c r="X1288" s="11">
        <v>26360.0</v>
      </c>
      <c r="Y1288" s="11">
        <v>-87920.0</v>
      </c>
      <c r="Z1288" s="11">
        <v>-55420.0</v>
      </c>
      <c r="AA1288" s="11">
        <v>-42620.0</v>
      </c>
      <c r="AB1288" s="11">
        <v>-48080.0</v>
      </c>
      <c r="AC1288" s="11">
        <v>-53280.0</v>
      </c>
      <c r="AD1288" s="11">
        <v>-88440.0</v>
      </c>
      <c r="AE1288" s="11">
        <v>-53640.0</v>
      </c>
      <c r="AF1288" s="11">
        <v>-41860.0</v>
      </c>
      <c r="AG1288" s="11">
        <v>-47720.0</v>
      </c>
      <c r="AH1288" s="11">
        <v>-53210.0</v>
      </c>
      <c r="AI1288" s="11">
        <v>-66910.0</v>
      </c>
      <c r="AJ1288" s="11">
        <v>-55210.0</v>
      </c>
      <c r="AK1288" s="11">
        <v>-42290.0</v>
      </c>
      <c r="AL1288" s="11">
        <v>-45160.0</v>
      </c>
      <c r="AM1288" s="11">
        <v>-35720.0</v>
      </c>
      <c r="AN1288" s="11">
        <v>-88280.0</v>
      </c>
      <c r="AO1288" s="11">
        <v>-53340.0</v>
      </c>
      <c r="AP1288" s="11">
        <v>-42020.0</v>
      </c>
      <c r="AQ1288" s="11">
        <v>-47870.0</v>
      </c>
      <c r="AR1288" s="11">
        <v>-53260.0</v>
      </c>
      <c r="AS1288" s="11">
        <v>-51180.0</v>
      </c>
      <c r="AT1288" s="11">
        <v>-45120.0</v>
      </c>
      <c r="AU1288" s="11">
        <v>-36160.0</v>
      </c>
      <c r="AV1288" s="11">
        <v>-41160.0</v>
      </c>
      <c r="AW1288" s="11">
        <v>-28270.0</v>
      </c>
      <c r="AX1288" s="11">
        <v>-39.0</v>
      </c>
      <c r="AY1288" s="11">
        <v>-118.0</v>
      </c>
      <c r="AZ1288" s="11">
        <v>-93.0</v>
      </c>
      <c r="BA1288" s="11">
        <v>-214.0</v>
      </c>
      <c r="BB1288" s="11">
        <v>-414.0</v>
      </c>
      <c r="BC1288" s="12"/>
      <c r="BD1288" s="12"/>
      <c r="BE1288" s="12"/>
      <c r="BF1288" s="12"/>
      <c r="BG1288" s="11">
        <v>-5540.0</v>
      </c>
      <c r="BH1288" s="11">
        <v>147530.0</v>
      </c>
      <c r="BI1288" s="11">
        <v>106050.0</v>
      </c>
      <c r="BJ1288" s="11">
        <v>100350.0</v>
      </c>
      <c r="BK1288" s="11">
        <v>109010.0</v>
      </c>
      <c r="BL1288" s="11">
        <v>150210.0</v>
      </c>
      <c r="BM1288" s="11">
        <v>197.0</v>
      </c>
      <c r="BN1288" s="11">
        <v>914.0</v>
      </c>
      <c r="BO1288" s="11">
        <v>103.0</v>
      </c>
      <c r="BP1288" s="11">
        <v>70.0</v>
      </c>
      <c r="BQ1288" s="12"/>
      <c r="BR1288" s="12"/>
      <c r="BS1288" s="12"/>
      <c r="BT1288" s="12"/>
      <c r="BU1288" s="12"/>
      <c r="BV1288" s="12"/>
      <c r="BW1288" s="11">
        <v>149900.0</v>
      </c>
      <c r="BX1288" s="11">
        <v>108750.0</v>
      </c>
      <c r="BY1288" s="11">
        <v>101730.0</v>
      </c>
      <c r="BZ1288" s="11">
        <v>110350.0</v>
      </c>
      <c r="CA1288" s="11">
        <v>151850.0</v>
      </c>
      <c r="CB1288" s="11">
        <v>702.0</v>
      </c>
      <c r="CC1288" s="11">
        <v>168.0</v>
      </c>
      <c r="CD1288" s="11">
        <v>154.0</v>
      </c>
      <c r="CE1288" s="11">
        <v>400.0</v>
      </c>
      <c r="CF1288" s="11">
        <v>566.0</v>
      </c>
      <c r="CG1288" s="12"/>
      <c r="CH1288" s="12"/>
      <c r="CI1288" s="12"/>
      <c r="CJ1288" s="12"/>
      <c r="CK1288" s="12"/>
      <c r="CL1288" s="11">
        <v>151330.0</v>
      </c>
      <c r="CM1288" s="11">
        <v>109470.0</v>
      </c>
      <c r="CN1288" s="11">
        <v>102200.0</v>
      </c>
      <c r="CO1288" s="11">
        <v>110970.0</v>
      </c>
      <c r="CP1288" s="11">
        <v>152770.0</v>
      </c>
      <c r="CQ1288" s="11">
        <v>1020.0</v>
      </c>
      <c r="CR1288" s="12"/>
      <c r="CS1288" s="12"/>
      <c r="CT1288" s="12"/>
      <c r="CU1288" s="12"/>
      <c r="CV1288" s="11">
        <v>64610.0</v>
      </c>
      <c r="CW1288" s="11">
        <v>187.0</v>
      </c>
      <c r="CX1288" s="12"/>
      <c r="CY1288" s="12"/>
      <c r="CZ1288" s="12"/>
      <c r="DA1288" s="12"/>
      <c r="DB1288" s="11">
        <v>64610.0</v>
      </c>
      <c r="DC1288" s="11">
        <v>10100.0</v>
      </c>
      <c r="DD1288" s="11">
        <v>7470.0</v>
      </c>
      <c r="DE1288" s="11">
        <v>7730.0</v>
      </c>
      <c r="DF1288" s="11">
        <v>64980.0</v>
      </c>
      <c r="DG1288" s="11">
        <v>14990.0</v>
      </c>
      <c r="DH1288" s="11">
        <v>7470.0</v>
      </c>
      <c r="DI1288" s="11">
        <v>7730.0</v>
      </c>
      <c r="DJ1288" s="11">
        <v>7400.0</v>
      </c>
      <c r="DK1288" s="11">
        <v>300.0</v>
      </c>
      <c r="DL1288" s="11">
        <v>300.0</v>
      </c>
      <c r="DM1288" s="11">
        <v>200.0</v>
      </c>
      <c r="DN1288" s="11">
        <v>200.0</v>
      </c>
      <c r="DO1288" s="24">
        <v>200.0</v>
      </c>
      <c r="DP1288" s="11">
        <v>374.0</v>
      </c>
      <c r="DQ1288" s="11">
        <v>4890.0</v>
      </c>
      <c r="DR1288" s="12"/>
      <c r="DS1288" s="12"/>
      <c r="DT1288" s="12"/>
      <c r="DU1288" s="24">
        <v>1.0</v>
      </c>
      <c r="DV1288" s="12"/>
      <c r="DW1288" s="12"/>
      <c r="DX1288" s="13"/>
      <c r="DY1288" s="13"/>
      <c r="DZ1288" s="11">
        <v>86350.0</v>
      </c>
      <c r="EA1288" s="11">
        <v>94480.0</v>
      </c>
      <c r="EB1288" s="11">
        <v>94730.0</v>
      </c>
      <c r="EC1288" s="11">
        <v>103250.0</v>
      </c>
      <c r="ED1288" s="11">
        <v>145370.0</v>
      </c>
      <c r="EE1288" s="23"/>
      <c r="EF1288" s="23"/>
      <c r="EG1288" s="14">
        <v>0.031</v>
      </c>
      <c r="EH1288" s="14">
        <v>-0.355</v>
      </c>
    </row>
    <row r="1289">
      <c r="A1289" s="9">
        <f t="shared" si="2"/>
        <v>1287</v>
      </c>
      <c r="B1289" s="22" t="s">
        <v>1424</v>
      </c>
      <c r="C1289" s="11">
        <v>28980.0</v>
      </c>
      <c r="D1289" s="11">
        <v>23670.0</v>
      </c>
      <c r="E1289" s="11">
        <v>20490.0</v>
      </c>
      <c r="F1289" s="12"/>
      <c r="G1289" s="12"/>
      <c r="H1289" s="11">
        <v>379.0</v>
      </c>
      <c r="I1289" s="12"/>
      <c r="J1289" s="12"/>
      <c r="K1289" s="11">
        <v>-807.0</v>
      </c>
      <c r="L1289" s="11">
        <v>-669.0</v>
      </c>
      <c r="M1289" s="12"/>
      <c r="N1289" s="12"/>
      <c r="O1289" s="11">
        <v>72730.0</v>
      </c>
      <c r="P1289" s="11">
        <v>49890.0</v>
      </c>
      <c r="Q1289" s="11">
        <v>24360.0</v>
      </c>
      <c r="R1289" s="11">
        <v>16010.0</v>
      </c>
      <c r="S1289" s="12"/>
      <c r="T1289" s="11">
        <v>54220.0</v>
      </c>
      <c r="U1289" s="11">
        <v>36310.0</v>
      </c>
      <c r="V1289" s="11">
        <v>19940.0</v>
      </c>
      <c r="W1289" s="11">
        <v>12480.0</v>
      </c>
      <c r="X1289" s="12"/>
      <c r="Y1289" s="12"/>
      <c r="Z1289" s="11">
        <v>-50750.0</v>
      </c>
      <c r="AA1289" s="11">
        <v>-25040.0</v>
      </c>
      <c r="AB1289" s="12"/>
      <c r="AC1289" s="12"/>
      <c r="AD1289" s="11">
        <v>-51000.0</v>
      </c>
      <c r="AE1289" s="11">
        <v>-49330.0</v>
      </c>
      <c r="AF1289" s="11">
        <v>-25000.0</v>
      </c>
      <c r="AG1289" s="11">
        <v>-16210.0</v>
      </c>
      <c r="AH1289" s="12"/>
      <c r="AI1289" s="11">
        <v>-52240.0</v>
      </c>
      <c r="AJ1289" s="11">
        <v>-49890.0</v>
      </c>
      <c r="AK1289" s="11">
        <v>-24360.0</v>
      </c>
      <c r="AL1289" s="11">
        <v>-15640.0</v>
      </c>
      <c r="AM1289" s="12"/>
      <c r="AN1289" s="11">
        <v>-51000.0</v>
      </c>
      <c r="AO1289" s="11">
        <v>-49330.0</v>
      </c>
      <c r="AP1289" s="11">
        <v>-25000.0</v>
      </c>
      <c r="AQ1289" s="11">
        <v>-16210.0</v>
      </c>
      <c r="AR1289" s="12"/>
      <c r="AS1289" s="11">
        <v>-62230.0</v>
      </c>
      <c r="AT1289" s="11">
        <v>24570.0</v>
      </c>
      <c r="AU1289" s="11">
        <v>-21740.0</v>
      </c>
      <c r="AV1289" s="11">
        <v>-15140.0</v>
      </c>
      <c r="AW1289" s="12"/>
      <c r="AX1289" s="11">
        <v>-3120.0</v>
      </c>
      <c r="AY1289" s="11">
        <v>-1490.0</v>
      </c>
      <c r="AZ1289" s="11">
        <v>-361.0</v>
      </c>
      <c r="BA1289" s="11">
        <v>-794.0</v>
      </c>
      <c r="BB1289" s="12"/>
      <c r="BC1289" s="12"/>
      <c r="BD1289" s="12"/>
      <c r="BE1289" s="12"/>
      <c r="BF1289" s="12"/>
      <c r="BG1289" s="12"/>
      <c r="BH1289" s="11">
        <v>157450.0</v>
      </c>
      <c r="BI1289" s="11">
        <v>175650.0</v>
      </c>
      <c r="BJ1289" s="11">
        <v>57960.0</v>
      </c>
      <c r="BK1289" s="11">
        <v>28040.0</v>
      </c>
      <c r="BL1289" s="12"/>
      <c r="BM1289" s="11">
        <v>25000.0</v>
      </c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1">
        <v>185170.0</v>
      </c>
      <c r="BX1289" s="11">
        <v>177940.0</v>
      </c>
      <c r="BY1289" s="11">
        <v>59200.0</v>
      </c>
      <c r="BZ1289" s="11">
        <v>28500.0</v>
      </c>
      <c r="CA1289" s="12"/>
      <c r="CB1289" s="11">
        <v>8620.0</v>
      </c>
      <c r="CC1289" s="11">
        <v>3190.0</v>
      </c>
      <c r="CD1289" s="11">
        <v>2180.0</v>
      </c>
      <c r="CE1289" s="11">
        <v>2430.0</v>
      </c>
      <c r="CF1289" s="12"/>
      <c r="CG1289" s="12"/>
      <c r="CH1289" s="12"/>
      <c r="CI1289" s="12"/>
      <c r="CJ1289" s="12"/>
      <c r="CK1289" s="12"/>
      <c r="CL1289" s="11">
        <v>196380.0</v>
      </c>
      <c r="CM1289" s="11">
        <v>181340.0</v>
      </c>
      <c r="CN1289" s="11">
        <v>61640.0</v>
      </c>
      <c r="CO1289" s="11">
        <v>32780.0</v>
      </c>
      <c r="CP1289" s="12"/>
      <c r="CQ1289" s="11">
        <v>1130.0</v>
      </c>
      <c r="CR1289" s="11">
        <v>3300.0</v>
      </c>
      <c r="CS1289" s="11">
        <v>1360.0</v>
      </c>
      <c r="CT1289" s="11">
        <v>663.0</v>
      </c>
      <c r="CU1289" s="12"/>
      <c r="CV1289" s="11">
        <v>32810.0</v>
      </c>
      <c r="CW1289" s="11">
        <v>1140.0</v>
      </c>
      <c r="CX1289" s="12"/>
      <c r="CY1289" s="12"/>
      <c r="CZ1289" s="12"/>
      <c r="DA1289" s="12"/>
      <c r="DB1289" s="11">
        <v>32810.0</v>
      </c>
      <c r="DC1289" s="11">
        <v>31120.0</v>
      </c>
      <c r="DD1289" s="11">
        <v>5020.0</v>
      </c>
      <c r="DE1289" s="11">
        <v>3010.0</v>
      </c>
      <c r="DF1289" s="11">
        <v>83480.0</v>
      </c>
      <c r="DG1289" s="11">
        <v>74710.0</v>
      </c>
      <c r="DH1289" s="11">
        <v>5930.0</v>
      </c>
      <c r="DI1289" s="11">
        <v>4750.0</v>
      </c>
      <c r="DJ1289" s="12"/>
      <c r="DK1289" s="11">
        <v>2500.0</v>
      </c>
      <c r="DL1289" s="11">
        <v>205.0</v>
      </c>
      <c r="DM1289" s="11">
        <v>205.0</v>
      </c>
      <c r="DN1289" s="11">
        <v>1700.0</v>
      </c>
      <c r="DO1289" s="12"/>
      <c r="DP1289" s="11">
        <v>4170.0</v>
      </c>
      <c r="DQ1289" s="11">
        <v>24.0</v>
      </c>
      <c r="DR1289" s="11">
        <v>398.0</v>
      </c>
      <c r="DS1289" s="11">
        <v>1020.0</v>
      </c>
      <c r="DT1289" s="12"/>
      <c r="DU1289" s="13"/>
      <c r="DV1289" s="12"/>
      <c r="DW1289" s="11">
        <v>109230.0</v>
      </c>
      <c r="DX1289" s="11">
        <v>58060.0</v>
      </c>
      <c r="DY1289" s="13"/>
      <c r="DZ1289" s="11">
        <v>112900.0</v>
      </c>
      <c r="EA1289" s="11">
        <v>106620.0</v>
      </c>
      <c r="EB1289" s="11">
        <v>55710.0</v>
      </c>
      <c r="EC1289" s="11">
        <v>28030.0</v>
      </c>
      <c r="ED1289" s="12"/>
      <c r="EE1289" s="14">
        <v>0.393</v>
      </c>
      <c r="EF1289" s="14">
        <v>0.624</v>
      </c>
      <c r="EG1289" s="14">
        <v>-0.204</v>
      </c>
      <c r="EH1289" s="14">
        <v>-7.143</v>
      </c>
    </row>
    <row r="1290">
      <c r="A1290" s="9">
        <f t="shared" si="2"/>
        <v>1288</v>
      </c>
      <c r="B1290" s="10" t="s">
        <v>1425</v>
      </c>
      <c r="C1290" s="12">
        <v>1240000.0</v>
      </c>
      <c r="D1290" s="12">
        <v>1180000.0</v>
      </c>
      <c r="E1290" s="11">
        <v>1140000.0</v>
      </c>
      <c r="F1290" s="11">
        <v>1080000.0</v>
      </c>
      <c r="G1290" s="11">
        <v>977030.0</v>
      </c>
      <c r="H1290" s="11">
        <v>860660.0</v>
      </c>
      <c r="I1290" s="11">
        <v>794060.0</v>
      </c>
      <c r="J1290" s="11">
        <v>491260.0</v>
      </c>
      <c r="K1290" s="11">
        <v>480520.0</v>
      </c>
      <c r="L1290" s="11">
        <v>446260.0</v>
      </c>
      <c r="M1290" s="11">
        <v>412450.0</v>
      </c>
      <c r="N1290" s="11">
        <v>358920.0</v>
      </c>
      <c r="O1290" s="11">
        <v>316030.0</v>
      </c>
      <c r="P1290" s="11">
        <v>312080.0</v>
      </c>
      <c r="Q1290" s="11">
        <v>307260.0</v>
      </c>
      <c r="R1290" s="11">
        <v>272810.0</v>
      </c>
      <c r="S1290" s="11">
        <v>241480.0</v>
      </c>
      <c r="T1290" s="11">
        <v>47060.0</v>
      </c>
      <c r="U1290" s="11">
        <v>43060.0</v>
      </c>
      <c r="V1290" s="11">
        <v>47620.0</v>
      </c>
      <c r="W1290" s="11">
        <v>46250.0</v>
      </c>
      <c r="X1290" s="11">
        <v>40300.0</v>
      </c>
      <c r="Y1290" s="12"/>
      <c r="Z1290" s="11">
        <v>161750.0</v>
      </c>
      <c r="AA1290" s="12"/>
      <c r="AB1290" s="11">
        <v>138700.0</v>
      </c>
      <c r="AC1290" s="11">
        <v>108630.0</v>
      </c>
      <c r="AD1290" s="11">
        <v>178360.0</v>
      </c>
      <c r="AE1290" s="11">
        <v>172130.0</v>
      </c>
      <c r="AF1290" s="11">
        <v>144420.0</v>
      </c>
      <c r="AG1290" s="11">
        <v>138900.0</v>
      </c>
      <c r="AH1290" s="11">
        <v>108680.0</v>
      </c>
      <c r="AI1290" s="11">
        <v>213630.0</v>
      </c>
      <c r="AJ1290" s="11">
        <v>207830.0</v>
      </c>
      <c r="AK1290" s="11">
        <v>172730.0</v>
      </c>
      <c r="AL1290" s="11">
        <v>167570.0</v>
      </c>
      <c r="AM1290" s="11">
        <v>144260.0</v>
      </c>
      <c r="AN1290" s="11">
        <v>133980.0</v>
      </c>
      <c r="AO1290" s="11">
        <v>126630.0</v>
      </c>
      <c r="AP1290" s="11">
        <v>92620.0</v>
      </c>
      <c r="AQ1290" s="11">
        <v>89730.0</v>
      </c>
      <c r="AR1290" s="11">
        <v>67890.0</v>
      </c>
      <c r="AS1290" s="11">
        <v>205660.0</v>
      </c>
      <c r="AT1290" s="11">
        <v>160080.0</v>
      </c>
      <c r="AU1290" s="11">
        <v>119070.0</v>
      </c>
      <c r="AV1290" s="11">
        <v>93820.0</v>
      </c>
      <c r="AW1290" s="11">
        <v>114210.0</v>
      </c>
      <c r="AX1290" s="11">
        <v>-37530.0</v>
      </c>
      <c r="AY1290" s="11">
        <v>-29310.0</v>
      </c>
      <c r="AZ1290" s="11">
        <v>-58040.0</v>
      </c>
      <c r="BA1290" s="11">
        <v>-42000.0</v>
      </c>
      <c r="BB1290" s="11">
        <v>-34190.0</v>
      </c>
      <c r="BC1290" s="24">
        <v>-40200.0</v>
      </c>
      <c r="BD1290" s="24">
        <v>-39890.0</v>
      </c>
      <c r="BE1290" s="24">
        <v>-36980.0</v>
      </c>
      <c r="BF1290" s="24">
        <v>-32710.0</v>
      </c>
      <c r="BG1290" s="24">
        <v>-29350.0</v>
      </c>
      <c r="BH1290" s="11">
        <v>230210.0</v>
      </c>
      <c r="BI1290" s="11">
        <v>160180.0</v>
      </c>
      <c r="BJ1290" s="11">
        <v>168510.0</v>
      </c>
      <c r="BK1290" s="11">
        <v>226540.0</v>
      </c>
      <c r="BL1290" s="11">
        <v>258830.0</v>
      </c>
      <c r="BM1290" s="11">
        <v>139360.0</v>
      </c>
      <c r="BN1290" s="11">
        <v>146050.0</v>
      </c>
      <c r="BO1290" s="11">
        <v>135960.0</v>
      </c>
      <c r="BP1290" s="11">
        <v>112420.0</v>
      </c>
      <c r="BQ1290" s="11">
        <v>106010.0</v>
      </c>
      <c r="BR1290" s="11">
        <v>251910.0</v>
      </c>
      <c r="BS1290" s="11">
        <v>276090.0</v>
      </c>
      <c r="BT1290" s="11">
        <v>253000.0</v>
      </c>
      <c r="BU1290" s="11">
        <v>232270.0</v>
      </c>
      <c r="BV1290" s="11">
        <v>195760.0</v>
      </c>
      <c r="BW1290" s="11">
        <v>640910.0</v>
      </c>
      <c r="BX1290" s="11">
        <v>599530.0</v>
      </c>
      <c r="BY1290" s="11">
        <v>583940.0</v>
      </c>
      <c r="BZ1290" s="11">
        <v>585250.0</v>
      </c>
      <c r="CA1290" s="11">
        <v>589270.0</v>
      </c>
      <c r="CB1290" s="11">
        <v>284450.0</v>
      </c>
      <c r="CC1290" s="11">
        <v>254600.0</v>
      </c>
      <c r="CD1290" s="11">
        <v>273020.0</v>
      </c>
      <c r="CE1290" s="11">
        <v>232810.0</v>
      </c>
      <c r="CF1290" s="11">
        <v>213720.0</v>
      </c>
      <c r="CG1290" s="11">
        <v>131880.0</v>
      </c>
      <c r="CH1290" s="11">
        <v>130250.0</v>
      </c>
      <c r="CI1290" s="11">
        <v>137140.0</v>
      </c>
      <c r="CJ1290" s="11">
        <v>124480.0</v>
      </c>
      <c r="CK1290" s="11">
        <v>123950.0</v>
      </c>
      <c r="CL1290" s="11">
        <v>1100000.0</v>
      </c>
      <c r="CM1290" s="11">
        <v>1020000.0</v>
      </c>
      <c r="CN1290" s="11">
        <v>1040000.0</v>
      </c>
      <c r="CO1290" s="11">
        <v>979970.0</v>
      </c>
      <c r="CP1290" s="11">
        <v>961310.0</v>
      </c>
      <c r="CQ1290" s="11">
        <v>33350.0</v>
      </c>
      <c r="CR1290" s="11">
        <v>34360.0</v>
      </c>
      <c r="CS1290" s="11">
        <v>31540.0</v>
      </c>
      <c r="CT1290" s="11">
        <v>27670.0</v>
      </c>
      <c r="CU1290" s="11">
        <v>21310.0</v>
      </c>
      <c r="CV1290" s="11">
        <v>158910.0</v>
      </c>
      <c r="CW1290" s="11">
        <v>7390.0</v>
      </c>
      <c r="CX1290" s="13"/>
      <c r="CY1290" s="13"/>
      <c r="CZ1290" s="13"/>
      <c r="DA1290" s="12"/>
      <c r="DB1290" s="11">
        <v>158910.0</v>
      </c>
      <c r="DC1290" s="11">
        <v>151580.0</v>
      </c>
      <c r="DD1290" s="11">
        <v>136490.0</v>
      </c>
      <c r="DE1290" s="11">
        <v>108800.0</v>
      </c>
      <c r="DF1290" s="11">
        <v>203410.0</v>
      </c>
      <c r="DG1290" s="11">
        <v>166150.0</v>
      </c>
      <c r="DH1290" s="11">
        <v>152750.0</v>
      </c>
      <c r="DI1290" s="11">
        <v>114130.0</v>
      </c>
      <c r="DJ1290" s="11">
        <v>111490.0</v>
      </c>
      <c r="DK1290" s="11">
        <v>2480.0</v>
      </c>
      <c r="DL1290" s="11">
        <v>2490.0</v>
      </c>
      <c r="DM1290" s="11">
        <v>2550.0</v>
      </c>
      <c r="DN1290" s="11">
        <v>2500.0</v>
      </c>
      <c r="DO1290" s="13"/>
      <c r="DP1290" s="11">
        <v>28320.0</v>
      </c>
      <c r="DQ1290" s="11">
        <v>1600.0</v>
      </c>
      <c r="DR1290" s="11">
        <v>2610.0</v>
      </c>
      <c r="DS1290" s="12"/>
      <c r="DT1290" s="12"/>
      <c r="DU1290" s="13"/>
      <c r="DV1290" s="12"/>
      <c r="DW1290" s="12"/>
      <c r="DX1290" s="13"/>
      <c r="DY1290" s="13"/>
      <c r="DZ1290" s="11">
        <v>891960.0</v>
      </c>
      <c r="EA1290" s="11">
        <v>855510.0</v>
      </c>
      <c r="EB1290" s="11">
        <v>884780.0</v>
      </c>
      <c r="EC1290" s="11">
        <v>865840.0</v>
      </c>
      <c r="ED1290" s="11">
        <v>849820.0</v>
      </c>
      <c r="EE1290" s="23">
        <v>0.0</v>
      </c>
      <c r="EF1290" s="23">
        <v>0.040322581</v>
      </c>
      <c r="EG1290" s="14">
        <v>1.218</v>
      </c>
      <c r="EH1290" s="23">
        <v>0.435</v>
      </c>
    </row>
    <row r="1291">
      <c r="A1291" s="9">
        <f t="shared" si="2"/>
        <v>1289</v>
      </c>
      <c r="B1291" s="10" t="s">
        <v>1426</v>
      </c>
      <c r="C1291" s="12"/>
      <c r="D1291" s="12"/>
      <c r="E1291" s="15">
        <v>2.237E7</v>
      </c>
      <c r="F1291" s="15">
        <v>2.023E7</v>
      </c>
      <c r="G1291" s="15">
        <v>1.846E7</v>
      </c>
      <c r="H1291" s="15">
        <v>1.844E7</v>
      </c>
      <c r="I1291" s="15">
        <v>1.742E7</v>
      </c>
      <c r="J1291" s="15">
        <v>7990000.0</v>
      </c>
      <c r="K1291" s="15">
        <v>7670000.0</v>
      </c>
      <c r="L1291" s="15">
        <v>7610000.0</v>
      </c>
      <c r="M1291" s="15">
        <v>7660000.0</v>
      </c>
      <c r="N1291" s="15">
        <v>7850000.0</v>
      </c>
      <c r="O1291" s="15">
        <v>6080000.0</v>
      </c>
      <c r="P1291" s="15">
        <v>6490000.0</v>
      </c>
      <c r="Q1291" s="15">
        <v>6350000.0</v>
      </c>
      <c r="R1291" s="15">
        <v>6420000.0</v>
      </c>
      <c r="S1291" s="15">
        <v>6080000.0</v>
      </c>
      <c r="T1291" s="12"/>
      <c r="U1291" s="12"/>
      <c r="V1291" s="12"/>
      <c r="W1291" s="12"/>
      <c r="X1291" s="12"/>
      <c r="Y1291" s="12"/>
      <c r="Z1291" s="12"/>
      <c r="AA1291" s="15">
        <v>-76120.0</v>
      </c>
      <c r="AB1291" s="12"/>
      <c r="AC1291" s="12"/>
      <c r="AD1291" s="15">
        <v>1130000.0</v>
      </c>
      <c r="AE1291" s="15">
        <v>910220.0</v>
      </c>
      <c r="AF1291" s="15">
        <v>547510.0</v>
      </c>
      <c r="AG1291" s="15">
        <v>839890.0</v>
      </c>
      <c r="AH1291" s="15">
        <v>1490000.0</v>
      </c>
      <c r="AI1291" s="15">
        <v>3680000.0</v>
      </c>
      <c r="AJ1291" s="15">
        <v>2050000.0</v>
      </c>
      <c r="AK1291" s="15">
        <v>2360000.0</v>
      </c>
      <c r="AL1291" s="15">
        <v>2770000.0</v>
      </c>
      <c r="AM1291" s="15">
        <v>3270000.0</v>
      </c>
      <c r="AN1291" s="15">
        <v>815490.0</v>
      </c>
      <c r="AO1291" s="15">
        <v>608430.0</v>
      </c>
      <c r="AP1291" s="15">
        <v>275260.0</v>
      </c>
      <c r="AQ1291" s="15">
        <v>231620.0</v>
      </c>
      <c r="AR1291" s="15">
        <v>810670.0</v>
      </c>
      <c r="AS1291" s="15">
        <v>3230000.0</v>
      </c>
      <c r="AT1291" s="15">
        <v>1870000.0</v>
      </c>
      <c r="AU1291" s="15">
        <v>1720000.0</v>
      </c>
      <c r="AV1291" s="15">
        <v>1460000.0</v>
      </c>
      <c r="AW1291" s="15">
        <v>-787520.0</v>
      </c>
      <c r="AX1291" s="15">
        <v>-996550.0</v>
      </c>
      <c r="AY1291" s="15">
        <v>-434410.0</v>
      </c>
      <c r="AZ1291" s="15">
        <v>-376370.0</v>
      </c>
      <c r="BA1291" s="15">
        <v>-710400.0</v>
      </c>
      <c r="BB1291" s="15">
        <v>-2040000.0</v>
      </c>
      <c r="BC1291" s="15">
        <v>-49960.0</v>
      </c>
      <c r="BD1291" s="15">
        <v>-43050.0</v>
      </c>
      <c r="BE1291" s="12"/>
      <c r="BF1291" s="12"/>
      <c r="BG1291" s="12"/>
      <c r="BH1291" s="15">
        <v>2490000.0</v>
      </c>
      <c r="BI1291" s="15">
        <v>2360000.0</v>
      </c>
      <c r="BJ1291" s="15">
        <v>1690000.0</v>
      </c>
      <c r="BK1291" s="15">
        <v>1050000.0</v>
      </c>
      <c r="BL1291" s="15">
        <v>1310000.0</v>
      </c>
      <c r="BM1291" s="15">
        <v>939420.0</v>
      </c>
      <c r="BN1291" s="15">
        <v>933880.0</v>
      </c>
      <c r="BO1291" s="15">
        <v>1280000.0</v>
      </c>
      <c r="BP1291" s="15">
        <v>1290000.0</v>
      </c>
      <c r="BQ1291" s="15">
        <v>971970.0</v>
      </c>
      <c r="BR1291" s="15">
        <v>1.068E7</v>
      </c>
      <c r="BS1291" s="15">
        <v>9880000.0</v>
      </c>
      <c r="BT1291" s="15">
        <v>1.032E7</v>
      </c>
      <c r="BU1291" s="15">
        <v>1.024E7</v>
      </c>
      <c r="BV1291" s="15">
        <v>1.044E7</v>
      </c>
      <c r="BW1291" s="15">
        <v>1.426E7</v>
      </c>
      <c r="BX1291" s="15">
        <v>1.332E7</v>
      </c>
      <c r="BY1291" s="15">
        <v>1.346E7</v>
      </c>
      <c r="BZ1291" s="15">
        <v>1.274E7</v>
      </c>
      <c r="CA1291" s="15">
        <v>1.292E7</v>
      </c>
      <c r="CB1291" s="15">
        <v>5590000.0</v>
      </c>
      <c r="CC1291" s="15">
        <v>2810000.0</v>
      </c>
      <c r="CD1291" s="15">
        <v>3350000.0</v>
      </c>
      <c r="CE1291" s="15">
        <v>4260000.0</v>
      </c>
      <c r="CF1291" s="15">
        <v>5210000.0</v>
      </c>
      <c r="CG1291" s="12"/>
      <c r="CH1291" s="12"/>
      <c r="CI1291" s="12"/>
      <c r="CJ1291" s="12"/>
      <c r="CK1291" s="12"/>
      <c r="CL1291" s="15">
        <v>2.207E7</v>
      </c>
      <c r="CM1291" s="15">
        <v>1.825E7</v>
      </c>
      <c r="CN1291" s="15">
        <v>1.878E7</v>
      </c>
      <c r="CO1291" s="15">
        <v>1.916E7</v>
      </c>
      <c r="CP1291" s="15">
        <v>2.063E7</v>
      </c>
      <c r="CQ1291" s="15">
        <v>1310000.0</v>
      </c>
      <c r="CR1291" s="15">
        <v>640440.0</v>
      </c>
      <c r="CS1291" s="15">
        <v>980700.0</v>
      </c>
      <c r="CT1291" s="15">
        <v>824100.0</v>
      </c>
      <c r="CU1291" s="15">
        <v>994450.0</v>
      </c>
      <c r="CV1291" s="15">
        <v>8050000.0</v>
      </c>
      <c r="CW1291" s="15">
        <v>4080000.0</v>
      </c>
      <c r="CX1291" s="15">
        <v>4570000.0</v>
      </c>
      <c r="CY1291" s="15">
        <v>4200000.0</v>
      </c>
      <c r="CZ1291" s="15">
        <v>4010000.0</v>
      </c>
      <c r="DA1291" s="15">
        <v>5130000.0</v>
      </c>
      <c r="DB1291" s="15">
        <v>8050000.0</v>
      </c>
      <c r="DC1291" s="15">
        <v>6670000.0</v>
      </c>
      <c r="DD1291" s="15">
        <v>7280000.0</v>
      </c>
      <c r="DE1291" s="15">
        <v>6820000.0</v>
      </c>
      <c r="DF1291" s="15">
        <v>1.064E7</v>
      </c>
      <c r="DG1291" s="15">
        <v>7440000.0</v>
      </c>
      <c r="DH1291" s="15">
        <v>8540000.0</v>
      </c>
      <c r="DI1291" s="15">
        <v>9200000.0</v>
      </c>
      <c r="DJ1291" s="15">
        <v>1.091E7</v>
      </c>
      <c r="DK1291" s="15">
        <v>655640.0</v>
      </c>
      <c r="DL1291" s="15">
        <v>574440.0</v>
      </c>
      <c r="DM1291" s="15">
        <v>532680.0</v>
      </c>
      <c r="DN1291" s="15">
        <v>741140.0</v>
      </c>
      <c r="DO1291" s="15">
        <v>2110000.0</v>
      </c>
      <c r="DP1291" s="15">
        <v>1970000.0</v>
      </c>
      <c r="DQ1291" s="15">
        <v>401420.0</v>
      </c>
      <c r="DR1291" s="15">
        <v>851020.0</v>
      </c>
      <c r="DS1291" s="15">
        <v>2000000.0</v>
      </c>
      <c r="DT1291" s="15">
        <v>2420000.0</v>
      </c>
      <c r="DU1291" s="13"/>
      <c r="DV1291" s="12"/>
      <c r="DW1291" s="12"/>
      <c r="DX1291" s="12"/>
      <c r="DY1291" s="12"/>
      <c r="DZ1291" s="15">
        <v>1.142E7</v>
      </c>
      <c r="EA1291" s="15">
        <v>1.082E7</v>
      </c>
      <c r="EB1291" s="15">
        <v>1.024E7</v>
      </c>
      <c r="EC1291" s="15">
        <v>9970000.0</v>
      </c>
      <c r="ED1291" s="15">
        <v>9720000.0</v>
      </c>
      <c r="EE1291" s="23"/>
      <c r="EF1291" s="23"/>
      <c r="EG1291" s="17" t="s">
        <v>155</v>
      </c>
      <c r="EH1291" s="23"/>
    </row>
    <row r="1292">
      <c r="A1292" s="9">
        <f t="shared" si="2"/>
        <v>1290</v>
      </c>
      <c r="B1292" s="25" t="s">
        <v>1427</v>
      </c>
      <c r="C1292" s="12">
        <v>541740.0</v>
      </c>
      <c r="D1292" s="12">
        <v>442740.0</v>
      </c>
      <c r="E1292" s="12">
        <v>805230.0</v>
      </c>
      <c r="F1292" s="12">
        <v>545260.0</v>
      </c>
      <c r="G1292" s="12">
        <v>582510.0</v>
      </c>
      <c r="H1292" s="12">
        <v>650520.0</v>
      </c>
      <c r="I1292" s="12">
        <v>480180.0</v>
      </c>
      <c r="J1292" s="12">
        <v>197790.0</v>
      </c>
      <c r="K1292" s="12">
        <v>76710.0</v>
      </c>
      <c r="L1292" s="12">
        <v>121770.0</v>
      </c>
      <c r="M1292" s="12">
        <v>187160.0</v>
      </c>
      <c r="N1292" s="12">
        <v>0.0</v>
      </c>
      <c r="O1292" s="12">
        <v>40430.0</v>
      </c>
      <c r="P1292" s="12">
        <v>42440.0</v>
      </c>
      <c r="Q1292" s="12">
        <v>26100.0</v>
      </c>
      <c r="R1292" s="12">
        <v>28920.0</v>
      </c>
      <c r="S1292" s="12">
        <v>27480.0</v>
      </c>
      <c r="T1292" s="12">
        <v>0.0</v>
      </c>
      <c r="U1292" s="12">
        <v>0.0</v>
      </c>
      <c r="V1292" s="12">
        <v>0.0</v>
      </c>
      <c r="W1292" s="12">
        <v>0.0</v>
      </c>
      <c r="X1292" s="12">
        <v>0.0</v>
      </c>
      <c r="Y1292" s="12">
        <v>148260.0</v>
      </c>
      <c r="Z1292" s="12">
        <v>0.0</v>
      </c>
      <c r="AA1292" s="12">
        <v>125970.0</v>
      </c>
      <c r="AB1292" s="12">
        <v>150570.0</v>
      </c>
      <c r="AC1292" s="12">
        <v>-95690.0</v>
      </c>
      <c r="AD1292" s="12">
        <v>114280.0</v>
      </c>
      <c r="AE1292" s="12">
        <v>10490.0</v>
      </c>
      <c r="AF1292" s="12">
        <v>96810.0</v>
      </c>
      <c r="AG1292" s="12">
        <v>107300.0</v>
      </c>
      <c r="AH1292" s="12">
        <v>-145410.0</v>
      </c>
      <c r="AI1292" s="12">
        <v>303800.0</v>
      </c>
      <c r="AJ1292" s="12">
        <v>166950.0</v>
      </c>
      <c r="AK1292" s="12">
        <v>233260.0</v>
      </c>
      <c r="AL1292" s="12">
        <v>263510.0</v>
      </c>
      <c r="AM1292" s="12">
        <v>79630.0</v>
      </c>
      <c r="AN1292" s="12">
        <v>76050.0</v>
      </c>
      <c r="AO1292" s="12">
        <v>8270.0</v>
      </c>
      <c r="AP1292" s="12">
        <v>89970.0</v>
      </c>
      <c r="AQ1292" s="12">
        <v>86060.0</v>
      </c>
      <c r="AR1292" s="12">
        <v>-159030.0</v>
      </c>
      <c r="AS1292" s="12">
        <v>190930.0</v>
      </c>
      <c r="AT1292" s="12">
        <v>89420.0</v>
      </c>
      <c r="AU1292" s="12">
        <v>192970.0</v>
      </c>
      <c r="AV1292" s="12">
        <v>228360.0</v>
      </c>
      <c r="AW1292" s="12">
        <v>95540.0</v>
      </c>
      <c r="AX1292" s="12">
        <v>-180150.0</v>
      </c>
      <c r="AY1292" s="12">
        <v>-126740.0</v>
      </c>
      <c r="AZ1292" s="12">
        <v>-84920.0</v>
      </c>
      <c r="BA1292" s="12">
        <v>-114040.0</v>
      </c>
      <c r="BB1292" s="12">
        <v>-79960.0</v>
      </c>
      <c r="BC1292" s="16">
        <v>0.0</v>
      </c>
      <c r="BD1292" s="16">
        <v>0.0</v>
      </c>
      <c r="BE1292" s="16">
        <v>0.0</v>
      </c>
      <c r="BF1292" s="12">
        <v>0.0</v>
      </c>
      <c r="BG1292" s="16">
        <v>0.0</v>
      </c>
      <c r="BH1292" s="12">
        <v>739280.0</v>
      </c>
      <c r="BI1292" s="12">
        <v>612910.0</v>
      </c>
      <c r="BJ1292" s="12">
        <v>720640.0</v>
      </c>
      <c r="BK1292" s="12">
        <v>638440.0</v>
      </c>
      <c r="BL1292" s="12">
        <v>416790.0</v>
      </c>
      <c r="BM1292" s="12">
        <v>93140.0</v>
      </c>
      <c r="BN1292" s="12">
        <v>43650.0</v>
      </c>
      <c r="BO1292" s="12">
        <v>36560.0</v>
      </c>
      <c r="BP1292" s="12">
        <v>78370.0</v>
      </c>
      <c r="BQ1292" s="12">
        <v>51030.0</v>
      </c>
      <c r="BR1292" s="12">
        <v>308070.0</v>
      </c>
      <c r="BS1292" s="12">
        <v>317890.0</v>
      </c>
      <c r="BT1292" s="12">
        <v>228760.0</v>
      </c>
      <c r="BU1292" s="12">
        <v>207750.0</v>
      </c>
      <c r="BV1292" s="12">
        <v>188880.0</v>
      </c>
      <c r="BW1292" s="12">
        <v>1170000.0</v>
      </c>
      <c r="BX1292" s="12">
        <v>991260.0</v>
      </c>
      <c r="BY1292" s="12">
        <v>998860.0</v>
      </c>
      <c r="BZ1292" s="12">
        <v>944420.0</v>
      </c>
      <c r="CA1292" s="12">
        <v>662230.0</v>
      </c>
      <c r="CB1292" s="12">
        <v>997800.0</v>
      </c>
      <c r="CC1292" s="12">
        <v>833070.0</v>
      </c>
      <c r="CD1292" s="12">
        <v>655010.0</v>
      </c>
      <c r="CE1292" s="12">
        <v>706510.0</v>
      </c>
      <c r="CF1292" s="12">
        <v>375790.0</v>
      </c>
      <c r="CG1292" s="12">
        <v>64560.0</v>
      </c>
      <c r="CH1292" s="12">
        <v>68000.0</v>
      </c>
      <c r="CI1292" s="12">
        <v>62380.0</v>
      </c>
      <c r="CJ1292" s="12">
        <v>66770.0</v>
      </c>
      <c r="CK1292" s="12">
        <v>0.0</v>
      </c>
      <c r="CL1292" s="12">
        <v>2270000.0</v>
      </c>
      <c r="CM1292" s="12">
        <v>2080000.0</v>
      </c>
      <c r="CN1292" s="12">
        <v>1930000.0</v>
      </c>
      <c r="CO1292" s="12">
        <v>1930000.0</v>
      </c>
      <c r="CP1292" s="12">
        <v>1210000.0</v>
      </c>
      <c r="CQ1292" s="12">
        <v>43540.0</v>
      </c>
      <c r="CR1292" s="12">
        <v>21710.0</v>
      </c>
      <c r="CS1292" s="12">
        <v>20970.0</v>
      </c>
      <c r="CT1292" s="12">
        <v>22910.0</v>
      </c>
      <c r="CU1292" s="12">
        <v>24580.0</v>
      </c>
      <c r="CV1292" s="12">
        <v>303660.0</v>
      </c>
      <c r="CW1292" s="12">
        <v>0.0</v>
      </c>
      <c r="CX1292" s="12">
        <v>0.0</v>
      </c>
      <c r="CY1292" s="12">
        <v>0.0</v>
      </c>
      <c r="CZ1292" s="12">
        <v>0.0</v>
      </c>
      <c r="DA1292" s="12">
        <v>0.0</v>
      </c>
      <c r="DB1292" s="12">
        <v>303660.0</v>
      </c>
      <c r="DC1292" s="12">
        <v>113710.0</v>
      </c>
      <c r="DD1292" s="12">
        <v>89540.0</v>
      </c>
      <c r="DE1292" s="12">
        <v>193520.0</v>
      </c>
      <c r="DF1292" s="12">
        <v>799000.0</v>
      </c>
      <c r="DG1292" s="12">
        <v>703610.0</v>
      </c>
      <c r="DH1292" s="12">
        <v>729060.0</v>
      </c>
      <c r="DI1292" s="12">
        <v>811540.0</v>
      </c>
      <c r="DJ1292" s="12">
        <v>684610.0</v>
      </c>
      <c r="DK1292" s="12">
        <v>4330.0</v>
      </c>
      <c r="DL1292" s="12">
        <v>2780.0</v>
      </c>
      <c r="DM1292" s="12">
        <v>3860.0</v>
      </c>
      <c r="DN1292" s="12">
        <v>4100.0</v>
      </c>
      <c r="DO1292" s="12">
        <v>3930.0</v>
      </c>
      <c r="DP1292" s="12">
        <v>231730.0</v>
      </c>
      <c r="DQ1292" s="12">
        <v>338110.0</v>
      </c>
      <c r="DR1292" s="12">
        <v>377800.0</v>
      </c>
      <c r="DS1292" s="12">
        <v>386760.0</v>
      </c>
      <c r="DT1292" s="12">
        <v>383990.0</v>
      </c>
      <c r="DU1292" s="12">
        <v>0.0</v>
      </c>
      <c r="DV1292" s="15">
        <v>0.0</v>
      </c>
      <c r="DW1292" s="15">
        <v>0.0</v>
      </c>
      <c r="DX1292" s="16">
        <v>0.0</v>
      </c>
      <c r="DY1292" s="12">
        <v>0.0</v>
      </c>
      <c r="DZ1292" s="12">
        <v>1470000.0</v>
      </c>
      <c r="EA1292" s="12">
        <v>1330000.0</v>
      </c>
      <c r="EB1292" s="12">
        <v>1170000.0</v>
      </c>
      <c r="EC1292" s="12">
        <v>1120000.0</v>
      </c>
      <c r="ED1292" s="12">
        <v>526240.0</v>
      </c>
      <c r="EE1292" s="23">
        <v>0.013</v>
      </c>
      <c r="EF1292" s="23">
        <v>0.082</v>
      </c>
      <c r="EG1292" s="23">
        <v>-0.714</v>
      </c>
      <c r="EH1292" s="23">
        <v>-0.019</v>
      </c>
    </row>
    <row r="1293">
      <c r="A1293" s="9">
        <f t="shared" si="2"/>
        <v>1291</v>
      </c>
      <c r="B1293" s="10" t="s">
        <v>1428</v>
      </c>
      <c r="C1293" s="12"/>
      <c r="D1293" s="12"/>
      <c r="E1293" s="11">
        <v>5720000.0</v>
      </c>
      <c r="F1293" s="11">
        <v>8160000.0</v>
      </c>
      <c r="G1293" s="11">
        <v>8020000.0</v>
      </c>
      <c r="H1293" s="11">
        <v>7550000.0</v>
      </c>
      <c r="I1293" s="11">
        <v>7790000.0</v>
      </c>
      <c r="J1293" s="11">
        <v>1220000.0</v>
      </c>
      <c r="K1293" s="11">
        <v>3210000.0</v>
      </c>
      <c r="L1293" s="11">
        <v>3280000.0</v>
      </c>
      <c r="M1293" s="11">
        <v>3040000.0</v>
      </c>
      <c r="N1293" s="11">
        <v>3250000.0</v>
      </c>
      <c r="O1293" s="11">
        <v>1580000.0</v>
      </c>
      <c r="P1293" s="11">
        <v>2740000.0</v>
      </c>
      <c r="Q1293" s="11">
        <v>2820000.0</v>
      </c>
      <c r="R1293" s="11">
        <v>2730000.0</v>
      </c>
      <c r="S1293" s="11">
        <v>2890000.0</v>
      </c>
      <c r="T1293" s="12"/>
      <c r="U1293" s="12"/>
      <c r="V1293" s="12"/>
      <c r="W1293" s="12"/>
      <c r="X1293" s="12"/>
      <c r="Y1293" s="11">
        <v>-618810.0</v>
      </c>
      <c r="Z1293" s="11">
        <v>-6960.0</v>
      </c>
      <c r="AA1293" s="11">
        <v>-6470.0</v>
      </c>
      <c r="AB1293" s="11">
        <v>-9300.0</v>
      </c>
      <c r="AC1293" s="11">
        <v>-19920.0</v>
      </c>
      <c r="AD1293" s="11">
        <v>-562000.0</v>
      </c>
      <c r="AE1293" s="11">
        <v>582300.0</v>
      </c>
      <c r="AF1293" s="11">
        <v>560610.0</v>
      </c>
      <c r="AG1293" s="11">
        <v>421200.0</v>
      </c>
      <c r="AH1293" s="11">
        <v>470460.0</v>
      </c>
      <c r="AI1293" s="11">
        <v>498450.0</v>
      </c>
      <c r="AJ1293" s="11">
        <v>573480.0</v>
      </c>
      <c r="AK1293" s="11">
        <v>554430.0</v>
      </c>
      <c r="AL1293" s="11">
        <v>413920.0</v>
      </c>
      <c r="AM1293" s="11">
        <v>483460.0</v>
      </c>
      <c r="AN1293" s="11">
        <v>-475080.0</v>
      </c>
      <c r="AO1293" s="11">
        <v>490920.0</v>
      </c>
      <c r="AP1293" s="11">
        <v>465240.0</v>
      </c>
      <c r="AQ1293" s="11">
        <v>342510.0</v>
      </c>
      <c r="AR1293" s="11">
        <v>383470.0</v>
      </c>
      <c r="AS1293" s="11">
        <v>665120.0</v>
      </c>
      <c r="AT1293" s="11">
        <v>364410.0</v>
      </c>
      <c r="AU1293" s="11">
        <v>756710.0</v>
      </c>
      <c r="AV1293" s="11">
        <v>363650.0</v>
      </c>
      <c r="AW1293" s="11">
        <v>586770.0</v>
      </c>
      <c r="AX1293" s="11">
        <v>-117280.0</v>
      </c>
      <c r="AY1293" s="11">
        <v>-133580.0</v>
      </c>
      <c r="AZ1293" s="11">
        <v>-153550.0</v>
      </c>
      <c r="BA1293" s="11">
        <v>-81880.0</v>
      </c>
      <c r="BB1293" s="11">
        <v>-117040.0</v>
      </c>
      <c r="BC1293" s="11">
        <v>-265780.0</v>
      </c>
      <c r="BD1293" s="11">
        <v>-441970.0</v>
      </c>
      <c r="BE1293" s="11">
        <v>-222890.0</v>
      </c>
      <c r="BF1293" s="11">
        <v>-381080.0</v>
      </c>
      <c r="BG1293" s="11">
        <v>-553200.0</v>
      </c>
      <c r="BH1293" s="11">
        <v>641500.0</v>
      </c>
      <c r="BI1293" s="11">
        <v>1140000.0</v>
      </c>
      <c r="BJ1293" s="11">
        <v>1370000.0</v>
      </c>
      <c r="BK1293" s="11">
        <v>968940.0</v>
      </c>
      <c r="BL1293" s="11">
        <v>1080000.0</v>
      </c>
      <c r="BM1293" s="11">
        <v>67640.0</v>
      </c>
      <c r="BN1293" s="11">
        <v>112700.0</v>
      </c>
      <c r="BO1293" s="11">
        <v>145420.0</v>
      </c>
      <c r="BP1293" s="11">
        <v>67080.0</v>
      </c>
      <c r="BQ1293" s="11">
        <v>79150.0</v>
      </c>
      <c r="BR1293" s="11">
        <v>1010000.0</v>
      </c>
      <c r="BS1293" s="11">
        <v>1410000.0</v>
      </c>
      <c r="BT1293" s="11">
        <v>1340000.0</v>
      </c>
      <c r="BU1293" s="11">
        <v>1220000.0</v>
      </c>
      <c r="BV1293" s="11">
        <v>1100000.0</v>
      </c>
      <c r="BW1293" s="11">
        <v>1990000.0</v>
      </c>
      <c r="BX1293" s="11">
        <v>2890000.0</v>
      </c>
      <c r="BY1293" s="11">
        <v>3080000.0</v>
      </c>
      <c r="BZ1293" s="11">
        <v>2480000.0</v>
      </c>
      <c r="CA1293" s="11">
        <v>2470000.0</v>
      </c>
      <c r="CB1293" s="11">
        <v>1040000.0</v>
      </c>
      <c r="CC1293" s="11">
        <v>351100.0</v>
      </c>
      <c r="CD1293" s="11">
        <v>340170.0</v>
      </c>
      <c r="CE1293" s="11">
        <v>284240.0</v>
      </c>
      <c r="CF1293" s="11">
        <v>321090.0</v>
      </c>
      <c r="CG1293" s="11"/>
      <c r="CH1293" s="11"/>
      <c r="CI1293" s="11"/>
      <c r="CJ1293" s="11"/>
      <c r="CK1293" s="11"/>
      <c r="CL1293" s="11">
        <v>3270000.0</v>
      </c>
      <c r="CM1293" s="11">
        <v>3410000.0</v>
      </c>
      <c r="CN1293" s="11">
        <v>3580000.0</v>
      </c>
      <c r="CO1293" s="11">
        <v>2930000.0</v>
      </c>
      <c r="CP1293" s="11">
        <v>2970000.0</v>
      </c>
      <c r="CQ1293" s="11">
        <v>219250.0</v>
      </c>
      <c r="CR1293" s="11">
        <v>471500.0</v>
      </c>
      <c r="CS1293" s="11">
        <v>619700.0</v>
      </c>
      <c r="CT1293" s="11">
        <v>313910.0</v>
      </c>
      <c r="CU1293" s="11">
        <v>261500.0</v>
      </c>
      <c r="CV1293" s="11">
        <v>1060000.0</v>
      </c>
      <c r="CW1293" s="11"/>
      <c r="CX1293" s="12"/>
      <c r="CY1293" s="12"/>
      <c r="CZ1293" s="12"/>
      <c r="DA1293" s="12"/>
      <c r="DB1293" s="11">
        <v>1060000.0</v>
      </c>
      <c r="DC1293" s="11">
        <v>863540.0</v>
      </c>
      <c r="DD1293" s="11">
        <v>1040000.0</v>
      </c>
      <c r="DE1293" s="11">
        <v>650580.0</v>
      </c>
      <c r="DF1293" s="11">
        <v>1600000.0</v>
      </c>
      <c r="DG1293" s="11">
        <v>919870.0</v>
      </c>
      <c r="DH1293" s="11">
        <v>1090000.0</v>
      </c>
      <c r="DI1293" s="11">
        <v>709910.0</v>
      </c>
      <c r="DJ1293" s="11">
        <v>683220.0</v>
      </c>
      <c r="DK1293" s="12"/>
      <c r="DL1293" s="11"/>
      <c r="DM1293" s="11"/>
      <c r="DN1293" s="11"/>
      <c r="DO1293" s="12"/>
      <c r="DP1293" s="11">
        <v>505060.0</v>
      </c>
      <c r="DQ1293" s="12"/>
      <c r="DR1293" s="12"/>
      <c r="DS1293" s="12"/>
      <c r="DT1293" s="12"/>
      <c r="DU1293" s="13"/>
      <c r="DV1293" s="12"/>
      <c r="DW1293" s="12"/>
      <c r="DX1293" s="12"/>
      <c r="DY1293" s="12"/>
      <c r="DZ1293" s="11">
        <v>1660000.0</v>
      </c>
      <c r="EA1293" s="11">
        <v>2490000.0</v>
      </c>
      <c r="EB1293" s="11">
        <v>2480000.0</v>
      </c>
      <c r="EC1293" s="11">
        <v>2220000.0</v>
      </c>
      <c r="ED1293" s="11">
        <v>2290000.0</v>
      </c>
      <c r="EE1293" s="23"/>
      <c r="EF1293" s="23"/>
      <c r="EG1293" s="29"/>
      <c r="EH1293" s="23"/>
    </row>
    <row r="1294">
      <c r="A1294" s="9">
        <f t="shared" si="2"/>
        <v>1292</v>
      </c>
      <c r="B1294" s="10" t="s">
        <v>1429</v>
      </c>
      <c r="C1294" s="15">
        <v>1150000.0</v>
      </c>
      <c r="D1294" s="15">
        <v>1000000.0</v>
      </c>
      <c r="E1294" s="15">
        <v>1220000.0</v>
      </c>
      <c r="F1294" s="15">
        <v>1280000.0</v>
      </c>
      <c r="G1294" s="15">
        <v>1280000.0</v>
      </c>
      <c r="H1294" s="15">
        <v>1270000.0</v>
      </c>
      <c r="I1294" s="15">
        <v>1280000.0</v>
      </c>
      <c r="J1294" s="15">
        <v>425700.0</v>
      </c>
      <c r="K1294" s="15">
        <v>469480.0</v>
      </c>
      <c r="L1294" s="15">
        <v>467960.0</v>
      </c>
      <c r="M1294" s="15">
        <v>468510.0</v>
      </c>
      <c r="N1294" s="15">
        <v>476770.0</v>
      </c>
      <c r="O1294" s="15">
        <v>95160.0</v>
      </c>
      <c r="P1294" s="15">
        <v>91090.0</v>
      </c>
      <c r="Q1294" s="15">
        <v>94650.0</v>
      </c>
      <c r="R1294" s="15">
        <v>98050.0</v>
      </c>
      <c r="S1294" s="15">
        <v>98630.0</v>
      </c>
      <c r="T1294" s="15">
        <v>0.0</v>
      </c>
      <c r="U1294" s="15">
        <v>0.0</v>
      </c>
      <c r="V1294" s="15">
        <v>0.0</v>
      </c>
      <c r="W1294" s="15">
        <v>0.0</v>
      </c>
      <c r="X1294" s="15">
        <v>0.0</v>
      </c>
      <c r="Y1294" s="15">
        <v>330710.0</v>
      </c>
      <c r="Z1294" s="15">
        <v>337560.0</v>
      </c>
      <c r="AA1294" s="15">
        <v>348460.0</v>
      </c>
      <c r="AB1294" s="15">
        <v>360640.0</v>
      </c>
      <c r="AC1294" s="15">
        <v>366130.0</v>
      </c>
      <c r="AD1294" s="15">
        <v>194450.0</v>
      </c>
      <c r="AE1294" s="15">
        <v>253830.0</v>
      </c>
      <c r="AF1294" s="15">
        <v>231700.0</v>
      </c>
      <c r="AG1294" s="15">
        <v>197700.0</v>
      </c>
      <c r="AH1294" s="15">
        <v>359560.0</v>
      </c>
      <c r="AI1294" s="15">
        <v>527950.0</v>
      </c>
      <c r="AJ1294" s="15">
        <v>587720.0</v>
      </c>
      <c r="AK1294" s="15">
        <v>602530.0</v>
      </c>
      <c r="AL1294" s="15">
        <v>591780.0</v>
      </c>
      <c r="AM1294" s="15">
        <v>582040.0</v>
      </c>
      <c r="AN1294" s="15">
        <v>69670.0</v>
      </c>
      <c r="AO1294" s="15">
        <v>112860.0</v>
      </c>
      <c r="AP1294" s="15">
        <v>78850.0</v>
      </c>
      <c r="AQ1294" s="15">
        <v>69930.0</v>
      </c>
      <c r="AR1294" s="15">
        <v>113040.0</v>
      </c>
      <c r="AS1294" s="15">
        <v>399950.0</v>
      </c>
      <c r="AT1294" s="15">
        <v>449850.0</v>
      </c>
      <c r="AU1294" s="15">
        <v>444170.0</v>
      </c>
      <c r="AV1294" s="15">
        <v>418410.0</v>
      </c>
      <c r="AW1294" s="15">
        <v>428890.0</v>
      </c>
      <c r="AX1294" s="15">
        <v>-201620.0</v>
      </c>
      <c r="AY1294" s="15">
        <v>-174480.0</v>
      </c>
      <c r="AZ1294" s="15">
        <v>-166380.0</v>
      </c>
      <c r="BA1294" s="15">
        <v>-225320.0</v>
      </c>
      <c r="BB1294" s="15">
        <v>-204720.0</v>
      </c>
      <c r="BC1294" s="15">
        <v>-170410.0</v>
      </c>
      <c r="BD1294" s="15">
        <v>-165810.0</v>
      </c>
      <c r="BE1294" s="15">
        <v>-158990.0</v>
      </c>
      <c r="BF1294" s="15">
        <v>-200230.0</v>
      </c>
      <c r="BG1294" s="15">
        <v>-135170.0</v>
      </c>
      <c r="BH1294" s="15">
        <v>361670.0</v>
      </c>
      <c r="BI1294" s="15">
        <v>303340.0</v>
      </c>
      <c r="BJ1294" s="15">
        <v>150970.0</v>
      </c>
      <c r="BK1294" s="15">
        <v>105770.0</v>
      </c>
      <c r="BL1294" s="15">
        <v>457660.0</v>
      </c>
      <c r="BM1294" s="15">
        <v>14020.0</v>
      </c>
      <c r="BN1294" s="15">
        <v>19770.0</v>
      </c>
      <c r="BO1294" s="15">
        <v>21580.0</v>
      </c>
      <c r="BP1294" s="15">
        <v>20840.0</v>
      </c>
      <c r="BQ1294" s="15">
        <v>18160.0</v>
      </c>
      <c r="BR1294" s="15">
        <v>0.0</v>
      </c>
      <c r="BS1294" s="15">
        <v>0.0</v>
      </c>
      <c r="BT1294" s="15">
        <v>0.0</v>
      </c>
      <c r="BU1294" s="15">
        <v>0.0</v>
      </c>
      <c r="BV1294" s="15">
        <v>0.0</v>
      </c>
      <c r="BW1294" s="15">
        <v>375690.0</v>
      </c>
      <c r="BX1294" s="15">
        <v>323110.0</v>
      </c>
      <c r="BY1294" s="15">
        <v>172550.0</v>
      </c>
      <c r="BZ1294" s="15">
        <v>126610.0</v>
      </c>
      <c r="CA1294" s="15">
        <v>475820.0</v>
      </c>
      <c r="CB1294" s="15">
        <v>89430.0</v>
      </c>
      <c r="CC1294" s="15">
        <v>38180.0</v>
      </c>
      <c r="CD1294" s="15">
        <v>8830.0</v>
      </c>
      <c r="CE1294" s="15">
        <v>3910000.0</v>
      </c>
      <c r="CF1294" s="15">
        <v>3920000.0</v>
      </c>
      <c r="CG1294" s="15">
        <v>45190.0</v>
      </c>
      <c r="CH1294" s="15">
        <v>45190.0</v>
      </c>
      <c r="CI1294" s="15">
        <v>48870.0</v>
      </c>
      <c r="CJ1294" s="15">
        <v>53530.0</v>
      </c>
      <c r="CK1294" s="15">
        <v>53530.0</v>
      </c>
      <c r="CL1294" s="15">
        <v>4040000.0</v>
      </c>
      <c r="CM1294" s="15">
        <v>3930000.0</v>
      </c>
      <c r="CN1294" s="15">
        <v>4090000.0</v>
      </c>
      <c r="CO1294" s="15">
        <v>4180000.0</v>
      </c>
      <c r="CP1294" s="15">
        <v>4560000.0</v>
      </c>
      <c r="CQ1294" s="15">
        <v>182360.0</v>
      </c>
      <c r="CR1294" s="15">
        <v>210930.0</v>
      </c>
      <c r="CS1294" s="15">
        <v>188260.0</v>
      </c>
      <c r="CT1294" s="15">
        <v>152200.0</v>
      </c>
      <c r="CU1294" s="15">
        <v>204670.0</v>
      </c>
      <c r="CV1294" s="15">
        <v>211570.0</v>
      </c>
      <c r="CW1294" s="15">
        <v>12590.0</v>
      </c>
      <c r="CX1294" s="16">
        <v>0.0</v>
      </c>
      <c r="CY1294" s="16">
        <v>0.0</v>
      </c>
      <c r="CZ1294" s="16">
        <v>0.0</v>
      </c>
      <c r="DA1294" s="15">
        <v>0.0</v>
      </c>
      <c r="DB1294" s="15">
        <v>211570.0</v>
      </c>
      <c r="DC1294" s="15">
        <v>210930.0</v>
      </c>
      <c r="DD1294" s="15">
        <v>188260.0</v>
      </c>
      <c r="DE1294" s="15">
        <v>193300.0</v>
      </c>
      <c r="DF1294" s="15">
        <v>2860000.0</v>
      </c>
      <c r="DG1294" s="15">
        <v>2620000.0</v>
      </c>
      <c r="DH1294" s="15">
        <v>2740000.0</v>
      </c>
      <c r="DI1294" s="15">
        <v>2800000.0</v>
      </c>
      <c r="DJ1294" s="15">
        <v>3080000.0</v>
      </c>
      <c r="DK1294" s="15">
        <v>3410000.0</v>
      </c>
      <c r="DL1294" s="15">
        <v>3420000.0</v>
      </c>
      <c r="DM1294" s="15">
        <v>3740000.0</v>
      </c>
      <c r="DN1294" s="15">
        <v>0.0</v>
      </c>
      <c r="DO1294" s="15">
        <v>0.0</v>
      </c>
      <c r="DP1294" s="15">
        <v>2640000.0</v>
      </c>
      <c r="DQ1294" s="15">
        <v>2400000.0</v>
      </c>
      <c r="DR1294" s="15">
        <v>2540000.0</v>
      </c>
      <c r="DS1294" s="15">
        <v>2610000.0</v>
      </c>
      <c r="DT1294" s="15">
        <v>2780000.0</v>
      </c>
      <c r="DU1294" s="16">
        <v>0.0</v>
      </c>
      <c r="DV1294" s="15">
        <v>0.0</v>
      </c>
      <c r="DW1294" s="15">
        <v>0.0</v>
      </c>
      <c r="DX1294" s="15">
        <v>0.0</v>
      </c>
      <c r="DY1294" s="16">
        <v>0.0</v>
      </c>
      <c r="DZ1294" s="15">
        <v>696290.0</v>
      </c>
      <c r="EA1294" s="15">
        <v>786020.0</v>
      </c>
      <c r="EB1294" s="15">
        <v>780580.0</v>
      </c>
      <c r="EC1294" s="15">
        <v>794830.0</v>
      </c>
      <c r="ED1294" s="15">
        <v>879670.0</v>
      </c>
      <c r="EE1294" s="17">
        <v>0.176</v>
      </c>
      <c r="EF1294" s="17">
        <v>0.13</v>
      </c>
      <c r="EG1294" s="17">
        <v>0.4</v>
      </c>
      <c r="EH1294" s="17">
        <v>0.078</v>
      </c>
    </row>
    <row r="1295">
      <c r="A1295" s="9">
        <f t="shared" si="2"/>
        <v>1293</v>
      </c>
      <c r="B1295" s="10" t="s">
        <v>1430</v>
      </c>
      <c r="C1295" s="15">
        <v>1300000.0</v>
      </c>
      <c r="D1295" s="15">
        <v>1250000.0</v>
      </c>
      <c r="E1295" s="15">
        <v>1580000.0</v>
      </c>
      <c r="F1295" s="15">
        <v>1630000.0</v>
      </c>
      <c r="G1295" s="15">
        <v>1660000.0</v>
      </c>
      <c r="H1295" s="15">
        <v>1780000.0</v>
      </c>
      <c r="I1295" s="15">
        <v>1470000.0</v>
      </c>
      <c r="J1295" s="15">
        <v>137840.0</v>
      </c>
      <c r="K1295" s="15">
        <v>146380.0</v>
      </c>
      <c r="L1295" s="15">
        <v>175340.0</v>
      </c>
      <c r="M1295" s="15">
        <v>154450.0</v>
      </c>
      <c r="N1295" s="15">
        <v>142940.0</v>
      </c>
      <c r="O1295" s="15">
        <v>139040.0</v>
      </c>
      <c r="P1295" s="15">
        <v>142400.0</v>
      </c>
      <c r="Q1295" s="15">
        <v>135790.0</v>
      </c>
      <c r="R1295" s="15">
        <v>128620.0</v>
      </c>
      <c r="S1295" s="15">
        <v>109710.0</v>
      </c>
      <c r="T1295" s="15"/>
      <c r="U1295" s="15"/>
      <c r="V1295" s="15"/>
      <c r="W1295" s="15"/>
      <c r="X1295" s="15"/>
      <c r="Y1295" s="15">
        <v>-9750.0</v>
      </c>
      <c r="Z1295" s="15">
        <v>-101490.0</v>
      </c>
      <c r="AA1295" s="15">
        <v>-176530.0</v>
      </c>
      <c r="AB1295" s="15">
        <v>-38300.0</v>
      </c>
      <c r="AC1295" s="15">
        <v>2090.0</v>
      </c>
      <c r="AD1295" s="15">
        <v>3470.0</v>
      </c>
      <c r="AE1295" s="15">
        <v>-148440.0</v>
      </c>
      <c r="AF1295" s="15">
        <v>-221180.0</v>
      </c>
      <c r="AG1295" s="15">
        <v>-98520.0</v>
      </c>
      <c r="AH1295" s="15">
        <v>-8340.0</v>
      </c>
      <c r="AI1295" s="15">
        <v>43850.0</v>
      </c>
      <c r="AJ1295" s="15">
        <v>46470.0</v>
      </c>
      <c r="AK1295" s="15">
        <v>82150.0</v>
      </c>
      <c r="AL1295" s="15">
        <v>71070.0</v>
      </c>
      <c r="AM1295" s="15">
        <v>59710.0</v>
      </c>
      <c r="AN1295" s="15">
        <v>-1010.0</v>
      </c>
      <c r="AO1295" s="15">
        <v>-141550.0</v>
      </c>
      <c r="AP1295" s="15">
        <v>-175650.0</v>
      </c>
      <c r="AQ1295" s="15">
        <v>-67060.0</v>
      </c>
      <c r="AR1295" s="15">
        <v>-3830.0</v>
      </c>
      <c r="AS1295" s="15">
        <v>13020.0</v>
      </c>
      <c r="AT1295" s="15">
        <v>-14440.0</v>
      </c>
      <c r="AU1295" s="15">
        <v>40840.0</v>
      </c>
      <c r="AV1295" s="15">
        <v>1960.0</v>
      </c>
      <c r="AW1295" s="15">
        <v>39970.0</v>
      </c>
      <c r="AX1295" s="15">
        <v>-43470.0</v>
      </c>
      <c r="AY1295" s="15">
        <v>-40960.0</v>
      </c>
      <c r="AZ1295" s="15">
        <v>-53400.0</v>
      </c>
      <c r="BA1295" s="15">
        <v>-29890.0</v>
      </c>
      <c r="BB1295" s="15">
        <v>-39900.0</v>
      </c>
      <c r="BC1295" s="13">
        <v>-9020.0</v>
      </c>
      <c r="BD1295" s="13">
        <v>-8810.0</v>
      </c>
      <c r="BE1295" s="13">
        <v>-8680.0</v>
      </c>
      <c r="BF1295" s="13"/>
      <c r="BG1295" s="13"/>
      <c r="BH1295" s="15">
        <v>1940.0</v>
      </c>
      <c r="BI1295" s="15">
        <v>4480.0</v>
      </c>
      <c r="BJ1295" s="15">
        <v>4040.0</v>
      </c>
      <c r="BK1295" s="15">
        <v>1680.0</v>
      </c>
      <c r="BL1295" s="15">
        <v>3160.0</v>
      </c>
      <c r="BM1295" s="15">
        <v>167180.0</v>
      </c>
      <c r="BN1295" s="15">
        <v>190060.0</v>
      </c>
      <c r="BO1295" s="15">
        <v>171850.0</v>
      </c>
      <c r="BP1295" s="15">
        <v>214800.0</v>
      </c>
      <c r="BQ1295" s="15">
        <v>193280.0</v>
      </c>
      <c r="BR1295" s="12">
        <v>419560.0</v>
      </c>
      <c r="BS1295" s="12">
        <v>494360.0</v>
      </c>
      <c r="BT1295" s="12">
        <v>444770.0</v>
      </c>
      <c r="BU1295" s="12">
        <v>494150.0</v>
      </c>
      <c r="BV1295" s="12">
        <v>515670.0</v>
      </c>
      <c r="BW1295" s="15">
        <v>635350.0</v>
      </c>
      <c r="BX1295" s="15">
        <v>728550.0</v>
      </c>
      <c r="BY1295" s="15">
        <v>662280.0</v>
      </c>
      <c r="BZ1295" s="15">
        <v>737170.0</v>
      </c>
      <c r="CA1295" s="15">
        <v>829370.0</v>
      </c>
      <c r="CB1295" s="15">
        <v>328060.0</v>
      </c>
      <c r="CC1295" s="15">
        <v>233600.0</v>
      </c>
      <c r="CD1295" s="15">
        <v>205010.0</v>
      </c>
      <c r="CE1295" s="15">
        <v>217570.0</v>
      </c>
      <c r="CF1295" s="15">
        <v>245190.0</v>
      </c>
      <c r="CG1295" s="15">
        <v>36860.0</v>
      </c>
      <c r="CH1295" s="15">
        <v>38190.0</v>
      </c>
      <c r="CI1295" s="15">
        <v>137240.0</v>
      </c>
      <c r="CJ1295" s="15">
        <v>299870.0</v>
      </c>
      <c r="CK1295" s="15">
        <v>335730.0</v>
      </c>
      <c r="CL1295" s="15">
        <v>1200000.0</v>
      </c>
      <c r="CM1295" s="15">
        <v>1220000.0</v>
      </c>
      <c r="CN1295" s="15">
        <v>1230000.0</v>
      </c>
      <c r="CO1295" s="15">
        <v>1510000.0</v>
      </c>
      <c r="CP1295" s="15">
        <v>1690000.0</v>
      </c>
      <c r="CQ1295" s="15">
        <v>133430.0</v>
      </c>
      <c r="CR1295" s="15">
        <v>157470.0</v>
      </c>
      <c r="CS1295" s="15">
        <v>119020.0</v>
      </c>
      <c r="CT1295" s="15">
        <v>119400.0</v>
      </c>
      <c r="CU1295" s="15">
        <v>153980.0</v>
      </c>
      <c r="CV1295" s="15">
        <v>526040.0</v>
      </c>
      <c r="CW1295" s="15">
        <v>340720.0</v>
      </c>
      <c r="CX1295" s="13">
        <v>382880.0</v>
      </c>
      <c r="CY1295" s="13">
        <v>293300.0</v>
      </c>
      <c r="CZ1295" s="13">
        <v>270210.0</v>
      </c>
      <c r="DA1295" s="12">
        <v>221940.0</v>
      </c>
      <c r="DB1295" s="15">
        <v>526040.0</v>
      </c>
      <c r="DC1295" s="15">
        <v>609620.0</v>
      </c>
      <c r="DD1295" s="15">
        <v>513770.0</v>
      </c>
      <c r="DE1295" s="15">
        <v>525740.0</v>
      </c>
      <c r="DF1295" s="15">
        <v>921890.0</v>
      </c>
      <c r="DG1295" s="15">
        <v>933660.0</v>
      </c>
      <c r="DH1295" s="15">
        <v>827020.0</v>
      </c>
      <c r="DI1295" s="15">
        <v>913200.0</v>
      </c>
      <c r="DJ1295" s="15">
        <v>1100000.0</v>
      </c>
      <c r="DK1295" s="15"/>
      <c r="DL1295" s="15"/>
      <c r="DM1295" s="15"/>
      <c r="DN1295" s="12"/>
      <c r="DO1295" s="13"/>
      <c r="DP1295" s="15">
        <v>381530.0</v>
      </c>
      <c r="DQ1295" s="15">
        <v>310070.0</v>
      </c>
      <c r="DR1295" s="15">
        <v>282920.0</v>
      </c>
      <c r="DS1295" s="15">
        <v>307110.0</v>
      </c>
      <c r="DT1295" s="15">
        <v>446210.0</v>
      </c>
      <c r="DU1295" s="13">
        <v>107010.0</v>
      </c>
      <c r="DV1295" s="12">
        <v>111040.0</v>
      </c>
      <c r="DW1295" s="12">
        <v>100480.0</v>
      </c>
      <c r="DX1295" s="13">
        <v>106190.0</v>
      </c>
      <c r="DY1295" s="13"/>
      <c r="DZ1295" s="15">
        <v>273020.0</v>
      </c>
      <c r="EA1295" s="15">
        <v>289050.0</v>
      </c>
      <c r="EB1295" s="15">
        <v>401620.0</v>
      </c>
      <c r="EC1295" s="15">
        <v>597930.0</v>
      </c>
      <c r="ED1295" s="15">
        <v>584870.0</v>
      </c>
      <c r="EE1295" s="23">
        <v>0.016</v>
      </c>
      <c r="EF1295" s="23">
        <v>0.046153846</v>
      </c>
      <c r="EG1295" s="17">
        <v>2.0</v>
      </c>
      <c r="EH1295" s="23">
        <v>0.5555</v>
      </c>
    </row>
    <row r="1296">
      <c r="A1296" s="9">
        <f t="shared" si="2"/>
        <v>1294</v>
      </c>
      <c r="B1296" s="10" t="s">
        <v>1431</v>
      </c>
      <c r="C1296" s="15">
        <v>9780000.0</v>
      </c>
      <c r="D1296" s="15">
        <v>8940000.0</v>
      </c>
      <c r="E1296" s="15">
        <v>1.046E7</v>
      </c>
      <c r="F1296" s="15">
        <v>1.182E7</v>
      </c>
      <c r="G1296" s="15">
        <v>9540000.0</v>
      </c>
      <c r="H1296" s="15">
        <v>7780000.0</v>
      </c>
      <c r="I1296" s="15">
        <v>7590000.0</v>
      </c>
      <c r="J1296" s="15">
        <v>1420000.0</v>
      </c>
      <c r="K1296" s="15">
        <v>2120000.0</v>
      </c>
      <c r="L1296" s="15">
        <v>1470000.0</v>
      </c>
      <c r="M1296" s="15">
        <v>1320000.0</v>
      </c>
      <c r="N1296" s="15">
        <v>691050.0</v>
      </c>
      <c r="O1296" s="15">
        <v>436500.0</v>
      </c>
      <c r="P1296" s="15">
        <v>416640.0</v>
      </c>
      <c r="Q1296" s="15">
        <v>394630.0</v>
      </c>
      <c r="R1296" s="15">
        <v>445290.0</v>
      </c>
      <c r="S1296" s="15">
        <v>350690.0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986880.0</v>
      </c>
      <c r="Z1296" s="15">
        <v>1720000.0</v>
      </c>
      <c r="AA1296" s="15">
        <v>1070000.0</v>
      </c>
      <c r="AB1296" s="15">
        <v>727970.0</v>
      </c>
      <c r="AC1296" s="15">
        <v>-72780.0</v>
      </c>
      <c r="AD1296" s="15">
        <v>875340.0</v>
      </c>
      <c r="AE1296" s="15">
        <v>1620000.0</v>
      </c>
      <c r="AF1296" s="15">
        <v>935240.0</v>
      </c>
      <c r="AG1296" s="15">
        <v>564130.0</v>
      </c>
      <c r="AH1296" s="15">
        <v>-242120.0</v>
      </c>
      <c r="AI1296" s="15">
        <v>1310000.0</v>
      </c>
      <c r="AJ1296" s="15">
        <v>2020000.0</v>
      </c>
      <c r="AK1296" s="15">
        <v>1370000.0</v>
      </c>
      <c r="AL1296" s="15">
        <v>1160000.0</v>
      </c>
      <c r="AM1296" s="15">
        <v>628870.0</v>
      </c>
      <c r="AN1296" s="15">
        <v>671100.0</v>
      </c>
      <c r="AO1296" s="15">
        <v>1260000.0</v>
      </c>
      <c r="AP1296" s="15">
        <v>812740.0</v>
      </c>
      <c r="AQ1296" s="15">
        <v>382120.0</v>
      </c>
      <c r="AR1296" s="15">
        <v>-130310.0</v>
      </c>
      <c r="AS1296" s="15">
        <v>1400000.0</v>
      </c>
      <c r="AT1296" s="15">
        <v>1420000.0</v>
      </c>
      <c r="AU1296" s="15">
        <v>739610.0</v>
      </c>
      <c r="AV1296" s="15">
        <v>852770.0</v>
      </c>
      <c r="AW1296" s="15">
        <v>1040000.0</v>
      </c>
      <c r="AX1296" s="15">
        <v>-451950.0</v>
      </c>
      <c r="AY1296" s="15">
        <v>-239390.0</v>
      </c>
      <c r="AZ1296" s="15">
        <v>-164940.0</v>
      </c>
      <c r="BA1296" s="15">
        <v>-198160.0</v>
      </c>
      <c r="BB1296" s="15">
        <v>-114500.0</v>
      </c>
      <c r="BC1296" s="15">
        <v>-200270.0</v>
      </c>
      <c r="BD1296" s="15">
        <v>-168910.0</v>
      </c>
      <c r="BE1296" s="15">
        <v>-145570.0</v>
      </c>
      <c r="BF1296" s="15">
        <v>-135770.0</v>
      </c>
      <c r="BG1296" s="15">
        <v>-127570.0</v>
      </c>
      <c r="BH1296" s="15">
        <v>1640000.0</v>
      </c>
      <c r="BI1296" s="15">
        <v>1060000.0</v>
      </c>
      <c r="BJ1296" s="15">
        <v>1030000.0</v>
      </c>
      <c r="BK1296" s="15">
        <v>841480.0</v>
      </c>
      <c r="BL1296" s="15">
        <v>727030.0</v>
      </c>
      <c r="BM1296" s="15">
        <v>844340.0</v>
      </c>
      <c r="BN1296" s="15">
        <v>1040000.0</v>
      </c>
      <c r="BO1296" s="15">
        <v>868840.0</v>
      </c>
      <c r="BP1296" s="15">
        <v>729780.0</v>
      </c>
      <c r="BQ1296" s="15">
        <v>613610.0</v>
      </c>
      <c r="BR1296" s="15">
        <v>1690000.0</v>
      </c>
      <c r="BS1296" s="15">
        <v>1860000.0</v>
      </c>
      <c r="BT1296" s="15">
        <v>1520000.0</v>
      </c>
      <c r="BU1296" s="15">
        <v>1280000.0</v>
      </c>
      <c r="BV1296" s="15">
        <v>1150000.0</v>
      </c>
      <c r="BW1296" s="15">
        <v>4250000.0</v>
      </c>
      <c r="BX1296" s="15">
        <v>4030000.0</v>
      </c>
      <c r="BY1296" s="15">
        <v>3510000.0</v>
      </c>
      <c r="BZ1296" s="15">
        <v>2930000.0</v>
      </c>
      <c r="CA1296" s="15">
        <v>2540000.0</v>
      </c>
      <c r="CB1296" s="15">
        <v>3210000.0</v>
      </c>
      <c r="CC1296" s="15">
        <v>2950000.0</v>
      </c>
      <c r="CD1296" s="15">
        <v>2680000.0</v>
      </c>
      <c r="CE1296" s="15">
        <v>2790000.0</v>
      </c>
      <c r="CF1296" s="15">
        <v>2950000.0</v>
      </c>
      <c r="CG1296" s="15">
        <v>452920.0</v>
      </c>
      <c r="CH1296" s="15">
        <v>429650.0</v>
      </c>
      <c r="CI1296" s="15">
        <v>386890.0</v>
      </c>
      <c r="CJ1296" s="15">
        <v>393350.0</v>
      </c>
      <c r="CK1296" s="15">
        <v>397470.0</v>
      </c>
      <c r="CL1296" s="15">
        <v>7750000.0</v>
      </c>
      <c r="CM1296" s="15">
        <v>7750000.0</v>
      </c>
      <c r="CN1296" s="15">
        <v>6900000.0</v>
      </c>
      <c r="CO1296" s="15">
        <v>6420000.0</v>
      </c>
      <c r="CP1296" s="15">
        <v>6320000.0</v>
      </c>
      <c r="CQ1296" s="15">
        <v>513340.0</v>
      </c>
      <c r="CR1296" s="15">
        <v>550750.0</v>
      </c>
      <c r="CS1296" s="15">
        <v>489450.0</v>
      </c>
      <c r="CT1296" s="15">
        <v>395200.0</v>
      </c>
      <c r="CU1296" s="15">
        <v>283360.0</v>
      </c>
      <c r="CV1296" s="15">
        <v>1010000.0</v>
      </c>
      <c r="CW1296" s="15">
        <v>17530.0</v>
      </c>
      <c r="CX1296" s="16">
        <v>0.0</v>
      </c>
      <c r="CY1296" s="16">
        <v>0.0</v>
      </c>
      <c r="CZ1296" s="16">
        <v>0.0</v>
      </c>
      <c r="DA1296" s="15">
        <v>0.0</v>
      </c>
      <c r="DB1296" s="15">
        <v>1010000.0</v>
      </c>
      <c r="DC1296" s="15">
        <v>1020000.0</v>
      </c>
      <c r="DD1296" s="15">
        <v>868520.0</v>
      </c>
      <c r="DE1296" s="15">
        <v>712820.0</v>
      </c>
      <c r="DF1296" s="15">
        <v>3690000.0</v>
      </c>
      <c r="DG1296" s="15">
        <v>3860000.0</v>
      </c>
      <c r="DH1296" s="15">
        <v>3590000.0</v>
      </c>
      <c r="DI1296" s="15">
        <v>3540000.0</v>
      </c>
      <c r="DJ1296" s="15">
        <v>3640000.0</v>
      </c>
      <c r="DK1296" s="15">
        <v>5900.0</v>
      </c>
      <c r="DL1296" s="15">
        <v>6200.0</v>
      </c>
      <c r="DM1296" s="15">
        <v>16940.0</v>
      </c>
      <c r="DN1296" s="15">
        <v>18060.0</v>
      </c>
      <c r="DO1296" s="15">
        <v>25970.0</v>
      </c>
      <c r="DP1296" s="15">
        <v>2700000.0</v>
      </c>
      <c r="DQ1296" s="15">
        <v>2350000.0</v>
      </c>
      <c r="DR1296" s="15">
        <v>2350000.0</v>
      </c>
      <c r="DS1296" s="15">
        <v>2350000.0</v>
      </c>
      <c r="DT1296" s="15">
        <v>2580000.0</v>
      </c>
      <c r="DU1296" s="16">
        <v>0.0</v>
      </c>
      <c r="DV1296" s="15">
        <v>0.0</v>
      </c>
      <c r="DW1296" s="15">
        <v>0.0</v>
      </c>
      <c r="DX1296" s="16">
        <v>0.0</v>
      </c>
      <c r="DY1296" s="16">
        <v>0.0</v>
      </c>
      <c r="DZ1296" s="15">
        <v>4080000.0</v>
      </c>
      <c r="EA1296" s="15">
        <v>3940000.0</v>
      </c>
      <c r="EB1296" s="15">
        <v>3350000.0</v>
      </c>
      <c r="EC1296" s="15">
        <v>2930000.0</v>
      </c>
      <c r="ED1296" s="15">
        <v>2680000.0</v>
      </c>
      <c r="EE1296" s="17">
        <v>0.091</v>
      </c>
      <c r="EF1296" s="17">
        <v>0.177</v>
      </c>
      <c r="EG1296" s="17">
        <v>0.114</v>
      </c>
      <c r="EH1296" s="17">
        <v>0.055</v>
      </c>
    </row>
    <row r="1297">
      <c r="A1297" s="9">
        <f t="shared" si="2"/>
        <v>1295</v>
      </c>
      <c r="B1297" s="10" t="s">
        <v>1432</v>
      </c>
      <c r="C1297" s="15">
        <v>1.031E7</v>
      </c>
      <c r="D1297" s="15">
        <v>9050000.0</v>
      </c>
      <c r="E1297" s="15">
        <v>8540000.0</v>
      </c>
      <c r="F1297" s="15">
        <v>8190000.0</v>
      </c>
      <c r="G1297" s="15">
        <v>7400000.0</v>
      </c>
      <c r="H1297" s="15">
        <v>6300000.0</v>
      </c>
      <c r="I1297" s="15">
        <v>6220000.0</v>
      </c>
      <c r="J1297" s="15">
        <v>3350000.0</v>
      </c>
      <c r="K1297" s="15">
        <v>3270000.0</v>
      </c>
      <c r="L1297" s="15">
        <v>2880000.0</v>
      </c>
      <c r="M1297" s="15">
        <v>2230000.0</v>
      </c>
      <c r="N1297" s="15">
        <v>2200000.0</v>
      </c>
      <c r="O1297" s="15">
        <v>2400000.0</v>
      </c>
      <c r="P1297" s="15">
        <v>2230000.0</v>
      </c>
      <c r="Q1297" s="15">
        <v>2150000.0</v>
      </c>
      <c r="R1297" s="15">
        <v>2120000.0</v>
      </c>
      <c r="S1297" s="15">
        <v>2180000.0</v>
      </c>
      <c r="T1297" s="15">
        <v>1430000.0</v>
      </c>
      <c r="U1297" s="15">
        <v>1300000.0</v>
      </c>
      <c r="V1297" s="15">
        <v>1270000.0</v>
      </c>
      <c r="W1297" s="15">
        <v>1300000.0</v>
      </c>
      <c r="X1297" s="15">
        <v>1390000.0</v>
      </c>
      <c r="Y1297" s="15">
        <v>936340.0</v>
      </c>
      <c r="Z1297" s="15">
        <v>-24580.0</v>
      </c>
      <c r="AA1297" s="15">
        <v>665820.0</v>
      </c>
      <c r="AB1297" s="15">
        <v>-88590.0</v>
      </c>
      <c r="AC1297" s="15">
        <v>-45990.0</v>
      </c>
      <c r="AD1297" s="15">
        <v>948850.0</v>
      </c>
      <c r="AE1297" s="15">
        <v>1050000.0</v>
      </c>
      <c r="AF1297" s="15">
        <v>736740.0</v>
      </c>
      <c r="AG1297" s="15">
        <v>85880.0</v>
      </c>
      <c r="AH1297" s="15">
        <v>-23450.0</v>
      </c>
      <c r="AI1297" s="15">
        <v>1710000.0</v>
      </c>
      <c r="AJ1297" s="15">
        <v>1710000.0</v>
      </c>
      <c r="AK1297" s="15">
        <v>1300000.0</v>
      </c>
      <c r="AL1297" s="15">
        <v>734050.0</v>
      </c>
      <c r="AM1297" s="15">
        <v>673630.0</v>
      </c>
      <c r="AN1297" s="15">
        <v>922050.0</v>
      </c>
      <c r="AO1297" s="15">
        <v>1090000.0</v>
      </c>
      <c r="AP1297" s="15">
        <v>711030.0</v>
      </c>
      <c r="AQ1297" s="15">
        <v>149160.0</v>
      </c>
      <c r="AR1297" s="15">
        <v>93780.0</v>
      </c>
      <c r="AS1297" s="15">
        <v>1670000.0</v>
      </c>
      <c r="AT1297" s="15">
        <v>1560000.0</v>
      </c>
      <c r="AU1297" s="15">
        <v>1510000.0</v>
      </c>
      <c r="AV1297" s="15">
        <v>942870.0</v>
      </c>
      <c r="AW1297" s="15">
        <v>759300.0</v>
      </c>
      <c r="AX1297" s="15">
        <v>-1120000.0</v>
      </c>
      <c r="AY1297" s="15">
        <v>-1110000.0</v>
      </c>
      <c r="AZ1297" s="15">
        <v>-1220000.0</v>
      </c>
      <c r="BA1297" s="15">
        <v>-590310.0</v>
      </c>
      <c r="BB1297" s="15">
        <v>-509500.0</v>
      </c>
      <c r="BC1297" s="15">
        <v>-191200.0</v>
      </c>
      <c r="BD1297" s="15">
        <v>-183090.0</v>
      </c>
      <c r="BE1297" s="15">
        <v>-189730.0</v>
      </c>
      <c r="BF1297" s="15">
        <v>-226900.0</v>
      </c>
      <c r="BG1297" s="15">
        <v>-315620.0</v>
      </c>
      <c r="BH1297" s="15">
        <v>2440000.0</v>
      </c>
      <c r="BI1297" s="15">
        <v>2270000.0</v>
      </c>
      <c r="BJ1297" s="15">
        <v>1860000.0</v>
      </c>
      <c r="BK1297" s="15">
        <v>1860000.0</v>
      </c>
      <c r="BL1297" s="15">
        <v>1950000.0</v>
      </c>
      <c r="BM1297" s="15">
        <v>1500000.0</v>
      </c>
      <c r="BN1297" s="15">
        <v>1310000.0</v>
      </c>
      <c r="BO1297" s="15">
        <v>1170000.0</v>
      </c>
      <c r="BP1297" s="15">
        <v>1070000.0</v>
      </c>
      <c r="BQ1297" s="15">
        <v>1000000.0</v>
      </c>
      <c r="BR1297" s="15">
        <v>1510000.0</v>
      </c>
      <c r="BS1297" s="15">
        <v>1370000.0</v>
      </c>
      <c r="BT1297" s="15">
        <v>1110000.0</v>
      </c>
      <c r="BU1297" s="15">
        <v>1110000.0</v>
      </c>
      <c r="BV1297" s="15">
        <v>1150000.0</v>
      </c>
      <c r="BW1297" s="15">
        <v>5570000.0</v>
      </c>
      <c r="BX1297" s="15">
        <v>5120000.0</v>
      </c>
      <c r="BY1297" s="15">
        <v>4250000.0</v>
      </c>
      <c r="BZ1297" s="15">
        <v>4160000.0</v>
      </c>
      <c r="CA1297" s="15">
        <v>4310000.0</v>
      </c>
      <c r="CB1297" s="15">
        <v>3570000.0</v>
      </c>
      <c r="CC1297" s="15">
        <v>3060000.0</v>
      </c>
      <c r="CD1297" s="15">
        <v>2580000.0</v>
      </c>
      <c r="CE1297" s="15">
        <v>2170000.0</v>
      </c>
      <c r="CF1297" s="15">
        <v>2140000.0</v>
      </c>
      <c r="CG1297" s="15">
        <v>144320.0</v>
      </c>
      <c r="CH1297" s="15">
        <v>105850.0</v>
      </c>
      <c r="CI1297" s="15">
        <v>102430.0</v>
      </c>
      <c r="CJ1297" s="15">
        <v>109980.0</v>
      </c>
      <c r="CK1297" s="15">
        <v>69960.0</v>
      </c>
      <c r="CL1297" s="15">
        <v>1.057E7</v>
      </c>
      <c r="CM1297" s="15">
        <v>9510000.0</v>
      </c>
      <c r="CN1297" s="15">
        <v>8060000.0</v>
      </c>
      <c r="CO1297" s="15">
        <v>7590000.0</v>
      </c>
      <c r="CP1297" s="15">
        <v>7540000.0</v>
      </c>
      <c r="CQ1297" s="15">
        <v>846330.0</v>
      </c>
      <c r="CR1297" s="15">
        <v>858160.0</v>
      </c>
      <c r="CS1297" s="15">
        <v>743670.0</v>
      </c>
      <c r="CT1297" s="15">
        <v>587820.0</v>
      </c>
      <c r="CU1297" s="15">
        <v>483290.0</v>
      </c>
      <c r="CV1297" s="15">
        <v>1840000.0</v>
      </c>
      <c r="CW1297" s="15">
        <v>49000.0</v>
      </c>
      <c r="CX1297" s="15">
        <v>0.0</v>
      </c>
      <c r="CY1297" s="16">
        <v>0.0</v>
      </c>
      <c r="CZ1297" s="16">
        <v>0.0</v>
      </c>
      <c r="DA1297" s="15">
        <v>0.0</v>
      </c>
      <c r="DB1297" s="15">
        <v>1840000.0</v>
      </c>
      <c r="DC1297" s="15">
        <v>1850000.0</v>
      </c>
      <c r="DD1297" s="15">
        <v>1680000.0</v>
      </c>
      <c r="DE1297" s="15">
        <v>1510000.0</v>
      </c>
      <c r="DF1297" s="15">
        <v>4240000.0</v>
      </c>
      <c r="DG1297" s="15">
        <v>3890000.0</v>
      </c>
      <c r="DH1297" s="15">
        <v>3510000.0</v>
      </c>
      <c r="DI1297" s="15">
        <v>3230000.0</v>
      </c>
      <c r="DJ1297" s="15">
        <v>3220000.0</v>
      </c>
      <c r="DK1297" s="15">
        <v>30290.0</v>
      </c>
      <c r="DL1297" s="15">
        <v>69980.0</v>
      </c>
      <c r="DM1297" s="15">
        <v>64120.0</v>
      </c>
      <c r="DN1297" s="15">
        <v>72050.0</v>
      </c>
      <c r="DO1297" s="15">
        <v>69960.0</v>
      </c>
      <c r="DP1297" s="15">
        <v>1830000.0</v>
      </c>
      <c r="DQ1297" s="15">
        <v>1540000.0</v>
      </c>
      <c r="DR1297" s="15">
        <v>1320000.0</v>
      </c>
      <c r="DS1297" s="15">
        <v>1260000.0</v>
      </c>
      <c r="DT1297" s="15">
        <v>1310000.0</v>
      </c>
      <c r="DU1297" s="16">
        <v>0.0</v>
      </c>
      <c r="DV1297" s="15">
        <v>0.0</v>
      </c>
      <c r="DW1297" s="15">
        <v>0.0</v>
      </c>
      <c r="DX1297" s="15">
        <v>0.0</v>
      </c>
      <c r="DY1297" s="15">
        <v>0.0</v>
      </c>
      <c r="DZ1297" s="15">
        <v>6270000.0</v>
      </c>
      <c r="EA1297" s="15">
        <v>5560000.0</v>
      </c>
      <c r="EB1297" s="15">
        <v>4500000.0</v>
      </c>
      <c r="EC1297" s="15">
        <v>4300000.0</v>
      </c>
      <c r="ED1297" s="15">
        <v>4260000.0</v>
      </c>
      <c r="EE1297" s="17">
        <v>0.045</v>
      </c>
      <c r="EF1297" s="17">
        <v>0.193</v>
      </c>
      <c r="EG1297" s="17">
        <v>-0.087</v>
      </c>
      <c r="EH1297" s="17">
        <v>0.062</v>
      </c>
    </row>
    <row r="1298">
      <c r="A1298" s="9">
        <f t="shared" si="2"/>
        <v>1296</v>
      </c>
      <c r="B1298" s="10" t="s">
        <v>1433</v>
      </c>
      <c r="C1298" s="12">
        <v>3020000.0</v>
      </c>
      <c r="D1298" s="12">
        <v>2830000.0</v>
      </c>
      <c r="E1298" s="11">
        <v>4830000.0</v>
      </c>
      <c r="F1298" s="11">
        <v>4280000.0</v>
      </c>
      <c r="G1298" s="11">
        <v>4030000.0</v>
      </c>
      <c r="H1298" s="11">
        <v>4300000.0</v>
      </c>
      <c r="I1298" s="11">
        <v>2880000.0</v>
      </c>
      <c r="J1298" s="11">
        <v>1770000.0</v>
      </c>
      <c r="K1298" s="11">
        <v>1700000.0</v>
      </c>
      <c r="L1298" s="11">
        <v>1640000.0</v>
      </c>
      <c r="M1298" s="11">
        <v>1550000.0</v>
      </c>
      <c r="N1298" s="11">
        <v>1210000.0</v>
      </c>
      <c r="O1298" s="11">
        <v>1440000.0</v>
      </c>
      <c r="P1298" s="11">
        <v>1440000.0</v>
      </c>
      <c r="Q1298" s="11">
        <v>1420000.0</v>
      </c>
      <c r="R1298" s="11">
        <v>1320000.0</v>
      </c>
      <c r="S1298" s="11">
        <v>991750.0</v>
      </c>
      <c r="T1298" s="12"/>
      <c r="U1298" s="12"/>
      <c r="V1298" s="12"/>
      <c r="W1298" s="12"/>
      <c r="X1298" s="12"/>
      <c r="Y1298" s="11">
        <v>325600.0</v>
      </c>
      <c r="Z1298" s="11">
        <v>250400.0</v>
      </c>
      <c r="AA1298" s="11">
        <v>700.0</v>
      </c>
      <c r="AB1298" s="11">
        <v>215630.0</v>
      </c>
      <c r="AC1298" s="11">
        <v>216350.0</v>
      </c>
      <c r="AD1298" s="11">
        <v>253200.0</v>
      </c>
      <c r="AE1298" s="11">
        <v>217400.0</v>
      </c>
      <c r="AF1298" s="11">
        <v>251200.0</v>
      </c>
      <c r="AG1298" s="11">
        <v>178410.0</v>
      </c>
      <c r="AH1298" s="11">
        <v>209560.0</v>
      </c>
      <c r="AI1298" s="11">
        <v>564500.0</v>
      </c>
      <c r="AJ1298" s="11">
        <v>370400.0</v>
      </c>
      <c r="AK1298" s="11">
        <v>344600.0</v>
      </c>
      <c r="AL1298" s="11">
        <v>355700.0</v>
      </c>
      <c r="AM1298" s="11">
        <v>300840.0</v>
      </c>
      <c r="AN1298" s="11">
        <v>194400.0</v>
      </c>
      <c r="AO1298" s="11">
        <v>171300.0</v>
      </c>
      <c r="AP1298" s="11">
        <v>97000.0</v>
      </c>
      <c r="AQ1298" s="11">
        <v>130550.0</v>
      </c>
      <c r="AR1298" s="11">
        <v>156380.0</v>
      </c>
      <c r="AS1298" s="11">
        <v>452500.0</v>
      </c>
      <c r="AT1298" s="11">
        <v>172600.0</v>
      </c>
      <c r="AU1298" s="11">
        <v>263700.0</v>
      </c>
      <c r="AV1298" s="11">
        <v>286490.0</v>
      </c>
      <c r="AW1298" s="11">
        <v>208450.0</v>
      </c>
      <c r="AX1298" s="11">
        <v>-60300.0</v>
      </c>
      <c r="AY1298" s="11">
        <v>-134200.0</v>
      </c>
      <c r="AZ1298" s="11">
        <v>-64100.0</v>
      </c>
      <c r="BA1298" s="11">
        <v>-65830.0</v>
      </c>
      <c r="BB1298" s="11">
        <v>-41680.0</v>
      </c>
      <c r="BC1298" s="24">
        <v>-64000.0</v>
      </c>
      <c r="BD1298" s="24">
        <v>-61300.0</v>
      </c>
      <c r="BE1298" s="24">
        <v>-55500.0</v>
      </c>
      <c r="BF1298" s="24">
        <v>-46110.0</v>
      </c>
      <c r="BG1298" s="24">
        <v>-38330.0</v>
      </c>
      <c r="BH1298" s="11">
        <v>223500.0</v>
      </c>
      <c r="BI1298" s="11">
        <v>185200.0</v>
      </c>
      <c r="BJ1298" s="11">
        <v>247400.0</v>
      </c>
      <c r="BK1298" s="11">
        <v>219750.0</v>
      </c>
      <c r="BL1298" s="11">
        <v>75990.0</v>
      </c>
      <c r="BM1298" s="11">
        <v>1300000.0</v>
      </c>
      <c r="BN1298" s="11">
        <v>1370000.0</v>
      </c>
      <c r="BO1298" s="11">
        <v>1290000.0</v>
      </c>
      <c r="BP1298" s="11">
        <v>1270000.0</v>
      </c>
      <c r="BQ1298" s="11">
        <v>819270.0</v>
      </c>
      <c r="BR1298" s="12"/>
      <c r="BS1298" s="12"/>
      <c r="BT1298" s="12"/>
      <c r="BU1298" s="12"/>
      <c r="BV1298" s="12"/>
      <c r="BW1298" s="11">
        <v>1580000.0</v>
      </c>
      <c r="BX1298" s="11">
        <v>1640000.0</v>
      </c>
      <c r="BY1298" s="11">
        <v>1610000.0</v>
      </c>
      <c r="BZ1298" s="11">
        <v>1580000.0</v>
      </c>
      <c r="CA1298" s="11">
        <v>951390.0</v>
      </c>
      <c r="CB1298" s="11">
        <v>845000.0</v>
      </c>
      <c r="CC1298" s="11">
        <v>289400.0</v>
      </c>
      <c r="CD1298" s="11">
        <v>212600.0</v>
      </c>
      <c r="CE1298" s="11">
        <v>213930.0</v>
      </c>
      <c r="CF1298" s="11">
        <v>158090.0</v>
      </c>
      <c r="CG1298" s="11">
        <v>1650000.0</v>
      </c>
      <c r="CH1298" s="11">
        <v>1620000.0</v>
      </c>
      <c r="CI1298" s="11">
        <v>1560000.0</v>
      </c>
      <c r="CJ1298" s="11">
        <v>1830000.0</v>
      </c>
      <c r="CK1298" s="11">
        <v>966480.0</v>
      </c>
      <c r="CL1298" s="11">
        <v>4560000.0</v>
      </c>
      <c r="CM1298" s="11">
        <v>4010000.0</v>
      </c>
      <c r="CN1298" s="11">
        <v>3880000.0</v>
      </c>
      <c r="CO1298" s="11">
        <v>4280000.0</v>
      </c>
      <c r="CP1298" s="11">
        <v>2340000.0</v>
      </c>
      <c r="CQ1298" s="11">
        <v>225500.0</v>
      </c>
      <c r="CR1298" s="11">
        <v>222600.0</v>
      </c>
      <c r="CS1298" s="11">
        <v>367100.0</v>
      </c>
      <c r="CT1298" s="11">
        <v>363940.0</v>
      </c>
      <c r="CU1298" s="11">
        <v>123400.0</v>
      </c>
      <c r="CV1298" s="11">
        <v>1010000.0</v>
      </c>
      <c r="CW1298" s="11">
        <v>19500.0</v>
      </c>
      <c r="CX1298" s="13"/>
      <c r="CY1298" s="13"/>
      <c r="CZ1298" s="13"/>
      <c r="DA1298" s="12"/>
      <c r="DB1298" s="11">
        <v>1010000.0</v>
      </c>
      <c r="DC1298" s="11">
        <v>858600.0</v>
      </c>
      <c r="DD1298" s="11">
        <v>1160000.0</v>
      </c>
      <c r="DE1298" s="11">
        <v>1070000.0</v>
      </c>
      <c r="DF1298" s="11">
        <v>2680000.0</v>
      </c>
      <c r="DG1298" s="11">
        <v>2100000.0</v>
      </c>
      <c r="DH1298" s="11">
        <v>1980000.0</v>
      </c>
      <c r="DI1298" s="11">
        <v>2310000.0</v>
      </c>
      <c r="DJ1298" s="11">
        <v>1020000.0</v>
      </c>
      <c r="DK1298" s="11">
        <v>8800.0</v>
      </c>
      <c r="DL1298" s="11">
        <v>9400.0</v>
      </c>
      <c r="DM1298" s="11">
        <v>11900.0</v>
      </c>
      <c r="DN1298" s="11">
        <v>9220.0</v>
      </c>
      <c r="DO1298" s="24">
        <v>4470.0</v>
      </c>
      <c r="DP1298" s="11">
        <v>1400000.0</v>
      </c>
      <c r="DQ1298" s="11">
        <v>885200.0</v>
      </c>
      <c r="DR1298" s="11">
        <v>541400.0</v>
      </c>
      <c r="DS1298" s="11">
        <v>928590.0</v>
      </c>
      <c r="DT1298" s="11">
        <v>232300.0</v>
      </c>
      <c r="DU1298" s="13"/>
      <c r="DV1298" s="12"/>
      <c r="DW1298" s="12"/>
      <c r="DX1298" s="13"/>
      <c r="DY1298" s="13"/>
      <c r="DZ1298" s="11">
        <v>1880000.0</v>
      </c>
      <c r="EA1298" s="11">
        <v>1910000.0</v>
      </c>
      <c r="EB1298" s="11">
        <v>1900000.0</v>
      </c>
      <c r="EC1298" s="11">
        <v>1980000.0</v>
      </c>
      <c r="ED1298" s="11">
        <v>1320000.0</v>
      </c>
      <c r="EE1298" s="23">
        <v>0.084805654</v>
      </c>
      <c r="EF1298" s="23">
        <v>0.155629139</v>
      </c>
      <c r="EG1298" s="14">
        <v>-0.265</v>
      </c>
      <c r="EH1298" s="23">
        <v>-0.03975</v>
      </c>
    </row>
    <row r="1299">
      <c r="A1299" s="9">
        <f t="shared" si="2"/>
        <v>1297</v>
      </c>
      <c r="B1299" s="10" t="s">
        <v>1434</v>
      </c>
      <c r="C1299" s="11">
        <v>971850.0</v>
      </c>
      <c r="D1299" s="11">
        <v>1070000.0</v>
      </c>
      <c r="E1299" s="11">
        <v>704330.0</v>
      </c>
      <c r="F1299" s="11">
        <v>585050.0</v>
      </c>
      <c r="G1299" s="11">
        <v>512730.0</v>
      </c>
      <c r="H1299" s="11">
        <v>522750.0</v>
      </c>
      <c r="I1299" s="11">
        <v>755710.0</v>
      </c>
      <c r="J1299" s="11">
        <v>192270.0</v>
      </c>
      <c r="K1299" s="11">
        <v>63090.0</v>
      </c>
      <c r="L1299" s="11">
        <v>56600.0</v>
      </c>
      <c r="M1299" s="11">
        <v>133730.0</v>
      </c>
      <c r="N1299" s="11">
        <v>372500.0</v>
      </c>
      <c r="O1299" s="11">
        <v>62300.0</v>
      </c>
      <c r="P1299" s="11">
        <v>52270.0</v>
      </c>
      <c r="Q1299" s="11">
        <v>47510.0</v>
      </c>
      <c r="R1299" s="11">
        <v>54900.0</v>
      </c>
      <c r="S1299" s="11">
        <v>65830.0</v>
      </c>
      <c r="T1299" s="12"/>
      <c r="U1299" s="12"/>
      <c r="V1299" s="12"/>
      <c r="W1299" s="12"/>
      <c r="X1299" s="12"/>
      <c r="Y1299" s="11">
        <v>128510.0</v>
      </c>
      <c r="Z1299" s="11">
        <v>-20510.0</v>
      </c>
      <c r="AA1299" s="11">
        <v>-29490.0</v>
      </c>
      <c r="AB1299" s="11">
        <v>65800.0</v>
      </c>
      <c r="AC1299" s="11">
        <v>303380.0</v>
      </c>
      <c r="AD1299" s="11">
        <v>-48490.0</v>
      </c>
      <c r="AE1299" s="11">
        <v>-190070.0</v>
      </c>
      <c r="AF1299" s="11">
        <v>-158240.0</v>
      </c>
      <c r="AG1299" s="11">
        <v>-24900.0</v>
      </c>
      <c r="AH1299" s="11">
        <v>217750.0</v>
      </c>
      <c r="AI1299" s="11">
        <v>336940.0</v>
      </c>
      <c r="AJ1299" s="11">
        <v>187540.0</v>
      </c>
      <c r="AK1299" s="11">
        <v>150510.0</v>
      </c>
      <c r="AL1299" s="11">
        <v>200290.0</v>
      </c>
      <c r="AM1299" s="11">
        <v>414030.0</v>
      </c>
      <c r="AN1299" s="11">
        <v>-48490.0</v>
      </c>
      <c r="AO1299" s="11">
        <v>-190070.0</v>
      </c>
      <c r="AP1299" s="11">
        <v>-158240.0</v>
      </c>
      <c r="AQ1299" s="11">
        <v>-24900.0</v>
      </c>
      <c r="AR1299" s="11">
        <v>217750.0</v>
      </c>
      <c r="AS1299" s="11">
        <v>209510.0</v>
      </c>
      <c r="AT1299" s="11">
        <v>57790.0</v>
      </c>
      <c r="AU1299" s="11">
        <v>41800.0</v>
      </c>
      <c r="AV1299" s="11">
        <v>178510.0</v>
      </c>
      <c r="AW1299" s="11">
        <v>391980.0</v>
      </c>
      <c r="AX1299" s="11">
        <v>-206970.0</v>
      </c>
      <c r="AY1299" s="11">
        <v>-52740.0</v>
      </c>
      <c r="AZ1299" s="11">
        <v>-264230.0</v>
      </c>
      <c r="BA1299" s="11">
        <v>-126840.0</v>
      </c>
      <c r="BB1299" s="11">
        <v>-905400.0</v>
      </c>
      <c r="BC1299" s="11">
        <v>-21280.0</v>
      </c>
      <c r="BD1299" s="11">
        <v>-15130.0</v>
      </c>
      <c r="BE1299" s="11">
        <v>-9560.0</v>
      </c>
      <c r="BF1299" s="11">
        <v>-86920.0</v>
      </c>
      <c r="BG1299" s="11">
        <v>-87060.0</v>
      </c>
      <c r="BH1299" s="11">
        <v>202300.0</v>
      </c>
      <c r="BI1299" s="11">
        <v>593650.0</v>
      </c>
      <c r="BJ1299" s="11">
        <v>186460.0</v>
      </c>
      <c r="BK1299" s="11">
        <v>100000.0</v>
      </c>
      <c r="BL1299" s="11">
        <v>200970.0</v>
      </c>
      <c r="BM1299" s="11">
        <v>78170.0</v>
      </c>
      <c r="BN1299" s="11">
        <v>69720.0</v>
      </c>
      <c r="BO1299" s="11">
        <v>65460.0</v>
      </c>
      <c r="BP1299" s="11">
        <v>42330.0</v>
      </c>
      <c r="BQ1299" s="11">
        <v>69020.0</v>
      </c>
      <c r="BR1299" s="11">
        <v>8650.0</v>
      </c>
      <c r="BS1299" s="11">
        <v>8300.0</v>
      </c>
      <c r="BT1299" s="11">
        <v>9710.0</v>
      </c>
      <c r="BU1299" s="11">
        <v>6120.0</v>
      </c>
      <c r="BV1299" s="11">
        <v>6580.0</v>
      </c>
      <c r="BW1299" s="11">
        <v>302980.0</v>
      </c>
      <c r="BX1299" s="11">
        <v>687340.0</v>
      </c>
      <c r="BY1299" s="11">
        <v>279350.0</v>
      </c>
      <c r="BZ1299" s="11">
        <v>157520.0</v>
      </c>
      <c r="CA1299" s="11">
        <v>280150.0</v>
      </c>
      <c r="CB1299" s="11">
        <v>4720000.0</v>
      </c>
      <c r="CC1299" s="11">
        <v>4000000.0</v>
      </c>
      <c r="CD1299" s="11">
        <v>4150000.0</v>
      </c>
      <c r="CE1299" s="11">
        <v>3050000.0</v>
      </c>
      <c r="CF1299" s="11">
        <v>3220000.0</v>
      </c>
      <c r="CG1299" s="11">
        <v>11540.0</v>
      </c>
      <c r="CH1299" s="11">
        <v>11540.0</v>
      </c>
      <c r="CI1299" s="11">
        <v>11480.0</v>
      </c>
      <c r="CJ1299" s="11"/>
      <c r="CK1299" s="11"/>
      <c r="CL1299" s="11">
        <v>5160000.0</v>
      </c>
      <c r="CM1299" s="11">
        <v>4780000.0</v>
      </c>
      <c r="CN1299" s="11">
        <v>4500000.0</v>
      </c>
      <c r="CO1299" s="11">
        <v>3230000.0</v>
      </c>
      <c r="CP1299" s="11">
        <v>3520000.0</v>
      </c>
      <c r="CQ1299" s="11">
        <v>23120.0</v>
      </c>
      <c r="CR1299" s="11">
        <v>11870.0</v>
      </c>
      <c r="CS1299" s="11">
        <v>13040.0</v>
      </c>
      <c r="CT1299" s="11">
        <v>9280.0</v>
      </c>
      <c r="CU1299" s="11">
        <v>25680.0</v>
      </c>
      <c r="CV1299" s="11">
        <v>486230.0</v>
      </c>
      <c r="CW1299" s="11">
        <v>63950.0</v>
      </c>
      <c r="CX1299" s="12"/>
      <c r="CY1299" s="12"/>
      <c r="CZ1299" s="12"/>
      <c r="DA1299" s="12"/>
      <c r="DB1299" s="11">
        <v>486230.0</v>
      </c>
      <c r="DC1299" s="11">
        <v>447200.0</v>
      </c>
      <c r="DD1299" s="11">
        <v>209060.0</v>
      </c>
      <c r="DE1299" s="11">
        <v>385320.0</v>
      </c>
      <c r="DF1299" s="11">
        <v>3190000.0</v>
      </c>
      <c r="DG1299" s="11">
        <v>2950000.0</v>
      </c>
      <c r="DH1299" s="11">
        <v>2810000.0</v>
      </c>
      <c r="DI1299" s="11">
        <v>1910000.0</v>
      </c>
      <c r="DJ1299" s="11">
        <v>2110000.0</v>
      </c>
      <c r="DK1299" s="11">
        <v>14040.0</v>
      </c>
      <c r="DL1299" s="11">
        <v>14040.0</v>
      </c>
      <c r="DM1299" s="11">
        <v>11390.0</v>
      </c>
      <c r="DN1299" s="11"/>
      <c r="DO1299" s="12"/>
      <c r="DP1299" s="11">
        <v>2700000.0</v>
      </c>
      <c r="DQ1299" s="11">
        <v>2500000.0</v>
      </c>
      <c r="DR1299" s="11">
        <v>2600000.0</v>
      </c>
      <c r="DS1299" s="11">
        <v>1530000.0</v>
      </c>
      <c r="DT1299" s="11">
        <v>1870000.0</v>
      </c>
      <c r="DU1299" s="13"/>
      <c r="DV1299" s="12"/>
      <c r="DW1299" s="12"/>
      <c r="DX1299" s="12"/>
      <c r="DY1299" s="12"/>
      <c r="DZ1299" s="11">
        <v>1980000.0</v>
      </c>
      <c r="EA1299" s="11">
        <v>1840000.0</v>
      </c>
      <c r="EB1299" s="11">
        <v>1690000.0</v>
      </c>
      <c r="EC1299" s="11">
        <v>1320000.0</v>
      </c>
      <c r="ED1299" s="11">
        <v>1410000.0</v>
      </c>
      <c r="EE1299" s="14">
        <v>0.525</v>
      </c>
      <c r="EF1299" s="14">
        <v>0.313</v>
      </c>
      <c r="EG1299" s="14">
        <v>-0.167</v>
      </c>
      <c r="EH1299" s="14">
        <v>-0.056</v>
      </c>
    </row>
    <row r="1300">
      <c r="A1300" s="9">
        <f t="shared" si="2"/>
        <v>1298</v>
      </c>
      <c r="B1300" s="22" t="s">
        <v>1435</v>
      </c>
      <c r="C1300" s="12"/>
      <c r="D1300" s="12"/>
      <c r="E1300" s="12"/>
      <c r="F1300" s="12"/>
      <c r="G1300" s="12"/>
      <c r="H1300" s="12"/>
      <c r="I1300" s="12"/>
      <c r="J1300" s="11">
        <v>-450.0</v>
      </c>
      <c r="K1300" s="11">
        <v>-214.0</v>
      </c>
      <c r="L1300" s="11">
        <v>-113.0</v>
      </c>
      <c r="M1300" s="12"/>
      <c r="N1300" s="12"/>
      <c r="O1300" s="11">
        <v>35230.0</v>
      </c>
      <c r="P1300" s="11">
        <v>12570.0</v>
      </c>
      <c r="Q1300" s="11">
        <v>5420.0</v>
      </c>
      <c r="R1300" s="12"/>
      <c r="S1300" s="12"/>
      <c r="T1300" s="11">
        <v>23310.0</v>
      </c>
      <c r="U1300" s="11">
        <v>8160.0</v>
      </c>
      <c r="V1300" s="11">
        <v>3490.0</v>
      </c>
      <c r="W1300" s="12"/>
      <c r="X1300" s="12"/>
      <c r="Y1300" s="12"/>
      <c r="Z1300" s="12"/>
      <c r="AA1300" s="12"/>
      <c r="AB1300" s="12"/>
      <c r="AC1300" s="12"/>
      <c r="AD1300" s="11">
        <v>-32330.0</v>
      </c>
      <c r="AE1300" s="11">
        <v>-12520.0</v>
      </c>
      <c r="AF1300" s="11">
        <v>-5560.0</v>
      </c>
      <c r="AG1300" s="12"/>
      <c r="AH1300" s="12"/>
      <c r="AI1300" s="11">
        <v>-35230.0</v>
      </c>
      <c r="AJ1300" s="11">
        <v>-12570.0</v>
      </c>
      <c r="AK1300" s="11">
        <v>-5420.0</v>
      </c>
      <c r="AL1300" s="12"/>
      <c r="AM1300" s="12"/>
      <c r="AN1300" s="11">
        <v>-32330.0</v>
      </c>
      <c r="AO1300" s="11">
        <v>-12520.0</v>
      </c>
      <c r="AP1300" s="11">
        <v>-5560.0</v>
      </c>
      <c r="AQ1300" s="12"/>
      <c r="AR1300" s="12"/>
      <c r="AS1300" s="11">
        <v>-31060.0</v>
      </c>
      <c r="AT1300" s="11">
        <v>-10960.0</v>
      </c>
      <c r="AU1300" s="11">
        <v>-5380.0</v>
      </c>
      <c r="AV1300" s="12"/>
      <c r="AW1300" s="12"/>
      <c r="AX1300" s="11">
        <v>-1640.0</v>
      </c>
      <c r="AY1300" s="11">
        <v>-935.0</v>
      </c>
      <c r="AZ1300" s="11">
        <v>-113.0</v>
      </c>
      <c r="BA1300" s="12"/>
      <c r="BB1300" s="12"/>
      <c r="BC1300" s="12"/>
      <c r="BD1300" s="12"/>
      <c r="BE1300" s="12"/>
      <c r="BF1300" s="12"/>
      <c r="BG1300" s="12"/>
      <c r="BH1300" s="11">
        <v>222470.0</v>
      </c>
      <c r="BI1300" s="11">
        <v>105400.0</v>
      </c>
      <c r="BJ1300" s="11">
        <v>1800.0</v>
      </c>
      <c r="BK1300" s="12"/>
      <c r="BL1300" s="12"/>
      <c r="BM1300" s="11">
        <v>281.0</v>
      </c>
      <c r="BN1300" s="11">
        <v>196.0</v>
      </c>
      <c r="BO1300" s="12"/>
      <c r="BP1300" s="12"/>
      <c r="BQ1300" s="12"/>
      <c r="BR1300" s="12"/>
      <c r="BS1300" s="12"/>
      <c r="BT1300" s="12"/>
      <c r="BU1300" s="12"/>
      <c r="BV1300" s="12"/>
      <c r="BW1300" s="11">
        <v>226030.0</v>
      </c>
      <c r="BX1300" s="11">
        <v>106140.0</v>
      </c>
      <c r="BY1300" s="11">
        <v>1910.0</v>
      </c>
      <c r="BZ1300" s="12"/>
      <c r="CA1300" s="12"/>
      <c r="CB1300" s="11">
        <v>2510.0</v>
      </c>
      <c r="CC1300" s="11">
        <v>1190.0</v>
      </c>
      <c r="CD1300" s="11">
        <v>473.0</v>
      </c>
      <c r="CE1300" s="12"/>
      <c r="CF1300" s="12"/>
      <c r="CG1300" s="12"/>
      <c r="CH1300" s="12"/>
      <c r="CI1300" s="12"/>
      <c r="CJ1300" s="12"/>
      <c r="CK1300" s="12"/>
      <c r="CL1300" s="11">
        <v>228750.0</v>
      </c>
      <c r="CM1300" s="11">
        <v>107540.0</v>
      </c>
      <c r="CN1300" s="11">
        <v>2440.0</v>
      </c>
      <c r="CO1300" s="12"/>
      <c r="CP1300" s="12"/>
      <c r="CQ1300" s="11">
        <v>751.0</v>
      </c>
      <c r="CR1300" s="11">
        <v>1070.0</v>
      </c>
      <c r="CS1300" s="11">
        <v>141.0</v>
      </c>
      <c r="CT1300" s="12"/>
      <c r="CU1300" s="12"/>
      <c r="CV1300" s="11">
        <v>4100.0</v>
      </c>
      <c r="CW1300" s="12"/>
      <c r="CX1300" s="12"/>
      <c r="CY1300" s="11">
        <v>3000.0</v>
      </c>
      <c r="CZ1300" s="12"/>
      <c r="DA1300" s="12"/>
      <c r="DB1300" s="11">
        <v>4100.0</v>
      </c>
      <c r="DC1300" s="11">
        <v>2470.0</v>
      </c>
      <c r="DD1300" s="11">
        <v>3720.0</v>
      </c>
      <c r="DE1300" s="12"/>
      <c r="DF1300" s="11">
        <v>4320.0</v>
      </c>
      <c r="DG1300" s="11">
        <v>2470.0</v>
      </c>
      <c r="DH1300" s="11">
        <v>3730.0</v>
      </c>
      <c r="DI1300" s="12"/>
      <c r="DJ1300" s="12"/>
      <c r="DK1300" s="11">
        <v>205.0</v>
      </c>
      <c r="DL1300" s="11">
        <v>204.0</v>
      </c>
      <c r="DM1300" s="24">
        <v>56.0</v>
      </c>
      <c r="DN1300" s="12"/>
      <c r="DO1300" s="12"/>
      <c r="DP1300" s="12"/>
      <c r="DQ1300" s="12"/>
      <c r="DR1300" s="12"/>
      <c r="DS1300" s="12"/>
      <c r="DT1300" s="12"/>
      <c r="DU1300" s="12"/>
      <c r="DV1300" s="24">
        <v>23.0</v>
      </c>
      <c r="DW1300" s="11">
        <v>5.0</v>
      </c>
      <c r="DX1300" s="12"/>
      <c r="DY1300" s="12"/>
      <c r="DZ1300" s="11">
        <v>224430.0</v>
      </c>
      <c r="EA1300" s="11">
        <v>105070.0</v>
      </c>
      <c r="EB1300" s="11">
        <v>-1290.0</v>
      </c>
      <c r="EC1300" s="12"/>
      <c r="ED1300" s="12"/>
      <c r="EE1300" s="23"/>
      <c r="EF1300" s="23"/>
      <c r="EG1300" s="14">
        <v>-0.114</v>
      </c>
      <c r="EH1300" s="14">
        <v>0.172</v>
      </c>
    </row>
    <row r="1301">
      <c r="A1301" s="9">
        <f t="shared" si="2"/>
        <v>1299</v>
      </c>
      <c r="B1301" s="10" t="s">
        <v>1436</v>
      </c>
      <c r="C1301" s="12">
        <v>1400000.0</v>
      </c>
      <c r="D1301" s="12">
        <v>1310000.0</v>
      </c>
      <c r="E1301" s="11">
        <v>1130000.0</v>
      </c>
      <c r="F1301" s="11">
        <v>1040000.0</v>
      </c>
      <c r="G1301" s="11">
        <v>957960.0</v>
      </c>
      <c r="H1301" s="11">
        <v>690120.0</v>
      </c>
      <c r="I1301" s="11">
        <v>623600.0</v>
      </c>
      <c r="J1301" s="11">
        <v>103100.0</v>
      </c>
      <c r="K1301" s="11">
        <v>107930.0</v>
      </c>
      <c r="L1301" s="11">
        <v>87290.0</v>
      </c>
      <c r="M1301" s="11">
        <v>43850.0</v>
      </c>
      <c r="N1301" s="11">
        <v>28950.0</v>
      </c>
      <c r="O1301" s="11">
        <v>49200.0</v>
      </c>
      <c r="P1301" s="11">
        <v>48220.0</v>
      </c>
      <c r="Q1301" s="11">
        <v>46550.0</v>
      </c>
      <c r="R1301" s="11">
        <v>38620.0</v>
      </c>
      <c r="S1301" s="11">
        <v>41880.0</v>
      </c>
      <c r="T1301" s="12"/>
      <c r="U1301" s="12"/>
      <c r="V1301" s="12"/>
      <c r="W1301" s="12"/>
      <c r="X1301" s="12"/>
      <c r="Y1301" s="11">
        <v>20220.0</v>
      </c>
      <c r="Z1301" s="11">
        <v>27510.0</v>
      </c>
      <c r="AA1301" s="11">
        <v>25420.0</v>
      </c>
      <c r="AB1301" s="11">
        <v>4030.0</v>
      </c>
      <c r="AC1301" s="11">
        <v>-240.0</v>
      </c>
      <c r="AD1301" s="11">
        <v>14480.0</v>
      </c>
      <c r="AE1301" s="11">
        <v>31280.0</v>
      </c>
      <c r="AF1301" s="11">
        <v>15940.0</v>
      </c>
      <c r="AG1301" s="11">
        <v>-7320.0</v>
      </c>
      <c r="AH1301" s="11">
        <v>-17180.0</v>
      </c>
      <c r="AI1301" s="11">
        <v>54860.0</v>
      </c>
      <c r="AJ1301" s="11">
        <v>45660.0</v>
      </c>
      <c r="AK1301" s="11">
        <v>44470.0</v>
      </c>
      <c r="AL1301" s="11">
        <v>21280.0</v>
      </c>
      <c r="AM1301" s="11">
        <v>3600.0</v>
      </c>
      <c r="AN1301" s="11">
        <v>39900.0</v>
      </c>
      <c r="AO1301" s="11">
        <v>25190.0</v>
      </c>
      <c r="AP1301" s="11">
        <v>11620.0</v>
      </c>
      <c r="AQ1301" s="11">
        <v>-9240.0</v>
      </c>
      <c r="AR1301" s="11">
        <v>-39180.0</v>
      </c>
      <c r="AS1301" s="11">
        <v>41090.0</v>
      </c>
      <c r="AT1301" s="11">
        <v>39470.0</v>
      </c>
      <c r="AU1301" s="11">
        <v>23010.0</v>
      </c>
      <c r="AV1301" s="11">
        <v>44500.0</v>
      </c>
      <c r="AW1301" s="11">
        <v>8970.0</v>
      </c>
      <c r="AX1301" s="11">
        <v>-15400.0</v>
      </c>
      <c r="AY1301" s="11">
        <v>-13170.0</v>
      </c>
      <c r="AZ1301" s="11">
        <v>-9420.0</v>
      </c>
      <c r="BA1301" s="11">
        <v>-10890.0</v>
      </c>
      <c r="BB1301" s="11">
        <v>-8090.0</v>
      </c>
      <c r="BC1301" s="13"/>
      <c r="BD1301" s="13"/>
      <c r="BE1301" s="13"/>
      <c r="BF1301" s="13"/>
      <c r="BG1301" s="13"/>
      <c r="BH1301" s="11">
        <v>50530.0</v>
      </c>
      <c r="BI1301" s="11">
        <v>98000.0</v>
      </c>
      <c r="BJ1301" s="11">
        <v>86550.0</v>
      </c>
      <c r="BK1301" s="11">
        <v>44790.0</v>
      </c>
      <c r="BL1301" s="11">
        <v>6430.0</v>
      </c>
      <c r="BM1301" s="11">
        <v>300000.0</v>
      </c>
      <c r="BN1301" s="11">
        <v>197290.0</v>
      </c>
      <c r="BO1301" s="11">
        <v>182420.0</v>
      </c>
      <c r="BP1301" s="11">
        <v>123970.0</v>
      </c>
      <c r="BQ1301" s="11">
        <v>121950.0</v>
      </c>
      <c r="BR1301" s="12"/>
      <c r="BS1301" s="11">
        <v>3160.0</v>
      </c>
      <c r="BT1301" s="11">
        <v>4620.0</v>
      </c>
      <c r="BU1301" s="11">
        <v>3710.0</v>
      </c>
      <c r="BV1301" s="11">
        <v>2540.0</v>
      </c>
      <c r="BW1301" s="11">
        <v>357520.0</v>
      </c>
      <c r="BX1301" s="11">
        <v>302620.0</v>
      </c>
      <c r="BY1301" s="11">
        <v>278530.0</v>
      </c>
      <c r="BZ1301" s="11">
        <v>175910.0</v>
      </c>
      <c r="CA1301" s="11">
        <v>134920.0</v>
      </c>
      <c r="CB1301" s="11">
        <v>130010.0</v>
      </c>
      <c r="CC1301" s="11">
        <v>52000.0</v>
      </c>
      <c r="CD1301" s="11">
        <v>54410.0</v>
      </c>
      <c r="CE1301" s="11">
        <v>68130.0</v>
      </c>
      <c r="CF1301" s="11">
        <v>73480.0</v>
      </c>
      <c r="CG1301" s="11">
        <v>191890.0</v>
      </c>
      <c r="CH1301" s="11">
        <v>85230.0</v>
      </c>
      <c r="CI1301" s="11">
        <v>85230.0</v>
      </c>
      <c r="CJ1301" s="11">
        <v>54820.0</v>
      </c>
      <c r="CK1301" s="11">
        <v>54820.0</v>
      </c>
      <c r="CL1301" s="11">
        <v>961940.0</v>
      </c>
      <c r="CM1301" s="11">
        <v>482570.0</v>
      </c>
      <c r="CN1301" s="11">
        <v>463300.0</v>
      </c>
      <c r="CO1301" s="11">
        <v>301820.0</v>
      </c>
      <c r="CP1301" s="11">
        <v>266170.0</v>
      </c>
      <c r="CQ1301" s="11">
        <v>137590.0</v>
      </c>
      <c r="CR1301" s="11">
        <v>99430.0</v>
      </c>
      <c r="CS1301" s="11">
        <v>97460.0</v>
      </c>
      <c r="CT1301" s="11">
        <v>67100.0</v>
      </c>
      <c r="CU1301" s="11">
        <v>58960.0</v>
      </c>
      <c r="CV1301" s="11">
        <v>293500.0</v>
      </c>
      <c r="CW1301" s="11">
        <v>7100.0</v>
      </c>
      <c r="CX1301" s="13"/>
      <c r="CY1301" s="13"/>
      <c r="CZ1301" s="13"/>
      <c r="DA1301" s="12"/>
      <c r="DB1301" s="11">
        <v>293500.0</v>
      </c>
      <c r="DC1301" s="11">
        <v>179170.0</v>
      </c>
      <c r="DD1301" s="11">
        <v>182290.0</v>
      </c>
      <c r="DE1301" s="11">
        <v>146590.0</v>
      </c>
      <c r="DF1301" s="11">
        <v>740730.0</v>
      </c>
      <c r="DG1301" s="11">
        <v>310310.0</v>
      </c>
      <c r="DH1301" s="11">
        <v>317110.0</v>
      </c>
      <c r="DI1301" s="11">
        <v>193730.0</v>
      </c>
      <c r="DJ1301" s="11">
        <v>170410.0</v>
      </c>
      <c r="DK1301" s="12"/>
      <c r="DL1301" s="12"/>
      <c r="DM1301" s="12"/>
      <c r="DN1301" s="11">
        <v>2970.0</v>
      </c>
      <c r="DO1301" s="24">
        <v>2950.0</v>
      </c>
      <c r="DP1301" s="11">
        <v>397600.0</v>
      </c>
      <c r="DQ1301" s="11">
        <v>79120.0</v>
      </c>
      <c r="DR1301" s="11">
        <v>86160.0</v>
      </c>
      <c r="DS1301" s="11">
        <v>1550.0</v>
      </c>
      <c r="DT1301" s="11">
        <v>15320.0</v>
      </c>
      <c r="DU1301" s="13"/>
      <c r="DV1301" s="12"/>
      <c r="DW1301" s="12"/>
      <c r="DX1301" s="13"/>
      <c r="DY1301" s="13"/>
      <c r="DZ1301" s="11">
        <v>219920.0</v>
      </c>
      <c r="EA1301" s="11">
        <v>164400.0</v>
      </c>
      <c r="EB1301" s="11">
        <v>141330.0</v>
      </c>
      <c r="EC1301" s="11">
        <v>107430.0</v>
      </c>
      <c r="ED1301" s="11">
        <v>95850.0</v>
      </c>
      <c r="EE1301" s="23">
        <v>0.053435115</v>
      </c>
      <c r="EF1301" s="23">
        <v>0.014285714</v>
      </c>
      <c r="EG1301" s="14">
        <v>-0.455</v>
      </c>
      <c r="EH1301" s="23">
        <v>-0.1765</v>
      </c>
    </row>
    <row r="1302">
      <c r="A1302" s="9">
        <f t="shared" si="2"/>
        <v>1300</v>
      </c>
      <c r="B1302" s="22" t="s">
        <v>1437</v>
      </c>
      <c r="C1302" s="11">
        <v>31240.0</v>
      </c>
      <c r="D1302" s="11">
        <v>31960.0</v>
      </c>
      <c r="E1302" s="11">
        <v>42740.0</v>
      </c>
      <c r="F1302" s="11">
        <v>38420.0</v>
      </c>
      <c r="G1302" s="11">
        <v>51740.0</v>
      </c>
      <c r="H1302" s="11">
        <v>59730.0</v>
      </c>
      <c r="I1302" s="12"/>
      <c r="J1302" s="12"/>
      <c r="K1302" s="12"/>
      <c r="L1302" s="12"/>
      <c r="M1302" s="12"/>
      <c r="N1302" s="12"/>
      <c r="O1302" s="11">
        <v>93430.0</v>
      </c>
      <c r="P1302" s="11">
        <v>71100.0</v>
      </c>
      <c r="Q1302" s="11">
        <v>63320.0</v>
      </c>
      <c r="R1302" s="11">
        <v>52710.0</v>
      </c>
      <c r="S1302" s="12"/>
      <c r="T1302" s="11">
        <v>65610.0</v>
      </c>
      <c r="U1302" s="11">
        <v>54260.0</v>
      </c>
      <c r="V1302" s="11">
        <v>51940.0</v>
      </c>
      <c r="W1302" s="11">
        <v>43550.0</v>
      </c>
      <c r="X1302" s="12"/>
      <c r="Y1302" s="12"/>
      <c r="Z1302" s="12"/>
      <c r="AA1302" s="11">
        <v>-2890.0</v>
      </c>
      <c r="AB1302" s="12"/>
      <c r="AC1302" s="12"/>
      <c r="AD1302" s="11">
        <v>-55740.0</v>
      </c>
      <c r="AE1302" s="11">
        <v>-35320.0</v>
      </c>
      <c r="AF1302" s="11">
        <v>-19690.0</v>
      </c>
      <c r="AG1302" s="11">
        <v>1700.0</v>
      </c>
      <c r="AH1302" s="12"/>
      <c r="AI1302" s="11">
        <v>-50690.0</v>
      </c>
      <c r="AJ1302" s="11">
        <v>-32680.0</v>
      </c>
      <c r="AK1302" s="11">
        <v>-11580.0</v>
      </c>
      <c r="AL1302" s="11">
        <v>7030.0</v>
      </c>
      <c r="AM1302" s="12"/>
      <c r="AN1302" s="11">
        <v>-55740.0</v>
      </c>
      <c r="AO1302" s="11">
        <v>-35320.0</v>
      </c>
      <c r="AP1302" s="11">
        <v>-19690.0</v>
      </c>
      <c r="AQ1302" s="11">
        <v>1700.0</v>
      </c>
      <c r="AR1302" s="12"/>
      <c r="AS1302" s="11">
        <v>-65020.0</v>
      </c>
      <c r="AT1302" s="11">
        <v>12680.0</v>
      </c>
      <c r="AU1302" s="11">
        <v>-37070.0</v>
      </c>
      <c r="AV1302" s="11">
        <v>-13160.0</v>
      </c>
      <c r="AW1302" s="12"/>
      <c r="AX1302" s="11">
        <v>-3480.0</v>
      </c>
      <c r="AY1302" s="11">
        <v>-1560.0</v>
      </c>
      <c r="AZ1302" s="11">
        <v>-3320.0</v>
      </c>
      <c r="BA1302" s="11">
        <v>-4390.0</v>
      </c>
      <c r="BB1302" s="12"/>
      <c r="BC1302" s="12"/>
      <c r="BD1302" s="12"/>
      <c r="BE1302" s="12"/>
      <c r="BF1302" s="12"/>
      <c r="BG1302" s="12"/>
      <c r="BH1302" s="11">
        <v>117860.0</v>
      </c>
      <c r="BI1302" s="11">
        <v>204490.0</v>
      </c>
      <c r="BJ1302" s="11">
        <v>22020.0</v>
      </c>
      <c r="BK1302" s="11">
        <v>47520.0</v>
      </c>
      <c r="BL1302" s="12"/>
      <c r="BM1302" s="11">
        <v>6300.0</v>
      </c>
      <c r="BN1302" s="11">
        <v>2490.0</v>
      </c>
      <c r="BO1302" s="11">
        <v>1620.0</v>
      </c>
      <c r="BP1302" s="11">
        <v>577.0</v>
      </c>
      <c r="BQ1302" s="12"/>
      <c r="BR1302" s="12"/>
      <c r="BS1302" s="12"/>
      <c r="BT1302" s="12"/>
      <c r="BU1302" s="12"/>
      <c r="BV1302" s="12"/>
      <c r="BW1302" s="11">
        <v>128570.0</v>
      </c>
      <c r="BX1302" s="11">
        <v>209950.0</v>
      </c>
      <c r="BY1302" s="11">
        <v>25630.0</v>
      </c>
      <c r="BZ1302" s="11">
        <v>49690.0</v>
      </c>
      <c r="CA1302" s="12"/>
      <c r="CB1302" s="11">
        <v>9630.0</v>
      </c>
      <c r="CC1302" s="11">
        <v>10930.0</v>
      </c>
      <c r="CD1302" s="11">
        <v>14000.0</v>
      </c>
      <c r="CE1302" s="11">
        <v>18690.0</v>
      </c>
      <c r="CF1302" s="12"/>
      <c r="CG1302" s="12"/>
      <c r="CH1302" s="12"/>
      <c r="CI1302" s="12"/>
      <c r="CJ1302" s="12"/>
      <c r="CK1302" s="12"/>
      <c r="CL1302" s="11">
        <v>156370.0</v>
      </c>
      <c r="CM1302" s="11">
        <v>223140.0</v>
      </c>
      <c r="CN1302" s="11">
        <v>40980.0</v>
      </c>
      <c r="CO1302" s="11">
        <v>69480.0</v>
      </c>
      <c r="CP1302" s="12"/>
      <c r="CQ1302" s="11">
        <v>5580.0</v>
      </c>
      <c r="CR1302" s="11">
        <v>3060.0</v>
      </c>
      <c r="CS1302" s="11">
        <v>2900.0</v>
      </c>
      <c r="CT1302" s="11">
        <v>3390.0</v>
      </c>
      <c r="CU1302" s="12"/>
      <c r="CV1302" s="11">
        <v>32970.0</v>
      </c>
      <c r="CW1302" s="12"/>
      <c r="CX1302" s="12"/>
      <c r="CY1302" s="12"/>
      <c r="CZ1302" s="12"/>
      <c r="DA1302" s="12"/>
      <c r="DB1302" s="11">
        <v>32970.0</v>
      </c>
      <c r="DC1302" s="11">
        <v>36420.0</v>
      </c>
      <c r="DD1302" s="11">
        <v>31960.0</v>
      </c>
      <c r="DE1302" s="11">
        <v>50180.0</v>
      </c>
      <c r="DF1302" s="11">
        <v>58580.0</v>
      </c>
      <c r="DG1302" s="11">
        <v>91600.0</v>
      </c>
      <c r="DH1302" s="11">
        <v>47270.0</v>
      </c>
      <c r="DI1302" s="11">
        <v>57670.0</v>
      </c>
      <c r="DJ1302" s="12"/>
      <c r="DK1302" s="11">
        <v>15620.0</v>
      </c>
      <c r="DL1302" s="11">
        <v>15.0</v>
      </c>
      <c r="DM1302" s="11">
        <v>15.0</v>
      </c>
      <c r="DN1302" s="11">
        <v>275.0</v>
      </c>
      <c r="DO1302" s="12"/>
      <c r="DP1302" s="11">
        <v>8880.0</v>
      </c>
      <c r="DQ1302" s="11">
        <v>10000.0</v>
      </c>
      <c r="DR1302" s="12"/>
      <c r="DS1302" s="11">
        <v>1190.0</v>
      </c>
      <c r="DT1302" s="12"/>
      <c r="DU1302" s="13"/>
      <c r="DV1302" s="12"/>
      <c r="DW1302" s="11">
        <v>102510.0</v>
      </c>
      <c r="DX1302" s="11">
        <v>102510.0</v>
      </c>
      <c r="DY1302" s="13"/>
      <c r="DZ1302" s="11">
        <v>97790.0</v>
      </c>
      <c r="EA1302" s="11">
        <v>131540.0</v>
      </c>
      <c r="EB1302" s="11">
        <v>-6290.0</v>
      </c>
      <c r="EC1302" s="11">
        <v>11810.0</v>
      </c>
      <c r="ED1302" s="12"/>
      <c r="EE1302" s="14">
        <v>0.705</v>
      </c>
      <c r="EF1302" s="14">
        <v>1.163</v>
      </c>
      <c r="EG1302" s="14">
        <v>2.469</v>
      </c>
      <c r="EH1302" s="14">
        <v>0.616</v>
      </c>
    </row>
    <row r="1303">
      <c r="A1303" s="9">
        <f t="shared" si="2"/>
        <v>1301</v>
      </c>
      <c r="B1303" s="22" t="s">
        <v>1438</v>
      </c>
      <c r="C1303" s="12"/>
      <c r="D1303" s="12"/>
      <c r="E1303" s="12"/>
      <c r="F1303" s="12"/>
      <c r="G1303" s="12"/>
      <c r="H1303" s="12"/>
      <c r="I1303" s="12"/>
      <c r="J1303" s="11">
        <v>-141.0</v>
      </c>
      <c r="K1303" s="11">
        <v>-57.0</v>
      </c>
      <c r="L1303" s="11">
        <v>-100.0</v>
      </c>
      <c r="M1303" s="12"/>
      <c r="N1303" s="12"/>
      <c r="O1303" s="11">
        <v>28740.0</v>
      </c>
      <c r="P1303" s="11">
        <v>7460.0</v>
      </c>
      <c r="Q1303" s="11">
        <v>4850.0</v>
      </c>
      <c r="R1303" s="12"/>
      <c r="S1303" s="12"/>
      <c r="T1303" s="11">
        <v>24200.0</v>
      </c>
      <c r="U1303" s="11">
        <v>6430.0</v>
      </c>
      <c r="V1303" s="11">
        <v>4190.0</v>
      </c>
      <c r="W1303" s="12"/>
      <c r="X1303" s="12"/>
      <c r="Y1303" s="12"/>
      <c r="Z1303" s="11">
        <v>-7810.0</v>
      </c>
      <c r="AA1303" s="12"/>
      <c r="AB1303" s="12"/>
      <c r="AC1303" s="12"/>
      <c r="AD1303" s="11">
        <v>-28180.0</v>
      </c>
      <c r="AE1303" s="11">
        <v>-7350.0</v>
      </c>
      <c r="AF1303" s="11">
        <v>-5170.0</v>
      </c>
      <c r="AG1303" s="12"/>
      <c r="AH1303" s="12"/>
      <c r="AI1303" s="11">
        <v>-28740.0</v>
      </c>
      <c r="AJ1303" s="11">
        <v>-7460.0</v>
      </c>
      <c r="AK1303" s="11">
        <v>-4850.0</v>
      </c>
      <c r="AL1303" s="12"/>
      <c r="AM1303" s="12"/>
      <c r="AN1303" s="11">
        <v>-28180.0</v>
      </c>
      <c r="AO1303" s="11">
        <v>-7350.0</v>
      </c>
      <c r="AP1303" s="11">
        <v>-5170.0</v>
      </c>
      <c r="AQ1303" s="12"/>
      <c r="AR1303" s="12"/>
      <c r="AS1303" s="11">
        <v>-29640.0</v>
      </c>
      <c r="AT1303" s="11">
        <v>-6980.0</v>
      </c>
      <c r="AU1303" s="11">
        <v>-4320.0</v>
      </c>
      <c r="AV1303" s="12"/>
      <c r="AW1303" s="12"/>
      <c r="AX1303" s="11">
        <v>-551.0</v>
      </c>
      <c r="AY1303" s="11">
        <v>-402.0</v>
      </c>
      <c r="AZ1303" s="11">
        <v>-58.0</v>
      </c>
      <c r="BA1303" s="12"/>
      <c r="BB1303" s="12"/>
      <c r="BC1303" s="12"/>
      <c r="BD1303" s="12"/>
      <c r="BE1303" s="12"/>
      <c r="BF1303" s="12"/>
      <c r="BG1303" s="12"/>
      <c r="BH1303" s="11">
        <v>107700.0</v>
      </c>
      <c r="BI1303" s="11">
        <v>5210.0</v>
      </c>
      <c r="BJ1303" s="11">
        <v>1660.0</v>
      </c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1">
        <v>114740.0</v>
      </c>
      <c r="BX1303" s="11">
        <v>5400.0</v>
      </c>
      <c r="BY1303" s="11">
        <v>1910.0</v>
      </c>
      <c r="BZ1303" s="12"/>
      <c r="CA1303" s="12"/>
      <c r="CB1303" s="11">
        <v>832.0</v>
      </c>
      <c r="CC1303" s="11">
        <v>445.0</v>
      </c>
      <c r="CD1303" s="11">
        <v>70.0</v>
      </c>
      <c r="CE1303" s="12"/>
      <c r="CF1303" s="12"/>
      <c r="CG1303" s="12"/>
      <c r="CH1303" s="12"/>
      <c r="CI1303" s="12"/>
      <c r="CJ1303" s="12"/>
      <c r="CK1303" s="12"/>
      <c r="CL1303" s="11">
        <v>126280.0</v>
      </c>
      <c r="CM1303" s="11">
        <v>6380.0</v>
      </c>
      <c r="CN1303" s="11">
        <v>1980.0</v>
      </c>
      <c r="CO1303" s="12"/>
      <c r="CP1303" s="12"/>
      <c r="CQ1303" s="11">
        <v>4280.0</v>
      </c>
      <c r="CR1303" s="11">
        <v>327.0</v>
      </c>
      <c r="CS1303" s="11">
        <v>473.0</v>
      </c>
      <c r="CT1303" s="12"/>
      <c r="CU1303" s="12"/>
      <c r="CV1303" s="11">
        <v>7970.0</v>
      </c>
      <c r="CW1303" s="12"/>
      <c r="CX1303" s="12"/>
      <c r="CY1303" s="24">
        <v>291.0</v>
      </c>
      <c r="CZ1303" s="12"/>
      <c r="DA1303" s="12"/>
      <c r="DB1303" s="11">
        <v>7970.0</v>
      </c>
      <c r="DC1303" s="11">
        <v>1970.0</v>
      </c>
      <c r="DD1303" s="11">
        <v>1700.0</v>
      </c>
      <c r="DE1303" s="12"/>
      <c r="DF1303" s="11">
        <v>10940.0</v>
      </c>
      <c r="DG1303" s="11">
        <v>18510.0</v>
      </c>
      <c r="DH1303" s="11">
        <v>7420.0</v>
      </c>
      <c r="DI1303" s="12"/>
      <c r="DJ1303" s="12"/>
      <c r="DK1303" s="11">
        <v>10200.0</v>
      </c>
      <c r="DL1303" s="12"/>
      <c r="DM1303" s="12"/>
      <c r="DN1303" s="12"/>
      <c r="DO1303" s="12"/>
      <c r="DP1303" s="11">
        <v>2950.0</v>
      </c>
      <c r="DQ1303" s="11">
        <v>16470.0</v>
      </c>
      <c r="DR1303" s="11">
        <v>5620.0</v>
      </c>
      <c r="DS1303" s="12"/>
      <c r="DT1303" s="12"/>
      <c r="DU1303" s="13"/>
      <c r="DV1303" s="12"/>
      <c r="DW1303" s="12"/>
      <c r="DX1303" s="13"/>
      <c r="DY1303" s="13"/>
      <c r="DZ1303" s="11">
        <v>115340.0</v>
      </c>
      <c r="EA1303" s="11">
        <v>-12130.0</v>
      </c>
      <c r="EB1303" s="11">
        <v>-5430.0</v>
      </c>
      <c r="EC1303" s="12"/>
      <c r="ED1303" s="12"/>
      <c r="EE1303" s="23"/>
      <c r="EF1303" s="23"/>
      <c r="EG1303" s="14">
        <v>0.085</v>
      </c>
      <c r="EH1303" s="14">
        <v>-0.236</v>
      </c>
    </row>
    <row r="1304">
      <c r="A1304" s="9">
        <f t="shared" si="2"/>
        <v>1302</v>
      </c>
      <c r="B1304" s="10" t="s">
        <v>1439</v>
      </c>
      <c r="C1304" s="15">
        <v>8150000.0</v>
      </c>
      <c r="D1304" s="15">
        <v>7830000.0</v>
      </c>
      <c r="E1304" s="15">
        <v>8340000.0</v>
      </c>
      <c r="F1304" s="15">
        <v>8120000.0</v>
      </c>
      <c r="G1304" s="15">
        <v>7580000.0</v>
      </c>
      <c r="H1304" s="15">
        <v>7330000.0</v>
      </c>
      <c r="I1304" s="15">
        <v>6550000.0</v>
      </c>
      <c r="J1304" s="15">
        <v>4320000.0</v>
      </c>
      <c r="K1304" s="15">
        <v>4100000.0</v>
      </c>
      <c r="L1304" s="15">
        <v>3820000.0</v>
      </c>
      <c r="M1304" s="15">
        <v>3540000.0</v>
      </c>
      <c r="N1304" s="15">
        <v>3030000.0</v>
      </c>
      <c r="O1304" s="15">
        <v>1550000.0</v>
      </c>
      <c r="P1304" s="15">
        <v>1450000.0</v>
      </c>
      <c r="Q1304" s="15">
        <v>1380000.0</v>
      </c>
      <c r="R1304" s="15">
        <v>1290000.0</v>
      </c>
      <c r="S1304" s="15">
        <v>1120000.0</v>
      </c>
      <c r="T1304" s="15"/>
      <c r="U1304" s="15"/>
      <c r="V1304" s="15"/>
      <c r="W1304" s="15"/>
      <c r="X1304" s="15"/>
      <c r="Y1304" s="15">
        <v>2050000.0</v>
      </c>
      <c r="Z1304" s="15">
        <v>2480000.0</v>
      </c>
      <c r="AA1304" s="15">
        <v>-262900.0</v>
      </c>
      <c r="AB1304" s="15">
        <v>2140000.0</v>
      </c>
      <c r="AC1304" s="15">
        <v>1750000.0</v>
      </c>
      <c r="AD1304" s="15">
        <v>-945200.0</v>
      </c>
      <c r="AE1304" s="15">
        <v>4150000.0</v>
      </c>
      <c r="AF1304" s="15">
        <v>2340000.0</v>
      </c>
      <c r="AG1304" s="15">
        <v>2090000.0</v>
      </c>
      <c r="AH1304" s="15">
        <v>1500000.0</v>
      </c>
      <c r="AI1304" s="15">
        <v>3200000.0</v>
      </c>
      <c r="AJ1304" s="15">
        <v>3100000.0</v>
      </c>
      <c r="AK1304" s="15">
        <v>2830000.0</v>
      </c>
      <c r="AL1304" s="15">
        <v>2540000.0</v>
      </c>
      <c r="AM1304" s="15">
        <v>2130000.0</v>
      </c>
      <c r="AN1304" s="15">
        <v>-11800.0</v>
      </c>
      <c r="AO1304" s="15">
        <v>3440000.0</v>
      </c>
      <c r="AP1304" s="15">
        <v>2300000.0</v>
      </c>
      <c r="AQ1304" s="15">
        <v>1540000.0</v>
      </c>
      <c r="AR1304" s="15">
        <v>1050000.0</v>
      </c>
      <c r="AS1304" s="15">
        <v>2550000.0</v>
      </c>
      <c r="AT1304" s="15">
        <v>2250000.0</v>
      </c>
      <c r="AU1304" s="15">
        <v>1930000.0</v>
      </c>
      <c r="AV1304" s="15">
        <v>1700000.0</v>
      </c>
      <c r="AW1304" s="15">
        <v>1410000.0</v>
      </c>
      <c r="AX1304" s="15">
        <v>-726500.0</v>
      </c>
      <c r="AY1304" s="15">
        <v>-886300.0</v>
      </c>
      <c r="AZ1304" s="15">
        <v>-1060000.0</v>
      </c>
      <c r="BA1304" s="12">
        <v>-907400.0</v>
      </c>
      <c r="BB1304" s="12">
        <v>-891300.0</v>
      </c>
      <c r="BC1304" s="13">
        <v>-569200.0</v>
      </c>
      <c r="BD1304" s="13">
        <v>-557700.0</v>
      </c>
      <c r="BE1304" s="13">
        <v>-400100.0</v>
      </c>
      <c r="BF1304" s="13">
        <v>-315100.0</v>
      </c>
      <c r="BG1304" s="13">
        <v>-241600.0</v>
      </c>
      <c r="BH1304" s="15">
        <v>81400.0</v>
      </c>
      <c r="BI1304" s="15">
        <v>93600.0</v>
      </c>
      <c r="BJ1304" s="15">
        <v>90300.0</v>
      </c>
      <c r="BK1304" s="15">
        <v>177400.0</v>
      </c>
      <c r="BL1304" s="15">
        <v>83100.0</v>
      </c>
      <c r="BM1304" s="15">
        <v>1220000.0</v>
      </c>
      <c r="BN1304" s="15">
        <v>1270000.0</v>
      </c>
      <c r="BO1304" s="15">
        <v>1110000.0</v>
      </c>
      <c r="BP1304" s="15">
        <v>837400.0</v>
      </c>
      <c r="BQ1304" s="15">
        <v>857000.0</v>
      </c>
      <c r="BR1304" s="12">
        <v>1370000.0</v>
      </c>
      <c r="BS1304" s="12">
        <v>2130000.0</v>
      </c>
      <c r="BT1304" s="12">
        <v>2080000.0</v>
      </c>
      <c r="BU1304" s="12">
        <v>1960000.0</v>
      </c>
      <c r="BV1304" s="12">
        <v>1850000.0</v>
      </c>
      <c r="BW1304" s="15">
        <v>3480000.0</v>
      </c>
      <c r="BX1304" s="15">
        <v>3680000.0</v>
      </c>
      <c r="BY1304" s="15">
        <v>3470000.0</v>
      </c>
      <c r="BZ1304" s="15">
        <v>3230000.0</v>
      </c>
      <c r="CA1304" s="15">
        <v>2980000.0</v>
      </c>
      <c r="CB1304" s="15">
        <v>5810000.0</v>
      </c>
      <c r="CC1304" s="15">
        <v>5270000.0</v>
      </c>
      <c r="CD1304" s="12">
        <v>4790000.0</v>
      </c>
      <c r="CE1304" s="12">
        <v>3930000.0</v>
      </c>
      <c r="CF1304" s="12">
        <v>3330000.0</v>
      </c>
      <c r="CG1304" s="15">
        <v>7760000.0</v>
      </c>
      <c r="CH1304" s="15">
        <v>8090000.0</v>
      </c>
      <c r="CI1304" s="12">
        <v>8080000.0</v>
      </c>
      <c r="CJ1304" s="12">
        <v>7920000.0</v>
      </c>
      <c r="CK1304" s="12">
        <v>7140000.0</v>
      </c>
      <c r="CL1304" s="15">
        <v>2.732E7</v>
      </c>
      <c r="CM1304" s="15">
        <v>2.923E7</v>
      </c>
      <c r="CN1304" s="15">
        <v>2.054E7</v>
      </c>
      <c r="CO1304" s="15">
        <v>1.86E7</v>
      </c>
      <c r="CP1304" s="15">
        <v>1.697E7</v>
      </c>
      <c r="CQ1304" s="15">
        <v>557600.0</v>
      </c>
      <c r="CR1304" s="15">
        <v>616700.0</v>
      </c>
      <c r="CS1304" s="15">
        <v>592200.0</v>
      </c>
      <c r="CT1304" s="15">
        <v>559800.0</v>
      </c>
      <c r="CU1304" s="15">
        <v>429300.0</v>
      </c>
      <c r="CV1304" s="15">
        <v>2310000.0</v>
      </c>
      <c r="CW1304" s="12">
        <v>315500.0</v>
      </c>
      <c r="CX1304" s="13">
        <v>791500.0</v>
      </c>
      <c r="CY1304" s="15">
        <v>746800.0</v>
      </c>
      <c r="CZ1304" s="15">
        <v>606500.0</v>
      </c>
      <c r="DA1304" s="12">
        <v>408300.0</v>
      </c>
      <c r="DB1304" s="15">
        <v>2310000.0</v>
      </c>
      <c r="DC1304" s="15">
        <v>3160000.0</v>
      </c>
      <c r="DD1304" s="15">
        <v>2040000.0</v>
      </c>
      <c r="DE1304" s="15">
        <v>2700000.0</v>
      </c>
      <c r="DF1304" s="15">
        <v>1.485E7</v>
      </c>
      <c r="DG1304" s="15">
        <v>1.639E7</v>
      </c>
      <c r="DH1304" s="15">
        <v>1.255E7</v>
      </c>
      <c r="DI1304" s="15">
        <v>1.172E7</v>
      </c>
      <c r="DJ1304" s="15">
        <v>1.027E7</v>
      </c>
      <c r="DK1304" s="15">
        <v>4210000.0</v>
      </c>
      <c r="DL1304" s="12">
        <v>6700000.0</v>
      </c>
      <c r="DM1304" s="12">
        <v>793700.0</v>
      </c>
      <c r="DN1304" s="12"/>
      <c r="DO1304" s="13"/>
      <c r="DP1304" s="15">
        <v>1.169E7</v>
      </c>
      <c r="DQ1304" s="15">
        <v>1.176E7</v>
      </c>
      <c r="DR1304" s="12">
        <v>9420000.0</v>
      </c>
      <c r="DS1304" s="12">
        <v>7720000.0</v>
      </c>
      <c r="DT1304" s="15">
        <v>6820000.0</v>
      </c>
      <c r="DU1304" s="13"/>
      <c r="DV1304" s="12"/>
      <c r="DW1304" s="12"/>
      <c r="DX1304" s="15"/>
      <c r="DY1304" s="15"/>
      <c r="DZ1304" s="15">
        <v>1.213E7</v>
      </c>
      <c r="EA1304" s="15">
        <v>1.255E7</v>
      </c>
      <c r="EB1304" s="15">
        <v>7980000.0</v>
      </c>
      <c r="EC1304" s="15">
        <v>6890000.0</v>
      </c>
      <c r="ED1304" s="15">
        <v>6560000.0</v>
      </c>
      <c r="EE1304" s="23">
        <v>0.067688378</v>
      </c>
      <c r="EF1304" s="23">
        <v>0.044171779</v>
      </c>
      <c r="EG1304" s="17">
        <v>0.144</v>
      </c>
      <c r="EH1304" s="23">
        <v>0.15175</v>
      </c>
    </row>
    <row r="1305">
      <c r="A1305" s="9">
        <f t="shared" si="2"/>
        <v>1303</v>
      </c>
      <c r="B1305" s="10" t="s">
        <v>1440</v>
      </c>
      <c r="C1305" s="12">
        <v>2140000.0</v>
      </c>
      <c r="D1305" s="12">
        <v>2110000.0</v>
      </c>
      <c r="E1305" s="11">
        <v>2220000.0</v>
      </c>
      <c r="F1305" s="11">
        <v>2100000.0</v>
      </c>
      <c r="G1305" s="11">
        <v>1930000.0</v>
      </c>
      <c r="H1305" s="11">
        <v>1630000.0</v>
      </c>
      <c r="I1305" s="11">
        <v>1430000.0</v>
      </c>
      <c r="J1305" s="11">
        <v>478710.0</v>
      </c>
      <c r="K1305" s="11">
        <v>420310.0</v>
      </c>
      <c r="L1305" s="11">
        <v>471280.0</v>
      </c>
      <c r="M1305" s="11">
        <v>404690.0</v>
      </c>
      <c r="N1305" s="11">
        <v>321930.0</v>
      </c>
      <c r="O1305" s="11">
        <v>273630.0</v>
      </c>
      <c r="P1305" s="11">
        <v>266210.0</v>
      </c>
      <c r="Q1305" s="11">
        <v>235170.0</v>
      </c>
      <c r="R1305" s="11">
        <v>243860.0</v>
      </c>
      <c r="S1305" s="11">
        <v>163270.0</v>
      </c>
      <c r="T1305" s="12"/>
      <c r="U1305" s="12"/>
      <c r="V1305" s="12"/>
      <c r="W1305" s="12"/>
      <c r="X1305" s="12"/>
      <c r="Y1305" s="11">
        <v>186290.0</v>
      </c>
      <c r="Z1305" s="11">
        <v>142820.0</v>
      </c>
      <c r="AA1305" s="11">
        <v>223560.0</v>
      </c>
      <c r="AB1305" s="11">
        <v>139100.0</v>
      </c>
      <c r="AC1305" s="11">
        <v>63010.0</v>
      </c>
      <c r="AD1305" s="11">
        <v>78220.0</v>
      </c>
      <c r="AE1305" s="11">
        <v>96080.0</v>
      </c>
      <c r="AF1305" s="11">
        <v>-158200.0</v>
      </c>
      <c r="AG1305" s="11">
        <v>40830.0</v>
      </c>
      <c r="AH1305" s="11">
        <v>-19190.0</v>
      </c>
      <c r="AI1305" s="11">
        <v>422180.0</v>
      </c>
      <c r="AJ1305" s="11">
        <v>359010.0</v>
      </c>
      <c r="AK1305" s="11">
        <v>415630.0</v>
      </c>
      <c r="AL1305" s="11">
        <v>310130.0</v>
      </c>
      <c r="AM1305" s="11">
        <v>278380.0</v>
      </c>
      <c r="AN1305" s="11">
        <v>59070.0</v>
      </c>
      <c r="AO1305" s="11">
        <v>33910.0</v>
      </c>
      <c r="AP1305" s="11">
        <v>121830.0</v>
      </c>
      <c r="AQ1305" s="11">
        <v>36780.0</v>
      </c>
      <c r="AR1305" s="11">
        <v>25300.0</v>
      </c>
      <c r="AS1305" s="11">
        <v>337180.0</v>
      </c>
      <c r="AT1305" s="11">
        <v>209370.0</v>
      </c>
      <c r="AU1305" s="11">
        <v>292180.0</v>
      </c>
      <c r="AV1305" s="11">
        <v>244860.0</v>
      </c>
      <c r="AW1305" s="11">
        <v>98200.0</v>
      </c>
      <c r="AX1305" s="11">
        <v>-177500.0</v>
      </c>
      <c r="AY1305" s="11">
        <v>-220690.0</v>
      </c>
      <c r="AZ1305" s="11">
        <v>-194150.0</v>
      </c>
      <c r="BA1305" s="11">
        <v>-153480.0</v>
      </c>
      <c r="BB1305" s="11">
        <v>-88950.0</v>
      </c>
      <c r="BC1305" s="13"/>
      <c r="BD1305" s="13"/>
      <c r="BE1305" s="13"/>
      <c r="BF1305" s="13"/>
      <c r="BG1305" s="13"/>
      <c r="BH1305" s="11">
        <v>311320.0</v>
      </c>
      <c r="BI1305" s="11">
        <v>128510.0</v>
      </c>
      <c r="BJ1305" s="11">
        <v>383560.0</v>
      </c>
      <c r="BK1305" s="11">
        <v>143390.0</v>
      </c>
      <c r="BL1305" s="11">
        <v>186410.0</v>
      </c>
      <c r="BM1305" s="11">
        <v>266340.0</v>
      </c>
      <c r="BN1305" s="11">
        <v>233120.0</v>
      </c>
      <c r="BO1305" s="11">
        <v>207840.0</v>
      </c>
      <c r="BP1305" s="11">
        <v>169830.0</v>
      </c>
      <c r="BQ1305" s="11">
        <v>151230.0</v>
      </c>
      <c r="BR1305" s="11">
        <v>204790.0</v>
      </c>
      <c r="BS1305" s="11">
        <v>213850.0</v>
      </c>
      <c r="BT1305" s="11">
        <v>184440.0</v>
      </c>
      <c r="BU1305" s="11">
        <v>157680.0</v>
      </c>
      <c r="BV1305" s="11">
        <v>130080.0</v>
      </c>
      <c r="BW1305" s="11">
        <v>796280.0</v>
      </c>
      <c r="BX1305" s="11">
        <v>591540.0</v>
      </c>
      <c r="BY1305" s="11">
        <v>783600.0</v>
      </c>
      <c r="BZ1305" s="11">
        <v>483700.0</v>
      </c>
      <c r="CA1305" s="11">
        <v>472530.0</v>
      </c>
      <c r="CB1305" s="11">
        <v>1780000.0</v>
      </c>
      <c r="CC1305" s="11">
        <v>1780000.0</v>
      </c>
      <c r="CD1305" s="11">
        <v>1620000.0</v>
      </c>
      <c r="CE1305" s="11">
        <v>1450000.0</v>
      </c>
      <c r="CF1305" s="11">
        <v>1270000.0</v>
      </c>
      <c r="CG1305" s="11">
        <v>1200000.0</v>
      </c>
      <c r="CH1305" s="11">
        <v>1190000.0</v>
      </c>
      <c r="CI1305" s="11">
        <v>1040000.0</v>
      </c>
      <c r="CJ1305" s="11">
        <v>782210.0</v>
      </c>
      <c r="CK1305" s="11">
        <v>596400.0</v>
      </c>
      <c r="CL1305" s="11">
        <v>4070000.0</v>
      </c>
      <c r="CM1305" s="11">
        <v>3860000.0</v>
      </c>
      <c r="CN1305" s="11">
        <v>3790000.0</v>
      </c>
      <c r="CO1305" s="11">
        <v>2780000.0</v>
      </c>
      <c r="CP1305" s="11">
        <v>2400000.0</v>
      </c>
      <c r="CQ1305" s="11">
        <v>116360.0</v>
      </c>
      <c r="CR1305" s="11">
        <v>107700.0</v>
      </c>
      <c r="CS1305" s="11">
        <v>98740.0</v>
      </c>
      <c r="CT1305" s="11">
        <v>81570.0</v>
      </c>
      <c r="CU1305" s="11">
        <v>81400.0</v>
      </c>
      <c r="CV1305" s="11">
        <v>299300.0</v>
      </c>
      <c r="CW1305" s="11">
        <v>8430.0</v>
      </c>
      <c r="CX1305" s="13"/>
      <c r="CY1305" s="13"/>
      <c r="CZ1305" s="13"/>
      <c r="DA1305" s="12"/>
      <c r="DB1305" s="11">
        <v>299300.0</v>
      </c>
      <c r="DC1305" s="11">
        <v>260660.0</v>
      </c>
      <c r="DD1305" s="11">
        <v>249980.0</v>
      </c>
      <c r="DE1305" s="11">
        <v>239290.0</v>
      </c>
      <c r="DF1305" s="11">
        <v>2620000.0</v>
      </c>
      <c r="DG1305" s="11">
        <v>2520000.0</v>
      </c>
      <c r="DH1305" s="11">
        <v>2520000.0</v>
      </c>
      <c r="DI1305" s="11">
        <v>1920000.0</v>
      </c>
      <c r="DJ1305" s="11">
        <v>1630000.0</v>
      </c>
      <c r="DK1305" s="12"/>
      <c r="DL1305" s="12"/>
      <c r="DM1305" s="12"/>
      <c r="DN1305" s="12"/>
      <c r="DO1305" s="13"/>
      <c r="DP1305" s="11">
        <v>1920000.0</v>
      </c>
      <c r="DQ1305" s="11">
        <v>1810000.0</v>
      </c>
      <c r="DR1305" s="11">
        <v>1810000.0</v>
      </c>
      <c r="DS1305" s="11">
        <v>1510000.0</v>
      </c>
      <c r="DT1305" s="11">
        <v>1270000.0</v>
      </c>
      <c r="DU1305" s="13"/>
      <c r="DV1305" s="12"/>
      <c r="DW1305" s="12"/>
      <c r="DX1305" s="13"/>
      <c r="DY1305" s="13"/>
      <c r="DZ1305" s="11">
        <v>1430000.0</v>
      </c>
      <c r="EA1305" s="11">
        <v>1330000.0</v>
      </c>
      <c r="EB1305" s="11">
        <v>1260000.0</v>
      </c>
      <c r="EC1305" s="11">
        <v>842040.0</v>
      </c>
      <c r="ED1305" s="11">
        <v>628270.0</v>
      </c>
      <c r="EE1305" s="23">
        <v>0.132701422</v>
      </c>
      <c r="EF1305" s="23">
        <v>0.23364486</v>
      </c>
      <c r="EG1305" s="14">
        <v>1.0</v>
      </c>
      <c r="EH1305" s="23">
        <v>1.21</v>
      </c>
    </row>
    <row r="1306">
      <c r="A1306" s="9">
        <f t="shared" si="2"/>
        <v>1304</v>
      </c>
      <c r="B1306" s="22" t="s">
        <v>1441</v>
      </c>
      <c r="C1306" s="11">
        <v>573840.0</v>
      </c>
      <c r="D1306" s="11">
        <v>480690.0</v>
      </c>
      <c r="E1306" s="11">
        <v>392760.0</v>
      </c>
      <c r="F1306" s="11">
        <v>408900.0</v>
      </c>
      <c r="G1306" s="11">
        <v>302240.0</v>
      </c>
      <c r="H1306" s="11">
        <v>215000.0</v>
      </c>
      <c r="I1306" s="11">
        <v>147470.0</v>
      </c>
      <c r="J1306" s="11">
        <v>376100.0</v>
      </c>
      <c r="K1306" s="11">
        <v>393540.0</v>
      </c>
      <c r="L1306" s="11">
        <v>287020.0</v>
      </c>
      <c r="M1306" s="11">
        <v>203020.0</v>
      </c>
      <c r="N1306" s="11">
        <v>139040.0</v>
      </c>
      <c r="O1306" s="11">
        <v>227520.0</v>
      </c>
      <c r="P1306" s="11">
        <v>249100.0</v>
      </c>
      <c r="Q1306" s="11">
        <v>187480.0</v>
      </c>
      <c r="R1306" s="11">
        <v>148800.0</v>
      </c>
      <c r="S1306" s="11">
        <v>118200.0</v>
      </c>
      <c r="T1306" s="11">
        <v>69100.0</v>
      </c>
      <c r="U1306" s="11">
        <v>89210.0</v>
      </c>
      <c r="V1306" s="11">
        <v>49580.0</v>
      </c>
      <c r="W1306" s="11">
        <v>42790.0</v>
      </c>
      <c r="X1306" s="11">
        <v>29140.0</v>
      </c>
      <c r="Y1306" s="12"/>
      <c r="Z1306" s="12"/>
      <c r="AA1306" s="11">
        <v>99320.0</v>
      </c>
      <c r="AB1306" s="11">
        <v>53990.0</v>
      </c>
      <c r="AC1306" s="11">
        <v>-2150.0</v>
      </c>
      <c r="AD1306" s="11">
        <v>147490.0</v>
      </c>
      <c r="AE1306" s="11">
        <v>140180.0</v>
      </c>
      <c r="AF1306" s="11">
        <v>100620.0</v>
      </c>
      <c r="AG1306" s="11">
        <v>50370.0</v>
      </c>
      <c r="AH1306" s="11">
        <v>14610.0</v>
      </c>
      <c r="AI1306" s="11">
        <v>158800.0</v>
      </c>
      <c r="AJ1306" s="11">
        <v>151510.0</v>
      </c>
      <c r="AK1306" s="11">
        <v>107670.0</v>
      </c>
      <c r="AL1306" s="11">
        <v>56620.0</v>
      </c>
      <c r="AM1306" s="11">
        <v>21770.0</v>
      </c>
      <c r="AN1306" s="11">
        <v>113060.0</v>
      </c>
      <c r="AO1306" s="11">
        <v>110990.0</v>
      </c>
      <c r="AP1306" s="11">
        <v>57280.0</v>
      </c>
      <c r="AQ1306" s="11">
        <v>91220.0</v>
      </c>
      <c r="AR1306" s="11">
        <v>13940.0</v>
      </c>
      <c r="AS1306" s="11">
        <v>143130.0</v>
      </c>
      <c r="AT1306" s="11">
        <v>128990.0</v>
      </c>
      <c r="AU1306" s="11">
        <v>114640.0</v>
      </c>
      <c r="AV1306" s="11">
        <v>66810.0</v>
      </c>
      <c r="AW1306" s="11">
        <v>34520.0</v>
      </c>
      <c r="AX1306" s="11">
        <v>-2740.0</v>
      </c>
      <c r="AY1306" s="11">
        <v>-1650.0</v>
      </c>
      <c r="AZ1306" s="11">
        <v>-13180.0</v>
      </c>
      <c r="BA1306" s="11">
        <v>-20420.0</v>
      </c>
      <c r="BB1306" s="11">
        <v>-13010.0</v>
      </c>
      <c r="BC1306" s="12"/>
      <c r="BD1306" s="12"/>
      <c r="BE1306" s="12"/>
      <c r="BF1306" s="12"/>
      <c r="BG1306" s="12"/>
      <c r="BH1306" s="11">
        <v>347070.0</v>
      </c>
      <c r="BI1306" s="11">
        <v>356020.0</v>
      </c>
      <c r="BJ1306" s="11">
        <v>140040.0</v>
      </c>
      <c r="BK1306" s="11">
        <v>90120.0</v>
      </c>
      <c r="BL1306" s="11">
        <v>62190.0</v>
      </c>
      <c r="BM1306" s="11">
        <v>87330.0</v>
      </c>
      <c r="BN1306" s="11">
        <v>102920.0</v>
      </c>
      <c r="BO1306" s="11">
        <v>65590.0</v>
      </c>
      <c r="BP1306" s="11">
        <v>41530.0</v>
      </c>
      <c r="BQ1306" s="11">
        <v>25910.0</v>
      </c>
      <c r="BR1306" s="11">
        <v>26630.0</v>
      </c>
      <c r="BS1306" s="11">
        <v>25660.0</v>
      </c>
      <c r="BT1306" s="11">
        <v>16300.0</v>
      </c>
      <c r="BU1306" s="11">
        <v>16800.0</v>
      </c>
      <c r="BV1306" s="11">
        <v>12590.0</v>
      </c>
      <c r="BW1306" s="11">
        <v>472640.0</v>
      </c>
      <c r="BX1306" s="11">
        <v>493490.0</v>
      </c>
      <c r="BY1306" s="11">
        <v>228450.0</v>
      </c>
      <c r="BZ1306" s="11">
        <v>151400.0</v>
      </c>
      <c r="CA1306" s="11">
        <v>105950.0</v>
      </c>
      <c r="CB1306" s="11">
        <v>38350.0</v>
      </c>
      <c r="CC1306" s="11">
        <v>4100.0</v>
      </c>
      <c r="CD1306" s="11">
        <v>5120.0</v>
      </c>
      <c r="CE1306" s="11">
        <v>4340.0</v>
      </c>
      <c r="CF1306" s="11">
        <v>3870.0</v>
      </c>
      <c r="CG1306" s="12"/>
      <c r="CH1306" s="12"/>
      <c r="CI1306" s="12"/>
      <c r="CJ1306" s="12"/>
      <c r="CK1306" s="12"/>
      <c r="CL1306" s="11">
        <v>1200000.0</v>
      </c>
      <c r="CM1306" s="11">
        <v>1010000.0</v>
      </c>
      <c r="CN1306" s="11">
        <v>439430.0</v>
      </c>
      <c r="CO1306" s="11">
        <v>309570.0</v>
      </c>
      <c r="CP1306" s="11">
        <v>188630.0</v>
      </c>
      <c r="CQ1306" s="11">
        <v>10140.0</v>
      </c>
      <c r="CR1306" s="11">
        <v>3200.0</v>
      </c>
      <c r="CS1306" s="11">
        <v>6840.0</v>
      </c>
      <c r="CT1306" s="11">
        <v>8060.0</v>
      </c>
      <c r="CU1306" s="11">
        <v>4310.0</v>
      </c>
      <c r="CV1306" s="11">
        <v>160590.0</v>
      </c>
      <c r="CW1306" s="11">
        <v>2830.0</v>
      </c>
      <c r="CX1306" s="12"/>
      <c r="CY1306" s="12"/>
      <c r="CZ1306" s="12"/>
      <c r="DA1306" s="12"/>
      <c r="DB1306" s="11">
        <v>160590.0</v>
      </c>
      <c r="DC1306" s="11">
        <v>161350.0</v>
      </c>
      <c r="DD1306" s="11">
        <v>123000.0</v>
      </c>
      <c r="DE1306" s="11">
        <v>80740.0</v>
      </c>
      <c r="DF1306" s="11">
        <v>602150.0</v>
      </c>
      <c r="DG1306" s="11">
        <v>556250.0</v>
      </c>
      <c r="DH1306" s="11">
        <v>171950.0</v>
      </c>
      <c r="DI1306" s="11">
        <v>117810.0</v>
      </c>
      <c r="DJ1306" s="11">
        <v>100620.0</v>
      </c>
      <c r="DK1306" s="11">
        <v>591770.0</v>
      </c>
      <c r="DL1306" s="11">
        <v>419120.0</v>
      </c>
      <c r="DM1306" s="11">
        <v>133970.0</v>
      </c>
      <c r="DN1306" s="11">
        <v>75690.0</v>
      </c>
      <c r="DO1306" s="11">
        <v>55270.0</v>
      </c>
      <c r="DP1306" s="11">
        <v>394860.0</v>
      </c>
      <c r="DQ1306" s="11">
        <v>352040.0</v>
      </c>
      <c r="DR1306" s="11">
        <v>22260.0</v>
      </c>
      <c r="DS1306" s="11">
        <v>31450.0</v>
      </c>
      <c r="DT1306" s="11">
        <v>37120.0</v>
      </c>
      <c r="DU1306" s="13"/>
      <c r="DV1306" s="12"/>
      <c r="DW1306" s="12"/>
      <c r="DX1306" s="13"/>
      <c r="DY1306" s="13"/>
      <c r="DZ1306" s="11">
        <v>595430.0</v>
      </c>
      <c r="EA1306" s="11">
        <v>453020.0</v>
      </c>
      <c r="EB1306" s="11">
        <v>267480.0</v>
      </c>
      <c r="EC1306" s="11">
        <v>191760.0</v>
      </c>
      <c r="ED1306" s="11">
        <v>88010.0</v>
      </c>
      <c r="EE1306" s="14">
        <v>0.053</v>
      </c>
      <c r="EF1306" s="14">
        <v>0.03</v>
      </c>
      <c r="EG1306" s="14">
        <v>0.548</v>
      </c>
      <c r="EH1306" s="14">
        <v>0.228</v>
      </c>
    </row>
    <row r="1307">
      <c r="A1307" s="9">
        <f t="shared" si="2"/>
        <v>1305</v>
      </c>
      <c r="B1307" s="22" t="s">
        <v>1442</v>
      </c>
      <c r="C1307" s="11">
        <v>5270.0</v>
      </c>
      <c r="D1307" s="11">
        <v>38590.0</v>
      </c>
      <c r="E1307" s="11">
        <v>15360.0</v>
      </c>
      <c r="F1307" s="11">
        <v>59420.0</v>
      </c>
      <c r="G1307" s="11">
        <v>12830.0</v>
      </c>
      <c r="H1307" s="11">
        <v>6630.0</v>
      </c>
      <c r="I1307" s="12"/>
      <c r="J1307" s="12"/>
      <c r="K1307" s="12"/>
      <c r="L1307" s="11">
        <v>11860.0</v>
      </c>
      <c r="M1307" s="12"/>
      <c r="N1307" s="12"/>
      <c r="O1307" s="11">
        <v>69130.0</v>
      </c>
      <c r="P1307" s="11">
        <v>67220.0</v>
      </c>
      <c r="Q1307" s="11">
        <v>57850.0</v>
      </c>
      <c r="R1307" s="11">
        <v>24310.0</v>
      </c>
      <c r="S1307" s="12"/>
      <c r="T1307" s="11">
        <v>52120.0</v>
      </c>
      <c r="U1307" s="11">
        <v>52490.0</v>
      </c>
      <c r="V1307" s="11">
        <v>47780.0</v>
      </c>
      <c r="W1307" s="11">
        <v>20490.0</v>
      </c>
      <c r="X1307" s="12"/>
      <c r="Y1307" s="12"/>
      <c r="Z1307" s="12"/>
      <c r="AA1307" s="12"/>
      <c r="AB1307" s="11">
        <v>-18360.0</v>
      </c>
      <c r="AC1307" s="12"/>
      <c r="AD1307" s="11">
        <v>-54790.0</v>
      </c>
      <c r="AE1307" s="11">
        <v>-6600.0</v>
      </c>
      <c r="AF1307" s="11">
        <v>-45380.0</v>
      </c>
      <c r="AG1307" s="11">
        <v>-17450.0</v>
      </c>
      <c r="AH1307" s="12"/>
      <c r="AI1307" s="11">
        <v>-53770.0</v>
      </c>
      <c r="AJ1307" s="11">
        <v>-7800.0</v>
      </c>
      <c r="AK1307" s="11">
        <v>-45030.0</v>
      </c>
      <c r="AL1307" s="11">
        <v>-17670.0</v>
      </c>
      <c r="AM1307" s="12"/>
      <c r="AN1307" s="11">
        <v>-54790.0</v>
      </c>
      <c r="AO1307" s="11">
        <v>-6600.0</v>
      </c>
      <c r="AP1307" s="11">
        <v>-45380.0</v>
      </c>
      <c r="AQ1307" s="11">
        <v>-17450.0</v>
      </c>
      <c r="AR1307" s="12"/>
      <c r="AS1307" s="11">
        <v>-58360.0</v>
      </c>
      <c r="AT1307" s="11">
        <v>-13220.0</v>
      </c>
      <c r="AU1307" s="11">
        <v>-12420.0</v>
      </c>
      <c r="AV1307" s="11">
        <v>41410.0</v>
      </c>
      <c r="AW1307" s="12"/>
      <c r="AX1307" s="11">
        <v>-1540.0</v>
      </c>
      <c r="AY1307" s="11">
        <v>-2020.0</v>
      </c>
      <c r="AZ1307" s="11">
        <v>-1970.0</v>
      </c>
      <c r="BA1307" s="11">
        <v>-836.0</v>
      </c>
      <c r="BB1307" s="12"/>
      <c r="BC1307" s="12"/>
      <c r="BD1307" s="12"/>
      <c r="BE1307" s="12"/>
      <c r="BF1307" s="12"/>
      <c r="BG1307" s="12"/>
      <c r="BH1307" s="11">
        <v>105160.0</v>
      </c>
      <c r="BI1307" s="11">
        <v>158840.0</v>
      </c>
      <c r="BJ1307" s="11">
        <v>63390.0</v>
      </c>
      <c r="BK1307" s="11">
        <v>79150.0</v>
      </c>
      <c r="BL1307" s="12"/>
      <c r="BM1307" s="11">
        <v>336.0</v>
      </c>
      <c r="BN1307" s="11">
        <v>323.0</v>
      </c>
      <c r="BO1307" s="11">
        <v>274.0</v>
      </c>
      <c r="BP1307" s="11">
        <v>5370.0</v>
      </c>
      <c r="BQ1307" s="12"/>
      <c r="BR1307" s="12"/>
      <c r="BS1307" s="12"/>
      <c r="BT1307" s="12"/>
      <c r="BU1307" s="12"/>
      <c r="BV1307" s="12"/>
      <c r="BW1307" s="11">
        <v>107930.0</v>
      </c>
      <c r="BX1307" s="11">
        <v>164600.0</v>
      </c>
      <c r="BY1307" s="11">
        <v>71330.0</v>
      </c>
      <c r="BZ1307" s="11">
        <v>93180.0</v>
      </c>
      <c r="CA1307" s="12"/>
      <c r="CB1307" s="11">
        <v>22140.0</v>
      </c>
      <c r="CC1307" s="11">
        <v>8230.0</v>
      </c>
      <c r="CD1307" s="11">
        <v>7330.0</v>
      </c>
      <c r="CE1307" s="11">
        <v>3880.0</v>
      </c>
      <c r="CF1307" s="12"/>
      <c r="CG1307" s="12"/>
      <c r="CH1307" s="12"/>
      <c r="CI1307" s="12"/>
      <c r="CJ1307" s="12"/>
      <c r="CK1307" s="12"/>
      <c r="CL1307" s="11">
        <v>131690.0</v>
      </c>
      <c r="CM1307" s="11">
        <v>174070.0</v>
      </c>
      <c r="CN1307" s="11">
        <v>81450.0</v>
      </c>
      <c r="CO1307" s="11">
        <v>98170.0</v>
      </c>
      <c r="CP1307" s="12"/>
      <c r="CQ1307" s="11">
        <v>3380.0</v>
      </c>
      <c r="CR1307" s="11">
        <v>3410.0</v>
      </c>
      <c r="CS1307" s="11">
        <v>3220.0</v>
      </c>
      <c r="CT1307" s="11">
        <v>2850.0</v>
      </c>
      <c r="CU1307" s="12"/>
      <c r="CV1307" s="11">
        <v>19270.0</v>
      </c>
      <c r="CW1307" s="11">
        <v>2960.0</v>
      </c>
      <c r="CX1307" s="12"/>
      <c r="CY1307" s="12"/>
      <c r="CZ1307" s="12"/>
      <c r="DA1307" s="12"/>
      <c r="DB1307" s="11">
        <v>19270.0</v>
      </c>
      <c r="DC1307" s="11">
        <v>27180.0</v>
      </c>
      <c r="DD1307" s="11">
        <v>23380.0</v>
      </c>
      <c r="DE1307" s="11">
        <v>16210.0</v>
      </c>
      <c r="DF1307" s="11">
        <v>75030.0</v>
      </c>
      <c r="DG1307" s="11">
        <v>71200.0</v>
      </c>
      <c r="DH1307" s="11">
        <v>100250.0</v>
      </c>
      <c r="DI1307" s="11">
        <v>76570.0</v>
      </c>
      <c r="DJ1307" s="12"/>
      <c r="DK1307" s="11">
        <v>1600.0</v>
      </c>
      <c r="DL1307" s="11">
        <v>1200.0</v>
      </c>
      <c r="DM1307" s="11">
        <v>1000.0</v>
      </c>
      <c r="DN1307" s="11">
        <v>1090.0</v>
      </c>
      <c r="DO1307" s="12"/>
      <c r="DP1307" s="11">
        <v>22080.0</v>
      </c>
      <c r="DQ1307" s="12"/>
      <c r="DR1307" s="12"/>
      <c r="DS1307" s="12"/>
      <c r="DT1307" s="12"/>
      <c r="DU1307" s="13"/>
      <c r="DV1307" s="12"/>
      <c r="DW1307" s="11">
        <v>48520.0</v>
      </c>
      <c r="DX1307" s="11">
        <v>48480.0</v>
      </c>
      <c r="DY1307" s="13"/>
      <c r="DZ1307" s="11">
        <v>56670.0</v>
      </c>
      <c r="EA1307" s="11">
        <v>102860.0</v>
      </c>
      <c r="EB1307" s="11">
        <v>-18800.0</v>
      </c>
      <c r="EC1307" s="11">
        <v>21600.0</v>
      </c>
      <c r="ED1307" s="12"/>
      <c r="EE1307" s="14">
        <v>0.0</v>
      </c>
      <c r="EF1307" s="23"/>
      <c r="EG1307" s="14">
        <v>0.083</v>
      </c>
      <c r="EH1307" s="14">
        <v>0.192</v>
      </c>
    </row>
    <row r="1308">
      <c r="A1308" s="9">
        <f t="shared" si="2"/>
        <v>1306</v>
      </c>
      <c r="B1308" s="10" t="s">
        <v>1443</v>
      </c>
      <c r="C1308" s="12"/>
      <c r="D1308" s="12"/>
      <c r="E1308" s="12"/>
      <c r="F1308" s="12"/>
      <c r="G1308" s="12"/>
      <c r="H1308" s="11">
        <v>400.0</v>
      </c>
      <c r="I1308" s="12"/>
      <c r="J1308" s="12"/>
      <c r="K1308" s="11">
        <v>-526.0</v>
      </c>
      <c r="L1308" s="11">
        <v>-363.0</v>
      </c>
      <c r="M1308" s="12"/>
      <c r="N1308" s="11">
        <v>-146.0</v>
      </c>
      <c r="O1308" s="11">
        <v>50940.0</v>
      </c>
      <c r="P1308" s="11">
        <v>47560.0</v>
      </c>
      <c r="Q1308" s="11">
        <v>25150.0</v>
      </c>
      <c r="R1308" s="11">
        <v>10820.0</v>
      </c>
      <c r="S1308" s="11">
        <v>39230.0</v>
      </c>
      <c r="T1308" s="11">
        <v>38780.0</v>
      </c>
      <c r="U1308" s="11">
        <v>37170.0</v>
      </c>
      <c r="V1308" s="11">
        <v>18510.0</v>
      </c>
      <c r="W1308" s="11">
        <v>8180.0</v>
      </c>
      <c r="X1308" s="11">
        <v>28260.0</v>
      </c>
      <c r="Y1308" s="12"/>
      <c r="Z1308" s="12"/>
      <c r="AA1308" s="12"/>
      <c r="AB1308" s="11">
        <v>-140.0</v>
      </c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1">
        <v>-148.0</v>
      </c>
      <c r="AY1308" s="11">
        <v>-141.0</v>
      </c>
      <c r="AZ1308" s="11">
        <v>-495.0</v>
      </c>
      <c r="BA1308" s="11">
        <v>-8.0</v>
      </c>
      <c r="BB1308" s="11">
        <v>-165.0</v>
      </c>
      <c r="BC1308" s="13"/>
      <c r="BD1308" s="13"/>
      <c r="BE1308" s="13"/>
      <c r="BF1308" s="13"/>
      <c r="BG1308" s="13"/>
      <c r="BH1308" s="11">
        <v>121770.0</v>
      </c>
      <c r="BI1308" s="11">
        <v>110830.0</v>
      </c>
      <c r="BJ1308" s="11">
        <v>94350.0</v>
      </c>
      <c r="BK1308" s="11">
        <v>13370.0</v>
      </c>
      <c r="BL1308" s="11">
        <v>40980.0</v>
      </c>
      <c r="BM1308" s="11">
        <v>1620.0</v>
      </c>
      <c r="BN1308" s="11">
        <v>1680.0</v>
      </c>
      <c r="BO1308" s="11">
        <v>1030.0</v>
      </c>
      <c r="BP1308" s="11">
        <v>868.0</v>
      </c>
      <c r="BQ1308" s="12"/>
      <c r="BR1308" s="12"/>
      <c r="BS1308" s="12"/>
      <c r="BT1308" s="12"/>
      <c r="BU1308" s="12"/>
      <c r="BV1308" s="12"/>
      <c r="BW1308" s="11">
        <v>124070.0</v>
      </c>
      <c r="BX1308" s="11">
        <v>113340.0</v>
      </c>
      <c r="BY1308" s="11">
        <v>97860.0</v>
      </c>
      <c r="BZ1308" s="11">
        <v>14610.0</v>
      </c>
      <c r="CA1308" s="11">
        <v>42250.0</v>
      </c>
      <c r="CB1308" s="11">
        <v>352.0</v>
      </c>
      <c r="CC1308" s="11">
        <v>522.0</v>
      </c>
      <c r="CD1308" s="11">
        <v>925.0</v>
      </c>
      <c r="CE1308" s="11">
        <v>793.0</v>
      </c>
      <c r="CF1308" s="11">
        <v>226.0</v>
      </c>
      <c r="CG1308" s="12"/>
      <c r="CH1308" s="11">
        <v>26920.0</v>
      </c>
      <c r="CI1308" s="11">
        <v>27080.0</v>
      </c>
      <c r="CJ1308" s="11">
        <v>3050.0</v>
      </c>
      <c r="CK1308" s="11">
        <v>3010.0</v>
      </c>
      <c r="CL1308" s="11">
        <v>136200.0</v>
      </c>
      <c r="CM1308" s="11">
        <v>155380.0</v>
      </c>
      <c r="CN1308" s="11">
        <v>160090.0</v>
      </c>
      <c r="CO1308" s="11">
        <v>29190.0</v>
      </c>
      <c r="CP1308" s="11">
        <v>54220.0</v>
      </c>
      <c r="CQ1308" s="11">
        <v>3410.0</v>
      </c>
      <c r="CR1308" s="11">
        <v>3880.0</v>
      </c>
      <c r="CS1308" s="11">
        <v>2780.0</v>
      </c>
      <c r="CT1308" s="11">
        <v>536.0</v>
      </c>
      <c r="CU1308" s="12"/>
      <c r="CV1308" s="11">
        <v>10880.0</v>
      </c>
      <c r="CW1308" s="11">
        <v>2440.0</v>
      </c>
      <c r="CX1308" s="13"/>
      <c r="CY1308" s="12"/>
      <c r="CZ1308" s="12"/>
      <c r="DA1308" s="12"/>
      <c r="DB1308" s="11">
        <v>10880.0</v>
      </c>
      <c r="DC1308" s="11">
        <v>7250.0</v>
      </c>
      <c r="DD1308" s="11">
        <v>6020.0</v>
      </c>
      <c r="DE1308" s="11">
        <v>3460.0</v>
      </c>
      <c r="DF1308" s="11">
        <v>34510.0</v>
      </c>
      <c r="DG1308" s="11">
        <v>47160.0</v>
      </c>
      <c r="DH1308" s="11">
        <v>40780.0</v>
      </c>
      <c r="DI1308" s="11">
        <v>21210.0</v>
      </c>
      <c r="DJ1308" s="11">
        <v>30330.0</v>
      </c>
      <c r="DK1308" s="12"/>
      <c r="DL1308" s="12"/>
      <c r="DM1308" s="12"/>
      <c r="DN1308" s="12"/>
      <c r="DO1308" s="12"/>
      <c r="DP1308" s="11">
        <v>23410.0</v>
      </c>
      <c r="DQ1308" s="11">
        <v>24530.0</v>
      </c>
      <c r="DR1308" s="11">
        <v>15070.0</v>
      </c>
      <c r="DS1308" s="11">
        <v>4030.0</v>
      </c>
      <c r="DT1308" s="11">
        <v>3750.0</v>
      </c>
      <c r="DU1308" s="13"/>
      <c r="DV1308" s="12"/>
      <c r="DW1308" s="12"/>
      <c r="DX1308" s="11">
        <v>43860.0</v>
      </c>
      <c r="DY1308" s="13"/>
      <c r="DZ1308" s="11">
        <v>101700.0</v>
      </c>
      <c r="EA1308" s="11">
        <v>108220.0</v>
      </c>
      <c r="EB1308" s="11">
        <v>119310.0</v>
      </c>
      <c r="EC1308" s="11">
        <v>7990.0</v>
      </c>
      <c r="ED1308" s="11">
        <v>23890.0</v>
      </c>
      <c r="EE1308" s="23"/>
      <c r="EF1308" s="23"/>
      <c r="EG1308" s="14">
        <v>0.036</v>
      </c>
      <c r="EH1308" s="14">
        <v>-0.215</v>
      </c>
    </row>
    <row r="1309">
      <c r="A1309" s="9">
        <f t="shared" si="2"/>
        <v>1307</v>
      </c>
      <c r="B1309" s="22" t="s">
        <v>1444</v>
      </c>
      <c r="C1309" s="11">
        <v>115500.0</v>
      </c>
      <c r="D1309" s="11">
        <v>60290.0</v>
      </c>
      <c r="E1309" s="11">
        <v>42930.0</v>
      </c>
      <c r="F1309" s="11">
        <v>12260.0</v>
      </c>
      <c r="G1309" s="11">
        <v>1720.0</v>
      </c>
      <c r="H1309" s="12"/>
      <c r="I1309" s="12"/>
      <c r="J1309" s="11">
        <v>25770.0</v>
      </c>
      <c r="K1309" s="11">
        <v>5010.0</v>
      </c>
      <c r="L1309" s="11">
        <v>-1120.0</v>
      </c>
      <c r="M1309" s="12"/>
      <c r="N1309" s="12"/>
      <c r="O1309" s="11">
        <v>77610.0</v>
      </c>
      <c r="P1309" s="11">
        <v>46210.0</v>
      </c>
      <c r="Q1309" s="11">
        <v>29750.0</v>
      </c>
      <c r="R1309" s="12"/>
      <c r="S1309" s="12"/>
      <c r="T1309" s="11">
        <v>32850.0</v>
      </c>
      <c r="U1309" s="11">
        <v>22700.0</v>
      </c>
      <c r="V1309" s="11">
        <v>17960.0</v>
      </c>
      <c r="W1309" s="12"/>
      <c r="X1309" s="12"/>
      <c r="Y1309" s="11">
        <v>-52450.0</v>
      </c>
      <c r="Z1309" s="12"/>
      <c r="AA1309" s="12"/>
      <c r="AB1309" s="12"/>
      <c r="AC1309" s="12"/>
      <c r="AD1309" s="11">
        <v>-51050.0</v>
      </c>
      <c r="AE1309" s="11">
        <v>-41060.0</v>
      </c>
      <c r="AF1309" s="11">
        <v>-30590.0</v>
      </c>
      <c r="AG1309" s="12"/>
      <c r="AH1309" s="12"/>
      <c r="AI1309" s="11">
        <v>-49560.0</v>
      </c>
      <c r="AJ1309" s="11">
        <v>-40550.0</v>
      </c>
      <c r="AK1309" s="11">
        <v>-30400.0</v>
      </c>
      <c r="AL1309" s="12"/>
      <c r="AM1309" s="12"/>
      <c r="AN1309" s="11">
        <v>-51110.0</v>
      </c>
      <c r="AO1309" s="11">
        <v>-41100.0</v>
      </c>
      <c r="AP1309" s="11">
        <v>-30620.0</v>
      </c>
      <c r="AQ1309" s="12"/>
      <c r="AR1309" s="12"/>
      <c r="AS1309" s="11">
        <v>-47100.0</v>
      </c>
      <c r="AT1309" s="11">
        <v>-41470.0</v>
      </c>
      <c r="AU1309" s="11">
        <v>-30350.0</v>
      </c>
      <c r="AV1309" s="12"/>
      <c r="AW1309" s="12"/>
      <c r="AX1309" s="11">
        <v>-3820.0</v>
      </c>
      <c r="AY1309" s="11">
        <v>-1980.0</v>
      </c>
      <c r="AZ1309" s="11">
        <v>-425.0</v>
      </c>
      <c r="BA1309" s="12"/>
      <c r="BB1309" s="12"/>
      <c r="BC1309" s="12"/>
      <c r="BD1309" s="12"/>
      <c r="BE1309" s="12"/>
      <c r="BF1309" s="12"/>
      <c r="BG1309" s="12"/>
      <c r="BH1309" s="11">
        <v>195350.0</v>
      </c>
      <c r="BI1309" s="11">
        <v>40090.0</v>
      </c>
      <c r="BJ1309" s="11">
        <v>53730.0</v>
      </c>
      <c r="BK1309" s="12"/>
      <c r="BL1309" s="12"/>
      <c r="BM1309" s="11">
        <v>7380.0</v>
      </c>
      <c r="BN1309" s="11">
        <v>2850.0</v>
      </c>
      <c r="BO1309" s="11">
        <v>639.0</v>
      </c>
      <c r="BP1309" s="12"/>
      <c r="BQ1309" s="12"/>
      <c r="BR1309" s="11">
        <v>12070.0</v>
      </c>
      <c r="BS1309" s="11">
        <v>5130.0</v>
      </c>
      <c r="BT1309" s="11">
        <v>2520.0</v>
      </c>
      <c r="BU1309" s="12"/>
      <c r="BV1309" s="12"/>
      <c r="BW1309" s="11">
        <v>216700.0</v>
      </c>
      <c r="BX1309" s="11">
        <v>48740.0</v>
      </c>
      <c r="BY1309" s="11">
        <v>57860.0</v>
      </c>
      <c r="BZ1309" s="12"/>
      <c r="CA1309" s="12"/>
      <c r="CB1309" s="11">
        <v>13740.0</v>
      </c>
      <c r="CC1309" s="11">
        <v>2620.0</v>
      </c>
      <c r="CD1309" s="11">
        <v>1370.0</v>
      </c>
      <c r="CE1309" s="12"/>
      <c r="CF1309" s="12"/>
      <c r="CG1309" s="12"/>
      <c r="CH1309" s="12"/>
      <c r="CI1309" s="12"/>
      <c r="CJ1309" s="12"/>
      <c r="CK1309" s="12"/>
      <c r="CL1309" s="11">
        <v>231940.0</v>
      </c>
      <c r="CM1309" s="11">
        <v>53420.0</v>
      </c>
      <c r="CN1309" s="11">
        <v>59300.0</v>
      </c>
      <c r="CO1309" s="12"/>
      <c r="CP1309" s="12"/>
      <c r="CQ1309" s="11">
        <v>2790.0</v>
      </c>
      <c r="CR1309" s="11">
        <v>1490.0</v>
      </c>
      <c r="CS1309" s="11">
        <v>1150.0</v>
      </c>
      <c r="CT1309" s="12"/>
      <c r="CU1309" s="12"/>
      <c r="CV1309" s="11">
        <v>24010.0</v>
      </c>
      <c r="CW1309" s="11">
        <v>774.0</v>
      </c>
      <c r="CX1309" s="12"/>
      <c r="CY1309" s="12"/>
      <c r="CZ1309" s="12"/>
      <c r="DA1309" s="12"/>
      <c r="DB1309" s="11">
        <v>24010.0</v>
      </c>
      <c r="DC1309" s="11">
        <v>9370.0</v>
      </c>
      <c r="DD1309" s="11">
        <v>4540.0</v>
      </c>
      <c r="DE1309" s="12"/>
      <c r="DF1309" s="11">
        <v>39290.0</v>
      </c>
      <c r="DG1309" s="11">
        <v>22890.0</v>
      </c>
      <c r="DH1309" s="11">
        <v>4550.0</v>
      </c>
      <c r="DI1309" s="12"/>
      <c r="DJ1309" s="12"/>
      <c r="DK1309" s="11">
        <v>1450.0</v>
      </c>
      <c r="DL1309" s="11">
        <v>450.0</v>
      </c>
      <c r="DM1309" s="12"/>
      <c r="DN1309" s="12"/>
      <c r="DO1309" s="12"/>
      <c r="DP1309" s="11">
        <v>15280.0</v>
      </c>
      <c r="DQ1309" s="11">
        <v>13380.0</v>
      </c>
      <c r="DR1309" s="12"/>
      <c r="DS1309" s="12"/>
      <c r="DT1309" s="12"/>
      <c r="DU1309" s="13"/>
      <c r="DV1309" s="11">
        <v>153120.0</v>
      </c>
      <c r="DW1309" s="11">
        <v>138050.0</v>
      </c>
      <c r="DX1309" s="13"/>
      <c r="DY1309" s="13"/>
      <c r="DZ1309" s="11">
        <v>192650.0</v>
      </c>
      <c r="EA1309" s="11">
        <v>30530.0</v>
      </c>
      <c r="EB1309" s="11">
        <v>54750.0</v>
      </c>
      <c r="EC1309" s="12"/>
      <c r="ED1309" s="12"/>
      <c r="EE1309" s="14">
        <v>0.095</v>
      </c>
      <c r="EF1309" s="14">
        <v>0.24</v>
      </c>
      <c r="EG1309" s="14">
        <v>0.097</v>
      </c>
      <c r="EH1309" s="14">
        <v>0.008</v>
      </c>
    </row>
    <row r="1310">
      <c r="A1310" s="9">
        <f t="shared" si="2"/>
        <v>1308</v>
      </c>
      <c r="B1310" s="10" t="s">
        <v>1445</v>
      </c>
      <c r="C1310" s="15">
        <v>3480000.0</v>
      </c>
      <c r="D1310" s="15">
        <v>3160000.0</v>
      </c>
      <c r="E1310" s="15">
        <v>3380000.0</v>
      </c>
      <c r="F1310" s="15">
        <v>3870000.0</v>
      </c>
      <c r="G1310" s="15">
        <v>3650000.0</v>
      </c>
      <c r="H1310" s="15">
        <v>3290000.0</v>
      </c>
      <c r="I1310" s="15">
        <v>3260000.0</v>
      </c>
      <c r="J1310" s="15">
        <v>1580000.0</v>
      </c>
      <c r="K1310" s="15">
        <v>1930000.0</v>
      </c>
      <c r="L1310" s="15">
        <v>1810000.0</v>
      </c>
      <c r="M1310" s="15">
        <v>1630000.0</v>
      </c>
      <c r="N1310" s="15">
        <v>1520000.0</v>
      </c>
      <c r="O1310" s="15">
        <v>622400.0</v>
      </c>
      <c r="P1310" s="15">
        <v>624200.0</v>
      </c>
      <c r="Q1310" s="15">
        <v>561100.0</v>
      </c>
      <c r="R1310" s="15">
        <v>508300.0</v>
      </c>
      <c r="S1310" s="15">
        <v>494500.0</v>
      </c>
      <c r="T1310" s="15">
        <v>424100.0</v>
      </c>
      <c r="U1310" s="15">
        <v>404500.0</v>
      </c>
      <c r="V1310" s="15">
        <v>355200.0</v>
      </c>
      <c r="W1310" s="15">
        <v>312400.0</v>
      </c>
      <c r="X1310" s="15">
        <v>303200.0</v>
      </c>
      <c r="Y1310" s="15">
        <v>952000.0</v>
      </c>
      <c r="Z1310" s="15">
        <v>1320000.0</v>
      </c>
      <c r="AA1310" s="15">
        <v>1250000.0</v>
      </c>
      <c r="AB1310" s="15">
        <v>1210000.0</v>
      </c>
      <c r="AC1310" s="15">
        <v>1020000.0</v>
      </c>
      <c r="AD1310" s="15">
        <v>961000.0</v>
      </c>
      <c r="AE1310" s="15">
        <v>1330000.0</v>
      </c>
      <c r="AF1310" s="15">
        <v>1260000.0</v>
      </c>
      <c r="AG1310" s="15">
        <v>1200000.0</v>
      </c>
      <c r="AH1310" s="15">
        <v>1020000.0</v>
      </c>
      <c r="AI1310" s="15">
        <v>1330000.0</v>
      </c>
      <c r="AJ1310" s="15">
        <v>1610000.0</v>
      </c>
      <c r="AK1310" s="15">
        <v>1510000.0</v>
      </c>
      <c r="AL1310" s="15">
        <v>1370000.0</v>
      </c>
      <c r="AM1310" s="15">
        <v>1220000.0</v>
      </c>
      <c r="AN1310" s="15">
        <v>853600.0</v>
      </c>
      <c r="AO1310" s="15">
        <v>918400.0</v>
      </c>
      <c r="AP1310" s="15">
        <v>1010000.0</v>
      </c>
      <c r="AQ1310" s="15">
        <v>995200.0</v>
      </c>
      <c r="AR1310" s="15">
        <v>798300.0</v>
      </c>
      <c r="AS1310" s="15">
        <v>1370000.0</v>
      </c>
      <c r="AT1310" s="15">
        <v>1260000.0</v>
      </c>
      <c r="AU1310" s="15">
        <v>1470000.0</v>
      </c>
      <c r="AV1310" s="15">
        <v>1100000.0</v>
      </c>
      <c r="AW1310" s="15">
        <v>992800.0</v>
      </c>
      <c r="AX1310" s="15">
        <v>-423400.0</v>
      </c>
      <c r="AY1310" s="15">
        <v>-430900.0</v>
      </c>
      <c r="AZ1310" s="15">
        <v>-315400.0</v>
      </c>
      <c r="BA1310" s="15">
        <v>-195300.0</v>
      </c>
      <c r="BB1310" s="15">
        <v>-430100.0</v>
      </c>
      <c r="BC1310" s="15">
        <v>-273900.0</v>
      </c>
      <c r="BD1310" s="15">
        <v>-243200.0</v>
      </c>
      <c r="BE1310" s="15">
        <v>-214600.0</v>
      </c>
      <c r="BF1310" s="15">
        <v>-201000.0</v>
      </c>
      <c r="BG1310" s="15">
        <v>-123100.0</v>
      </c>
      <c r="BH1310" s="15">
        <v>1050000.0</v>
      </c>
      <c r="BI1310" s="15">
        <v>1030000.0</v>
      </c>
      <c r="BJ1310" s="15">
        <v>1620000.0</v>
      </c>
      <c r="BK1310" s="15">
        <v>1090000.0</v>
      </c>
      <c r="BL1310" s="15">
        <v>1040000.0</v>
      </c>
      <c r="BM1310" s="15">
        <v>465300.0</v>
      </c>
      <c r="BN1310" s="15">
        <v>655800.0</v>
      </c>
      <c r="BO1310" s="15">
        <v>454700.0</v>
      </c>
      <c r="BP1310" s="15">
        <v>416600.0</v>
      </c>
      <c r="BQ1310" s="15">
        <v>538000.0</v>
      </c>
      <c r="BR1310" s="15">
        <v>609700.0</v>
      </c>
      <c r="BS1310" s="15">
        <v>490200.0</v>
      </c>
      <c r="BT1310" s="15">
        <v>493500.0</v>
      </c>
      <c r="BU1310" s="15">
        <v>424000.0</v>
      </c>
      <c r="BV1310" s="15">
        <v>267900.0</v>
      </c>
      <c r="BW1310" s="15">
        <v>2230000.0</v>
      </c>
      <c r="BX1310" s="15">
        <v>2260000.0</v>
      </c>
      <c r="BY1310" s="15">
        <v>2630000.0</v>
      </c>
      <c r="BZ1310" s="15">
        <v>2000000.0</v>
      </c>
      <c r="CA1310" s="15">
        <v>1910000.0</v>
      </c>
      <c r="CB1310" s="15">
        <v>1210000.0</v>
      </c>
      <c r="CC1310" s="15">
        <v>1140000.0</v>
      </c>
      <c r="CD1310" s="15">
        <v>882300.0</v>
      </c>
      <c r="CE1310" s="15">
        <v>806300.0</v>
      </c>
      <c r="CF1310" s="15">
        <v>826400.0</v>
      </c>
      <c r="CG1310" s="15">
        <v>1190000.0</v>
      </c>
      <c r="CH1310" s="15">
        <v>1190000.0</v>
      </c>
      <c r="CI1310" s="15">
        <v>883000.0</v>
      </c>
      <c r="CJ1310" s="15">
        <v>873300.0</v>
      </c>
      <c r="CK1310" s="15">
        <v>856700.0</v>
      </c>
      <c r="CL1310" s="15">
        <v>4840000.0</v>
      </c>
      <c r="CM1310" s="15">
        <v>4830000.0</v>
      </c>
      <c r="CN1310" s="15">
        <v>4570000.0</v>
      </c>
      <c r="CO1310" s="15">
        <v>3860000.0</v>
      </c>
      <c r="CP1310" s="15">
        <v>3720000.0</v>
      </c>
      <c r="CQ1310" s="15">
        <v>190500.0</v>
      </c>
      <c r="CR1310" s="15">
        <v>229900.0</v>
      </c>
      <c r="CS1310" s="15">
        <v>258400.0</v>
      </c>
      <c r="CT1310" s="15">
        <v>110400.0</v>
      </c>
      <c r="CU1310" s="15">
        <v>291100.0</v>
      </c>
      <c r="CV1310" s="15">
        <v>374000.0</v>
      </c>
      <c r="CW1310" s="15">
        <v>0.0</v>
      </c>
      <c r="CX1310" s="15">
        <v>0.0</v>
      </c>
      <c r="CY1310" s="16">
        <v>0.0</v>
      </c>
      <c r="CZ1310" s="16">
        <v>0.0</v>
      </c>
      <c r="DA1310" s="15">
        <v>0.0</v>
      </c>
      <c r="DB1310" s="15">
        <v>374000.0</v>
      </c>
      <c r="DC1310" s="15">
        <v>389700.0</v>
      </c>
      <c r="DD1310" s="15">
        <v>387900.0</v>
      </c>
      <c r="DE1310" s="15">
        <v>210200.0</v>
      </c>
      <c r="DF1310" s="15">
        <v>717300.0</v>
      </c>
      <c r="DG1310" s="15">
        <v>731900.0</v>
      </c>
      <c r="DH1310" s="15">
        <v>507900.0</v>
      </c>
      <c r="DI1310" s="15">
        <v>314000.0</v>
      </c>
      <c r="DJ1310" s="15">
        <v>560200.0</v>
      </c>
      <c r="DK1310" s="15">
        <v>27600.0</v>
      </c>
      <c r="DL1310" s="15">
        <v>22800.0</v>
      </c>
      <c r="DM1310" s="15">
        <v>0.0</v>
      </c>
      <c r="DN1310" s="15">
        <v>0.0</v>
      </c>
      <c r="DO1310" s="15">
        <v>2300.0</v>
      </c>
      <c r="DP1310" s="15">
        <v>0.0</v>
      </c>
      <c r="DQ1310" s="15">
        <v>0.0</v>
      </c>
      <c r="DR1310" s="15">
        <v>0.0</v>
      </c>
      <c r="DS1310" s="15">
        <v>0.0</v>
      </c>
      <c r="DT1310" s="15">
        <v>0.0</v>
      </c>
      <c r="DU1310" s="16">
        <v>0.0</v>
      </c>
      <c r="DV1310" s="15">
        <v>0.0</v>
      </c>
      <c r="DW1310" s="15">
        <v>0.0</v>
      </c>
      <c r="DX1310" s="15">
        <v>0.0</v>
      </c>
      <c r="DY1310" s="15">
        <v>0.0</v>
      </c>
      <c r="DZ1310" s="15">
        <v>4120000.0</v>
      </c>
      <c r="EA1310" s="15">
        <v>4100000.0</v>
      </c>
      <c r="EB1310" s="15">
        <v>4070000.0</v>
      </c>
      <c r="EC1310" s="15">
        <v>3540000.0</v>
      </c>
      <c r="ED1310" s="15">
        <v>3160000.0</v>
      </c>
      <c r="EE1310" s="17">
        <v>0.073</v>
      </c>
      <c r="EF1310" s="17">
        <v>0.158</v>
      </c>
      <c r="EG1310" s="17">
        <v>0.008</v>
      </c>
      <c r="EH1310" s="17">
        <v>0.008</v>
      </c>
    </row>
    <row r="1311">
      <c r="A1311" s="9">
        <f t="shared" si="2"/>
        <v>1309</v>
      </c>
      <c r="B1311" s="22" t="s">
        <v>1446</v>
      </c>
      <c r="C1311" s="12"/>
      <c r="D1311" s="12"/>
      <c r="E1311" s="12"/>
      <c r="F1311" s="12"/>
      <c r="G1311" s="12"/>
      <c r="H1311" s="12"/>
      <c r="I1311" s="12"/>
      <c r="J1311" s="11">
        <v>-192.0</v>
      </c>
      <c r="K1311" s="11">
        <v>-17.0</v>
      </c>
      <c r="L1311" s="11">
        <v>-3.0</v>
      </c>
      <c r="M1311" s="12"/>
      <c r="N1311" s="12"/>
      <c r="O1311" s="11">
        <v>59050.0</v>
      </c>
      <c r="P1311" s="11">
        <v>18470.0</v>
      </c>
      <c r="Q1311" s="11">
        <v>4660.0</v>
      </c>
      <c r="R1311" s="12"/>
      <c r="S1311" s="12"/>
      <c r="T1311" s="11">
        <v>42550.0</v>
      </c>
      <c r="U1311" s="11">
        <v>9900.0</v>
      </c>
      <c r="V1311" s="11">
        <v>2800.0</v>
      </c>
      <c r="W1311" s="12"/>
      <c r="X1311" s="12"/>
      <c r="Y1311" s="12"/>
      <c r="Z1311" s="12"/>
      <c r="AA1311" s="12"/>
      <c r="AB1311" s="12"/>
      <c r="AC1311" s="12"/>
      <c r="AD1311" s="11">
        <v>-58310.0</v>
      </c>
      <c r="AE1311" s="11">
        <v>-17810.0</v>
      </c>
      <c r="AF1311" s="11">
        <v>-4640.0</v>
      </c>
      <c r="AG1311" s="12"/>
      <c r="AH1311" s="12"/>
      <c r="AI1311" s="11">
        <v>-59050.0</v>
      </c>
      <c r="AJ1311" s="11">
        <v>-18470.0</v>
      </c>
      <c r="AK1311" s="11">
        <v>-4660.0</v>
      </c>
      <c r="AL1311" s="12"/>
      <c r="AM1311" s="12"/>
      <c r="AN1311" s="11">
        <v>-58310.0</v>
      </c>
      <c r="AO1311" s="11">
        <v>-17810.0</v>
      </c>
      <c r="AP1311" s="11">
        <v>-4640.0</v>
      </c>
      <c r="AQ1311" s="12"/>
      <c r="AR1311" s="12"/>
      <c r="AS1311" s="11">
        <v>-47440.0</v>
      </c>
      <c r="AT1311" s="11">
        <v>-14710.0</v>
      </c>
      <c r="AU1311" s="11">
        <v>-2240.0</v>
      </c>
      <c r="AV1311" s="12"/>
      <c r="AW1311" s="12"/>
      <c r="AX1311" s="11">
        <v>-670.0</v>
      </c>
      <c r="AY1311" s="11">
        <v>-293.0</v>
      </c>
      <c r="AZ1311" s="11">
        <v>-44.0</v>
      </c>
      <c r="BA1311" s="12"/>
      <c r="BB1311" s="12"/>
      <c r="BC1311" s="12"/>
      <c r="BD1311" s="12"/>
      <c r="BE1311" s="12"/>
      <c r="BF1311" s="12"/>
      <c r="BG1311" s="12"/>
      <c r="BH1311" s="11">
        <v>327650.0</v>
      </c>
      <c r="BI1311" s="11">
        <v>45650.0</v>
      </c>
      <c r="BJ1311" s="11">
        <v>10270.0</v>
      </c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1">
        <v>331360.0</v>
      </c>
      <c r="BX1311" s="11">
        <v>47030.0</v>
      </c>
      <c r="BY1311" s="11">
        <v>10540.0</v>
      </c>
      <c r="BZ1311" s="12"/>
      <c r="CA1311" s="12"/>
      <c r="CB1311" s="11">
        <v>795.0</v>
      </c>
      <c r="CC1311" s="11">
        <v>317.0</v>
      </c>
      <c r="CD1311" s="11">
        <v>41.0</v>
      </c>
      <c r="CE1311" s="12"/>
      <c r="CF1311" s="12"/>
      <c r="CG1311" s="12"/>
      <c r="CH1311" s="12"/>
      <c r="CI1311" s="12"/>
      <c r="CJ1311" s="12"/>
      <c r="CK1311" s="12"/>
      <c r="CL1311" s="11">
        <v>334830.0</v>
      </c>
      <c r="CM1311" s="11">
        <v>48390.0</v>
      </c>
      <c r="CN1311" s="11">
        <v>10580.0</v>
      </c>
      <c r="CO1311" s="12"/>
      <c r="CP1311" s="12"/>
      <c r="CQ1311" s="11">
        <v>2650.0</v>
      </c>
      <c r="CR1311" s="11">
        <v>774.0</v>
      </c>
      <c r="CS1311" s="11">
        <v>283.0</v>
      </c>
      <c r="CT1311" s="12"/>
      <c r="CU1311" s="12"/>
      <c r="CV1311" s="11">
        <v>11970.0</v>
      </c>
      <c r="CW1311" s="12"/>
      <c r="CX1311" s="12"/>
      <c r="CY1311" s="12"/>
      <c r="CZ1311" s="12"/>
      <c r="DA1311" s="12"/>
      <c r="DB1311" s="11">
        <v>11970.0</v>
      </c>
      <c r="DC1311" s="11">
        <v>3680.0</v>
      </c>
      <c r="DD1311" s="11">
        <v>653.0</v>
      </c>
      <c r="DE1311" s="12"/>
      <c r="DF1311" s="11">
        <v>12760.0</v>
      </c>
      <c r="DG1311" s="11">
        <v>4830.0</v>
      </c>
      <c r="DH1311" s="11">
        <v>653.0</v>
      </c>
      <c r="DI1311" s="12"/>
      <c r="DJ1311" s="12"/>
      <c r="DK1311" s="11">
        <v>1520.0</v>
      </c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3"/>
      <c r="DV1311" s="11">
        <v>64940.0</v>
      </c>
      <c r="DW1311" s="11">
        <v>14570.0</v>
      </c>
      <c r="DX1311" s="13"/>
      <c r="DY1311" s="13"/>
      <c r="DZ1311" s="11">
        <v>322070.0</v>
      </c>
      <c r="EA1311" s="11">
        <v>43560.0</v>
      </c>
      <c r="EB1311" s="11">
        <v>9930.0</v>
      </c>
      <c r="EC1311" s="12"/>
      <c r="ED1311" s="12"/>
      <c r="EE1311" s="23"/>
      <c r="EF1311" s="23"/>
      <c r="EG1311" s="14">
        <v>-0.306</v>
      </c>
      <c r="EH1311" s="14">
        <v>-0.775</v>
      </c>
    </row>
    <row r="1312">
      <c r="A1312" s="9">
        <f t="shared" si="2"/>
        <v>1310</v>
      </c>
      <c r="B1312" s="10" t="s">
        <v>1447</v>
      </c>
      <c r="C1312" s="15">
        <v>1270000.0</v>
      </c>
      <c r="D1312" s="15">
        <v>1180000.0</v>
      </c>
      <c r="E1312" s="15">
        <v>1600000.0</v>
      </c>
      <c r="F1312" s="15">
        <v>1450000.0</v>
      </c>
      <c r="G1312" s="15">
        <v>1330000.0</v>
      </c>
      <c r="H1312" s="15">
        <v>1220000.0</v>
      </c>
      <c r="I1312" s="15">
        <v>1360000.0</v>
      </c>
      <c r="J1312" s="15">
        <v>178900.0</v>
      </c>
      <c r="K1312" s="15">
        <v>184800.0</v>
      </c>
      <c r="L1312" s="15">
        <v>183200.0</v>
      </c>
      <c r="M1312" s="15">
        <v>202600.0</v>
      </c>
      <c r="N1312" s="15">
        <v>155200.0</v>
      </c>
      <c r="O1312" s="15">
        <v>70900.0</v>
      </c>
      <c r="P1312" s="15">
        <v>66100.0</v>
      </c>
      <c r="Q1312" s="15">
        <v>79000.0</v>
      </c>
      <c r="R1312" s="15">
        <v>90500.0</v>
      </c>
      <c r="S1312" s="15">
        <v>67800.0</v>
      </c>
      <c r="T1312" s="15">
        <v>0.0</v>
      </c>
      <c r="U1312" s="15">
        <v>0.0</v>
      </c>
      <c r="V1312" s="15">
        <v>0.0</v>
      </c>
      <c r="W1312" s="15">
        <v>0.0</v>
      </c>
      <c r="X1312" s="15">
        <v>0.0</v>
      </c>
      <c r="Y1312" s="15">
        <v>-142800.0</v>
      </c>
      <c r="Z1312" s="15">
        <v>118400.0</v>
      </c>
      <c r="AA1312" s="15">
        <v>-20400.0</v>
      </c>
      <c r="AB1312" s="15">
        <v>124500.0</v>
      </c>
      <c r="AC1312" s="15">
        <v>91400.0</v>
      </c>
      <c r="AD1312" s="15">
        <v>-203100.0</v>
      </c>
      <c r="AE1312" s="15">
        <v>57000.0</v>
      </c>
      <c r="AF1312" s="15">
        <v>21900.0</v>
      </c>
      <c r="AG1312" s="15">
        <v>68100.0</v>
      </c>
      <c r="AH1312" s="15">
        <v>23100.0</v>
      </c>
      <c r="AI1312" s="15">
        <v>252800.0</v>
      </c>
      <c r="AJ1312" s="15">
        <v>261200.0</v>
      </c>
      <c r="AK1312" s="15">
        <v>233400.0</v>
      </c>
      <c r="AL1312" s="15">
        <v>227400.0</v>
      </c>
      <c r="AM1312" s="15">
        <v>197900.0</v>
      </c>
      <c r="AN1312" s="15">
        <v>-152300.0</v>
      </c>
      <c r="AO1312" s="15">
        <v>26200.0</v>
      </c>
      <c r="AP1312" s="15">
        <v>122400.0</v>
      </c>
      <c r="AQ1312" s="15">
        <v>14400.0</v>
      </c>
      <c r="AR1312" s="15">
        <v>-22000.0</v>
      </c>
      <c r="AS1312" s="15">
        <v>181900.0</v>
      </c>
      <c r="AT1312" s="15">
        <v>185800.0</v>
      </c>
      <c r="AU1312" s="15">
        <v>148500.0</v>
      </c>
      <c r="AV1312" s="15">
        <v>219100.0</v>
      </c>
      <c r="AW1312" s="15">
        <v>141100.0</v>
      </c>
      <c r="AX1312" s="15">
        <v>-110100.0</v>
      </c>
      <c r="AY1312" s="15">
        <v>-100300.0</v>
      </c>
      <c r="AZ1312" s="15">
        <v>-75600.0</v>
      </c>
      <c r="BA1312" s="15">
        <v>-63700.0</v>
      </c>
      <c r="BB1312" s="15">
        <v>-75800.0</v>
      </c>
      <c r="BC1312" s="15">
        <v>-5100.0</v>
      </c>
      <c r="BD1312" s="16">
        <v>0.0</v>
      </c>
      <c r="BE1312" s="16">
        <v>0.0</v>
      </c>
      <c r="BF1312" s="16">
        <v>0.0</v>
      </c>
      <c r="BG1312" s="15">
        <v>-28000.0</v>
      </c>
      <c r="BH1312" s="15">
        <v>97100.0</v>
      </c>
      <c r="BI1312" s="15">
        <v>145700.0</v>
      </c>
      <c r="BJ1312" s="15">
        <v>120200.0</v>
      </c>
      <c r="BK1312" s="15">
        <v>134000.0</v>
      </c>
      <c r="BL1312" s="15">
        <v>123400.0</v>
      </c>
      <c r="BM1312" s="15">
        <v>61700.0</v>
      </c>
      <c r="BN1312" s="15">
        <v>76100.0</v>
      </c>
      <c r="BO1312" s="15">
        <v>73300.0</v>
      </c>
      <c r="BP1312" s="15">
        <v>85800.0</v>
      </c>
      <c r="BQ1312" s="15">
        <v>76800.0</v>
      </c>
      <c r="BR1312" s="15">
        <v>147000.0</v>
      </c>
      <c r="BS1312" s="15">
        <v>110400.0</v>
      </c>
      <c r="BT1312" s="15">
        <v>111000.0</v>
      </c>
      <c r="BU1312" s="15">
        <v>92500.0</v>
      </c>
      <c r="BV1312" s="15">
        <v>122100.0</v>
      </c>
      <c r="BW1312" s="15">
        <v>308300.0</v>
      </c>
      <c r="BX1312" s="15">
        <v>335000.0</v>
      </c>
      <c r="BY1312" s="15">
        <v>311200.0</v>
      </c>
      <c r="BZ1312" s="15">
        <v>316100.0</v>
      </c>
      <c r="CA1312" s="15">
        <v>326100.0</v>
      </c>
      <c r="CB1312" s="15">
        <v>1390000.0</v>
      </c>
      <c r="CC1312" s="15">
        <v>1470000.0</v>
      </c>
      <c r="CD1312" s="15">
        <v>1500000.0</v>
      </c>
      <c r="CE1312" s="15">
        <v>1540000.0</v>
      </c>
      <c r="CF1312" s="15">
        <v>1590000.0</v>
      </c>
      <c r="CG1312" s="15">
        <v>3400.0</v>
      </c>
      <c r="CH1312" s="15">
        <v>76900.0</v>
      </c>
      <c r="CI1312" s="15">
        <v>76900.0</v>
      </c>
      <c r="CJ1312" s="15">
        <v>76900.0</v>
      </c>
      <c r="CK1312" s="15">
        <v>71100.0</v>
      </c>
      <c r="CL1312" s="15">
        <v>1820000.0</v>
      </c>
      <c r="CM1312" s="15">
        <v>2110000.0</v>
      </c>
      <c r="CN1312" s="15">
        <v>2130000.0</v>
      </c>
      <c r="CO1312" s="15">
        <v>2230000.0</v>
      </c>
      <c r="CP1312" s="15">
        <v>2370000.0</v>
      </c>
      <c r="CQ1312" s="15">
        <v>142400.0</v>
      </c>
      <c r="CR1312" s="15">
        <v>115000.0</v>
      </c>
      <c r="CS1312" s="15">
        <v>115500.0</v>
      </c>
      <c r="CT1312" s="15">
        <v>98600.0</v>
      </c>
      <c r="CU1312" s="15">
        <v>99900.0</v>
      </c>
      <c r="CV1312" s="15">
        <v>194800.0</v>
      </c>
      <c r="CW1312" s="15">
        <v>1900.0</v>
      </c>
      <c r="CX1312" s="15">
        <v>0.0</v>
      </c>
      <c r="CY1312" s="15">
        <v>0.0</v>
      </c>
      <c r="CZ1312" s="16">
        <v>0.0</v>
      </c>
      <c r="DA1312" s="15">
        <v>0.0</v>
      </c>
      <c r="DB1312" s="15">
        <v>194800.0</v>
      </c>
      <c r="DC1312" s="15">
        <v>171100.0</v>
      </c>
      <c r="DD1312" s="15">
        <v>178400.0</v>
      </c>
      <c r="DE1312" s="15">
        <v>172000.0</v>
      </c>
      <c r="DF1312" s="15">
        <v>1300000.0</v>
      </c>
      <c r="DG1312" s="15">
        <v>1430000.0</v>
      </c>
      <c r="DH1312" s="15">
        <v>1470000.0</v>
      </c>
      <c r="DI1312" s="15">
        <v>1590000.0</v>
      </c>
      <c r="DJ1312" s="15">
        <v>1750000.0</v>
      </c>
      <c r="DK1312" s="15">
        <v>0.0</v>
      </c>
      <c r="DL1312" s="15">
        <v>0.0</v>
      </c>
      <c r="DM1312" s="15">
        <v>0.0</v>
      </c>
      <c r="DN1312" s="15">
        <v>0.0</v>
      </c>
      <c r="DO1312" s="15">
        <v>59200.0</v>
      </c>
      <c r="DP1312" s="15">
        <v>789300.0</v>
      </c>
      <c r="DQ1312" s="15">
        <v>834500.0</v>
      </c>
      <c r="DR1312" s="15">
        <v>861100.0</v>
      </c>
      <c r="DS1312" s="15">
        <v>849200.0</v>
      </c>
      <c r="DT1312" s="15">
        <v>997700.0</v>
      </c>
      <c r="DU1312" s="16">
        <v>0.0</v>
      </c>
      <c r="DV1312" s="15">
        <v>0.0</v>
      </c>
      <c r="DW1312" s="15">
        <v>0.0</v>
      </c>
      <c r="DX1312" s="16">
        <v>0.0</v>
      </c>
      <c r="DY1312" s="16">
        <v>0.0</v>
      </c>
      <c r="DZ1312" s="15">
        <v>491600.0</v>
      </c>
      <c r="EA1312" s="15">
        <v>463100.0</v>
      </c>
      <c r="EB1312" s="15">
        <v>426200.0</v>
      </c>
      <c r="EC1312" s="15">
        <v>311100.0</v>
      </c>
      <c r="ED1312" s="15">
        <v>289900.0</v>
      </c>
      <c r="EE1312" s="17">
        <v>0.462</v>
      </c>
      <c r="EF1312" s="17">
        <v>0.331</v>
      </c>
      <c r="EG1312" s="17">
        <v>-0.545</v>
      </c>
      <c r="EH1312" s="17">
        <v>-0.431</v>
      </c>
    </row>
    <row r="1313">
      <c r="A1313" s="9">
        <f t="shared" si="2"/>
        <v>1311</v>
      </c>
      <c r="B1313" s="25" t="s">
        <v>1448</v>
      </c>
      <c r="C1313" s="15">
        <v>1240000.0</v>
      </c>
      <c r="D1313" s="15">
        <v>1250000.0</v>
      </c>
      <c r="E1313" s="15">
        <v>1320000.0</v>
      </c>
      <c r="F1313" s="15">
        <v>1390000.0</v>
      </c>
      <c r="G1313" s="15">
        <v>1360000.0</v>
      </c>
      <c r="H1313" s="15">
        <v>1380000.0</v>
      </c>
      <c r="I1313" s="15">
        <v>1380000.0</v>
      </c>
      <c r="J1313" s="15">
        <v>426270.0</v>
      </c>
      <c r="K1313" s="15">
        <v>464990.0</v>
      </c>
      <c r="L1313" s="15">
        <v>478380.0</v>
      </c>
      <c r="M1313" s="15">
        <v>477490.0</v>
      </c>
      <c r="N1313" s="15">
        <v>460530.0</v>
      </c>
      <c r="O1313" s="15">
        <v>257160.0</v>
      </c>
      <c r="P1313" s="15">
        <v>262750.0</v>
      </c>
      <c r="Q1313" s="15">
        <v>262460.0</v>
      </c>
      <c r="R1313" s="15">
        <v>264730.0</v>
      </c>
      <c r="S1313" s="15">
        <v>249390.0</v>
      </c>
      <c r="T1313" s="15">
        <v>40100.0</v>
      </c>
      <c r="U1313" s="15">
        <v>43000.0</v>
      </c>
      <c r="V1313" s="15">
        <v>40900.0</v>
      </c>
      <c r="W1313" s="15">
        <v>40900.0</v>
      </c>
      <c r="X1313" s="15">
        <v>35100.0</v>
      </c>
      <c r="Y1313" s="15">
        <v>121910.0</v>
      </c>
      <c r="Z1313" s="12"/>
      <c r="AA1313" s="15">
        <v>167810.0</v>
      </c>
      <c r="AB1313" s="15">
        <v>186710.0</v>
      </c>
      <c r="AC1313" s="15">
        <v>-43600.0</v>
      </c>
      <c r="AD1313" s="15">
        <v>101000.0</v>
      </c>
      <c r="AE1313" s="15">
        <v>181530.0</v>
      </c>
      <c r="AF1313" s="15">
        <v>148420.0</v>
      </c>
      <c r="AG1313" s="15">
        <v>167290.0</v>
      </c>
      <c r="AH1313" s="15">
        <v>149400.0</v>
      </c>
      <c r="AI1313" s="15">
        <v>224130.0</v>
      </c>
      <c r="AJ1313" s="15">
        <v>255490.0</v>
      </c>
      <c r="AK1313" s="15">
        <v>264440.0</v>
      </c>
      <c r="AL1313" s="15">
        <v>259780.0</v>
      </c>
      <c r="AM1313" s="15">
        <v>259080.0</v>
      </c>
      <c r="AN1313" s="15">
        <v>82050.0</v>
      </c>
      <c r="AO1313" s="15">
        <v>157360.0</v>
      </c>
      <c r="AP1313" s="15">
        <v>89600.0</v>
      </c>
      <c r="AQ1313" s="15">
        <v>122910.0</v>
      </c>
      <c r="AR1313" s="15">
        <v>107250.0</v>
      </c>
      <c r="AS1313" s="15">
        <v>177180.0</v>
      </c>
      <c r="AT1313" s="15">
        <v>83520.0</v>
      </c>
      <c r="AU1313" s="15">
        <v>180510.0</v>
      </c>
      <c r="AV1313" s="15">
        <v>222480.0</v>
      </c>
      <c r="AW1313" s="15">
        <v>128050.0</v>
      </c>
      <c r="AX1313" s="15">
        <v>-39100.0</v>
      </c>
      <c r="AY1313" s="15">
        <v>-50740.0</v>
      </c>
      <c r="AZ1313" s="15">
        <v>-56340.0</v>
      </c>
      <c r="BA1313" s="15">
        <v>-81220.0</v>
      </c>
      <c r="BB1313" s="15">
        <v>-79940.0</v>
      </c>
      <c r="BC1313" s="15">
        <v>-62190.0</v>
      </c>
      <c r="BD1313" s="15">
        <v>-57410.0</v>
      </c>
      <c r="BE1313" s="15">
        <v>-54040.0</v>
      </c>
      <c r="BF1313" s="15">
        <v>-49640.0</v>
      </c>
      <c r="BG1313" s="15">
        <v>-48110.0</v>
      </c>
      <c r="BH1313" s="15">
        <v>21150.0</v>
      </c>
      <c r="BI1313" s="15">
        <v>31900.0</v>
      </c>
      <c r="BJ1313" s="15">
        <v>29340.0</v>
      </c>
      <c r="BK1313" s="15">
        <v>25870.0</v>
      </c>
      <c r="BL1313" s="15">
        <v>12000.0</v>
      </c>
      <c r="BM1313" s="15">
        <v>213200.0</v>
      </c>
      <c r="BN1313" s="15">
        <v>255350.0</v>
      </c>
      <c r="BO1313" s="15">
        <v>195440.0</v>
      </c>
      <c r="BP1313" s="15">
        <v>194510.0</v>
      </c>
      <c r="BQ1313" s="15">
        <v>232050.0</v>
      </c>
      <c r="BR1313" s="15">
        <v>422520.0</v>
      </c>
      <c r="BS1313" s="15">
        <v>490760.0</v>
      </c>
      <c r="BT1313" s="15">
        <v>463520.0</v>
      </c>
      <c r="BU1313" s="15">
        <v>404320.0</v>
      </c>
      <c r="BV1313" s="15">
        <v>409160.0</v>
      </c>
      <c r="BW1313" s="15">
        <v>788210.0</v>
      </c>
      <c r="BX1313" s="15">
        <v>822870.0</v>
      </c>
      <c r="BY1313" s="15">
        <v>733480.0</v>
      </c>
      <c r="BZ1313" s="15">
        <v>717060.0</v>
      </c>
      <c r="CA1313" s="15">
        <v>728910.0</v>
      </c>
      <c r="CB1313" s="15">
        <v>453980.0</v>
      </c>
      <c r="CC1313" s="15">
        <v>491060.0</v>
      </c>
      <c r="CD1313" s="15">
        <v>498520.0</v>
      </c>
      <c r="CE1313" s="15">
        <v>476520.0</v>
      </c>
      <c r="CF1313" s="15">
        <v>469680.0</v>
      </c>
      <c r="CG1313" s="15">
        <v>407040.0</v>
      </c>
      <c r="CH1313" s="15">
        <v>416180.0</v>
      </c>
      <c r="CI1313" s="15">
        <v>409000.0</v>
      </c>
      <c r="CJ1313" s="15">
        <v>383570.0</v>
      </c>
      <c r="CK1313" s="15">
        <v>399650.0</v>
      </c>
      <c r="CL1313" s="15">
        <v>1740000.0</v>
      </c>
      <c r="CM1313" s="15">
        <v>1820000.0</v>
      </c>
      <c r="CN1313" s="15">
        <v>1720000.0</v>
      </c>
      <c r="CO1313" s="15">
        <v>1670000.0</v>
      </c>
      <c r="CP1313" s="15">
        <v>1700000.0</v>
      </c>
      <c r="CQ1313" s="15">
        <v>94650.0</v>
      </c>
      <c r="CR1313" s="15">
        <v>131810.0</v>
      </c>
      <c r="CS1313" s="15">
        <v>109780.0</v>
      </c>
      <c r="CT1313" s="15">
        <v>92450.0</v>
      </c>
      <c r="CU1313" s="15">
        <v>95440.0</v>
      </c>
      <c r="CV1313" s="15">
        <v>201380.0</v>
      </c>
      <c r="CW1313" s="15">
        <v>29610.0</v>
      </c>
      <c r="CX1313" s="15">
        <v>20050.0</v>
      </c>
      <c r="CY1313" s="15">
        <v>20130.0</v>
      </c>
      <c r="CZ1313" s="15">
        <v>20580.0</v>
      </c>
      <c r="DA1313" s="15">
        <v>20660.0</v>
      </c>
      <c r="DB1313" s="15">
        <v>201380.0</v>
      </c>
      <c r="DC1313" s="15">
        <v>214700.0</v>
      </c>
      <c r="DD1313" s="15">
        <v>216320.0</v>
      </c>
      <c r="DE1313" s="15">
        <v>213680.0</v>
      </c>
      <c r="DF1313" s="15">
        <v>858560.0</v>
      </c>
      <c r="DG1313" s="15">
        <v>964990.0</v>
      </c>
      <c r="DH1313" s="15">
        <v>872040.0</v>
      </c>
      <c r="DI1313" s="15">
        <v>832120.0</v>
      </c>
      <c r="DJ1313" s="15">
        <v>858610.0</v>
      </c>
      <c r="DK1313" s="15"/>
      <c r="DL1313" s="15">
        <v>100.0</v>
      </c>
      <c r="DM1313" s="15"/>
      <c r="DN1313" s="12"/>
      <c r="DO1313" s="15"/>
      <c r="DP1313" s="15">
        <v>608400.0</v>
      </c>
      <c r="DQ1313" s="15">
        <v>689550.0</v>
      </c>
      <c r="DR1313" s="15">
        <v>604160.0</v>
      </c>
      <c r="DS1313" s="15">
        <v>582780.0</v>
      </c>
      <c r="DT1313" s="15">
        <v>613500.0</v>
      </c>
      <c r="DU1313" s="13"/>
      <c r="DV1313" s="12"/>
      <c r="DW1313" s="12"/>
      <c r="DX1313" s="13"/>
      <c r="DY1313" s="13"/>
      <c r="DZ1313" s="15">
        <v>881590.0</v>
      </c>
      <c r="EA1313" s="15">
        <v>859950.0</v>
      </c>
      <c r="EB1313" s="15">
        <v>852300.0</v>
      </c>
      <c r="EC1313" s="15">
        <v>835740.0</v>
      </c>
      <c r="ED1313" s="15">
        <v>845130.0</v>
      </c>
      <c r="EE1313" s="23"/>
      <c r="EF1313" s="23"/>
      <c r="EG1313" s="23">
        <v>-0.21</v>
      </c>
      <c r="EH1313" s="23">
        <v>-0.064</v>
      </c>
    </row>
    <row r="1314">
      <c r="A1314" s="9">
        <f t="shared" si="2"/>
        <v>1312</v>
      </c>
      <c r="B1314" s="10" t="s">
        <v>1449</v>
      </c>
      <c r="C1314" s="11">
        <v>1.586E7</v>
      </c>
      <c r="D1314" s="11">
        <v>1.365E7</v>
      </c>
      <c r="E1314" s="11">
        <v>1.488E7</v>
      </c>
      <c r="F1314" s="11">
        <v>1.36E7</v>
      </c>
      <c r="G1314" s="11">
        <v>1.244E7</v>
      </c>
      <c r="H1314" s="11">
        <v>1.133E7</v>
      </c>
      <c r="I1314" s="11">
        <v>9950000.0</v>
      </c>
      <c r="J1314" s="11">
        <v>9380000.0</v>
      </c>
      <c r="K1314" s="11">
        <v>8600000.0</v>
      </c>
      <c r="L1314" s="11">
        <v>7900000.0</v>
      </c>
      <c r="M1314" s="11">
        <v>7250000.0</v>
      </c>
      <c r="N1314" s="11">
        <v>6390000.0</v>
      </c>
      <c r="O1314" s="11">
        <v>5990000.0</v>
      </c>
      <c r="P1314" s="11">
        <v>5500000.0</v>
      </c>
      <c r="Q1314" s="11">
        <v>5140000.0</v>
      </c>
      <c r="R1314" s="11">
        <v>4670000.0</v>
      </c>
      <c r="S1314" s="11">
        <v>4140000.0</v>
      </c>
      <c r="T1314" s="11">
        <v>971000.0</v>
      </c>
      <c r="U1314" s="11">
        <v>862000.0</v>
      </c>
      <c r="V1314" s="11">
        <v>787000.0</v>
      </c>
      <c r="W1314" s="11">
        <v>715000.0</v>
      </c>
      <c r="X1314" s="11">
        <v>625000.0</v>
      </c>
      <c r="Y1314" s="11">
        <v>2720000.0</v>
      </c>
      <c r="Z1314" s="11">
        <v>2540000.0</v>
      </c>
      <c r="AA1314" s="12"/>
      <c r="AB1314" s="12"/>
      <c r="AC1314" s="12"/>
      <c r="AD1314" s="11">
        <v>2560000.0</v>
      </c>
      <c r="AE1314" s="11">
        <v>2360000.0</v>
      </c>
      <c r="AF1314" s="11">
        <v>2060000.0</v>
      </c>
      <c r="AG1314" s="11">
        <v>1920000.0</v>
      </c>
      <c r="AH1314" s="11">
        <v>1740000.0</v>
      </c>
      <c r="AI1314" s="11">
        <v>4170000.0</v>
      </c>
      <c r="AJ1314" s="11">
        <v>3830000.0</v>
      </c>
      <c r="AK1314" s="11">
        <v>3410000.0</v>
      </c>
      <c r="AL1314" s="11">
        <v>3120000.0</v>
      </c>
      <c r="AM1314" s="11">
        <v>2650000.0</v>
      </c>
      <c r="AN1314" s="11">
        <v>2080000.0</v>
      </c>
      <c r="AO1314" s="11">
        <v>3550000.0</v>
      </c>
      <c r="AP1314" s="11">
        <v>1020000.0</v>
      </c>
      <c r="AQ1314" s="11">
        <v>1650000.0</v>
      </c>
      <c r="AR1314" s="11">
        <v>1440000.0</v>
      </c>
      <c r="AS1314" s="11">
        <v>2190000.0</v>
      </c>
      <c r="AT1314" s="11">
        <v>2610000.0</v>
      </c>
      <c r="AU1314" s="11">
        <v>1560000.0</v>
      </c>
      <c r="AV1314" s="11">
        <v>1920000.0</v>
      </c>
      <c r="AW1314" s="11">
        <v>899000.0</v>
      </c>
      <c r="AX1314" s="12"/>
      <c r="AY1314" s="12"/>
      <c r="AZ1314" s="12"/>
      <c r="BA1314" s="12"/>
      <c r="BB1314" s="12"/>
      <c r="BC1314" s="12"/>
      <c r="BD1314" s="13"/>
      <c r="BE1314" s="13"/>
      <c r="BF1314" s="13"/>
      <c r="BG1314" s="13"/>
      <c r="BH1314" s="11">
        <v>4430000.0</v>
      </c>
      <c r="BI1314" s="11">
        <v>3700000.0</v>
      </c>
      <c r="BJ1314" s="11">
        <v>2790000.0</v>
      </c>
      <c r="BK1314" s="11">
        <v>3380000.0</v>
      </c>
      <c r="BL1314" s="11">
        <v>4080000.0</v>
      </c>
      <c r="BM1314" s="11">
        <v>2890000.0</v>
      </c>
      <c r="BN1314" s="11">
        <v>2330000.0</v>
      </c>
      <c r="BO1314" s="11">
        <v>2200000.0</v>
      </c>
      <c r="BP1314" s="11">
        <v>1970000.0</v>
      </c>
      <c r="BQ1314" s="11">
        <v>1660000.0</v>
      </c>
      <c r="BR1314" s="11">
        <v>3280000.0</v>
      </c>
      <c r="BS1314" s="11">
        <v>2960000.0</v>
      </c>
      <c r="BT1314" s="11">
        <v>2470000.0</v>
      </c>
      <c r="BU1314" s="11">
        <v>2030000.0</v>
      </c>
      <c r="BV1314" s="11">
        <v>1640000.0</v>
      </c>
      <c r="BW1314" s="11">
        <v>1.136E7</v>
      </c>
      <c r="BX1314" s="11">
        <v>9730000.0</v>
      </c>
      <c r="BY1314" s="11">
        <v>7990000.0</v>
      </c>
      <c r="BZ1314" s="11">
        <v>7860000.0</v>
      </c>
      <c r="CA1314" s="11">
        <v>7940000.0</v>
      </c>
      <c r="CB1314" s="11">
        <v>2950000.0</v>
      </c>
      <c r="CC1314" s="11">
        <v>2290000.0</v>
      </c>
      <c r="CD1314" s="11">
        <v>1980000.0</v>
      </c>
      <c r="CE1314" s="11">
        <v>1570000.0</v>
      </c>
      <c r="CF1314" s="11">
        <v>1200000.0</v>
      </c>
      <c r="CG1314" s="11">
        <v>9070000.0</v>
      </c>
      <c r="CH1314" s="11">
        <v>8560000.0</v>
      </c>
      <c r="CI1314" s="11">
        <v>7170000.0</v>
      </c>
      <c r="CJ1314" s="11">
        <v>6360000.0</v>
      </c>
      <c r="CK1314" s="11">
        <v>4140000.0</v>
      </c>
      <c r="CL1314" s="11">
        <v>3.017E7</v>
      </c>
      <c r="CM1314" s="11">
        <v>2.723E7</v>
      </c>
      <c r="CN1314" s="11">
        <v>2.22E7</v>
      </c>
      <c r="CO1314" s="11">
        <v>2.044E7</v>
      </c>
      <c r="CP1314" s="11">
        <v>1.622E7</v>
      </c>
      <c r="CQ1314" s="11">
        <v>675000.0</v>
      </c>
      <c r="CR1314" s="11">
        <v>646000.0</v>
      </c>
      <c r="CS1314" s="11">
        <v>487000.0</v>
      </c>
      <c r="CT1314" s="11">
        <v>437000.0</v>
      </c>
      <c r="CU1314" s="11">
        <v>410000.0</v>
      </c>
      <c r="CV1314" s="11">
        <v>4400000.0</v>
      </c>
      <c r="CW1314" s="11">
        <v>86000.0</v>
      </c>
      <c r="CX1314" s="13"/>
      <c r="CY1314" s="13"/>
      <c r="CZ1314" s="13"/>
      <c r="DA1314" s="12"/>
      <c r="DB1314" s="11">
        <v>4400000.0</v>
      </c>
      <c r="DC1314" s="11">
        <v>4810000.0</v>
      </c>
      <c r="DD1314" s="11">
        <v>3490000.0</v>
      </c>
      <c r="DE1314" s="11">
        <v>3150000.0</v>
      </c>
      <c r="DF1314" s="11">
        <v>1.736E7</v>
      </c>
      <c r="DG1314" s="11">
        <v>1.55E7</v>
      </c>
      <c r="DH1314" s="11">
        <v>1.222E7</v>
      </c>
      <c r="DI1314" s="11">
        <v>1.089E7</v>
      </c>
      <c r="DJ1314" s="11">
        <v>7710000.0</v>
      </c>
      <c r="DK1314" s="12"/>
      <c r="DL1314" s="12"/>
      <c r="DM1314" s="12"/>
      <c r="DN1314" s="12"/>
      <c r="DO1314" s="12"/>
      <c r="DP1314" s="11">
        <v>1.053E7</v>
      </c>
      <c r="DQ1314" s="11">
        <v>8490000.0</v>
      </c>
      <c r="DR1314" s="11">
        <v>6590000.0</v>
      </c>
      <c r="DS1314" s="11">
        <v>6690000.0</v>
      </c>
      <c r="DT1314" s="11">
        <v>3230000.0</v>
      </c>
      <c r="DU1314" s="13"/>
      <c r="DV1314" s="12"/>
      <c r="DW1314" s="12"/>
      <c r="DX1314" s="13"/>
      <c r="DY1314" s="13"/>
      <c r="DZ1314" s="11">
        <v>1.281E7</v>
      </c>
      <c r="EA1314" s="11">
        <v>1.173E7</v>
      </c>
      <c r="EB1314" s="11">
        <v>9970000.0</v>
      </c>
      <c r="EC1314" s="11">
        <v>9550000.0</v>
      </c>
      <c r="ED1314" s="11">
        <v>8510000.0</v>
      </c>
      <c r="EE1314" s="14">
        <v>0.138</v>
      </c>
      <c r="EF1314" s="14">
        <v>0.133</v>
      </c>
      <c r="EG1314" s="14">
        <v>0.089</v>
      </c>
      <c r="EH1314" s="14">
        <v>0.032</v>
      </c>
    </row>
    <row r="1315">
      <c r="A1315" s="9">
        <f t="shared" si="2"/>
        <v>1313</v>
      </c>
      <c r="B1315" s="22" t="s">
        <v>1450</v>
      </c>
      <c r="C1315" s="11">
        <v>5030000.0</v>
      </c>
      <c r="D1315" s="11">
        <v>4520000.0</v>
      </c>
      <c r="E1315" s="11">
        <v>4680000.0</v>
      </c>
      <c r="F1315" s="11">
        <v>4390000.0</v>
      </c>
      <c r="G1315" s="11">
        <v>2670000.0</v>
      </c>
      <c r="H1315" s="11">
        <v>1610000.0</v>
      </c>
      <c r="I1315" s="11">
        <v>1400000.0</v>
      </c>
      <c r="J1315" s="11">
        <v>787450.0</v>
      </c>
      <c r="K1315" s="11">
        <v>682120.0</v>
      </c>
      <c r="L1315" s="11">
        <v>440880.0</v>
      </c>
      <c r="M1315" s="11">
        <v>344500.0</v>
      </c>
      <c r="N1315" s="11">
        <v>316320.0</v>
      </c>
      <c r="O1315" s="11">
        <v>446280.0</v>
      </c>
      <c r="P1315" s="11">
        <v>406310.0</v>
      </c>
      <c r="Q1315" s="11">
        <v>282620.0</v>
      </c>
      <c r="R1315" s="11">
        <v>172390.0</v>
      </c>
      <c r="S1315" s="11">
        <v>156610.0</v>
      </c>
      <c r="T1315" s="12"/>
      <c r="U1315" s="12"/>
      <c r="V1315" s="12"/>
      <c r="W1315" s="12"/>
      <c r="X1315" s="12"/>
      <c r="Y1315" s="11">
        <v>248150.0</v>
      </c>
      <c r="Z1315" s="11">
        <v>156030.0</v>
      </c>
      <c r="AA1315" s="11">
        <v>-29490.0</v>
      </c>
      <c r="AB1315" s="11">
        <v>154520.0</v>
      </c>
      <c r="AC1315" s="11">
        <v>142570.0</v>
      </c>
      <c r="AD1315" s="11">
        <v>101710.0</v>
      </c>
      <c r="AE1315" s="11">
        <v>57260.0</v>
      </c>
      <c r="AF1315" s="11">
        <v>-111880.0</v>
      </c>
      <c r="AG1315" s="11">
        <v>134120.0</v>
      </c>
      <c r="AH1315" s="11">
        <v>130970.0</v>
      </c>
      <c r="AI1315" s="11">
        <v>583630.0</v>
      </c>
      <c r="AJ1315" s="11">
        <v>549500.0</v>
      </c>
      <c r="AK1315" s="11">
        <v>338200.0</v>
      </c>
      <c r="AL1315" s="11">
        <v>231320.0</v>
      </c>
      <c r="AM1315" s="11">
        <v>215730.0</v>
      </c>
      <c r="AN1315" s="11">
        <v>131260.0</v>
      </c>
      <c r="AO1315" s="11">
        <v>24280.0</v>
      </c>
      <c r="AP1315" s="11">
        <v>-138470.0</v>
      </c>
      <c r="AQ1315" s="11">
        <v>112630.0</v>
      </c>
      <c r="AR1315" s="11">
        <v>117050.0</v>
      </c>
      <c r="AS1315" s="11">
        <v>318480.0</v>
      </c>
      <c r="AT1315" s="11">
        <v>300390.0</v>
      </c>
      <c r="AU1315" s="11">
        <v>198260.0</v>
      </c>
      <c r="AV1315" s="11">
        <v>109330.0</v>
      </c>
      <c r="AW1315" s="11">
        <v>204740.0</v>
      </c>
      <c r="AX1315" s="11">
        <v>-63970.0</v>
      </c>
      <c r="AY1315" s="11">
        <v>-54600.0</v>
      </c>
      <c r="AZ1315" s="11">
        <v>-43900.0</v>
      </c>
      <c r="BA1315" s="11">
        <v>-31350.0</v>
      </c>
      <c r="BB1315" s="11">
        <v>-21110.0</v>
      </c>
      <c r="BC1315" s="12"/>
      <c r="BD1315" s="12"/>
      <c r="BE1315" s="12"/>
      <c r="BF1315" s="12"/>
      <c r="BG1315" s="12"/>
      <c r="BH1315" s="11">
        <v>163690.0</v>
      </c>
      <c r="BI1315" s="11">
        <v>155930.0</v>
      </c>
      <c r="BJ1315" s="11">
        <v>321980.0</v>
      </c>
      <c r="BK1315" s="11">
        <v>103080.0</v>
      </c>
      <c r="BL1315" s="11">
        <v>85460.0</v>
      </c>
      <c r="BM1315" s="11">
        <v>1300000.0</v>
      </c>
      <c r="BN1315" s="11">
        <v>1260000.0</v>
      </c>
      <c r="BO1315" s="11">
        <v>1020000.0</v>
      </c>
      <c r="BP1315" s="11">
        <v>387350.0</v>
      </c>
      <c r="BQ1315" s="11">
        <v>300010.0</v>
      </c>
      <c r="BR1315" s="12"/>
      <c r="BS1315" s="12"/>
      <c r="BT1315" s="12"/>
      <c r="BU1315" s="12"/>
      <c r="BV1315" s="12"/>
      <c r="BW1315" s="11">
        <v>1560000.0</v>
      </c>
      <c r="BX1315" s="11">
        <v>1490000.0</v>
      </c>
      <c r="BY1315" s="11">
        <v>1420000.0</v>
      </c>
      <c r="BZ1315" s="11">
        <v>522630.0</v>
      </c>
      <c r="CA1315" s="11">
        <v>422050.0</v>
      </c>
      <c r="CB1315" s="11">
        <v>422460.0</v>
      </c>
      <c r="CC1315" s="11">
        <v>183490.0</v>
      </c>
      <c r="CD1315" s="11">
        <v>180410.0</v>
      </c>
      <c r="CE1315" s="11">
        <v>58310.0</v>
      </c>
      <c r="CF1315" s="11">
        <v>44810.0</v>
      </c>
      <c r="CG1315" s="11">
        <v>4350000.0</v>
      </c>
      <c r="CH1315" s="11">
        <v>4330000.0</v>
      </c>
      <c r="CI1315" s="11">
        <v>4290000.0</v>
      </c>
      <c r="CJ1315" s="11">
        <v>552500.0</v>
      </c>
      <c r="CK1315" s="11">
        <v>553010.0</v>
      </c>
      <c r="CL1315" s="11">
        <v>7450000.0</v>
      </c>
      <c r="CM1315" s="11">
        <v>7250000.0</v>
      </c>
      <c r="CN1315" s="11">
        <v>7290000.0</v>
      </c>
      <c r="CO1315" s="11">
        <v>1290000.0</v>
      </c>
      <c r="CP1315" s="11">
        <v>1210000.0</v>
      </c>
      <c r="CQ1315" s="11">
        <v>136690.0</v>
      </c>
      <c r="CR1315" s="11">
        <v>98620.0</v>
      </c>
      <c r="CS1315" s="11">
        <v>58580.0</v>
      </c>
      <c r="CT1315" s="11">
        <v>23690.0</v>
      </c>
      <c r="CU1315" s="11">
        <v>22500.0</v>
      </c>
      <c r="CV1315" s="11">
        <v>1520000.0</v>
      </c>
      <c r="CW1315" s="11">
        <v>38060.0</v>
      </c>
      <c r="CX1315" s="12"/>
      <c r="CY1315" s="12"/>
      <c r="CZ1315" s="12"/>
      <c r="DA1315" s="12"/>
      <c r="DB1315" s="11">
        <v>1520000.0</v>
      </c>
      <c r="DC1315" s="11">
        <v>1500000.0</v>
      </c>
      <c r="DD1315" s="11">
        <v>1160000.0</v>
      </c>
      <c r="DE1315" s="11">
        <v>466730.0</v>
      </c>
      <c r="DF1315" s="11">
        <v>4420000.0</v>
      </c>
      <c r="DG1315" s="11">
        <v>4400000.0</v>
      </c>
      <c r="DH1315" s="11">
        <v>4260000.0</v>
      </c>
      <c r="DI1315" s="11">
        <v>987030.0</v>
      </c>
      <c r="DJ1315" s="11">
        <v>993790.0</v>
      </c>
      <c r="DK1315" s="12"/>
      <c r="DL1315" s="12"/>
      <c r="DM1315" s="12"/>
      <c r="DN1315" s="12"/>
      <c r="DO1315" s="12"/>
      <c r="DP1315" s="11">
        <v>2810000.0</v>
      </c>
      <c r="DQ1315" s="11">
        <v>2760000.0</v>
      </c>
      <c r="DR1315" s="11">
        <v>2970000.0</v>
      </c>
      <c r="DS1315" s="11">
        <v>485850.0</v>
      </c>
      <c r="DT1315" s="11">
        <v>472040.0</v>
      </c>
      <c r="DU1315" s="13"/>
      <c r="DV1315" s="12"/>
      <c r="DW1315" s="12"/>
      <c r="DX1315" s="13"/>
      <c r="DY1315" s="13"/>
      <c r="DZ1315" s="11">
        <v>3030000.0</v>
      </c>
      <c r="EA1315" s="11">
        <v>2860000.0</v>
      </c>
      <c r="EB1315" s="11">
        <v>3020000.0</v>
      </c>
      <c r="EC1315" s="11">
        <v>301470.0</v>
      </c>
      <c r="ED1315" s="11">
        <v>217430.0</v>
      </c>
      <c r="EE1315" s="14">
        <v>0.009</v>
      </c>
      <c r="EF1315" s="14">
        <v>0.058</v>
      </c>
      <c r="EG1315" s="14">
        <v>0.208</v>
      </c>
      <c r="EH1315" s="14">
        <v>0.097</v>
      </c>
    </row>
    <row r="1316">
      <c r="A1316" s="9">
        <f t="shared" si="2"/>
        <v>1314</v>
      </c>
      <c r="B1316" s="10" t="s">
        <v>1451</v>
      </c>
      <c r="C1316" s="15">
        <v>92750.0</v>
      </c>
      <c r="D1316" s="15">
        <v>82200.0</v>
      </c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3"/>
      <c r="CY1316" s="12"/>
      <c r="CZ1316" s="12"/>
      <c r="DA1316" s="12"/>
      <c r="DB1316" s="12"/>
      <c r="DC1316" s="12"/>
      <c r="DD1316" s="12"/>
      <c r="DE1316" s="12"/>
      <c r="DF1316" s="12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Y1316" s="12"/>
      <c r="DZ1316" s="12"/>
      <c r="EA1316" s="12"/>
      <c r="EB1316" s="12"/>
      <c r="EC1316" s="12"/>
      <c r="ED1316" s="12"/>
      <c r="EE1316" s="17">
        <v>0.0</v>
      </c>
      <c r="EF1316" s="17">
        <v>0.0</v>
      </c>
      <c r="EG1316" s="17">
        <v>-5.0</v>
      </c>
      <c r="EH1316" s="17">
        <v>-1.35</v>
      </c>
    </row>
    <row r="1317">
      <c r="A1317" s="9">
        <f t="shared" si="2"/>
        <v>1315</v>
      </c>
      <c r="B1317" s="22" t="s">
        <v>1452</v>
      </c>
      <c r="C1317" s="11">
        <v>6410.0</v>
      </c>
      <c r="D1317" s="11">
        <v>10590.0</v>
      </c>
      <c r="E1317" s="11">
        <v>1980.0</v>
      </c>
      <c r="F1317" s="11">
        <v>2050.0</v>
      </c>
      <c r="G1317" s="11">
        <v>1100.0</v>
      </c>
      <c r="H1317" s="11">
        <v>317.0</v>
      </c>
      <c r="I1317" s="11">
        <v>317.0</v>
      </c>
      <c r="J1317" s="12"/>
      <c r="K1317" s="12"/>
      <c r="L1317" s="11">
        <v>-426.0</v>
      </c>
      <c r="M1317" s="12"/>
      <c r="N1317" s="11">
        <v>-285.0</v>
      </c>
      <c r="O1317" s="11">
        <v>77000.0</v>
      </c>
      <c r="P1317" s="11">
        <v>64740.0</v>
      </c>
      <c r="Q1317" s="11">
        <v>54260.0</v>
      </c>
      <c r="R1317" s="11">
        <v>47010.0</v>
      </c>
      <c r="S1317" s="11">
        <v>29540.0</v>
      </c>
      <c r="T1317" s="11">
        <v>58250.0</v>
      </c>
      <c r="U1317" s="11">
        <v>50180.0</v>
      </c>
      <c r="V1317" s="11">
        <v>41900.0</v>
      </c>
      <c r="W1317" s="11">
        <v>37820.0</v>
      </c>
      <c r="X1317" s="11">
        <v>24410.0</v>
      </c>
      <c r="Y1317" s="12"/>
      <c r="Z1317" s="12"/>
      <c r="AA1317" s="12"/>
      <c r="AB1317" s="12"/>
      <c r="AC1317" s="12"/>
      <c r="AD1317" s="11">
        <v>-75440.0</v>
      </c>
      <c r="AE1317" s="11">
        <v>-62280.0</v>
      </c>
      <c r="AF1317" s="11">
        <v>-54010.0</v>
      </c>
      <c r="AG1317" s="11">
        <v>-47740.0</v>
      </c>
      <c r="AH1317" s="11">
        <v>-29820.0</v>
      </c>
      <c r="AI1317" s="11">
        <v>-75020.0</v>
      </c>
      <c r="AJ1317" s="11">
        <v>-62690.0</v>
      </c>
      <c r="AK1317" s="11">
        <v>-53160.0</v>
      </c>
      <c r="AL1317" s="11">
        <v>-46690.0</v>
      </c>
      <c r="AM1317" s="11">
        <v>-29220.0</v>
      </c>
      <c r="AN1317" s="11">
        <v>-75440.0</v>
      </c>
      <c r="AO1317" s="11">
        <v>-62280.0</v>
      </c>
      <c r="AP1317" s="11">
        <v>-54010.0</v>
      </c>
      <c r="AQ1317" s="11">
        <v>-47740.0</v>
      </c>
      <c r="AR1317" s="11">
        <v>-29820.0</v>
      </c>
      <c r="AS1317" s="11">
        <v>-60250.0</v>
      </c>
      <c r="AT1317" s="11">
        <v>-40320.0</v>
      </c>
      <c r="AU1317" s="11">
        <v>-44730.0</v>
      </c>
      <c r="AV1317" s="11">
        <v>-40540.0</v>
      </c>
      <c r="AW1317" s="11">
        <v>-22620.0</v>
      </c>
      <c r="AX1317" s="11">
        <v>-12640.0</v>
      </c>
      <c r="AY1317" s="11">
        <v>-1380.0</v>
      </c>
      <c r="AZ1317" s="11">
        <v>-821.0</v>
      </c>
      <c r="BA1317" s="11">
        <v>-2320.0</v>
      </c>
      <c r="BB1317" s="11">
        <v>-1180.0</v>
      </c>
      <c r="BC1317" s="12"/>
      <c r="BD1317" s="12"/>
      <c r="BE1317" s="12"/>
      <c r="BF1317" s="12"/>
      <c r="BG1317" s="12"/>
      <c r="BH1317" s="11">
        <v>91710.0</v>
      </c>
      <c r="BI1317" s="11">
        <v>100320.0</v>
      </c>
      <c r="BJ1317" s="11">
        <v>72240.0</v>
      </c>
      <c r="BK1317" s="11">
        <v>83590.0</v>
      </c>
      <c r="BL1317" s="11">
        <v>35910.0</v>
      </c>
      <c r="BM1317" s="11">
        <v>20160.0</v>
      </c>
      <c r="BN1317" s="12"/>
      <c r="BO1317" s="12"/>
      <c r="BP1317" s="11">
        <v>867.0</v>
      </c>
      <c r="BQ1317" s="12"/>
      <c r="BR1317" s="12"/>
      <c r="BS1317" s="12"/>
      <c r="BT1317" s="12"/>
      <c r="BU1317" s="12"/>
      <c r="BV1317" s="12"/>
      <c r="BW1317" s="11">
        <v>114510.0</v>
      </c>
      <c r="BX1317" s="11">
        <v>101730.0</v>
      </c>
      <c r="BY1317" s="11">
        <v>73160.0</v>
      </c>
      <c r="BZ1317" s="11">
        <v>85510.0</v>
      </c>
      <c r="CA1317" s="11">
        <v>36450.0</v>
      </c>
      <c r="CB1317" s="11">
        <v>31890.0</v>
      </c>
      <c r="CC1317" s="11">
        <v>3860.0</v>
      </c>
      <c r="CD1317" s="11">
        <v>3940.0</v>
      </c>
      <c r="CE1317" s="11">
        <v>4850.0</v>
      </c>
      <c r="CF1317" s="11">
        <v>4800.0</v>
      </c>
      <c r="CG1317" s="12"/>
      <c r="CH1317" s="12"/>
      <c r="CI1317" s="12"/>
      <c r="CJ1317" s="12"/>
      <c r="CK1317" s="12"/>
      <c r="CL1317" s="11">
        <v>149980.0</v>
      </c>
      <c r="CM1317" s="11">
        <v>106770.0</v>
      </c>
      <c r="CN1317" s="11">
        <v>78490.0</v>
      </c>
      <c r="CO1317" s="11">
        <v>91320.0</v>
      </c>
      <c r="CP1317" s="11">
        <v>43630.0</v>
      </c>
      <c r="CQ1317" s="11">
        <v>5850.0</v>
      </c>
      <c r="CR1317" s="11">
        <v>3310.0</v>
      </c>
      <c r="CS1317" s="11">
        <v>2280.0</v>
      </c>
      <c r="CT1317" s="11">
        <v>2420.0</v>
      </c>
      <c r="CU1317" s="12"/>
      <c r="CV1317" s="11">
        <v>23520.0</v>
      </c>
      <c r="CW1317" s="11">
        <v>1040.0</v>
      </c>
      <c r="CX1317" s="12"/>
      <c r="CY1317" s="12"/>
      <c r="CZ1317" s="12"/>
      <c r="DA1317" s="12"/>
      <c r="DB1317" s="11">
        <v>23520.0</v>
      </c>
      <c r="DC1317" s="11">
        <v>19530.0</v>
      </c>
      <c r="DD1317" s="11">
        <v>12410.0</v>
      </c>
      <c r="DE1317" s="11">
        <v>9570.0</v>
      </c>
      <c r="DF1317" s="11">
        <v>70790.0</v>
      </c>
      <c r="DG1317" s="11">
        <v>28180.0</v>
      </c>
      <c r="DH1317" s="11">
        <v>13160.0</v>
      </c>
      <c r="DI1317" s="11">
        <v>10720.0</v>
      </c>
      <c r="DJ1317" s="11">
        <v>9580.0</v>
      </c>
      <c r="DK1317" s="11">
        <v>3090.0</v>
      </c>
      <c r="DL1317" s="11">
        <v>290.0</v>
      </c>
      <c r="DM1317" s="11">
        <v>290.0</v>
      </c>
      <c r="DN1317" s="11">
        <v>483.0</v>
      </c>
      <c r="DO1317" s="11">
        <v>483.0</v>
      </c>
      <c r="DP1317" s="11">
        <v>24640.0</v>
      </c>
      <c r="DQ1317" s="11">
        <v>22.0</v>
      </c>
      <c r="DR1317" s="11">
        <v>6.0</v>
      </c>
      <c r="DS1317" s="11">
        <v>53.0</v>
      </c>
      <c r="DT1317" s="11">
        <v>206.0</v>
      </c>
      <c r="DU1317" s="13"/>
      <c r="DV1317" s="12"/>
      <c r="DW1317" s="12"/>
      <c r="DX1317" s="13"/>
      <c r="DY1317" s="11">
        <v>82010.0</v>
      </c>
      <c r="DZ1317" s="11">
        <v>79180.0</v>
      </c>
      <c r="EA1317" s="11">
        <v>78590.0</v>
      </c>
      <c r="EB1317" s="11">
        <v>65320.0</v>
      </c>
      <c r="EC1317" s="11">
        <v>80600.0</v>
      </c>
      <c r="ED1317" s="11">
        <v>34050.0</v>
      </c>
      <c r="EE1317" s="14">
        <v>0.971</v>
      </c>
      <c r="EF1317" s="23"/>
      <c r="EG1317" s="14">
        <v>0.05</v>
      </c>
      <c r="EH1317" s="14">
        <v>0.046</v>
      </c>
    </row>
    <row r="1318">
      <c r="A1318" s="9">
        <f t="shared" si="2"/>
        <v>1316</v>
      </c>
      <c r="B1318" s="10" t="s">
        <v>1453</v>
      </c>
      <c r="C1318" s="15">
        <v>5.173E7</v>
      </c>
      <c r="D1318" s="15">
        <v>5.326E7</v>
      </c>
      <c r="E1318" s="15">
        <v>6.011E7</v>
      </c>
      <c r="F1318" s="15">
        <v>5.873E7</v>
      </c>
      <c r="G1318" s="15">
        <v>5.537E7</v>
      </c>
      <c r="H1318" s="15">
        <v>5.037E7</v>
      </c>
      <c r="I1318" s="15">
        <v>4.868E7</v>
      </c>
      <c r="J1318" s="15">
        <v>1.075E7</v>
      </c>
      <c r="K1318" s="15">
        <v>1.047E7</v>
      </c>
      <c r="L1318" s="15">
        <v>9790000.0</v>
      </c>
      <c r="M1318" s="15">
        <v>8430000.0</v>
      </c>
      <c r="N1318" s="15">
        <v>8060000.0</v>
      </c>
      <c r="O1318" s="15">
        <v>8260000.0</v>
      </c>
      <c r="P1318" s="15">
        <v>8080000.0</v>
      </c>
      <c r="Q1318" s="15">
        <v>7580000.0</v>
      </c>
      <c r="R1318" s="15">
        <v>6420000.0</v>
      </c>
      <c r="S1318" s="15">
        <v>6270000.0</v>
      </c>
      <c r="T1318" s="15"/>
      <c r="U1318" s="15"/>
      <c r="V1318" s="15"/>
      <c r="W1318" s="15"/>
      <c r="X1318" s="15"/>
      <c r="Y1318" s="15">
        <v>2250000.0</v>
      </c>
      <c r="Z1318" s="15">
        <v>-160960.0</v>
      </c>
      <c r="AA1318" s="15">
        <v>-159200.0</v>
      </c>
      <c r="AB1318" s="15">
        <v>1780000.0</v>
      </c>
      <c r="AC1318" s="15">
        <v>1110000.0</v>
      </c>
      <c r="AD1318" s="15">
        <v>2010000.0</v>
      </c>
      <c r="AE1318" s="15">
        <v>1960000.0</v>
      </c>
      <c r="AF1318" s="15">
        <v>1770000.0</v>
      </c>
      <c r="AG1318" s="15">
        <v>1430000.0</v>
      </c>
      <c r="AH1318" s="15">
        <v>1010000.0</v>
      </c>
      <c r="AI1318" s="15">
        <v>3240000.0</v>
      </c>
      <c r="AJ1318" s="15">
        <v>3120000.0</v>
      </c>
      <c r="AK1318" s="15">
        <v>3090000.0</v>
      </c>
      <c r="AL1318" s="15">
        <v>2660000.0</v>
      </c>
      <c r="AM1318" s="15">
        <v>2320000.0</v>
      </c>
      <c r="AN1318" s="15">
        <v>1670000.0</v>
      </c>
      <c r="AO1318" s="15">
        <v>1430000.0</v>
      </c>
      <c r="AP1318" s="15">
        <v>1140000.0</v>
      </c>
      <c r="AQ1318" s="15">
        <v>949620.0</v>
      </c>
      <c r="AR1318" s="15">
        <v>686770.0</v>
      </c>
      <c r="AS1318" s="15">
        <v>2410000.0</v>
      </c>
      <c r="AT1318" s="15">
        <v>2160000.0</v>
      </c>
      <c r="AU1318" s="15">
        <v>2240000.0</v>
      </c>
      <c r="AV1318" s="15">
        <v>1930000.0</v>
      </c>
      <c r="AW1318" s="15">
        <v>1560000.0</v>
      </c>
      <c r="AX1318" s="15">
        <v>-692390.0</v>
      </c>
      <c r="AY1318" s="15">
        <v>-687820.0</v>
      </c>
      <c r="AZ1318" s="15">
        <v>-686380.0</v>
      </c>
      <c r="BA1318" s="15">
        <v>-527350.0</v>
      </c>
      <c r="BB1318" s="15">
        <v>-542830.0</v>
      </c>
      <c r="BC1318" s="13">
        <v>-775430.0</v>
      </c>
      <c r="BD1318" s="13">
        <v>-722160.0</v>
      </c>
      <c r="BE1318" s="13">
        <v>-698650.0</v>
      </c>
      <c r="BF1318" s="13">
        <v>-698870.0</v>
      </c>
      <c r="BG1318" s="13">
        <v>-695270.0</v>
      </c>
      <c r="BH1318" s="15">
        <v>513460.0</v>
      </c>
      <c r="BI1318" s="15">
        <v>552330.0</v>
      </c>
      <c r="BJ1318" s="15">
        <v>869500.0</v>
      </c>
      <c r="BK1318" s="15">
        <v>3920000.0</v>
      </c>
      <c r="BL1318" s="15">
        <v>5130000.0</v>
      </c>
      <c r="BM1318" s="15">
        <v>4200000.0</v>
      </c>
      <c r="BN1318" s="15">
        <v>4140000.0</v>
      </c>
      <c r="BO1318" s="15">
        <v>4030000.0</v>
      </c>
      <c r="BP1318" s="15">
        <v>3380000.0</v>
      </c>
      <c r="BQ1318" s="15">
        <v>3350000.0</v>
      </c>
      <c r="BR1318" s="15">
        <v>3220000.0</v>
      </c>
      <c r="BS1318" s="15">
        <v>3130000.0</v>
      </c>
      <c r="BT1318" s="15">
        <v>3000000.0</v>
      </c>
      <c r="BU1318" s="15">
        <v>2640000.0</v>
      </c>
      <c r="BV1318" s="15">
        <v>2690000.0</v>
      </c>
      <c r="BW1318" s="15">
        <v>8140000.0</v>
      </c>
      <c r="BX1318" s="15">
        <v>8000000.0</v>
      </c>
      <c r="BY1318" s="15">
        <v>8030000.0</v>
      </c>
      <c r="BZ1318" s="15">
        <v>1.005E7</v>
      </c>
      <c r="CA1318" s="15">
        <v>1.149E7</v>
      </c>
      <c r="CB1318" s="15">
        <v>4500000.0</v>
      </c>
      <c r="CC1318" s="15">
        <v>4520000.0</v>
      </c>
      <c r="CD1318" s="15">
        <v>4380000.0</v>
      </c>
      <c r="CE1318" s="15">
        <v>3880000.0</v>
      </c>
      <c r="CF1318" s="15">
        <v>3980000.0</v>
      </c>
      <c r="CG1318" s="15">
        <v>3900000.0</v>
      </c>
      <c r="CH1318" s="15">
        <v>3960000.0</v>
      </c>
      <c r="CI1318" s="15">
        <v>3920000.0</v>
      </c>
      <c r="CJ1318" s="15">
        <v>2120000.0</v>
      </c>
      <c r="CK1318" s="15">
        <v>1960000.0</v>
      </c>
      <c r="CL1318" s="15">
        <v>1.797E7</v>
      </c>
      <c r="CM1318" s="15">
        <v>1.807E7</v>
      </c>
      <c r="CN1318" s="15">
        <v>1.776E7</v>
      </c>
      <c r="CO1318" s="15">
        <v>1.672E7</v>
      </c>
      <c r="CP1318" s="15">
        <v>1.799E7</v>
      </c>
      <c r="CQ1318" s="15">
        <v>4310000.0</v>
      </c>
      <c r="CR1318" s="15">
        <v>4140000.0</v>
      </c>
      <c r="CS1318" s="15">
        <v>3970000.0</v>
      </c>
      <c r="CT1318" s="15">
        <v>2940000.0</v>
      </c>
      <c r="CU1318" s="15">
        <v>2880000.0</v>
      </c>
      <c r="CV1318" s="15">
        <v>6100000.0</v>
      </c>
      <c r="CW1318" s="15">
        <v>3960.0</v>
      </c>
      <c r="CX1318" s="13">
        <v>4180.0</v>
      </c>
      <c r="CY1318" s="13">
        <v>3940.0</v>
      </c>
      <c r="CZ1318" s="15">
        <v>89560.0</v>
      </c>
      <c r="DA1318" s="12">
        <v>70750.0</v>
      </c>
      <c r="DB1318" s="15">
        <v>6100000.0</v>
      </c>
      <c r="DC1318" s="15">
        <v>6590000.0</v>
      </c>
      <c r="DD1318" s="15">
        <v>6100000.0</v>
      </c>
      <c r="DE1318" s="15">
        <v>4430000.0</v>
      </c>
      <c r="DF1318" s="15">
        <v>1.543E7</v>
      </c>
      <c r="DG1318" s="15">
        <v>1.553E7</v>
      </c>
      <c r="DH1318" s="15">
        <v>1.529E7</v>
      </c>
      <c r="DI1318" s="15">
        <v>1.317E7</v>
      </c>
      <c r="DJ1318" s="15">
        <v>1.269E7</v>
      </c>
      <c r="DK1318" s="15">
        <v>18790.0</v>
      </c>
      <c r="DL1318" s="15">
        <v>163520.0</v>
      </c>
      <c r="DM1318" s="15"/>
      <c r="DN1318" s="15"/>
      <c r="DO1318" s="13">
        <v>168270.0</v>
      </c>
      <c r="DP1318" s="15">
        <v>8120000.0</v>
      </c>
      <c r="DQ1318" s="15">
        <v>7540000.0</v>
      </c>
      <c r="DR1318" s="15">
        <v>7660000.0</v>
      </c>
      <c r="DS1318" s="15">
        <v>7340000.0</v>
      </c>
      <c r="DT1318" s="15">
        <v>2270000.0</v>
      </c>
      <c r="DU1318" s="13"/>
      <c r="DV1318" s="12"/>
      <c r="DW1318" s="12"/>
      <c r="DX1318" s="15"/>
      <c r="DY1318" s="15"/>
      <c r="DZ1318" s="15">
        <v>2500000.0</v>
      </c>
      <c r="EA1318" s="15">
        <v>2510000.0</v>
      </c>
      <c r="EB1318" s="15">
        <v>2380000.0</v>
      </c>
      <c r="EC1318" s="15">
        <v>3480000.0</v>
      </c>
      <c r="ED1318" s="15">
        <v>5260000.0</v>
      </c>
      <c r="EE1318" s="23">
        <v>0.065339842</v>
      </c>
      <c r="EF1318" s="23">
        <v>0.216122173</v>
      </c>
      <c r="EG1318" s="17">
        <v>-0.224</v>
      </c>
      <c r="EH1318" s="23">
        <v>-0.041</v>
      </c>
    </row>
    <row r="1319">
      <c r="A1319" s="9">
        <f t="shared" si="2"/>
        <v>1317</v>
      </c>
      <c r="B1319" s="10" t="s">
        <v>1454</v>
      </c>
      <c r="C1319" s="15">
        <v>5250000.0</v>
      </c>
      <c r="D1319" s="15">
        <v>4720000.0</v>
      </c>
      <c r="E1319" s="15">
        <v>6120000.0</v>
      </c>
      <c r="F1319" s="15">
        <v>6230000.0</v>
      </c>
      <c r="G1319" s="15">
        <v>5320000.0</v>
      </c>
      <c r="H1319" s="15">
        <v>5450000.0</v>
      </c>
      <c r="I1319" s="15">
        <v>5850000.0</v>
      </c>
      <c r="J1319" s="15">
        <v>1420000.0</v>
      </c>
      <c r="K1319" s="15">
        <v>1360000.0</v>
      </c>
      <c r="L1319" s="15">
        <v>1260000.0</v>
      </c>
      <c r="M1319" s="15">
        <v>1380000.0</v>
      </c>
      <c r="N1319" s="15">
        <v>1320000.0</v>
      </c>
      <c r="O1319" s="15">
        <v>1360000.0</v>
      </c>
      <c r="P1319" s="15">
        <v>1340000.0</v>
      </c>
      <c r="Q1319" s="15">
        <v>1280000.0</v>
      </c>
      <c r="R1319" s="15">
        <v>1360000.0</v>
      </c>
      <c r="S1319" s="15">
        <v>1240000.0</v>
      </c>
      <c r="T1319" s="12"/>
      <c r="U1319" s="12"/>
      <c r="V1319" s="12"/>
      <c r="W1319" s="12"/>
      <c r="X1319" s="12"/>
      <c r="Y1319" s="15">
        <v>65950.0</v>
      </c>
      <c r="Z1319" s="12"/>
      <c r="AA1319" s="15">
        <v>-9710.0</v>
      </c>
      <c r="AB1319" s="15">
        <v>-2450.0</v>
      </c>
      <c r="AC1319" s="15">
        <v>62750.0</v>
      </c>
      <c r="AD1319" s="15">
        <v>37810.0</v>
      </c>
      <c r="AE1319" s="15">
        <v>-4350.0</v>
      </c>
      <c r="AF1319" s="15">
        <v>-60350.0</v>
      </c>
      <c r="AG1319" s="15">
        <v>-3660.0</v>
      </c>
      <c r="AH1319" s="15">
        <v>44260.0</v>
      </c>
      <c r="AI1319" s="15">
        <v>166120.0</v>
      </c>
      <c r="AJ1319" s="15">
        <v>109900.0</v>
      </c>
      <c r="AK1319" s="15">
        <v>67860.0</v>
      </c>
      <c r="AL1319" s="15">
        <v>114450.0</v>
      </c>
      <c r="AM1319" s="15">
        <v>150680.0</v>
      </c>
      <c r="AN1319" s="15">
        <v>32040.0</v>
      </c>
      <c r="AO1319" s="15">
        <v>-2800.0</v>
      </c>
      <c r="AP1319" s="15">
        <v>18740.0</v>
      </c>
      <c r="AQ1319" s="15">
        <v>-1920.0</v>
      </c>
      <c r="AR1319" s="15">
        <v>26330.0</v>
      </c>
      <c r="AS1319" s="15">
        <v>82470.0</v>
      </c>
      <c r="AT1319" s="15">
        <v>81610.0</v>
      </c>
      <c r="AU1319" s="15">
        <v>35670.0</v>
      </c>
      <c r="AV1319" s="15">
        <v>110780.0</v>
      </c>
      <c r="AW1319" s="15">
        <v>136890.0</v>
      </c>
      <c r="AX1319" s="15">
        <v>-83960.0</v>
      </c>
      <c r="AY1319" s="15">
        <v>-144780.0</v>
      </c>
      <c r="AZ1319" s="15">
        <v>-124060.0</v>
      </c>
      <c r="BA1319" s="15">
        <v>-330000.0</v>
      </c>
      <c r="BB1319" s="15">
        <v>-295440.0</v>
      </c>
      <c r="BC1319" s="12"/>
      <c r="BD1319" s="12"/>
      <c r="BE1319" s="12"/>
      <c r="BF1319" s="12"/>
      <c r="BG1319" s="12"/>
      <c r="BH1319" s="15">
        <v>17210.0</v>
      </c>
      <c r="BI1319" s="15">
        <v>314390.0</v>
      </c>
      <c r="BJ1319" s="15">
        <v>35530.0</v>
      </c>
      <c r="BK1319" s="15">
        <v>61310.0</v>
      </c>
      <c r="BL1319" s="15">
        <v>172090.0</v>
      </c>
      <c r="BM1319" s="15">
        <v>173500.0</v>
      </c>
      <c r="BN1319" s="15">
        <v>97450.0</v>
      </c>
      <c r="BO1319" s="15">
        <v>125500.0</v>
      </c>
      <c r="BP1319" s="15">
        <v>107250.0</v>
      </c>
      <c r="BQ1319" s="15">
        <v>91580.0</v>
      </c>
      <c r="BR1319" s="15">
        <v>196610.0</v>
      </c>
      <c r="BS1319" s="15">
        <v>196720.0</v>
      </c>
      <c r="BT1319" s="15">
        <v>187240.0</v>
      </c>
      <c r="BU1319" s="15">
        <v>204150.0</v>
      </c>
      <c r="BV1319" s="15">
        <v>183490.0</v>
      </c>
      <c r="BW1319" s="15">
        <v>419770.0</v>
      </c>
      <c r="BX1319" s="15">
        <v>643680.0</v>
      </c>
      <c r="BY1319" s="15">
        <v>398520.0</v>
      </c>
      <c r="BZ1319" s="15">
        <v>402060.0</v>
      </c>
      <c r="CA1319" s="15">
        <v>495340.0</v>
      </c>
      <c r="CB1319" s="15">
        <v>2690000.0</v>
      </c>
      <c r="CC1319" s="15">
        <v>628540.0</v>
      </c>
      <c r="CD1319" s="15">
        <v>613200.0</v>
      </c>
      <c r="CE1319" s="15">
        <v>1080000.0</v>
      </c>
      <c r="CF1319" s="15">
        <v>989610.0</v>
      </c>
      <c r="CG1319" s="15">
        <v>25260.0</v>
      </c>
      <c r="CH1319" s="15">
        <v>25260.0</v>
      </c>
      <c r="CI1319" s="15">
        <v>25260.0</v>
      </c>
      <c r="CJ1319" s="15">
        <v>88540.0</v>
      </c>
      <c r="CK1319" s="15">
        <v>79770.0</v>
      </c>
      <c r="CL1319" s="15">
        <v>3340000.0</v>
      </c>
      <c r="CM1319" s="15">
        <v>1540000.0</v>
      </c>
      <c r="CN1319" s="15">
        <v>1750000.0</v>
      </c>
      <c r="CO1319" s="15">
        <v>1660000.0</v>
      </c>
      <c r="CP1319" s="15">
        <v>1640000.0</v>
      </c>
      <c r="CQ1319" s="15">
        <v>147440.0</v>
      </c>
      <c r="CR1319" s="15">
        <v>120910.0</v>
      </c>
      <c r="CS1319" s="15">
        <v>155580.0</v>
      </c>
      <c r="CT1319" s="15">
        <v>157960.0</v>
      </c>
      <c r="CU1319" s="15">
        <v>125080.0</v>
      </c>
      <c r="CV1319" s="15">
        <v>389970.0</v>
      </c>
      <c r="CW1319" s="15">
        <v>104070.0</v>
      </c>
      <c r="CX1319" s="12"/>
      <c r="CY1319" s="13"/>
      <c r="CZ1319" s="13"/>
      <c r="DA1319" s="12"/>
      <c r="DB1319" s="15">
        <v>389970.0</v>
      </c>
      <c r="DC1319" s="15">
        <v>288690.0</v>
      </c>
      <c r="DD1319" s="15">
        <v>327300.0</v>
      </c>
      <c r="DE1319" s="15">
        <v>330330.0</v>
      </c>
      <c r="DF1319" s="15">
        <v>2760000.0</v>
      </c>
      <c r="DG1319" s="15">
        <v>1090000.0</v>
      </c>
      <c r="DH1319" s="15">
        <v>1180000.0</v>
      </c>
      <c r="DI1319" s="15">
        <v>1110000.0</v>
      </c>
      <c r="DJ1319" s="15">
        <v>1090000.0</v>
      </c>
      <c r="DK1319" s="15">
        <v>30800.0</v>
      </c>
      <c r="DL1319" s="15">
        <v>48700.0</v>
      </c>
      <c r="DM1319" s="15">
        <v>50690.0</v>
      </c>
      <c r="DN1319" s="15">
        <v>28770.0</v>
      </c>
      <c r="DO1319" s="15">
        <v>26870.0</v>
      </c>
      <c r="DP1319" s="15">
        <v>2210000.0</v>
      </c>
      <c r="DQ1319" s="15">
        <v>320530.0</v>
      </c>
      <c r="DR1319" s="15">
        <v>342620.0</v>
      </c>
      <c r="DS1319" s="15">
        <v>339900.0</v>
      </c>
      <c r="DT1319" s="15">
        <v>350720.0</v>
      </c>
      <c r="DU1319" s="13"/>
      <c r="DV1319" s="12"/>
      <c r="DW1319" s="12"/>
      <c r="DX1319" s="12"/>
      <c r="DY1319" s="12"/>
      <c r="DZ1319" s="15">
        <v>571050.0</v>
      </c>
      <c r="EA1319" s="15">
        <v>448900.0</v>
      </c>
      <c r="EB1319" s="15">
        <v>565050.0</v>
      </c>
      <c r="EC1319" s="15">
        <v>551680.0</v>
      </c>
      <c r="ED1319" s="15">
        <v>549320.0</v>
      </c>
      <c r="EE1319" s="17">
        <v>0.0</v>
      </c>
      <c r="EF1319" s="17">
        <v>0.0</v>
      </c>
      <c r="EG1319" s="17">
        <v>-0.132</v>
      </c>
      <c r="EH1319" s="17">
        <v>-0.624</v>
      </c>
    </row>
    <row r="1320">
      <c r="A1320" s="9">
        <f t="shared" si="2"/>
        <v>1318</v>
      </c>
      <c r="B1320" s="10" t="s">
        <v>1455</v>
      </c>
      <c r="C1320" s="15">
        <v>507100.0</v>
      </c>
      <c r="D1320" s="15">
        <v>484810.0</v>
      </c>
      <c r="E1320" s="15">
        <v>512950.0</v>
      </c>
      <c r="F1320" s="15">
        <v>505490.0</v>
      </c>
      <c r="G1320" s="15">
        <v>471460.0</v>
      </c>
      <c r="H1320" s="15">
        <v>452080.0</v>
      </c>
      <c r="I1320" s="15">
        <v>424000.0</v>
      </c>
      <c r="J1320" s="12">
        <v>76300.0</v>
      </c>
      <c r="K1320" s="12">
        <v>97960.0</v>
      </c>
      <c r="L1320" s="15">
        <v>82260.0</v>
      </c>
      <c r="M1320" s="12">
        <v>82000.0</v>
      </c>
      <c r="N1320" s="15">
        <v>76150.0</v>
      </c>
      <c r="O1320" s="15">
        <v>43880.0</v>
      </c>
      <c r="P1320" s="15">
        <v>57070.0</v>
      </c>
      <c r="Q1320" s="15">
        <v>38150.0</v>
      </c>
      <c r="R1320" s="15">
        <v>37950.0</v>
      </c>
      <c r="S1320" s="15">
        <v>32990.0</v>
      </c>
      <c r="T1320" s="15"/>
      <c r="U1320" s="15"/>
      <c r="V1320" s="15"/>
      <c r="W1320" s="15"/>
      <c r="X1320" s="15"/>
      <c r="Y1320" s="15">
        <v>-95580.0</v>
      </c>
      <c r="Z1320" s="15">
        <v>36630.0</v>
      </c>
      <c r="AA1320" s="15">
        <v>43910.0</v>
      </c>
      <c r="AB1320" s="12">
        <v>42880.0</v>
      </c>
      <c r="AC1320" s="15">
        <v>20630.0</v>
      </c>
      <c r="AD1320" s="15">
        <v>-113910.0</v>
      </c>
      <c r="AE1320" s="15">
        <v>25620.0</v>
      </c>
      <c r="AF1320" s="15">
        <v>34050.0</v>
      </c>
      <c r="AG1320" s="15">
        <v>36240.0</v>
      </c>
      <c r="AH1320" s="15">
        <v>5610.0</v>
      </c>
      <c r="AI1320" s="15">
        <v>79590.0</v>
      </c>
      <c r="AJ1320" s="15">
        <v>65910.0</v>
      </c>
      <c r="AK1320" s="15">
        <v>67470.0</v>
      </c>
      <c r="AL1320" s="15">
        <v>67180.0</v>
      </c>
      <c r="AM1320" s="15">
        <v>62680.0</v>
      </c>
      <c r="AN1320" s="15">
        <v>-118290.0</v>
      </c>
      <c r="AO1320" s="15">
        <v>18960.0</v>
      </c>
      <c r="AP1320" s="15">
        <v>49870.0</v>
      </c>
      <c r="AQ1320" s="15">
        <v>20910.0</v>
      </c>
      <c r="AR1320" s="15">
        <v>4760.0</v>
      </c>
      <c r="AS1320" s="15">
        <v>67890.0</v>
      </c>
      <c r="AT1320" s="15">
        <v>61830.0</v>
      </c>
      <c r="AU1320" s="15">
        <v>57790.0</v>
      </c>
      <c r="AV1320" s="15">
        <v>57550.0</v>
      </c>
      <c r="AW1320" s="15">
        <v>27170.0</v>
      </c>
      <c r="AX1320" s="15">
        <v>-45740.0</v>
      </c>
      <c r="AY1320" s="15">
        <v>-49510.0</v>
      </c>
      <c r="AZ1320" s="15">
        <v>-51660.0</v>
      </c>
      <c r="BA1320" s="12">
        <v>-47190.0</v>
      </c>
      <c r="BB1320" s="12">
        <v>-34510.0</v>
      </c>
      <c r="BC1320" s="13"/>
      <c r="BD1320" s="13"/>
      <c r="BE1320" s="13"/>
      <c r="BF1320" s="13"/>
      <c r="BG1320" s="13"/>
      <c r="BH1320" s="15">
        <v>1420.0</v>
      </c>
      <c r="BI1320" s="15">
        <v>7150.0</v>
      </c>
      <c r="BJ1320" s="15">
        <v>6560.0</v>
      </c>
      <c r="BK1320" s="15">
        <v>8800.0</v>
      </c>
      <c r="BL1320" s="15">
        <v>10190.0</v>
      </c>
      <c r="BM1320" s="12">
        <v>3580.0</v>
      </c>
      <c r="BN1320" s="12">
        <v>3170.0</v>
      </c>
      <c r="BO1320" s="12">
        <v>3830.0</v>
      </c>
      <c r="BP1320" s="12">
        <v>4140.0</v>
      </c>
      <c r="BQ1320" s="12">
        <v>3220.0</v>
      </c>
      <c r="BR1320" s="12">
        <v>3120.0</v>
      </c>
      <c r="BS1320" s="12">
        <v>2930.0</v>
      </c>
      <c r="BT1320" s="12">
        <v>2710.0</v>
      </c>
      <c r="BU1320" s="12">
        <v>2720.0</v>
      </c>
      <c r="BV1320" s="12">
        <v>2810.0</v>
      </c>
      <c r="BW1320" s="15">
        <v>18820.0</v>
      </c>
      <c r="BX1320" s="15">
        <v>32980.0</v>
      </c>
      <c r="BY1320" s="15">
        <v>19880.0</v>
      </c>
      <c r="BZ1320" s="15">
        <v>19860.0</v>
      </c>
      <c r="CA1320" s="15">
        <v>19770.0</v>
      </c>
      <c r="CB1320" s="15">
        <v>415200.0</v>
      </c>
      <c r="CC1320" s="15">
        <v>161430.0</v>
      </c>
      <c r="CD1320" s="15">
        <v>156120.0</v>
      </c>
      <c r="CE1320" s="12">
        <v>138320.0</v>
      </c>
      <c r="CF1320" s="12">
        <v>114030.0</v>
      </c>
      <c r="CG1320" s="15">
        <v>192740.0</v>
      </c>
      <c r="CH1320" s="15">
        <v>321530.0</v>
      </c>
      <c r="CI1320" s="15">
        <v>320640.0</v>
      </c>
      <c r="CJ1320" s="12">
        <v>320030.0</v>
      </c>
      <c r="CK1320" s="12">
        <v>318280.0</v>
      </c>
      <c r="CL1320" s="15">
        <v>862460.0</v>
      </c>
      <c r="CM1320" s="15">
        <v>758960.0</v>
      </c>
      <c r="CN1320" s="15">
        <v>742320.0</v>
      </c>
      <c r="CO1320" s="15">
        <v>727160.0</v>
      </c>
      <c r="CP1320" s="15">
        <v>703570.0</v>
      </c>
      <c r="CQ1320" s="15">
        <v>19650.0</v>
      </c>
      <c r="CR1320" s="15">
        <v>19880.0</v>
      </c>
      <c r="CS1320" s="15">
        <v>18760.0</v>
      </c>
      <c r="CT1320" s="15">
        <v>16430.0</v>
      </c>
      <c r="CU1320" s="15">
        <v>16830.0</v>
      </c>
      <c r="CV1320" s="15">
        <v>72300.0</v>
      </c>
      <c r="CW1320" s="12">
        <v>17850.0</v>
      </c>
      <c r="CX1320" s="13"/>
      <c r="CY1320" s="13"/>
      <c r="CZ1320" s="13"/>
      <c r="DA1320" s="12">
        <v>1730.0</v>
      </c>
      <c r="DB1320" s="15">
        <v>72300.0</v>
      </c>
      <c r="DC1320" s="15">
        <v>55700.0</v>
      </c>
      <c r="DD1320" s="15">
        <v>55430.0</v>
      </c>
      <c r="DE1320" s="15">
        <v>54670.0</v>
      </c>
      <c r="DF1320" s="15">
        <v>560350.0</v>
      </c>
      <c r="DG1320" s="15">
        <v>336680.0</v>
      </c>
      <c r="DH1320" s="15">
        <v>326080.0</v>
      </c>
      <c r="DI1320" s="15">
        <v>349820.0</v>
      </c>
      <c r="DJ1320" s="15">
        <v>335200.0</v>
      </c>
      <c r="DK1320" s="15"/>
      <c r="DL1320" s="15">
        <v>500.0</v>
      </c>
      <c r="DM1320" s="15"/>
      <c r="DN1320" s="12"/>
      <c r="DO1320" s="13"/>
      <c r="DP1320" s="12">
        <v>401940.0</v>
      </c>
      <c r="DQ1320" s="12">
        <v>178660.0</v>
      </c>
      <c r="DR1320" s="12">
        <v>170640.0</v>
      </c>
      <c r="DS1320" s="12">
        <v>173740.0</v>
      </c>
      <c r="DT1320" s="12">
        <v>167970.0</v>
      </c>
      <c r="DU1320" s="13"/>
      <c r="DV1320" s="15"/>
      <c r="DW1320" s="15"/>
      <c r="DX1320" s="13"/>
      <c r="DY1320" s="13"/>
      <c r="DZ1320" s="15">
        <v>302110.0</v>
      </c>
      <c r="EA1320" s="15">
        <v>422270.0</v>
      </c>
      <c r="EB1320" s="15">
        <v>416250.0</v>
      </c>
      <c r="EC1320" s="15">
        <v>377330.0</v>
      </c>
      <c r="ED1320" s="15">
        <v>368380.0</v>
      </c>
      <c r="EE1320" s="23">
        <v>0.014562406</v>
      </c>
      <c r="EF1320" s="23">
        <v>0.012817985</v>
      </c>
      <c r="EG1320" s="17">
        <v>1.0</v>
      </c>
      <c r="EH1320" s="23">
        <v>0.19325</v>
      </c>
    </row>
    <row r="1321">
      <c r="A1321" s="9">
        <f t="shared" si="2"/>
        <v>1319</v>
      </c>
      <c r="B1321" s="10" t="s">
        <v>1456</v>
      </c>
      <c r="C1321" s="15">
        <v>9960000.0</v>
      </c>
      <c r="D1321" s="15">
        <v>9640000.0</v>
      </c>
      <c r="E1321" s="15">
        <v>1.058E7</v>
      </c>
      <c r="F1321" s="15">
        <v>1.077E7</v>
      </c>
      <c r="G1321" s="15">
        <v>1.1E7</v>
      </c>
      <c r="H1321" s="12">
        <v>4890000.0</v>
      </c>
      <c r="I1321" s="12">
        <v>3570000.0</v>
      </c>
      <c r="J1321" s="15">
        <v>4000000.0</v>
      </c>
      <c r="K1321" s="15">
        <v>4070000.0</v>
      </c>
      <c r="L1321" s="15">
        <v>4400000.0</v>
      </c>
      <c r="M1321" s="12">
        <v>1870000.0</v>
      </c>
      <c r="N1321" s="12">
        <v>1370000.0</v>
      </c>
      <c r="O1321" s="15">
        <v>2510000.0</v>
      </c>
      <c r="P1321" s="15">
        <v>2580000.0</v>
      </c>
      <c r="Q1321" s="15">
        <v>2830000.0</v>
      </c>
      <c r="R1321" s="12">
        <v>1390000.0</v>
      </c>
      <c r="S1321" s="12">
        <v>1020000.0</v>
      </c>
      <c r="T1321" s="15"/>
      <c r="U1321" s="15"/>
      <c r="V1321" s="15"/>
      <c r="W1321" s="12"/>
      <c r="X1321" s="12"/>
      <c r="Y1321" s="15">
        <v>767000.0</v>
      </c>
      <c r="Z1321" s="15">
        <v>1620000.0</v>
      </c>
      <c r="AA1321" s="15">
        <v>105400.0</v>
      </c>
      <c r="AB1321" s="12">
        <v>-3600000.0</v>
      </c>
      <c r="AC1321" s="12">
        <v>-7400.0</v>
      </c>
      <c r="AD1321" s="15">
        <v>479900.0</v>
      </c>
      <c r="AE1321" s="15">
        <v>1360000.0</v>
      </c>
      <c r="AF1321" s="15">
        <v>1380000.0</v>
      </c>
      <c r="AG1321" s="12">
        <v>3060000.0</v>
      </c>
      <c r="AH1321" s="12">
        <v>410700.0</v>
      </c>
      <c r="AI1321" s="15">
        <v>2360000.0</v>
      </c>
      <c r="AJ1321" s="15">
        <v>2350000.0</v>
      </c>
      <c r="AK1321" s="15">
        <v>2380000.0</v>
      </c>
      <c r="AL1321" s="12">
        <v>859800.0</v>
      </c>
      <c r="AM1321" s="12">
        <v>665500.0</v>
      </c>
      <c r="AN1321" s="15">
        <v>241700.0</v>
      </c>
      <c r="AO1321" s="15">
        <v>1120000.0</v>
      </c>
      <c r="AP1321" s="15">
        <v>1570000.0</v>
      </c>
      <c r="AQ1321" s="12">
        <v>2000000.0</v>
      </c>
      <c r="AR1321" s="12">
        <v>355600.0</v>
      </c>
      <c r="AS1321" s="15">
        <v>1900000.0</v>
      </c>
      <c r="AT1321" s="15">
        <v>2330000.0</v>
      </c>
      <c r="AU1321" s="15">
        <v>1870000.0</v>
      </c>
      <c r="AV1321" s="12">
        <v>1130000.0</v>
      </c>
      <c r="AW1321" s="12">
        <v>696400.0</v>
      </c>
      <c r="AX1321" s="15">
        <v>-593800.0</v>
      </c>
      <c r="AY1321" s="15">
        <v>-651700.0</v>
      </c>
      <c r="AZ1321" s="15">
        <v>-599600.0</v>
      </c>
      <c r="BA1321" s="12">
        <v>-341800.0</v>
      </c>
      <c r="BB1321" s="12">
        <v>-275000.0</v>
      </c>
      <c r="BC1321" s="13">
        <v>-424400.0</v>
      </c>
      <c r="BD1321" s="13">
        <v>-354200.0</v>
      </c>
      <c r="BE1321" s="13">
        <v>-353400.0</v>
      </c>
      <c r="BF1321" s="13">
        <v>-352900.0</v>
      </c>
      <c r="BG1321" s="13">
        <v>-303400.0</v>
      </c>
      <c r="BH1321" s="15">
        <v>523400.0</v>
      </c>
      <c r="BI1321" s="15">
        <v>1060000.0</v>
      </c>
      <c r="BJ1321" s="15">
        <v>418600.0</v>
      </c>
      <c r="BK1321" s="15">
        <v>560900.0</v>
      </c>
      <c r="BL1321" s="12">
        <v>430900.0</v>
      </c>
      <c r="BM1321" s="15">
        <v>820300.0</v>
      </c>
      <c r="BN1321" s="15">
        <v>871000.0</v>
      </c>
      <c r="BO1321" s="15">
        <v>902000.0</v>
      </c>
      <c r="BP1321" s="12">
        <v>805300.0</v>
      </c>
      <c r="BQ1321" s="12">
        <v>525900.0</v>
      </c>
      <c r="BR1321" s="12">
        <v>615900.0</v>
      </c>
      <c r="BS1321" s="12">
        <v>591800.0</v>
      </c>
      <c r="BT1321" s="12">
        <v>591500.0</v>
      </c>
      <c r="BU1321" s="12">
        <v>592700.0</v>
      </c>
      <c r="BV1321" s="12">
        <v>179300.0</v>
      </c>
      <c r="BW1321" s="15">
        <v>2180000.0</v>
      </c>
      <c r="BX1321" s="15">
        <v>2770000.0</v>
      </c>
      <c r="BY1321" s="15">
        <v>2190000.0</v>
      </c>
      <c r="BZ1321" s="15">
        <v>2170000.0</v>
      </c>
      <c r="CA1321" s="12">
        <v>1260000.0</v>
      </c>
      <c r="CB1321" s="15">
        <v>4700000.0</v>
      </c>
      <c r="CC1321" s="15">
        <v>4610000.0</v>
      </c>
      <c r="CD1321" s="15">
        <v>4670000.0</v>
      </c>
      <c r="CE1321" s="12">
        <v>4510000.0</v>
      </c>
      <c r="CF1321" s="12">
        <v>1590000.0</v>
      </c>
      <c r="CG1321" s="15">
        <v>7630000.0</v>
      </c>
      <c r="CH1321" s="15">
        <v>8260000.0</v>
      </c>
      <c r="CI1321" s="15">
        <v>8410000.0</v>
      </c>
      <c r="CJ1321" s="12">
        <v>8250000.0</v>
      </c>
      <c r="CK1321" s="12">
        <v>1980000.0</v>
      </c>
      <c r="CL1321" s="15">
        <v>2.886E7</v>
      </c>
      <c r="CM1321" s="15">
        <v>3.011E7</v>
      </c>
      <c r="CN1321" s="15">
        <v>3.025E7</v>
      </c>
      <c r="CO1321" s="15">
        <v>2.934E7</v>
      </c>
      <c r="CP1321" s="12">
        <v>1.228E7</v>
      </c>
      <c r="CQ1321" s="15">
        <v>1490000.0</v>
      </c>
      <c r="CR1321" s="15">
        <v>1580000.0</v>
      </c>
      <c r="CS1321" s="12">
        <v>1520000.0</v>
      </c>
      <c r="CT1321" s="12">
        <v>1300000.0</v>
      </c>
      <c r="CU1321" s="12">
        <v>559600.0</v>
      </c>
      <c r="CV1321" s="15">
        <v>3700000.0</v>
      </c>
      <c r="CW1321" s="15">
        <v>53500.0</v>
      </c>
      <c r="CX1321" s="13">
        <v>11400.0</v>
      </c>
      <c r="CY1321" s="13">
        <v>386400.0</v>
      </c>
      <c r="CZ1321" s="13">
        <v>13100.0</v>
      </c>
      <c r="DA1321" s="12">
        <v>28700.0</v>
      </c>
      <c r="DB1321" s="15">
        <v>3700000.0</v>
      </c>
      <c r="DC1321" s="15">
        <v>4300000.0</v>
      </c>
      <c r="DD1321" s="15">
        <v>3400000.0</v>
      </c>
      <c r="DE1321" s="12">
        <v>3160000.0</v>
      </c>
      <c r="DF1321" s="15">
        <v>1.519E7</v>
      </c>
      <c r="DG1321" s="15">
        <v>1.637E7</v>
      </c>
      <c r="DH1321" s="15">
        <v>1.706E7</v>
      </c>
      <c r="DI1321" s="15">
        <v>1.772E7</v>
      </c>
      <c r="DJ1321" s="12">
        <v>5210000.0</v>
      </c>
      <c r="DK1321" s="12">
        <v>13300.0</v>
      </c>
      <c r="DL1321" s="12">
        <v>71400.0</v>
      </c>
      <c r="DM1321" s="12">
        <v>63700.0</v>
      </c>
      <c r="DN1321" s="15"/>
      <c r="DO1321" s="13">
        <v>2440000.0</v>
      </c>
      <c r="DP1321" s="15">
        <v>8230000.0</v>
      </c>
      <c r="DQ1321" s="15">
        <v>8890000.0</v>
      </c>
      <c r="DR1321" s="15">
        <v>1.06E7</v>
      </c>
      <c r="DS1321" s="12">
        <v>1.139E7</v>
      </c>
      <c r="DT1321" s="12">
        <v>2910000.0</v>
      </c>
      <c r="DU1321" s="13"/>
      <c r="DV1321" s="12"/>
      <c r="DW1321" s="12"/>
      <c r="DX1321" s="15"/>
      <c r="DY1321" s="13"/>
      <c r="DZ1321" s="15">
        <v>1.342E7</v>
      </c>
      <c r="EA1321" s="15">
        <v>1.351E7</v>
      </c>
      <c r="EB1321" s="15">
        <v>1.298E7</v>
      </c>
      <c r="EC1321" s="15">
        <v>1.142E7</v>
      </c>
      <c r="ED1321" s="12">
        <v>7040000.0</v>
      </c>
      <c r="EE1321" s="23">
        <v>0.124481328</v>
      </c>
      <c r="EF1321" s="23">
        <v>0.084337349</v>
      </c>
      <c r="EG1321" s="17">
        <v>1.279</v>
      </c>
      <c r="EH1321" s="23">
        <v>0.412</v>
      </c>
    </row>
    <row r="1322">
      <c r="A1322" s="9">
        <f t="shared" si="2"/>
        <v>1320</v>
      </c>
      <c r="B1322" s="32" t="s">
        <v>1457</v>
      </c>
      <c r="C1322" s="12"/>
      <c r="D1322" s="11">
        <v>686340.0</v>
      </c>
      <c r="E1322" s="11">
        <v>644770.0</v>
      </c>
      <c r="F1322" s="11">
        <v>669890.0</v>
      </c>
      <c r="G1322" s="11">
        <v>661910.0</v>
      </c>
      <c r="H1322" s="11">
        <v>879390.0</v>
      </c>
      <c r="I1322" s="11">
        <v>950750.0</v>
      </c>
      <c r="J1322" s="11">
        <v>399730.0</v>
      </c>
      <c r="K1322" s="11">
        <v>445720.0</v>
      </c>
      <c r="L1322" s="11">
        <v>463510.0</v>
      </c>
      <c r="M1322" s="11">
        <v>671530.0</v>
      </c>
      <c r="N1322" s="11">
        <v>781010.0</v>
      </c>
      <c r="O1322" s="11">
        <v>153190.0</v>
      </c>
      <c r="P1322" s="11">
        <v>153210.0</v>
      </c>
      <c r="Q1322" s="11">
        <v>158610.0</v>
      </c>
      <c r="R1322" s="11">
        <v>156300.0</v>
      </c>
      <c r="S1322" s="11">
        <v>163530.0</v>
      </c>
      <c r="T1322" s="11">
        <v>59780.0</v>
      </c>
      <c r="U1322" s="11">
        <v>63240.0</v>
      </c>
      <c r="V1322" s="11">
        <v>70420.0</v>
      </c>
      <c r="W1322" s="11">
        <v>70640.0</v>
      </c>
      <c r="X1322" s="11">
        <v>71160.0</v>
      </c>
      <c r="Y1322" s="12"/>
      <c r="Z1322" s="11">
        <v>296190.0</v>
      </c>
      <c r="AA1322" s="11">
        <v>303010.0</v>
      </c>
      <c r="AB1322" s="11">
        <v>514950.0</v>
      </c>
      <c r="AC1322" s="11">
        <v>614470.0</v>
      </c>
      <c r="AD1322" s="11">
        <v>298040.0</v>
      </c>
      <c r="AE1322" s="11">
        <v>356850.0</v>
      </c>
      <c r="AF1322" s="11">
        <v>292370.0</v>
      </c>
      <c r="AG1322" s="11">
        <v>560800.0</v>
      </c>
      <c r="AH1322" s="11">
        <v>636820.0</v>
      </c>
      <c r="AI1322" s="11">
        <v>267920.0</v>
      </c>
      <c r="AJ1322" s="11">
        <v>311110.0</v>
      </c>
      <c r="AK1322" s="11">
        <v>321390.0</v>
      </c>
      <c r="AL1322" s="11">
        <v>530060.0</v>
      </c>
      <c r="AM1322" s="11">
        <v>632330.0</v>
      </c>
      <c r="AN1322" s="11">
        <v>244240.0</v>
      </c>
      <c r="AO1322" s="11">
        <v>281780.0</v>
      </c>
      <c r="AP1322" s="11">
        <v>211490.0</v>
      </c>
      <c r="AQ1322" s="11">
        <v>456710.0</v>
      </c>
      <c r="AR1322" s="11">
        <v>541170.0</v>
      </c>
      <c r="AS1322" s="11">
        <v>269950.0</v>
      </c>
      <c r="AT1322" s="11">
        <v>323770.0</v>
      </c>
      <c r="AU1322" s="11">
        <v>323690.0</v>
      </c>
      <c r="AV1322" s="11">
        <v>437540.0</v>
      </c>
      <c r="AW1322" s="11">
        <v>395130.0</v>
      </c>
      <c r="AX1322" s="11">
        <v>-28410.0</v>
      </c>
      <c r="AY1322" s="11">
        <v>-30680.0</v>
      </c>
      <c r="AZ1322" s="11">
        <v>-29540.0</v>
      </c>
      <c r="BA1322" s="11">
        <v>-35820.0</v>
      </c>
      <c r="BB1322" s="11">
        <v>-19110.0</v>
      </c>
      <c r="BC1322" s="13"/>
      <c r="BD1322" s="11">
        <v>-500000.0</v>
      </c>
      <c r="BE1322" s="13"/>
      <c r="BF1322" s="13"/>
      <c r="BG1322" s="13"/>
      <c r="BH1322" s="11">
        <v>1110000.0</v>
      </c>
      <c r="BI1322" s="11">
        <v>1050000.0</v>
      </c>
      <c r="BJ1322" s="11">
        <v>1420000.0</v>
      </c>
      <c r="BK1322" s="11">
        <v>1390000.0</v>
      </c>
      <c r="BL1322" s="11">
        <v>1230000.0</v>
      </c>
      <c r="BM1322" s="11">
        <v>260080.0</v>
      </c>
      <c r="BN1322" s="11">
        <v>276610.0</v>
      </c>
      <c r="BO1322" s="11">
        <v>320020.0</v>
      </c>
      <c r="BP1322" s="11">
        <v>325910.0</v>
      </c>
      <c r="BQ1322" s="11">
        <v>283570.0</v>
      </c>
      <c r="BR1322" s="11">
        <v>154940.0</v>
      </c>
      <c r="BS1322" s="11">
        <v>149140.0</v>
      </c>
      <c r="BT1322" s="11">
        <v>146050.0</v>
      </c>
      <c r="BU1322" s="11">
        <v>144460.0</v>
      </c>
      <c r="BV1322" s="11">
        <v>141660.0</v>
      </c>
      <c r="BW1322" s="11">
        <v>1530000.0</v>
      </c>
      <c r="BX1322" s="11">
        <v>1480000.0</v>
      </c>
      <c r="BY1322" s="11">
        <v>1900000.0</v>
      </c>
      <c r="BZ1322" s="11">
        <v>2000000.0</v>
      </c>
      <c r="CA1322" s="11">
        <v>1880000.0</v>
      </c>
      <c r="CB1322" s="11">
        <v>212160.0</v>
      </c>
      <c r="CC1322" s="11">
        <v>206240.0</v>
      </c>
      <c r="CD1322" s="11">
        <v>193730.0</v>
      </c>
      <c r="CE1322" s="11">
        <v>180090.0</v>
      </c>
      <c r="CF1322" s="11">
        <v>159460.0</v>
      </c>
      <c r="CG1322" s="11">
        <v>7190.0</v>
      </c>
      <c r="CH1322" s="11">
        <v>7190.0</v>
      </c>
      <c r="CI1322" s="11">
        <v>7200.0</v>
      </c>
      <c r="CJ1322" s="11">
        <v>7190.0</v>
      </c>
      <c r="CK1322" s="11">
        <v>7200.0</v>
      </c>
      <c r="CL1322" s="11">
        <v>2340000.0</v>
      </c>
      <c r="CM1322" s="11">
        <v>2140000.0</v>
      </c>
      <c r="CN1322" s="11">
        <v>2430000.0</v>
      </c>
      <c r="CO1322" s="11">
        <v>2290000.0</v>
      </c>
      <c r="CP1322" s="11">
        <v>2190000.0</v>
      </c>
      <c r="CQ1322" s="11">
        <v>28860.0</v>
      </c>
      <c r="CR1322" s="11">
        <v>35060.0</v>
      </c>
      <c r="CS1322" s="11">
        <v>25700.0</v>
      </c>
      <c r="CT1322" s="11">
        <v>16390.0</v>
      </c>
      <c r="CU1322" s="11">
        <v>18850.0</v>
      </c>
      <c r="CV1322" s="11">
        <v>222730.0</v>
      </c>
      <c r="CW1322" s="12"/>
      <c r="CX1322" s="13"/>
      <c r="CY1322" s="13"/>
      <c r="CZ1322" s="13"/>
      <c r="DA1322" s="12"/>
      <c r="DB1322" s="11">
        <v>222730.0</v>
      </c>
      <c r="DC1322" s="11">
        <v>216820.0</v>
      </c>
      <c r="DD1322" s="11">
        <v>215760.0</v>
      </c>
      <c r="DE1322" s="11">
        <v>209840.0</v>
      </c>
      <c r="DF1322" s="11">
        <v>231490.0</v>
      </c>
      <c r="DG1322" s="11">
        <v>224200.0</v>
      </c>
      <c r="DH1322" s="11">
        <v>222810.0</v>
      </c>
      <c r="DI1322" s="11">
        <v>215950.0</v>
      </c>
      <c r="DJ1322" s="11">
        <v>250890.0</v>
      </c>
      <c r="DK1322" s="11">
        <v>459640.0</v>
      </c>
      <c r="DL1322" s="11">
        <v>304320.0</v>
      </c>
      <c r="DM1322" s="11">
        <v>225640.0</v>
      </c>
      <c r="DN1322" s="11">
        <v>70690.0</v>
      </c>
      <c r="DO1322" s="11">
        <v>115170.0</v>
      </c>
      <c r="DP1322" s="12"/>
      <c r="DQ1322" s="12"/>
      <c r="DR1322" s="12"/>
      <c r="DS1322" s="12"/>
      <c r="DT1322" s="12"/>
      <c r="DU1322" s="13"/>
      <c r="DV1322" s="12"/>
      <c r="DW1322" s="12"/>
      <c r="DX1322" s="13"/>
      <c r="DY1322" s="13"/>
      <c r="DZ1322" s="11">
        <v>2100000.0</v>
      </c>
      <c r="EA1322" s="11">
        <v>1910000.0</v>
      </c>
      <c r="EB1322" s="11">
        <v>2210000.0</v>
      </c>
      <c r="EC1322" s="11">
        <v>2070000.0</v>
      </c>
      <c r="ED1322" s="11">
        <v>1930000.0</v>
      </c>
      <c r="EE1322" s="14">
        <v>0.0</v>
      </c>
      <c r="EF1322" s="23"/>
      <c r="EG1322" s="14">
        <v>-0.072</v>
      </c>
      <c r="EH1322" s="14">
        <v>-0.051</v>
      </c>
    </row>
    <row r="1323">
      <c r="A1323" s="9">
        <f t="shared" si="2"/>
        <v>1321</v>
      </c>
      <c r="B1323" s="10" t="s">
        <v>1458</v>
      </c>
      <c r="C1323" s="15">
        <v>1600000.0</v>
      </c>
      <c r="D1323" s="15">
        <v>1550000.0</v>
      </c>
      <c r="E1323" s="15">
        <v>1460000.0</v>
      </c>
      <c r="F1323" s="15">
        <v>1180000.0</v>
      </c>
      <c r="G1323" s="15">
        <v>1090000.0</v>
      </c>
      <c r="H1323" s="15">
        <v>943580.0</v>
      </c>
      <c r="I1323" s="15">
        <v>859000.0</v>
      </c>
      <c r="J1323" s="15">
        <v>136330.0</v>
      </c>
      <c r="K1323" s="15">
        <v>151540.0</v>
      </c>
      <c r="L1323" s="15">
        <v>136990.0</v>
      </c>
      <c r="M1323" s="15">
        <v>134650.0</v>
      </c>
      <c r="N1323" s="15">
        <v>116920.0</v>
      </c>
      <c r="O1323" s="15">
        <v>132600.0</v>
      </c>
      <c r="P1323" s="15">
        <v>113480.0</v>
      </c>
      <c r="Q1323" s="15">
        <v>103230.0</v>
      </c>
      <c r="R1323" s="15">
        <v>94400.0</v>
      </c>
      <c r="S1323" s="15">
        <v>81590.0</v>
      </c>
      <c r="T1323" s="15"/>
      <c r="U1323" s="15"/>
      <c r="V1323" s="15"/>
      <c r="W1323" s="15"/>
      <c r="X1323" s="15"/>
      <c r="Y1323" s="15">
        <v>-15990.0</v>
      </c>
      <c r="Z1323" s="15">
        <v>33360.0</v>
      </c>
      <c r="AA1323" s="15">
        <v>29440.0</v>
      </c>
      <c r="AB1323" s="15">
        <v>-4360.0</v>
      </c>
      <c r="AC1323" s="15">
        <v>18450.0</v>
      </c>
      <c r="AD1323" s="15">
        <v>-44040.0</v>
      </c>
      <c r="AE1323" s="15">
        <v>9950.0</v>
      </c>
      <c r="AF1323" s="15">
        <v>7760.0</v>
      </c>
      <c r="AG1323" s="15">
        <v>17390.0</v>
      </c>
      <c r="AH1323" s="15">
        <v>4.0</v>
      </c>
      <c r="AI1323" s="15">
        <v>78420.0</v>
      </c>
      <c r="AJ1323" s="15">
        <v>96530.0</v>
      </c>
      <c r="AK1323" s="15">
        <v>87920.0</v>
      </c>
      <c r="AL1323" s="15">
        <v>87540.0</v>
      </c>
      <c r="AM1323" s="15">
        <v>75170.0</v>
      </c>
      <c r="AN1323" s="15">
        <v>-31920.0</v>
      </c>
      <c r="AO1323" s="15">
        <v>9930.0</v>
      </c>
      <c r="AP1323" s="15">
        <v>7040.0</v>
      </c>
      <c r="AQ1323" s="15">
        <v>44860.0</v>
      </c>
      <c r="AR1323" s="15">
        <v>4.0</v>
      </c>
      <c r="AS1323" s="15">
        <v>48710.0</v>
      </c>
      <c r="AT1323" s="15">
        <v>80770.0</v>
      </c>
      <c r="AU1323" s="15">
        <v>72780.0</v>
      </c>
      <c r="AV1323" s="15">
        <v>62290.0</v>
      </c>
      <c r="AW1323" s="15">
        <v>70700.0</v>
      </c>
      <c r="AX1323" s="15">
        <v>-145600.0</v>
      </c>
      <c r="AY1323" s="15">
        <v>-75740.0</v>
      </c>
      <c r="AZ1323" s="15">
        <v>-73520.0</v>
      </c>
      <c r="BA1323" s="15">
        <v>-94100.0</v>
      </c>
      <c r="BB1323" s="15">
        <v>-56850.0</v>
      </c>
      <c r="BC1323" s="13"/>
      <c r="BD1323" s="13"/>
      <c r="BE1323" s="13"/>
      <c r="BF1323" s="13"/>
      <c r="BG1323" s="13"/>
      <c r="BH1323" s="15">
        <v>2970.0</v>
      </c>
      <c r="BI1323" s="15">
        <v>4010.0</v>
      </c>
      <c r="BJ1323" s="15">
        <v>29410.0</v>
      </c>
      <c r="BK1323" s="15">
        <v>2000.0</v>
      </c>
      <c r="BL1323" s="15">
        <v>22270.0</v>
      </c>
      <c r="BM1323" s="15">
        <v>13730.0</v>
      </c>
      <c r="BN1323" s="15">
        <v>11690.0</v>
      </c>
      <c r="BO1323" s="15">
        <v>9470.0</v>
      </c>
      <c r="BP1323" s="15">
        <v>7780.0</v>
      </c>
      <c r="BQ1323" s="15">
        <v>6160.0</v>
      </c>
      <c r="BR1323" s="12">
        <v>13330.0</v>
      </c>
      <c r="BS1323" s="12">
        <v>10400.0</v>
      </c>
      <c r="BT1323" s="12">
        <v>9370.0</v>
      </c>
      <c r="BU1323" s="12">
        <v>7760.0</v>
      </c>
      <c r="BV1323" s="12">
        <v>7130.0</v>
      </c>
      <c r="BW1323" s="15">
        <v>39790.0</v>
      </c>
      <c r="BX1323" s="15">
        <v>34680.0</v>
      </c>
      <c r="BY1323" s="15">
        <v>60020.0</v>
      </c>
      <c r="BZ1323" s="15">
        <v>29670.0</v>
      </c>
      <c r="CA1323" s="15">
        <v>45000.0</v>
      </c>
      <c r="CB1323" s="15">
        <v>1200000.0</v>
      </c>
      <c r="CC1323" s="15">
        <v>289820.0</v>
      </c>
      <c r="CD1323" s="15">
        <v>274100.0</v>
      </c>
      <c r="CE1323" s="15">
        <v>247850.0</v>
      </c>
      <c r="CF1323" s="15">
        <v>220110.0</v>
      </c>
      <c r="CG1323" s="15">
        <v>122620.0</v>
      </c>
      <c r="CH1323" s="15">
        <v>38470.0</v>
      </c>
      <c r="CI1323" s="15">
        <v>36790.0</v>
      </c>
      <c r="CJ1323" s="15">
        <v>22870.0</v>
      </c>
      <c r="CK1323" s="15">
        <v>20440.0</v>
      </c>
      <c r="CL1323" s="15">
        <v>2050000.0</v>
      </c>
      <c r="CM1323" s="15">
        <v>641360.0</v>
      </c>
      <c r="CN1323" s="15">
        <v>617880.0</v>
      </c>
      <c r="CO1323" s="15">
        <v>532270.0</v>
      </c>
      <c r="CP1323" s="15">
        <v>427260.0</v>
      </c>
      <c r="CQ1323" s="15">
        <v>45780.0</v>
      </c>
      <c r="CR1323" s="15">
        <v>29140.0</v>
      </c>
      <c r="CS1323" s="15">
        <v>29250.0</v>
      </c>
      <c r="CT1323" s="15">
        <v>22450.0</v>
      </c>
      <c r="CU1323" s="15">
        <v>20440.0</v>
      </c>
      <c r="CV1323" s="15">
        <v>149330.0</v>
      </c>
      <c r="CW1323" s="15">
        <v>40810.0</v>
      </c>
      <c r="CX1323" s="13"/>
      <c r="CY1323" s="13"/>
      <c r="CZ1323" s="13"/>
      <c r="DA1323" s="12"/>
      <c r="DB1323" s="15">
        <v>149330.0</v>
      </c>
      <c r="DC1323" s="15">
        <v>82140.0</v>
      </c>
      <c r="DD1323" s="15">
        <v>79530.0</v>
      </c>
      <c r="DE1323" s="15">
        <v>68900.0</v>
      </c>
      <c r="DF1323" s="15">
        <v>1740000.0</v>
      </c>
      <c r="DG1323" s="15">
        <v>455820.0</v>
      </c>
      <c r="DH1323" s="15">
        <v>448820.0</v>
      </c>
      <c r="DI1323" s="15">
        <v>377620.0</v>
      </c>
      <c r="DJ1323" s="15">
        <v>319260.0</v>
      </c>
      <c r="DK1323" s="15"/>
      <c r="DL1323" s="15"/>
      <c r="DM1323" s="15"/>
      <c r="DN1323" s="15"/>
      <c r="DO1323" s="15"/>
      <c r="DP1323" s="15">
        <v>1270000.0</v>
      </c>
      <c r="DQ1323" s="15">
        <v>278020.0</v>
      </c>
      <c r="DR1323" s="12">
        <v>279720.0</v>
      </c>
      <c r="DS1323" s="15">
        <v>218050.0</v>
      </c>
      <c r="DT1323" s="15">
        <v>203240.0</v>
      </c>
      <c r="DU1323" s="15"/>
      <c r="DV1323" s="12"/>
      <c r="DW1323" s="12"/>
      <c r="DX1323" s="13"/>
      <c r="DY1323" s="13"/>
      <c r="DZ1323" s="15">
        <v>309460.0</v>
      </c>
      <c r="EA1323" s="15">
        <v>185540.0</v>
      </c>
      <c r="EB1323" s="15">
        <v>169060.0</v>
      </c>
      <c r="EC1323" s="15">
        <v>154660.0</v>
      </c>
      <c r="ED1323" s="15">
        <v>108000.0</v>
      </c>
      <c r="EE1323" s="23">
        <v>0.019354839</v>
      </c>
      <c r="EF1323" s="23">
        <v>0.0375</v>
      </c>
      <c r="EG1323" s="17">
        <v>-0.086</v>
      </c>
      <c r="EH1323" s="23">
        <v>-0.987</v>
      </c>
    </row>
    <row r="1324">
      <c r="A1324" s="9">
        <f t="shared" si="2"/>
        <v>1322</v>
      </c>
      <c r="B1324" s="10" t="s">
        <v>1459</v>
      </c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2"/>
      <c r="DF1324" s="12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Y1324" s="12"/>
      <c r="DZ1324" s="12"/>
      <c r="EA1324" s="12"/>
      <c r="EB1324" s="12"/>
      <c r="EC1324" s="12"/>
      <c r="ED1324" s="12"/>
      <c r="EE1324" s="23"/>
      <c r="EF1324" s="23"/>
      <c r="EG1324" s="30" t="s">
        <v>155</v>
      </c>
      <c r="EH1324" s="23"/>
    </row>
    <row r="1325">
      <c r="A1325" s="9">
        <f t="shared" si="2"/>
        <v>1323</v>
      </c>
      <c r="B1325" s="22" t="s">
        <v>1460</v>
      </c>
      <c r="C1325" s="11">
        <v>49360.0</v>
      </c>
      <c r="D1325" s="11">
        <v>90210.0</v>
      </c>
      <c r="E1325" s="11">
        <v>7800.0</v>
      </c>
      <c r="F1325" s="11">
        <v>1420.0</v>
      </c>
      <c r="G1325" s="12"/>
      <c r="H1325" s="12"/>
      <c r="I1325" s="12"/>
      <c r="J1325" s="12"/>
      <c r="K1325" s="12"/>
      <c r="L1325" s="11">
        <v>-1590.0</v>
      </c>
      <c r="M1325" s="11">
        <v>-730.0</v>
      </c>
      <c r="N1325" s="12"/>
      <c r="O1325" s="11">
        <v>100270.0</v>
      </c>
      <c r="P1325" s="11">
        <v>77790.0</v>
      </c>
      <c r="Q1325" s="11">
        <v>59280.0</v>
      </c>
      <c r="R1325" s="11">
        <v>26070.0</v>
      </c>
      <c r="S1325" s="12"/>
      <c r="T1325" s="11">
        <v>76370.0</v>
      </c>
      <c r="U1325" s="11">
        <v>58020.0</v>
      </c>
      <c r="V1325" s="11">
        <v>46550.0</v>
      </c>
      <c r="W1325" s="11">
        <v>15660.0</v>
      </c>
      <c r="X1325" s="12"/>
      <c r="Y1325" s="11">
        <v>-115770.0</v>
      </c>
      <c r="Z1325" s="11">
        <v>-104230.0</v>
      </c>
      <c r="AA1325" s="11">
        <v>-79250.0</v>
      </c>
      <c r="AB1325" s="12"/>
      <c r="AC1325" s="12"/>
      <c r="AD1325" s="11">
        <v>-113780.0</v>
      </c>
      <c r="AE1325" s="11">
        <v>-102960.0</v>
      </c>
      <c r="AF1325" s="11">
        <v>-78920.0</v>
      </c>
      <c r="AG1325" s="11">
        <v>-26700.0</v>
      </c>
      <c r="AH1325" s="12"/>
      <c r="AI1325" s="11">
        <v>-92470.0</v>
      </c>
      <c r="AJ1325" s="11">
        <v>-76370.0</v>
      </c>
      <c r="AK1325" s="11">
        <v>-59280.0</v>
      </c>
      <c r="AL1325" s="11">
        <v>-26070.0</v>
      </c>
      <c r="AM1325" s="12"/>
      <c r="AN1325" s="11">
        <v>-113290.0</v>
      </c>
      <c r="AO1325" s="11">
        <v>-97400.0</v>
      </c>
      <c r="AP1325" s="11">
        <v>-66440.0</v>
      </c>
      <c r="AQ1325" s="11">
        <v>-26700.0</v>
      </c>
      <c r="AR1325" s="12"/>
      <c r="AS1325" s="11">
        <v>-81790.0</v>
      </c>
      <c r="AT1325" s="11">
        <v>-22130.0</v>
      </c>
      <c r="AU1325" s="11">
        <v>-50790.0</v>
      </c>
      <c r="AV1325" s="11">
        <v>-23720.0</v>
      </c>
      <c r="AW1325" s="12"/>
      <c r="AX1325" s="11">
        <v>-3540.0</v>
      </c>
      <c r="AY1325" s="11">
        <v>-6580.0</v>
      </c>
      <c r="AZ1325" s="11">
        <v>-2770.0</v>
      </c>
      <c r="BA1325" s="11">
        <v>-862.0</v>
      </c>
      <c r="BB1325" s="12"/>
      <c r="BC1325" s="12"/>
      <c r="BD1325" s="12"/>
      <c r="BE1325" s="12"/>
      <c r="BF1325" s="12"/>
      <c r="BG1325" s="12"/>
      <c r="BH1325" s="11">
        <v>189630.0</v>
      </c>
      <c r="BI1325" s="11">
        <v>145130.0</v>
      </c>
      <c r="BJ1325" s="11">
        <v>60020.0</v>
      </c>
      <c r="BK1325" s="11">
        <v>71750.0</v>
      </c>
      <c r="BL1325" s="12"/>
      <c r="BM1325" s="11">
        <v>5500.0</v>
      </c>
      <c r="BN1325" s="11">
        <v>800.0</v>
      </c>
      <c r="BO1325" s="12"/>
      <c r="BP1325" s="12"/>
      <c r="BQ1325" s="12"/>
      <c r="BR1325" s="12"/>
      <c r="BS1325" s="12"/>
      <c r="BT1325" s="12"/>
      <c r="BU1325" s="12"/>
      <c r="BV1325" s="12"/>
      <c r="BW1325" s="11">
        <v>203620.0</v>
      </c>
      <c r="BX1325" s="11">
        <v>149600.0</v>
      </c>
      <c r="BY1325" s="11">
        <v>63040.0</v>
      </c>
      <c r="BZ1325" s="11">
        <v>72440.0</v>
      </c>
      <c r="CA1325" s="12"/>
      <c r="CB1325" s="11">
        <v>22940.0</v>
      </c>
      <c r="CC1325" s="11">
        <v>10250.0</v>
      </c>
      <c r="CD1325" s="11">
        <v>6780.0</v>
      </c>
      <c r="CE1325" s="11">
        <v>4860.0</v>
      </c>
      <c r="CF1325" s="12"/>
      <c r="CG1325" s="11">
        <v>21360.0</v>
      </c>
      <c r="CH1325" s="11">
        <v>21360.0</v>
      </c>
      <c r="CI1325" s="11">
        <v>21360.0</v>
      </c>
      <c r="CJ1325" s="11">
        <v>21360.0</v>
      </c>
      <c r="CK1325" s="12"/>
      <c r="CL1325" s="11">
        <v>336200.0</v>
      </c>
      <c r="CM1325" s="11">
        <v>287650.0</v>
      </c>
      <c r="CN1325" s="11">
        <v>198550.0</v>
      </c>
      <c r="CO1325" s="11">
        <v>205560.0</v>
      </c>
      <c r="CP1325" s="12"/>
      <c r="CQ1325" s="11">
        <v>15970.0</v>
      </c>
      <c r="CR1325" s="11">
        <v>5170.0</v>
      </c>
      <c r="CS1325" s="11">
        <v>4590.0</v>
      </c>
      <c r="CT1325" s="11">
        <v>462.0</v>
      </c>
      <c r="CU1325" s="12"/>
      <c r="CV1325" s="11">
        <v>41670.0</v>
      </c>
      <c r="CW1325" s="11">
        <v>530.0</v>
      </c>
      <c r="CX1325" s="12"/>
      <c r="CY1325" s="12"/>
      <c r="CZ1325" s="12"/>
      <c r="DA1325" s="12"/>
      <c r="DB1325" s="11">
        <v>41670.0</v>
      </c>
      <c r="DC1325" s="11">
        <v>14290.0</v>
      </c>
      <c r="DD1325" s="11">
        <v>12090.0</v>
      </c>
      <c r="DE1325" s="11">
        <v>12010.0</v>
      </c>
      <c r="DF1325" s="11">
        <v>182670.0</v>
      </c>
      <c r="DG1325" s="11">
        <v>162360.0</v>
      </c>
      <c r="DH1325" s="11">
        <v>99170.0</v>
      </c>
      <c r="DI1325" s="11">
        <v>93880.0</v>
      </c>
      <c r="DJ1325" s="12"/>
      <c r="DK1325" s="12"/>
      <c r="DL1325" s="12"/>
      <c r="DM1325" s="12"/>
      <c r="DN1325" s="12"/>
      <c r="DO1325" s="12"/>
      <c r="DP1325" s="11">
        <v>12080.0</v>
      </c>
      <c r="DQ1325" s="12"/>
      <c r="DR1325" s="12"/>
      <c r="DS1325" s="12"/>
      <c r="DT1325" s="12"/>
      <c r="DU1325" s="13"/>
      <c r="DV1325" s="12"/>
      <c r="DW1325" s="11">
        <v>192900.0</v>
      </c>
      <c r="DX1325" s="11">
        <v>150280.0</v>
      </c>
      <c r="DY1325" s="13"/>
      <c r="DZ1325" s="11">
        <v>153540.0</v>
      </c>
      <c r="EA1325" s="11">
        <v>125300.0</v>
      </c>
      <c r="EB1325" s="11">
        <v>99380.0</v>
      </c>
      <c r="EC1325" s="11">
        <v>111690.0</v>
      </c>
      <c r="ED1325" s="12"/>
      <c r="EE1325" s="14">
        <v>3.343</v>
      </c>
      <c r="EF1325" s="14">
        <v>0.986</v>
      </c>
      <c r="EG1325" s="14">
        <v>-0.349</v>
      </c>
      <c r="EH1325" s="14">
        <v>0.024</v>
      </c>
    </row>
    <row r="1326">
      <c r="A1326" s="9">
        <f t="shared" si="2"/>
        <v>1324</v>
      </c>
      <c r="B1326" s="22" t="s">
        <v>1461</v>
      </c>
      <c r="C1326" s="11">
        <v>141280.0</v>
      </c>
      <c r="D1326" s="11">
        <v>86420.0</v>
      </c>
      <c r="E1326" s="11">
        <v>73410.0</v>
      </c>
      <c r="F1326" s="11">
        <v>60370.0</v>
      </c>
      <c r="G1326" s="11">
        <v>15390.0</v>
      </c>
      <c r="H1326" s="11">
        <v>48650.0</v>
      </c>
      <c r="I1326" s="11">
        <v>42130.0</v>
      </c>
      <c r="J1326" s="12"/>
      <c r="K1326" s="11">
        <v>56490.0</v>
      </c>
      <c r="L1326" s="11">
        <v>9360.0</v>
      </c>
      <c r="M1326" s="11">
        <v>44190.0</v>
      </c>
      <c r="N1326" s="11">
        <v>37470.0</v>
      </c>
      <c r="O1326" s="11">
        <v>318810.0</v>
      </c>
      <c r="P1326" s="11">
        <v>295240.0</v>
      </c>
      <c r="Q1326" s="11">
        <v>269480.0</v>
      </c>
      <c r="R1326" s="11">
        <v>224660.0</v>
      </c>
      <c r="S1326" s="11">
        <v>219370.0</v>
      </c>
      <c r="T1326" s="11">
        <v>215950.0</v>
      </c>
      <c r="U1326" s="11">
        <v>201350.0</v>
      </c>
      <c r="V1326" s="11">
        <v>173890.0</v>
      </c>
      <c r="W1326" s="11">
        <v>141710.0</v>
      </c>
      <c r="X1326" s="11">
        <v>129170.0</v>
      </c>
      <c r="Y1326" s="12"/>
      <c r="Z1326" s="12"/>
      <c r="AA1326" s="11">
        <v>-268120.0</v>
      </c>
      <c r="AB1326" s="12"/>
      <c r="AC1326" s="12"/>
      <c r="AD1326" s="11">
        <v>-241680.0</v>
      </c>
      <c r="AE1326" s="11">
        <v>-226090.0</v>
      </c>
      <c r="AF1326" s="11">
        <v>-271710.0</v>
      </c>
      <c r="AG1326" s="11">
        <v>-180560.0</v>
      </c>
      <c r="AH1326" s="11">
        <v>-181270.0</v>
      </c>
      <c r="AI1326" s="11">
        <v>-245390.0</v>
      </c>
      <c r="AJ1326" s="11">
        <v>-235590.0</v>
      </c>
      <c r="AK1326" s="11">
        <v>-256100.0</v>
      </c>
      <c r="AL1326" s="11">
        <v>-177350.0</v>
      </c>
      <c r="AM1326" s="11">
        <v>-179400.0</v>
      </c>
      <c r="AN1326" s="11">
        <v>-236460.0</v>
      </c>
      <c r="AO1326" s="11">
        <v>-215520.0</v>
      </c>
      <c r="AP1326" s="11">
        <v>-285410.0</v>
      </c>
      <c r="AQ1326" s="11">
        <v>-190670.0</v>
      </c>
      <c r="AR1326" s="11">
        <v>-182220.0</v>
      </c>
      <c r="AS1326" s="11">
        <v>-235880.0</v>
      </c>
      <c r="AT1326" s="11">
        <v>-112870.0</v>
      </c>
      <c r="AU1326" s="11">
        <v>-201050.0</v>
      </c>
      <c r="AV1326" s="11">
        <v>-98990.0</v>
      </c>
      <c r="AW1326" s="11">
        <v>-168860.0</v>
      </c>
      <c r="AX1326" s="11">
        <v>-3180.0</v>
      </c>
      <c r="AY1326" s="11">
        <v>-7240.0</v>
      </c>
      <c r="AZ1326" s="11">
        <v>-2410.0</v>
      </c>
      <c r="BA1326" s="11">
        <v>-2140.0</v>
      </c>
      <c r="BB1326" s="11">
        <v>-2650.0</v>
      </c>
      <c r="BC1326" s="12"/>
      <c r="BD1326" s="12"/>
      <c r="BE1326" s="12"/>
      <c r="BF1326" s="12"/>
      <c r="BG1326" s="12"/>
      <c r="BH1326" s="11">
        <v>280830.0</v>
      </c>
      <c r="BI1326" s="11">
        <v>505280.0</v>
      </c>
      <c r="BJ1326" s="11">
        <v>348570.0</v>
      </c>
      <c r="BK1326" s="11">
        <v>501100.0</v>
      </c>
      <c r="BL1326" s="11">
        <v>172430.0</v>
      </c>
      <c r="BM1326" s="11">
        <v>50570.0</v>
      </c>
      <c r="BN1326" s="11">
        <v>10670.0</v>
      </c>
      <c r="BO1326" s="11">
        <v>9360.0</v>
      </c>
      <c r="BP1326" s="11">
        <v>9720.0</v>
      </c>
      <c r="BQ1326" s="11">
        <v>37150.0</v>
      </c>
      <c r="BR1326" s="12"/>
      <c r="BS1326" s="12"/>
      <c r="BT1326" s="11">
        <v>16830.0</v>
      </c>
      <c r="BU1326" s="11">
        <v>12220.0</v>
      </c>
      <c r="BV1326" s="11">
        <v>10010.0</v>
      </c>
      <c r="BW1326" s="11">
        <v>338490.0</v>
      </c>
      <c r="BX1326" s="11">
        <v>532820.0</v>
      </c>
      <c r="BY1326" s="11">
        <v>378750.0</v>
      </c>
      <c r="BZ1326" s="11">
        <v>528500.0</v>
      </c>
      <c r="CA1326" s="11">
        <v>237470.0</v>
      </c>
      <c r="CB1326" s="11">
        <v>59250.0</v>
      </c>
      <c r="CC1326" s="11">
        <v>13180.0</v>
      </c>
      <c r="CD1326" s="11">
        <v>10160.0</v>
      </c>
      <c r="CE1326" s="11">
        <v>8460.0</v>
      </c>
      <c r="CF1326" s="11">
        <v>9870.0</v>
      </c>
      <c r="CG1326" s="12"/>
      <c r="CH1326" s="12"/>
      <c r="CI1326" s="12"/>
      <c r="CJ1326" s="12"/>
      <c r="CK1326" s="12"/>
      <c r="CL1326" s="11">
        <v>408830.0</v>
      </c>
      <c r="CM1326" s="11">
        <v>560240.0</v>
      </c>
      <c r="CN1326" s="11">
        <v>441400.0</v>
      </c>
      <c r="CO1326" s="11">
        <v>639250.0</v>
      </c>
      <c r="CP1326" s="11">
        <v>300120.0</v>
      </c>
      <c r="CQ1326" s="11">
        <v>4760.0</v>
      </c>
      <c r="CR1326" s="11">
        <v>9030.0</v>
      </c>
      <c r="CS1326" s="11">
        <v>5920.0</v>
      </c>
      <c r="CT1326" s="11">
        <v>1730.0</v>
      </c>
      <c r="CU1326" s="11">
        <v>18800.0</v>
      </c>
      <c r="CV1326" s="11">
        <v>111700.0</v>
      </c>
      <c r="CW1326" s="11">
        <v>7760.0</v>
      </c>
      <c r="CX1326" s="12"/>
      <c r="CY1326" s="12"/>
      <c r="CZ1326" s="12"/>
      <c r="DA1326" s="12"/>
      <c r="DB1326" s="11">
        <v>111700.0</v>
      </c>
      <c r="DC1326" s="11">
        <v>98550.0</v>
      </c>
      <c r="DD1326" s="11">
        <v>62550.0</v>
      </c>
      <c r="DE1326" s="11">
        <v>49270.0</v>
      </c>
      <c r="DF1326" s="11">
        <v>632670.0</v>
      </c>
      <c r="DG1326" s="11">
        <v>611820.0</v>
      </c>
      <c r="DH1326" s="11">
        <v>326220.0</v>
      </c>
      <c r="DI1326" s="11">
        <v>289020.0</v>
      </c>
      <c r="DJ1326" s="11">
        <v>57050.0</v>
      </c>
      <c r="DK1326" s="11">
        <v>5820.0</v>
      </c>
      <c r="DL1326" s="11">
        <v>12700.0</v>
      </c>
      <c r="DM1326" s="11">
        <v>42420.0</v>
      </c>
      <c r="DN1326" s="11">
        <v>100400.0</v>
      </c>
      <c r="DO1326" s="11">
        <v>51690.0</v>
      </c>
      <c r="DP1326" s="11">
        <v>492920.0</v>
      </c>
      <c r="DQ1326" s="11">
        <v>454350.0</v>
      </c>
      <c r="DR1326" s="11">
        <v>223750.0</v>
      </c>
      <c r="DS1326" s="11">
        <v>222680.0</v>
      </c>
      <c r="DT1326" s="12"/>
      <c r="DU1326" s="13"/>
      <c r="DV1326" s="12"/>
      <c r="DW1326" s="12"/>
      <c r="DX1326" s="13"/>
      <c r="DY1326" s="13"/>
      <c r="DZ1326" s="11">
        <v>-223840.0</v>
      </c>
      <c r="EA1326" s="11">
        <v>-51590.0</v>
      </c>
      <c r="EB1326" s="11">
        <v>115180.0</v>
      </c>
      <c r="EC1326" s="11">
        <v>350230.0</v>
      </c>
      <c r="ED1326" s="11">
        <v>243070.0</v>
      </c>
      <c r="EE1326" s="14">
        <v>0.717</v>
      </c>
      <c r="EF1326" s="14">
        <v>1.474</v>
      </c>
      <c r="EG1326" s="14">
        <v>-0.02</v>
      </c>
      <c r="EH1326" s="14">
        <v>-0.077</v>
      </c>
    </row>
    <row r="1327">
      <c r="A1327" s="9">
        <f t="shared" si="2"/>
        <v>1325</v>
      </c>
      <c r="B1327" s="22" t="s">
        <v>1462</v>
      </c>
      <c r="C1327" s="11">
        <v>26510.0</v>
      </c>
      <c r="D1327" s="12"/>
      <c r="E1327" s="12"/>
      <c r="F1327" s="12"/>
      <c r="G1327" s="12"/>
      <c r="H1327" s="12"/>
      <c r="I1327" s="12"/>
      <c r="J1327" s="11">
        <v>-1720.0</v>
      </c>
      <c r="K1327" s="11">
        <v>-618.0</v>
      </c>
      <c r="L1327" s="11">
        <v>-335.0</v>
      </c>
      <c r="M1327" s="11">
        <v>-424.0</v>
      </c>
      <c r="N1327" s="12"/>
      <c r="O1327" s="11">
        <v>177100.0</v>
      </c>
      <c r="P1327" s="11">
        <v>102980.0</v>
      </c>
      <c r="Q1327" s="11">
        <v>46790.0</v>
      </c>
      <c r="R1327" s="11">
        <v>26760.0</v>
      </c>
      <c r="S1327" s="12"/>
      <c r="T1327" s="11">
        <v>131310.0</v>
      </c>
      <c r="U1327" s="11">
        <v>85590.0</v>
      </c>
      <c r="V1327" s="11">
        <v>35910.0</v>
      </c>
      <c r="W1327" s="11">
        <v>21820.0</v>
      </c>
      <c r="X1327" s="12"/>
      <c r="Y1327" s="11">
        <v>-179640.0</v>
      </c>
      <c r="Z1327" s="12"/>
      <c r="AA1327" s="11">
        <v>-41470.0</v>
      </c>
      <c r="AB1327" s="11">
        <v>-28750.0</v>
      </c>
      <c r="AC1327" s="12"/>
      <c r="AD1327" s="11">
        <v>-176910.0</v>
      </c>
      <c r="AE1327" s="11">
        <v>-102810.0</v>
      </c>
      <c r="AF1327" s="11">
        <v>-41290.0</v>
      </c>
      <c r="AG1327" s="11">
        <v>-28650.0</v>
      </c>
      <c r="AH1327" s="12"/>
      <c r="AI1327" s="11">
        <v>-177100.0</v>
      </c>
      <c r="AJ1327" s="11">
        <v>-102980.0</v>
      </c>
      <c r="AK1327" s="11">
        <v>-46790.0</v>
      </c>
      <c r="AL1327" s="11">
        <v>-26760.0</v>
      </c>
      <c r="AM1327" s="12"/>
      <c r="AN1327" s="11">
        <v>-176810.0</v>
      </c>
      <c r="AO1327" s="11">
        <v>-102810.0</v>
      </c>
      <c r="AP1327" s="11">
        <v>-41290.0</v>
      </c>
      <c r="AQ1327" s="11">
        <v>-28650.0</v>
      </c>
      <c r="AR1327" s="12"/>
      <c r="AS1327" s="11">
        <v>-128880.0</v>
      </c>
      <c r="AT1327" s="11">
        <v>-94860.0</v>
      </c>
      <c r="AU1327" s="11">
        <v>-40400.0</v>
      </c>
      <c r="AV1327" s="11">
        <v>-23120.0</v>
      </c>
      <c r="AW1327" s="12"/>
      <c r="AX1327" s="11">
        <v>-1420.0</v>
      </c>
      <c r="AY1327" s="11">
        <v>-855.0</v>
      </c>
      <c r="AZ1327" s="11">
        <v>-1000.0</v>
      </c>
      <c r="BA1327" s="11">
        <v>-249.0</v>
      </c>
      <c r="BB1327" s="12"/>
      <c r="BC1327" s="12"/>
      <c r="BD1327" s="12"/>
      <c r="BE1327" s="12"/>
      <c r="BF1327" s="12"/>
      <c r="BG1327" s="12"/>
      <c r="BH1327" s="11">
        <v>308000.0</v>
      </c>
      <c r="BI1327" s="11">
        <v>241080.0</v>
      </c>
      <c r="BJ1327" s="11">
        <v>67510.0</v>
      </c>
      <c r="BK1327" s="11">
        <v>26450.0</v>
      </c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1">
        <v>312740.0</v>
      </c>
      <c r="BX1327" s="11">
        <v>244350.0</v>
      </c>
      <c r="BY1327" s="11">
        <v>69420.0</v>
      </c>
      <c r="BZ1327" s="11">
        <v>27200.0</v>
      </c>
      <c r="CA1327" s="12"/>
      <c r="CB1327" s="11">
        <v>12100.0</v>
      </c>
      <c r="CC1327" s="11">
        <v>1220.0</v>
      </c>
      <c r="CD1327" s="11">
        <v>1150.0</v>
      </c>
      <c r="CE1327" s="11">
        <v>481.0</v>
      </c>
      <c r="CF1327" s="12"/>
      <c r="CG1327" s="12"/>
      <c r="CH1327" s="12"/>
      <c r="CI1327" s="12"/>
      <c r="CJ1327" s="12"/>
      <c r="CK1327" s="12"/>
      <c r="CL1327" s="11">
        <v>371830.0</v>
      </c>
      <c r="CM1327" s="11">
        <v>247850.0</v>
      </c>
      <c r="CN1327" s="11">
        <v>70570.0</v>
      </c>
      <c r="CO1327" s="11">
        <v>27680.0</v>
      </c>
      <c r="CP1327" s="12"/>
      <c r="CQ1327" s="11">
        <v>5910.0</v>
      </c>
      <c r="CR1327" s="11">
        <v>8460.0</v>
      </c>
      <c r="CS1327" s="11">
        <v>3860.0</v>
      </c>
      <c r="CT1327" s="11">
        <v>2100.0</v>
      </c>
      <c r="CU1327" s="12"/>
      <c r="CV1327" s="11">
        <v>39760.0</v>
      </c>
      <c r="CW1327" s="11">
        <v>1070.0</v>
      </c>
      <c r="CX1327" s="12"/>
      <c r="CY1327" s="12"/>
      <c r="CZ1327" s="11">
        <v>3370.0</v>
      </c>
      <c r="DA1327" s="12"/>
      <c r="DB1327" s="11">
        <v>39760.0</v>
      </c>
      <c r="DC1327" s="11">
        <v>14800.0</v>
      </c>
      <c r="DD1327" s="11">
        <v>11220.0</v>
      </c>
      <c r="DE1327" s="11">
        <v>8240.0</v>
      </c>
      <c r="DF1327" s="11">
        <v>107940.0</v>
      </c>
      <c r="DG1327" s="11">
        <v>53320.0</v>
      </c>
      <c r="DH1327" s="11">
        <v>11550.0</v>
      </c>
      <c r="DI1327" s="11">
        <v>8430.0</v>
      </c>
      <c r="DJ1327" s="12"/>
      <c r="DK1327" s="11">
        <v>46980.0</v>
      </c>
      <c r="DL1327" s="11">
        <v>2290.0</v>
      </c>
      <c r="DM1327" s="12"/>
      <c r="DN1327" s="12"/>
      <c r="DO1327" s="12"/>
      <c r="DP1327" s="11">
        <v>67160.0</v>
      </c>
      <c r="DQ1327" s="11">
        <v>38070.0</v>
      </c>
      <c r="DR1327" s="12"/>
      <c r="DS1327" s="12"/>
      <c r="DT1327" s="12"/>
      <c r="DU1327" s="13"/>
      <c r="DV1327" s="12"/>
      <c r="DW1327" s="11">
        <v>147070.0</v>
      </c>
      <c r="DX1327" s="11">
        <v>66880.0</v>
      </c>
      <c r="DY1327" s="13"/>
      <c r="DZ1327" s="11">
        <v>263880.0</v>
      </c>
      <c r="EA1327" s="11">
        <v>194530.0</v>
      </c>
      <c r="EB1327" s="11">
        <v>59030.0</v>
      </c>
      <c r="EC1327" s="11">
        <v>19260.0</v>
      </c>
      <c r="ED1327" s="12"/>
      <c r="EE1327" s="23"/>
      <c r="EF1327" s="14">
        <v>1.697</v>
      </c>
      <c r="EG1327" s="14">
        <v>0.205</v>
      </c>
      <c r="EH1327" s="14">
        <v>0.044</v>
      </c>
    </row>
    <row r="1328">
      <c r="A1328" s="9">
        <f t="shared" si="2"/>
        <v>1326</v>
      </c>
      <c r="B1328" s="22" t="s">
        <v>1463</v>
      </c>
      <c r="C1328" s="12"/>
      <c r="D1328" s="12"/>
      <c r="E1328" s="12"/>
      <c r="F1328" s="12"/>
      <c r="G1328" s="12"/>
      <c r="H1328" s="12"/>
      <c r="I1328" s="12"/>
      <c r="J1328" s="11">
        <v>-862.0</v>
      </c>
      <c r="K1328" s="11">
        <v>-419.0</v>
      </c>
      <c r="L1328" s="11">
        <v>-298.0</v>
      </c>
      <c r="M1328" s="11">
        <v>-220.0</v>
      </c>
      <c r="N1328" s="12"/>
      <c r="O1328" s="11">
        <v>50520.0</v>
      </c>
      <c r="P1328" s="11">
        <v>26030.0</v>
      </c>
      <c r="Q1328" s="11">
        <v>12880.0</v>
      </c>
      <c r="R1328" s="11">
        <v>9710.0</v>
      </c>
      <c r="S1328" s="12"/>
      <c r="T1328" s="11">
        <v>36630.0</v>
      </c>
      <c r="U1328" s="11">
        <v>19250.0</v>
      </c>
      <c r="V1328" s="11">
        <v>9570.0</v>
      </c>
      <c r="W1328" s="11">
        <v>7670.0</v>
      </c>
      <c r="X1328" s="12"/>
      <c r="Y1328" s="12"/>
      <c r="Z1328" s="12"/>
      <c r="AA1328" s="12"/>
      <c r="AB1328" s="12"/>
      <c r="AC1328" s="12"/>
      <c r="AD1328" s="11">
        <v>-47500.0</v>
      </c>
      <c r="AE1328" s="11">
        <v>-24250.0</v>
      </c>
      <c r="AF1328" s="11">
        <v>-13070.0</v>
      </c>
      <c r="AG1328" s="11">
        <v>-9920.0</v>
      </c>
      <c r="AH1328" s="12"/>
      <c r="AI1328" s="11">
        <v>-50520.0</v>
      </c>
      <c r="AJ1328" s="11">
        <v>-26030.0</v>
      </c>
      <c r="AK1328" s="11">
        <v>-12880.0</v>
      </c>
      <c r="AL1328" s="11">
        <v>-9710.0</v>
      </c>
      <c r="AM1328" s="12"/>
      <c r="AN1328" s="11">
        <v>-47600.0</v>
      </c>
      <c r="AO1328" s="11">
        <v>-24250.0</v>
      </c>
      <c r="AP1328" s="11">
        <v>-13070.0</v>
      </c>
      <c r="AQ1328" s="11">
        <v>-9920.0</v>
      </c>
      <c r="AR1328" s="12"/>
      <c r="AS1328" s="11">
        <v>-41360.0</v>
      </c>
      <c r="AT1328" s="11">
        <v>-18780.0</v>
      </c>
      <c r="AU1328" s="11">
        <v>-12040.0</v>
      </c>
      <c r="AV1328" s="11">
        <v>-9380.0</v>
      </c>
      <c r="AW1328" s="12"/>
      <c r="AX1328" s="11">
        <v>-3880.0</v>
      </c>
      <c r="AY1328" s="11">
        <v>-1020.0</v>
      </c>
      <c r="AZ1328" s="11">
        <v>-388.0</v>
      </c>
      <c r="BA1328" s="11">
        <v>-869.0</v>
      </c>
      <c r="BB1328" s="12"/>
      <c r="BC1328" s="12"/>
      <c r="BD1328" s="12"/>
      <c r="BE1328" s="12"/>
      <c r="BF1328" s="12"/>
      <c r="BG1328" s="12"/>
      <c r="BH1328" s="11">
        <v>158120.0</v>
      </c>
      <c r="BI1328" s="11">
        <v>123170.0</v>
      </c>
      <c r="BJ1328" s="11">
        <v>19810.0</v>
      </c>
      <c r="BK1328" s="11">
        <v>16340.0</v>
      </c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1">
        <v>163190.0</v>
      </c>
      <c r="BX1328" s="11">
        <v>125490.0</v>
      </c>
      <c r="BY1328" s="11">
        <v>20700.0</v>
      </c>
      <c r="BZ1328" s="11">
        <v>17320.0</v>
      </c>
      <c r="CA1328" s="12"/>
      <c r="CB1328" s="11">
        <v>4930.0</v>
      </c>
      <c r="CC1328" s="11">
        <v>1640.0</v>
      </c>
      <c r="CD1328" s="11">
        <v>1030.0</v>
      </c>
      <c r="CE1328" s="11">
        <v>936.0</v>
      </c>
      <c r="CF1328" s="12"/>
      <c r="CG1328" s="12"/>
      <c r="CH1328" s="12"/>
      <c r="CI1328" s="12"/>
      <c r="CJ1328" s="12"/>
      <c r="CK1328" s="12"/>
      <c r="CL1328" s="11">
        <v>168530.0</v>
      </c>
      <c r="CM1328" s="11">
        <v>129430.0</v>
      </c>
      <c r="CN1328" s="11">
        <v>22040.0</v>
      </c>
      <c r="CO1328" s="11">
        <v>18250.0</v>
      </c>
      <c r="CP1328" s="12"/>
      <c r="CQ1328" s="11">
        <v>2480.0</v>
      </c>
      <c r="CR1328" s="11">
        <v>2660.0</v>
      </c>
      <c r="CS1328" s="11">
        <v>427.0</v>
      </c>
      <c r="CT1328" s="11">
        <v>508.0</v>
      </c>
      <c r="CU1328" s="12"/>
      <c r="CV1328" s="11">
        <v>7530.0</v>
      </c>
      <c r="CW1328" s="12"/>
      <c r="CX1328" s="12"/>
      <c r="CY1328" s="12"/>
      <c r="CZ1328" s="12"/>
      <c r="DA1328" s="12"/>
      <c r="DB1328" s="11">
        <v>7530.0</v>
      </c>
      <c r="DC1328" s="11">
        <v>5470.0</v>
      </c>
      <c r="DD1328" s="11">
        <v>1230.0</v>
      </c>
      <c r="DE1328" s="11">
        <v>966.0</v>
      </c>
      <c r="DF1328" s="11">
        <v>8080.0</v>
      </c>
      <c r="DG1328" s="11">
        <v>5900.0</v>
      </c>
      <c r="DH1328" s="11">
        <v>1260.0</v>
      </c>
      <c r="DI1328" s="11">
        <v>966.0</v>
      </c>
      <c r="DJ1328" s="12"/>
      <c r="DK1328" s="11">
        <v>417.0</v>
      </c>
      <c r="DL1328" s="11">
        <v>290.0</v>
      </c>
      <c r="DM1328" s="11">
        <v>290.0</v>
      </c>
      <c r="DN1328" s="12"/>
      <c r="DO1328" s="12"/>
      <c r="DP1328" s="12"/>
      <c r="DQ1328" s="12"/>
      <c r="DR1328" s="12"/>
      <c r="DS1328" s="12"/>
      <c r="DT1328" s="12"/>
      <c r="DU1328" s="13"/>
      <c r="DV1328" s="11">
        <v>209230.0</v>
      </c>
      <c r="DW1328" s="11">
        <v>47100.0</v>
      </c>
      <c r="DX1328" s="11">
        <v>29170.0</v>
      </c>
      <c r="DY1328" s="13"/>
      <c r="DZ1328" s="11">
        <v>160450.0</v>
      </c>
      <c r="EA1328" s="11">
        <v>123530.0</v>
      </c>
      <c r="EB1328" s="11">
        <v>20780.0</v>
      </c>
      <c r="EC1328" s="11">
        <v>17290.0</v>
      </c>
      <c r="ED1328" s="12"/>
      <c r="EE1328" s="23"/>
      <c r="EF1328" s="23"/>
      <c r="EG1328" s="14">
        <v>-0.031</v>
      </c>
      <c r="EH1328" s="14">
        <v>0.006</v>
      </c>
    </row>
    <row r="1329">
      <c r="A1329" s="9">
        <f t="shared" si="2"/>
        <v>1327</v>
      </c>
      <c r="B1329" s="10" t="s">
        <v>1464</v>
      </c>
      <c r="C1329" s="15">
        <v>908380.0</v>
      </c>
      <c r="D1329" s="15">
        <v>840950.0</v>
      </c>
      <c r="E1329" s="15">
        <v>915950.0</v>
      </c>
      <c r="F1329" s="15">
        <v>895090.0</v>
      </c>
      <c r="G1329" s="15">
        <v>857230.0</v>
      </c>
      <c r="H1329" s="15">
        <v>819930.0</v>
      </c>
      <c r="I1329" s="15">
        <v>794630.0</v>
      </c>
      <c r="J1329" s="15">
        <v>493340.0</v>
      </c>
      <c r="K1329" s="15">
        <v>486050.0</v>
      </c>
      <c r="L1329" s="15">
        <v>460290.0</v>
      </c>
      <c r="M1329" s="15">
        <v>438540.0</v>
      </c>
      <c r="N1329" s="15">
        <v>430220.0</v>
      </c>
      <c r="O1329" s="15">
        <v>443640.0</v>
      </c>
      <c r="P1329" s="15">
        <v>428840.0</v>
      </c>
      <c r="Q1329" s="15">
        <v>414160.0</v>
      </c>
      <c r="R1329" s="15">
        <v>397250.0</v>
      </c>
      <c r="S1329" s="15">
        <v>404400.0</v>
      </c>
      <c r="T1329" s="12"/>
      <c r="U1329" s="12"/>
      <c r="V1329" s="12"/>
      <c r="W1329" s="12"/>
      <c r="X1329" s="12"/>
      <c r="Y1329" s="12"/>
      <c r="Z1329" s="15">
        <v>49940.0</v>
      </c>
      <c r="AA1329" s="15">
        <v>37840.0</v>
      </c>
      <c r="AB1329" s="15">
        <v>40350.0</v>
      </c>
      <c r="AC1329" s="12"/>
      <c r="AD1329" s="15">
        <v>21200.0</v>
      </c>
      <c r="AE1329" s="15">
        <v>21960.0</v>
      </c>
      <c r="AF1329" s="15">
        <v>6710.0</v>
      </c>
      <c r="AG1329" s="15">
        <v>24360.0</v>
      </c>
      <c r="AH1329" s="15">
        <v>8050.0</v>
      </c>
      <c r="AI1329" s="15">
        <v>87960.0</v>
      </c>
      <c r="AJ1329" s="15">
        <v>93510.0</v>
      </c>
      <c r="AK1329" s="15">
        <v>84050.0</v>
      </c>
      <c r="AL1329" s="15">
        <v>77360.0</v>
      </c>
      <c r="AM1329" s="15">
        <v>60050.0</v>
      </c>
      <c r="AN1329" s="15">
        <v>14490.0</v>
      </c>
      <c r="AO1329" s="15">
        <v>21680.0</v>
      </c>
      <c r="AP1329" s="15">
        <v>19430.0</v>
      </c>
      <c r="AQ1329" s="15">
        <v>14950.0</v>
      </c>
      <c r="AR1329" s="15">
        <v>5140.0</v>
      </c>
      <c r="AS1329" s="15">
        <v>30750.0</v>
      </c>
      <c r="AT1329" s="15">
        <v>54900.0</v>
      </c>
      <c r="AU1329" s="15">
        <v>62180.0</v>
      </c>
      <c r="AV1329" s="15">
        <v>44640.0</v>
      </c>
      <c r="AW1329" s="15">
        <v>42310.0</v>
      </c>
      <c r="AX1329" s="15">
        <v>-33620.0</v>
      </c>
      <c r="AY1329" s="15">
        <v>-33670.0</v>
      </c>
      <c r="AZ1329" s="15">
        <v>-27650.0</v>
      </c>
      <c r="BA1329" s="15">
        <v>-28520.0</v>
      </c>
      <c r="BB1329" s="15">
        <v>-46430.0</v>
      </c>
      <c r="BC1329" s="12"/>
      <c r="BD1329" s="12"/>
      <c r="BE1329" s="12"/>
      <c r="BF1329" s="12"/>
      <c r="BG1329" s="12"/>
      <c r="BH1329" s="15">
        <v>67760.0</v>
      </c>
      <c r="BI1329" s="15">
        <v>7360.0</v>
      </c>
      <c r="BJ1329" s="15">
        <v>8400.0</v>
      </c>
      <c r="BK1329" s="15">
        <v>10740.0</v>
      </c>
      <c r="BL1329" s="15">
        <v>13610.0</v>
      </c>
      <c r="BM1329" s="15">
        <v>29450.0</v>
      </c>
      <c r="BN1329" s="15">
        <v>26570.0</v>
      </c>
      <c r="BO1329" s="15">
        <v>25540.0</v>
      </c>
      <c r="BP1329" s="15">
        <v>27490.0</v>
      </c>
      <c r="BQ1329" s="15">
        <v>29000.0</v>
      </c>
      <c r="BR1329" s="15">
        <v>124210.0</v>
      </c>
      <c r="BS1329" s="15">
        <v>108650.0</v>
      </c>
      <c r="BT1329" s="15">
        <v>97360.0</v>
      </c>
      <c r="BU1329" s="15">
        <v>103120.0</v>
      </c>
      <c r="BV1329" s="15">
        <v>86440.0</v>
      </c>
      <c r="BW1329" s="15">
        <v>242170.0</v>
      </c>
      <c r="BX1329" s="15">
        <v>164370.0</v>
      </c>
      <c r="BY1329" s="15">
        <v>154190.0</v>
      </c>
      <c r="BZ1329" s="15">
        <v>162690.0</v>
      </c>
      <c r="CA1329" s="15">
        <v>146430.0</v>
      </c>
      <c r="CB1329" s="15">
        <v>494710.0</v>
      </c>
      <c r="CC1329" s="15">
        <v>152590.0</v>
      </c>
      <c r="CD1329" s="15">
        <v>158390.0</v>
      </c>
      <c r="CE1329" s="15">
        <v>165500.0</v>
      </c>
      <c r="CF1329" s="15">
        <v>176120.0</v>
      </c>
      <c r="CG1329" s="15">
        <v>202820.0</v>
      </c>
      <c r="CH1329" s="15">
        <v>202820.0</v>
      </c>
      <c r="CI1329" s="15">
        <v>202820.0</v>
      </c>
      <c r="CJ1329" s="15">
        <v>202820.0</v>
      </c>
      <c r="CK1329" s="15">
        <v>202820.0</v>
      </c>
      <c r="CL1329" s="15">
        <v>1170000.0</v>
      </c>
      <c r="CM1329" s="15">
        <v>748740.0</v>
      </c>
      <c r="CN1329" s="15">
        <v>749370.0</v>
      </c>
      <c r="CO1329" s="15">
        <v>761830.0</v>
      </c>
      <c r="CP1329" s="15">
        <v>758120.0</v>
      </c>
      <c r="CQ1329" s="15">
        <v>53650.0</v>
      </c>
      <c r="CR1329" s="15">
        <v>58730.0</v>
      </c>
      <c r="CS1329" s="15">
        <v>43690.0</v>
      </c>
      <c r="CT1329" s="15">
        <v>44760.0</v>
      </c>
      <c r="CU1329" s="15">
        <v>40270.0</v>
      </c>
      <c r="CV1329" s="15">
        <v>198170.0</v>
      </c>
      <c r="CW1329" s="15">
        <v>71530.0</v>
      </c>
      <c r="CX1329" s="15">
        <v>5510.0</v>
      </c>
      <c r="CY1329" s="13"/>
      <c r="CZ1329" s="13"/>
      <c r="DA1329" s="12"/>
      <c r="DB1329" s="15">
        <v>198170.0</v>
      </c>
      <c r="DC1329" s="15">
        <v>141280.0</v>
      </c>
      <c r="DD1329" s="15">
        <v>126540.0</v>
      </c>
      <c r="DE1329" s="15">
        <v>113050.0</v>
      </c>
      <c r="DF1329" s="15">
        <v>895110.0</v>
      </c>
      <c r="DG1329" s="15">
        <v>484050.0</v>
      </c>
      <c r="DH1329" s="15">
        <v>500660.0</v>
      </c>
      <c r="DI1329" s="15">
        <v>540040.0</v>
      </c>
      <c r="DJ1329" s="15">
        <v>551050.0</v>
      </c>
      <c r="DK1329" s="12"/>
      <c r="DL1329" s="12"/>
      <c r="DM1329" s="12"/>
      <c r="DN1329" s="12"/>
      <c r="DO1329" s="12"/>
      <c r="DP1329" s="15">
        <v>634770.0</v>
      </c>
      <c r="DQ1329" s="15">
        <v>254960.0</v>
      </c>
      <c r="DR1329" s="15">
        <v>277390.0</v>
      </c>
      <c r="DS1329" s="15">
        <v>312030.0</v>
      </c>
      <c r="DT1329" s="15">
        <v>316140.0</v>
      </c>
      <c r="DU1329" s="13"/>
      <c r="DV1329" s="12"/>
      <c r="DW1329" s="12"/>
      <c r="DX1329" s="12"/>
      <c r="DY1329" s="12"/>
      <c r="DZ1329" s="15">
        <v>271710.0</v>
      </c>
      <c r="EA1329" s="15">
        <v>264690.0</v>
      </c>
      <c r="EB1329" s="15">
        <v>248710.0</v>
      </c>
      <c r="EC1329" s="15">
        <v>221790.0</v>
      </c>
      <c r="ED1329" s="15">
        <v>207070.0</v>
      </c>
      <c r="EE1329" s="17">
        <v>0.019</v>
      </c>
      <c r="EF1329" s="17">
        <v>0.004</v>
      </c>
      <c r="EG1329" s="17">
        <v>-0.28</v>
      </c>
      <c r="EH1329" s="17">
        <v>-0.138</v>
      </c>
    </row>
    <row r="1330">
      <c r="A1330" s="9">
        <f t="shared" si="2"/>
        <v>1328</v>
      </c>
      <c r="B1330" s="10" t="s">
        <v>1465</v>
      </c>
      <c r="C1330" s="11">
        <v>4810000.0</v>
      </c>
      <c r="D1330" s="11">
        <v>4990000.0</v>
      </c>
      <c r="E1330" s="11">
        <v>5220000.0</v>
      </c>
      <c r="F1330" s="11">
        <v>3810000.0</v>
      </c>
      <c r="G1330" s="11">
        <v>3500000.0</v>
      </c>
      <c r="H1330" s="11">
        <v>3170000.0</v>
      </c>
      <c r="I1330" s="11">
        <v>2710000.0</v>
      </c>
      <c r="J1330" s="11">
        <v>2680000.0</v>
      </c>
      <c r="K1330" s="11">
        <v>2120000.0</v>
      </c>
      <c r="L1330" s="11">
        <v>1900000.0</v>
      </c>
      <c r="M1330" s="11">
        <v>1660000.0</v>
      </c>
      <c r="N1330" s="11">
        <v>1400000.0</v>
      </c>
      <c r="O1330" s="11">
        <v>668970.0</v>
      </c>
      <c r="P1330" s="11">
        <v>442500.0</v>
      </c>
      <c r="Q1330" s="11">
        <v>409080.0</v>
      </c>
      <c r="R1330" s="11">
        <v>356860.0</v>
      </c>
      <c r="S1330" s="11">
        <v>302920.0</v>
      </c>
      <c r="T1330" s="11">
        <v>116800.0</v>
      </c>
      <c r="U1330" s="11">
        <v>73800.0</v>
      </c>
      <c r="V1330" s="11">
        <v>73800.0</v>
      </c>
      <c r="W1330" s="11">
        <v>58600.0</v>
      </c>
      <c r="X1330" s="11">
        <v>48300.0</v>
      </c>
      <c r="Y1330" s="11">
        <v>1920000.0</v>
      </c>
      <c r="Z1330" s="11">
        <v>-21400.0</v>
      </c>
      <c r="AA1330" s="11">
        <v>1480000.0</v>
      </c>
      <c r="AB1330" s="11">
        <v>1270000.0</v>
      </c>
      <c r="AC1330" s="11">
        <v>1060000.0</v>
      </c>
      <c r="AD1330" s="11">
        <v>1060000.0</v>
      </c>
      <c r="AE1330" s="11">
        <v>985560.0</v>
      </c>
      <c r="AF1330" s="11">
        <v>837430.0</v>
      </c>
      <c r="AG1330" s="11">
        <v>768120.0</v>
      </c>
      <c r="AH1330" s="11">
        <v>636820.0</v>
      </c>
      <c r="AI1330" s="11">
        <v>2240000.0</v>
      </c>
      <c r="AJ1330" s="11">
        <v>1800000.0</v>
      </c>
      <c r="AK1330" s="11">
        <v>1630000.0</v>
      </c>
      <c r="AL1330" s="11">
        <v>1420000.0</v>
      </c>
      <c r="AM1330" s="11">
        <v>1190000.0</v>
      </c>
      <c r="AN1330" s="11">
        <v>728320.0</v>
      </c>
      <c r="AO1330" s="11">
        <v>905390.0</v>
      </c>
      <c r="AP1330" s="11">
        <v>469280.0</v>
      </c>
      <c r="AQ1330" s="11">
        <v>583410.0</v>
      </c>
      <c r="AR1330" s="11">
        <v>443850.0</v>
      </c>
      <c r="AS1330" s="11">
        <v>1020000.0</v>
      </c>
      <c r="AT1330" s="11">
        <v>1020000.0</v>
      </c>
      <c r="AU1330" s="11">
        <v>788730.0</v>
      </c>
      <c r="AV1330" s="11">
        <v>668930.0</v>
      </c>
      <c r="AW1330" s="11">
        <v>520940.0</v>
      </c>
      <c r="AX1330" s="11">
        <v>-101590.0</v>
      </c>
      <c r="AY1330" s="11">
        <v>-73340.0</v>
      </c>
      <c r="AZ1330" s="11">
        <v>-71010.0</v>
      </c>
      <c r="BA1330" s="11">
        <v>-43980.0</v>
      </c>
      <c r="BB1330" s="11">
        <v>-54870.0</v>
      </c>
      <c r="BC1330" s="11">
        <v>-1710000.0</v>
      </c>
      <c r="BD1330" s="11">
        <v>-56150.0</v>
      </c>
      <c r="BE1330" s="11">
        <v>-2580000.0</v>
      </c>
      <c r="BF1330" s="11">
        <v>-3000.0</v>
      </c>
      <c r="BG1330" s="11">
        <v>-3370.0</v>
      </c>
      <c r="BH1330" s="11">
        <v>1470000.0</v>
      </c>
      <c r="BI1330" s="11">
        <v>2070000.0</v>
      </c>
      <c r="BJ1330" s="11">
        <v>650560.0</v>
      </c>
      <c r="BK1330" s="11">
        <v>1590000.0</v>
      </c>
      <c r="BL1330" s="11">
        <v>714030.0</v>
      </c>
      <c r="BM1330" s="11">
        <v>1110000.0</v>
      </c>
      <c r="BN1330" s="11">
        <v>704310.0</v>
      </c>
      <c r="BO1330" s="11">
        <v>636130.0</v>
      </c>
      <c r="BP1330" s="11">
        <v>576340.0</v>
      </c>
      <c r="BQ1330" s="11">
        <v>444070.0</v>
      </c>
      <c r="BR1330" s="11">
        <v>1230000.0</v>
      </c>
      <c r="BS1330" s="11">
        <v>805290.0</v>
      </c>
      <c r="BT1330" s="11">
        <v>730680.0</v>
      </c>
      <c r="BU1330" s="11">
        <v>724010.0</v>
      </c>
      <c r="BV1330" s="11">
        <v>591400.0</v>
      </c>
      <c r="BW1330" s="11">
        <v>4870000.0</v>
      </c>
      <c r="BX1330" s="11">
        <v>3660000.0</v>
      </c>
      <c r="BY1330" s="11">
        <v>2130000.0</v>
      </c>
      <c r="BZ1330" s="11">
        <v>2930000.0</v>
      </c>
      <c r="CA1330" s="11">
        <v>1830000.0</v>
      </c>
      <c r="CB1330" s="11">
        <v>756760.0</v>
      </c>
      <c r="CC1330" s="11">
        <v>388330.0</v>
      </c>
      <c r="CD1330" s="11">
        <v>324920.0</v>
      </c>
      <c r="CE1330" s="11">
        <v>310580.0</v>
      </c>
      <c r="CF1330" s="11">
        <v>260680.0</v>
      </c>
      <c r="CG1330" s="11">
        <v>7820000.0</v>
      </c>
      <c r="CH1330" s="11">
        <v>6220000.0</v>
      </c>
      <c r="CI1330" s="11">
        <v>5750000.0</v>
      </c>
      <c r="CJ1330" s="11">
        <v>5680000.0</v>
      </c>
      <c r="CK1330" s="11">
        <v>4690000.0</v>
      </c>
      <c r="CL1330" s="11">
        <v>1.625E7</v>
      </c>
      <c r="CM1330" s="11">
        <v>1.22E7</v>
      </c>
      <c r="CN1330" s="11">
        <v>9980000.0</v>
      </c>
      <c r="CO1330" s="11">
        <v>1.073E7</v>
      </c>
      <c r="CP1330" s="11">
        <v>8430000.0</v>
      </c>
      <c r="CQ1330" s="11">
        <v>276590.0</v>
      </c>
      <c r="CR1330" s="11">
        <v>173600.0</v>
      </c>
      <c r="CS1330" s="11">
        <v>148760.0</v>
      </c>
      <c r="CT1330" s="11">
        <v>156080.0</v>
      </c>
      <c r="CU1330" s="11">
        <v>142820.0</v>
      </c>
      <c r="CV1330" s="11">
        <v>1540000.0</v>
      </c>
      <c r="CW1330" s="11">
        <v>349520.0</v>
      </c>
      <c r="CX1330" s="11">
        <v>299520.0</v>
      </c>
      <c r="CY1330" s="11">
        <v>299590.0</v>
      </c>
      <c r="CZ1330" s="11">
        <v>199770.0</v>
      </c>
      <c r="DA1330" s="11">
        <v>200000.0</v>
      </c>
      <c r="DB1330" s="11">
        <v>1540000.0</v>
      </c>
      <c r="DC1330" s="11">
        <v>900380.0</v>
      </c>
      <c r="DD1330" s="11">
        <v>870990.0</v>
      </c>
      <c r="DE1330" s="11">
        <v>752600.0</v>
      </c>
      <c r="DF1330" s="11">
        <v>1.914E7</v>
      </c>
      <c r="DG1330" s="11">
        <v>1.401E7</v>
      </c>
      <c r="DH1330" s="11">
        <v>1.293E7</v>
      </c>
      <c r="DI1330" s="11">
        <v>1.138E7</v>
      </c>
      <c r="DJ1330" s="11">
        <v>9470000.0</v>
      </c>
      <c r="DK1330" s="11">
        <v>1250.0</v>
      </c>
      <c r="DL1330" s="11">
        <v>97290.0</v>
      </c>
      <c r="DM1330" s="12"/>
      <c r="DN1330" s="12"/>
      <c r="DO1330" s="12"/>
      <c r="DP1330" s="11">
        <v>1.647E7</v>
      </c>
      <c r="DQ1330" s="11">
        <v>1.25E7</v>
      </c>
      <c r="DR1330" s="11">
        <v>1.139E7</v>
      </c>
      <c r="DS1330" s="11">
        <v>9940000.0</v>
      </c>
      <c r="DT1330" s="11">
        <v>8180000.0</v>
      </c>
      <c r="DU1330" s="13"/>
      <c r="DV1330" s="13"/>
      <c r="DW1330" s="13"/>
      <c r="DX1330" s="13"/>
      <c r="DY1330" s="13"/>
      <c r="DZ1330" s="11">
        <v>-2890000.0</v>
      </c>
      <c r="EA1330" s="11">
        <v>-1810000.0</v>
      </c>
      <c r="EB1330" s="11">
        <v>-2950000.0</v>
      </c>
      <c r="EC1330" s="11">
        <v>-651490.0</v>
      </c>
      <c r="ED1330" s="11">
        <v>-1040000.0</v>
      </c>
      <c r="EE1330" s="14">
        <v>0.092</v>
      </c>
      <c r="EF1330" s="14">
        <v>0.202</v>
      </c>
      <c r="EG1330" s="14">
        <v>0.17</v>
      </c>
      <c r="EH1330" s="14">
        <v>0.11</v>
      </c>
    </row>
    <row r="1331">
      <c r="A1331" s="9">
        <f t="shared" si="2"/>
        <v>1329</v>
      </c>
      <c r="B1331" s="10" t="s">
        <v>1466</v>
      </c>
      <c r="C1331" s="11">
        <v>1060000.0</v>
      </c>
      <c r="D1331" s="11">
        <v>844170.0</v>
      </c>
      <c r="E1331" s="11">
        <v>553310.0</v>
      </c>
      <c r="F1331" s="11">
        <v>417910.0</v>
      </c>
      <c r="G1331" s="11">
        <v>233280.0</v>
      </c>
      <c r="H1331" s="11">
        <v>123160.0</v>
      </c>
      <c r="I1331" s="11">
        <v>77380.0</v>
      </c>
      <c r="J1331" s="11">
        <v>329890.0</v>
      </c>
      <c r="K1331" s="11">
        <v>253570.0</v>
      </c>
      <c r="L1331" s="11">
        <v>152560.0</v>
      </c>
      <c r="M1331" s="11">
        <v>82920.0</v>
      </c>
      <c r="N1331" s="11">
        <v>51480.0</v>
      </c>
      <c r="O1331" s="11">
        <v>396950.0</v>
      </c>
      <c r="P1331" s="11">
        <v>315630.0</v>
      </c>
      <c r="Q1331" s="11">
        <v>209500.0</v>
      </c>
      <c r="R1331" s="11">
        <v>138350.0</v>
      </c>
      <c r="S1331" s="11">
        <v>103170.0</v>
      </c>
      <c r="T1331" s="11">
        <v>64640.0</v>
      </c>
      <c r="U1331" s="11">
        <v>54370.0</v>
      </c>
      <c r="V1331" s="11">
        <v>34460.0</v>
      </c>
      <c r="W1331" s="11">
        <v>21820.0</v>
      </c>
      <c r="X1331" s="11">
        <v>14210.0</v>
      </c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1">
        <v>32290.0</v>
      </c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3"/>
      <c r="BD1331" s="13"/>
      <c r="BE1331" s="13"/>
      <c r="BF1331" s="13"/>
      <c r="BG1331" s="13"/>
      <c r="BH1331" s="11">
        <v>517060.0</v>
      </c>
      <c r="BI1331" s="11">
        <v>478530.0</v>
      </c>
      <c r="BJ1331" s="11">
        <v>122310.0</v>
      </c>
      <c r="BK1331" s="11">
        <v>65810.0</v>
      </c>
      <c r="BL1331" s="11">
        <v>137350.0</v>
      </c>
      <c r="BM1331" s="11">
        <v>56950.0</v>
      </c>
      <c r="BN1331" s="11">
        <v>43570.0</v>
      </c>
      <c r="BO1331" s="11">
        <v>27090.0</v>
      </c>
      <c r="BP1331" s="11">
        <v>13810.0</v>
      </c>
      <c r="BQ1331" s="11">
        <v>12130.0</v>
      </c>
      <c r="BR1331" s="12"/>
      <c r="BS1331" s="12"/>
      <c r="BT1331" s="12"/>
      <c r="BU1331" s="12"/>
      <c r="BV1331" s="12"/>
      <c r="BW1331" s="11">
        <v>588000.0</v>
      </c>
      <c r="BX1331" s="11">
        <v>532740.0</v>
      </c>
      <c r="BY1331" s="11">
        <v>156240.0</v>
      </c>
      <c r="BZ1331" s="11">
        <v>82720.0</v>
      </c>
      <c r="CA1331" s="11">
        <v>151580.0</v>
      </c>
      <c r="CB1331" s="11">
        <v>36750.0</v>
      </c>
      <c r="CC1331" s="11">
        <v>10150.0</v>
      </c>
      <c r="CD1331" s="11">
        <v>8960.0</v>
      </c>
      <c r="CE1331" s="11">
        <v>7480.0</v>
      </c>
      <c r="CF1331" s="11">
        <v>6260.0</v>
      </c>
      <c r="CG1331" s="11">
        <v>746080.0</v>
      </c>
      <c r="CH1331" s="11">
        <v>737200.0</v>
      </c>
      <c r="CI1331" s="11">
        <v>498520.0</v>
      </c>
      <c r="CJ1331" s="11">
        <v>188180.0</v>
      </c>
      <c r="CK1331" s="11">
        <v>56340.0</v>
      </c>
      <c r="CL1331" s="11">
        <v>1670000.0</v>
      </c>
      <c r="CM1331" s="11">
        <v>1430000.0</v>
      </c>
      <c r="CN1331" s="11">
        <v>774990.0</v>
      </c>
      <c r="CO1331" s="11">
        <v>303670.0</v>
      </c>
      <c r="CP1331" s="11">
        <v>229740.0</v>
      </c>
      <c r="CQ1331" s="11">
        <v>9080.0</v>
      </c>
      <c r="CR1331" s="11">
        <v>7770.0</v>
      </c>
      <c r="CS1331" s="11">
        <v>3880.0</v>
      </c>
      <c r="CT1331" s="11">
        <v>2240.0</v>
      </c>
      <c r="CU1331" s="11">
        <v>2210.0</v>
      </c>
      <c r="CV1331" s="11">
        <v>90180.0</v>
      </c>
      <c r="CW1331" s="11">
        <v>5090.0</v>
      </c>
      <c r="CX1331" s="13"/>
      <c r="CY1331" s="13"/>
      <c r="CZ1331" s="13"/>
      <c r="DA1331" s="12"/>
      <c r="DB1331" s="11">
        <v>90180.0</v>
      </c>
      <c r="DC1331" s="11">
        <v>62440.0</v>
      </c>
      <c r="DD1331" s="11">
        <v>40330.0</v>
      </c>
      <c r="DE1331" s="11">
        <v>21070.0</v>
      </c>
      <c r="DF1331" s="11">
        <v>658360.0</v>
      </c>
      <c r="DG1331" s="11">
        <v>421750.0</v>
      </c>
      <c r="DH1331" s="11">
        <v>216090.0</v>
      </c>
      <c r="DI1331" s="11">
        <v>72800.0</v>
      </c>
      <c r="DJ1331" s="11">
        <v>51170.0</v>
      </c>
      <c r="DK1331" s="12"/>
      <c r="DL1331" s="12"/>
      <c r="DM1331" s="12"/>
      <c r="DN1331" s="12"/>
      <c r="DO1331" s="12"/>
      <c r="DP1331" s="11">
        <v>465400.0</v>
      </c>
      <c r="DQ1331" s="11">
        <v>414680.0</v>
      </c>
      <c r="DR1331" s="11">
        <v>207370.0</v>
      </c>
      <c r="DS1331" s="11">
        <v>42420.0</v>
      </c>
      <c r="DT1331" s="11">
        <v>25230.0</v>
      </c>
      <c r="DU1331" s="13"/>
      <c r="DV1331" s="12"/>
      <c r="DW1331" s="12"/>
      <c r="DX1331" s="13"/>
      <c r="DY1331" s="13"/>
      <c r="DZ1331" s="11">
        <v>1010000.0</v>
      </c>
      <c r="EA1331" s="11">
        <v>1010000.0</v>
      </c>
      <c r="EB1331" s="11">
        <v>558900.0</v>
      </c>
      <c r="EC1331" s="11">
        <v>230870.0</v>
      </c>
      <c r="ED1331" s="11">
        <v>178560.0</v>
      </c>
      <c r="EE1331" s="14">
        <v>0.09</v>
      </c>
      <c r="EF1331" s="14">
        <v>0.29</v>
      </c>
      <c r="EG1331" s="14">
        <v>-0.111</v>
      </c>
      <c r="EH1331" s="14">
        <v>0.1</v>
      </c>
    </row>
    <row r="1332">
      <c r="A1332" s="9">
        <f t="shared" si="2"/>
        <v>1330</v>
      </c>
      <c r="B1332" s="10" t="s">
        <v>1467</v>
      </c>
      <c r="C1332" s="11">
        <v>3290000.0</v>
      </c>
      <c r="D1332" s="11">
        <v>3110000.0</v>
      </c>
      <c r="E1332" s="11">
        <v>3160000.0</v>
      </c>
      <c r="F1332" s="11">
        <v>2900000.0</v>
      </c>
      <c r="G1332" s="11">
        <v>2600000.0</v>
      </c>
      <c r="H1332" s="11">
        <v>2150000.0</v>
      </c>
      <c r="I1332" s="11">
        <v>2300000.0</v>
      </c>
      <c r="J1332" s="11">
        <v>1240000.0</v>
      </c>
      <c r="K1332" s="11">
        <v>1110000.0</v>
      </c>
      <c r="L1332" s="11">
        <v>986400.0</v>
      </c>
      <c r="M1332" s="11">
        <v>834700.0</v>
      </c>
      <c r="N1332" s="11">
        <v>879400.0</v>
      </c>
      <c r="O1332" s="11">
        <v>749200.0</v>
      </c>
      <c r="P1332" s="11">
        <v>694200.0</v>
      </c>
      <c r="Q1332" s="11">
        <v>645100.0</v>
      </c>
      <c r="R1332" s="11">
        <v>576200.0</v>
      </c>
      <c r="S1332" s="11">
        <v>588600.0</v>
      </c>
      <c r="T1332" s="11">
        <v>209600.0</v>
      </c>
      <c r="U1332" s="11">
        <v>185600.0</v>
      </c>
      <c r="V1332" s="11">
        <v>177700.0</v>
      </c>
      <c r="W1332" s="11">
        <v>167700.0</v>
      </c>
      <c r="X1332" s="11">
        <v>163700.0</v>
      </c>
      <c r="Y1332" s="11">
        <v>496600.0</v>
      </c>
      <c r="Z1332" s="11">
        <v>389200.0</v>
      </c>
      <c r="AA1332" s="11">
        <v>-30600.0</v>
      </c>
      <c r="AB1332" s="11">
        <v>240000.0</v>
      </c>
      <c r="AC1332" s="11">
        <v>-7600.0</v>
      </c>
      <c r="AD1332" s="11">
        <v>473700.0</v>
      </c>
      <c r="AE1332" s="11">
        <v>393900.0</v>
      </c>
      <c r="AF1332" s="11">
        <v>287000.0</v>
      </c>
      <c r="AG1332" s="11">
        <v>241300.0</v>
      </c>
      <c r="AH1332" s="11">
        <v>258200.0</v>
      </c>
      <c r="AI1332" s="11">
        <v>607900.0</v>
      </c>
      <c r="AJ1332" s="11">
        <v>529100.0</v>
      </c>
      <c r="AK1332" s="11">
        <v>456600.0</v>
      </c>
      <c r="AL1332" s="11">
        <v>345800.0</v>
      </c>
      <c r="AM1332" s="11">
        <v>381100.0</v>
      </c>
      <c r="AN1332" s="11">
        <v>402300.0</v>
      </c>
      <c r="AO1332" s="11">
        <v>333800.0</v>
      </c>
      <c r="AP1332" s="11">
        <v>227200.0</v>
      </c>
      <c r="AQ1332" s="11">
        <v>190900.0</v>
      </c>
      <c r="AR1332" s="11">
        <v>195800.0</v>
      </c>
      <c r="AS1332" s="11">
        <v>482100.0</v>
      </c>
      <c r="AT1332" s="11">
        <v>446900.0</v>
      </c>
      <c r="AU1332" s="11">
        <v>374700.0</v>
      </c>
      <c r="AV1332" s="11">
        <v>317000.0</v>
      </c>
      <c r="AW1332" s="11">
        <v>210200.0</v>
      </c>
      <c r="AX1332" s="11">
        <v>-88400.0</v>
      </c>
      <c r="AY1332" s="11">
        <v>-86800.0</v>
      </c>
      <c r="AZ1332" s="11">
        <v>-58500.0</v>
      </c>
      <c r="BA1332" s="11">
        <v>-87600.0</v>
      </c>
      <c r="BB1332" s="11">
        <v>-47000.0</v>
      </c>
      <c r="BC1332" s="12"/>
      <c r="BD1332" s="12"/>
      <c r="BE1332" s="12"/>
      <c r="BF1332" s="12"/>
      <c r="BG1332" s="12"/>
      <c r="BH1332" s="11">
        <v>199500.0</v>
      </c>
      <c r="BI1332" s="11">
        <v>142500.0</v>
      </c>
      <c r="BJ1332" s="11">
        <v>70900.0</v>
      </c>
      <c r="BK1332" s="11">
        <v>98600.0</v>
      </c>
      <c r="BL1332" s="11">
        <v>85100.0</v>
      </c>
      <c r="BM1332" s="11">
        <v>660900.0</v>
      </c>
      <c r="BN1332" s="11">
        <v>561800.0</v>
      </c>
      <c r="BO1332" s="11">
        <v>478100.0</v>
      </c>
      <c r="BP1332" s="11">
        <v>389100.0</v>
      </c>
      <c r="BQ1332" s="11">
        <v>401800.0</v>
      </c>
      <c r="BR1332" s="11">
        <v>393400.0</v>
      </c>
      <c r="BS1332" s="11">
        <v>364300.0</v>
      </c>
      <c r="BT1332" s="11">
        <v>400200.0</v>
      </c>
      <c r="BU1332" s="11">
        <v>314200.0</v>
      </c>
      <c r="BV1332" s="11">
        <v>309200.0</v>
      </c>
      <c r="BW1332" s="11">
        <v>1310000.0</v>
      </c>
      <c r="BX1332" s="11">
        <v>1110000.0</v>
      </c>
      <c r="BY1332" s="11">
        <v>1010000.0</v>
      </c>
      <c r="BZ1332" s="11">
        <v>846200.0</v>
      </c>
      <c r="CA1332" s="11">
        <v>826800.0</v>
      </c>
      <c r="CB1332" s="11">
        <v>615000.0</v>
      </c>
      <c r="CC1332" s="11">
        <v>442600.0</v>
      </c>
      <c r="CD1332" s="11">
        <v>442800.0</v>
      </c>
      <c r="CE1332" s="11">
        <v>340800.0</v>
      </c>
      <c r="CF1332" s="11">
        <v>321300.0</v>
      </c>
      <c r="CG1332" s="11">
        <v>2050000.0</v>
      </c>
      <c r="CH1332" s="11">
        <v>1740000.0</v>
      </c>
      <c r="CI1332" s="11">
        <v>1780000.0</v>
      </c>
      <c r="CJ1332" s="11">
        <v>1190000.0</v>
      </c>
      <c r="CK1332" s="11">
        <v>1140000.0</v>
      </c>
      <c r="CL1332" s="11">
        <v>4580000.0</v>
      </c>
      <c r="CM1332" s="11">
        <v>3810000.0</v>
      </c>
      <c r="CN1332" s="11">
        <v>3850000.0</v>
      </c>
      <c r="CO1332" s="11">
        <v>2770000.0</v>
      </c>
      <c r="CP1332" s="11">
        <v>2720000.0</v>
      </c>
      <c r="CQ1332" s="11">
        <v>271100.0</v>
      </c>
      <c r="CR1332" s="11">
        <v>227800.0</v>
      </c>
      <c r="CS1332" s="11">
        <v>191700.0</v>
      </c>
      <c r="CT1332" s="11">
        <v>138800.0</v>
      </c>
      <c r="CU1332" s="11">
        <v>136500.0</v>
      </c>
      <c r="CV1332" s="11">
        <v>763200.0</v>
      </c>
      <c r="CW1332" s="11">
        <v>19600.0</v>
      </c>
      <c r="CX1332" s="12"/>
      <c r="CY1332" s="12"/>
      <c r="CZ1332" s="12"/>
      <c r="DA1332" s="12"/>
      <c r="DB1332" s="11">
        <v>763200.0</v>
      </c>
      <c r="DC1332" s="11">
        <v>720800.0</v>
      </c>
      <c r="DD1332" s="11">
        <v>540600.0</v>
      </c>
      <c r="DE1332" s="11">
        <v>501800.0</v>
      </c>
      <c r="DF1332" s="11">
        <v>1870000.0</v>
      </c>
      <c r="DG1332" s="11">
        <v>1580000.0</v>
      </c>
      <c r="DH1332" s="11">
        <v>1900000.0</v>
      </c>
      <c r="DI1332" s="11">
        <v>1220000.0</v>
      </c>
      <c r="DJ1332" s="11">
        <v>1370000.0</v>
      </c>
      <c r="DK1332" s="11">
        <v>1600.0</v>
      </c>
      <c r="DL1332" s="12"/>
      <c r="DM1332" s="11">
        <v>6000.0</v>
      </c>
      <c r="DN1332" s="12"/>
      <c r="DO1332" s="12"/>
      <c r="DP1332" s="11">
        <v>869300.0</v>
      </c>
      <c r="DQ1332" s="11">
        <v>612300.0</v>
      </c>
      <c r="DR1332" s="11">
        <v>1070000.0</v>
      </c>
      <c r="DS1332" s="11">
        <v>515800.0</v>
      </c>
      <c r="DT1332" s="11">
        <v>761500.0</v>
      </c>
      <c r="DU1332" s="12"/>
      <c r="DV1332" s="12"/>
      <c r="DW1332" s="12"/>
      <c r="DX1332" s="12"/>
      <c r="DY1332" s="12"/>
      <c r="DZ1332" s="11">
        <v>2710000.0</v>
      </c>
      <c r="EA1332" s="11">
        <v>2230000.0</v>
      </c>
      <c r="EB1332" s="11">
        <v>1950000.0</v>
      </c>
      <c r="EC1332" s="11">
        <v>1550000.0</v>
      </c>
      <c r="ED1332" s="11">
        <v>1340000.0</v>
      </c>
      <c r="EE1332" s="14">
        <v>0.023</v>
      </c>
      <c r="EF1332" s="14">
        <v>0.024</v>
      </c>
      <c r="EG1332" s="14">
        <v>0.253</v>
      </c>
      <c r="EH1332" s="14">
        <v>0.121</v>
      </c>
    </row>
    <row r="1333">
      <c r="A1333" s="9">
        <f t="shared" si="2"/>
        <v>1331</v>
      </c>
      <c r="B1333" s="22" t="s">
        <v>1468</v>
      </c>
      <c r="C1333" s="11">
        <v>930470.0</v>
      </c>
      <c r="D1333" s="11">
        <v>820320.0</v>
      </c>
      <c r="E1333" s="11">
        <v>738690.0</v>
      </c>
      <c r="F1333" s="11">
        <v>714010.0</v>
      </c>
      <c r="G1333" s="11">
        <v>642990.0</v>
      </c>
      <c r="H1333" s="11">
        <v>563000.0</v>
      </c>
      <c r="I1333" s="11">
        <v>499020.0</v>
      </c>
      <c r="J1333" s="11">
        <v>544060.0</v>
      </c>
      <c r="K1333" s="11">
        <v>428640.0</v>
      </c>
      <c r="L1333" s="11">
        <v>410490.0</v>
      </c>
      <c r="M1333" s="11">
        <v>353210.0</v>
      </c>
      <c r="N1333" s="11">
        <v>318360.0</v>
      </c>
      <c r="O1333" s="11">
        <v>325780.0</v>
      </c>
      <c r="P1333" s="11">
        <v>299090.0</v>
      </c>
      <c r="Q1333" s="11">
        <v>249510.0</v>
      </c>
      <c r="R1333" s="11">
        <v>206840.0</v>
      </c>
      <c r="S1333" s="11">
        <v>165010.0</v>
      </c>
      <c r="T1333" s="11">
        <v>65190.0</v>
      </c>
      <c r="U1333" s="11">
        <v>62410.0</v>
      </c>
      <c r="V1333" s="11">
        <v>55330.0</v>
      </c>
      <c r="W1333" s="11">
        <v>53510.0</v>
      </c>
      <c r="X1333" s="11">
        <v>45190.0</v>
      </c>
      <c r="Y1333" s="12"/>
      <c r="Z1333" s="11">
        <v>111190.0</v>
      </c>
      <c r="AA1333" s="11">
        <v>136180.0</v>
      </c>
      <c r="AB1333" s="11">
        <v>-25790.0</v>
      </c>
      <c r="AC1333" s="11">
        <v>150590.0</v>
      </c>
      <c r="AD1333" s="11">
        <v>276480.0</v>
      </c>
      <c r="AE1333" s="11">
        <v>112020.0</v>
      </c>
      <c r="AF1333" s="11">
        <v>125950.0</v>
      </c>
      <c r="AG1333" s="11">
        <v>111960.0</v>
      </c>
      <c r="AH1333" s="11">
        <v>147480.0</v>
      </c>
      <c r="AI1333" s="12"/>
      <c r="AJ1333" s="11">
        <v>207720.0</v>
      </c>
      <c r="AK1333" s="11">
        <v>225450.0</v>
      </c>
      <c r="AL1333" s="11">
        <v>206410.0</v>
      </c>
      <c r="AM1333" s="11">
        <v>196120.0</v>
      </c>
      <c r="AN1333" s="11">
        <v>229300.0</v>
      </c>
      <c r="AO1333" s="11">
        <v>95970.0</v>
      </c>
      <c r="AP1333" s="11">
        <v>126040.0</v>
      </c>
      <c r="AQ1333" s="11">
        <v>76020.0</v>
      </c>
      <c r="AR1333" s="11">
        <v>104480.0</v>
      </c>
      <c r="AS1333" s="12"/>
      <c r="AT1333" s="11">
        <v>181620.0</v>
      </c>
      <c r="AU1333" s="11">
        <v>170370.0</v>
      </c>
      <c r="AV1333" s="11">
        <v>143720.0</v>
      </c>
      <c r="AW1333" s="11">
        <v>143870.0</v>
      </c>
      <c r="AX1333" s="12"/>
      <c r="AY1333" s="11">
        <v>-25410.0</v>
      </c>
      <c r="AZ1333" s="11">
        <v>-20930.0</v>
      </c>
      <c r="BA1333" s="11">
        <v>-15180.0</v>
      </c>
      <c r="BB1333" s="11">
        <v>-16900.0</v>
      </c>
      <c r="BC1333" s="12"/>
      <c r="BD1333" s="11">
        <v>-48360.0</v>
      </c>
      <c r="BE1333" s="11">
        <v>-47970.0</v>
      </c>
      <c r="BF1333" s="11">
        <v>-47330.0</v>
      </c>
      <c r="BG1333" s="11">
        <v>-47610.0</v>
      </c>
      <c r="BH1333" s="11">
        <v>270890.0</v>
      </c>
      <c r="BI1333" s="11">
        <v>166030.0</v>
      </c>
      <c r="BJ1333" s="11">
        <v>181750.0</v>
      </c>
      <c r="BK1333" s="11">
        <v>157710.0</v>
      </c>
      <c r="BL1333" s="11">
        <v>95840.0</v>
      </c>
      <c r="BM1333" s="11">
        <v>122530.0</v>
      </c>
      <c r="BN1333" s="11">
        <v>137470.0</v>
      </c>
      <c r="BO1333" s="11">
        <v>120300.0</v>
      </c>
      <c r="BP1333" s="11">
        <v>116830.0</v>
      </c>
      <c r="BQ1333" s="11">
        <v>93390.0</v>
      </c>
      <c r="BR1333" s="11">
        <v>103150.0</v>
      </c>
      <c r="BS1333" s="11">
        <v>91050.0</v>
      </c>
      <c r="BT1333" s="11">
        <v>85650.0</v>
      </c>
      <c r="BU1333" s="11">
        <v>60150.0</v>
      </c>
      <c r="BV1333" s="11">
        <v>57100.0</v>
      </c>
      <c r="BW1333" s="11">
        <v>520920.0</v>
      </c>
      <c r="BX1333" s="11">
        <v>412610.0</v>
      </c>
      <c r="BY1333" s="11">
        <v>398370.0</v>
      </c>
      <c r="BZ1333" s="11">
        <v>348030.0</v>
      </c>
      <c r="CA1333" s="11">
        <v>253890.0</v>
      </c>
      <c r="CB1333" s="11">
        <v>248290.0</v>
      </c>
      <c r="CC1333" s="11">
        <v>154040.0</v>
      </c>
      <c r="CD1333" s="11">
        <v>145350.0</v>
      </c>
      <c r="CE1333" s="11">
        <v>135120.0</v>
      </c>
      <c r="CF1333" s="11">
        <v>132360.0</v>
      </c>
      <c r="CG1333" s="12"/>
      <c r="CH1333" s="11">
        <v>732670.0</v>
      </c>
      <c r="CI1333" s="11">
        <v>597890.0</v>
      </c>
      <c r="CJ1333" s="11">
        <v>579030.0</v>
      </c>
      <c r="CK1333" s="11">
        <v>430880.0</v>
      </c>
      <c r="CL1333" s="11">
        <v>2030000.0</v>
      </c>
      <c r="CM1333" s="11">
        <v>1950000.0</v>
      </c>
      <c r="CN1333" s="11">
        <v>1590000.0</v>
      </c>
      <c r="CO1333" s="11">
        <v>1560000.0</v>
      </c>
      <c r="CP1333" s="11">
        <v>1130000.0</v>
      </c>
      <c r="CQ1333" s="11">
        <v>63270.0</v>
      </c>
      <c r="CR1333" s="11">
        <v>16210.0</v>
      </c>
      <c r="CS1333" s="11">
        <v>18450.0</v>
      </c>
      <c r="CT1333" s="11">
        <v>16860.0</v>
      </c>
      <c r="CU1333" s="11">
        <v>20650.0</v>
      </c>
      <c r="CV1333" s="11">
        <v>106670.0</v>
      </c>
      <c r="CW1333" s="12"/>
      <c r="CX1333" s="12"/>
      <c r="CY1333" s="12"/>
      <c r="CZ1333" s="12"/>
      <c r="DA1333" s="12"/>
      <c r="DB1333" s="11">
        <v>106670.0</v>
      </c>
      <c r="DC1333" s="11">
        <v>101990.0</v>
      </c>
      <c r="DD1333" s="11">
        <v>79510.0</v>
      </c>
      <c r="DE1333" s="11">
        <v>135520.0</v>
      </c>
      <c r="DF1333" s="11">
        <v>646400.0</v>
      </c>
      <c r="DG1333" s="11">
        <v>784420.0</v>
      </c>
      <c r="DH1333" s="11">
        <v>514140.0</v>
      </c>
      <c r="DI1333" s="11">
        <v>608590.0</v>
      </c>
      <c r="DJ1333" s="11">
        <v>250300.0</v>
      </c>
      <c r="DK1333" s="12"/>
      <c r="DL1333" s="12"/>
      <c r="DM1333" s="11">
        <v>2610.0</v>
      </c>
      <c r="DN1333" s="11">
        <v>40390.0</v>
      </c>
      <c r="DO1333" s="12"/>
      <c r="DP1333" s="11">
        <v>411490.0</v>
      </c>
      <c r="DQ1333" s="11">
        <v>492660.0</v>
      </c>
      <c r="DR1333" s="11">
        <v>339000.0</v>
      </c>
      <c r="DS1333" s="11">
        <v>343770.0</v>
      </c>
      <c r="DT1333" s="11">
        <v>91500.0</v>
      </c>
      <c r="DU1333" s="13"/>
      <c r="DV1333" s="12"/>
      <c r="DW1333" s="12"/>
      <c r="DX1333" s="13"/>
      <c r="DY1333" s="13"/>
      <c r="DZ1333" s="11">
        <v>1380000.0</v>
      </c>
      <c r="EA1333" s="11">
        <v>1170000.0</v>
      </c>
      <c r="EB1333" s="11">
        <v>1080000.0</v>
      </c>
      <c r="EC1333" s="11">
        <v>949630.0</v>
      </c>
      <c r="ED1333" s="11">
        <v>879280.0</v>
      </c>
      <c r="EE1333" s="14">
        <v>0.051</v>
      </c>
      <c r="EF1333" s="14">
        <v>0.057</v>
      </c>
      <c r="EG1333" s="14">
        <v>0.333</v>
      </c>
      <c r="EH1333" s="14">
        <v>0.127</v>
      </c>
    </row>
    <row r="1334">
      <c r="A1334" s="9">
        <f t="shared" si="2"/>
        <v>1332</v>
      </c>
      <c r="B1334" s="10" t="s">
        <v>1469</v>
      </c>
      <c r="C1334" s="15">
        <v>9020000.0</v>
      </c>
      <c r="D1334" s="15">
        <v>9610000.0</v>
      </c>
      <c r="E1334" s="15">
        <v>1.193E7</v>
      </c>
      <c r="F1334" s="15">
        <v>1.256E7</v>
      </c>
      <c r="G1334" s="15">
        <v>1.191E7</v>
      </c>
      <c r="H1334" s="15">
        <v>9300000.0</v>
      </c>
      <c r="I1334" s="15">
        <v>8290000.0</v>
      </c>
      <c r="J1334" s="15">
        <v>3160000.0</v>
      </c>
      <c r="K1334" s="15">
        <v>4450000.0</v>
      </c>
      <c r="L1334" s="15">
        <v>4430000.0</v>
      </c>
      <c r="M1334" s="15">
        <v>2290000.0</v>
      </c>
      <c r="N1334" s="15">
        <v>1180000.0</v>
      </c>
      <c r="O1334" s="15">
        <v>232000.0</v>
      </c>
      <c r="P1334" s="15">
        <v>267000.0</v>
      </c>
      <c r="Q1334" s="15">
        <v>482000.0</v>
      </c>
      <c r="R1334" s="15">
        <v>469000.0</v>
      </c>
      <c r="S1334" s="15">
        <v>227000.0</v>
      </c>
      <c r="T1334" s="15">
        <v>67000.0</v>
      </c>
      <c r="U1334" s="15">
        <v>35000.0</v>
      </c>
      <c r="V1334" s="15">
        <v>55000.0</v>
      </c>
      <c r="W1334" s="15">
        <v>30000.0</v>
      </c>
      <c r="X1334" s="15">
        <v>47000.0</v>
      </c>
      <c r="Y1334" s="15">
        <v>-109000.0</v>
      </c>
      <c r="Z1334" s="15">
        <v>3920000.0</v>
      </c>
      <c r="AA1334" s="15">
        <v>200000.0</v>
      </c>
      <c r="AB1334" s="15">
        <v>1860000.0</v>
      </c>
      <c r="AC1334" s="15">
        <v>-3020000.0</v>
      </c>
      <c r="AD1334" s="15">
        <v>-465000.0</v>
      </c>
      <c r="AE1334" s="15">
        <v>4510000.0</v>
      </c>
      <c r="AF1334" s="15">
        <v>3910000.0</v>
      </c>
      <c r="AG1334" s="15">
        <v>1630000.0</v>
      </c>
      <c r="AH1334" s="15">
        <v>-3360000.0</v>
      </c>
      <c r="AI1334" s="15">
        <v>4460000.0</v>
      </c>
      <c r="AJ1334" s="15">
        <v>5770000.0</v>
      </c>
      <c r="AK1334" s="15">
        <v>5520000.0</v>
      </c>
      <c r="AL1334" s="15">
        <v>3260000.0</v>
      </c>
      <c r="AM1334" s="15">
        <v>2360000.0</v>
      </c>
      <c r="AN1334" s="15">
        <v>-605000.0</v>
      </c>
      <c r="AO1334" s="15">
        <v>3110000.0</v>
      </c>
      <c r="AP1334" s="15">
        <v>2460000.0</v>
      </c>
      <c r="AQ1334" s="15">
        <v>1040000.0</v>
      </c>
      <c r="AR1334" s="15">
        <v>-2470000.0</v>
      </c>
      <c r="AS1334" s="15">
        <v>3100000.0</v>
      </c>
      <c r="AT1334" s="15">
        <v>4030000.0</v>
      </c>
      <c r="AU1334" s="15">
        <v>4550000.0</v>
      </c>
      <c r="AV1334" s="15">
        <v>2490000.0</v>
      </c>
      <c r="AW1334" s="15">
        <v>1510000.0</v>
      </c>
      <c r="AX1334" s="15">
        <v>-3650000.0</v>
      </c>
      <c r="AY1334" s="15">
        <v>-2610000.0</v>
      </c>
      <c r="AZ1334" s="15">
        <v>-2300000.0</v>
      </c>
      <c r="BA1334" s="15">
        <v>-1890000.0</v>
      </c>
      <c r="BB1334" s="15">
        <v>-2240000.0</v>
      </c>
      <c r="BC1334" s="15">
        <v>-111000.0</v>
      </c>
      <c r="BD1334" s="15">
        <v>-172000.0</v>
      </c>
      <c r="BE1334" s="15">
        <v>-344000.0</v>
      </c>
      <c r="BF1334" s="15">
        <v>-58000.0</v>
      </c>
      <c r="BG1334" s="15">
        <v>-374000.0</v>
      </c>
      <c r="BH1334" s="15">
        <v>1030000.0</v>
      </c>
      <c r="BI1334" s="15">
        <v>1730000.0</v>
      </c>
      <c r="BJ1334" s="15">
        <v>952000.0</v>
      </c>
      <c r="BK1334" s="15">
        <v>1410000.0</v>
      </c>
      <c r="BL1334" s="15">
        <v>1890000.0</v>
      </c>
      <c r="BM1334" s="15">
        <v>1160000.0</v>
      </c>
      <c r="BN1334" s="15">
        <v>1260000.0</v>
      </c>
      <c r="BO1334" s="15">
        <v>1470000.0</v>
      </c>
      <c r="BP1334" s="15">
        <v>1680000.0</v>
      </c>
      <c r="BQ1334" s="15">
        <v>1300000.0</v>
      </c>
      <c r="BR1334" s="15">
        <v>1980000.0</v>
      </c>
      <c r="BS1334" s="15">
        <v>2070000.0</v>
      </c>
      <c r="BT1334" s="15">
        <v>1670000.0</v>
      </c>
      <c r="BU1334" s="15">
        <v>1670000.0</v>
      </c>
      <c r="BV1334" s="15">
        <v>1620000.0</v>
      </c>
      <c r="BW1334" s="15">
        <v>4500000.0</v>
      </c>
      <c r="BX1334" s="15">
        <v>5320000.0</v>
      </c>
      <c r="BY1334" s="15">
        <v>4750000.0</v>
      </c>
      <c r="BZ1334" s="15">
        <v>4760000.0</v>
      </c>
      <c r="CA1334" s="15">
        <v>4810000.0</v>
      </c>
      <c r="CB1334" s="15">
        <v>3.136E7</v>
      </c>
      <c r="CC1334" s="15">
        <v>2.914E7</v>
      </c>
      <c r="CD1334" s="15">
        <v>2.727E7</v>
      </c>
      <c r="CE1334" s="15">
        <v>2.598E7</v>
      </c>
      <c r="CF1334" s="15">
        <v>2.524E7</v>
      </c>
      <c r="CG1334" s="15">
        <v>1100000.0</v>
      </c>
      <c r="CH1334" s="15">
        <v>1120000.0</v>
      </c>
      <c r="CI1334" s="15">
        <v>1090000.0</v>
      </c>
      <c r="CJ1334" s="15">
        <v>1110000.0</v>
      </c>
      <c r="CK1334" s="15">
        <v>1130000.0</v>
      </c>
      <c r="CL1334" s="15">
        <v>3.935E7</v>
      </c>
      <c r="CM1334" s="15">
        <v>3.963E7</v>
      </c>
      <c r="CN1334" s="15">
        <v>3.703E7</v>
      </c>
      <c r="CO1334" s="15">
        <v>3.563E7</v>
      </c>
      <c r="CP1334" s="15">
        <v>3.469E7</v>
      </c>
      <c r="CQ1334" s="15">
        <v>1310000.0</v>
      </c>
      <c r="CR1334" s="15">
        <v>1190000.0</v>
      </c>
      <c r="CS1334" s="15">
        <v>1110000.0</v>
      </c>
      <c r="CT1334" s="15">
        <v>986000.0</v>
      </c>
      <c r="CU1334" s="15">
        <v>810000.0</v>
      </c>
      <c r="CV1334" s="15">
        <v>2780000.0</v>
      </c>
      <c r="CW1334" s="15">
        <v>0.0</v>
      </c>
      <c r="CX1334" s="16">
        <v>0.0</v>
      </c>
      <c r="CY1334" s="16">
        <v>0.0</v>
      </c>
      <c r="CZ1334" s="16">
        <v>0.0</v>
      </c>
      <c r="DA1334" s="15">
        <v>0.0</v>
      </c>
      <c r="DB1334" s="15">
        <v>2780000.0</v>
      </c>
      <c r="DC1334" s="15">
        <v>2520000.0</v>
      </c>
      <c r="DD1334" s="15">
        <v>2610000.0</v>
      </c>
      <c r="DE1334" s="15">
        <v>2200000.0</v>
      </c>
      <c r="DF1334" s="15">
        <v>1.728E7</v>
      </c>
      <c r="DG1334" s="15">
        <v>1.661E7</v>
      </c>
      <c r="DH1334" s="15">
        <v>1.704E7</v>
      </c>
      <c r="DI1334" s="15">
        <v>1.803E7</v>
      </c>
      <c r="DJ1334" s="15">
        <v>1.805E7</v>
      </c>
      <c r="DK1334" s="15">
        <v>1260000.0</v>
      </c>
      <c r="DL1334" s="15">
        <v>1310000.0</v>
      </c>
      <c r="DM1334" s="15">
        <v>1210000.0</v>
      </c>
      <c r="DN1334" s="15">
        <v>1310000.0</v>
      </c>
      <c r="DO1334" s="15">
        <v>1140000.0</v>
      </c>
      <c r="DP1334" s="15">
        <v>442030.0</v>
      </c>
      <c r="DQ1334" s="15">
        <v>1.344E7</v>
      </c>
      <c r="DR1334" s="15">
        <v>1.26E7</v>
      </c>
      <c r="DS1334" s="15">
        <v>1.059E7</v>
      </c>
      <c r="DT1334" s="15">
        <v>1.293E7</v>
      </c>
      <c r="DU1334" s="16">
        <v>0.0</v>
      </c>
      <c r="DV1334" s="15">
        <v>0.0</v>
      </c>
      <c r="DW1334" s="15">
        <v>0.0</v>
      </c>
      <c r="DX1334" s="15">
        <v>0.0</v>
      </c>
      <c r="DY1334" s="15">
        <v>0.0</v>
      </c>
      <c r="DZ1334" s="15">
        <v>2.13E7</v>
      </c>
      <c r="EA1334" s="15">
        <v>2.288E7</v>
      </c>
      <c r="EB1334" s="15">
        <v>1.985E7</v>
      </c>
      <c r="EC1334" s="15">
        <v>1.744E7</v>
      </c>
      <c r="ED1334" s="15">
        <v>1.641E7</v>
      </c>
      <c r="EE1334" s="17">
        <v>0.338</v>
      </c>
      <c r="EF1334" s="17">
        <v>0.389</v>
      </c>
      <c r="EG1334" s="17">
        <v>-0.021</v>
      </c>
      <c r="EH1334" s="17">
        <v>-0.028</v>
      </c>
    </row>
    <row r="1335">
      <c r="A1335" s="9">
        <f t="shared" si="2"/>
        <v>1333</v>
      </c>
      <c r="B1335" s="22" t="s">
        <v>1470</v>
      </c>
      <c r="C1335" s="11">
        <v>40960.0</v>
      </c>
      <c r="D1335" s="11">
        <v>17840.0</v>
      </c>
      <c r="E1335" s="11">
        <v>15450.0</v>
      </c>
      <c r="F1335" s="11">
        <v>8270.0</v>
      </c>
      <c r="G1335" s="11">
        <v>4250.0</v>
      </c>
      <c r="H1335" s="12"/>
      <c r="I1335" s="12"/>
      <c r="J1335" s="11">
        <v>9270.0</v>
      </c>
      <c r="K1335" s="11">
        <v>2940.0</v>
      </c>
      <c r="L1335" s="11">
        <v>2530.0</v>
      </c>
      <c r="M1335" s="12"/>
      <c r="N1335" s="12"/>
      <c r="O1335" s="11">
        <v>28430.0</v>
      </c>
      <c r="P1335" s="11">
        <v>22880.0</v>
      </c>
      <c r="Q1335" s="11">
        <v>19460.0</v>
      </c>
      <c r="R1335" s="12"/>
      <c r="S1335" s="12"/>
      <c r="T1335" s="11">
        <v>4150.0</v>
      </c>
      <c r="U1335" s="11">
        <v>4340.0</v>
      </c>
      <c r="V1335" s="11">
        <v>5790.0</v>
      </c>
      <c r="W1335" s="12"/>
      <c r="X1335" s="12"/>
      <c r="Y1335" s="11">
        <v>-19170.0</v>
      </c>
      <c r="Z1335" s="11">
        <v>-19360.0</v>
      </c>
      <c r="AA1335" s="11">
        <v>-16870.0</v>
      </c>
      <c r="AB1335" s="12"/>
      <c r="AC1335" s="12"/>
      <c r="AD1335" s="11">
        <v>-22430.0</v>
      </c>
      <c r="AE1335" s="11">
        <v>-21090.0</v>
      </c>
      <c r="AF1335" s="11">
        <v>-21330.0</v>
      </c>
      <c r="AG1335" s="12"/>
      <c r="AH1335" s="12"/>
      <c r="AI1335" s="11">
        <v>-18580.0</v>
      </c>
      <c r="AJ1335" s="11">
        <v>-18690.0</v>
      </c>
      <c r="AK1335" s="11">
        <v>-16160.0</v>
      </c>
      <c r="AL1335" s="12"/>
      <c r="AM1335" s="12"/>
      <c r="AN1335" s="11">
        <v>-22430.0</v>
      </c>
      <c r="AO1335" s="11">
        <v>-21090.0</v>
      </c>
      <c r="AP1335" s="11">
        <v>-21330.0</v>
      </c>
      <c r="AQ1335" s="12"/>
      <c r="AR1335" s="12"/>
      <c r="AS1335" s="11">
        <v>-25520.0</v>
      </c>
      <c r="AT1335" s="11">
        <v>-19950.0</v>
      </c>
      <c r="AU1335" s="11">
        <v>-16370.0</v>
      </c>
      <c r="AV1335" s="12"/>
      <c r="AW1335" s="12"/>
      <c r="AX1335" s="11">
        <v>-2700.0</v>
      </c>
      <c r="AY1335" s="11">
        <v>-1560.0</v>
      </c>
      <c r="AZ1335" s="11">
        <v>-114.0</v>
      </c>
      <c r="BA1335" s="12"/>
      <c r="BB1335" s="12"/>
      <c r="BC1335" s="12"/>
      <c r="BD1335" s="12"/>
      <c r="BE1335" s="12"/>
      <c r="BF1335" s="12"/>
      <c r="BG1335" s="12"/>
      <c r="BH1335" s="11">
        <v>54590.0</v>
      </c>
      <c r="BI1335" s="11">
        <v>17280.0</v>
      </c>
      <c r="BJ1335" s="11">
        <v>11350.0</v>
      </c>
      <c r="BK1335" s="12"/>
      <c r="BL1335" s="12"/>
      <c r="BM1335" s="11">
        <v>2840.0</v>
      </c>
      <c r="BN1335" s="11">
        <v>1300.0</v>
      </c>
      <c r="BO1335" s="11">
        <v>757.0</v>
      </c>
      <c r="BP1335" s="12"/>
      <c r="BQ1335" s="12"/>
      <c r="BR1335" s="11">
        <v>4600.0</v>
      </c>
      <c r="BS1335" s="11">
        <v>4350.0</v>
      </c>
      <c r="BT1335" s="11">
        <v>1820.0</v>
      </c>
      <c r="BU1335" s="12"/>
      <c r="BV1335" s="12"/>
      <c r="BW1335" s="11">
        <v>64330.0</v>
      </c>
      <c r="BX1335" s="11">
        <v>23250.0</v>
      </c>
      <c r="BY1335" s="11">
        <v>14350.0</v>
      </c>
      <c r="BZ1335" s="12"/>
      <c r="CA1335" s="12"/>
      <c r="CB1335" s="11">
        <v>677.0</v>
      </c>
      <c r="CC1335" s="11">
        <v>758.0</v>
      </c>
      <c r="CD1335" s="11">
        <v>1160.0</v>
      </c>
      <c r="CE1335" s="12"/>
      <c r="CF1335" s="12"/>
      <c r="CG1335" s="12"/>
      <c r="CH1335" s="12"/>
      <c r="CI1335" s="12"/>
      <c r="CJ1335" s="12"/>
      <c r="CK1335" s="12"/>
      <c r="CL1335" s="11">
        <v>67920.0</v>
      </c>
      <c r="CM1335" s="11">
        <v>27230.0</v>
      </c>
      <c r="CN1335" s="11">
        <v>15530.0</v>
      </c>
      <c r="CO1335" s="12"/>
      <c r="CP1335" s="12"/>
      <c r="CQ1335" s="11">
        <v>3170.0</v>
      </c>
      <c r="CR1335" s="11">
        <v>3420.0</v>
      </c>
      <c r="CS1335" s="11">
        <v>1510.0</v>
      </c>
      <c r="CT1335" s="12"/>
      <c r="CU1335" s="12"/>
      <c r="CV1335" s="11">
        <v>6710.0</v>
      </c>
      <c r="CW1335" s="12"/>
      <c r="CX1335" s="12"/>
      <c r="CY1335" s="12"/>
      <c r="CZ1335" s="12"/>
      <c r="DA1335" s="12"/>
      <c r="DB1335" s="11">
        <v>6710.0</v>
      </c>
      <c r="DC1335" s="11">
        <v>9560.0</v>
      </c>
      <c r="DD1335" s="11">
        <v>6150.0</v>
      </c>
      <c r="DE1335" s="12"/>
      <c r="DF1335" s="11">
        <v>36960.0</v>
      </c>
      <c r="DG1335" s="11">
        <v>40940.0</v>
      </c>
      <c r="DH1335" s="11">
        <v>12350.0</v>
      </c>
      <c r="DI1335" s="12"/>
      <c r="DJ1335" s="12"/>
      <c r="DK1335" s="12"/>
      <c r="DL1335" s="12"/>
      <c r="DM1335" s="11">
        <v>24.0</v>
      </c>
      <c r="DN1335" s="12"/>
      <c r="DO1335" s="12"/>
      <c r="DP1335" s="11">
        <v>30240.0</v>
      </c>
      <c r="DQ1335" s="11">
        <v>31370.0</v>
      </c>
      <c r="DR1335" s="11">
        <v>5310.0</v>
      </c>
      <c r="DS1335" s="12"/>
      <c r="DT1335" s="12"/>
      <c r="DU1335" s="13"/>
      <c r="DV1335" s="11">
        <v>124150.0</v>
      </c>
      <c r="DW1335" s="11">
        <v>111350.0</v>
      </c>
      <c r="DX1335" s="13"/>
      <c r="DY1335" s="13"/>
      <c r="DZ1335" s="11">
        <v>30960.0</v>
      </c>
      <c r="EA1335" s="11">
        <v>-13710.0</v>
      </c>
      <c r="EB1335" s="11">
        <v>3180.0</v>
      </c>
      <c r="EC1335" s="12"/>
      <c r="ED1335" s="12"/>
      <c r="EE1335" s="14">
        <v>0.021</v>
      </c>
      <c r="EF1335" s="14">
        <v>0.425</v>
      </c>
      <c r="EG1335" s="14">
        <v>0.102</v>
      </c>
      <c r="EH1335" s="14">
        <v>-0.032</v>
      </c>
    </row>
    <row r="1336">
      <c r="A1336" s="9">
        <f t="shared" si="2"/>
        <v>1334</v>
      </c>
      <c r="B1336" s="10" t="s">
        <v>1471</v>
      </c>
      <c r="C1336" s="11">
        <v>2940000.0</v>
      </c>
      <c r="D1336" s="11">
        <v>2830000.0</v>
      </c>
      <c r="E1336" s="11">
        <v>2290000.0</v>
      </c>
      <c r="F1336" s="11">
        <v>2100000.0</v>
      </c>
      <c r="G1336" s="11">
        <v>2140000.0</v>
      </c>
      <c r="H1336" s="11">
        <v>1750000.0</v>
      </c>
      <c r="I1336" s="11">
        <v>1640000.0</v>
      </c>
      <c r="J1336" s="11">
        <v>1310000.0</v>
      </c>
      <c r="K1336" s="11">
        <v>1190000.0</v>
      </c>
      <c r="L1336" s="11">
        <v>1190000.0</v>
      </c>
      <c r="M1336" s="11">
        <v>921210.0</v>
      </c>
      <c r="N1336" s="11">
        <v>858150.0</v>
      </c>
      <c r="O1336" s="11">
        <v>759910.0</v>
      </c>
      <c r="P1336" s="11">
        <v>692170.0</v>
      </c>
      <c r="Q1336" s="11">
        <v>656220.0</v>
      </c>
      <c r="R1336" s="11">
        <v>606710.0</v>
      </c>
      <c r="S1336" s="11">
        <v>598560.0</v>
      </c>
      <c r="T1336" s="11">
        <v>322820.0</v>
      </c>
      <c r="U1336" s="11">
        <v>301510.0</v>
      </c>
      <c r="V1336" s="11">
        <v>307310.0</v>
      </c>
      <c r="W1336" s="11">
        <v>291030.0</v>
      </c>
      <c r="X1336" s="11">
        <v>292250.0</v>
      </c>
      <c r="Y1336" s="11">
        <v>529490.0</v>
      </c>
      <c r="Z1336" s="11">
        <v>453840.0</v>
      </c>
      <c r="AA1336" s="11">
        <v>-8230.0</v>
      </c>
      <c r="AB1336" s="11">
        <v>-68690.0</v>
      </c>
      <c r="AC1336" s="11">
        <v>141720.0</v>
      </c>
      <c r="AD1336" s="11">
        <v>525770.0</v>
      </c>
      <c r="AE1336" s="11">
        <v>467800.0</v>
      </c>
      <c r="AF1336" s="11">
        <v>524410.0</v>
      </c>
      <c r="AG1336" s="11">
        <v>-55060.0</v>
      </c>
      <c r="AH1336" s="11">
        <v>253120.0</v>
      </c>
      <c r="AI1336" s="11">
        <v>657230.0</v>
      </c>
      <c r="AJ1336" s="11">
        <v>595550.0</v>
      </c>
      <c r="AK1336" s="11">
        <v>635280.0</v>
      </c>
      <c r="AL1336" s="11">
        <v>420220.0</v>
      </c>
      <c r="AM1336" s="11">
        <v>388820.0</v>
      </c>
      <c r="AN1336" s="11">
        <v>467470.0</v>
      </c>
      <c r="AO1336" s="11">
        <v>451780.0</v>
      </c>
      <c r="AP1336" s="11">
        <v>257690.0</v>
      </c>
      <c r="AQ1336" s="11">
        <v>-43420.0</v>
      </c>
      <c r="AR1336" s="11">
        <v>206480.0</v>
      </c>
      <c r="AS1336" s="11">
        <v>578750.0</v>
      </c>
      <c r="AT1336" s="11">
        <v>476880.0</v>
      </c>
      <c r="AU1336" s="11">
        <v>626500.0</v>
      </c>
      <c r="AV1336" s="11">
        <v>445800.0</v>
      </c>
      <c r="AW1336" s="11">
        <v>410590.0</v>
      </c>
      <c r="AX1336" s="11">
        <v>-134640.0</v>
      </c>
      <c r="AY1336" s="11">
        <v>-114380.0</v>
      </c>
      <c r="AZ1336" s="11">
        <v>-105380.0</v>
      </c>
      <c r="BA1336" s="11">
        <v>-85270.0</v>
      </c>
      <c r="BB1336" s="11">
        <v>-89880.0</v>
      </c>
      <c r="BC1336" s="11">
        <v>-61310.0</v>
      </c>
      <c r="BD1336" s="11">
        <v>-67320.0</v>
      </c>
      <c r="BE1336" s="11">
        <v>-55450.0</v>
      </c>
      <c r="BF1336" s="11">
        <v>-48620.0</v>
      </c>
      <c r="BG1336" s="11">
        <v>-50710.0</v>
      </c>
      <c r="BH1336" s="11">
        <v>911230.0</v>
      </c>
      <c r="BI1336" s="11">
        <v>1120000.0</v>
      </c>
      <c r="BJ1336" s="11">
        <v>1780000.0</v>
      </c>
      <c r="BK1336" s="11">
        <v>1180000.0</v>
      </c>
      <c r="BL1336" s="11">
        <v>742400.0</v>
      </c>
      <c r="BM1336" s="11">
        <v>362370.0</v>
      </c>
      <c r="BN1336" s="11">
        <v>291270.0</v>
      </c>
      <c r="BO1336" s="11">
        <v>272780.0</v>
      </c>
      <c r="BP1336" s="11">
        <v>192440.0</v>
      </c>
      <c r="BQ1336" s="11">
        <v>211290.0</v>
      </c>
      <c r="BR1336" s="11">
        <v>196690.0</v>
      </c>
      <c r="BS1336" s="11">
        <v>153540.0</v>
      </c>
      <c r="BT1336" s="11">
        <v>107530.0</v>
      </c>
      <c r="BU1336" s="11">
        <v>135960.0</v>
      </c>
      <c r="BV1336" s="11">
        <v>153590.0</v>
      </c>
      <c r="BW1336" s="11">
        <v>1660000.0</v>
      </c>
      <c r="BX1336" s="11">
        <v>1730000.0</v>
      </c>
      <c r="BY1336" s="11">
        <v>2270000.0</v>
      </c>
      <c r="BZ1336" s="11">
        <v>1620000.0</v>
      </c>
      <c r="CA1336" s="11">
        <v>1260000.0</v>
      </c>
      <c r="CB1336" s="11">
        <v>377760.0</v>
      </c>
      <c r="CC1336" s="11">
        <v>279820.0</v>
      </c>
      <c r="CD1336" s="11">
        <v>268450.0</v>
      </c>
      <c r="CE1336" s="11">
        <v>253820.0</v>
      </c>
      <c r="CF1336" s="11">
        <v>273410.0</v>
      </c>
      <c r="CG1336" s="11">
        <v>416430.0</v>
      </c>
      <c r="CH1336" s="11">
        <v>381850.0</v>
      </c>
      <c r="CI1336" s="11">
        <v>252010.0</v>
      </c>
      <c r="CJ1336" s="11">
        <v>223340.0</v>
      </c>
      <c r="CK1336" s="11">
        <v>488410.0</v>
      </c>
      <c r="CL1336" s="11">
        <v>2790000.0</v>
      </c>
      <c r="CM1336" s="11">
        <v>2710000.0</v>
      </c>
      <c r="CN1336" s="11">
        <v>3110000.0</v>
      </c>
      <c r="CO1336" s="11">
        <v>2760000.0</v>
      </c>
      <c r="CP1336" s="11">
        <v>2550000.0</v>
      </c>
      <c r="CQ1336" s="11">
        <v>126620.0</v>
      </c>
      <c r="CR1336" s="11">
        <v>100690.0</v>
      </c>
      <c r="CS1336" s="11">
        <v>86390.0</v>
      </c>
      <c r="CT1336" s="11">
        <v>95360.0</v>
      </c>
      <c r="CU1336" s="11">
        <v>92360.0</v>
      </c>
      <c r="CV1336" s="11">
        <v>539030.0</v>
      </c>
      <c r="CW1336" s="11">
        <v>19480.0</v>
      </c>
      <c r="CX1336" s="13"/>
      <c r="CY1336" s="12"/>
      <c r="CZ1336" s="12"/>
      <c r="DA1336" s="12"/>
      <c r="DB1336" s="11">
        <v>539030.0</v>
      </c>
      <c r="DC1336" s="11">
        <v>476290.0</v>
      </c>
      <c r="DD1336" s="11">
        <v>454340.0</v>
      </c>
      <c r="DE1336" s="11">
        <v>372700.0</v>
      </c>
      <c r="DF1336" s="11">
        <v>1310000.0</v>
      </c>
      <c r="DG1336" s="11">
        <v>1180000.0</v>
      </c>
      <c r="DH1336" s="11">
        <v>1160000.0</v>
      </c>
      <c r="DI1336" s="11">
        <v>933830.0</v>
      </c>
      <c r="DJ1336" s="11">
        <v>582890.0</v>
      </c>
      <c r="DK1336" s="11">
        <v>104490.0</v>
      </c>
      <c r="DL1336" s="11">
        <v>87730.0</v>
      </c>
      <c r="DM1336" s="11">
        <v>125930.0</v>
      </c>
      <c r="DN1336" s="11">
        <v>433840.0</v>
      </c>
      <c r="DO1336" s="11">
        <v>265930.0</v>
      </c>
      <c r="DP1336" s="11">
        <v>440540.0</v>
      </c>
      <c r="DQ1336" s="11">
        <v>379980.0</v>
      </c>
      <c r="DR1336" s="11">
        <v>365990.0</v>
      </c>
      <c r="DS1336" s="11">
        <v>352670.0</v>
      </c>
      <c r="DT1336" s="11"/>
      <c r="DU1336" s="13"/>
      <c r="DV1336" s="13"/>
      <c r="DW1336" s="12"/>
      <c r="DX1336" s="12"/>
      <c r="DY1336" s="12"/>
      <c r="DZ1336" s="11">
        <v>1480000.0</v>
      </c>
      <c r="EA1336" s="11">
        <v>1520000.0</v>
      </c>
      <c r="EB1336" s="11">
        <v>1950000.0</v>
      </c>
      <c r="EC1336" s="11">
        <v>1830000.0</v>
      </c>
      <c r="ED1336" s="11">
        <v>1970000.0</v>
      </c>
      <c r="EE1336" s="14">
        <v>0.141</v>
      </c>
      <c r="EF1336" s="14">
        <v>0.126</v>
      </c>
      <c r="EG1336" s="14">
        <v>0.291</v>
      </c>
      <c r="EH1336" s="14">
        <v>0.16</v>
      </c>
    </row>
    <row r="1337">
      <c r="A1337" s="9">
        <f t="shared" si="2"/>
        <v>1335</v>
      </c>
      <c r="B1337" s="32" t="s">
        <v>1472</v>
      </c>
      <c r="C1337" s="11">
        <v>1.699E7</v>
      </c>
      <c r="D1337" s="11">
        <v>1.679E7</v>
      </c>
      <c r="E1337" s="11">
        <v>6.012E7</v>
      </c>
      <c r="F1337" s="11">
        <v>6.569E7</v>
      </c>
      <c r="G1337" s="11">
        <v>8.052E7</v>
      </c>
      <c r="H1337" s="11">
        <v>8.408E7</v>
      </c>
      <c r="I1337" s="11">
        <v>7.624E7</v>
      </c>
      <c r="J1337" s="11">
        <v>2.68E7</v>
      </c>
      <c r="K1337" s="11">
        <v>2.983E7</v>
      </c>
      <c r="L1337" s="11">
        <v>3.818E7</v>
      </c>
      <c r="M1337" s="11">
        <v>4.552E7</v>
      </c>
      <c r="N1337" s="11">
        <v>4.401E7</v>
      </c>
      <c r="O1337" s="11">
        <v>1.716E7</v>
      </c>
      <c r="P1337" s="11">
        <v>1.951E7</v>
      </c>
      <c r="Q1337" s="11">
        <v>2.383E7</v>
      </c>
      <c r="R1337" s="11">
        <v>2.785E7</v>
      </c>
      <c r="S1337" s="11">
        <v>2.425E7</v>
      </c>
      <c r="T1337" s="11">
        <v>3600000.0</v>
      </c>
      <c r="U1337" s="11">
        <v>4360000.0</v>
      </c>
      <c r="V1337" s="11">
        <v>6400000.0</v>
      </c>
      <c r="W1337" s="11">
        <v>8100000.0</v>
      </c>
      <c r="X1337" s="11">
        <v>5920000.0</v>
      </c>
      <c r="Y1337" s="11">
        <v>-1460000.0</v>
      </c>
      <c r="Z1337" s="11">
        <v>-1.696E7</v>
      </c>
      <c r="AA1337" s="11">
        <v>-8.12E7</v>
      </c>
      <c r="AB1337" s="11">
        <v>-1.195E7</v>
      </c>
      <c r="AC1337" s="11">
        <v>1.058E7</v>
      </c>
      <c r="AD1337" s="11">
        <v>-4510000.0</v>
      </c>
      <c r="AE1337" s="11">
        <v>-9330000.0</v>
      </c>
      <c r="AF1337" s="11">
        <v>-6.611E7</v>
      </c>
      <c r="AG1337" s="11">
        <v>3160000.0</v>
      </c>
      <c r="AH1337" s="11">
        <v>9140000.0</v>
      </c>
      <c r="AI1337" s="11">
        <v>1.578E7</v>
      </c>
      <c r="AJ1337" s="11">
        <v>1.694E7</v>
      </c>
      <c r="AK1337" s="11">
        <v>2.182E7</v>
      </c>
      <c r="AL1337" s="11">
        <v>2.34E7</v>
      </c>
      <c r="AM1337" s="11">
        <v>2.484E7</v>
      </c>
      <c r="AN1337" s="11">
        <v>-3560000.0</v>
      </c>
      <c r="AO1337" s="11">
        <v>-7730000.0</v>
      </c>
      <c r="AP1337" s="11">
        <v>-5.85E7</v>
      </c>
      <c r="AQ1337" s="11">
        <v>1260000.0</v>
      </c>
      <c r="AR1337" s="11">
        <v>6170000.0</v>
      </c>
      <c r="AS1337" s="11">
        <v>7960000.0</v>
      </c>
      <c r="AT1337" s="11">
        <v>1.503E7</v>
      </c>
      <c r="AU1337" s="11">
        <v>1.261E7</v>
      </c>
      <c r="AV1337" s="11">
        <v>2.006E7</v>
      </c>
      <c r="AW1337" s="11">
        <v>2.153E7</v>
      </c>
      <c r="AX1337" s="11">
        <v>-1870000.0</v>
      </c>
      <c r="AY1337" s="11">
        <v>-2340000.0</v>
      </c>
      <c r="AZ1337" s="11">
        <v>-3140000.0</v>
      </c>
      <c r="BA1337" s="11">
        <v>-3460000.0</v>
      </c>
      <c r="BB1337" s="11">
        <v>-3000000.0</v>
      </c>
      <c r="BC1337" s="11">
        <v>-185280.0</v>
      </c>
      <c r="BD1337" s="11">
        <v>-79100.0</v>
      </c>
      <c r="BE1337" s="11">
        <v>-4180000.0</v>
      </c>
      <c r="BF1337" s="11">
        <v>-5980000.0</v>
      </c>
      <c r="BG1337" s="11">
        <v>-4490000.0</v>
      </c>
      <c r="BH1337" s="11">
        <v>6820000.0</v>
      </c>
      <c r="BI1337" s="11">
        <v>6660000.0</v>
      </c>
      <c r="BJ1337" s="11">
        <v>3400000.0</v>
      </c>
      <c r="BK1337" s="11">
        <v>3840000.0</v>
      </c>
      <c r="BL1337" s="11">
        <v>2.707E7</v>
      </c>
      <c r="BM1337" s="11">
        <v>1.96E7</v>
      </c>
      <c r="BN1337" s="11">
        <v>2.176E7</v>
      </c>
      <c r="BO1337" s="11">
        <v>2.475E7</v>
      </c>
      <c r="BP1337" s="11">
        <v>2.895E7</v>
      </c>
      <c r="BQ1337" s="11">
        <v>2.082E7</v>
      </c>
      <c r="BR1337" s="11">
        <v>1.527E7</v>
      </c>
      <c r="BS1337" s="11">
        <v>1.768E7</v>
      </c>
      <c r="BT1337" s="11">
        <v>1.709E7</v>
      </c>
      <c r="BU1337" s="11">
        <v>1.907E7</v>
      </c>
      <c r="BV1337" s="11">
        <v>1.543E7</v>
      </c>
      <c r="BW1337" s="11">
        <v>4.65E7</v>
      </c>
      <c r="BX1337" s="11">
        <v>5.154E7</v>
      </c>
      <c r="BY1337" s="11">
        <v>5.34E7</v>
      </c>
      <c r="BZ1337" s="11">
        <v>6.63E7</v>
      </c>
      <c r="CA1337" s="11">
        <v>7.159E7</v>
      </c>
      <c r="CB1337" s="11">
        <v>2.401E7</v>
      </c>
      <c r="CC1337" s="11">
        <v>2.566E7</v>
      </c>
      <c r="CD1337" s="11">
        <v>2.664E7</v>
      </c>
      <c r="CE1337" s="11">
        <v>3.107E7</v>
      </c>
      <c r="CF1337" s="11">
        <v>2.546E7</v>
      </c>
      <c r="CG1337" s="11">
        <v>8.582E7</v>
      </c>
      <c r="CH1337" s="11">
        <v>9.311E7</v>
      </c>
      <c r="CI1337" s="11">
        <v>9.864E7</v>
      </c>
      <c r="CJ1337" s="11">
        <v>1.7091E8</v>
      </c>
      <c r="CK1337" s="11">
        <v>7.403E7</v>
      </c>
      <c r="CL1337" s="11">
        <v>1.985E8</v>
      </c>
      <c r="CM1337" s="11">
        <v>2.2676E8</v>
      </c>
      <c r="CN1337" s="11">
        <v>2.4515E8</v>
      </c>
      <c r="CO1337" s="11">
        <v>3.5814E8</v>
      </c>
      <c r="CP1337" s="11">
        <v>2.1112E8</v>
      </c>
      <c r="CQ1337" s="11">
        <v>5930000.0</v>
      </c>
      <c r="CR1337" s="11">
        <v>6920000.0</v>
      </c>
      <c r="CS1337" s="11">
        <v>7180000.0</v>
      </c>
      <c r="CT1337" s="11">
        <v>8300000.0</v>
      </c>
      <c r="CU1337" s="11">
        <v>1.398E7</v>
      </c>
      <c r="CV1337" s="11">
        <v>4.723E7</v>
      </c>
      <c r="CW1337" s="11">
        <v>2180000.0</v>
      </c>
      <c r="CX1337" s="11">
        <v>1930000.0</v>
      </c>
      <c r="CY1337" s="11">
        <v>2660000.0</v>
      </c>
      <c r="CZ1337" s="11">
        <v>9490000.0</v>
      </c>
      <c r="DA1337" s="11">
        <v>291830.0</v>
      </c>
      <c r="DB1337" s="11">
        <v>4.723E7</v>
      </c>
      <c r="DC1337" s="11">
        <v>5.352E7</v>
      </c>
      <c r="DD1337" s="11">
        <v>6.222E7</v>
      </c>
      <c r="DE1337" s="11">
        <v>7.115E7</v>
      </c>
      <c r="DF1337" s="11">
        <v>1.4647E8</v>
      </c>
      <c r="DG1337" s="11">
        <v>1.6774E8</v>
      </c>
      <c r="DH1337" s="11">
        <v>1.8007E8</v>
      </c>
      <c r="DI1337" s="11">
        <v>2.2347E8</v>
      </c>
      <c r="DJ1337" s="11">
        <v>9.467E7</v>
      </c>
      <c r="DK1337" s="12"/>
      <c r="DL1337" s="11">
        <v>216730.0</v>
      </c>
      <c r="DM1337" s="11">
        <v>86790.0</v>
      </c>
      <c r="DN1337" s="11">
        <v>338680.0</v>
      </c>
      <c r="DO1337" s="11">
        <v>5940000.0</v>
      </c>
      <c r="DP1337" s="11">
        <v>8.634E7</v>
      </c>
      <c r="DQ1337" s="11">
        <v>9.977E7</v>
      </c>
      <c r="DR1337" s="11">
        <v>1.0008E8</v>
      </c>
      <c r="DS1337" s="11">
        <v>1.2517E8</v>
      </c>
      <c r="DT1337" s="11">
        <v>3.262E7</v>
      </c>
      <c r="DU1337" s="13"/>
      <c r="DV1337" s="12"/>
      <c r="DW1337" s="11">
        <v>1.261E7</v>
      </c>
      <c r="DX1337" s="11">
        <v>1.393E7</v>
      </c>
      <c r="DY1337" s="11">
        <v>1.281E7</v>
      </c>
      <c r="DZ1337" s="11">
        <v>4.826E7</v>
      </c>
      <c r="EA1337" s="11">
        <v>5.496E7</v>
      </c>
      <c r="EB1337" s="11">
        <v>6.026E7</v>
      </c>
      <c r="EC1337" s="11">
        <v>1.283E8</v>
      </c>
      <c r="ED1337" s="11">
        <v>1.1583E8</v>
      </c>
      <c r="EE1337" s="14">
        <v>0.09</v>
      </c>
      <c r="EF1337" s="14">
        <v>0.119</v>
      </c>
      <c r="EG1337" s="14">
        <v>0.288</v>
      </c>
      <c r="EH1337" s="14">
        <v>0.085</v>
      </c>
    </row>
    <row r="1338">
      <c r="A1338" s="9">
        <f t="shared" si="2"/>
        <v>1336</v>
      </c>
      <c r="B1338" s="10" t="s">
        <v>1473</v>
      </c>
      <c r="C1338" s="12">
        <v>3360000.0</v>
      </c>
      <c r="D1338" s="12">
        <v>2930000.0</v>
      </c>
      <c r="E1338" s="11">
        <v>4350000.0</v>
      </c>
      <c r="F1338" s="11">
        <v>4520000.0</v>
      </c>
      <c r="G1338" s="11">
        <v>4360000.0</v>
      </c>
      <c r="H1338" s="11">
        <v>4440000.0</v>
      </c>
      <c r="I1338" s="11">
        <v>5020000.0</v>
      </c>
      <c r="J1338" s="11">
        <v>897600.0</v>
      </c>
      <c r="K1338" s="11">
        <v>966000.0</v>
      </c>
      <c r="L1338" s="11">
        <v>792100.0</v>
      </c>
      <c r="M1338" s="11">
        <v>753900.0</v>
      </c>
      <c r="N1338" s="11">
        <v>967600.0</v>
      </c>
      <c r="O1338" s="11">
        <v>552800.0</v>
      </c>
      <c r="P1338" s="11">
        <v>549400.0</v>
      </c>
      <c r="Q1338" s="11">
        <v>626500.0</v>
      </c>
      <c r="R1338" s="11">
        <v>541100.0</v>
      </c>
      <c r="S1338" s="11">
        <v>645000.0</v>
      </c>
      <c r="T1338" s="11">
        <v>72400.0</v>
      </c>
      <c r="U1338" s="11">
        <v>63200.0</v>
      </c>
      <c r="V1338" s="11">
        <v>81000.0</v>
      </c>
      <c r="W1338" s="11">
        <v>86200.0</v>
      </c>
      <c r="X1338" s="11">
        <v>89700.0</v>
      </c>
      <c r="Y1338" s="11">
        <v>342600.0</v>
      </c>
      <c r="Z1338" s="11">
        <v>-4200.0</v>
      </c>
      <c r="AA1338" s="11">
        <v>-41400.0</v>
      </c>
      <c r="AB1338" s="11">
        <v>-150800.0</v>
      </c>
      <c r="AC1338" s="11">
        <v>-7200.0</v>
      </c>
      <c r="AD1338" s="11">
        <v>247500.0</v>
      </c>
      <c r="AE1338" s="11">
        <v>287100.0</v>
      </c>
      <c r="AF1338" s="11">
        <v>112000.0</v>
      </c>
      <c r="AG1338" s="11">
        <v>-270700.0</v>
      </c>
      <c r="AH1338" s="11">
        <v>195700.0</v>
      </c>
      <c r="AI1338" s="11">
        <v>386200.0</v>
      </c>
      <c r="AJ1338" s="11">
        <v>457400.0</v>
      </c>
      <c r="AK1338" s="11">
        <v>232100.0</v>
      </c>
      <c r="AL1338" s="11">
        <v>309500.0</v>
      </c>
      <c r="AM1338" s="11">
        <v>455000.0</v>
      </c>
      <c r="AN1338" s="11">
        <v>209700.0</v>
      </c>
      <c r="AO1338" s="11">
        <v>241700.0</v>
      </c>
      <c r="AP1338" s="11">
        <v>60000.0</v>
      </c>
      <c r="AQ1338" s="11">
        <v>-193000.0</v>
      </c>
      <c r="AR1338" s="11">
        <v>128400.0</v>
      </c>
      <c r="AS1338" s="11">
        <v>173400.0</v>
      </c>
      <c r="AT1338" s="11">
        <v>94200.0</v>
      </c>
      <c r="AU1338" s="11">
        <v>153000.0</v>
      </c>
      <c r="AV1338" s="11">
        <v>367000.0</v>
      </c>
      <c r="AW1338" s="11">
        <v>212900.0</v>
      </c>
      <c r="AX1338" s="11">
        <v>-108900.0</v>
      </c>
      <c r="AY1338" s="11">
        <v>-103800.0</v>
      </c>
      <c r="AZ1338" s="11">
        <v>-43500.0</v>
      </c>
      <c r="BA1338" s="11">
        <v>-73000.0</v>
      </c>
      <c r="BB1338" s="11">
        <v>-103800.0</v>
      </c>
      <c r="BC1338" s="24">
        <v>-31400.0</v>
      </c>
      <c r="BD1338" s="24">
        <v>-30000.0</v>
      </c>
      <c r="BE1338" s="24">
        <v>-29500.0</v>
      </c>
      <c r="BF1338" s="24">
        <v>-30000.0</v>
      </c>
      <c r="BG1338" s="24">
        <v>-25800.0</v>
      </c>
      <c r="BH1338" s="11">
        <v>535100.0</v>
      </c>
      <c r="BI1338" s="11">
        <v>339500.0</v>
      </c>
      <c r="BJ1338" s="11">
        <v>626500.0</v>
      </c>
      <c r="BK1338" s="11">
        <v>428500.0</v>
      </c>
      <c r="BL1338" s="11">
        <v>371200.0</v>
      </c>
      <c r="BM1338" s="11">
        <v>478200.0</v>
      </c>
      <c r="BN1338" s="11">
        <v>620500.0</v>
      </c>
      <c r="BO1338" s="11">
        <v>684300.0</v>
      </c>
      <c r="BP1338" s="11">
        <v>535100.0</v>
      </c>
      <c r="BQ1338" s="11">
        <v>746000.0</v>
      </c>
      <c r="BR1338" s="11">
        <v>847700.0</v>
      </c>
      <c r="BS1338" s="11">
        <v>918900.0</v>
      </c>
      <c r="BT1338" s="11">
        <v>969600.0</v>
      </c>
      <c r="BU1338" s="11">
        <v>853800.0</v>
      </c>
      <c r="BV1338" s="11">
        <v>1060000.0</v>
      </c>
      <c r="BW1338" s="11">
        <v>2020000.0</v>
      </c>
      <c r="BX1338" s="11">
        <v>2420000.0</v>
      </c>
      <c r="BY1338" s="11">
        <v>2380000.0</v>
      </c>
      <c r="BZ1338" s="11">
        <v>2700000.0</v>
      </c>
      <c r="CA1338" s="11">
        <v>3140000.0</v>
      </c>
      <c r="CB1338" s="11">
        <v>512300.0</v>
      </c>
      <c r="CC1338" s="11">
        <v>317300.0</v>
      </c>
      <c r="CD1338" s="11">
        <v>363000.0</v>
      </c>
      <c r="CE1338" s="11">
        <v>371600.0</v>
      </c>
      <c r="CF1338" s="11">
        <v>429900.0</v>
      </c>
      <c r="CG1338" s="11">
        <v>269900.0</v>
      </c>
      <c r="CH1338" s="11">
        <v>265200.0</v>
      </c>
      <c r="CI1338" s="11">
        <v>273600.0</v>
      </c>
      <c r="CJ1338" s="11">
        <v>259700.0</v>
      </c>
      <c r="CK1338" s="11">
        <v>459100.0</v>
      </c>
      <c r="CL1338" s="11">
        <v>3200000.0</v>
      </c>
      <c r="CM1338" s="11">
        <v>3490000.0</v>
      </c>
      <c r="CN1338" s="11">
        <v>3460000.0</v>
      </c>
      <c r="CO1338" s="11">
        <v>5010000.0</v>
      </c>
      <c r="CP1338" s="11">
        <v>5620000.0</v>
      </c>
      <c r="CQ1338" s="11">
        <v>508100.0</v>
      </c>
      <c r="CR1338" s="11">
        <v>687200.0</v>
      </c>
      <c r="CS1338" s="11">
        <v>592400.0</v>
      </c>
      <c r="CT1338" s="11">
        <v>522700.0</v>
      </c>
      <c r="CU1338" s="11">
        <v>560700.0</v>
      </c>
      <c r="CV1338" s="11">
        <v>872400.0</v>
      </c>
      <c r="CW1338" s="11">
        <v>25900.0</v>
      </c>
      <c r="CX1338" s="13"/>
      <c r="CY1338" s="13"/>
      <c r="CZ1338" s="13"/>
      <c r="DA1338" s="12"/>
      <c r="DB1338" s="11">
        <v>872400.0</v>
      </c>
      <c r="DC1338" s="11">
        <v>1210000.0</v>
      </c>
      <c r="DD1338" s="11">
        <v>1040000.0</v>
      </c>
      <c r="DE1338" s="11">
        <v>1410000.0</v>
      </c>
      <c r="DF1338" s="11">
        <v>2260000.0</v>
      </c>
      <c r="DG1338" s="11">
        <v>2620000.0</v>
      </c>
      <c r="DH1338" s="11">
        <v>2240000.0</v>
      </c>
      <c r="DI1338" s="11">
        <v>3490000.0</v>
      </c>
      <c r="DJ1338" s="11">
        <v>3700000.0</v>
      </c>
      <c r="DK1338" s="12"/>
      <c r="DL1338" s="11">
        <v>500.0</v>
      </c>
      <c r="DM1338" s="12"/>
      <c r="DN1338" s="12"/>
      <c r="DO1338" s="13"/>
      <c r="DP1338" s="11">
        <v>1270000.0</v>
      </c>
      <c r="DQ1338" s="11">
        <v>1210000.0</v>
      </c>
      <c r="DR1338" s="11">
        <v>979600.0</v>
      </c>
      <c r="DS1338" s="11">
        <v>1560000.0</v>
      </c>
      <c r="DT1338" s="11">
        <v>1730000.0</v>
      </c>
      <c r="DU1338" s="13"/>
      <c r="DV1338" s="12"/>
      <c r="DW1338" s="12"/>
      <c r="DX1338" s="13"/>
      <c r="DY1338" s="13"/>
      <c r="DZ1338" s="11">
        <v>932300.0</v>
      </c>
      <c r="EA1338" s="11">
        <v>860500.0</v>
      </c>
      <c r="EB1338" s="11">
        <v>1220000.0</v>
      </c>
      <c r="EC1338" s="11">
        <v>1480000.0</v>
      </c>
      <c r="ED1338" s="11">
        <v>1880000.0</v>
      </c>
      <c r="EE1338" s="23">
        <v>0.28668942</v>
      </c>
      <c r="EF1338" s="23">
        <v>0.282738095</v>
      </c>
      <c r="EG1338" s="14">
        <v>-6.0</v>
      </c>
      <c r="EH1338" s="23">
        <v>-1.3035</v>
      </c>
    </row>
    <row r="1339">
      <c r="A1339" s="9">
        <f t="shared" si="2"/>
        <v>1337</v>
      </c>
      <c r="B1339" s="22" t="s">
        <v>1474</v>
      </c>
      <c r="C1339" s="11">
        <v>2500.0</v>
      </c>
      <c r="D1339" s="11">
        <v>1000.0</v>
      </c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1">
        <v>11990.0</v>
      </c>
      <c r="P1339" s="11">
        <v>3900.0</v>
      </c>
      <c r="Q1339" s="11">
        <v>179.0</v>
      </c>
      <c r="R1339" s="11">
        <v>370.0</v>
      </c>
      <c r="S1339" s="12"/>
      <c r="T1339" s="11">
        <v>8820.0</v>
      </c>
      <c r="U1339" s="11">
        <v>849.0</v>
      </c>
      <c r="V1339" s="12"/>
      <c r="W1339" s="11">
        <v>229.0</v>
      </c>
      <c r="X1339" s="12"/>
      <c r="Y1339" s="12"/>
      <c r="Z1339" s="12"/>
      <c r="AA1339" s="12"/>
      <c r="AB1339" s="12"/>
      <c r="AC1339" s="12"/>
      <c r="AD1339" s="11">
        <v>-11870.0</v>
      </c>
      <c r="AE1339" s="11">
        <v>-3840.0</v>
      </c>
      <c r="AF1339" s="11">
        <v>-179.0</v>
      </c>
      <c r="AG1339" s="11">
        <v>-370.0</v>
      </c>
      <c r="AH1339" s="12"/>
      <c r="AI1339" s="11">
        <v>-11990.0</v>
      </c>
      <c r="AJ1339" s="11">
        <v>-3900.0</v>
      </c>
      <c r="AK1339" s="11">
        <v>-179.0</v>
      </c>
      <c r="AL1339" s="11">
        <v>-370.0</v>
      </c>
      <c r="AM1339" s="12"/>
      <c r="AN1339" s="11">
        <v>-11870.0</v>
      </c>
      <c r="AO1339" s="11">
        <v>-3840.0</v>
      </c>
      <c r="AP1339" s="11">
        <v>-179.0</v>
      </c>
      <c r="AQ1339" s="11">
        <v>-370.0</v>
      </c>
      <c r="AR1339" s="12"/>
      <c r="AS1339" s="11">
        <v>-11220.0</v>
      </c>
      <c r="AT1339" s="11">
        <v>-2130.0</v>
      </c>
      <c r="AU1339" s="11">
        <v>-188.0</v>
      </c>
      <c r="AV1339" s="11">
        <v>-359.0</v>
      </c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1">
        <v>28090.0</v>
      </c>
      <c r="BI1339" s="11">
        <v>10260.0</v>
      </c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1">
        <v>29190.0</v>
      </c>
      <c r="BX1339" s="11">
        <v>10270.0</v>
      </c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1">
        <v>29190.0</v>
      </c>
      <c r="CM1339" s="11">
        <v>10400.0</v>
      </c>
      <c r="CN1339" s="12"/>
      <c r="CO1339" s="12"/>
      <c r="CP1339" s="12"/>
      <c r="CQ1339" s="11">
        <v>411.0</v>
      </c>
      <c r="CR1339" s="11">
        <v>429.0</v>
      </c>
      <c r="CS1339" s="11">
        <v>2.0</v>
      </c>
      <c r="CT1339" s="11">
        <v>11.0</v>
      </c>
      <c r="CU1339" s="12"/>
      <c r="CV1339" s="11">
        <v>411.0</v>
      </c>
      <c r="CW1339" s="12"/>
      <c r="CX1339" s="12"/>
      <c r="CY1339" s="12"/>
      <c r="CZ1339" s="12"/>
      <c r="DA1339" s="12"/>
      <c r="DB1339" s="11">
        <v>411.0</v>
      </c>
      <c r="DC1339" s="11">
        <v>1160.0</v>
      </c>
      <c r="DD1339" s="11">
        <v>2.0</v>
      </c>
      <c r="DE1339" s="11">
        <v>11.0</v>
      </c>
      <c r="DF1339" s="11">
        <v>1540.0</v>
      </c>
      <c r="DG1339" s="11">
        <v>1160.0</v>
      </c>
      <c r="DH1339" s="11">
        <v>2.0</v>
      </c>
      <c r="DI1339" s="11">
        <v>11.0</v>
      </c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3"/>
      <c r="DV1339" s="11">
        <v>12490.0</v>
      </c>
      <c r="DW1339" s="12"/>
      <c r="DX1339" s="13"/>
      <c r="DY1339" s="13"/>
      <c r="DZ1339" s="11">
        <v>27640.0</v>
      </c>
      <c r="EA1339" s="11">
        <v>9240.0</v>
      </c>
      <c r="EB1339" s="11">
        <v>-2.0</v>
      </c>
      <c r="EC1339" s="11">
        <v>-11.0</v>
      </c>
      <c r="ED1339" s="12"/>
      <c r="EE1339" s="23"/>
      <c r="EF1339" s="23"/>
      <c r="EG1339" s="14">
        <v>0.048</v>
      </c>
      <c r="EH1339" s="23"/>
    </row>
    <row r="1340">
      <c r="A1340" s="9">
        <f t="shared" si="2"/>
        <v>1338</v>
      </c>
      <c r="B1340" s="10" t="s">
        <v>1475</v>
      </c>
      <c r="C1340" s="11">
        <v>626900.0</v>
      </c>
      <c r="D1340" s="11">
        <v>588700.0</v>
      </c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2"/>
      <c r="U1340" s="12"/>
      <c r="V1340" s="12"/>
      <c r="W1340" s="12"/>
      <c r="X1340" s="12"/>
      <c r="Y1340" s="12"/>
      <c r="Z1340" s="12"/>
      <c r="AA1340" s="11"/>
      <c r="AB1340" s="12"/>
      <c r="AC1340" s="12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2"/>
      <c r="BD1340" s="12"/>
      <c r="BE1340" s="12"/>
      <c r="BF1340" s="12"/>
      <c r="BG1340" s="12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2"/>
      <c r="BS1340" s="12"/>
      <c r="BT1340" s="12"/>
      <c r="BU1340" s="12"/>
      <c r="BV1340" s="12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2"/>
      <c r="CY1340" s="12"/>
      <c r="CZ1340" s="12"/>
      <c r="DA1340" s="12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2"/>
      <c r="DL1340" s="11"/>
      <c r="DM1340" s="11"/>
      <c r="DN1340" s="11"/>
      <c r="DO1340" s="12"/>
      <c r="DP1340" s="11"/>
      <c r="DQ1340" s="12"/>
      <c r="DR1340" s="12"/>
      <c r="DS1340" s="12"/>
      <c r="DT1340" s="12"/>
      <c r="DU1340" s="13"/>
      <c r="DV1340" s="12"/>
      <c r="DW1340" s="12"/>
      <c r="DX1340" s="12"/>
      <c r="DY1340" s="12"/>
      <c r="DZ1340" s="11"/>
      <c r="EA1340" s="11"/>
      <c r="EB1340" s="11"/>
      <c r="EC1340" s="11"/>
      <c r="ED1340" s="11"/>
      <c r="EE1340" s="14">
        <v>0.0</v>
      </c>
      <c r="EF1340" s="14">
        <v>0.0</v>
      </c>
      <c r="EG1340" s="14">
        <v>4.6</v>
      </c>
      <c r="EH1340" s="14">
        <v>1.885</v>
      </c>
    </row>
    <row r="1341">
      <c r="A1341" s="9">
        <f t="shared" si="2"/>
        <v>1339</v>
      </c>
      <c r="B1341" s="10" t="s">
        <v>1476</v>
      </c>
      <c r="C1341" s="11">
        <v>2020000.0</v>
      </c>
      <c r="D1341" s="11">
        <v>1970000.0</v>
      </c>
      <c r="E1341" s="11">
        <v>2900000.0</v>
      </c>
      <c r="F1341" s="11">
        <v>3300000.0</v>
      </c>
      <c r="G1341" s="11">
        <v>3070000.0</v>
      </c>
      <c r="H1341" s="11">
        <v>3530000.0</v>
      </c>
      <c r="I1341" s="11">
        <v>3890000.0</v>
      </c>
      <c r="J1341" s="11">
        <v>454560.0</v>
      </c>
      <c r="K1341" s="11">
        <v>222790.0</v>
      </c>
      <c r="L1341" s="11">
        <v>307880.0</v>
      </c>
      <c r="M1341" s="11">
        <v>666040.0</v>
      </c>
      <c r="N1341" s="11">
        <v>155790.0</v>
      </c>
      <c r="O1341" s="11">
        <v>257530.0</v>
      </c>
      <c r="P1341" s="11">
        <v>298390.0</v>
      </c>
      <c r="Q1341" s="11">
        <v>292630.0</v>
      </c>
      <c r="R1341" s="11">
        <v>281550.0</v>
      </c>
      <c r="S1341" s="11">
        <v>286780.0</v>
      </c>
      <c r="T1341" s="12"/>
      <c r="U1341" s="11">
        <v>49900.0</v>
      </c>
      <c r="V1341" s="11">
        <v>72760.0</v>
      </c>
      <c r="W1341" s="11">
        <v>112420.0</v>
      </c>
      <c r="X1341" s="11">
        <v>103030.0</v>
      </c>
      <c r="Y1341" s="11">
        <v>100530.0</v>
      </c>
      <c r="Z1341" s="11">
        <v>-39380.0</v>
      </c>
      <c r="AA1341" s="11">
        <v>-450150.0</v>
      </c>
      <c r="AB1341" s="11">
        <v>76010.0</v>
      </c>
      <c r="AC1341" s="11">
        <v>-1090000.0</v>
      </c>
      <c r="AD1341" s="11">
        <v>-22330.0</v>
      </c>
      <c r="AE1341" s="11">
        <v>-327190.0</v>
      </c>
      <c r="AF1341" s="11">
        <v>-461850.0</v>
      </c>
      <c r="AG1341" s="11">
        <v>-23610.0</v>
      </c>
      <c r="AH1341" s="11">
        <v>-1160000.0</v>
      </c>
      <c r="AI1341" s="11">
        <v>335200.0</v>
      </c>
      <c r="AJ1341" s="11">
        <v>74310.0</v>
      </c>
      <c r="AK1341" s="11">
        <v>173620.0</v>
      </c>
      <c r="AL1341" s="11">
        <v>561430.0</v>
      </c>
      <c r="AM1341" s="11">
        <v>34390.0</v>
      </c>
      <c r="AN1341" s="11">
        <v>-28130.0</v>
      </c>
      <c r="AO1341" s="11">
        <v>-321770.0</v>
      </c>
      <c r="AP1341" s="11">
        <v>-425390.0</v>
      </c>
      <c r="AQ1341" s="11">
        <v>-42950.0</v>
      </c>
      <c r="AR1341" s="11">
        <v>-1050000.0</v>
      </c>
      <c r="AS1341" s="11">
        <v>96670.0</v>
      </c>
      <c r="AT1341" s="11">
        <v>-174420.0</v>
      </c>
      <c r="AU1341" s="11">
        <v>-288890.0</v>
      </c>
      <c r="AV1341" s="11">
        <v>281520.0</v>
      </c>
      <c r="AW1341" s="11">
        <v>83860.0</v>
      </c>
      <c r="AX1341" s="11">
        <v>-39830.0</v>
      </c>
      <c r="AY1341" s="11">
        <v>-47100.0</v>
      </c>
      <c r="AZ1341" s="11">
        <v>-42050.0</v>
      </c>
      <c r="BA1341" s="11">
        <v>-51830.0</v>
      </c>
      <c r="BB1341" s="11">
        <v>-80050.0</v>
      </c>
      <c r="BC1341" s="11">
        <v>-8080.0</v>
      </c>
      <c r="BD1341" s="11">
        <v>-7970.0</v>
      </c>
      <c r="BE1341" s="11">
        <v>-7940.0</v>
      </c>
      <c r="BF1341" s="11">
        <v>-7930.0</v>
      </c>
      <c r="BG1341" s="11">
        <v>-7890.0</v>
      </c>
      <c r="BH1341" s="11">
        <v>485460.0</v>
      </c>
      <c r="BI1341" s="11">
        <v>92810.0</v>
      </c>
      <c r="BJ1341" s="11">
        <v>35820.0</v>
      </c>
      <c r="BK1341" s="11">
        <v>69630.0</v>
      </c>
      <c r="BL1341" s="11">
        <v>20980.0</v>
      </c>
      <c r="BM1341" s="11">
        <v>603900.0</v>
      </c>
      <c r="BN1341" s="11">
        <v>700260.0</v>
      </c>
      <c r="BO1341" s="11">
        <v>414190.0</v>
      </c>
      <c r="BP1341" s="11">
        <v>311790.0</v>
      </c>
      <c r="BQ1341" s="11">
        <v>444210.0</v>
      </c>
      <c r="BR1341" s="11">
        <v>452980.0</v>
      </c>
      <c r="BS1341" s="11">
        <v>413560.0</v>
      </c>
      <c r="BT1341" s="11">
        <v>1430000.0</v>
      </c>
      <c r="BU1341" s="11">
        <v>1340000.0</v>
      </c>
      <c r="BV1341" s="11">
        <v>1180000.0</v>
      </c>
      <c r="BW1341" s="11">
        <v>1560000.0</v>
      </c>
      <c r="BX1341" s="11">
        <v>1240000.0</v>
      </c>
      <c r="BY1341" s="11">
        <v>1920000.0</v>
      </c>
      <c r="BZ1341" s="11">
        <v>1770000.0</v>
      </c>
      <c r="CA1341" s="11">
        <v>1740000.0</v>
      </c>
      <c r="CB1341" s="11">
        <v>479600.0</v>
      </c>
      <c r="CC1341" s="11">
        <v>543710.0</v>
      </c>
      <c r="CD1341" s="11">
        <v>726000.0</v>
      </c>
      <c r="CE1341" s="11">
        <v>805030.0</v>
      </c>
      <c r="CF1341" s="11">
        <v>889730.0</v>
      </c>
      <c r="CG1341" s="11">
        <v>513530.0</v>
      </c>
      <c r="CH1341" s="11">
        <v>583230.0</v>
      </c>
      <c r="CI1341" s="11">
        <v>592830.0</v>
      </c>
      <c r="CJ1341" s="11">
        <v>1140000.0</v>
      </c>
      <c r="CK1341" s="11">
        <v>1440000.0</v>
      </c>
      <c r="CL1341" s="11">
        <v>3140000.0</v>
      </c>
      <c r="CM1341" s="11">
        <v>2850000.0</v>
      </c>
      <c r="CN1341" s="11">
        <v>3810000.0</v>
      </c>
      <c r="CO1341" s="11">
        <v>4410000.0</v>
      </c>
      <c r="CP1341" s="11">
        <v>4840000.0</v>
      </c>
      <c r="CQ1341" s="11">
        <v>457690.0</v>
      </c>
      <c r="CR1341" s="11">
        <v>433780.0</v>
      </c>
      <c r="CS1341" s="11">
        <v>418370.0</v>
      </c>
      <c r="CT1341" s="11">
        <v>481240.0</v>
      </c>
      <c r="CU1341" s="11">
        <v>410230.0</v>
      </c>
      <c r="CV1341" s="11">
        <v>987750.0</v>
      </c>
      <c r="CW1341" s="11">
        <v>13140.0</v>
      </c>
      <c r="CX1341" s="12"/>
      <c r="CY1341" s="12"/>
      <c r="CZ1341" s="12"/>
      <c r="DA1341" s="12"/>
      <c r="DB1341" s="11">
        <v>987750.0</v>
      </c>
      <c r="DC1341" s="11">
        <v>975280.0</v>
      </c>
      <c r="DD1341" s="11">
        <v>992440.0</v>
      </c>
      <c r="DE1341" s="11">
        <v>1330000.0</v>
      </c>
      <c r="DF1341" s="11">
        <v>3920000.0</v>
      </c>
      <c r="DG1341" s="11">
        <v>3430000.0</v>
      </c>
      <c r="DH1341" s="11">
        <v>3360000.0</v>
      </c>
      <c r="DI1341" s="11">
        <v>3570000.0</v>
      </c>
      <c r="DJ1341" s="11">
        <v>3900000.0</v>
      </c>
      <c r="DK1341" s="12"/>
      <c r="DL1341" s="12"/>
      <c r="DM1341" s="12"/>
      <c r="DN1341" s="12"/>
      <c r="DO1341" s="12"/>
      <c r="DP1341" s="11">
        <v>1850000.0</v>
      </c>
      <c r="DQ1341" s="11">
        <v>1480000.0</v>
      </c>
      <c r="DR1341" s="11">
        <v>1420000.0</v>
      </c>
      <c r="DS1341" s="11">
        <v>1040000.0</v>
      </c>
      <c r="DT1341" s="11">
        <v>1370000.0</v>
      </c>
      <c r="DU1341" s="12"/>
      <c r="DV1341" s="12"/>
      <c r="DW1341" s="12"/>
      <c r="DX1341" s="12"/>
      <c r="DY1341" s="12"/>
      <c r="DZ1341" s="11">
        <v>-781260.0</v>
      </c>
      <c r="EA1341" s="11">
        <v>-573310.0</v>
      </c>
      <c r="EB1341" s="11">
        <v>450530.0</v>
      </c>
      <c r="EC1341" s="11">
        <v>846470.0</v>
      </c>
      <c r="ED1341" s="11">
        <v>934940.0</v>
      </c>
      <c r="EE1341" s="14">
        <v>0.162</v>
      </c>
      <c r="EF1341" s="14">
        <v>0.193</v>
      </c>
      <c r="EG1341" s="14">
        <v>0.078</v>
      </c>
      <c r="EH1341" s="14">
        <v>0.041</v>
      </c>
    </row>
    <row r="1342">
      <c r="A1342" s="9">
        <f t="shared" si="2"/>
        <v>1340</v>
      </c>
      <c r="B1342" s="10" t="s">
        <v>1477</v>
      </c>
      <c r="C1342" s="12">
        <v>385510.0</v>
      </c>
      <c r="D1342" s="12">
        <v>372130.0</v>
      </c>
      <c r="E1342" s="11">
        <v>430910.0</v>
      </c>
      <c r="F1342" s="11">
        <v>370980.0</v>
      </c>
      <c r="G1342" s="11">
        <v>314460.0</v>
      </c>
      <c r="H1342" s="11">
        <v>305020.0</v>
      </c>
      <c r="I1342" s="11">
        <v>238830.0</v>
      </c>
      <c r="J1342" s="11">
        <v>131630.0</v>
      </c>
      <c r="K1342" s="11">
        <v>115330.0</v>
      </c>
      <c r="L1342" s="11">
        <v>94780.0</v>
      </c>
      <c r="M1342" s="11">
        <v>110860.0</v>
      </c>
      <c r="N1342" s="11">
        <v>83280.0</v>
      </c>
      <c r="O1342" s="11">
        <v>70350.0</v>
      </c>
      <c r="P1342" s="11">
        <v>66220.0</v>
      </c>
      <c r="Q1342" s="11">
        <v>60410.0</v>
      </c>
      <c r="R1342" s="11">
        <v>61630.0</v>
      </c>
      <c r="S1342" s="11">
        <v>42670.0</v>
      </c>
      <c r="T1342" s="12"/>
      <c r="U1342" s="12"/>
      <c r="V1342" s="12"/>
      <c r="W1342" s="11">
        <v>2200.0</v>
      </c>
      <c r="X1342" s="11">
        <v>2000.0</v>
      </c>
      <c r="Y1342" s="12"/>
      <c r="Z1342" s="12"/>
      <c r="AA1342" s="11">
        <v>31230.0</v>
      </c>
      <c r="AB1342" s="11">
        <v>53300.0</v>
      </c>
      <c r="AC1342" s="11">
        <v>3320.0</v>
      </c>
      <c r="AD1342" s="11">
        <v>36600.0</v>
      </c>
      <c r="AE1342" s="11">
        <v>14460.0</v>
      </c>
      <c r="AF1342" s="11">
        <v>11520.0</v>
      </c>
      <c r="AG1342" s="11">
        <v>39250.0</v>
      </c>
      <c r="AH1342" s="11">
        <v>7930.0</v>
      </c>
      <c r="AI1342" s="11">
        <v>81150.0</v>
      </c>
      <c r="AJ1342" s="11">
        <v>71430.0</v>
      </c>
      <c r="AK1342" s="11">
        <v>55330.0</v>
      </c>
      <c r="AL1342" s="11">
        <v>63260.0</v>
      </c>
      <c r="AM1342" s="11">
        <v>50050.0</v>
      </c>
      <c r="AN1342" s="11">
        <v>24540.0</v>
      </c>
      <c r="AO1342" s="11">
        <v>9030.0</v>
      </c>
      <c r="AP1342" s="11">
        <v>5450.0</v>
      </c>
      <c r="AQ1342" s="11">
        <v>23180.0</v>
      </c>
      <c r="AR1342" s="11">
        <v>-12770.0</v>
      </c>
      <c r="AS1342" s="11">
        <v>26740.0</v>
      </c>
      <c r="AT1342" s="11">
        <v>-5030.0</v>
      </c>
      <c r="AU1342" s="11">
        <v>14210.0</v>
      </c>
      <c r="AV1342" s="11">
        <v>-3090.0</v>
      </c>
      <c r="AW1342" s="11">
        <v>792.0</v>
      </c>
      <c r="AX1342" s="11">
        <v>-24950.0</v>
      </c>
      <c r="AY1342" s="11">
        <v>-13120.0</v>
      </c>
      <c r="AZ1342" s="11">
        <v>-14900.0</v>
      </c>
      <c r="BA1342" s="11">
        <v>-22910.0</v>
      </c>
      <c r="BB1342" s="11">
        <v>-14900.0</v>
      </c>
      <c r="BC1342" s="24">
        <v>-5230.0</v>
      </c>
      <c r="BD1342" s="24">
        <v>-2710.0</v>
      </c>
      <c r="BE1342" s="24">
        <v>-2470.0</v>
      </c>
      <c r="BF1342" s="24">
        <v>-3000.0</v>
      </c>
      <c r="BG1342" s="13"/>
      <c r="BH1342" s="11">
        <v>50170.0</v>
      </c>
      <c r="BI1342" s="11">
        <v>34200.0</v>
      </c>
      <c r="BJ1342" s="11">
        <v>42600.0</v>
      </c>
      <c r="BK1342" s="11">
        <v>28460.0</v>
      </c>
      <c r="BL1342" s="11">
        <v>19970.0</v>
      </c>
      <c r="BM1342" s="11">
        <v>161730.0</v>
      </c>
      <c r="BN1342" s="11">
        <v>148880.0</v>
      </c>
      <c r="BO1342" s="11">
        <v>129420.0</v>
      </c>
      <c r="BP1342" s="11">
        <v>110410.0</v>
      </c>
      <c r="BQ1342" s="11">
        <v>91350.0</v>
      </c>
      <c r="BR1342" s="11">
        <v>82710.0</v>
      </c>
      <c r="BS1342" s="11">
        <v>91850.0</v>
      </c>
      <c r="BT1342" s="11">
        <v>71660.0</v>
      </c>
      <c r="BU1342" s="11">
        <v>55090.0</v>
      </c>
      <c r="BV1342" s="11">
        <v>46010.0</v>
      </c>
      <c r="BW1342" s="11">
        <v>322850.0</v>
      </c>
      <c r="BX1342" s="11">
        <v>293400.0</v>
      </c>
      <c r="BY1342" s="11">
        <v>261900.0</v>
      </c>
      <c r="BZ1342" s="11">
        <v>210740.0</v>
      </c>
      <c r="CA1342" s="11">
        <v>167380.0</v>
      </c>
      <c r="CB1342" s="11">
        <v>154610.0</v>
      </c>
      <c r="CC1342" s="11">
        <v>149200.0</v>
      </c>
      <c r="CD1342" s="11">
        <v>168700.0</v>
      </c>
      <c r="CE1342" s="11">
        <v>170800.0</v>
      </c>
      <c r="CF1342" s="11">
        <v>135970.0</v>
      </c>
      <c r="CG1342" s="11">
        <v>23560.0</v>
      </c>
      <c r="CH1342" s="11">
        <v>23560.0</v>
      </c>
      <c r="CI1342" s="11">
        <v>23130.0</v>
      </c>
      <c r="CJ1342" s="11">
        <v>1330.0</v>
      </c>
      <c r="CK1342" s="11">
        <v>1330.0</v>
      </c>
      <c r="CL1342" s="11">
        <v>569670.0</v>
      </c>
      <c r="CM1342" s="11">
        <v>489770.0</v>
      </c>
      <c r="CN1342" s="11">
        <v>468000.0</v>
      </c>
      <c r="CO1342" s="11">
        <v>396390.0</v>
      </c>
      <c r="CP1342" s="11">
        <v>316450.0</v>
      </c>
      <c r="CQ1342" s="11">
        <v>61880.0</v>
      </c>
      <c r="CR1342" s="11">
        <v>65510.0</v>
      </c>
      <c r="CS1342" s="11">
        <v>55180.0</v>
      </c>
      <c r="CT1342" s="11">
        <v>42550.0</v>
      </c>
      <c r="CU1342" s="11">
        <v>39140.0</v>
      </c>
      <c r="CV1342" s="11">
        <v>129010.0</v>
      </c>
      <c r="CW1342" s="11">
        <v>16080.0</v>
      </c>
      <c r="CX1342" s="24">
        <v>21610.0</v>
      </c>
      <c r="CY1342" s="24">
        <v>3260.0</v>
      </c>
      <c r="CZ1342" s="24">
        <v>2650.0</v>
      </c>
      <c r="DA1342" s="11">
        <v>79.0</v>
      </c>
      <c r="DB1342" s="11">
        <v>129010.0</v>
      </c>
      <c r="DC1342" s="11">
        <v>122600.0</v>
      </c>
      <c r="DD1342" s="11">
        <v>121450.0</v>
      </c>
      <c r="DE1342" s="11">
        <v>78390.0</v>
      </c>
      <c r="DF1342" s="11">
        <v>382460.0</v>
      </c>
      <c r="DG1342" s="11">
        <v>356550.0</v>
      </c>
      <c r="DH1342" s="11">
        <v>346340.0</v>
      </c>
      <c r="DI1342" s="11">
        <v>282830.0</v>
      </c>
      <c r="DJ1342" s="11">
        <v>283310.0</v>
      </c>
      <c r="DK1342" s="11">
        <v>48400.0</v>
      </c>
      <c r="DL1342" s="11">
        <v>2770.0</v>
      </c>
      <c r="DM1342" s="11">
        <v>2570.0</v>
      </c>
      <c r="DN1342" s="11">
        <v>5630.0</v>
      </c>
      <c r="DO1342" s="24">
        <v>4940.0</v>
      </c>
      <c r="DP1342" s="11">
        <v>252230.0</v>
      </c>
      <c r="DQ1342" s="11">
        <v>229810.0</v>
      </c>
      <c r="DR1342" s="11">
        <v>221000.0</v>
      </c>
      <c r="DS1342" s="11">
        <v>196950.0</v>
      </c>
      <c r="DT1342" s="11">
        <v>121490.0</v>
      </c>
      <c r="DU1342" s="13"/>
      <c r="DV1342" s="12"/>
      <c r="DW1342" s="12"/>
      <c r="DX1342" s="13"/>
      <c r="DY1342" s="13"/>
      <c r="DZ1342" s="11">
        <v>186600.0</v>
      </c>
      <c r="EA1342" s="11">
        <v>132360.0</v>
      </c>
      <c r="EB1342" s="11">
        <v>120250.0</v>
      </c>
      <c r="EC1342" s="11">
        <v>113570.0</v>
      </c>
      <c r="ED1342" s="11">
        <v>33140.0</v>
      </c>
      <c r="EE1342" s="23">
        <v>0.081691882</v>
      </c>
      <c r="EF1342" s="23">
        <v>0.058364245</v>
      </c>
      <c r="EG1342" s="14">
        <v>-0.286</v>
      </c>
      <c r="EH1342" s="23">
        <v>-0.08025</v>
      </c>
    </row>
    <row r="1343">
      <c r="A1343" s="9">
        <f t="shared" si="2"/>
        <v>1341</v>
      </c>
      <c r="B1343" s="10" t="s">
        <v>1478</v>
      </c>
      <c r="C1343" s="11">
        <v>582620.0</v>
      </c>
      <c r="D1343" s="11">
        <v>575740.0</v>
      </c>
      <c r="E1343" s="11">
        <v>601260.0</v>
      </c>
      <c r="F1343" s="11">
        <v>510760.0</v>
      </c>
      <c r="G1343" s="11">
        <v>432680.0</v>
      </c>
      <c r="H1343" s="11">
        <v>396440.0</v>
      </c>
      <c r="I1343" s="11">
        <v>397990.0</v>
      </c>
      <c r="J1343" s="11">
        <v>311530.0</v>
      </c>
      <c r="K1343" s="11">
        <v>240490.0</v>
      </c>
      <c r="L1343" s="11">
        <v>215790.0</v>
      </c>
      <c r="M1343" s="11">
        <v>210660.0</v>
      </c>
      <c r="N1343" s="11">
        <v>210490.0</v>
      </c>
      <c r="O1343" s="11">
        <v>22520.0</v>
      </c>
      <c r="P1343" s="11">
        <v>28510.0</v>
      </c>
      <c r="Q1343" s="11">
        <v>16540.0</v>
      </c>
      <c r="R1343" s="11">
        <v>18500.0</v>
      </c>
      <c r="S1343" s="11">
        <v>25120.0</v>
      </c>
      <c r="T1343" s="12"/>
      <c r="U1343" s="12"/>
      <c r="V1343" s="12"/>
      <c r="W1343" s="12"/>
      <c r="X1343" s="12"/>
      <c r="Y1343" s="11">
        <v>282880.0</v>
      </c>
      <c r="Z1343" s="11">
        <v>199920.0</v>
      </c>
      <c r="AA1343" s="11">
        <v>261000.0</v>
      </c>
      <c r="AB1343" s="11">
        <v>210000.0</v>
      </c>
      <c r="AC1343" s="11">
        <v>193750.0</v>
      </c>
      <c r="AD1343" s="11">
        <v>172080.0</v>
      </c>
      <c r="AE1343" s="11">
        <v>30090.0</v>
      </c>
      <c r="AF1343" s="11">
        <v>49740.0</v>
      </c>
      <c r="AG1343" s="11">
        <v>158940.0</v>
      </c>
      <c r="AH1343" s="11">
        <v>220230.0</v>
      </c>
      <c r="AI1343" s="11">
        <v>425770.0</v>
      </c>
      <c r="AJ1343" s="11">
        <v>328690.0</v>
      </c>
      <c r="AK1343" s="11">
        <v>304790.0</v>
      </c>
      <c r="AL1343" s="11">
        <v>287700.0</v>
      </c>
      <c r="AM1343" s="11">
        <v>277630.0</v>
      </c>
      <c r="AN1343" s="11">
        <v>150250.0</v>
      </c>
      <c r="AO1343" s="11">
        <v>28320.0</v>
      </c>
      <c r="AP1343" s="11">
        <v>33570.0</v>
      </c>
      <c r="AQ1343" s="11">
        <v>134980.0</v>
      </c>
      <c r="AR1343" s="11">
        <v>174610.0</v>
      </c>
      <c r="AS1343" s="11">
        <v>298930.0</v>
      </c>
      <c r="AT1343" s="11">
        <v>131200.0</v>
      </c>
      <c r="AU1343" s="11">
        <v>194470.0</v>
      </c>
      <c r="AV1343" s="11">
        <v>166490.0</v>
      </c>
      <c r="AW1343" s="11">
        <v>242510.0</v>
      </c>
      <c r="AX1343" s="11">
        <v>-97900.0</v>
      </c>
      <c r="AY1343" s="11">
        <v>-686150.0</v>
      </c>
      <c r="AZ1343" s="11">
        <v>-708610.0</v>
      </c>
      <c r="BA1343" s="11">
        <v>-345790.0</v>
      </c>
      <c r="BB1343" s="11">
        <v>-191970.0</v>
      </c>
      <c r="BC1343" s="11">
        <v>-82380.0</v>
      </c>
      <c r="BD1343" s="11">
        <v>-70350.0</v>
      </c>
      <c r="BE1343" s="11">
        <v>-56650.0</v>
      </c>
      <c r="BF1343" s="11">
        <v>-45470.0</v>
      </c>
      <c r="BG1343" s="11">
        <v>-255520.0</v>
      </c>
      <c r="BH1343" s="11">
        <v>213910.0</v>
      </c>
      <c r="BI1343" s="11">
        <v>187340.0</v>
      </c>
      <c r="BJ1343" s="11">
        <v>267650.0</v>
      </c>
      <c r="BK1343" s="11">
        <v>136820.0</v>
      </c>
      <c r="BL1343" s="11">
        <v>109080.0</v>
      </c>
      <c r="BM1343" s="11">
        <v>287450.0</v>
      </c>
      <c r="BN1343" s="11">
        <v>33430.0</v>
      </c>
      <c r="BO1343" s="11">
        <v>41240.0</v>
      </c>
      <c r="BP1343" s="11">
        <v>185310.0</v>
      </c>
      <c r="BQ1343" s="11">
        <v>55710.0</v>
      </c>
      <c r="BR1343" s="12"/>
      <c r="BS1343" s="12"/>
      <c r="BT1343" s="12"/>
      <c r="BU1343" s="12"/>
      <c r="BV1343" s="12"/>
      <c r="BW1343" s="11">
        <v>513890.0</v>
      </c>
      <c r="BX1343" s="11">
        <v>319330.0</v>
      </c>
      <c r="BY1343" s="11">
        <v>349090.0</v>
      </c>
      <c r="BZ1343" s="11">
        <v>346430.0</v>
      </c>
      <c r="CA1343" s="11">
        <v>169260.0</v>
      </c>
      <c r="CB1343" s="11">
        <v>3060000.0</v>
      </c>
      <c r="CC1343" s="11">
        <v>3330000.0</v>
      </c>
      <c r="CD1343" s="11">
        <v>2910000.0</v>
      </c>
      <c r="CE1343" s="11">
        <v>2220000.0</v>
      </c>
      <c r="CF1343" s="11">
        <v>2110000.0</v>
      </c>
      <c r="CG1343" s="11">
        <v>34840.0</v>
      </c>
      <c r="CH1343" s="11">
        <v>34840.0</v>
      </c>
      <c r="CI1343" s="11">
        <v>35630.0</v>
      </c>
      <c r="CJ1343" s="11">
        <v>35630.0</v>
      </c>
      <c r="CK1343" s="11">
        <v>35630.0</v>
      </c>
      <c r="CL1343" s="11">
        <v>5410000.0</v>
      </c>
      <c r="CM1343" s="11">
        <v>5380000.0</v>
      </c>
      <c r="CN1343" s="11">
        <v>5020000.0</v>
      </c>
      <c r="CO1343" s="11">
        <v>4320000.0</v>
      </c>
      <c r="CP1343" s="11">
        <v>4050000.0</v>
      </c>
      <c r="CQ1343" s="11">
        <v>5090.0</v>
      </c>
      <c r="CR1343" s="11">
        <v>3830.0</v>
      </c>
      <c r="CS1343" s="11">
        <v>3510.0</v>
      </c>
      <c r="CT1343" s="11">
        <v>5560.0</v>
      </c>
      <c r="CU1343" s="11">
        <v>2770.0</v>
      </c>
      <c r="CV1343" s="11">
        <v>632520.0</v>
      </c>
      <c r="CW1343" s="11">
        <v>13410.0</v>
      </c>
      <c r="CX1343" s="12"/>
      <c r="CY1343" s="12"/>
      <c r="CZ1343" s="12"/>
      <c r="DA1343" s="12"/>
      <c r="DB1343" s="11">
        <v>632520.0</v>
      </c>
      <c r="DC1343" s="11">
        <v>352150.0</v>
      </c>
      <c r="DD1343" s="11">
        <v>833710.0</v>
      </c>
      <c r="DE1343" s="11">
        <v>375430.0</v>
      </c>
      <c r="DF1343" s="11">
        <v>3530000.0</v>
      </c>
      <c r="DG1343" s="11">
        <v>3500000.0</v>
      </c>
      <c r="DH1343" s="11">
        <v>3090000.0</v>
      </c>
      <c r="DI1343" s="11">
        <v>2540000.0</v>
      </c>
      <c r="DJ1343" s="11">
        <v>2510000.0</v>
      </c>
      <c r="DK1343" s="11">
        <v>1200000.0</v>
      </c>
      <c r="DL1343" s="11">
        <v>1070000.0</v>
      </c>
      <c r="DM1343" s="11">
        <v>1170000.0</v>
      </c>
      <c r="DN1343" s="11">
        <v>1640000.0</v>
      </c>
      <c r="DO1343" s="11">
        <v>1640000.0</v>
      </c>
      <c r="DP1343" s="11">
        <v>2800000.0</v>
      </c>
      <c r="DQ1343" s="11">
        <v>3050000.0</v>
      </c>
      <c r="DR1343" s="11">
        <v>2150000.0</v>
      </c>
      <c r="DS1343" s="11">
        <v>1960000.0</v>
      </c>
      <c r="DT1343" s="11">
        <v>1860000.0</v>
      </c>
      <c r="DU1343" s="11">
        <v>285160.0</v>
      </c>
      <c r="DV1343" s="11">
        <v>285160.0</v>
      </c>
      <c r="DW1343" s="11">
        <v>285160.0</v>
      </c>
      <c r="DX1343" s="11">
        <v>123430.0</v>
      </c>
      <c r="DY1343" s="12"/>
      <c r="DZ1343" s="11">
        <v>1770000.0</v>
      </c>
      <c r="EA1343" s="11">
        <v>1780000.0</v>
      </c>
      <c r="EB1343" s="11">
        <v>1830000.0</v>
      </c>
      <c r="EC1343" s="11">
        <v>1690000.0</v>
      </c>
      <c r="ED1343" s="11">
        <v>1470000.0</v>
      </c>
      <c r="EE1343" s="14">
        <v>0.042</v>
      </c>
      <c r="EF1343" s="14">
        <v>0.087</v>
      </c>
      <c r="EG1343" s="14">
        <v>0.015</v>
      </c>
      <c r="EH1343" s="14">
        <v>-0.009</v>
      </c>
    </row>
    <row r="1344">
      <c r="A1344" s="9">
        <f t="shared" si="2"/>
        <v>1342</v>
      </c>
      <c r="B1344" s="10" t="s">
        <v>1479</v>
      </c>
      <c r="C1344" s="15">
        <v>8.477E7</v>
      </c>
      <c r="D1344" s="15">
        <v>8.361E7</v>
      </c>
      <c r="E1344" s="15">
        <v>7.811E7</v>
      </c>
      <c r="F1344" s="15">
        <v>7.536E7</v>
      </c>
      <c r="G1344" s="15">
        <v>7.271E7</v>
      </c>
      <c r="H1344" s="15">
        <v>6.95E7</v>
      </c>
      <c r="I1344" s="15">
        <v>7.379E7</v>
      </c>
      <c r="J1344" s="15">
        <v>2.089E7</v>
      </c>
      <c r="K1344" s="15">
        <v>1.983E7</v>
      </c>
      <c r="L1344" s="15">
        <v>1.936E7</v>
      </c>
      <c r="M1344" s="15">
        <v>1.833E7</v>
      </c>
      <c r="N1344" s="15">
        <v>1.958E7</v>
      </c>
      <c r="O1344" s="15">
        <v>1.621E7</v>
      </c>
      <c r="P1344" s="15">
        <v>1.563E7</v>
      </c>
      <c r="Q1344" s="15">
        <v>1.505E7</v>
      </c>
      <c r="R1344" s="15">
        <v>1.395E7</v>
      </c>
      <c r="S1344" s="15">
        <v>1.504E7</v>
      </c>
      <c r="T1344" s="12"/>
      <c r="U1344" s="12"/>
      <c r="V1344" s="12"/>
      <c r="W1344" s="12"/>
      <c r="X1344" s="12"/>
      <c r="Y1344" s="15">
        <v>4610000.0</v>
      </c>
      <c r="Z1344" s="15">
        <v>4110000.0</v>
      </c>
      <c r="AA1344" s="15">
        <v>-205000.0</v>
      </c>
      <c r="AB1344" s="15">
        <v>3910000.0</v>
      </c>
      <c r="AC1344" s="15">
        <v>4310000.0</v>
      </c>
      <c r="AD1344" s="15">
        <v>4190000.0</v>
      </c>
      <c r="AE1344" s="15">
        <v>3680000.0</v>
      </c>
      <c r="AF1344" s="15">
        <v>3630000.0</v>
      </c>
      <c r="AG1344" s="15">
        <v>3970000.0</v>
      </c>
      <c r="AH1344" s="15">
        <v>4920000.0</v>
      </c>
      <c r="AI1344" s="15">
        <v>7290000.0</v>
      </c>
      <c r="AJ1344" s="15">
        <v>6680000.0</v>
      </c>
      <c r="AK1344" s="15">
        <v>6790000.0</v>
      </c>
      <c r="AL1344" s="15">
        <v>6680000.0</v>
      </c>
      <c r="AM1344" s="15">
        <v>6750000.0</v>
      </c>
      <c r="AN1344" s="15">
        <v>3270000.0</v>
      </c>
      <c r="AO1344" s="15">
        <v>2930000.0</v>
      </c>
      <c r="AP1344" s="15">
        <v>2910000.0</v>
      </c>
      <c r="AQ1344" s="15">
        <v>2670000.0</v>
      </c>
      <c r="AR1344" s="15">
        <v>3320000.0</v>
      </c>
      <c r="AS1344" s="15">
        <v>7120000.0</v>
      </c>
      <c r="AT1344" s="15">
        <v>5970000.0</v>
      </c>
      <c r="AU1344" s="15">
        <v>6940000.0</v>
      </c>
      <c r="AV1344" s="15">
        <v>5440000.0</v>
      </c>
      <c r="AW1344" s="15">
        <v>5840000.0</v>
      </c>
      <c r="AX1344" s="15">
        <v>-3030000.0</v>
      </c>
      <c r="AY1344" s="15">
        <v>-3520000.0</v>
      </c>
      <c r="AZ1344" s="15">
        <v>-2530000.0</v>
      </c>
      <c r="BA1344" s="15">
        <v>-1550000.0</v>
      </c>
      <c r="BB1344" s="15">
        <v>-1440000.0</v>
      </c>
      <c r="BC1344" s="15">
        <v>-1330000.0</v>
      </c>
      <c r="BD1344" s="15">
        <v>-1340000.0</v>
      </c>
      <c r="BE1344" s="15">
        <v>-1340000.0</v>
      </c>
      <c r="BF1344" s="15">
        <v>-1350000.0</v>
      </c>
      <c r="BG1344" s="15">
        <v>-1360000.0</v>
      </c>
      <c r="BH1344" s="15">
        <v>2580000.0</v>
      </c>
      <c r="BI1344" s="15">
        <v>1560000.0</v>
      </c>
      <c r="BJ1344" s="15">
        <v>2640000.0</v>
      </c>
      <c r="BK1344" s="15">
        <v>2510000.0</v>
      </c>
      <c r="BL1344" s="15">
        <v>4050000.0</v>
      </c>
      <c r="BM1344" s="15">
        <v>962000.0</v>
      </c>
      <c r="BN1344" s="15">
        <v>1100000.0</v>
      </c>
      <c r="BO1344" s="15">
        <v>929000.0</v>
      </c>
      <c r="BP1344" s="15">
        <v>749000.0</v>
      </c>
      <c r="BQ1344" s="15">
        <v>779000.0</v>
      </c>
      <c r="BR1344" s="15">
        <v>8990000.0</v>
      </c>
      <c r="BS1344" s="15">
        <v>9500000.0</v>
      </c>
      <c r="BT1344" s="15">
        <v>8600000.0</v>
      </c>
      <c r="BU1344" s="15">
        <v>8310000.0</v>
      </c>
      <c r="BV1344" s="15">
        <v>8600000.0</v>
      </c>
      <c r="BW1344" s="15">
        <v>1.29E7</v>
      </c>
      <c r="BX1344" s="15">
        <v>1.252E7</v>
      </c>
      <c r="BY1344" s="15">
        <v>1.254E7</v>
      </c>
      <c r="BZ1344" s="15">
        <v>1.199E7</v>
      </c>
      <c r="CA1344" s="15">
        <v>1.413E7</v>
      </c>
      <c r="CB1344" s="15">
        <v>2.852E7</v>
      </c>
      <c r="CC1344" s="15">
        <v>2.75E7</v>
      </c>
      <c r="CD1344" s="15">
        <v>2.642E7</v>
      </c>
      <c r="CE1344" s="15">
        <v>2.466E7</v>
      </c>
      <c r="CF1344" s="15">
        <v>2.522E7</v>
      </c>
      <c r="CG1344" s="15">
        <v>633000.0</v>
      </c>
      <c r="CH1344" s="15">
        <v>633000.0</v>
      </c>
      <c r="CI1344" s="15">
        <v>630000.0</v>
      </c>
      <c r="CJ1344" s="15">
        <v>133000.0</v>
      </c>
      <c r="CK1344" s="15">
        <v>133000.0</v>
      </c>
      <c r="CL1344" s="15">
        <v>4.278E7</v>
      </c>
      <c r="CM1344" s="15">
        <v>4.129E7</v>
      </c>
      <c r="CN1344" s="15">
        <v>4.03E7</v>
      </c>
      <c r="CO1344" s="15">
        <v>3.743E7</v>
      </c>
      <c r="CP1344" s="15">
        <v>4.026E7</v>
      </c>
      <c r="CQ1344" s="15">
        <v>9920000.0</v>
      </c>
      <c r="CR1344" s="15">
        <v>9760000.0</v>
      </c>
      <c r="CS1344" s="15">
        <v>8680000.0</v>
      </c>
      <c r="CT1344" s="15">
        <v>7250000.0</v>
      </c>
      <c r="CU1344" s="15">
        <v>7420000.0</v>
      </c>
      <c r="CV1344" s="15">
        <v>1.449E7</v>
      </c>
      <c r="CW1344" s="15">
        <v>200000.0</v>
      </c>
      <c r="CX1344" s="15">
        <v>166000.0</v>
      </c>
      <c r="CY1344" s="15">
        <v>148000.0</v>
      </c>
      <c r="CZ1344" s="13"/>
      <c r="DA1344" s="12"/>
      <c r="DB1344" s="15">
        <v>1.449E7</v>
      </c>
      <c r="DC1344" s="15">
        <v>1.501E7</v>
      </c>
      <c r="DD1344" s="15">
        <v>1.305E7</v>
      </c>
      <c r="DE1344" s="15">
        <v>1.271E7</v>
      </c>
      <c r="DF1344" s="15">
        <v>3.095E7</v>
      </c>
      <c r="DG1344" s="15">
        <v>2.999E7</v>
      </c>
      <c r="DH1344" s="15">
        <v>2.865E7</v>
      </c>
      <c r="DI1344" s="15">
        <v>2.648E7</v>
      </c>
      <c r="DJ1344" s="15">
        <v>2.731E7</v>
      </c>
      <c r="DK1344" s="15">
        <v>418000.0</v>
      </c>
      <c r="DL1344" s="15">
        <v>380000.0</v>
      </c>
      <c r="DM1344" s="15">
        <v>383000.0</v>
      </c>
      <c r="DN1344" s="15">
        <v>345000.0</v>
      </c>
      <c r="DO1344" s="15">
        <v>335000.0</v>
      </c>
      <c r="DP1344" s="15">
        <v>1.361E7</v>
      </c>
      <c r="DQ1344" s="15">
        <v>1.223E7</v>
      </c>
      <c r="DR1344" s="15">
        <v>1.304E7</v>
      </c>
      <c r="DS1344" s="15">
        <v>1.103E7</v>
      </c>
      <c r="DT1344" s="15">
        <v>1.195E7</v>
      </c>
      <c r="DU1344" s="13"/>
      <c r="DV1344" s="12"/>
      <c r="DW1344" s="12"/>
      <c r="DX1344" s="12"/>
      <c r="DY1344" s="12"/>
      <c r="DZ1344" s="15">
        <v>1.183E7</v>
      </c>
      <c r="EA1344" s="15">
        <v>1.13E7</v>
      </c>
      <c r="EB1344" s="15">
        <v>1.165E7</v>
      </c>
      <c r="EC1344" s="15">
        <v>1.095E7</v>
      </c>
      <c r="ED1344" s="15">
        <v>1.296E7</v>
      </c>
      <c r="EE1344" s="17">
        <v>0.043</v>
      </c>
      <c r="EF1344" s="17">
        <v>0.066</v>
      </c>
      <c r="EG1344" s="17">
        <v>0.475</v>
      </c>
      <c r="EH1344" s="17">
        <v>0.19</v>
      </c>
    </row>
    <row r="1345">
      <c r="A1345" s="9">
        <f t="shared" si="2"/>
        <v>1343</v>
      </c>
      <c r="B1345" s="22" t="s">
        <v>1480</v>
      </c>
      <c r="C1345" s="11">
        <v>79730.0</v>
      </c>
      <c r="D1345" s="12"/>
      <c r="E1345" s="11">
        <v>152.0</v>
      </c>
      <c r="F1345" s="11">
        <v>152.0</v>
      </c>
      <c r="G1345" s="11">
        <v>152.0</v>
      </c>
      <c r="H1345" s="11">
        <v>152.0</v>
      </c>
      <c r="I1345" s="11">
        <v>152.0</v>
      </c>
      <c r="J1345" s="12"/>
      <c r="K1345" s="12"/>
      <c r="L1345" s="12"/>
      <c r="M1345" s="12"/>
      <c r="N1345" s="12"/>
      <c r="O1345" s="11">
        <v>170130.0</v>
      </c>
      <c r="P1345" s="11">
        <v>174460.0</v>
      </c>
      <c r="Q1345" s="11">
        <v>118780.0</v>
      </c>
      <c r="R1345" s="11">
        <v>79060.0</v>
      </c>
      <c r="S1345" s="11">
        <v>63320.0</v>
      </c>
      <c r="T1345" s="11">
        <v>154180.0</v>
      </c>
      <c r="U1345" s="11">
        <v>159390.0</v>
      </c>
      <c r="V1345" s="11">
        <v>102530.0</v>
      </c>
      <c r="W1345" s="11">
        <v>69230.0</v>
      </c>
      <c r="X1345" s="11">
        <v>47710.0</v>
      </c>
      <c r="Y1345" s="11">
        <v>-169450.0</v>
      </c>
      <c r="Z1345" s="11">
        <v>-173460.0</v>
      </c>
      <c r="AA1345" s="11">
        <v>-117930.0</v>
      </c>
      <c r="AB1345" s="11">
        <v>-77970.0</v>
      </c>
      <c r="AC1345" s="11">
        <v>-62150.0</v>
      </c>
      <c r="AD1345" s="11">
        <v>-172870.0</v>
      </c>
      <c r="AE1345" s="11">
        <v>-173480.0</v>
      </c>
      <c r="AF1345" s="11">
        <v>-118480.0</v>
      </c>
      <c r="AG1345" s="11">
        <v>-78250.0</v>
      </c>
      <c r="AH1345" s="11">
        <v>-62950.0</v>
      </c>
      <c r="AI1345" s="11">
        <v>-169970.0</v>
      </c>
      <c r="AJ1345" s="11">
        <v>-174310.0</v>
      </c>
      <c r="AK1345" s="11">
        <v>-118630.0</v>
      </c>
      <c r="AL1345" s="11">
        <v>-78910.0</v>
      </c>
      <c r="AM1345" s="11">
        <v>-63160.0</v>
      </c>
      <c r="AN1345" s="11">
        <v>-172870.0</v>
      </c>
      <c r="AO1345" s="11">
        <v>-173480.0</v>
      </c>
      <c r="AP1345" s="11">
        <v>-118480.0</v>
      </c>
      <c r="AQ1345" s="11">
        <v>-78250.0</v>
      </c>
      <c r="AR1345" s="11">
        <v>-62950.0</v>
      </c>
      <c r="AS1345" s="11">
        <v>-131260.0</v>
      </c>
      <c r="AT1345" s="11">
        <v>-128930.0</v>
      </c>
      <c r="AU1345" s="11">
        <v>-93760.0</v>
      </c>
      <c r="AV1345" s="11">
        <v>-61590.0</v>
      </c>
      <c r="AW1345" s="11">
        <v>-44690.0</v>
      </c>
      <c r="AX1345" s="11">
        <v>-131.0</v>
      </c>
      <c r="AY1345" s="11">
        <v>-90.0</v>
      </c>
      <c r="AZ1345" s="11">
        <v>-2.0</v>
      </c>
      <c r="BA1345" s="11">
        <v>-344.0</v>
      </c>
      <c r="BB1345" s="11">
        <v>-42.0</v>
      </c>
      <c r="BC1345" s="12"/>
      <c r="BD1345" s="12"/>
      <c r="BE1345" s="12"/>
      <c r="BF1345" s="12"/>
      <c r="BG1345" s="12"/>
      <c r="BH1345" s="11">
        <v>140440.0</v>
      </c>
      <c r="BI1345" s="11">
        <v>68810.0</v>
      </c>
      <c r="BJ1345" s="11">
        <v>84720.0</v>
      </c>
      <c r="BK1345" s="11">
        <v>44890.0</v>
      </c>
      <c r="BL1345" s="11">
        <v>77230.0</v>
      </c>
      <c r="BM1345" s="12"/>
      <c r="BN1345" s="11">
        <v>95.0</v>
      </c>
      <c r="BO1345" s="11">
        <v>108.0</v>
      </c>
      <c r="BP1345" s="11">
        <v>84.0</v>
      </c>
      <c r="BQ1345" s="11">
        <v>186.0</v>
      </c>
      <c r="BR1345" s="12"/>
      <c r="BS1345" s="12"/>
      <c r="BT1345" s="12"/>
      <c r="BU1345" s="12"/>
      <c r="BV1345" s="12"/>
      <c r="BW1345" s="11">
        <v>149150.0</v>
      </c>
      <c r="BX1345" s="11">
        <v>79030.0</v>
      </c>
      <c r="BY1345" s="11">
        <v>93320.0</v>
      </c>
      <c r="BZ1345" s="11">
        <v>50860.0</v>
      </c>
      <c r="CA1345" s="11">
        <v>86870.0</v>
      </c>
      <c r="CB1345" s="11">
        <v>9680.0</v>
      </c>
      <c r="CC1345" s="11">
        <v>251.0</v>
      </c>
      <c r="CD1345" s="11">
        <v>248.0</v>
      </c>
      <c r="CE1345" s="11">
        <v>328.0</v>
      </c>
      <c r="CF1345" s="11">
        <v>47.0</v>
      </c>
      <c r="CG1345" s="11">
        <v>799.0</v>
      </c>
      <c r="CH1345" s="11">
        <v>799.0</v>
      </c>
      <c r="CI1345" s="11">
        <v>799.0</v>
      </c>
      <c r="CJ1345" s="11">
        <v>799.0</v>
      </c>
      <c r="CK1345" s="11">
        <v>799.0</v>
      </c>
      <c r="CL1345" s="11">
        <v>163010.0</v>
      </c>
      <c r="CM1345" s="11">
        <v>83620.0</v>
      </c>
      <c r="CN1345" s="11">
        <v>97380.0</v>
      </c>
      <c r="CO1345" s="11">
        <v>54780.0</v>
      </c>
      <c r="CP1345" s="11">
        <v>113470.0</v>
      </c>
      <c r="CQ1345" s="11">
        <v>30040.0</v>
      </c>
      <c r="CR1345" s="11">
        <v>36380.0</v>
      </c>
      <c r="CS1345" s="11">
        <v>25880.0</v>
      </c>
      <c r="CT1345" s="11">
        <v>15270.0</v>
      </c>
      <c r="CU1345" s="11">
        <v>9350.0</v>
      </c>
      <c r="CV1345" s="11">
        <v>84450.0</v>
      </c>
      <c r="CW1345" s="11">
        <v>1620.0</v>
      </c>
      <c r="CX1345" s="12"/>
      <c r="CY1345" s="24">
        <v>128.0</v>
      </c>
      <c r="CZ1345" s="24">
        <v>69.0</v>
      </c>
      <c r="DA1345" s="11">
        <v>212.0</v>
      </c>
      <c r="DB1345" s="11">
        <v>84450.0</v>
      </c>
      <c r="DC1345" s="11">
        <v>38850.0</v>
      </c>
      <c r="DD1345" s="11">
        <v>27960.0</v>
      </c>
      <c r="DE1345" s="11">
        <v>16880.0</v>
      </c>
      <c r="DF1345" s="11">
        <v>124400.0</v>
      </c>
      <c r="DG1345" s="11">
        <v>59580.0</v>
      </c>
      <c r="DH1345" s="11">
        <v>30390.0</v>
      </c>
      <c r="DI1345" s="11">
        <v>18910.0</v>
      </c>
      <c r="DJ1345" s="11">
        <v>11900.0</v>
      </c>
      <c r="DK1345" s="11">
        <v>1250.0</v>
      </c>
      <c r="DL1345" s="11">
        <v>1240.0</v>
      </c>
      <c r="DM1345" s="11">
        <v>587.0</v>
      </c>
      <c r="DN1345" s="11">
        <v>583.0</v>
      </c>
      <c r="DO1345" s="11">
        <v>25580.0</v>
      </c>
      <c r="DP1345" s="11">
        <v>39190.0</v>
      </c>
      <c r="DQ1345" s="12"/>
      <c r="DR1345" s="12"/>
      <c r="DS1345" s="12"/>
      <c r="DT1345" s="12"/>
      <c r="DU1345" s="13"/>
      <c r="DV1345" s="12"/>
      <c r="DW1345" s="12"/>
      <c r="DX1345" s="13"/>
      <c r="DY1345" s="13"/>
      <c r="DZ1345" s="11">
        <v>38620.0</v>
      </c>
      <c r="EA1345" s="11">
        <v>24040.0</v>
      </c>
      <c r="EB1345" s="11">
        <v>66990.0</v>
      </c>
      <c r="EC1345" s="11">
        <v>35870.0</v>
      </c>
      <c r="ED1345" s="11">
        <v>101570.0</v>
      </c>
      <c r="EE1345" s="23"/>
      <c r="EF1345" s="14">
        <v>2.528</v>
      </c>
      <c r="EG1345" s="14">
        <v>-0.382</v>
      </c>
      <c r="EH1345" s="14">
        <v>-0.425</v>
      </c>
    </row>
    <row r="1346">
      <c r="A1346" s="9">
        <f t="shared" si="2"/>
        <v>1344</v>
      </c>
      <c r="B1346" s="10" t="s">
        <v>1481</v>
      </c>
      <c r="C1346" s="11">
        <v>1.928E7</v>
      </c>
      <c r="D1346" s="11">
        <v>1.762E7</v>
      </c>
      <c r="E1346" s="11">
        <v>1.848E7</v>
      </c>
      <c r="F1346" s="11">
        <v>1.831E7</v>
      </c>
      <c r="G1346" s="11">
        <v>1.918E7</v>
      </c>
      <c r="H1346" s="11">
        <v>1.962E7</v>
      </c>
      <c r="I1346" s="11">
        <v>1.863E7</v>
      </c>
      <c r="J1346" s="11">
        <v>1680000.0</v>
      </c>
      <c r="K1346" s="11">
        <v>1610000.0</v>
      </c>
      <c r="L1346" s="11">
        <v>1380000.0</v>
      </c>
      <c r="M1346" s="11">
        <v>1400000.0</v>
      </c>
      <c r="N1346" s="11">
        <v>1310000.0</v>
      </c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1">
        <v>1130000.0</v>
      </c>
      <c r="Z1346" s="11">
        <v>1370000.0</v>
      </c>
      <c r="AA1346" s="11">
        <v>652000.0</v>
      </c>
      <c r="AB1346" s="11">
        <v>905000.0</v>
      </c>
      <c r="AC1346" s="11">
        <v>884000.0</v>
      </c>
      <c r="AD1346" s="11">
        <v>296000.0</v>
      </c>
      <c r="AE1346" s="11">
        <v>639000.0</v>
      </c>
      <c r="AF1346" s="12"/>
      <c r="AG1346" s="11">
        <v>248000.0</v>
      </c>
      <c r="AH1346" s="11">
        <v>144000.0</v>
      </c>
      <c r="AI1346" s="11">
        <v>2530000.0</v>
      </c>
      <c r="AJ1346" s="11">
        <v>2420000.0</v>
      </c>
      <c r="AK1346" s="11">
        <v>2250000.0</v>
      </c>
      <c r="AL1346" s="11">
        <v>2250000.0</v>
      </c>
      <c r="AM1346" s="11">
        <v>2110000.0</v>
      </c>
      <c r="AN1346" s="12"/>
      <c r="AO1346" s="11">
        <v>108000.0</v>
      </c>
      <c r="AP1346" s="12"/>
      <c r="AQ1346" s="12"/>
      <c r="AR1346" s="12"/>
      <c r="AS1346" s="11">
        <v>1230000.0</v>
      </c>
      <c r="AT1346" s="11">
        <v>1050000.0</v>
      </c>
      <c r="AU1346" s="11">
        <v>1200000.0</v>
      </c>
      <c r="AV1346" s="11">
        <v>558000.0</v>
      </c>
      <c r="AW1346" s="11">
        <v>1030000.0</v>
      </c>
      <c r="AX1346" s="12"/>
      <c r="AY1346" s="12"/>
      <c r="AZ1346" s="12"/>
      <c r="BA1346" s="12"/>
      <c r="BB1346" s="12"/>
      <c r="BC1346" s="13"/>
      <c r="BD1346" s="13"/>
      <c r="BE1346" s="13"/>
      <c r="BF1346" s="13"/>
      <c r="BG1346" s="13"/>
      <c r="BH1346" s="11">
        <v>262000.0</v>
      </c>
      <c r="BI1346" s="11">
        <v>411000.0</v>
      </c>
      <c r="BJ1346" s="11">
        <v>611000.0</v>
      </c>
      <c r="BK1346" s="11">
        <v>716000.0</v>
      </c>
      <c r="BL1346" s="11">
        <v>356000.0</v>
      </c>
      <c r="BM1346" s="11">
        <v>3280000.0</v>
      </c>
      <c r="BN1346" s="11">
        <v>2890000.0</v>
      </c>
      <c r="BO1346" s="11">
        <v>2930000.0</v>
      </c>
      <c r="BP1346" s="11">
        <v>3440000.0</v>
      </c>
      <c r="BQ1346" s="11">
        <v>3100000.0</v>
      </c>
      <c r="BR1346" s="11">
        <v>310000.0</v>
      </c>
      <c r="BS1346" s="11">
        <v>305000.0</v>
      </c>
      <c r="BT1346" s="11">
        <v>289000.0</v>
      </c>
      <c r="BU1346" s="11">
        <v>326000.0</v>
      </c>
      <c r="BV1346" s="11">
        <v>309000.0</v>
      </c>
      <c r="BW1346" s="11">
        <v>5080000.0</v>
      </c>
      <c r="BX1346" s="11">
        <v>4640000.0</v>
      </c>
      <c r="BY1346" s="11">
        <v>5570000.0</v>
      </c>
      <c r="BZ1346" s="11">
        <v>5260000.0</v>
      </c>
      <c r="CA1346" s="11">
        <v>5170000.0</v>
      </c>
      <c r="CB1346" s="11">
        <v>7790000.0</v>
      </c>
      <c r="CC1346" s="11">
        <v>6990000.0</v>
      </c>
      <c r="CD1346" s="11">
        <v>7030000.0</v>
      </c>
      <c r="CE1346" s="11">
        <v>8050000.0</v>
      </c>
      <c r="CF1346" s="11">
        <v>7920000.0</v>
      </c>
      <c r="CG1346" s="11">
        <v>7250000.0</v>
      </c>
      <c r="CH1346" s="11">
        <v>7280000.0</v>
      </c>
      <c r="CI1346" s="11">
        <v>7020000.0</v>
      </c>
      <c r="CJ1346" s="11">
        <v>7430000.0</v>
      </c>
      <c r="CK1346" s="11">
        <v>6970000.0</v>
      </c>
      <c r="CL1346" s="11">
        <v>2.335E7</v>
      </c>
      <c r="CM1346" s="11">
        <v>2.241E7</v>
      </c>
      <c r="CN1346" s="11">
        <v>2.339E7</v>
      </c>
      <c r="CO1346" s="11">
        <v>2.47E7</v>
      </c>
      <c r="CP1346" s="11">
        <v>2.368E7</v>
      </c>
      <c r="CQ1346" s="11">
        <v>1200000.0</v>
      </c>
      <c r="CR1346" s="11">
        <v>1090000.0</v>
      </c>
      <c r="CS1346" s="11">
        <v>1100000.0</v>
      </c>
      <c r="CT1346" s="11">
        <v>1190000.0</v>
      </c>
      <c r="CU1346" s="11">
        <v>1290000.0</v>
      </c>
      <c r="CV1346" s="11">
        <v>4210000.0</v>
      </c>
      <c r="CW1346" s="11">
        <v>159000.0</v>
      </c>
      <c r="CX1346" s="13"/>
      <c r="CY1346" s="13"/>
      <c r="CZ1346" s="13"/>
      <c r="DA1346" s="12"/>
      <c r="DB1346" s="11">
        <v>4210000.0</v>
      </c>
      <c r="DC1346" s="11">
        <v>3860000.0</v>
      </c>
      <c r="DD1346" s="11">
        <v>4330000.0</v>
      </c>
      <c r="DE1346" s="11">
        <v>4030000.0</v>
      </c>
      <c r="DF1346" s="11">
        <v>2.136E7</v>
      </c>
      <c r="DG1346" s="11">
        <v>2.03E7</v>
      </c>
      <c r="DH1346" s="11">
        <v>2.098E7</v>
      </c>
      <c r="DI1346" s="11">
        <v>2.123E7</v>
      </c>
      <c r="DJ1346" s="11">
        <v>2.046E7</v>
      </c>
      <c r="DK1346" s="12"/>
      <c r="DL1346" s="11">
        <v>996000.0</v>
      </c>
      <c r="DM1346" s="11">
        <v>1010000.0</v>
      </c>
      <c r="DN1346" s="11">
        <v>984000.0</v>
      </c>
      <c r="DO1346" s="11">
        <v>876000.0</v>
      </c>
      <c r="DP1346" s="11">
        <v>1.544E7</v>
      </c>
      <c r="DQ1346" s="11">
        <v>1.464E7</v>
      </c>
      <c r="DR1346" s="11">
        <v>1.479E7</v>
      </c>
      <c r="DS1346" s="11">
        <v>1.506E7</v>
      </c>
      <c r="DT1346" s="11">
        <v>1.438E7</v>
      </c>
      <c r="DU1346" s="13"/>
      <c r="DV1346" s="12"/>
      <c r="DW1346" s="12"/>
      <c r="DX1346" s="13"/>
      <c r="DY1346" s="13"/>
      <c r="DZ1346" s="12"/>
      <c r="EA1346" s="12"/>
      <c r="EB1346" s="12"/>
      <c r="EC1346" s="11">
        <v>417000.0</v>
      </c>
      <c r="ED1346" s="11">
        <v>691000.0</v>
      </c>
      <c r="EE1346" s="14">
        <v>0.21</v>
      </c>
      <c r="EF1346" s="14">
        <v>0.122</v>
      </c>
      <c r="EG1346" s="14">
        <v>3.0</v>
      </c>
      <c r="EH1346" s="14">
        <v>1.039</v>
      </c>
    </row>
    <row r="1347">
      <c r="A1347" s="9">
        <f t="shared" si="2"/>
        <v>1345</v>
      </c>
      <c r="B1347" s="25" t="s">
        <v>1482</v>
      </c>
      <c r="C1347" s="15">
        <v>9450000.0</v>
      </c>
      <c r="D1347" s="15">
        <v>8080000.0</v>
      </c>
      <c r="E1347" s="15">
        <v>7860000.0</v>
      </c>
      <c r="F1347" s="15">
        <v>8330000.0</v>
      </c>
      <c r="G1347" s="15">
        <v>7250000.0</v>
      </c>
      <c r="H1347" s="15">
        <v>4580000.0</v>
      </c>
      <c r="I1347" s="15">
        <v>4010000.0</v>
      </c>
      <c r="J1347" s="15">
        <v>888980.0</v>
      </c>
      <c r="K1347" s="15">
        <v>1360000.0</v>
      </c>
      <c r="L1347" s="15">
        <v>973950.0</v>
      </c>
      <c r="M1347" s="15">
        <v>694550.0</v>
      </c>
      <c r="N1347" s="15">
        <v>539170.0</v>
      </c>
      <c r="O1347" s="15">
        <v>527690.0</v>
      </c>
      <c r="P1347" s="15">
        <v>472410.0</v>
      </c>
      <c r="Q1347" s="15">
        <v>414140.0</v>
      </c>
      <c r="R1347" s="15">
        <v>302460.0</v>
      </c>
      <c r="S1347" s="15">
        <v>248530.0</v>
      </c>
      <c r="T1347" s="15">
        <v>9380.0</v>
      </c>
      <c r="U1347" s="15"/>
      <c r="V1347" s="15"/>
      <c r="W1347" s="15"/>
      <c r="X1347" s="15"/>
      <c r="Y1347" s="15">
        <v>245980.0</v>
      </c>
      <c r="Z1347" s="12"/>
      <c r="AA1347" s="15">
        <v>564070.0</v>
      </c>
      <c r="AB1347" s="15">
        <v>382980.0</v>
      </c>
      <c r="AC1347" s="15"/>
      <c r="AD1347" s="15">
        <v>184670.0</v>
      </c>
      <c r="AE1347" s="15">
        <v>633030.0</v>
      </c>
      <c r="AF1347" s="15">
        <v>556390.0</v>
      </c>
      <c r="AG1347" s="15">
        <v>383310.0</v>
      </c>
      <c r="AH1347" s="15">
        <v>292900.0</v>
      </c>
      <c r="AI1347" s="15">
        <v>510060.0</v>
      </c>
      <c r="AJ1347" s="15">
        <v>725330.0</v>
      </c>
      <c r="AK1347" s="15">
        <v>658070.0</v>
      </c>
      <c r="AL1347" s="15">
        <v>444670.0</v>
      </c>
      <c r="AM1347" s="15">
        <v>322020.0</v>
      </c>
      <c r="AN1347" s="15">
        <v>133280.0</v>
      </c>
      <c r="AO1347" s="15">
        <v>430150.0</v>
      </c>
      <c r="AP1347" s="15">
        <v>374250.0</v>
      </c>
      <c r="AQ1347" s="15">
        <v>258020.0</v>
      </c>
      <c r="AR1347" s="15">
        <v>202010.0</v>
      </c>
      <c r="AS1347" s="15">
        <v>508020.0</v>
      </c>
      <c r="AT1347" s="15">
        <v>466510.0</v>
      </c>
      <c r="AU1347" s="15">
        <v>419330.0</v>
      </c>
      <c r="AV1347" s="15">
        <v>341210.0</v>
      </c>
      <c r="AW1347" s="15">
        <v>247860.0</v>
      </c>
      <c r="AX1347" s="15">
        <v>-130220.0</v>
      </c>
      <c r="AY1347" s="15">
        <v>-138200.0</v>
      </c>
      <c r="AZ1347" s="15">
        <v>-115030.0</v>
      </c>
      <c r="BA1347" s="15">
        <v>-51980.0</v>
      </c>
      <c r="BB1347" s="15">
        <v>-42280.0</v>
      </c>
      <c r="BC1347" s="15">
        <v>-84140.0</v>
      </c>
      <c r="BD1347" s="15">
        <v>-77990.0</v>
      </c>
      <c r="BE1347" s="15">
        <v>-69410.0</v>
      </c>
      <c r="BF1347" s="15">
        <v>-62970.0</v>
      </c>
      <c r="BG1347" s="15">
        <v>-57380.0</v>
      </c>
      <c r="BH1347" s="15">
        <v>451260.0</v>
      </c>
      <c r="BI1347" s="15">
        <v>275250.0</v>
      </c>
      <c r="BJ1347" s="15">
        <v>223260.0</v>
      </c>
      <c r="BK1347" s="15">
        <v>209900.0</v>
      </c>
      <c r="BL1347" s="15">
        <v>183480.0</v>
      </c>
      <c r="BM1347" s="15">
        <v>716230.0</v>
      </c>
      <c r="BN1347" s="15">
        <v>487240.0</v>
      </c>
      <c r="BO1347" s="15">
        <v>484840.0</v>
      </c>
      <c r="BP1347" s="15">
        <v>392540.0</v>
      </c>
      <c r="BQ1347" s="15">
        <v>278060.0</v>
      </c>
      <c r="BR1347" s="15">
        <v>827990.0</v>
      </c>
      <c r="BS1347" s="15">
        <v>537910.0</v>
      </c>
      <c r="BT1347" s="15">
        <v>460490.0</v>
      </c>
      <c r="BU1347" s="15">
        <v>403870.0</v>
      </c>
      <c r="BV1347" s="15">
        <v>246120.0</v>
      </c>
      <c r="BW1347" s="15">
        <v>2040000.0</v>
      </c>
      <c r="BX1347" s="15">
        <v>1310000.0</v>
      </c>
      <c r="BY1347" s="15">
        <v>1180000.0</v>
      </c>
      <c r="BZ1347" s="15">
        <v>1020000.0</v>
      </c>
      <c r="CA1347" s="15">
        <v>775840.0</v>
      </c>
      <c r="CB1347" s="15">
        <v>1090000.0</v>
      </c>
      <c r="CC1347" s="15">
        <v>522050.0</v>
      </c>
      <c r="CD1347" s="15">
        <v>425240.0</v>
      </c>
      <c r="CE1347" s="15">
        <v>344270.0</v>
      </c>
      <c r="CF1347" s="15">
        <v>234050.0</v>
      </c>
      <c r="CG1347" s="15">
        <v>1360000.0</v>
      </c>
      <c r="CH1347" s="15">
        <v>377690.0</v>
      </c>
      <c r="CI1347" s="15">
        <v>377690.0</v>
      </c>
      <c r="CJ1347" s="15">
        <v>377690.0</v>
      </c>
      <c r="CK1347" s="15">
        <v>312620.0</v>
      </c>
      <c r="CL1347" s="15">
        <v>5660000.0</v>
      </c>
      <c r="CM1347" s="15">
        <v>2780000.0</v>
      </c>
      <c r="CN1347" s="15">
        <v>2560000.0</v>
      </c>
      <c r="CO1347" s="15">
        <v>2330000.0</v>
      </c>
      <c r="CP1347" s="15">
        <v>1500000.0</v>
      </c>
      <c r="CQ1347" s="15">
        <v>551830.0</v>
      </c>
      <c r="CR1347" s="15">
        <v>286970.0</v>
      </c>
      <c r="CS1347" s="15">
        <v>328600.0</v>
      </c>
      <c r="CT1347" s="15">
        <v>263770.0</v>
      </c>
      <c r="CU1347" s="15">
        <v>162590.0</v>
      </c>
      <c r="CV1347" s="15">
        <v>1450000.0</v>
      </c>
      <c r="CW1347" s="15">
        <v>44090.0</v>
      </c>
      <c r="CX1347" s="15"/>
      <c r="CY1347" s="15"/>
      <c r="CZ1347" s="15"/>
      <c r="DA1347" s="15"/>
      <c r="DB1347" s="15">
        <v>1450000.0</v>
      </c>
      <c r="DC1347" s="15">
        <v>769330.0</v>
      </c>
      <c r="DD1347" s="15">
        <v>781050.0</v>
      </c>
      <c r="DE1347" s="15">
        <v>651650.0</v>
      </c>
      <c r="DF1347" s="15">
        <v>3570000.0</v>
      </c>
      <c r="DG1347" s="15">
        <v>840920.0</v>
      </c>
      <c r="DH1347" s="15">
        <v>981390.0</v>
      </c>
      <c r="DI1347" s="15">
        <v>1060000.0</v>
      </c>
      <c r="DJ1347" s="15">
        <v>438060.0</v>
      </c>
      <c r="DK1347" s="15">
        <v>46180.0</v>
      </c>
      <c r="DL1347" s="15">
        <v>48460.0</v>
      </c>
      <c r="DM1347" s="15"/>
      <c r="DN1347" s="12"/>
      <c r="DO1347" s="15"/>
      <c r="DP1347" s="15">
        <v>1890000.0</v>
      </c>
      <c r="DQ1347" s="15">
        <v>5690.0</v>
      </c>
      <c r="DR1347" s="15">
        <v>151100.0</v>
      </c>
      <c r="DS1347" s="15">
        <v>366470.0</v>
      </c>
      <c r="DT1347" s="15">
        <v>6820.0</v>
      </c>
      <c r="DU1347" s="13"/>
      <c r="DV1347" s="12"/>
      <c r="DW1347" s="12"/>
      <c r="DX1347" s="13"/>
      <c r="DY1347" s="13"/>
      <c r="DZ1347" s="15">
        <v>2080000.0</v>
      </c>
      <c r="EA1347" s="15">
        <v>1940000.0</v>
      </c>
      <c r="EB1347" s="15">
        <v>1580000.0</v>
      </c>
      <c r="EC1347" s="15">
        <v>1270000.0</v>
      </c>
      <c r="ED1347" s="15">
        <v>1070000.0</v>
      </c>
      <c r="EE1347" s="17">
        <v>0.051</v>
      </c>
      <c r="EF1347" s="17">
        <v>0.109</v>
      </c>
      <c r="EG1347" s="17">
        <v>2.654</v>
      </c>
      <c r="EH1347" s="17">
        <v>0.634</v>
      </c>
    </row>
    <row r="1348">
      <c r="A1348" s="9">
        <f t="shared" si="2"/>
        <v>1346</v>
      </c>
      <c r="B1348" s="26" t="s">
        <v>1483</v>
      </c>
      <c r="C1348" s="15">
        <v>4330000.0</v>
      </c>
      <c r="D1348" s="15">
        <v>4360000.0</v>
      </c>
      <c r="E1348" s="15">
        <v>4290000.0</v>
      </c>
      <c r="F1348" s="15">
        <v>4590000.0</v>
      </c>
      <c r="G1348" s="15">
        <v>6310000.0</v>
      </c>
      <c r="H1348" s="15">
        <v>6180000.0</v>
      </c>
      <c r="I1348" s="15">
        <v>3210000.0</v>
      </c>
      <c r="J1348" s="15">
        <v>726600.0</v>
      </c>
      <c r="K1348" s="15">
        <v>823700.0</v>
      </c>
      <c r="L1348" s="15">
        <v>1010000.0</v>
      </c>
      <c r="M1348" s="15">
        <v>1050000.0</v>
      </c>
      <c r="N1348" s="15">
        <v>583580.0</v>
      </c>
      <c r="O1348" s="15">
        <v>483100.0</v>
      </c>
      <c r="P1348" s="15">
        <v>588700.0</v>
      </c>
      <c r="Q1348" s="15">
        <v>700700.0</v>
      </c>
      <c r="R1348" s="15">
        <v>693350.0</v>
      </c>
      <c r="S1348" s="15">
        <v>326480.0</v>
      </c>
      <c r="T1348" s="12">
        <v>18800.0</v>
      </c>
      <c r="U1348" s="12">
        <v>19200.0</v>
      </c>
      <c r="V1348" s="12">
        <v>30800.0</v>
      </c>
      <c r="W1348" s="12">
        <v>29600.0</v>
      </c>
      <c r="X1348" s="12">
        <v>14300.0</v>
      </c>
      <c r="Y1348" s="15">
        <v>-63600.0</v>
      </c>
      <c r="Z1348" s="15">
        <v>-193300.0</v>
      </c>
      <c r="AA1348" s="15">
        <v>-635100.0</v>
      </c>
      <c r="AB1348" s="15">
        <v>-81140.0</v>
      </c>
      <c r="AC1348" s="15">
        <v>241710.0</v>
      </c>
      <c r="AD1348" s="15">
        <v>-155800.0</v>
      </c>
      <c r="AE1348" s="15">
        <v>-57600.0</v>
      </c>
      <c r="AF1348" s="15">
        <v>-524600.0</v>
      </c>
      <c r="AG1348" s="15">
        <v>-195360.0</v>
      </c>
      <c r="AH1348" s="15">
        <v>171260.0</v>
      </c>
      <c r="AI1348" s="15">
        <v>453800.0</v>
      </c>
      <c r="AJ1348" s="15">
        <v>459300.0</v>
      </c>
      <c r="AK1348" s="15">
        <v>598800.0</v>
      </c>
      <c r="AL1348" s="15">
        <v>642900.0</v>
      </c>
      <c r="AM1348" s="15">
        <v>379170.0</v>
      </c>
      <c r="AN1348" s="15">
        <v>-110300.0</v>
      </c>
      <c r="AO1348" s="15">
        <v>-46200.0</v>
      </c>
      <c r="AP1348" s="15">
        <v>-286200.0</v>
      </c>
      <c r="AQ1348" s="15">
        <v>-228590.0</v>
      </c>
      <c r="AR1348" s="15">
        <v>114910.0</v>
      </c>
      <c r="AS1348" s="15">
        <v>307700.0</v>
      </c>
      <c r="AT1348" s="15">
        <v>503400.0</v>
      </c>
      <c r="AU1348" s="15">
        <v>506000.0</v>
      </c>
      <c r="AV1348" s="15">
        <v>478610.0</v>
      </c>
      <c r="AW1348" s="15">
        <v>285320.0</v>
      </c>
      <c r="AX1348" s="15">
        <v>-146800.0</v>
      </c>
      <c r="AY1348" s="15">
        <v>-177400.0</v>
      </c>
      <c r="AZ1348" s="15">
        <v>-185800.0</v>
      </c>
      <c r="BA1348" s="15">
        <v>-187080.0</v>
      </c>
      <c r="BB1348" s="15">
        <v>-86100.0</v>
      </c>
      <c r="BC1348" s="13"/>
      <c r="BD1348" s="13"/>
      <c r="BE1348" s="13"/>
      <c r="BF1348" s="13"/>
      <c r="BG1348" s="13"/>
      <c r="BH1348" s="15">
        <v>202300.0</v>
      </c>
      <c r="BI1348" s="15">
        <v>164300.0</v>
      </c>
      <c r="BJ1348" s="15">
        <v>132800.0</v>
      </c>
      <c r="BK1348" s="15">
        <v>75430.0</v>
      </c>
      <c r="BL1348" s="15">
        <v>43310.0</v>
      </c>
      <c r="BM1348" s="15">
        <v>270600.0</v>
      </c>
      <c r="BN1348" s="15">
        <v>351300.0</v>
      </c>
      <c r="BO1348" s="15">
        <v>329800.0</v>
      </c>
      <c r="BP1348" s="15">
        <v>429030.0</v>
      </c>
      <c r="BQ1348" s="15">
        <v>203200.0</v>
      </c>
      <c r="BR1348" s="12">
        <v>544000.0</v>
      </c>
      <c r="BS1348" s="12">
        <v>615600.0</v>
      </c>
      <c r="BT1348" s="12">
        <v>918300.0</v>
      </c>
      <c r="BU1348" s="12">
        <v>978040.0</v>
      </c>
      <c r="BV1348" s="12">
        <v>584120.0</v>
      </c>
      <c r="BW1348" s="15">
        <v>1220000.0</v>
      </c>
      <c r="BX1348" s="15">
        <v>1680000.0</v>
      </c>
      <c r="BY1348" s="15">
        <v>1480000.0</v>
      </c>
      <c r="BZ1348" s="15">
        <v>1560000.0</v>
      </c>
      <c r="CA1348" s="15">
        <v>847200.0</v>
      </c>
      <c r="CB1348" s="15">
        <v>1220000.0</v>
      </c>
      <c r="CC1348" s="15">
        <v>1140000.0</v>
      </c>
      <c r="CD1348" s="15">
        <v>1290000.0</v>
      </c>
      <c r="CE1348" s="15">
        <v>1360000.0</v>
      </c>
      <c r="CF1348" s="15">
        <v>541530.0</v>
      </c>
      <c r="CG1348" s="15">
        <v>2110000.0</v>
      </c>
      <c r="CH1348" s="15">
        <v>2110000.0</v>
      </c>
      <c r="CI1348" s="15">
        <v>2180000.0</v>
      </c>
      <c r="CJ1348" s="15">
        <v>2450000.0</v>
      </c>
      <c r="CK1348" s="15">
        <v>1650000.0</v>
      </c>
      <c r="CL1348" s="15">
        <v>5140000.0</v>
      </c>
      <c r="CM1348" s="15">
        <v>5750000.0</v>
      </c>
      <c r="CN1348" s="15">
        <v>5910000.0</v>
      </c>
      <c r="CO1348" s="15">
        <v>6710000.0</v>
      </c>
      <c r="CP1348" s="15">
        <v>3770000.0</v>
      </c>
      <c r="CQ1348" s="15">
        <v>508400.0</v>
      </c>
      <c r="CR1348" s="15">
        <v>577900.0</v>
      </c>
      <c r="CS1348" s="15">
        <v>451300.0</v>
      </c>
      <c r="CT1348" s="15">
        <v>458130.0</v>
      </c>
      <c r="CU1348" s="15">
        <v>202070.0</v>
      </c>
      <c r="CV1348" s="15">
        <v>813400.0</v>
      </c>
      <c r="CW1348" s="15">
        <v>32000.0</v>
      </c>
      <c r="CX1348" s="13"/>
      <c r="CY1348" s="13"/>
      <c r="CZ1348" s="13"/>
      <c r="DA1348" s="12"/>
      <c r="DB1348" s="15">
        <v>813400.0</v>
      </c>
      <c r="DC1348" s="15">
        <v>837600.0</v>
      </c>
      <c r="DD1348" s="15">
        <v>599800.0</v>
      </c>
      <c r="DE1348" s="15">
        <v>693190.0</v>
      </c>
      <c r="DF1348" s="15">
        <v>3310000.0</v>
      </c>
      <c r="DG1348" s="15">
        <v>3590000.0</v>
      </c>
      <c r="DH1348" s="15">
        <v>3640000.0</v>
      </c>
      <c r="DI1348" s="15">
        <v>4200000.0</v>
      </c>
      <c r="DJ1348" s="15">
        <v>1910000.0</v>
      </c>
      <c r="DK1348" s="12">
        <v>1600.0</v>
      </c>
      <c r="DL1348" s="12">
        <v>12200.0</v>
      </c>
      <c r="DM1348" s="12">
        <v>15100.0</v>
      </c>
      <c r="DN1348" s="12"/>
      <c r="DO1348" s="15"/>
      <c r="DP1348" s="15">
        <v>2250000.0</v>
      </c>
      <c r="DQ1348" s="15">
        <v>2300000.0</v>
      </c>
      <c r="DR1348" s="12">
        <v>2540000.0</v>
      </c>
      <c r="DS1348" s="12">
        <v>2720000.0</v>
      </c>
      <c r="DT1348" s="12">
        <v>1220000.0</v>
      </c>
      <c r="DU1348" s="13"/>
      <c r="DV1348" s="12"/>
      <c r="DW1348" s="12"/>
      <c r="DX1348" s="13"/>
      <c r="DY1348" s="13"/>
      <c r="DZ1348" s="15">
        <v>1830000.0</v>
      </c>
      <c r="EA1348" s="15">
        <v>2160000.0</v>
      </c>
      <c r="EB1348" s="15">
        <v>2260000.0</v>
      </c>
      <c r="EC1348" s="15">
        <v>2500000.0</v>
      </c>
      <c r="ED1348" s="15">
        <v>1850000.0</v>
      </c>
      <c r="EE1348" s="23">
        <v>0.036697248</v>
      </c>
      <c r="EF1348" s="23">
        <v>0.034642032</v>
      </c>
      <c r="EG1348" s="17">
        <v>0.156</v>
      </c>
      <c r="EH1348" s="23">
        <v>0.12075</v>
      </c>
    </row>
    <row r="1349">
      <c r="A1349" s="9">
        <f t="shared" si="2"/>
        <v>1347</v>
      </c>
      <c r="B1349" s="26" t="s">
        <v>1484</v>
      </c>
      <c r="C1349" s="15">
        <v>4310000.0</v>
      </c>
      <c r="D1349" s="15">
        <v>3620000.0</v>
      </c>
      <c r="E1349" s="15">
        <v>4420000.0</v>
      </c>
      <c r="F1349" s="15">
        <v>4440000.0</v>
      </c>
      <c r="G1349" s="15">
        <v>4170000.0</v>
      </c>
      <c r="H1349" s="15">
        <v>4000000.0</v>
      </c>
      <c r="I1349" s="15">
        <v>4100000.0</v>
      </c>
      <c r="J1349" s="15">
        <v>2760000.0</v>
      </c>
      <c r="K1349" s="15">
        <v>2810000.0</v>
      </c>
      <c r="L1349" s="15">
        <v>2610000.0</v>
      </c>
      <c r="M1349" s="15">
        <v>2500000.0</v>
      </c>
      <c r="N1349" s="15">
        <v>2480000.0</v>
      </c>
      <c r="O1349" s="15">
        <v>2030000.0</v>
      </c>
      <c r="P1349" s="15">
        <v>2020000.0</v>
      </c>
      <c r="Q1349" s="15">
        <v>1790000.0</v>
      </c>
      <c r="R1349" s="15">
        <v>1730000.0</v>
      </c>
      <c r="S1349" s="15">
        <v>1680000.0</v>
      </c>
      <c r="T1349" s="12"/>
      <c r="U1349" s="12"/>
      <c r="V1349" s="12"/>
      <c r="W1349" s="12"/>
      <c r="X1349" s="12"/>
      <c r="Y1349" s="12"/>
      <c r="Z1349" s="12"/>
      <c r="AA1349" s="15">
        <v>-13000.0</v>
      </c>
      <c r="AB1349" s="15">
        <v>-38000.0</v>
      </c>
      <c r="AC1349" s="15">
        <v>-46700.0</v>
      </c>
      <c r="AD1349" s="15">
        <v>690300.0</v>
      </c>
      <c r="AE1349" s="15">
        <v>743500.0</v>
      </c>
      <c r="AF1349" s="15">
        <v>760500.0</v>
      </c>
      <c r="AG1349" s="15">
        <v>676600.0</v>
      </c>
      <c r="AH1349" s="15">
        <v>709900.0</v>
      </c>
      <c r="AI1349" s="15">
        <v>988100.0</v>
      </c>
      <c r="AJ1349" s="15">
        <v>1020000.0</v>
      </c>
      <c r="AK1349" s="15">
        <v>1030000.0</v>
      </c>
      <c r="AL1349" s="15">
        <v>977700.0</v>
      </c>
      <c r="AM1349" s="15">
        <v>996100.0</v>
      </c>
      <c r="AN1349" s="15">
        <v>541100.0</v>
      </c>
      <c r="AO1349" s="15">
        <v>586400.0</v>
      </c>
      <c r="AP1349" s="15">
        <v>370100.0</v>
      </c>
      <c r="AQ1349" s="15">
        <v>446100.0</v>
      </c>
      <c r="AR1349" s="15">
        <v>463900.0</v>
      </c>
      <c r="AS1349" s="15">
        <v>670900.0</v>
      </c>
      <c r="AT1349" s="15">
        <v>529600.0</v>
      </c>
      <c r="AU1349" s="15">
        <v>932200.0</v>
      </c>
      <c r="AV1349" s="15">
        <v>705700.0</v>
      </c>
      <c r="AW1349" s="15">
        <v>813600.0</v>
      </c>
      <c r="AX1349" s="15">
        <v>-320600.0</v>
      </c>
      <c r="AY1349" s="15">
        <v>-282100.0</v>
      </c>
      <c r="AZ1349" s="15">
        <v>-239300.0</v>
      </c>
      <c r="BA1349" s="15">
        <v>-222800.0</v>
      </c>
      <c r="BB1349" s="15">
        <v>-252700.0</v>
      </c>
      <c r="BC1349" s="15">
        <v>-276300.0</v>
      </c>
      <c r="BD1349" s="15">
        <v>-263800.0</v>
      </c>
      <c r="BE1349" s="15">
        <v>-242600.0</v>
      </c>
      <c r="BF1349" s="15">
        <v>-218800.0</v>
      </c>
      <c r="BG1349" s="15">
        <v>-203400.0</v>
      </c>
      <c r="BH1349" s="15">
        <v>897400.0</v>
      </c>
      <c r="BI1349" s="15">
        <v>855300.0</v>
      </c>
      <c r="BJ1349" s="15">
        <v>1290000.0</v>
      </c>
      <c r="BK1349" s="15">
        <v>985800.0</v>
      </c>
      <c r="BL1349" s="15">
        <v>886600.0</v>
      </c>
      <c r="BM1349" s="15">
        <v>240000.0</v>
      </c>
      <c r="BN1349" s="15">
        <v>245400.0</v>
      </c>
      <c r="BO1349" s="15">
        <v>231200.0</v>
      </c>
      <c r="BP1349" s="15">
        <v>231400.0</v>
      </c>
      <c r="BQ1349" s="15">
        <v>208500.0</v>
      </c>
      <c r="BR1349" s="15">
        <v>2460000.0</v>
      </c>
      <c r="BS1349" s="15">
        <v>2430000.0</v>
      </c>
      <c r="BT1349" s="15">
        <v>2250000.0</v>
      </c>
      <c r="BU1349" s="15">
        <v>2160000.0</v>
      </c>
      <c r="BV1349" s="15">
        <v>2230000.0</v>
      </c>
      <c r="BW1349" s="15">
        <v>3880000.0</v>
      </c>
      <c r="BX1349" s="15">
        <v>3760000.0</v>
      </c>
      <c r="BY1349" s="15">
        <v>3980000.0</v>
      </c>
      <c r="BZ1349" s="15">
        <v>3570000.0</v>
      </c>
      <c r="CA1349" s="15">
        <v>3510000.0</v>
      </c>
      <c r="CB1349" s="15">
        <v>2200000.0</v>
      </c>
      <c r="CC1349" s="15">
        <v>1030000.0</v>
      </c>
      <c r="CD1349" s="15">
        <v>990500.0</v>
      </c>
      <c r="CE1349" s="15">
        <v>931800.0</v>
      </c>
      <c r="CF1349" s="15">
        <v>935800.0</v>
      </c>
      <c r="CG1349" s="15">
        <v>38400.0</v>
      </c>
      <c r="CH1349" s="15">
        <v>38700.0</v>
      </c>
      <c r="CI1349" s="15">
        <v>39100.0</v>
      </c>
      <c r="CJ1349" s="15">
        <v>38400.0</v>
      </c>
      <c r="CK1349" s="15">
        <v>38500.0</v>
      </c>
      <c r="CL1349" s="15">
        <v>6660000.0</v>
      </c>
      <c r="CM1349" s="15">
        <v>5330000.0</v>
      </c>
      <c r="CN1349" s="15">
        <v>5470000.0</v>
      </c>
      <c r="CO1349" s="15">
        <v>5100000.0</v>
      </c>
      <c r="CP1349" s="15">
        <v>5120000.0</v>
      </c>
      <c r="CQ1349" s="15">
        <v>261300.0</v>
      </c>
      <c r="CR1349" s="15">
        <v>217100.0</v>
      </c>
      <c r="CS1349" s="15">
        <v>201500.0</v>
      </c>
      <c r="CT1349" s="15">
        <v>108600.0</v>
      </c>
      <c r="CU1349" s="15">
        <v>127800.0</v>
      </c>
      <c r="CV1349" s="15">
        <v>970400.0</v>
      </c>
      <c r="CW1349" s="15">
        <v>350700.0</v>
      </c>
      <c r="CX1349" s="15">
        <v>113400.0</v>
      </c>
      <c r="CY1349" s="15">
        <v>120600.0</v>
      </c>
      <c r="CZ1349" s="15">
        <v>228700.0</v>
      </c>
      <c r="DA1349" s="15">
        <v>221600.0</v>
      </c>
      <c r="DB1349" s="15">
        <v>970400.0</v>
      </c>
      <c r="DC1349" s="15">
        <v>718100.0</v>
      </c>
      <c r="DD1349" s="15">
        <v>724800.0</v>
      </c>
      <c r="DE1349" s="15">
        <v>632800.0</v>
      </c>
      <c r="DF1349" s="15">
        <v>3320000.0</v>
      </c>
      <c r="DG1349" s="15">
        <v>2200000.0</v>
      </c>
      <c r="DH1349" s="15">
        <v>2220000.0</v>
      </c>
      <c r="DI1349" s="15">
        <v>2070000.0</v>
      </c>
      <c r="DJ1349" s="15">
        <v>2190000.0</v>
      </c>
      <c r="DK1349" s="15">
        <v>39300.0</v>
      </c>
      <c r="DL1349" s="15">
        <v>36300.0</v>
      </c>
      <c r="DM1349" s="15">
        <v>22500.0</v>
      </c>
      <c r="DN1349" s="15">
        <v>36400.0</v>
      </c>
      <c r="DO1349" s="15">
        <v>31800.0</v>
      </c>
      <c r="DP1349" s="15">
        <v>1890000.0</v>
      </c>
      <c r="DQ1349" s="15">
        <v>883400.0</v>
      </c>
      <c r="DR1349" s="15">
        <v>882900.0</v>
      </c>
      <c r="DS1349" s="15">
        <v>878400.0</v>
      </c>
      <c r="DT1349" s="15">
        <v>790000.0</v>
      </c>
      <c r="DU1349" s="13"/>
      <c r="DV1349" s="12"/>
      <c r="DW1349" s="12"/>
      <c r="DX1349" s="12"/>
      <c r="DY1349" s="12"/>
      <c r="DZ1349" s="15">
        <v>3320000.0</v>
      </c>
      <c r="EA1349" s="15">
        <v>3120000.0</v>
      </c>
      <c r="EB1349" s="15">
        <v>3230000.0</v>
      </c>
      <c r="EC1349" s="15">
        <v>3010000.0</v>
      </c>
      <c r="ED1349" s="15">
        <v>2910000.0</v>
      </c>
      <c r="EE1349" s="17">
        <v>0.227</v>
      </c>
      <c r="EF1349" s="17">
        <v>0.16</v>
      </c>
      <c r="EG1349" s="17">
        <v>-18.667</v>
      </c>
      <c r="EH1349" s="17">
        <v>-4.702</v>
      </c>
    </row>
    <row r="1350">
      <c r="A1350" s="9">
        <f t="shared" si="2"/>
        <v>1348</v>
      </c>
      <c r="B1350" s="25" t="s">
        <v>1485</v>
      </c>
      <c r="C1350" s="15">
        <v>1190000.0</v>
      </c>
      <c r="D1350" s="15">
        <v>1100000.0</v>
      </c>
      <c r="E1350" s="15">
        <v>1340000.0</v>
      </c>
      <c r="F1350" s="15">
        <v>1180000.0</v>
      </c>
      <c r="G1350" s="15">
        <v>996440.0</v>
      </c>
      <c r="H1350" s="15">
        <v>958620.0</v>
      </c>
      <c r="I1350" s="15">
        <v>1000000.0</v>
      </c>
      <c r="J1350" s="15">
        <v>510700.0</v>
      </c>
      <c r="K1350" s="15">
        <v>424360.0</v>
      </c>
      <c r="L1350" s="15">
        <v>386020.0</v>
      </c>
      <c r="M1350" s="15">
        <v>368640.0</v>
      </c>
      <c r="N1350" s="15">
        <v>382890.0</v>
      </c>
      <c r="O1350" s="15">
        <v>366400.0</v>
      </c>
      <c r="P1350" s="15">
        <v>322150.0</v>
      </c>
      <c r="Q1350" s="15">
        <v>268880.0</v>
      </c>
      <c r="R1350" s="15">
        <v>263920.0</v>
      </c>
      <c r="S1350" s="15">
        <v>269300.0</v>
      </c>
      <c r="T1350" s="15">
        <v>17800.0</v>
      </c>
      <c r="U1350" s="15">
        <v>16400.0</v>
      </c>
      <c r="V1350" s="15">
        <v>14000.0</v>
      </c>
      <c r="W1350" s="15">
        <v>14300.0</v>
      </c>
      <c r="X1350" s="15">
        <v>14500.0</v>
      </c>
      <c r="Y1350" s="15">
        <v>131050.0</v>
      </c>
      <c r="Z1350" s="15">
        <v>72180.0</v>
      </c>
      <c r="AA1350" s="15">
        <v>109840.0</v>
      </c>
      <c r="AB1350" s="15">
        <v>-19790.0</v>
      </c>
      <c r="AC1350" s="15"/>
      <c r="AD1350" s="15">
        <v>101820.0</v>
      </c>
      <c r="AE1350" s="15">
        <v>54990.0</v>
      </c>
      <c r="AF1350" s="15">
        <v>100540.0</v>
      </c>
      <c r="AG1350" s="15">
        <v>79140.0</v>
      </c>
      <c r="AH1350" s="15">
        <v>105770.0</v>
      </c>
      <c r="AI1350" s="15">
        <v>191700.0</v>
      </c>
      <c r="AJ1350" s="15">
        <v>146680.0</v>
      </c>
      <c r="AK1350" s="15">
        <v>147400.0</v>
      </c>
      <c r="AL1350" s="15">
        <v>135360.0</v>
      </c>
      <c r="AM1350" s="15">
        <v>144400.0</v>
      </c>
      <c r="AN1350" s="15">
        <v>79200.0</v>
      </c>
      <c r="AO1350" s="15">
        <v>50250.0</v>
      </c>
      <c r="AP1350" s="15">
        <v>53250.0</v>
      </c>
      <c r="AQ1350" s="15">
        <v>54160.0</v>
      </c>
      <c r="AR1350" s="15">
        <v>72420.0</v>
      </c>
      <c r="AS1350" s="15">
        <v>141770.0</v>
      </c>
      <c r="AT1350" s="15">
        <v>91770.0</v>
      </c>
      <c r="AU1350" s="15">
        <v>103350.0</v>
      </c>
      <c r="AV1350" s="15">
        <v>98060.0</v>
      </c>
      <c r="AW1350" s="15">
        <v>125440.0</v>
      </c>
      <c r="AX1350" s="15">
        <v>-74650.0</v>
      </c>
      <c r="AY1350" s="15">
        <v>-54860.0</v>
      </c>
      <c r="AZ1350" s="15">
        <v>-30470.0</v>
      </c>
      <c r="BA1350" s="15">
        <v>-28070.0</v>
      </c>
      <c r="BB1350" s="15">
        <v>-27190.0</v>
      </c>
      <c r="BC1350" s="15">
        <v>-15360.0</v>
      </c>
      <c r="BD1350" s="15">
        <v>-15470.0</v>
      </c>
      <c r="BE1350" s="15">
        <v>-15490.0</v>
      </c>
      <c r="BF1350" s="15">
        <v>-14290.0</v>
      </c>
      <c r="BG1350" s="15">
        <v>-11890.0</v>
      </c>
      <c r="BH1350" s="15">
        <v>81300.0</v>
      </c>
      <c r="BI1350" s="15">
        <v>80990.0</v>
      </c>
      <c r="BJ1350" s="15">
        <v>87040.0</v>
      </c>
      <c r="BK1350" s="15">
        <v>165670.0</v>
      </c>
      <c r="BL1350" s="15">
        <v>75700.0</v>
      </c>
      <c r="BM1350" s="15">
        <v>177480.0</v>
      </c>
      <c r="BN1350" s="15">
        <v>179000.0</v>
      </c>
      <c r="BO1350" s="15">
        <v>142810.0</v>
      </c>
      <c r="BP1350" s="15">
        <v>126000.0</v>
      </c>
      <c r="BQ1350" s="15">
        <v>130320.0</v>
      </c>
      <c r="BR1350" s="15">
        <v>253580.0</v>
      </c>
      <c r="BS1350" s="15">
        <v>258660.0</v>
      </c>
      <c r="BT1350" s="15">
        <v>177940.0</v>
      </c>
      <c r="BU1350" s="15">
        <v>156080.0</v>
      </c>
      <c r="BV1350" s="15">
        <v>161170.0</v>
      </c>
      <c r="BW1350" s="15">
        <v>548140.0</v>
      </c>
      <c r="BX1350" s="15">
        <v>558880.0</v>
      </c>
      <c r="BY1350" s="15">
        <v>430870.0</v>
      </c>
      <c r="BZ1350" s="15">
        <v>470880.0</v>
      </c>
      <c r="CA1350" s="15">
        <v>398410.0</v>
      </c>
      <c r="CB1350" s="15">
        <v>431630.0</v>
      </c>
      <c r="CC1350" s="15">
        <v>292890.0</v>
      </c>
      <c r="CD1350" s="15">
        <v>212650.0</v>
      </c>
      <c r="CE1350" s="15">
        <v>204510.0</v>
      </c>
      <c r="CF1350" s="15">
        <v>211490.0</v>
      </c>
      <c r="CG1350" s="15">
        <v>257440.0</v>
      </c>
      <c r="CH1350" s="15">
        <v>245820.0</v>
      </c>
      <c r="CI1350" s="15">
        <v>68750.0</v>
      </c>
      <c r="CJ1350" s="15">
        <v>61220.0</v>
      </c>
      <c r="CK1350" s="15">
        <v>63890.0</v>
      </c>
      <c r="CL1350" s="15">
        <v>1420000.0</v>
      </c>
      <c r="CM1350" s="15">
        <v>1280000.0</v>
      </c>
      <c r="CN1350" s="15">
        <v>800600.0</v>
      </c>
      <c r="CO1350" s="15">
        <v>835440.0</v>
      </c>
      <c r="CP1350" s="15">
        <v>756550.0</v>
      </c>
      <c r="CQ1350" s="15">
        <v>75690.0</v>
      </c>
      <c r="CR1350" s="15">
        <v>66300.0</v>
      </c>
      <c r="CS1350" s="15">
        <v>50670.0</v>
      </c>
      <c r="CT1350" s="15">
        <v>45380.0</v>
      </c>
      <c r="CU1350" s="15">
        <v>52830.0</v>
      </c>
      <c r="CV1350" s="15">
        <v>263280.0</v>
      </c>
      <c r="CW1350" s="15">
        <v>15910.0</v>
      </c>
      <c r="CX1350" s="15"/>
      <c r="CY1350" s="15"/>
      <c r="CZ1350" s="15"/>
      <c r="DA1350" s="15"/>
      <c r="DB1350" s="15">
        <v>263280.0</v>
      </c>
      <c r="DC1350" s="15">
        <v>223590.0</v>
      </c>
      <c r="DD1350" s="15">
        <v>176650.0</v>
      </c>
      <c r="DE1350" s="15">
        <v>159080.0</v>
      </c>
      <c r="DF1350" s="15">
        <v>1050000.0</v>
      </c>
      <c r="DG1350" s="15">
        <v>929980.0</v>
      </c>
      <c r="DH1350" s="15">
        <v>470510.0</v>
      </c>
      <c r="DI1350" s="15">
        <v>494710.0</v>
      </c>
      <c r="DJ1350" s="15">
        <v>414180.0</v>
      </c>
      <c r="DK1350" s="15"/>
      <c r="DL1350" s="15"/>
      <c r="DM1350" s="15"/>
      <c r="DN1350" s="12"/>
      <c r="DO1350" s="15"/>
      <c r="DP1350" s="15">
        <v>658680.0</v>
      </c>
      <c r="DQ1350" s="15">
        <v>587270.0</v>
      </c>
      <c r="DR1350" s="15">
        <v>214930.0</v>
      </c>
      <c r="DS1350" s="15">
        <v>255350.0</v>
      </c>
      <c r="DT1350" s="15">
        <v>202280.0</v>
      </c>
      <c r="DU1350" s="13"/>
      <c r="DV1350" s="12"/>
      <c r="DW1350" s="12"/>
      <c r="DX1350" s="13"/>
      <c r="DY1350" s="13"/>
      <c r="DZ1350" s="15">
        <v>368200.0</v>
      </c>
      <c r="EA1350" s="15">
        <v>354660.0</v>
      </c>
      <c r="EB1350" s="15">
        <v>330090.0</v>
      </c>
      <c r="EC1350" s="15">
        <v>340730.0</v>
      </c>
      <c r="ED1350" s="15">
        <v>342370.0</v>
      </c>
      <c r="EE1350" s="17">
        <v>0.009</v>
      </c>
      <c r="EF1350" s="17">
        <v>0.067</v>
      </c>
      <c r="EG1350" s="17">
        <v>3.5</v>
      </c>
      <c r="EH1350" s="17">
        <v>1.066</v>
      </c>
    </row>
    <row r="1351">
      <c r="A1351" s="9">
        <f t="shared" si="2"/>
        <v>1349</v>
      </c>
      <c r="B1351" s="10" t="s">
        <v>1486</v>
      </c>
      <c r="C1351" s="12">
        <v>1300000.0</v>
      </c>
      <c r="D1351" s="12">
        <v>1230000.0</v>
      </c>
      <c r="E1351" s="11">
        <v>1310000.0</v>
      </c>
      <c r="F1351" s="11">
        <v>1260000.0</v>
      </c>
      <c r="G1351" s="11">
        <v>1190000.0</v>
      </c>
      <c r="H1351" s="11">
        <v>1210000.0</v>
      </c>
      <c r="I1351" s="11">
        <v>1370000.0</v>
      </c>
      <c r="J1351" s="11">
        <v>250820.0</v>
      </c>
      <c r="K1351" s="11">
        <v>231590.0</v>
      </c>
      <c r="L1351" s="11">
        <v>215300.0</v>
      </c>
      <c r="M1351" s="11">
        <v>213730.0</v>
      </c>
      <c r="N1351" s="11">
        <v>205980.0</v>
      </c>
      <c r="O1351" s="11">
        <v>225720.0</v>
      </c>
      <c r="P1351" s="11">
        <v>201540.0</v>
      </c>
      <c r="Q1351" s="11">
        <v>203200.0</v>
      </c>
      <c r="R1351" s="11">
        <v>211370.0</v>
      </c>
      <c r="S1351" s="11">
        <v>220520.0</v>
      </c>
      <c r="T1351" s="12"/>
      <c r="U1351" s="12"/>
      <c r="V1351" s="12"/>
      <c r="W1351" s="12"/>
      <c r="X1351" s="12"/>
      <c r="Y1351" s="11">
        <v>21100.0</v>
      </c>
      <c r="Z1351" s="11">
        <v>29180.0</v>
      </c>
      <c r="AA1351" s="11">
        <v>-12680.0</v>
      </c>
      <c r="AB1351" s="11">
        <v>-2610.0</v>
      </c>
      <c r="AC1351" s="11">
        <v>-23650.0</v>
      </c>
      <c r="AD1351" s="11">
        <v>14650.0</v>
      </c>
      <c r="AE1351" s="11">
        <v>16150.0</v>
      </c>
      <c r="AF1351" s="11">
        <v>-14440.0</v>
      </c>
      <c r="AG1351" s="11">
        <v>-22710.0</v>
      </c>
      <c r="AH1351" s="11">
        <v>-56210.0</v>
      </c>
      <c r="AI1351" s="11">
        <v>65400.0</v>
      </c>
      <c r="AJ1351" s="11">
        <v>53660.0</v>
      </c>
      <c r="AK1351" s="11">
        <v>37200.0</v>
      </c>
      <c r="AL1351" s="11">
        <v>29230.0</v>
      </c>
      <c r="AM1351" s="11">
        <v>13990.0</v>
      </c>
      <c r="AN1351" s="11">
        <v>13730.0</v>
      </c>
      <c r="AO1351" s="11">
        <v>11980.0</v>
      </c>
      <c r="AP1351" s="11">
        <v>-6910.0</v>
      </c>
      <c r="AQ1351" s="11">
        <v>-13940.0</v>
      </c>
      <c r="AR1351" s="11">
        <v>-37180.0</v>
      </c>
      <c r="AS1351" s="11">
        <v>-36070.0</v>
      </c>
      <c r="AT1351" s="11">
        <v>49240.0</v>
      </c>
      <c r="AU1351" s="11">
        <v>49670.0</v>
      </c>
      <c r="AV1351" s="11">
        <v>236340.0</v>
      </c>
      <c r="AW1351" s="11">
        <v>186880.0</v>
      </c>
      <c r="AX1351" s="11">
        <v>-25020.0</v>
      </c>
      <c r="AY1351" s="11">
        <v>-11950.0</v>
      </c>
      <c r="AZ1351" s="11">
        <v>-26120.0</v>
      </c>
      <c r="BA1351" s="11">
        <v>-12430.0</v>
      </c>
      <c r="BB1351" s="11">
        <v>-8410.0</v>
      </c>
      <c r="BC1351" s="13"/>
      <c r="BD1351" s="13"/>
      <c r="BE1351" s="13"/>
      <c r="BF1351" s="13"/>
      <c r="BG1351" s="13"/>
      <c r="BH1351" s="11">
        <v>43720.0</v>
      </c>
      <c r="BI1351" s="11">
        <v>56750.0</v>
      </c>
      <c r="BJ1351" s="11">
        <v>53400.0</v>
      </c>
      <c r="BK1351" s="11">
        <v>53150.0</v>
      </c>
      <c r="BL1351" s="11">
        <v>89470.0</v>
      </c>
      <c r="BM1351" s="11">
        <v>72780.0</v>
      </c>
      <c r="BN1351" s="11">
        <v>77500.0</v>
      </c>
      <c r="BO1351" s="11">
        <v>60670.0</v>
      </c>
      <c r="BP1351" s="11">
        <v>65460.0</v>
      </c>
      <c r="BQ1351" s="11">
        <v>69560.0</v>
      </c>
      <c r="BR1351" s="11">
        <v>597390.0</v>
      </c>
      <c r="BS1351" s="11">
        <v>491090.0</v>
      </c>
      <c r="BT1351" s="11">
        <v>472470.0</v>
      </c>
      <c r="BU1351" s="11">
        <v>478270.0</v>
      </c>
      <c r="BV1351" s="11">
        <v>689460.0</v>
      </c>
      <c r="BW1351" s="11">
        <v>727550.0</v>
      </c>
      <c r="BX1351" s="11">
        <v>640890.0</v>
      </c>
      <c r="BY1351" s="11">
        <v>599150.0</v>
      </c>
      <c r="BZ1351" s="11">
        <v>607870.0</v>
      </c>
      <c r="CA1351" s="11">
        <v>858250.0</v>
      </c>
      <c r="CB1351" s="11">
        <v>233840.0</v>
      </c>
      <c r="CC1351" s="11">
        <v>138950.0</v>
      </c>
      <c r="CD1351" s="11">
        <v>151050.0</v>
      </c>
      <c r="CE1351" s="11">
        <v>156650.0</v>
      </c>
      <c r="CF1351" s="11">
        <v>183180.0</v>
      </c>
      <c r="CG1351" s="11">
        <v>2330.0</v>
      </c>
      <c r="CH1351" s="11">
        <v>1160.0</v>
      </c>
      <c r="CI1351" s="11">
        <v>250.0</v>
      </c>
      <c r="CJ1351" s="12"/>
      <c r="CK1351" s="12"/>
      <c r="CL1351" s="11">
        <v>975340.0</v>
      </c>
      <c r="CM1351" s="11">
        <v>792440.0</v>
      </c>
      <c r="CN1351" s="11">
        <v>760310.0</v>
      </c>
      <c r="CO1351" s="11">
        <v>771420.0</v>
      </c>
      <c r="CP1351" s="11">
        <v>1080000.0</v>
      </c>
      <c r="CQ1351" s="11">
        <v>16980.0</v>
      </c>
      <c r="CR1351" s="11">
        <v>16610.0</v>
      </c>
      <c r="CS1351" s="11">
        <v>15140.0</v>
      </c>
      <c r="CT1351" s="11">
        <v>17330.0</v>
      </c>
      <c r="CU1351" s="11">
        <v>16860.0</v>
      </c>
      <c r="CV1351" s="11">
        <v>494160.0</v>
      </c>
      <c r="CW1351" s="11">
        <v>384030.0</v>
      </c>
      <c r="CX1351" s="24">
        <v>273760.0</v>
      </c>
      <c r="CY1351" s="24">
        <v>247390.0</v>
      </c>
      <c r="CZ1351" s="24">
        <v>233230.0</v>
      </c>
      <c r="DA1351" s="11">
        <v>444780.0</v>
      </c>
      <c r="DB1351" s="11">
        <v>494160.0</v>
      </c>
      <c r="DC1351" s="11">
        <v>420450.0</v>
      </c>
      <c r="DD1351" s="11">
        <v>328290.0</v>
      </c>
      <c r="DE1351" s="11">
        <v>308830.0</v>
      </c>
      <c r="DF1351" s="11">
        <v>630240.0</v>
      </c>
      <c r="DG1351" s="11">
        <v>457130.0</v>
      </c>
      <c r="DH1351" s="11">
        <v>438450.0</v>
      </c>
      <c r="DI1351" s="11">
        <v>450240.0</v>
      </c>
      <c r="DJ1351" s="11">
        <v>739850.0</v>
      </c>
      <c r="DK1351" s="12"/>
      <c r="DL1351" s="12"/>
      <c r="DM1351" s="12"/>
      <c r="DN1351" s="12"/>
      <c r="DO1351" s="13"/>
      <c r="DP1351" s="11">
        <v>130280.0</v>
      </c>
      <c r="DQ1351" s="11">
        <v>25810.0</v>
      </c>
      <c r="DR1351" s="11">
        <v>97400.0</v>
      </c>
      <c r="DS1351" s="11">
        <v>126740.0</v>
      </c>
      <c r="DT1351" s="11">
        <v>172550.0</v>
      </c>
      <c r="DU1351" s="13"/>
      <c r="DV1351" s="12"/>
      <c r="DW1351" s="12"/>
      <c r="DX1351" s="13"/>
      <c r="DY1351" s="13"/>
      <c r="DZ1351" s="11">
        <v>345100.0</v>
      </c>
      <c r="EA1351" s="11">
        <v>335310.0</v>
      </c>
      <c r="EB1351" s="11">
        <v>321860.0</v>
      </c>
      <c r="EC1351" s="11">
        <v>321180.0</v>
      </c>
      <c r="ED1351" s="11">
        <v>337560.0</v>
      </c>
      <c r="EE1351" s="23">
        <v>0.130081301</v>
      </c>
      <c r="EF1351" s="23">
        <v>0.153846154</v>
      </c>
      <c r="EG1351" s="14">
        <v>2.25</v>
      </c>
      <c r="EH1351" s="23">
        <v>0.78875</v>
      </c>
    </row>
    <row r="1352">
      <c r="A1352" s="9">
        <f t="shared" si="2"/>
        <v>1350</v>
      </c>
      <c r="B1352" s="10" t="s">
        <v>1487</v>
      </c>
      <c r="C1352" s="15">
        <v>4.209E7</v>
      </c>
      <c r="D1352" s="15">
        <v>3.352E7</v>
      </c>
      <c r="E1352" s="15">
        <v>4.172E7</v>
      </c>
      <c r="F1352" s="15">
        <v>3.897E7</v>
      </c>
      <c r="G1352" s="15">
        <v>3.586E7</v>
      </c>
      <c r="H1352" s="15">
        <v>3.318E7</v>
      </c>
      <c r="I1352" s="15">
        <v>3.094E7</v>
      </c>
      <c r="J1352" s="15">
        <v>1.187E7</v>
      </c>
      <c r="K1352" s="15">
        <v>1.108E7</v>
      </c>
      <c r="L1352" s="15">
        <v>1.04E7</v>
      </c>
      <c r="M1352" s="15">
        <v>9620000.0</v>
      </c>
      <c r="N1352" s="15">
        <v>8890000.0</v>
      </c>
      <c r="O1352" s="15">
        <v>7460000.0</v>
      </c>
      <c r="P1352" s="15">
        <v>6940000.0</v>
      </c>
      <c r="Q1352" s="15">
        <v>6380000.0</v>
      </c>
      <c r="R1352" s="15">
        <v>5750000.0</v>
      </c>
      <c r="S1352" s="15">
        <v>5200000.0</v>
      </c>
      <c r="T1352" s="12"/>
      <c r="U1352" s="12"/>
      <c r="V1352" s="12"/>
      <c r="W1352" s="12"/>
      <c r="X1352" s="12"/>
      <c r="Y1352" s="15">
        <v>4420000.0</v>
      </c>
      <c r="Z1352" s="15">
        <v>4220000.0</v>
      </c>
      <c r="AA1352" s="15">
        <v>3890000.0</v>
      </c>
      <c r="AB1352" s="15">
        <v>3800000.0</v>
      </c>
      <c r="AC1352" s="15">
        <v>17620.0</v>
      </c>
      <c r="AD1352" s="15">
        <v>4410000.0</v>
      </c>
      <c r="AE1352" s="15">
        <v>4170000.0</v>
      </c>
      <c r="AF1352" s="15">
        <v>3860000.0</v>
      </c>
      <c r="AG1352" s="15">
        <v>3720000.0</v>
      </c>
      <c r="AH1352" s="15">
        <v>3660000.0</v>
      </c>
      <c r="AI1352" s="15">
        <v>5270000.0</v>
      </c>
      <c r="AJ1352" s="15">
        <v>4960000.0</v>
      </c>
      <c r="AK1352" s="15">
        <v>4750000.0</v>
      </c>
      <c r="AL1352" s="15">
        <v>4520000.0</v>
      </c>
      <c r="AM1352" s="15">
        <v>4300000.0</v>
      </c>
      <c r="AN1352" s="15">
        <v>3270000.0</v>
      </c>
      <c r="AO1352" s="15">
        <v>3060000.0</v>
      </c>
      <c r="AP1352" s="15">
        <v>2610000.0</v>
      </c>
      <c r="AQ1352" s="15">
        <v>2300000.0</v>
      </c>
      <c r="AR1352" s="15">
        <v>2280000.0</v>
      </c>
      <c r="AS1352" s="15">
        <v>4070000.0</v>
      </c>
      <c r="AT1352" s="15">
        <v>4090000.0</v>
      </c>
      <c r="AU1352" s="15">
        <v>3030000.0</v>
      </c>
      <c r="AV1352" s="15">
        <v>3600000.0</v>
      </c>
      <c r="AW1352" s="15">
        <v>2940000.0</v>
      </c>
      <c r="AX1352" s="15">
        <v>-1220000.0</v>
      </c>
      <c r="AY1352" s="15">
        <v>-1130000.0</v>
      </c>
      <c r="AZ1352" s="15">
        <v>-1060000.0</v>
      </c>
      <c r="BA1352" s="15">
        <v>-1020000.0</v>
      </c>
      <c r="BB1352" s="15">
        <v>-889380.0</v>
      </c>
      <c r="BC1352" s="15">
        <v>-1070000.0</v>
      </c>
      <c r="BD1352" s="15">
        <v>-922600.0</v>
      </c>
      <c r="BE1352" s="15">
        <v>-764040.0</v>
      </c>
      <c r="BF1352" s="15">
        <v>-650990.0</v>
      </c>
      <c r="BG1352" s="15">
        <v>-544270.0</v>
      </c>
      <c r="BH1352" s="15">
        <v>3220000.0</v>
      </c>
      <c r="BI1352" s="15">
        <v>3030000.0</v>
      </c>
      <c r="BJ1352" s="15">
        <v>3260000.0</v>
      </c>
      <c r="BK1352" s="15">
        <v>3470000.0</v>
      </c>
      <c r="BL1352" s="15">
        <v>2450000.0</v>
      </c>
      <c r="BM1352" s="15">
        <v>386260.0</v>
      </c>
      <c r="BN1352" s="15">
        <v>346300.0</v>
      </c>
      <c r="BO1352" s="15">
        <v>327170.0</v>
      </c>
      <c r="BP1352" s="15">
        <v>258830.0</v>
      </c>
      <c r="BQ1352" s="15">
        <v>238070.0</v>
      </c>
      <c r="BR1352" s="15">
        <v>4870000.0</v>
      </c>
      <c r="BS1352" s="15">
        <v>4580000.0</v>
      </c>
      <c r="BT1352" s="15">
        <v>4190000.0</v>
      </c>
      <c r="BU1352" s="15">
        <v>3640000.0</v>
      </c>
      <c r="BV1352" s="15">
        <v>3700000.0</v>
      </c>
      <c r="BW1352" s="15">
        <v>8890000.0</v>
      </c>
      <c r="BX1352" s="15">
        <v>8470000.0</v>
      </c>
      <c r="BY1352" s="15">
        <v>8490000.0</v>
      </c>
      <c r="BZ1352" s="15">
        <v>7750000.0</v>
      </c>
      <c r="CA1352" s="15">
        <v>6770000.0</v>
      </c>
      <c r="CB1352" s="15">
        <v>1.439E7</v>
      </c>
      <c r="CC1352" s="15">
        <v>5260000.0</v>
      </c>
      <c r="CD1352" s="15">
        <v>5010000.0</v>
      </c>
      <c r="CE1352" s="15">
        <v>4530000.0</v>
      </c>
      <c r="CF1352" s="15">
        <v>4140000.0</v>
      </c>
      <c r="CG1352" s="15">
        <v>95550.0</v>
      </c>
      <c r="CH1352" s="15">
        <v>97550.0</v>
      </c>
      <c r="CI1352" s="15">
        <v>100070.0</v>
      </c>
      <c r="CJ1352" s="15">
        <v>195870.0</v>
      </c>
      <c r="CK1352" s="15">
        <v>193910.0</v>
      </c>
      <c r="CL1352" s="15">
        <v>2.415E7</v>
      </c>
      <c r="CM1352" s="15">
        <v>1.433E7</v>
      </c>
      <c r="CN1352" s="15">
        <v>1.406E7</v>
      </c>
      <c r="CO1352" s="15">
        <v>1.288E7</v>
      </c>
      <c r="CP1352" s="15">
        <v>1.149E7</v>
      </c>
      <c r="CQ1352" s="15">
        <v>2670000.0</v>
      </c>
      <c r="CR1352" s="15">
        <v>2640000.0</v>
      </c>
      <c r="CS1352" s="15">
        <v>2490000.0</v>
      </c>
      <c r="CT1352" s="15">
        <v>2230000.0</v>
      </c>
      <c r="CU1352" s="15">
        <v>2200000.0</v>
      </c>
      <c r="CV1352" s="15">
        <v>7150000.0</v>
      </c>
      <c r="CW1352" s="15">
        <v>1410000.0</v>
      </c>
      <c r="CX1352" s="12"/>
      <c r="CY1352" s="13"/>
      <c r="CZ1352" s="13"/>
      <c r="DA1352" s="12"/>
      <c r="DB1352" s="15">
        <v>7150000.0</v>
      </c>
      <c r="DC1352" s="15">
        <v>5530000.0</v>
      </c>
      <c r="DD1352" s="15">
        <v>5130000.0</v>
      </c>
      <c r="DE1352" s="15">
        <v>4760000.0</v>
      </c>
      <c r="DF1352" s="15">
        <v>1.82E7</v>
      </c>
      <c r="DG1352" s="15">
        <v>9280000.0</v>
      </c>
      <c r="DH1352" s="15">
        <v>8910000.0</v>
      </c>
      <c r="DI1352" s="15">
        <v>8370000.0</v>
      </c>
      <c r="DJ1352" s="15">
        <v>7180000.0</v>
      </c>
      <c r="DK1352" s="12"/>
      <c r="DL1352" s="12"/>
      <c r="DM1352" s="12"/>
      <c r="DN1352" s="12"/>
      <c r="DO1352" s="12"/>
      <c r="DP1352" s="15">
        <v>1.005E7</v>
      </c>
      <c r="DQ1352" s="15">
        <v>2480000.0</v>
      </c>
      <c r="DR1352" s="15">
        <v>2450000.0</v>
      </c>
      <c r="DS1352" s="15">
        <v>2400000.0</v>
      </c>
      <c r="DT1352" s="15">
        <v>1700000.0</v>
      </c>
      <c r="DU1352" s="13"/>
      <c r="DV1352" s="12"/>
      <c r="DW1352" s="12"/>
      <c r="DX1352" s="12"/>
      <c r="DY1352" s="12"/>
      <c r="DZ1352" s="15">
        <v>5950000.0</v>
      </c>
      <c r="EA1352" s="15">
        <v>5050000.0</v>
      </c>
      <c r="EB1352" s="15">
        <v>5150000.0</v>
      </c>
      <c r="EC1352" s="15">
        <v>4510000.0</v>
      </c>
      <c r="ED1352" s="15">
        <v>4310000.0</v>
      </c>
      <c r="EE1352" s="17">
        <v>0.18</v>
      </c>
      <c r="EF1352" s="17">
        <v>0.132</v>
      </c>
      <c r="EG1352" s="17">
        <v>-3.111</v>
      </c>
      <c r="EH1352" s="17">
        <v>-0.757</v>
      </c>
    </row>
    <row r="1353">
      <c r="A1353" s="9">
        <f t="shared" si="2"/>
        <v>1351</v>
      </c>
      <c r="B1353" s="10" t="s">
        <v>1488</v>
      </c>
      <c r="C1353" s="11">
        <v>1330000.0</v>
      </c>
      <c r="D1353" s="11">
        <v>1390000.0</v>
      </c>
      <c r="E1353" s="11">
        <v>1950000.0</v>
      </c>
      <c r="F1353" s="11">
        <v>1730000.0</v>
      </c>
      <c r="G1353" s="11">
        <v>1880000.0</v>
      </c>
      <c r="H1353" s="11">
        <v>2330000.0</v>
      </c>
      <c r="I1353" s="11">
        <v>2450000.0</v>
      </c>
      <c r="J1353" s="11">
        <v>467840.0</v>
      </c>
      <c r="K1353" s="11">
        <v>318630.0</v>
      </c>
      <c r="L1353" s="11">
        <v>388690.0</v>
      </c>
      <c r="M1353" s="11">
        <v>643240.0</v>
      </c>
      <c r="N1353" s="11">
        <v>842510.0</v>
      </c>
      <c r="O1353" s="11">
        <v>81440.0</v>
      </c>
      <c r="P1353" s="11">
        <v>96560.0</v>
      </c>
      <c r="Q1353" s="11">
        <v>106150.0</v>
      </c>
      <c r="R1353" s="11">
        <v>119890.0</v>
      </c>
      <c r="S1353" s="11">
        <v>133180.0</v>
      </c>
      <c r="T1353" s="12"/>
      <c r="U1353" s="12"/>
      <c r="V1353" s="12"/>
      <c r="W1353" s="12"/>
      <c r="X1353" s="12"/>
      <c r="Y1353" s="11">
        <v>381130.0</v>
      </c>
      <c r="Z1353" s="11">
        <v>6150.0</v>
      </c>
      <c r="AA1353" s="11">
        <v>3920.0</v>
      </c>
      <c r="AB1353" s="11">
        <v>475910.0</v>
      </c>
      <c r="AC1353" s="11">
        <v>661300.0</v>
      </c>
      <c r="AD1353" s="11">
        <v>-108980.0</v>
      </c>
      <c r="AE1353" s="11">
        <v>-99080.0</v>
      </c>
      <c r="AF1353" s="11">
        <v>-479500.0</v>
      </c>
      <c r="AG1353" s="11">
        <v>25490.0</v>
      </c>
      <c r="AH1353" s="11">
        <v>285820.0</v>
      </c>
      <c r="AI1353" s="11">
        <v>677060.0</v>
      </c>
      <c r="AJ1353" s="11">
        <v>498380.0</v>
      </c>
      <c r="AK1353" s="11">
        <v>768370.0</v>
      </c>
      <c r="AL1353" s="11">
        <v>1100000.0</v>
      </c>
      <c r="AM1353" s="11">
        <v>1220000.0</v>
      </c>
      <c r="AN1353" s="11">
        <v>-310580.0</v>
      </c>
      <c r="AO1353" s="11">
        <v>-79240.0</v>
      </c>
      <c r="AP1353" s="11">
        <v>-163280.0</v>
      </c>
      <c r="AQ1353" s="11">
        <v>-128180.0</v>
      </c>
      <c r="AR1353" s="11">
        <v>82150.0</v>
      </c>
      <c r="AS1353" s="11">
        <v>383310.0</v>
      </c>
      <c r="AT1353" s="11">
        <v>182140.0</v>
      </c>
      <c r="AU1353" s="11">
        <v>513750.0</v>
      </c>
      <c r="AV1353" s="11">
        <v>620120.0</v>
      </c>
      <c r="AW1353" s="11">
        <v>770310.0</v>
      </c>
      <c r="AX1353" s="11">
        <v>-109520.0</v>
      </c>
      <c r="AY1353" s="11">
        <v>-693790.0</v>
      </c>
      <c r="AZ1353" s="11">
        <v>-1050000.0</v>
      </c>
      <c r="BA1353" s="11">
        <v>-648330.0</v>
      </c>
      <c r="BB1353" s="11">
        <v>-1800000.0</v>
      </c>
      <c r="BC1353" s="11">
        <v>-5520.0</v>
      </c>
      <c r="BD1353" s="11">
        <v>-22080.0</v>
      </c>
      <c r="BE1353" s="11">
        <v>-18980.0</v>
      </c>
      <c r="BF1353" s="11">
        <v>-17410.0</v>
      </c>
      <c r="BG1353" s="11">
        <v>-125880.0</v>
      </c>
      <c r="BH1353" s="11">
        <v>684000.0</v>
      </c>
      <c r="BI1353" s="11">
        <v>477300.0</v>
      </c>
      <c r="BJ1353" s="11">
        <v>494740.0</v>
      </c>
      <c r="BK1353" s="11">
        <v>831630.0</v>
      </c>
      <c r="BL1353" s="11">
        <v>766750.0</v>
      </c>
      <c r="BM1353" s="11">
        <v>315310.0</v>
      </c>
      <c r="BN1353" s="11">
        <v>363480.0</v>
      </c>
      <c r="BO1353" s="11">
        <v>267350.0</v>
      </c>
      <c r="BP1353" s="11">
        <v>295360.0</v>
      </c>
      <c r="BQ1353" s="11">
        <v>402140.0</v>
      </c>
      <c r="BR1353" s="12"/>
      <c r="BS1353" s="12"/>
      <c r="BT1353" s="12"/>
      <c r="BU1353" s="12"/>
      <c r="BV1353" s="12"/>
      <c r="BW1353" s="11">
        <v>1140000.0</v>
      </c>
      <c r="BX1353" s="11">
        <v>898020.0</v>
      </c>
      <c r="BY1353" s="11">
        <v>832710.0</v>
      </c>
      <c r="BZ1353" s="11">
        <v>1280000.0</v>
      </c>
      <c r="CA1353" s="11">
        <v>1320000.0</v>
      </c>
      <c r="CB1353" s="11">
        <v>5580000.0</v>
      </c>
      <c r="CC1353" s="11">
        <v>6080000.0</v>
      </c>
      <c r="CD1353" s="11">
        <v>5690000.0</v>
      </c>
      <c r="CE1353" s="11">
        <v>9640000.0</v>
      </c>
      <c r="CF1353" s="11">
        <v>1.002E7</v>
      </c>
      <c r="CG1353" s="11">
        <v>38060.0</v>
      </c>
      <c r="CH1353" s="11">
        <v>43690.0</v>
      </c>
      <c r="CI1353" s="11">
        <v>43690.0</v>
      </c>
      <c r="CJ1353" s="11">
        <v>176630.0</v>
      </c>
      <c r="CK1353" s="11">
        <v>168570.0</v>
      </c>
      <c r="CL1353" s="11">
        <v>8070000.0</v>
      </c>
      <c r="CM1353" s="11">
        <v>8390000.0</v>
      </c>
      <c r="CN1353" s="11">
        <v>8090000.0</v>
      </c>
      <c r="CO1353" s="11">
        <v>1.281E7</v>
      </c>
      <c r="CP1353" s="11">
        <v>1.306E7</v>
      </c>
      <c r="CQ1353" s="11">
        <v>135500.0</v>
      </c>
      <c r="CR1353" s="11">
        <v>31200.0</v>
      </c>
      <c r="CS1353" s="11">
        <v>24110.0</v>
      </c>
      <c r="CT1353" s="11">
        <v>53510.0</v>
      </c>
      <c r="CU1353" s="11">
        <v>64210.0</v>
      </c>
      <c r="CV1353" s="11">
        <v>1160000.0</v>
      </c>
      <c r="CW1353" s="11">
        <v>115060.0</v>
      </c>
      <c r="CX1353" s="12"/>
      <c r="CY1353" s="12"/>
      <c r="CZ1353" s="12"/>
      <c r="DA1353" s="12"/>
      <c r="DB1353" s="11">
        <v>1160000.0</v>
      </c>
      <c r="DC1353" s="11">
        <v>686130.0</v>
      </c>
      <c r="DD1353" s="11">
        <v>1360000.0</v>
      </c>
      <c r="DE1353" s="11">
        <v>1650000.0</v>
      </c>
      <c r="DF1353" s="11">
        <v>5500000.0</v>
      </c>
      <c r="DG1353" s="11">
        <v>5520000.0</v>
      </c>
      <c r="DH1353" s="11">
        <v>5210000.0</v>
      </c>
      <c r="DI1353" s="11">
        <v>8480000.0</v>
      </c>
      <c r="DJ1353" s="11">
        <v>9100000.0</v>
      </c>
      <c r="DK1353" s="11">
        <v>1220000.0</v>
      </c>
      <c r="DL1353" s="11">
        <v>1250000.0</v>
      </c>
      <c r="DM1353" s="11">
        <v>1390000.0</v>
      </c>
      <c r="DN1353" s="11">
        <v>1440000.0</v>
      </c>
      <c r="DO1353" s="11">
        <v>1220000.0</v>
      </c>
      <c r="DP1353" s="11">
        <v>4130000.0</v>
      </c>
      <c r="DQ1353" s="11">
        <v>4650000.0</v>
      </c>
      <c r="DR1353" s="11">
        <v>3660000.0</v>
      </c>
      <c r="DS1353" s="11">
        <v>5990000.0</v>
      </c>
      <c r="DT1353" s="11">
        <v>6330000.0</v>
      </c>
      <c r="DU1353" s="13"/>
      <c r="DV1353" s="12"/>
      <c r="DW1353" s="12"/>
      <c r="DX1353" s="12"/>
      <c r="DY1353" s="12"/>
      <c r="DZ1353" s="11">
        <v>481860.0</v>
      </c>
      <c r="EA1353" s="11">
        <v>808990.0</v>
      </c>
      <c r="EB1353" s="11">
        <v>777190.0</v>
      </c>
      <c r="EC1353" s="11">
        <v>899370.0</v>
      </c>
      <c r="ED1353" s="11">
        <v>919030.0</v>
      </c>
      <c r="EE1353" s="14">
        <v>0.0</v>
      </c>
      <c r="EF1353" s="14">
        <v>0.0</v>
      </c>
      <c r="EG1353" s="14">
        <v>0.846</v>
      </c>
      <c r="EH1353" s="23"/>
    </row>
    <row r="1354">
      <c r="A1354" s="9">
        <f t="shared" si="2"/>
        <v>1352</v>
      </c>
      <c r="B1354" s="10" t="s">
        <v>1489</v>
      </c>
      <c r="C1354" s="15">
        <v>2290000.0</v>
      </c>
      <c r="D1354" s="15">
        <v>2210000.0</v>
      </c>
      <c r="E1354" s="15">
        <v>544000.0</v>
      </c>
      <c r="F1354" s="15">
        <v>466390.0</v>
      </c>
      <c r="G1354" s="15">
        <v>502470.0</v>
      </c>
      <c r="H1354" s="12"/>
      <c r="I1354" s="12"/>
      <c r="J1354" s="15">
        <v>75160.0</v>
      </c>
      <c r="K1354" s="15">
        <v>89780.0</v>
      </c>
      <c r="L1354" s="15">
        <v>125890.0</v>
      </c>
      <c r="M1354" s="12"/>
      <c r="N1354" s="12"/>
      <c r="O1354" s="15">
        <v>132240.0</v>
      </c>
      <c r="P1354" s="15">
        <v>90970.0</v>
      </c>
      <c r="Q1354" s="15">
        <v>99350.0</v>
      </c>
      <c r="R1354" s="12"/>
      <c r="S1354" s="12"/>
      <c r="T1354" s="15">
        <v>19690.0</v>
      </c>
      <c r="U1354" s="15">
        <v>19900.0</v>
      </c>
      <c r="V1354" s="15">
        <v>25570.0</v>
      </c>
      <c r="W1354" s="12"/>
      <c r="X1354" s="12"/>
      <c r="Y1354" s="15">
        <v>-91590.0</v>
      </c>
      <c r="Z1354" s="15">
        <v>-6070.0</v>
      </c>
      <c r="AA1354" s="12"/>
      <c r="AB1354" s="12"/>
      <c r="AC1354" s="12"/>
      <c r="AD1354" s="15">
        <v>-106300.0</v>
      </c>
      <c r="AE1354" s="15">
        <v>-11570.0</v>
      </c>
      <c r="AF1354" s="15">
        <v>28700.0</v>
      </c>
      <c r="AG1354" s="12"/>
      <c r="AH1354" s="12"/>
      <c r="AI1354" s="15">
        <v>-25130.0</v>
      </c>
      <c r="AJ1354" s="15">
        <v>10050.0</v>
      </c>
      <c r="AK1354" s="15">
        <v>35540.0</v>
      </c>
      <c r="AL1354" s="12"/>
      <c r="AM1354" s="12"/>
      <c r="AN1354" s="15">
        <v>-122810.0</v>
      </c>
      <c r="AO1354" s="15">
        <v>-11310.0</v>
      </c>
      <c r="AP1354" s="15">
        <v>37770.0</v>
      </c>
      <c r="AQ1354" s="12"/>
      <c r="AR1354" s="12"/>
      <c r="AS1354" s="15">
        <v>31530.0</v>
      </c>
      <c r="AT1354" s="15">
        <v>899.0</v>
      </c>
      <c r="AU1354" s="15">
        <v>-13150.0</v>
      </c>
      <c r="AV1354" s="12"/>
      <c r="AW1354" s="12"/>
      <c r="AX1354" s="15">
        <v>-6120.0</v>
      </c>
      <c r="AY1354" s="15">
        <v>-17860.0</v>
      </c>
      <c r="AZ1354" s="15">
        <v>-17770.0</v>
      </c>
      <c r="BA1354" s="12"/>
      <c r="BB1354" s="12"/>
      <c r="BC1354" s="12"/>
      <c r="BD1354" s="15">
        <v>-8700.0</v>
      </c>
      <c r="BE1354" s="12"/>
      <c r="BF1354" s="12"/>
      <c r="BG1354" s="12"/>
      <c r="BH1354" s="15">
        <v>27460.0</v>
      </c>
      <c r="BI1354" s="15">
        <v>71140.0</v>
      </c>
      <c r="BJ1354" s="15">
        <v>88770.0</v>
      </c>
      <c r="BK1354" s="12"/>
      <c r="BL1354" s="12"/>
      <c r="BM1354" s="15">
        <v>180660.0</v>
      </c>
      <c r="BN1354" s="15">
        <v>179890.0</v>
      </c>
      <c r="BO1354" s="15">
        <v>192670.0</v>
      </c>
      <c r="BP1354" s="12"/>
      <c r="BQ1354" s="12"/>
      <c r="BR1354" s="15">
        <v>24190.0</v>
      </c>
      <c r="BS1354" s="15">
        <v>27950.0</v>
      </c>
      <c r="BT1354" s="15">
        <v>28790.0</v>
      </c>
      <c r="BU1354" s="12"/>
      <c r="BV1354" s="12"/>
      <c r="BW1354" s="15">
        <v>241520.0</v>
      </c>
      <c r="BX1354" s="15">
        <v>285150.0</v>
      </c>
      <c r="BY1354" s="15">
        <v>315050.0</v>
      </c>
      <c r="BZ1354" s="12"/>
      <c r="CA1354" s="12"/>
      <c r="CB1354" s="15">
        <v>42150.0</v>
      </c>
      <c r="CC1354" s="15">
        <v>8760.0</v>
      </c>
      <c r="CD1354" s="15">
        <v>7800.0</v>
      </c>
      <c r="CE1354" s="12"/>
      <c r="CF1354" s="12"/>
      <c r="CG1354" s="15">
        <v>39020.0</v>
      </c>
      <c r="CH1354" s="15">
        <v>15350.0</v>
      </c>
      <c r="CI1354" s="15">
        <v>15360.0</v>
      </c>
      <c r="CJ1354" s="12"/>
      <c r="CK1354" s="12"/>
      <c r="CL1354" s="15">
        <v>392940.0</v>
      </c>
      <c r="CM1354" s="15">
        <v>362290.0</v>
      </c>
      <c r="CN1354" s="15">
        <v>382560.0</v>
      </c>
      <c r="CO1354" s="12"/>
      <c r="CP1354" s="12"/>
      <c r="CQ1354" s="15">
        <v>85700.0</v>
      </c>
      <c r="CR1354" s="15">
        <v>65360.0</v>
      </c>
      <c r="CS1354" s="15">
        <v>86830.0</v>
      </c>
      <c r="CT1354" s="12"/>
      <c r="CU1354" s="12"/>
      <c r="CV1354" s="15">
        <v>251030.0</v>
      </c>
      <c r="CW1354" s="15">
        <v>54700.0</v>
      </c>
      <c r="CX1354" s="15">
        <v>53970.0</v>
      </c>
      <c r="CY1354" s="15">
        <v>47870.0</v>
      </c>
      <c r="CZ1354" s="13"/>
      <c r="DA1354" s="12"/>
      <c r="DB1354" s="15">
        <v>251030.0</v>
      </c>
      <c r="DC1354" s="15">
        <v>172360.0</v>
      </c>
      <c r="DD1354" s="15">
        <v>185240.0</v>
      </c>
      <c r="DE1354" s="12"/>
      <c r="DF1354" s="15">
        <v>334530.0</v>
      </c>
      <c r="DG1354" s="15">
        <v>174580.0</v>
      </c>
      <c r="DH1354" s="15">
        <v>188870.0</v>
      </c>
      <c r="DI1354" s="12"/>
      <c r="DJ1354" s="12"/>
      <c r="DK1354" s="12"/>
      <c r="DL1354" s="12"/>
      <c r="DM1354" s="12"/>
      <c r="DN1354" s="12"/>
      <c r="DO1354" s="12"/>
      <c r="DP1354" s="15">
        <v>66800.0</v>
      </c>
      <c r="DQ1354" s="15">
        <v>172.0</v>
      </c>
      <c r="DR1354" s="15">
        <v>587.0</v>
      </c>
      <c r="DS1354" s="12"/>
      <c r="DT1354" s="12"/>
      <c r="DU1354" s="13"/>
      <c r="DV1354" s="12"/>
      <c r="DW1354" s="12"/>
      <c r="DX1354" s="12"/>
      <c r="DY1354" s="12"/>
      <c r="DZ1354" s="15">
        <v>56020.0</v>
      </c>
      <c r="EA1354" s="15">
        <v>185230.0</v>
      </c>
      <c r="EB1354" s="15">
        <v>191460.0</v>
      </c>
      <c r="EC1354" s="12"/>
      <c r="ED1354" s="12"/>
      <c r="EE1354" s="17">
        <v>0.0</v>
      </c>
      <c r="EF1354" s="17">
        <v>0.0</v>
      </c>
      <c r="EG1354" s="17">
        <v>0.132</v>
      </c>
      <c r="EH1354" s="17">
        <v>0.226</v>
      </c>
    </row>
    <row r="1355">
      <c r="A1355" s="9">
        <f t="shared" si="2"/>
        <v>1353</v>
      </c>
      <c r="B1355" s="22" t="s">
        <v>1490</v>
      </c>
      <c r="C1355" s="12"/>
      <c r="D1355" s="12"/>
      <c r="E1355" s="12"/>
      <c r="F1355" s="12"/>
      <c r="G1355" s="12"/>
      <c r="H1355" s="12"/>
      <c r="I1355" s="12"/>
      <c r="J1355" s="11">
        <v>-196.0</v>
      </c>
      <c r="K1355" s="11">
        <v>-12.0</v>
      </c>
      <c r="L1355" s="11">
        <v>-11.0</v>
      </c>
      <c r="M1355" s="11">
        <v>-8.0</v>
      </c>
      <c r="N1355" s="12"/>
      <c r="O1355" s="11">
        <v>7450.0</v>
      </c>
      <c r="P1355" s="11">
        <v>7610.0</v>
      </c>
      <c r="Q1355" s="11">
        <v>8200.0</v>
      </c>
      <c r="R1355" s="11">
        <v>7280.0</v>
      </c>
      <c r="S1355" s="11">
        <v>8610.0</v>
      </c>
      <c r="T1355" s="11">
        <v>2910.0</v>
      </c>
      <c r="U1355" s="11">
        <v>4130.0</v>
      </c>
      <c r="V1355" s="11">
        <v>4670.0</v>
      </c>
      <c r="W1355" s="11">
        <v>2960.0</v>
      </c>
      <c r="X1355" s="11">
        <v>6290.0</v>
      </c>
      <c r="Y1355" s="12"/>
      <c r="Z1355" s="12"/>
      <c r="AA1355" s="12"/>
      <c r="AB1355" s="12"/>
      <c r="AC1355" s="12"/>
      <c r="AD1355" s="11">
        <v>-7850.0</v>
      </c>
      <c r="AE1355" s="11">
        <v>-7410.0</v>
      </c>
      <c r="AF1355" s="11">
        <v>-8260.0</v>
      </c>
      <c r="AG1355" s="11">
        <v>-7300.0</v>
      </c>
      <c r="AH1355" s="11">
        <v>-8630.0</v>
      </c>
      <c r="AI1355" s="11">
        <v>-7450.0</v>
      </c>
      <c r="AJ1355" s="11">
        <v>-7610.0</v>
      </c>
      <c r="AK1355" s="11">
        <v>-8200.0</v>
      </c>
      <c r="AL1355" s="11">
        <v>-7280.0</v>
      </c>
      <c r="AM1355" s="11">
        <v>-8610.0</v>
      </c>
      <c r="AN1355" s="11">
        <v>-7310.0</v>
      </c>
      <c r="AO1355" s="11">
        <v>-5950.0</v>
      </c>
      <c r="AP1355" s="11">
        <v>-6770.0</v>
      </c>
      <c r="AQ1355" s="11">
        <v>-7210.0</v>
      </c>
      <c r="AR1355" s="11">
        <v>-8630.0</v>
      </c>
      <c r="AS1355" s="11">
        <v>-5330.0</v>
      </c>
      <c r="AT1355" s="11">
        <v>-3450.0</v>
      </c>
      <c r="AU1355" s="11">
        <v>-5850.0</v>
      </c>
      <c r="AV1355" s="11">
        <v>-5110.0</v>
      </c>
      <c r="AW1355" s="11">
        <v>-5510.0</v>
      </c>
      <c r="AX1355" s="11">
        <v>-3.0</v>
      </c>
      <c r="AY1355" s="12"/>
      <c r="AZ1355" s="11">
        <v>-1.0</v>
      </c>
      <c r="BA1355" s="11">
        <v>-35.0</v>
      </c>
      <c r="BB1355" s="12"/>
      <c r="BC1355" s="12"/>
      <c r="BD1355" s="12"/>
      <c r="BE1355" s="12"/>
      <c r="BF1355" s="12"/>
      <c r="BG1355" s="12"/>
      <c r="BH1355" s="11">
        <v>153.0</v>
      </c>
      <c r="BI1355" s="11">
        <v>4170.0</v>
      </c>
      <c r="BJ1355" s="11">
        <v>48.0</v>
      </c>
      <c r="BK1355" s="11">
        <v>4700.0</v>
      </c>
      <c r="BL1355" s="11">
        <v>8900.0</v>
      </c>
      <c r="BM1355" s="11">
        <v>970.0</v>
      </c>
      <c r="BN1355" s="11">
        <v>1020.0</v>
      </c>
      <c r="BO1355" s="11">
        <v>1520.0</v>
      </c>
      <c r="BP1355" s="11">
        <v>93.0</v>
      </c>
      <c r="BQ1355" s="11">
        <v>273.0</v>
      </c>
      <c r="BR1355" s="12"/>
      <c r="BS1355" s="12"/>
      <c r="BT1355" s="12"/>
      <c r="BU1355" s="12"/>
      <c r="BV1355" s="12"/>
      <c r="BW1355" s="11">
        <v>1140.0</v>
      </c>
      <c r="BX1355" s="11">
        <v>5210.0</v>
      </c>
      <c r="BY1355" s="11">
        <v>1810.0</v>
      </c>
      <c r="BZ1355" s="11">
        <v>5020.0</v>
      </c>
      <c r="CA1355" s="11">
        <v>9250.0</v>
      </c>
      <c r="CB1355" s="11">
        <v>334.0</v>
      </c>
      <c r="CC1355" s="11">
        <v>6.0</v>
      </c>
      <c r="CD1355" s="11">
        <v>18.0</v>
      </c>
      <c r="CE1355" s="11">
        <v>28.0</v>
      </c>
      <c r="CF1355" s="12"/>
      <c r="CG1355" s="12"/>
      <c r="CH1355" s="12"/>
      <c r="CI1355" s="12"/>
      <c r="CJ1355" s="12"/>
      <c r="CK1355" s="12"/>
      <c r="CL1355" s="11">
        <v>1810.0</v>
      </c>
      <c r="CM1355" s="11">
        <v>5440.0</v>
      </c>
      <c r="CN1355" s="11">
        <v>1830.0</v>
      </c>
      <c r="CO1355" s="11">
        <v>5050.0</v>
      </c>
      <c r="CP1355" s="11">
        <v>9250.0</v>
      </c>
      <c r="CQ1355" s="12"/>
      <c r="CR1355" s="12"/>
      <c r="CS1355" s="12"/>
      <c r="CT1355" s="12"/>
      <c r="CU1355" s="12"/>
      <c r="CV1355" s="11">
        <v>5580.0</v>
      </c>
      <c r="CW1355" s="11">
        <v>451.0</v>
      </c>
      <c r="CX1355" s="24">
        <v>352.0</v>
      </c>
      <c r="CY1355" s="24">
        <v>234.0</v>
      </c>
      <c r="CZ1355" s="24">
        <v>225.0</v>
      </c>
      <c r="DA1355" s="11">
        <v>216.0</v>
      </c>
      <c r="DB1355" s="11">
        <v>5580.0</v>
      </c>
      <c r="DC1355" s="11">
        <v>5030.0</v>
      </c>
      <c r="DD1355" s="11">
        <v>3510.0</v>
      </c>
      <c r="DE1355" s="11">
        <v>1740.0</v>
      </c>
      <c r="DF1355" s="11">
        <v>5990.0</v>
      </c>
      <c r="DG1355" s="11">
        <v>5030.0</v>
      </c>
      <c r="DH1355" s="11">
        <v>3510.0</v>
      </c>
      <c r="DI1355" s="11">
        <v>15270.0</v>
      </c>
      <c r="DJ1355" s="11">
        <v>13030.0</v>
      </c>
      <c r="DK1355" s="12"/>
      <c r="DL1355" s="12"/>
      <c r="DM1355" s="12"/>
      <c r="DN1355" s="12"/>
      <c r="DO1355" s="12"/>
      <c r="DP1355" s="11">
        <v>411.0</v>
      </c>
      <c r="DQ1355" s="12"/>
      <c r="DR1355" s="12"/>
      <c r="DS1355" s="11">
        <v>13540.0</v>
      </c>
      <c r="DT1355" s="11">
        <v>12290.0</v>
      </c>
      <c r="DU1355" s="13"/>
      <c r="DV1355" s="12"/>
      <c r="DW1355" s="12"/>
      <c r="DX1355" s="13"/>
      <c r="DY1355" s="13"/>
      <c r="DZ1355" s="11">
        <v>-4180.0</v>
      </c>
      <c r="EA1355" s="11">
        <v>411.0</v>
      </c>
      <c r="EB1355" s="11">
        <v>-1680.0</v>
      </c>
      <c r="EC1355" s="11">
        <v>-10220.0</v>
      </c>
      <c r="ED1355" s="11">
        <v>-3780.0</v>
      </c>
      <c r="EE1355" s="23"/>
      <c r="EF1355" s="23"/>
      <c r="EG1355" s="23" t="s">
        <v>155</v>
      </c>
      <c r="EH1355" s="23"/>
    </row>
    <row r="1356">
      <c r="A1356" s="9">
        <f t="shared" si="2"/>
        <v>1354</v>
      </c>
      <c r="B1356" s="10" t="s">
        <v>1491</v>
      </c>
      <c r="C1356" s="15">
        <v>625860.0</v>
      </c>
      <c r="D1356" s="15">
        <v>531430.0</v>
      </c>
      <c r="E1356" s="15">
        <v>619300.0</v>
      </c>
      <c r="F1356" s="15">
        <v>598480.0</v>
      </c>
      <c r="G1356" s="15">
        <v>576900.0</v>
      </c>
      <c r="H1356" s="15">
        <v>568950.0</v>
      </c>
      <c r="I1356" s="15">
        <v>550990.0</v>
      </c>
      <c r="J1356" s="15">
        <v>186710.0</v>
      </c>
      <c r="K1356" s="15">
        <v>180900.0</v>
      </c>
      <c r="L1356" s="15">
        <v>175370.0</v>
      </c>
      <c r="M1356" s="15">
        <v>168460.0</v>
      </c>
      <c r="N1356" s="15">
        <v>167250.0</v>
      </c>
      <c r="O1356" s="15">
        <v>158250.0</v>
      </c>
      <c r="P1356" s="15">
        <v>149420.0</v>
      </c>
      <c r="Q1356" s="15">
        <v>150540.0</v>
      </c>
      <c r="R1356" s="15">
        <v>146780.0</v>
      </c>
      <c r="S1356" s="15">
        <v>146560.0</v>
      </c>
      <c r="T1356" s="12"/>
      <c r="U1356" s="12"/>
      <c r="V1356" s="12"/>
      <c r="W1356" s="12"/>
      <c r="X1356" s="12"/>
      <c r="Y1356" s="12"/>
      <c r="Z1356" s="12"/>
      <c r="AA1356" s="15">
        <v>23990.0</v>
      </c>
      <c r="AB1356" s="15">
        <v>19330.0</v>
      </c>
      <c r="AC1356" s="15">
        <v>18100.0</v>
      </c>
      <c r="AD1356" s="15">
        <v>31360.0</v>
      </c>
      <c r="AE1356" s="15">
        <v>33790.0</v>
      </c>
      <c r="AF1356" s="15">
        <v>25210.0</v>
      </c>
      <c r="AG1356" s="15">
        <v>19750.0</v>
      </c>
      <c r="AH1356" s="15">
        <v>18150.0</v>
      </c>
      <c r="AI1356" s="15">
        <v>49400.0</v>
      </c>
      <c r="AJ1356" s="15">
        <v>53970.0</v>
      </c>
      <c r="AK1356" s="15">
        <v>48220.0</v>
      </c>
      <c r="AL1356" s="15">
        <v>44950.0</v>
      </c>
      <c r="AM1356" s="15">
        <v>43500.0</v>
      </c>
      <c r="AN1356" s="15">
        <v>22620.0</v>
      </c>
      <c r="AO1356" s="15">
        <v>24940.0</v>
      </c>
      <c r="AP1356" s="15">
        <v>14700.0</v>
      </c>
      <c r="AQ1356" s="15">
        <v>11410.0</v>
      </c>
      <c r="AR1356" s="15">
        <v>7540.0</v>
      </c>
      <c r="AS1356" s="15">
        <v>38980.0</v>
      </c>
      <c r="AT1356" s="15">
        <v>46740.0</v>
      </c>
      <c r="AU1356" s="15">
        <v>32710.0</v>
      </c>
      <c r="AV1356" s="15">
        <v>48460.0</v>
      </c>
      <c r="AW1356" s="15">
        <v>36850.0</v>
      </c>
      <c r="AX1356" s="15">
        <v>-14300.0</v>
      </c>
      <c r="AY1356" s="15">
        <v>-14920.0</v>
      </c>
      <c r="AZ1356" s="15">
        <v>-13750.0</v>
      </c>
      <c r="BA1356" s="15">
        <v>-17050.0</v>
      </c>
      <c r="BB1356" s="15">
        <v>-23100.0</v>
      </c>
      <c r="BC1356" s="15">
        <v>-29450.0</v>
      </c>
      <c r="BD1356" s="15">
        <v>-29070.0</v>
      </c>
      <c r="BE1356" s="15">
        <v>-20080.0</v>
      </c>
      <c r="BF1356" s="12"/>
      <c r="BG1356" s="12"/>
      <c r="BH1356" s="15">
        <v>139920.0</v>
      </c>
      <c r="BI1356" s="15">
        <v>144080.0</v>
      </c>
      <c r="BJ1356" s="15">
        <v>135950.0</v>
      </c>
      <c r="BK1356" s="15">
        <v>133920.0</v>
      </c>
      <c r="BL1356" s="15">
        <v>100950.0</v>
      </c>
      <c r="BM1356" s="15">
        <v>7490.0</v>
      </c>
      <c r="BN1356" s="15">
        <v>6080.0</v>
      </c>
      <c r="BO1356" s="15">
        <v>4350.0</v>
      </c>
      <c r="BP1356" s="15">
        <v>3990.0</v>
      </c>
      <c r="BQ1356" s="15">
        <v>5400.0</v>
      </c>
      <c r="BR1356" s="15">
        <v>56900.0</v>
      </c>
      <c r="BS1356" s="15">
        <v>55810.0</v>
      </c>
      <c r="BT1356" s="15">
        <v>53220.0</v>
      </c>
      <c r="BU1356" s="15">
        <v>47770.0</v>
      </c>
      <c r="BV1356" s="15">
        <v>51360.0</v>
      </c>
      <c r="BW1356" s="15">
        <v>208860.0</v>
      </c>
      <c r="BX1356" s="15">
        <v>217140.0</v>
      </c>
      <c r="BY1356" s="15">
        <v>203050.0</v>
      </c>
      <c r="BZ1356" s="15">
        <v>195220.0</v>
      </c>
      <c r="CA1356" s="15">
        <v>170670.0</v>
      </c>
      <c r="CB1356" s="15">
        <v>329830.0</v>
      </c>
      <c r="CC1356" s="15">
        <v>73840.0</v>
      </c>
      <c r="CD1356" s="15">
        <v>83320.0</v>
      </c>
      <c r="CE1356" s="15">
        <v>89220.0</v>
      </c>
      <c r="CF1356" s="15">
        <v>99030.0</v>
      </c>
      <c r="CG1356" s="12"/>
      <c r="CH1356" s="12"/>
      <c r="CI1356" s="12"/>
      <c r="CJ1356" s="12"/>
      <c r="CK1356" s="12"/>
      <c r="CL1356" s="15">
        <v>626330.0</v>
      </c>
      <c r="CM1356" s="15">
        <v>300630.0</v>
      </c>
      <c r="CN1356" s="15">
        <v>296010.0</v>
      </c>
      <c r="CO1356" s="15">
        <v>298500.0</v>
      </c>
      <c r="CP1356" s="15">
        <v>270750.0</v>
      </c>
      <c r="CQ1356" s="15">
        <v>20560.0</v>
      </c>
      <c r="CR1356" s="15">
        <v>24210.0</v>
      </c>
      <c r="CS1356" s="15">
        <v>21620.0</v>
      </c>
      <c r="CT1356" s="15">
        <v>17580.0</v>
      </c>
      <c r="CU1356" s="15">
        <v>16020.0</v>
      </c>
      <c r="CV1356" s="15">
        <v>145270.0</v>
      </c>
      <c r="CW1356" s="15">
        <v>55320.0</v>
      </c>
      <c r="CX1356" s="12"/>
      <c r="CY1356" s="13"/>
      <c r="CZ1356" s="13"/>
      <c r="DA1356" s="12"/>
      <c r="DB1356" s="15">
        <v>145270.0</v>
      </c>
      <c r="DC1356" s="15">
        <v>97260.0</v>
      </c>
      <c r="DD1356" s="15">
        <v>95630.0</v>
      </c>
      <c r="DE1356" s="15">
        <v>65400.0</v>
      </c>
      <c r="DF1356" s="15">
        <v>466430.0</v>
      </c>
      <c r="DG1356" s="15">
        <v>137310.0</v>
      </c>
      <c r="DH1356" s="15">
        <v>135590.0</v>
      </c>
      <c r="DI1356" s="15">
        <v>109280.0</v>
      </c>
      <c r="DJ1356" s="15">
        <v>97540.0</v>
      </c>
      <c r="DK1356" s="12"/>
      <c r="DL1356" s="12"/>
      <c r="DM1356" s="12"/>
      <c r="DN1356" s="12"/>
      <c r="DO1356" s="12"/>
      <c r="DP1356" s="15">
        <v>240760.0</v>
      </c>
      <c r="DQ1356" s="12"/>
      <c r="DR1356" s="12"/>
      <c r="DS1356" s="12"/>
      <c r="DT1356" s="15">
        <v>835.0</v>
      </c>
      <c r="DU1356" s="13"/>
      <c r="DV1356" s="12"/>
      <c r="DW1356" s="12"/>
      <c r="DX1356" s="12"/>
      <c r="DY1356" s="12"/>
      <c r="DZ1356" s="15">
        <v>159900.0</v>
      </c>
      <c r="EA1356" s="15">
        <v>163330.0</v>
      </c>
      <c r="EB1356" s="15">
        <v>160430.0</v>
      </c>
      <c r="EC1356" s="15">
        <v>189220.0</v>
      </c>
      <c r="ED1356" s="15">
        <v>173210.0</v>
      </c>
      <c r="EE1356" s="17">
        <v>0.153</v>
      </c>
      <c r="EF1356" s="17">
        <v>0.134</v>
      </c>
      <c r="EG1356" s="17">
        <v>-0.639</v>
      </c>
      <c r="EH1356" s="17">
        <v>0.014</v>
      </c>
    </row>
    <row r="1357">
      <c r="A1357" s="9">
        <f t="shared" si="2"/>
        <v>1355</v>
      </c>
      <c r="B1357" s="25" t="s">
        <v>1492</v>
      </c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5">
        <v>-6.2999E8</v>
      </c>
      <c r="BD1357" s="15">
        <v>-6.4481E8</v>
      </c>
      <c r="BE1357" s="15">
        <v>-6.2689E8</v>
      </c>
      <c r="BF1357" s="15">
        <v>-6.3817E8</v>
      </c>
      <c r="BG1357" s="15">
        <v>-7.0595E8</v>
      </c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5">
        <v>5.0417E8</v>
      </c>
      <c r="DV1357" s="15">
        <v>4.9807E8</v>
      </c>
      <c r="DW1357" s="15">
        <v>4.9197E8</v>
      </c>
      <c r="DX1357" s="15">
        <v>4.8588E8</v>
      </c>
      <c r="DY1357" s="15">
        <v>4.7978E8</v>
      </c>
      <c r="DZ1357" s="12"/>
      <c r="EA1357" s="12"/>
      <c r="EB1357" s="12"/>
      <c r="EC1357" s="12"/>
      <c r="ED1357" s="12"/>
      <c r="EE1357" s="23"/>
      <c r="EF1357" s="23"/>
      <c r="EG1357" s="23" t="s">
        <v>155</v>
      </c>
      <c r="EH1357" s="23"/>
    </row>
    <row r="1358">
      <c r="A1358" s="9">
        <f t="shared" si="2"/>
        <v>1356</v>
      </c>
      <c r="B1358" s="22" t="s">
        <v>1493</v>
      </c>
      <c r="C1358" s="11">
        <v>57830.0</v>
      </c>
      <c r="D1358" s="11">
        <v>24960.0</v>
      </c>
      <c r="E1358" s="11">
        <v>23600.0</v>
      </c>
      <c r="F1358" s="11">
        <v>13020.0</v>
      </c>
      <c r="G1358" s="11">
        <v>7690.0</v>
      </c>
      <c r="H1358" s="11">
        <v>6210.0</v>
      </c>
      <c r="I1358" s="12"/>
      <c r="J1358" s="11">
        <v>13640.0</v>
      </c>
      <c r="K1358" s="11">
        <v>5570.0</v>
      </c>
      <c r="L1358" s="11">
        <v>1910.0</v>
      </c>
      <c r="M1358" s="11">
        <v>540.0</v>
      </c>
      <c r="N1358" s="12"/>
      <c r="O1358" s="11">
        <v>43240.0</v>
      </c>
      <c r="P1358" s="11">
        <v>25800.0</v>
      </c>
      <c r="Q1358" s="11">
        <v>22330.0</v>
      </c>
      <c r="R1358" s="11">
        <v>23530.0</v>
      </c>
      <c r="S1358" s="12"/>
      <c r="T1358" s="11">
        <v>19650.0</v>
      </c>
      <c r="U1358" s="11">
        <v>13660.0</v>
      </c>
      <c r="V1358" s="11">
        <v>14960.0</v>
      </c>
      <c r="W1358" s="11">
        <v>15640.0</v>
      </c>
      <c r="X1358" s="12"/>
      <c r="Y1358" s="11">
        <v>-29940.0</v>
      </c>
      <c r="Z1358" s="11">
        <v>-21090.0</v>
      </c>
      <c r="AA1358" s="11">
        <v>-20270.0</v>
      </c>
      <c r="AB1358" s="11">
        <v>-23090.0</v>
      </c>
      <c r="AC1358" s="12"/>
      <c r="AD1358" s="11">
        <v>-33510.0</v>
      </c>
      <c r="AE1358" s="11">
        <v>-23720.0</v>
      </c>
      <c r="AF1358" s="11">
        <v>-20790.0</v>
      </c>
      <c r="AG1358" s="11">
        <v>-24070.0</v>
      </c>
      <c r="AH1358" s="12"/>
      <c r="AI1358" s="11">
        <v>-28380.0</v>
      </c>
      <c r="AJ1358" s="11">
        <v>-19470.0</v>
      </c>
      <c r="AK1358" s="11">
        <v>-19800.0</v>
      </c>
      <c r="AL1358" s="11">
        <v>-22560.0</v>
      </c>
      <c r="AM1358" s="12"/>
      <c r="AN1358" s="11">
        <v>-33550.0</v>
      </c>
      <c r="AO1358" s="11">
        <v>-23760.0</v>
      </c>
      <c r="AP1358" s="11">
        <v>-20820.0</v>
      </c>
      <c r="AQ1358" s="11">
        <v>-24070.0</v>
      </c>
      <c r="AR1358" s="12"/>
      <c r="AS1358" s="11">
        <v>-32290.0</v>
      </c>
      <c r="AT1358" s="11">
        <v>-25980.0</v>
      </c>
      <c r="AU1358" s="11">
        <v>-23100.0</v>
      </c>
      <c r="AV1358" s="11">
        <v>-24190.0</v>
      </c>
      <c r="AW1358" s="12"/>
      <c r="AX1358" s="11">
        <v>-165.0</v>
      </c>
      <c r="AY1358" s="11">
        <v>-418.0</v>
      </c>
      <c r="AZ1358" s="11">
        <v>-263.0</v>
      </c>
      <c r="BA1358" s="11">
        <v>-1480.0</v>
      </c>
      <c r="BB1358" s="12"/>
      <c r="BC1358" s="12"/>
      <c r="BD1358" s="12"/>
      <c r="BE1358" s="12"/>
      <c r="BF1358" s="12"/>
      <c r="BG1358" s="12"/>
      <c r="BH1358" s="11">
        <v>80690.0</v>
      </c>
      <c r="BI1358" s="11">
        <v>20240.0</v>
      </c>
      <c r="BJ1358" s="11">
        <v>24660.0</v>
      </c>
      <c r="BK1358" s="12"/>
      <c r="BL1358" s="12"/>
      <c r="BM1358" s="11">
        <v>6560.0</v>
      </c>
      <c r="BN1358" s="11">
        <v>3440.0</v>
      </c>
      <c r="BO1358" s="11">
        <v>925.0</v>
      </c>
      <c r="BP1358" s="12"/>
      <c r="BQ1358" s="12"/>
      <c r="BR1358" s="11">
        <v>11220.0</v>
      </c>
      <c r="BS1358" s="11">
        <v>9280.0</v>
      </c>
      <c r="BT1358" s="11">
        <v>7970.0</v>
      </c>
      <c r="BU1358" s="12"/>
      <c r="BV1358" s="12"/>
      <c r="BW1358" s="11">
        <v>100000.0</v>
      </c>
      <c r="BX1358" s="11">
        <v>34790.0</v>
      </c>
      <c r="BY1358" s="11">
        <v>34040.0</v>
      </c>
      <c r="BZ1358" s="12"/>
      <c r="CA1358" s="12"/>
      <c r="CB1358" s="11">
        <v>4790.0</v>
      </c>
      <c r="CC1358" s="11">
        <v>3470.0</v>
      </c>
      <c r="CD1358" s="11">
        <v>2460.0</v>
      </c>
      <c r="CE1358" s="12"/>
      <c r="CF1358" s="12"/>
      <c r="CG1358" s="12"/>
      <c r="CH1358" s="12"/>
      <c r="CI1358" s="12"/>
      <c r="CJ1358" s="12"/>
      <c r="CK1358" s="12"/>
      <c r="CL1358" s="11">
        <v>105300.0</v>
      </c>
      <c r="CM1358" s="11">
        <v>42160.0</v>
      </c>
      <c r="CN1358" s="11">
        <v>37000.0</v>
      </c>
      <c r="CO1358" s="12"/>
      <c r="CP1358" s="12"/>
      <c r="CQ1358" s="11">
        <v>7250.0</v>
      </c>
      <c r="CR1358" s="11">
        <v>4720.0</v>
      </c>
      <c r="CS1358" s="11">
        <v>3520.0</v>
      </c>
      <c r="CT1358" s="12"/>
      <c r="CU1358" s="12"/>
      <c r="CV1358" s="11">
        <v>16120.0</v>
      </c>
      <c r="CW1358" s="12"/>
      <c r="CX1358" s="12"/>
      <c r="CY1358" s="12"/>
      <c r="CZ1358" s="12"/>
      <c r="DA1358" s="12"/>
      <c r="DB1358" s="11">
        <v>16120.0</v>
      </c>
      <c r="DC1358" s="11">
        <v>12550.0</v>
      </c>
      <c r="DD1358" s="11">
        <v>10900.0</v>
      </c>
      <c r="DE1358" s="12"/>
      <c r="DF1358" s="11">
        <v>50650.0</v>
      </c>
      <c r="DG1358" s="11">
        <v>47880.0</v>
      </c>
      <c r="DH1358" s="11">
        <v>19210.0</v>
      </c>
      <c r="DI1358" s="12"/>
      <c r="DJ1358" s="12"/>
      <c r="DK1358" s="11">
        <v>500.0</v>
      </c>
      <c r="DL1358" s="11">
        <v>500.0</v>
      </c>
      <c r="DM1358" s="11">
        <v>500.0</v>
      </c>
      <c r="DN1358" s="12"/>
      <c r="DO1358" s="12"/>
      <c r="DP1358" s="11">
        <v>34150.0</v>
      </c>
      <c r="DQ1358" s="11">
        <v>33670.0</v>
      </c>
      <c r="DR1358" s="11">
        <v>6850.0</v>
      </c>
      <c r="DS1358" s="12"/>
      <c r="DT1358" s="12"/>
      <c r="DU1358" s="13"/>
      <c r="DV1358" s="11">
        <v>186520.0</v>
      </c>
      <c r="DW1358" s="11">
        <v>186520.0</v>
      </c>
      <c r="DX1358" s="13"/>
      <c r="DY1358" s="13"/>
      <c r="DZ1358" s="11">
        <v>54650.0</v>
      </c>
      <c r="EA1358" s="11">
        <v>-5720.0</v>
      </c>
      <c r="EB1358" s="11">
        <v>17800.0</v>
      </c>
      <c r="EC1358" s="12"/>
      <c r="ED1358" s="12"/>
      <c r="EE1358" s="14">
        <v>0.292</v>
      </c>
      <c r="EF1358" s="14">
        <v>0.629</v>
      </c>
      <c r="EG1358" s="14">
        <v>0.143</v>
      </c>
      <c r="EH1358" s="14">
        <v>0.031</v>
      </c>
    </row>
    <row r="1359">
      <c r="A1359" s="9">
        <f t="shared" si="2"/>
        <v>1357</v>
      </c>
      <c r="B1359" s="10" t="s">
        <v>1494</v>
      </c>
      <c r="C1359" s="12">
        <v>6200000.0</v>
      </c>
      <c r="D1359" s="12">
        <v>5990000.0</v>
      </c>
      <c r="E1359" s="11">
        <v>4760000.0</v>
      </c>
      <c r="F1359" s="11">
        <v>4230000.0</v>
      </c>
      <c r="G1359" s="11">
        <v>3890000.0</v>
      </c>
      <c r="H1359" s="11">
        <v>3550000.0</v>
      </c>
      <c r="I1359" s="11">
        <v>2980000.0</v>
      </c>
      <c r="J1359" s="11">
        <v>818790.0</v>
      </c>
      <c r="K1359" s="11">
        <v>733190.0</v>
      </c>
      <c r="L1359" s="11">
        <v>736080.0</v>
      </c>
      <c r="M1359" s="11">
        <v>677310.0</v>
      </c>
      <c r="N1359" s="11">
        <v>564620.0</v>
      </c>
      <c r="O1359" s="11">
        <v>484970.0</v>
      </c>
      <c r="P1359" s="11">
        <v>411940.0</v>
      </c>
      <c r="Q1359" s="11">
        <v>387590.0</v>
      </c>
      <c r="R1359" s="11">
        <v>358790.0</v>
      </c>
      <c r="S1359" s="11">
        <v>290610.0</v>
      </c>
      <c r="T1359" s="12"/>
      <c r="U1359" s="12"/>
      <c r="V1359" s="12"/>
      <c r="W1359" s="12"/>
      <c r="X1359" s="12"/>
      <c r="Y1359" s="11">
        <v>317320.0</v>
      </c>
      <c r="Z1359" s="11">
        <v>290410.0</v>
      </c>
      <c r="AA1359" s="12"/>
      <c r="AB1359" s="12"/>
      <c r="AC1359" s="11">
        <v>-33320.0</v>
      </c>
      <c r="AD1359" s="11">
        <v>322270.0</v>
      </c>
      <c r="AE1359" s="11">
        <v>273520.0</v>
      </c>
      <c r="AF1359" s="11">
        <v>355660.0</v>
      </c>
      <c r="AG1359" s="11">
        <v>314210.0</v>
      </c>
      <c r="AH1359" s="11">
        <v>260990.0</v>
      </c>
      <c r="AI1359" s="11">
        <v>365240.0</v>
      </c>
      <c r="AJ1359" s="11">
        <v>347640.0</v>
      </c>
      <c r="AK1359" s="11">
        <v>352440.0</v>
      </c>
      <c r="AL1359" s="11">
        <v>322490.0</v>
      </c>
      <c r="AM1359" s="11">
        <v>278400.0</v>
      </c>
      <c r="AN1359" s="11">
        <v>254650.0</v>
      </c>
      <c r="AO1359" s="11">
        <v>206360.0</v>
      </c>
      <c r="AP1359" s="11">
        <v>91220.0</v>
      </c>
      <c r="AQ1359" s="11">
        <v>52620.0</v>
      </c>
      <c r="AR1359" s="11">
        <v>45400.0</v>
      </c>
      <c r="AS1359" s="11">
        <v>416800.0</v>
      </c>
      <c r="AT1359" s="11">
        <v>192600.0</v>
      </c>
      <c r="AU1359" s="11">
        <v>390320.0</v>
      </c>
      <c r="AV1359" s="11">
        <v>378690.0</v>
      </c>
      <c r="AW1359" s="11">
        <v>-252630.0</v>
      </c>
      <c r="AX1359" s="11">
        <v>-30120.0</v>
      </c>
      <c r="AY1359" s="11">
        <v>-20460.0</v>
      </c>
      <c r="AZ1359" s="11">
        <v>-3420.0</v>
      </c>
      <c r="BA1359" s="11">
        <v>-1910.0</v>
      </c>
      <c r="BB1359" s="11">
        <v>-4300.0</v>
      </c>
      <c r="BC1359" s="13"/>
      <c r="BD1359" s="13"/>
      <c r="BE1359" s="13"/>
      <c r="BF1359" s="13"/>
      <c r="BG1359" s="13"/>
      <c r="BH1359" s="11">
        <v>328570.0</v>
      </c>
      <c r="BI1359" s="11">
        <v>331860.0</v>
      </c>
      <c r="BJ1359" s="11">
        <v>577090.0</v>
      </c>
      <c r="BK1359" s="11">
        <v>304100.0</v>
      </c>
      <c r="BL1359" s="11">
        <v>127470.0</v>
      </c>
      <c r="BM1359" s="11">
        <v>70450.0</v>
      </c>
      <c r="BN1359" s="11">
        <v>86590.0</v>
      </c>
      <c r="BO1359" s="11">
        <v>94490.0</v>
      </c>
      <c r="BP1359" s="11">
        <v>115250.0</v>
      </c>
      <c r="BQ1359" s="11">
        <v>120730.0</v>
      </c>
      <c r="BR1359" s="11">
        <v>4030000.0</v>
      </c>
      <c r="BS1359" s="11">
        <v>4040000.0</v>
      </c>
      <c r="BT1359" s="11">
        <v>3010000.0</v>
      </c>
      <c r="BU1359" s="11">
        <v>3050000.0</v>
      </c>
      <c r="BV1359" s="11">
        <v>3160000.0</v>
      </c>
      <c r="BW1359" s="11">
        <v>4620000.0</v>
      </c>
      <c r="BX1359" s="11">
        <v>4640000.0</v>
      </c>
      <c r="BY1359" s="11">
        <v>3870000.0</v>
      </c>
      <c r="BZ1359" s="11">
        <v>3710000.0</v>
      </c>
      <c r="CA1359" s="11">
        <v>3610000.0</v>
      </c>
      <c r="CB1359" s="11">
        <v>122530.0</v>
      </c>
      <c r="CC1359" s="11">
        <v>86740.0</v>
      </c>
      <c r="CD1359" s="11">
        <v>7110.0</v>
      </c>
      <c r="CE1359" s="11">
        <v>6590.0</v>
      </c>
      <c r="CF1359" s="11">
        <v>7390.0</v>
      </c>
      <c r="CG1359" s="11">
        <v>149430.0</v>
      </c>
      <c r="CH1359" s="11">
        <v>152120.0</v>
      </c>
      <c r="CI1359" s="11">
        <v>66200.0</v>
      </c>
      <c r="CJ1359" s="11">
        <v>66200.0</v>
      </c>
      <c r="CK1359" s="11">
        <v>57700.0</v>
      </c>
      <c r="CL1359" s="11">
        <v>5250000.0</v>
      </c>
      <c r="CM1359" s="11">
        <v>5260000.0</v>
      </c>
      <c r="CN1359" s="11">
        <v>4330000.0</v>
      </c>
      <c r="CO1359" s="11">
        <v>4220000.0</v>
      </c>
      <c r="CP1359" s="11">
        <v>4120000.0</v>
      </c>
      <c r="CQ1359" s="11">
        <v>164580.0</v>
      </c>
      <c r="CR1359" s="11">
        <v>151590.0</v>
      </c>
      <c r="CS1359" s="11">
        <v>140170.0</v>
      </c>
      <c r="CT1359" s="11">
        <v>136640.0</v>
      </c>
      <c r="CU1359" s="11">
        <v>151860.0</v>
      </c>
      <c r="CV1359" s="11">
        <v>707720.0</v>
      </c>
      <c r="CW1359" s="11">
        <v>10020.0</v>
      </c>
      <c r="CX1359" s="13"/>
      <c r="CY1359" s="13"/>
      <c r="CZ1359" s="13"/>
      <c r="DA1359" s="12"/>
      <c r="DB1359" s="11">
        <v>707720.0</v>
      </c>
      <c r="DC1359" s="11">
        <v>620850.0</v>
      </c>
      <c r="DD1359" s="11">
        <v>478760.0</v>
      </c>
      <c r="DE1359" s="11">
        <v>467940.0</v>
      </c>
      <c r="DF1359" s="11">
        <v>2700000.0</v>
      </c>
      <c r="DG1359" s="11">
        <v>2850000.0</v>
      </c>
      <c r="DH1359" s="11">
        <v>1980000.0</v>
      </c>
      <c r="DI1359" s="11">
        <v>2060000.0</v>
      </c>
      <c r="DJ1359" s="11">
        <v>2150000.0</v>
      </c>
      <c r="DK1359" s="11">
        <v>130860.0</v>
      </c>
      <c r="DL1359" s="11">
        <v>140540.0</v>
      </c>
      <c r="DM1359" s="11">
        <v>192360.0</v>
      </c>
      <c r="DN1359" s="11">
        <v>157910.0</v>
      </c>
      <c r="DO1359" s="24">
        <v>128450.0</v>
      </c>
      <c r="DP1359" s="11">
        <v>1970000.0</v>
      </c>
      <c r="DQ1359" s="11">
        <v>2210000.0</v>
      </c>
      <c r="DR1359" s="11">
        <v>1500000.0</v>
      </c>
      <c r="DS1359" s="11">
        <v>1590000.0</v>
      </c>
      <c r="DT1359" s="11">
        <v>1670000.0</v>
      </c>
      <c r="DU1359" s="13"/>
      <c r="DV1359" s="12"/>
      <c r="DW1359" s="12"/>
      <c r="DX1359" s="13"/>
      <c r="DY1359" s="13"/>
      <c r="DZ1359" s="11">
        <v>2540000.0</v>
      </c>
      <c r="EA1359" s="11">
        <v>2420000.0</v>
      </c>
      <c r="EB1359" s="11">
        <v>1600000.0</v>
      </c>
      <c r="EC1359" s="11">
        <v>551810.0</v>
      </c>
      <c r="ED1359" s="11">
        <v>519920.0</v>
      </c>
      <c r="EE1359" s="23">
        <v>0.135225376</v>
      </c>
      <c r="EF1359" s="23">
        <v>0.237096774</v>
      </c>
      <c r="EG1359" s="14">
        <v>-1.634</v>
      </c>
      <c r="EH1359" s="23">
        <v>-0.502</v>
      </c>
    </row>
    <row r="1360">
      <c r="A1360" s="9">
        <f t="shared" si="2"/>
        <v>1358</v>
      </c>
      <c r="B1360" s="10" t="s">
        <v>1495</v>
      </c>
      <c r="C1360" s="15">
        <v>1100000.0</v>
      </c>
      <c r="D1360" s="15">
        <v>982770.0</v>
      </c>
      <c r="E1360" s="15">
        <v>1210000.0</v>
      </c>
      <c r="F1360" s="15">
        <v>1610000.0</v>
      </c>
      <c r="G1360" s="15">
        <v>1330000.0</v>
      </c>
      <c r="H1360" s="15">
        <v>869500.0</v>
      </c>
      <c r="I1360" s="15">
        <v>1110000.0</v>
      </c>
      <c r="J1360" s="15">
        <v>25400.0</v>
      </c>
      <c r="K1360" s="15">
        <v>126600.0</v>
      </c>
      <c r="L1360" s="15">
        <v>67800.0</v>
      </c>
      <c r="M1360" s="15">
        <v>27900.0</v>
      </c>
      <c r="N1360" s="15">
        <v>46200.0</v>
      </c>
      <c r="O1360" s="15">
        <v>85400.0</v>
      </c>
      <c r="P1360" s="15">
        <v>98200.0</v>
      </c>
      <c r="Q1360" s="15">
        <v>89500.0</v>
      </c>
      <c r="R1360" s="15">
        <v>88700.0</v>
      </c>
      <c r="S1360" s="15">
        <v>97900.0</v>
      </c>
      <c r="T1360" s="15">
        <v>4100.0</v>
      </c>
      <c r="U1360" s="15">
        <v>8100.0</v>
      </c>
      <c r="V1360" s="15">
        <v>8000.0</v>
      </c>
      <c r="W1360" s="15">
        <v>8000.0</v>
      </c>
      <c r="X1360" s="15">
        <v>8600.0</v>
      </c>
      <c r="Y1360" s="15">
        <v>-77800.0</v>
      </c>
      <c r="Z1360" s="15">
        <v>0.0</v>
      </c>
      <c r="AA1360" s="15">
        <v>-23400.0</v>
      </c>
      <c r="AB1360" s="15">
        <v>0.0</v>
      </c>
      <c r="AC1360" s="15">
        <v>-6500.0</v>
      </c>
      <c r="AD1360" s="15">
        <v>-126100.0</v>
      </c>
      <c r="AE1360" s="15">
        <v>-8200.0</v>
      </c>
      <c r="AF1360" s="15">
        <v>-42300.0</v>
      </c>
      <c r="AG1360" s="15">
        <v>-142000.0</v>
      </c>
      <c r="AH1360" s="15">
        <v>-71700.0</v>
      </c>
      <c r="AI1360" s="15">
        <v>10700.0</v>
      </c>
      <c r="AJ1360" s="15">
        <v>101400.0</v>
      </c>
      <c r="AK1360" s="15">
        <v>52200.0</v>
      </c>
      <c r="AL1360" s="15">
        <v>12600.0</v>
      </c>
      <c r="AM1360" s="15">
        <v>14500.0</v>
      </c>
      <c r="AN1360" s="15">
        <v>-110000.0</v>
      </c>
      <c r="AO1360" s="15">
        <v>-10000.0</v>
      </c>
      <c r="AP1360" s="15">
        <v>-43800.0</v>
      </c>
      <c r="AQ1360" s="15">
        <v>-105500.0</v>
      </c>
      <c r="AR1360" s="15">
        <v>-45000.0</v>
      </c>
      <c r="AS1360" s="15">
        <v>70300.0</v>
      </c>
      <c r="AT1360" s="15">
        <v>18500.0</v>
      </c>
      <c r="AU1360" s="15">
        <v>8100.0</v>
      </c>
      <c r="AV1360" s="15">
        <v>74400.0</v>
      </c>
      <c r="AW1360" s="15">
        <v>107100.0</v>
      </c>
      <c r="AX1360" s="15">
        <v>-38000.0</v>
      </c>
      <c r="AY1360" s="15">
        <v>-40000.0</v>
      </c>
      <c r="AZ1360" s="15">
        <v>-33000.0</v>
      </c>
      <c r="BA1360" s="15">
        <v>-42700.0</v>
      </c>
      <c r="BB1360" s="15">
        <v>-78200.0</v>
      </c>
      <c r="BC1360" s="15">
        <v>0.0</v>
      </c>
      <c r="BD1360" s="15">
        <v>0.0</v>
      </c>
      <c r="BE1360" s="15">
        <v>0.0</v>
      </c>
      <c r="BF1360" s="15">
        <v>0.0</v>
      </c>
      <c r="BG1360" s="15">
        <v>-18700.0</v>
      </c>
      <c r="BH1360" s="15">
        <v>27100.0</v>
      </c>
      <c r="BI1360" s="15">
        <v>21600.0</v>
      </c>
      <c r="BJ1360" s="15">
        <v>24500.0</v>
      </c>
      <c r="BK1360" s="15">
        <v>25600.0</v>
      </c>
      <c r="BL1360" s="15">
        <v>42400.0</v>
      </c>
      <c r="BM1360" s="15">
        <v>77500.0</v>
      </c>
      <c r="BN1360" s="15">
        <v>163400.0</v>
      </c>
      <c r="BO1360" s="15">
        <v>150200.0</v>
      </c>
      <c r="BP1360" s="15">
        <v>92100.0</v>
      </c>
      <c r="BQ1360" s="15">
        <v>89500.0</v>
      </c>
      <c r="BR1360" s="15">
        <v>281900.0</v>
      </c>
      <c r="BS1360" s="15">
        <v>374500.0</v>
      </c>
      <c r="BT1360" s="15">
        <v>224000.0</v>
      </c>
      <c r="BU1360" s="15">
        <v>164200.0</v>
      </c>
      <c r="BV1360" s="15">
        <v>173900.0</v>
      </c>
      <c r="BW1360" s="15">
        <v>401700.0</v>
      </c>
      <c r="BX1360" s="15">
        <v>569100.0</v>
      </c>
      <c r="BY1360" s="15">
        <v>410200.0</v>
      </c>
      <c r="BZ1360" s="15">
        <v>290400.0</v>
      </c>
      <c r="CA1360" s="15">
        <v>317800.0</v>
      </c>
      <c r="CB1360" s="15">
        <v>640700.0</v>
      </c>
      <c r="CC1360" s="15">
        <v>674400.0</v>
      </c>
      <c r="CD1360" s="15">
        <v>706700.0</v>
      </c>
      <c r="CE1360" s="15">
        <v>741900.0</v>
      </c>
      <c r="CF1360" s="15">
        <v>769300.0</v>
      </c>
      <c r="CG1360" s="15">
        <v>0.0</v>
      </c>
      <c r="CH1360" s="15">
        <v>0.0</v>
      </c>
      <c r="CI1360" s="15">
        <v>0.0</v>
      </c>
      <c r="CJ1360" s="15">
        <v>0.0</v>
      </c>
      <c r="CK1360" s="15">
        <v>0.0</v>
      </c>
      <c r="CL1360" s="15">
        <v>1210000.0</v>
      </c>
      <c r="CM1360" s="15">
        <v>1390000.0</v>
      </c>
      <c r="CN1360" s="15">
        <v>1160000.0</v>
      </c>
      <c r="CO1360" s="15">
        <v>1070000.0</v>
      </c>
      <c r="CP1360" s="15">
        <v>1250000.0</v>
      </c>
      <c r="CQ1360" s="15">
        <v>69300.0</v>
      </c>
      <c r="CR1360" s="15">
        <v>160600.0</v>
      </c>
      <c r="CS1360" s="15">
        <v>135300.0</v>
      </c>
      <c r="CT1360" s="15">
        <v>87000.0</v>
      </c>
      <c r="CU1360" s="15">
        <v>49500.0</v>
      </c>
      <c r="CV1360" s="15">
        <v>112300.0</v>
      </c>
      <c r="CW1360" s="15">
        <v>6200.0</v>
      </c>
      <c r="CX1360" s="15">
        <v>0.0</v>
      </c>
      <c r="CY1360" s="15">
        <v>0.0</v>
      </c>
      <c r="CZ1360" s="15">
        <v>0.0</v>
      </c>
      <c r="DA1360" s="15">
        <v>0.0</v>
      </c>
      <c r="DB1360" s="15">
        <v>112300.0</v>
      </c>
      <c r="DC1360" s="15">
        <v>220800.0</v>
      </c>
      <c r="DD1360" s="15">
        <v>206800.0</v>
      </c>
      <c r="DE1360" s="15">
        <v>130700.0</v>
      </c>
      <c r="DF1360" s="15">
        <v>649900.0</v>
      </c>
      <c r="DG1360" s="15">
        <v>776200.0</v>
      </c>
      <c r="DH1360" s="15">
        <v>595900.0</v>
      </c>
      <c r="DI1360" s="15">
        <v>472500.0</v>
      </c>
      <c r="DJ1360" s="15">
        <v>566900.0</v>
      </c>
      <c r="DK1360" s="15">
        <v>0.0</v>
      </c>
      <c r="DL1360" s="15">
        <v>0.0</v>
      </c>
      <c r="DM1360" s="15">
        <v>0.0</v>
      </c>
      <c r="DN1360" s="15">
        <v>0.0</v>
      </c>
      <c r="DO1360" s="15">
        <v>0.0</v>
      </c>
      <c r="DP1360" s="15">
        <v>176800.0</v>
      </c>
      <c r="DQ1360" s="15">
        <v>189100.0</v>
      </c>
      <c r="DR1360" s="15">
        <v>165300.0</v>
      </c>
      <c r="DS1360" s="15">
        <v>136600.0</v>
      </c>
      <c r="DT1360" s="15">
        <v>200200.0</v>
      </c>
      <c r="DU1360" s="15">
        <v>0.0</v>
      </c>
      <c r="DV1360" s="15">
        <v>0.0</v>
      </c>
      <c r="DW1360" s="15">
        <v>0.0</v>
      </c>
      <c r="DX1360" s="15">
        <v>0.0</v>
      </c>
      <c r="DY1360" s="15">
        <v>0.0</v>
      </c>
      <c r="DZ1360" s="15">
        <v>563100.0</v>
      </c>
      <c r="EA1360" s="15">
        <v>612900.0</v>
      </c>
      <c r="EB1360" s="15">
        <v>560700.0</v>
      </c>
      <c r="EC1360" s="15">
        <v>597400.0</v>
      </c>
      <c r="ED1360" s="15">
        <v>682000.0</v>
      </c>
      <c r="EE1360" s="17">
        <v>0.211</v>
      </c>
      <c r="EF1360" s="17">
        <v>0.118</v>
      </c>
      <c r="EG1360" s="17">
        <v>-0.087</v>
      </c>
      <c r="EH1360" s="17">
        <v>0.355</v>
      </c>
    </row>
    <row r="1361">
      <c r="A1361" s="9">
        <f t="shared" si="2"/>
        <v>1359</v>
      </c>
      <c r="B1361" s="10" t="s">
        <v>1496</v>
      </c>
      <c r="C1361" s="11">
        <v>532920.0</v>
      </c>
      <c r="D1361" s="11">
        <v>636840.0</v>
      </c>
      <c r="E1361" s="11">
        <v>943920.0</v>
      </c>
      <c r="F1361" s="11">
        <v>776490.0</v>
      </c>
      <c r="G1361" s="11">
        <v>431180.0</v>
      </c>
      <c r="H1361" s="11">
        <v>550540.0</v>
      </c>
      <c r="I1361" s="11">
        <v>514190.0</v>
      </c>
      <c r="J1361" s="11">
        <v>165830.0</v>
      </c>
      <c r="K1361" s="11">
        <v>48000.0</v>
      </c>
      <c r="L1361" s="11">
        <v>47280.0</v>
      </c>
      <c r="M1361" s="11">
        <v>150550.0</v>
      </c>
      <c r="N1361" s="11">
        <v>208560.0</v>
      </c>
      <c r="O1361" s="11">
        <v>36400.0</v>
      </c>
      <c r="P1361" s="11">
        <v>39780.0</v>
      </c>
      <c r="Q1361" s="11">
        <v>32880.0</v>
      </c>
      <c r="R1361" s="11">
        <v>33200.0</v>
      </c>
      <c r="S1361" s="11">
        <v>17350.0</v>
      </c>
      <c r="T1361" s="12"/>
      <c r="U1361" s="12"/>
      <c r="V1361" s="12"/>
      <c r="W1361" s="12"/>
      <c r="X1361" s="12"/>
      <c r="Y1361" s="11">
        <v>120940.0</v>
      </c>
      <c r="Z1361" s="11">
        <v>-616.0</v>
      </c>
      <c r="AA1361" s="11">
        <v>15340.0</v>
      </c>
      <c r="AB1361" s="11">
        <v>9680.0</v>
      </c>
      <c r="AC1361" s="11">
        <v>194630.0</v>
      </c>
      <c r="AD1361" s="11">
        <v>59120.0</v>
      </c>
      <c r="AE1361" s="11">
        <v>-44360.0</v>
      </c>
      <c r="AF1361" s="11">
        <v>-32650.0</v>
      </c>
      <c r="AG1361" s="11">
        <v>60140.0</v>
      </c>
      <c r="AH1361" s="11">
        <v>165220.0</v>
      </c>
      <c r="AI1361" s="11">
        <v>253430.0</v>
      </c>
      <c r="AJ1361" s="11">
        <v>126740.0</v>
      </c>
      <c r="AK1361" s="11">
        <v>114880.0</v>
      </c>
      <c r="AL1361" s="11">
        <v>221500.0</v>
      </c>
      <c r="AM1361" s="11">
        <v>264960.0</v>
      </c>
      <c r="AN1361" s="11">
        <v>41360.0</v>
      </c>
      <c r="AO1361" s="11">
        <v>-52550.0</v>
      </c>
      <c r="AP1361" s="11">
        <v>-58020.0</v>
      </c>
      <c r="AQ1361" s="11">
        <v>67820.0</v>
      </c>
      <c r="AR1361" s="11">
        <v>176930.0</v>
      </c>
      <c r="AS1361" s="11">
        <v>117660.0</v>
      </c>
      <c r="AT1361" s="11">
        <v>-7260.0</v>
      </c>
      <c r="AU1361" s="11">
        <v>79640.0</v>
      </c>
      <c r="AV1361" s="11">
        <v>206670.0</v>
      </c>
      <c r="AW1361" s="11">
        <v>166790.0</v>
      </c>
      <c r="AX1361" s="11">
        <v>-11630.0</v>
      </c>
      <c r="AY1361" s="11">
        <v>-5830.0</v>
      </c>
      <c r="AZ1361" s="11">
        <v>-4730.0</v>
      </c>
      <c r="BA1361" s="11">
        <v>-9230.0</v>
      </c>
      <c r="BB1361" s="11">
        <v>-848230.0</v>
      </c>
      <c r="BC1361" s="12"/>
      <c r="BD1361" s="11">
        <v>-8050.0</v>
      </c>
      <c r="BE1361" s="11">
        <v>-20680.0</v>
      </c>
      <c r="BF1361" s="11">
        <v>-46850.0</v>
      </c>
      <c r="BG1361" s="11">
        <v>-15140.0</v>
      </c>
      <c r="BH1361" s="11">
        <v>91900.0</v>
      </c>
      <c r="BI1361" s="11">
        <v>57070.0</v>
      </c>
      <c r="BJ1361" s="11">
        <v>74050.0</v>
      </c>
      <c r="BK1361" s="11">
        <v>95780.0</v>
      </c>
      <c r="BL1361" s="11">
        <v>97290.0</v>
      </c>
      <c r="BM1361" s="11">
        <v>203220.0</v>
      </c>
      <c r="BN1361" s="11">
        <v>131520.0</v>
      </c>
      <c r="BO1361" s="11">
        <v>83940.0</v>
      </c>
      <c r="BP1361" s="11">
        <v>107100.0</v>
      </c>
      <c r="BQ1361" s="11">
        <v>158210.0</v>
      </c>
      <c r="BR1361" s="11">
        <v>49790.0</v>
      </c>
      <c r="BS1361" s="11">
        <v>23180.0</v>
      </c>
      <c r="BT1361" s="12"/>
      <c r="BU1361" s="12"/>
      <c r="BV1361" s="12"/>
      <c r="BW1361" s="11">
        <v>421230.0</v>
      </c>
      <c r="BX1361" s="11">
        <v>225590.0</v>
      </c>
      <c r="BY1361" s="11">
        <v>176690.0</v>
      </c>
      <c r="BZ1361" s="11">
        <v>257990.0</v>
      </c>
      <c r="CA1361" s="11">
        <v>279810.0</v>
      </c>
      <c r="CB1361" s="11">
        <v>1770000.0</v>
      </c>
      <c r="CC1361" s="11">
        <v>1880000.0</v>
      </c>
      <c r="CD1361" s="11">
        <v>1970000.0</v>
      </c>
      <c r="CE1361" s="11">
        <v>1610000.0</v>
      </c>
      <c r="CF1361" s="11">
        <v>1770000.0</v>
      </c>
      <c r="CG1361" s="11">
        <v>2430.0</v>
      </c>
      <c r="CH1361" s="11">
        <v>8060.0</v>
      </c>
      <c r="CI1361" s="11">
        <v>8060.0</v>
      </c>
      <c r="CJ1361" s="11">
        <v>8060.0</v>
      </c>
      <c r="CK1361" s="11"/>
      <c r="CL1361" s="11">
        <v>2230000.0</v>
      </c>
      <c r="CM1361" s="11">
        <v>2160000.0</v>
      </c>
      <c r="CN1361" s="11">
        <v>2200000.0</v>
      </c>
      <c r="CO1361" s="11">
        <v>1960000.0</v>
      </c>
      <c r="CP1361" s="11">
        <v>2170000.0</v>
      </c>
      <c r="CQ1361" s="11">
        <v>70980.0</v>
      </c>
      <c r="CR1361" s="11">
        <v>11150.0</v>
      </c>
      <c r="CS1361" s="11">
        <v>7860.0</v>
      </c>
      <c r="CT1361" s="11">
        <v>13310.0</v>
      </c>
      <c r="CU1361" s="11">
        <v>16720.0</v>
      </c>
      <c r="CV1361" s="11">
        <v>279710.0</v>
      </c>
      <c r="CW1361" s="11">
        <v>66290.0</v>
      </c>
      <c r="CX1361" s="12"/>
      <c r="CY1361" s="12"/>
      <c r="CZ1361" s="12"/>
      <c r="DA1361" s="12"/>
      <c r="DB1361" s="11">
        <v>279710.0</v>
      </c>
      <c r="DC1361" s="11">
        <v>197760.0</v>
      </c>
      <c r="DD1361" s="11">
        <v>236710.0</v>
      </c>
      <c r="DE1361" s="11">
        <v>255950.0</v>
      </c>
      <c r="DF1361" s="11">
        <v>1240000.0</v>
      </c>
      <c r="DG1361" s="11">
        <v>1210000.0</v>
      </c>
      <c r="DH1361" s="11">
        <v>1190000.0</v>
      </c>
      <c r="DI1361" s="11">
        <v>1030000.0</v>
      </c>
      <c r="DJ1361" s="11">
        <v>1290000.0</v>
      </c>
      <c r="DK1361" s="11">
        <v>31630.0</v>
      </c>
      <c r="DL1361" s="11">
        <v>32180.0</v>
      </c>
      <c r="DM1361" s="11">
        <v>32360.0</v>
      </c>
      <c r="DN1361" s="11">
        <v>75190.0</v>
      </c>
      <c r="DO1361" s="11">
        <v>91970.0</v>
      </c>
      <c r="DP1361" s="11">
        <v>908810.0</v>
      </c>
      <c r="DQ1361" s="11">
        <v>983560.0</v>
      </c>
      <c r="DR1361" s="11">
        <v>927240.0</v>
      </c>
      <c r="DS1361" s="11">
        <v>762000.0</v>
      </c>
      <c r="DT1361" s="11">
        <v>990560.0</v>
      </c>
      <c r="DU1361" s="13"/>
      <c r="DV1361" s="12"/>
      <c r="DW1361" s="12"/>
      <c r="DX1361" s="12"/>
      <c r="DY1361" s="12"/>
      <c r="DZ1361" s="11">
        <v>989920.0</v>
      </c>
      <c r="EA1361" s="11">
        <v>946930.0</v>
      </c>
      <c r="EB1361" s="11">
        <v>1010000.0</v>
      </c>
      <c r="EC1361" s="11">
        <v>920620.0</v>
      </c>
      <c r="ED1361" s="11">
        <v>877460.0</v>
      </c>
      <c r="EE1361" s="14">
        <v>0.053</v>
      </c>
      <c r="EF1361" s="14">
        <v>1.05</v>
      </c>
      <c r="EG1361" s="14">
        <v>-0.066</v>
      </c>
      <c r="EH1361" s="14">
        <v>0.081</v>
      </c>
    </row>
    <row r="1362">
      <c r="A1362" s="9">
        <f t="shared" si="2"/>
        <v>1360</v>
      </c>
      <c r="B1362" s="10" t="s">
        <v>1497</v>
      </c>
      <c r="C1362" s="11">
        <v>631090.0</v>
      </c>
      <c r="D1362" s="11">
        <v>707810.0</v>
      </c>
      <c r="E1362" s="11">
        <v>597450.0</v>
      </c>
      <c r="F1362" s="11">
        <v>529880.0</v>
      </c>
      <c r="G1362" s="11">
        <v>529180.0</v>
      </c>
      <c r="H1362" s="11">
        <v>481790.0</v>
      </c>
      <c r="I1362" s="11">
        <v>587720.0</v>
      </c>
      <c r="J1362" s="11">
        <v>140970.0</v>
      </c>
      <c r="K1362" s="11">
        <v>65220.0</v>
      </c>
      <c r="L1362" s="11">
        <v>102580.0</v>
      </c>
      <c r="M1362" s="11">
        <v>115420.0</v>
      </c>
      <c r="N1362" s="11">
        <v>207790.0</v>
      </c>
      <c r="O1362" s="11">
        <v>27700.0</v>
      </c>
      <c r="P1362" s="11">
        <v>27030.0</v>
      </c>
      <c r="Q1362" s="11">
        <v>26320.0</v>
      </c>
      <c r="R1362" s="11">
        <v>25610.0</v>
      </c>
      <c r="S1362" s="11">
        <v>21790.0</v>
      </c>
      <c r="T1362" s="12"/>
      <c r="U1362" s="12"/>
      <c r="V1362" s="12"/>
      <c r="W1362" s="12"/>
      <c r="X1362" s="12"/>
      <c r="Y1362" s="11">
        <v>84960.0</v>
      </c>
      <c r="Z1362" s="11">
        <v>-28250.0</v>
      </c>
      <c r="AA1362" s="11">
        <v>76710.0</v>
      </c>
      <c r="AB1362" s="11">
        <v>93260.0</v>
      </c>
      <c r="AC1362" s="11">
        <v>184480.0</v>
      </c>
      <c r="AD1362" s="11">
        <v>14010.0</v>
      </c>
      <c r="AE1362" s="11">
        <v>-101040.0</v>
      </c>
      <c r="AF1362" s="11">
        <v>9190.0</v>
      </c>
      <c r="AG1362" s="11">
        <v>56500.0</v>
      </c>
      <c r="AH1362" s="11">
        <v>158420.0</v>
      </c>
      <c r="AI1362" s="11">
        <v>252700.0</v>
      </c>
      <c r="AJ1362" s="11">
        <v>184980.0</v>
      </c>
      <c r="AK1362" s="11">
        <v>215280.0</v>
      </c>
      <c r="AL1362" s="11">
        <v>203230.0</v>
      </c>
      <c r="AM1362" s="11">
        <v>291930.0</v>
      </c>
      <c r="AN1362" s="11">
        <v>15130.0</v>
      </c>
      <c r="AO1362" s="11">
        <v>-99200.0</v>
      </c>
      <c r="AP1362" s="11">
        <v>7610.0</v>
      </c>
      <c r="AQ1362" s="11">
        <v>55780.0</v>
      </c>
      <c r="AR1362" s="11">
        <v>158220.0</v>
      </c>
      <c r="AS1362" s="11">
        <v>180790.0</v>
      </c>
      <c r="AT1362" s="11">
        <v>69650.0</v>
      </c>
      <c r="AU1362" s="11">
        <v>167650.0</v>
      </c>
      <c r="AV1362" s="11">
        <v>163930.0</v>
      </c>
      <c r="AW1362" s="11">
        <v>231870.0</v>
      </c>
      <c r="AX1362" s="11">
        <v>-102210.0</v>
      </c>
      <c r="AY1362" s="11">
        <v>-17320.0</v>
      </c>
      <c r="AZ1362" s="11">
        <v>-293350.0</v>
      </c>
      <c r="BA1362" s="11">
        <v>-576080.0</v>
      </c>
      <c r="BB1362" s="11">
        <v>-217520.0</v>
      </c>
      <c r="BC1362" s="11">
        <v>-49310.0</v>
      </c>
      <c r="BD1362" s="11">
        <v>-44440.0</v>
      </c>
      <c r="BE1362" s="11">
        <v>-39870.0</v>
      </c>
      <c r="BF1362" s="11">
        <v>-40360.0</v>
      </c>
      <c r="BG1362" s="11">
        <v>-33400.0</v>
      </c>
      <c r="BH1362" s="11">
        <v>197770.0</v>
      </c>
      <c r="BI1362" s="11">
        <v>220530.0</v>
      </c>
      <c r="BJ1362" s="11">
        <v>208390.0</v>
      </c>
      <c r="BK1362" s="11">
        <v>200100.0</v>
      </c>
      <c r="BL1362" s="11">
        <v>305030.0</v>
      </c>
      <c r="BM1362" s="11">
        <v>60460.0</v>
      </c>
      <c r="BN1362" s="11">
        <v>56270.0</v>
      </c>
      <c r="BO1362" s="11">
        <v>41570.0</v>
      </c>
      <c r="BP1362" s="11">
        <v>44980.0</v>
      </c>
      <c r="BQ1362" s="11">
        <v>49630.0</v>
      </c>
      <c r="BR1362" s="11">
        <v>13030.0</v>
      </c>
      <c r="BS1362" s="11">
        <v>20390.0</v>
      </c>
      <c r="BT1362" s="11">
        <v>16290.0</v>
      </c>
      <c r="BU1362" s="11">
        <v>18760.0</v>
      </c>
      <c r="BV1362" s="11">
        <v>14410.0</v>
      </c>
      <c r="BW1362" s="11">
        <v>396510.0</v>
      </c>
      <c r="BX1362" s="11">
        <v>316890.0</v>
      </c>
      <c r="BY1362" s="11">
        <v>304390.0</v>
      </c>
      <c r="BZ1362" s="11">
        <v>358310.0</v>
      </c>
      <c r="CA1362" s="11">
        <v>452230.0</v>
      </c>
      <c r="CB1362" s="11">
        <v>2720000.0</v>
      </c>
      <c r="CC1362" s="11">
        <v>2850000.0</v>
      </c>
      <c r="CD1362" s="11">
        <v>3030000.0</v>
      </c>
      <c r="CE1362" s="11">
        <v>2890000.0</v>
      </c>
      <c r="CF1362" s="11">
        <v>2420000.0</v>
      </c>
      <c r="CG1362" s="11"/>
      <c r="CH1362" s="11"/>
      <c r="CI1362" s="11"/>
      <c r="CJ1362" s="11"/>
      <c r="CK1362" s="11"/>
      <c r="CL1362" s="11">
        <v>3150000.0</v>
      </c>
      <c r="CM1362" s="11">
        <v>3210000.0</v>
      </c>
      <c r="CN1362" s="11">
        <v>3370000.0</v>
      </c>
      <c r="CO1362" s="11">
        <v>3280000.0</v>
      </c>
      <c r="CP1362" s="11">
        <v>2900000.0</v>
      </c>
      <c r="CQ1362" s="11">
        <v>36610.0</v>
      </c>
      <c r="CR1362" s="11">
        <v>37530.0</v>
      </c>
      <c r="CS1362" s="11">
        <v>46920.0</v>
      </c>
      <c r="CT1362" s="11">
        <v>52510.0</v>
      </c>
      <c r="CU1362" s="11">
        <v>33260.0</v>
      </c>
      <c r="CV1362" s="11">
        <v>354200.0</v>
      </c>
      <c r="CW1362" s="11">
        <v>7530.0</v>
      </c>
      <c r="CX1362" s="12"/>
      <c r="CY1362" s="12"/>
      <c r="CZ1362" s="12"/>
      <c r="DA1362" s="12"/>
      <c r="DB1362" s="11">
        <v>354200.0</v>
      </c>
      <c r="DC1362" s="11">
        <v>254300.0</v>
      </c>
      <c r="DD1362" s="11">
        <v>338920.0</v>
      </c>
      <c r="DE1362" s="11">
        <v>393290.0</v>
      </c>
      <c r="DF1362" s="11">
        <v>1680000.0</v>
      </c>
      <c r="DG1362" s="11">
        <v>1700000.0</v>
      </c>
      <c r="DH1362" s="11">
        <v>1870000.0</v>
      </c>
      <c r="DI1362" s="11">
        <v>1860000.0</v>
      </c>
      <c r="DJ1362" s="11">
        <v>1490000.0</v>
      </c>
      <c r="DK1362" s="11">
        <v>287.0</v>
      </c>
      <c r="DL1362" s="11">
        <v>1130.0</v>
      </c>
      <c r="DM1362" s="11">
        <v>2430.0</v>
      </c>
      <c r="DN1362" s="11">
        <v>6170.0</v>
      </c>
      <c r="DO1362" s="11">
        <v>1130.0</v>
      </c>
      <c r="DP1362" s="11">
        <v>1310000.0</v>
      </c>
      <c r="DQ1362" s="11">
        <v>1440000.0</v>
      </c>
      <c r="DR1362" s="11">
        <v>1530000.0</v>
      </c>
      <c r="DS1362" s="11">
        <v>1470000.0</v>
      </c>
      <c r="DT1362" s="11">
        <v>1080000.0</v>
      </c>
      <c r="DU1362" s="11">
        <v>18650.0</v>
      </c>
      <c r="DV1362" s="11">
        <v>18030.0</v>
      </c>
      <c r="DW1362" s="11">
        <v>12030.0</v>
      </c>
      <c r="DX1362" s="11">
        <v>7400.0</v>
      </c>
      <c r="DY1362" s="11">
        <v>7400.0</v>
      </c>
      <c r="DZ1362" s="11">
        <v>1450000.0</v>
      </c>
      <c r="EA1362" s="11">
        <v>1490000.0</v>
      </c>
      <c r="EB1362" s="11">
        <v>1490000.0</v>
      </c>
      <c r="EC1362" s="11">
        <v>1410000.0</v>
      </c>
      <c r="ED1362" s="11">
        <v>1400000.0</v>
      </c>
      <c r="EE1362" s="14">
        <v>0.0</v>
      </c>
      <c r="EF1362" s="14">
        <v>0.095</v>
      </c>
      <c r="EG1362" s="14">
        <v>-0.701</v>
      </c>
      <c r="EH1362" s="14">
        <v>-0.366</v>
      </c>
    </row>
    <row r="1363">
      <c r="A1363" s="9">
        <f t="shared" si="2"/>
        <v>1361</v>
      </c>
      <c r="B1363" s="22" t="s">
        <v>1498</v>
      </c>
      <c r="C1363" s="12"/>
      <c r="D1363" s="12"/>
      <c r="E1363" s="12"/>
      <c r="F1363" s="12"/>
      <c r="G1363" s="12"/>
      <c r="H1363" s="12"/>
      <c r="I1363" s="12"/>
      <c r="J1363" s="11">
        <v>-26.0</v>
      </c>
      <c r="K1363" s="11">
        <v>-54.0</v>
      </c>
      <c r="L1363" s="11">
        <v>-64.0</v>
      </c>
      <c r="M1363" s="11">
        <v>-206.0</v>
      </c>
      <c r="N1363" s="11">
        <v>-96.0</v>
      </c>
      <c r="O1363" s="11">
        <v>28800.0</v>
      </c>
      <c r="P1363" s="11">
        <v>26270.0</v>
      </c>
      <c r="Q1363" s="11">
        <v>21230.0</v>
      </c>
      <c r="R1363" s="11">
        <v>40360.0</v>
      </c>
      <c r="S1363" s="11">
        <v>48070.0</v>
      </c>
      <c r="T1363" s="11">
        <v>18190.0</v>
      </c>
      <c r="U1363" s="11">
        <v>17560.0</v>
      </c>
      <c r="V1363" s="11">
        <v>13340.0</v>
      </c>
      <c r="W1363" s="11">
        <v>30130.0</v>
      </c>
      <c r="X1363" s="11">
        <v>35500.0</v>
      </c>
      <c r="Y1363" s="12"/>
      <c r="Z1363" s="12"/>
      <c r="AA1363" s="11">
        <v>-21290.0</v>
      </c>
      <c r="AB1363" s="11">
        <v>-40500.0</v>
      </c>
      <c r="AC1363" s="12"/>
      <c r="AD1363" s="11">
        <v>-28620.0</v>
      </c>
      <c r="AE1363" s="11">
        <v>-26090.0</v>
      </c>
      <c r="AF1363" s="11">
        <v>-21120.0</v>
      </c>
      <c r="AG1363" s="11">
        <v>-40440.0</v>
      </c>
      <c r="AH1363" s="11">
        <v>-48050.0</v>
      </c>
      <c r="AI1363" s="11">
        <v>-28800.0</v>
      </c>
      <c r="AJ1363" s="11">
        <v>-26270.0</v>
      </c>
      <c r="AK1363" s="11">
        <v>-21230.0</v>
      </c>
      <c r="AL1363" s="11">
        <v>-40360.0</v>
      </c>
      <c r="AM1363" s="11">
        <v>-48070.0</v>
      </c>
      <c r="AN1363" s="11">
        <v>-28620.0</v>
      </c>
      <c r="AO1363" s="11">
        <v>-26090.0</v>
      </c>
      <c r="AP1363" s="11">
        <v>-21120.0</v>
      </c>
      <c r="AQ1363" s="11">
        <v>-38840.0</v>
      </c>
      <c r="AR1363" s="11">
        <v>-48050.0</v>
      </c>
      <c r="AS1363" s="11">
        <v>-26680.0</v>
      </c>
      <c r="AT1363" s="11">
        <v>-23970.0</v>
      </c>
      <c r="AU1363" s="11">
        <v>-19130.0</v>
      </c>
      <c r="AV1363" s="11">
        <v>-37320.0</v>
      </c>
      <c r="AW1363" s="11">
        <v>-42520.0</v>
      </c>
      <c r="AX1363" s="11">
        <v>-17.0</v>
      </c>
      <c r="AY1363" s="11">
        <v>-6.0</v>
      </c>
      <c r="AZ1363" s="11">
        <v>-5.0</v>
      </c>
      <c r="BA1363" s="11">
        <v>-66.0</v>
      </c>
      <c r="BB1363" s="11">
        <v>-238.0</v>
      </c>
      <c r="BC1363" s="12"/>
      <c r="BD1363" s="12"/>
      <c r="BE1363" s="12"/>
      <c r="BF1363" s="12"/>
      <c r="BG1363" s="12"/>
      <c r="BH1363" s="11">
        <v>11250.0</v>
      </c>
      <c r="BI1363" s="11">
        <v>25030.0</v>
      </c>
      <c r="BJ1363" s="11">
        <v>25500.0</v>
      </c>
      <c r="BK1363" s="11">
        <v>26120.0</v>
      </c>
      <c r="BL1363" s="11">
        <v>43020.0</v>
      </c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1">
        <v>13950.0</v>
      </c>
      <c r="BX1363" s="11">
        <v>26060.0</v>
      </c>
      <c r="BY1363" s="11">
        <v>26440.0</v>
      </c>
      <c r="BZ1363" s="11">
        <v>27140.0</v>
      </c>
      <c r="CA1363" s="11">
        <v>46360.0</v>
      </c>
      <c r="CB1363" s="11">
        <v>390.0</v>
      </c>
      <c r="CC1363" s="11">
        <v>43.0</v>
      </c>
      <c r="CD1363" s="11">
        <v>91.0</v>
      </c>
      <c r="CE1363" s="11">
        <v>150.0</v>
      </c>
      <c r="CF1363" s="11">
        <v>350.0</v>
      </c>
      <c r="CG1363" s="12"/>
      <c r="CH1363" s="12"/>
      <c r="CI1363" s="12"/>
      <c r="CJ1363" s="12"/>
      <c r="CK1363" s="12"/>
      <c r="CL1363" s="11">
        <v>14560.0</v>
      </c>
      <c r="CM1363" s="11">
        <v>26320.0</v>
      </c>
      <c r="CN1363" s="11">
        <v>26750.0</v>
      </c>
      <c r="CO1363" s="11">
        <v>27510.0</v>
      </c>
      <c r="CP1363" s="11">
        <v>47020.0</v>
      </c>
      <c r="CQ1363" s="12"/>
      <c r="CR1363" s="11">
        <v>1400.0</v>
      </c>
      <c r="CS1363" s="11">
        <v>1300.0</v>
      </c>
      <c r="CT1363" s="11">
        <v>872.0</v>
      </c>
      <c r="CU1363" s="11">
        <v>3050.0</v>
      </c>
      <c r="CV1363" s="11">
        <v>5140.0</v>
      </c>
      <c r="CW1363" s="11">
        <v>352.0</v>
      </c>
      <c r="CX1363" s="12"/>
      <c r="CY1363" s="12"/>
      <c r="CZ1363" s="12"/>
      <c r="DA1363" s="12"/>
      <c r="DB1363" s="11">
        <v>5140.0</v>
      </c>
      <c r="DC1363" s="11">
        <v>2660.0</v>
      </c>
      <c r="DD1363" s="11">
        <v>2130.0</v>
      </c>
      <c r="DE1363" s="11">
        <v>2120.0</v>
      </c>
      <c r="DF1363" s="11">
        <v>5140.0</v>
      </c>
      <c r="DG1363" s="11">
        <v>2660.0</v>
      </c>
      <c r="DH1363" s="11">
        <v>2140.0</v>
      </c>
      <c r="DI1363" s="11">
        <v>2150.0</v>
      </c>
      <c r="DJ1363" s="11">
        <v>6760.0</v>
      </c>
      <c r="DK1363" s="11">
        <v>100.0</v>
      </c>
      <c r="DL1363" s="11">
        <v>100.0</v>
      </c>
      <c r="DM1363" s="11">
        <v>89.0</v>
      </c>
      <c r="DN1363" s="11">
        <v>89.0</v>
      </c>
      <c r="DO1363" s="24">
        <v>189.0</v>
      </c>
      <c r="DP1363" s="11">
        <v>6.0</v>
      </c>
      <c r="DQ1363" s="12"/>
      <c r="DR1363" s="12"/>
      <c r="DS1363" s="12"/>
      <c r="DT1363" s="12"/>
      <c r="DU1363" s="13"/>
      <c r="DV1363" s="12"/>
      <c r="DW1363" s="12"/>
      <c r="DX1363" s="13"/>
      <c r="DY1363" s="13"/>
      <c r="DZ1363" s="11">
        <v>9420.0</v>
      </c>
      <c r="EA1363" s="11">
        <v>23660.0</v>
      </c>
      <c r="EB1363" s="11">
        <v>24620.0</v>
      </c>
      <c r="EC1363" s="11">
        <v>25360.0</v>
      </c>
      <c r="ED1363" s="11">
        <v>40260.0</v>
      </c>
      <c r="EE1363" s="23"/>
      <c r="EF1363" s="23"/>
      <c r="EG1363" s="14">
        <v>-0.045</v>
      </c>
      <c r="EH1363" s="14">
        <v>-0.367</v>
      </c>
    </row>
    <row r="1364">
      <c r="A1364" s="9">
        <f t="shared" si="2"/>
        <v>1362</v>
      </c>
      <c r="B1364" s="10" t="s">
        <v>1499</v>
      </c>
      <c r="C1364" s="12">
        <v>6690000.0</v>
      </c>
      <c r="D1364" s="12">
        <v>6400000.0</v>
      </c>
      <c r="E1364" s="11">
        <v>7220000.0</v>
      </c>
      <c r="F1364" s="11">
        <v>7140000.0</v>
      </c>
      <c r="G1364" s="11">
        <v>5820000.0</v>
      </c>
      <c r="H1364" s="11">
        <v>5170000.0</v>
      </c>
      <c r="I1364" s="11">
        <v>4170000.0</v>
      </c>
      <c r="J1364" s="11">
        <v>1420000.0</v>
      </c>
      <c r="K1364" s="11">
        <v>1470000.0</v>
      </c>
      <c r="L1364" s="11">
        <v>1250000.0</v>
      </c>
      <c r="M1364" s="11">
        <v>1030000.0</v>
      </c>
      <c r="N1364" s="11">
        <v>901980.0</v>
      </c>
      <c r="O1364" s="11">
        <v>734550.0</v>
      </c>
      <c r="P1364" s="11">
        <v>684040.0</v>
      </c>
      <c r="Q1364" s="11">
        <v>605570.0</v>
      </c>
      <c r="R1364" s="11">
        <v>535380.0</v>
      </c>
      <c r="S1364" s="11">
        <v>455310.0</v>
      </c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1">
        <v>446100.0</v>
      </c>
      <c r="AD1364" s="11">
        <v>787170.0</v>
      </c>
      <c r="AE1364" s="11">
        <v>933920.0</v>
      </c>
      <c r="AF1364" s="11">
        <v>814310.0</v>
      </c>
      <c r="AG1364" s="11">
        <v>589030.0</v>
      </c>
      <c r="AH1364" s="11">
        <v>535560.0</v>
      </c>
      <c r="AI1364" s="11">
        <v>752950.0</v>
      </c>
      <c r="AJ1364" s="11">
        <v>811480.0</v>
      </c>
      <c r="AK1364" s="11">
        <v>672540.0</v>
      </c>
      <c r="AL1364" s="11">
        <v>513180.0</v>
      </c>
      <c r="AM1364" s="11">
        <v>470230.0</v>
      </c>
      <c r="AN1364" s="11">
        <v>590010.0</v>
      </c>
      <c r="AO1364" s="11">
        <v>748150.0</v>
      </c>
      <c r="AP1364" s="11">
        <v>535500.0</v>
      </c>
      <c r="AQ1364" s="11">
        <v>382100.0</v>
      </c>
      <c r="AR1364" s="11">
        <v>363170.0</v>
      </c>
      <c r="AS1364" s="11">
        <v>437660.0</v>
      </c>
      <c r="AT1364" s="11">
        <v>602400.0</v>
      </c>
      <c r="AU1364" s="11">
        <v>965050.0</v>
      </c>
      <c r="AV1364" s="11">
        <v>163270.0</v>
      </c>
      <c r="AW1364" s="11">
        <v>58640.0</v>
      </c>
      <c r="AX1364" s="11">
        <v>-86970.0</v>
      </c>
      <c r="AY1364" s="11">
        <v>-28230.0</v>
      </c>
      <c r="AZ1364" s="11">
        <v>-28870.0</v>
      </c>
      <c r="BA1364" s="11">
        <v>-28430.0</v>
      </c>
      <c r="BB1364" s="11">
        <v>-9450.0</v>
      </c>
      <c r="BC1364" s="24">
        <v>-63640.0</v>
      </c>
      <c r="BD1364" s="24">
        <v>-61700.0</v>
      </c>
      <c r="BE1364" s="24">
        <v>-38590.0</v>
      </c>
      <c r="BF1364" s="13"/>
      <c r="BG1364" s="13"/>
      <c r="BH1364" s="11">
        <v>1290000.0</v>
      </c>
      <c r="BI1364" s="11">
        <v>1180000.0</v>
      </c>
      <c r="BJ1364" s="11">
        <v>712830.0</v>
      </c>
      <c r="BK1364" s="11">
        <v>665010.0</v>
      </c>
      <c r="BL1364" s="11">
        <v>945790.0</v>
      </c>
      <c r="BM1364" s="12"/>
      <c r="BN1364" s="12"/>
      <c r="BO1364" s="12"/>
      <c r="BP1364" s="12"/>
      <c r="BQ1364" s="12"/>
      <c r="BR1364" s="11">
        <v>7870000.0</v>
      </c>
      <c r="BS1364" s="11">
        <v>7600000.0</v>
      </c>
      <c r="BT1364" s="11">
        <v>7280000.0</v>
      </c>
      <c r="BU1364" s="11">
        <v>7350000.0</v>
      </c>
      <c r="BV1364" s="11">
        <v>7000000.0</v>
      </c>
      <c r="BW1364" s="11">
        <v>9160000.0</v>
      </c>
      <c r="BX1364" s="11">
        <v>8780000.0</v>
      </c>
      <c r="BY1364" s="11">
        <v>7990000.0</v>
      </c>
      <c r="BZ1364" s="11">
        <v>8020000.0</v>
      </c>
      <c r="CA1364" s="11">
        <v>7940000.0</v>
      </c>
      <c r="CB1364" s="11">
        <v>273410.0</v>
      </c>
      <c r="CC1364" s="11">
        <v>193280.0</v>
      </c>
      <c r="CD1364" s="11">
        <v>189550.0</v>
      </c>
      <c r="CE1364" s="11">
        <v>169580.0</v>
      </c>
      <c r="CF1364" s="11">
        <v>136760.0</v>
      </c>
      <c r="CG1364" s="12"/>
      <c r="CH1364" s="12"/>
      <c r="CI1364" s="12"/>
      <c r="CJ1364" s="12"/>
      <c r="CK1364" s="12"/>
      <c r="CL1364" s="11">
        <v>1.083E7</v>
      </c>
      <c r="CM1364" s="11">
        <v>1.024E7</v>
      </c>
      <c r="CN1364" s="11">
        <v>9450000.0</v>
      </c>
      <c r="CO1364" s="11">
        <v>9740000.0</v>
      </c>
      <c r="CP1364" s="11">
        <v>9210000.0</v>
      </c>
      <c r="CQ1364" s="11">
        <v>348600.0</v>
      </c>
      <c r="CR1364" s="11">
        <v>362100.0</v>
      </c>
      <c r="CS1364" s="11">
        <v>275220.0</v>
      </c>
      <c r="CT1364" s="11">
        <v>281960.0</v>
      </c>
      <c r="CU1364" s="11">
        <v>236950.0</v>
      </c>
      <c r="CV1364" s="11">
        <v>1790000.0</v>
      </c>
      <c r="CW1364" s="12"/>
      <c r="CX1364" s="13"/>
      <c r="CY1364" s="13"/>
      <c r="CZ1364" s="24">
        <v>210000.0</v>
      </c>
      <c r="DA1364" s="11">
        <v>100000.0</v>
      </c>
      <c r="DB1364" s="11">
        <v>1790000.0</v>
      </c>
      <c r="DC1364" s="11">
        <v>1780000.0</v>
      </c>
      <c r="DD1364" s="11">
        <v>1690000.0</v>
      </c>
      <c r="DE1364" s="11">
        <v>1940000.0</v>
      </c>
      <c r="DF1364" s="11">
        <v>5710000.0</v>
      </c>
      <c r="DG1364" s="11">
        <v>5480000.0</v>
      </c>
      <c r="DH1364" s="11">
        <v>4910000.0</v>
      </c>
      <c r="DI1364" s="11">
        <v>5500000.0</v>
      </c>
      <c r="DJ1364" s="11">
        <v>4980000.0</v>
      </c>
      <c r="DK1364" s="11">
        <v>473520.0</v>
      </c>
      <c r="DL1364" s="11">
        <v>582860.0</v>
      </c>
      <c r="DM1364" s="11">
        <v>629700.0</v>
      </c>
      <c r="DN1364" s="11">
        <v>549470.0</v>
      </c>
      <c r="DO1364" s="24">
        <v>721870.0</v>
      </c>
      <c r="DP1364" s="11">
        <v>3920000.0</v>
      </c>
      <c r="DQ1364" s="11">
        <v>3700000.0</v>
      </c>
      <c r="DR1364" s="11">
        <v>3220000.0</v>
      </c>
      <c r="DS1364" s="11">
        <v>3570000.0</v>
      </c>
      <c r="DT1364" s="11">
        <v>3690000.0</v>
      </c>
      <c r="DU1364" s="13"/>
      <c r="DV1364" s="12"/>
      <c r="DW1364" s="12"/>
      <c r="DX1364" s="13"/>
      <c r="DY1364" s="13"/>
      <c r="DZ1364" s="11">
        <v>5070000.0</v>
      </c>
      <c r="EA1364" s="11">
        <v>4760000.0</v>
      </c>
      <c r="EB1364" s="11">
        <v>4530000.0</v>
      </c>
      <c r="EC1364" s="11">
        <v>4230000.0</v>
      </c>
      <c r="ED1364" s="11">
        <v>4220000.0</v>
      </c>
      <c r="EE1364" s="23">
        <v>0.16875</v>
      </c>
      <c r="EF1364" s="23">
        <v>0.334828102</v>
      </c>
      <c r="EG1364" s="14">
        <v>0.311</v>
      </c>
      <c r="EH1364" s="23">
        <v>0.13175</v>
      </c>
    </row>
    <row r="1365">
      <c r="A1365" s="9">
        <f t="shared" si="2"/>
        <v>1363</v>
      </c>
      <c r="B1365" s="10" t="s">
        <v>1500</v>
      </c>
      <c r="C1365" s="12">
        <v>5380000.0</v>
      </c>
      <c r="D1365" s="12">
        <v>5150000.0</v>
      </c>
      <c r="E1365" s="11">
        <v>4450000.0</v>
      </c>
      <c r="F1365" s="11">
        <v>4450000.0</v>
      </c>
      <c r="G1365" s="11">
        <v>4760000.0</v>
      </c>
      <c r="H1365" s="11">
        <v>4970000.0</v>
      </c>
      <c r="I1365" s="11">
        <v>4920000.0</v>
      </c>
      <c r="J1365" s="11">
        <v>241770.0</v>
      </c>
      <c r="K1365" s="11">
        <v>454450.0</v>
      </c>
      <c r="L1365" s="11">
        <v>454410.0</v>
      </c>
      <c r="M1365" s="11">
        <v>457190.0</v>
      </c>
      <c r="N1365" s="11">
        <v>356250.0</v>
      </c>
      <c r="O1365" s="11">
        <v>226920.0</v>
      </c>
      <c r="P1365" s="11">
        <v>262580.0</v>
      </c>
      <c r="Q1365" s="11">
        <v>274930.0</v>
      </c>
      <c r="R1365" s="11">
        <v>255270.0</v>
      </c>
      <c r="S1365" s="11">
        <v>250840.0</v>
      </c>
      <c r="T1365" s="12"/>
      <c r="U1365" s="12"/>
      <c r="V1365" s="12"/>
      <c r="W1365" s="12"/>
      <c r="X1365" s="12"/>
      <c r="Y1365" s="11">
        <v>-365010.0</v>
      </c>
      <c r="Z1365" s="12"/>
      <c r="AA1365" s="11">
        <v>37000.0</v>
      </c>
      <c r="AB1365" s="12"/>
      <c r="AC1365" s="11">
        <v>3740.0</v>
      </c>
      <c r="AD1365" s="11">
        <v>-425830.0</v>
      </c>
      <c r="AE1365" s="11">
        <v>132610.0</v>
      </c>
      <c r="AF1365" s="11">
        <v>153980.0</v>
      </c>
      <c r="AG1365" s="11">
        <v>149120.0</v>
      </c>
      <c r="AH1365" s="11">
        <v>73840.0</v>
      </c>
      <c r="AI1365" s="11">
        <v>79900.0</v>
      </c>
      <c r="AJ1365" s="11">
        <v>239140.0</v>
      </c>
      <c r="AK1365" s="11">
        <v>231410.0</v>
      </c>
      <c r="AL1365" s="11">
        <v>269220.0</v>
      </c>
      <c r="AM1365" s="11">
        <v>147050.0</v>
      </c>
      <c r="AN1365" s="11">
        <v>-387690.0</v>
      </c>
      <c r="AO1365" s="11">
        <v>83440.0</v>
      </c>
      <c r="AP1365" s="11">
        <v>148380.0</v>
      </c>
      <c r="AQ1365" s="11">
        <v>95820.0</v>
      </c>
      <c r="AR1365" s="11">
        <v>45290.0</v>
      </c>
      <c r="AS1365" s="11">
        <v>136530.0</v>
      </c>
      <c r="AT1365" s="11">
        <v>21400.0</v>
      </c>
      <c r="AU1365" s="11">
        <v>163550.0</v>
      </c>
      <c r="AV1365" s="11">
        <v>113340.0</v>
      </c>
      <c r="AW1365" s="11">
        <v>14070.0</v>
      </c>
      <c r="AX1365" s="11">
        <v>-84200.0</v>
      </c>
      <c r="AY1365" s="11">
        <v>-77070.0</v>
      </c>
      <c r="AZ1365" s="11">
        <v>-30280.0</v>
      </c>
      <c r="BA1365" s="11">
        <v>-15740.0</v>
      </c>
      <c r="BB1365" s="11">
        <v>-35910.0</v>
      </c>
      <c r="BC1365" s="13"/>
      <c r="BD1365" s="13"/>
      <c r="BE1365" s="13"/>
      <c r="BF1365" s="13"/>
      <c r="BG1365" s="13"/>
      <c r="BH1365" s="11">
        <v>273080.0</v>
      </c>
      <c r="BI1365" s="11">
        <v>178010.0</v>
      </c>
      <c r="BJ1365" s="11">
        <v>250660.0</v>
      </c>
      <c r="BK1365" s="11">
        <v>196610.0</v>
      </c>
      <c r="BL1365" s="11">
        <v>121310.0</v>
      </c>
      <c r="BM1365" s="11">
        <v>3040000.0</v>
      </c>
      <c r="BN1365" s="11">
        <v>2880000.0</v>
      </c>
      <c r="BO1365" s="11">
        <v>2730000.0</v>
      </c>
      <c r="BP1365" s="11">
        <v>2580000.0</v>
      </c>
      <c r="BQ1365" s="11">
        <v>2380000.0</v>
      </c>
      <c r="BR1365" s="12"/>
      <c r="BS1365" s="12"/>
      <c r="BT1365" s="12"/>
      <c r="BU1365" s="12"/>
      <c r="BV1365" s="12"/>
      <c r="BW1365" s="11">
        <v>3510000.0</v>
      </c>
      <c r="BX1365" s="11">
        <v>3180000.0</v>
      </c>
      <c r="BY1365" s="11">
        <v>3070000.0</v>
      </c>
      <c r="BZ1365" s="11">
        <v>2840000.0</v>
      </c>
      <c r="CA1365" s="11">
        <v>2610000.0</v>
      </c>
      <c r="CB1365" s="11">
        <v>549840.0</v>
      </c>
      <c r="CC1365" s="11">
        <v>490670.0</v>
      </c>
      <c r="CD1365" s="11">
        <v>467500.0</v>
      </c>
      <c r="CE1365" s="11">
        <v>477630.0</v>
      </c>
      <c r="CF1365" s="11">
        <v>523530.0</v>
      </c>
      <c r="CG1365" s="11">
        <v>205140.0</v>
      </c>
      <c r="CH1365" s="11">
        <v>585010.0</v>
      </c>
      <c r="CI1365" s="11">
        <v>585010.0</v>
      </c>
      <c r="CJ1365" s="11">
        <v>585010.0</v>
      </c>
      <c r="CK1365" s="11">
        <v>585010.0</v>
      </c>
      <c r="CL1365" s="11">
        <v>4490000.0</v>
      </c>
      <c r="CM1365" s="11">
        <v>4390000.0</v>
      </c>
      <c r="CN1365" s="11">
        <v>4260000.0</v>
      </c>
      <c r="CO1365" s="11">
        <v>4040000.0</v>
      </c>
      <c r="CP1365" s="11">
        <v>3860000.0</v>
      </c>
      <c r="CQ1365" s="11">
        <v>934880.0</v>
      </c>
      <c r="CR1365" s="11">
        <v>833680.0</v>
      </c>
      <c r="CS1365" s="11">
        <v>961790.0</v>
      </c>
      <c r="CT1365" s="11">
        <v>994020.0</v>
      </c>
      <c r="CU1365" s="11">
        <v>937460.0</v>
      </c>
      <c r="CV1365" s="11">
        <v>2110000.0</v>
      </c>
      <c r="CW1365" s="11">
        <v>11390.0</v>
      </c>
      <c r="CX1365" s="13"/>
      <c r="CY1365" s="13"/>
      <c r="CZ1365" s="13"/>
      <c r="DA1365" s="12"/>
      <c r="DB1365" s="11">
        <v>2110000.0</v>
      </c>
      <c r="DC1365" s="11">
        <v>1600000.0</v>
      </c>
      <c r="DD1365" s="11">
        <v>1580000.0</v>
      </c>
      <c r="DE1365" s="11">
        <v>1520000.0</v>
      </c>
      <c r="DF1365" s="11">
        <v>3060000.0</v>
      </c>
      <c r="DG1365" s="11">
        <v>2600000.0</v>
      </c>
      <c r="DH1365" s="11">
        <v>2560000.0</v>
      </c>
      <c r="DI1365" s="11">
        <v>2490000.0</v>
      </c>
      <c r="DJ1365" s="11">
        <v>2440000.0</v>
      </c>
      <c r="DK1365" s="12"/>
      <c r="DL1365" s="12"/>
      <c r="DM1365" s="12"/>
      <c r="DN1365" s="12"/>
      <c r="DO1365" s="13"/>
      <c r="DP1365" s="11">
        <v>742320.0</v>
      </c>
      <c r="DQ1365" s="11">
        <v>744740.0</v>
      </c>
      <c r="DR1365" s="11">
        <v>705530.0</v>
      </c>
      <c r="DS1365" s="11">
        <v>673630.0</v>
      </c>
      <c r="DT1365" s="11">
        <v>728770.0</v>
      </c>
      <c r="DU1365" s="13"/>
      <c r="DV1365" s="12"/>
      <c r="DW1365" s="12"/>
      <c r="DX1365" s="13"/>
      <c r="DY1365" s="13"/>
      <c r="DZ1365" s="11">
        <v>1440000.0</v>
      </c>
      <c r="EA1365" s="11">
        <v>1810000.0</v>
      </c>
      <c r="EB1365" s="11">
        <v>1710000.0</v>
      </c>
      <c r="EC1365" s="11">
        <v>1550000.0</v>
      </c>
      <c r="ED1365" s="11">
        <v>1420000.0</v>
      </c>
      <c r="EE1365" s="23">
        <v>0.031067961</v>
      </c>
      <c r="EF1365" s="23">
        <v>0.059479554</v>
      </c>
      <c r="EG1365" s="14">
        <v>4.667</v>
      </c>
      <c r="EH1365" s="23">
        <v>-3.223</v>
      </c>
    </row>
    <row r="1366">
      <c r="A1366" s="9">
        <f t="shared" si="2"/>
        <v>1364</v>
      </c>
      <c r="B1366" s="10" t="s">
        <v>1501</v>
      </c>
      <c r="C1366" s="12">
        <v>3110000.0</v>
      </c>
      <c r="D1366" s="12">
        <v>2930000.0</v>
      </c>
      <c r="E1366" s="11">
        <v>3080000.0</v>
      </c>
      <c r="F1366" s="11">
        <v>3260000.0</v>
      </c>
      <c r="G1366" s="11">
        <v>2810000.0</v>
      </c>
      <c r="H1366" s="11">
        <v>2410000.0</v>
      </c>
      <c r="I1366" s="11">
        <v>2400000.0</v>
      </c>
      <c r="J1366" s="11">
        <v>606740.0</v>
      </c>
      <c r="K1366" s="11">
        <v>696120.0</v>
      </c>
      <c r="L1366" s="11">
        <v>618970.0</v>
      </c>
      <c r="M1366" s="11">
        <v>548410.0</v>
      </c>
      <c r="N1366" s="11">
        <v>554150.0</v>
      </c>
      <c r="O1366" s="11">
        <v>351780.0</v>
      </c>
      <c r="P1366" s="11">
        <v>341760.0</v>
      </c>
      <c r="Q1366" s="11">
        <v>273710.0</v>
      </c>
      <c r="R1366" s="11">
        <v>250840.0</v>
      </c>
      <c r="S1366" s="11">
        <v>233180.0</v>
      </c>
      <c r="T1366" s="12"/>
      <c r="U1366" s="12"/>
      <c r="V1366" s="12"/>
      <c r="W1366" s="12"/>
      <c r="X1366" s="12"/>
      <c r="Y1366" s="12"/>
      <c r="Z1366" s="12"/>
      <c r="AA1366" s="11">
        <v>331470.0</v>
      </c>
      <c r="AB1366" s="11">
        <v>296930.0</v>
      </c>
      <c r="AC1366" s="11">
        <v>315710.0</v>
      </c>
      <c r="AD1366" s="11">
        <v>271090.0</v>
      </c>
      <c r="AE1366" s="11">
        <v>362070.0</v>
      </c>
      <c r="AF1366" s="11">
        <v>339820.0</v>
      </c>
      <c r="AG1366" s="11">
        <v>302230.0</v>
      </c>
      <c r="AH1366" s="11">
        <v>319260.0</v>
      </c>
      <c r="AI1366" s="11">
        <v>283360.0</v>
      </c>
      <c r="AJ1366" s="11">
        <v>383460.0</v>
      </c>
      <c r="AK1366" s="11">
        <v>348760.0</v>
      </c>
      <c r="AL1366" s="11">
        <v>300660.0</v>
      </c>
      <c r="AM1366" s="11">
        <v>329240.0</v>
      </c>
      <c r="AN1366" s="11">
        <v>207190.0</v>
      </c>
      <c r="AO1366" s="11">
        <v>269910.0</v>
      </c>
      <c r="AP1366" s="11">
        <v>187190.0</v>
      </c>
      <c r="AQ1366" s="11">
        <v>195170.0</v>
      </c>
      <c r="AR1366" s="11">
        <v>205460.0</v>
      </c>
      <c r="AS1366" s="11">
        <v>315980.0</v>
      </c>
      <c r="AT1366" s="11">
        <v>310660.0</v>
      </c>
      <c r="AU1366" s="11">
        <v>101670.0</v>
      </c>
      <c r="AV1366" s="11">
        <v>-158310.0</v>
      </c>
      <c r="AW1366" s="11">
        <v>32420.0</v>
      </c>
      <c r="AX1366" s="11">
        <v>-30280.0</v>
      </c>
      <c r="AY1366" s="11">
        <v>-31650.0</v>
      </c>
      <c r="AZ1366" s="11">
        <v>-2610.0</v>
      </c>
      <c r="BA1366" s="11">
        <v>-3990.0</v>
      </c>
      <c r="BB1366" s="11">
        <v>-809.0</v>
      </c>
      <c r="BC1366" s="13"/>
      <c r="BD1366" s="13"/>
      <c r="BE1366" s="13"/>
      <c r="BF1366" s="13"/>
      <c r="BG1366" s="13"/>
      <c r="BH1366" s="11">
        <v>329010.0</v>
      </c>
      <c r="BI1366" s="11">
        <v>277700.0</v>
      </c>
      <c r="BJ1366" s="11">
        <v>282910.0</v>
      </c>
      <c r="BK1366" s="11">
        <v>208660.0</v>
      </c>
      <c r="BL1366" s="11">
        <v>214490.0</v>
      </c>
      <c r="BM1366" s="11">
        <v>69280.0</v>
      </c>
      <c r="BN1366" s="11">
        <v>51590.0</v>
      </c>
      <c r="BO1366" s="11">
        <v>125600.0</v>
      </c>
      <c r="BP1366" s="11">
        <v>82500.0</v>
      </c>
      <c r="BQ1366" s="11">
        <v>43710.0</v>
      </c>
      <c r="BR1366" s="11">
        <v>3070000.0</v>
      </c>
      <c r="BS1366" s="11">
        <v>3220000.0</v>
      </c>
      <c r="BT1366" s="11">
        <v>3110000.0</v>
      </c>
      <c r="BU1366" s="11">
        <v>2910000.0</v>
      </c>
      <c r="BV1366" s="11">
        <v>2520000.0</v>
      </c>
      <c r="BW1366" s="11">
        <v>3460000.0</v>
      </c>
      <c r="BX1366" s="11">
        <v>3550000.0</v>
      </c>
      <c r="BY1366" s="11">
        <v>3510000.0</v>
      </c>
      <c r="BZ1366" s="11">
        <v>3200000.0</v>
      </c>
      <c r="CA1366" s="11">
        <v>2780000.0</v>
      </c>
      <c r="CB1366" s="11">
        <v>108750.0</v>
      </c>
      <c r="CC1366" s="11">
        <v>54200.0</v>
      </c>
      <c r="CD1366" s="11">
        <v>10530.0</v>
      </c>
      <c r="CE1366" s="11">
        <v>10880.0</v>
      </c>
      <c r="CF1366" s="11">
        <v>7640.0</v>
      </c>
      <c r="CG1366" s="11">
        <v>139300.0</v>
      </c>
      <c r="CH1366" s="11">
        <v>139300.0</v>
      </c>
      <c r="CI1366" s="11">
        <v>139300.0</v>
      </c>
      <c r="CJ1366" s="11">
        <v>139300.0</v>
      </c>
      <c r="CK1366" s="11">
        <v>139300.0</v>
      </c>
      <c r="CL1366" s="11">
        <v>3860000.0</v>
      </c>
      <c r="CM1366" s="11">
        <v>3880000.0</v>
      </c>
      <c r="CN1366" s="11">
        <v>3810000.0</v>
      </c>
      <c r="CO1366" s="11">
        <v>3560000.0</v>
      </c>
      <c r="CP1366" s="11">
        <v>3140000.0</v>
      </c>
      <c r="CQ1366" s="11">
        <v>66120.0</v>
      </c>
      <c r="CR1366" s="11">
        <v>81310.0</v>
      </c>
      <c r="CS1366" s="11">
        <v>72870.0</v>
      </c>
      <c r="CT1366" s="11">
        <v>70250.0</v>
      </c>
      <c r="CU1366" s="11">
        <v>64840.0</v>
      </c>
      <c r="CV1366" s="11">
        <v>331150.0</v>
      </c>
      <c r="CW1366" s="11">
        <v>11580.0</v>
      </c>
      <c r="CX1366" s="13"/>
      <c r="CY1366" s="13"/>
      <c r="CZ1366" s="13"/>
      <c r="DA1366" s="11">
        <v>2440.0</v>
      </c>
      <c r="DB1366" s="11">
        <v>331150.0</v>
      </c>
      <c r="DC1366" s="11">
        <v>798360.0</v>
      </c>
      <c r="DD1366" s="11">
        <v>403750.0</v>
      </c>
      <c r="DE1366" s="11">
        <v>334100.0</v>
      </c>
      <c r="DF1366" s="11">
        <v>1670000.0</v>
      </c>
      <c r="DG1366" s="11">
        <v>1830000.0</v>
      </c>
      <c r="DH1366" s="11">
        <v>1880000.0</v>
      </c>
      <c r="DI1366" s="11">
        <v>1720000.0</v>
      </c>
      <c r="DJ1366" s="11">
        <v>1450000.0</v>
      </c>
      <c r="DK1366" s="11">
        <v>11750.0</v>
      </c>
      <c r="DL1366" s="11">
        <v>5410.0</v>
      </c>
      <c r="DM1366" s="11">
        <v>5870.0</v>
      </c>
      <c r="DN1366" s="11">
        <v>17550.0</v>
      </c>
      <c r="DO1366" s="24">
        <v>19000.0</v>
      </c>
      <c r="DP1366" s="11">
        <v>1330000.0</v>
      </c>
      <c r="DQ1366" s="11">
        <v>1030000.0</v>
      </c>
      <c r="DR1366" s="11">
        <v>1470000.0</v>
      </c>
      <c r="DS1366" s="11">
        <v>1380000.0</v>
      </c>
      <c r="DT1366" s="11">
        <v>1170000.0</v>
      </c>
      <c r="DU1366" s="13"/>
      <c r="DV1366" s="12"/>
      <c r="DW1366" s="12"/>
      <c r="DX1366" s="13"/>
      <c r="DY1366" s="13"/>
      <c r="DZ1366" s="11">
        <v>2190000.0</v>
      </c>
      <c r="EA1366" s="11">
        <v>2060000.0</v>
      </c>
      <c r="EB1366" s="11">
        <v>1930000.0</v>
      </c>
      <c r="EC1366" s="11">
        <v>1830000.0</v>
      </c>
      <c r="ED1366" s="11">
        <v>1660000.0</v>
      </c>
      <c r="EE1366" s="23">
        <v>0.122866894</v>
      </c>
      <c r="EF1366" s="23">
        <v>0.459807074</v>
      </c>
      <c r="EG1366" s="14">
        <v>0.645</v>
      </c>
      <c r="EH1366" s="23">
        <v>0.39525</v>
      </c>
    </row>
    <row r="1367">
      <c r="A1367" s="9">
        <f t="shared" si="2"/>
        <v>1365</v>
      </c>
      <c r="B1367" s="10" t="s">
        <v>1502</v>
      </c>
      <c r="C1367" s="15">
        <v>5400000.0</v>
      </c>
      <c r="D1367" s="15">
        <v>5100000.0</v>
      </c>
      <c r="E1367" s="15">
        <v>4960000.0</v>
      </c>
      <c r="F1367" s="15">
        <v>6030000.0</v>
      </c>
      <c r="G1367" s="15">
        <v>5880000.0</v>
      </c>
      <c r="H1367" s="15">
        <v>4490000.0</v>
      </c>
      <c r="I1367" s="15">
        <v>4490000.0</v>
      </c>
      <c r="J1367" s="15">
        <v>3240000.0</v>
      </c>
      <c r="K1367" s="15">
        <v>4080000.0</v>
      </c>
      <c r="L1367" s="15">
        <v>3970000.0</v>
      </c>
      <c r="M1367" s="15">
        <v>3080000.0</v>
      </c>
      <c r="N1367" s="15">
        <v>3050000.0</v>
      </c>
      <c r="O1367" s="15">
        <v>3790000.0</v>
      </c>
      <c r="P1367" s="15">
        <v>3170000.0</v>
      </c>
      <c r="Q1367" s="15">
        <v>2980000.0</v>
      </c>
      <c r="R1367" s="15">
        <v>2260000.0</v>
      </c>
      <c r="S1367" s="15">
        <v>2350000.0</v>
      </c>
      <c r="T1367" s="12"/>
      <c r="U1367" s="12"/>
      <c r="V1367" s="12"/>
      <c r="W1367" s="12"/>
      <c r="X1367" s="12"/>
      <c r="Y1367" s="12"/>
      <c r="Z1367" s="15">
        <v>814100.0</v>
      </c>
      <c r="AA1367" s="15">
        <v>670800.0</v>
      </c>
      <c r="AB1367" s="15">
        <v>777900.0</v>
      </c>
      <c r="AC1367" s="15">
        <v>653500.0</v>
      </c>
      <c r="AD1367" s="15">
        <v>-624200.0</v>
      </c>
      <c r="AE1367" s="15">
        <v>766200.0</v>
      </c>
      <c r="AF1367" s="15">
        <v>596800.0</v>
      </c>
      <c r="AG1367" s="15">
        <v>759000.0</v>
      </c>
      <c r="AH1367" s="15">
        <v>626600.0</v>
      </c>
      <c r="AI1367" s="12"/>
      <c r="AJ1367" s="15">
        <v>1180000.0</v>
      </c>
      <c r="AK1367" s="15">
        <v>1250000.0</v>
      </c>
      <c r="AL1367" s="15">
        <v>1030000.0</v>
      </c>
      <c r="AM1367" s="15">
        <v>908200.0</v>
      </c>
      <c r="AN1367" s="15">
        <v>-652100.0</v>
      </c>
      <c r="AO1367" s="15">
        <v>643400.0</v>
      </c>
      <c r="AP1367" s="15">
        <v>397500.0</v>
      </c>
      <c r="AQ1367" s="15">
        <v>591000.0</v>
      </c>
      <c r="AR1367" s="15">
        <v>460500.0</v>
      </c>
      <c r="AS1367" s="12"/>
      <c r="AT1367" s="15">
        <v>791700.0</v>
      </c>
      <c r="AU1367" s="15">
        <v>996700.0</v>
      </c>
      <c r="AV1367" s="15">
        <v>853800.0</v>
      </c>
      <c r="AW1367" s="15">
        <v>758600.0</v>
      </c>
      <c r="AX1367" s="12"/>
      <c r="AY1367" s="15">
        <v>-274200.0</v>
      </c>
      <c r="AZ1367" s="15">
        <v>-267400.0</v>
      </c>
      <c r="BA1367" s="15">
        <v>-283100.0</v>
      </c>
      <c r="BB1367" s="15">
        <v>-405300.0</v>
      </c>
      <c r="BC1367" s="12"/>
      <c r="BD1367" s="15">
        <v>-390700.0</v>
      </c>
      <c r="BE1367" s="15">
        <v>-384100.0</v>
      </c>
      <c r="BF1367" s="15">
        <v>-378000.0</v>
      </c>
      <c r="BG1367" s="15">
        <v>-374500.0</v>
      </c>
      <c r="BH1367" s="15">
        <v>1430000.0</v>
      </c>
      <c r="BI1367" s="15">
        <v>1230000.0</v>
      </c>
      <c r="BJ1367" s="15">
        <v>1250000.0</v>
      </c>
      <c r="BK1367" s="15">
        <v>3080000.0</v>
      </c>
      <c r="BL1367" s="15">
        <v>1320000.0</v>
      </c>
      <c r="BM1367" s="15">
        <v>193300.0</v>
      </c>
      <c r="BN1367" s="15">
        <v>353900.0</v>
      </c>
      <c r="BO1367" s="15">
        <v>339900.0</v>
      </c>
      <c r="BP1367" s="15">
        <v>309500.0</v>
      </c>
      <c r="BQ1367" s="15">
        <v>245200.0</v>
      </c>
      <c r="BR1367" s="15">
        <v>736900.0</v>
      </c>
      <c r="BS1367" s="15">
        <v>778300.0</v>
      </c>
      <c r="BT1367" s="15">
        <v>673800.0</v>
      </c>
      <c r="BU1367" s="15">
        <v>469700.0</v>
      </c>
      <c r="BV1367" s="15">
        <v>459200.0</v>
      </c>
      <c r="BW1367" s="15">
        <v>2550000.0</v>
      </c>
      <c r="BX1367" s="15">
        <v>2560000.0</v>
      </c>
      <c r="BY1367" s="15">
        <v>2430000.0</v>
      </c>
      <c r="BZ1367" s="15">
        <v>3950000.0</v>
      </c>
      <c r="CA1367" s="15">
        <v>2170000.0</v>
      </c>
      <c r="CB1367" s="15">
        <v>2530000.0</v>
      </c>
      <c r="CC1367" s="15">
        <v>938800.0</v>
      </c>
      <c r="CD1367" s="15">
        <v>885400.0</v>
      </c>
      <c r="CE1367" s="15">
        <v>691400.0</v>
      </c>
      <c r="CF1367" s="15">
        <v>919500.0</v>
      </c>
      <c r="CG1367" s="12"/>
      <c r="CH1367" s="15">
        <v>1520000.0</v>
      </c>
      <c r="CI1367" s="15">
        <v>1480000.0</v>
      </c>
      <c r="CJ1367" s="15">
        <v>480500.0</v>
      </c>
      <c r="CK1367" s="15">
        <v>502400.0</v>
      </c>
      <c r="CL1367" s="15">
        <v>7920000.0</v>
      </c>
      <c r="CM1367" s="15">
        <v>6880000.0</v>
      </c>
      <c r="CN1367" s="15">
        <v>6680000.0</v>
      </c>
      <c r="CO1367" s="15">
        <v>5830000.0</v>
      </c>
      <c r="CP1367" s="15">
        <v>4890000.0</v>
      </c>
      <c r="CQ1367" s="15">
        <v>130800.0</v>
      </c>
      <c r="CR1367" s="15">
        <v>243600.0</v>
      </c>
      <c r="CS1367" s="15">
        <v>264300.0</v>
      </c>
      <c r="CT1367" s="15">
        <v>194600.0</v>
      </c>
      <c r="CU1367" s="15">
        <v>186700.0</v>
      </c>
      <c r="CV1367" s="15">
        <v>1740000.0</v>
      </c>
      <c r="CW1367" s="12"/>
      <c r="CX1367" s="12"/>
      <c r="CY1367" s="13"/>
      <c r="CZ1367" s="13"/>
      <c r="DA1367" s="12"/>
      <c r="DB1367" s="15">
        <v>1740000.0</v>
      </c>
      <c r="DC1367" s="15">
        <v>918000.0</v>
      </c>
      <c r="DD1367" s="15">
        <v>938200.0</v>
      </c>
      <c r="DE1367" s="15">
        <v>753800.0</v>
      </c>
      <c r="DF1367" s="15">
        <v>5650000.0</v>
      </c>
      <c r="DG1367" s="15">
        <v>3360000.0</v>
      </c>
      <c r="DH1367" s="15">
        <v>3430000.0</v>
      </c>
      <c r="DI1367" s="15">
        <v>2830000.0</v>
      </c>
      <c r="DJ1367" s="15">
        <v>2210000.0</v>
      </c>
      <c r="DK1367" s="12"/>
      <c r="DL1367" s="15">
        <v>100.0</v>
      </c>
      <c r="DM1367" s="12"/>
      <c r="DN1367" s="15">
        <v>75100.0</v>
      </c>
      <c r="DO1367" s="15">
        <v>558600.0</v>
      </c>
      <c r="DP1367" s="15">
        <v>3390000.0</v>
      </c>
      <c r="DQ1367" s="15">
        <v>1600000.0</v>
      </c>
      <c r="DR1367" s="15">
        <v>1600000.0</v>
      </c>
      <c r="DS1367" s="15">
        <v>1580000.0</v>
      </c>
      <c r="DT1367" s="15">
        <v>861200.0</v>
      </c>
      <c r="DU1367" s="13"/>
      <c r="DV1367" s="12"/>
      <c r="DW1367" s="12"/>
      <c r="DX1367" s="12"/>
      <c r="DY1367" s="12"/>
      <c r="DZ1367" s="15">
        <v>2280000.0</v>
      </c>
      <c r="EA1367" s="15">
        <v>3510000.0</v>
      </c>
      <c r="EB1367" s="15">
        <v>3240000.0</v>
      </c>
      <c r="EC1367" s="15">
        <v>3000000.0</v>
      </c>
      <c r="ED1367" s="15">
        <v>2680000.0</v>
      </c>
      <c r="EE1367" s="17">
        <v>0.237</v>
      </c>
      <c r="EF1367" s="17">
        <v>0.159</v>
      </c>
      <c r="EG1367" s="17">
        <v>0.554</v>
      </c>
      <c r="EH1367" s="17">
        <v>-0.177</v>
      </c>
    </row>
    <row r="1368">
      <c r="A1368" s="9">
        <f t="shared" si="2"/>
        <v>1366</v>
      </c>
      <c r="B1368" s="22" t="s">
        <v>1503</v>
      </c>
      <c r="C1368" s="12"/>
      <c r="D1368" s="11">
        <v>9370.0</v>
      </c>
      <c r="E1368" s="12"/>
      <c r="F1368" s="12"/>
      <c r="G1368" s="12"/>
      <c r="H1368" s="12"/>
      <c r="I1368" s="12"/>
      <c r="J1368" s="11">
        <v>-1580.0</v>
      </c>
      <c r="K1368" s="11">
        <v>-138.0</v>
      </c>
      <c r="L1368" s="11">
        <v>-52.0</v>
      </c>
      <c r="M1368" s="12"/>
      <c r="N1368" s="12"/>
      <c r="O1368" s="11">
        <v>76150.0</v>
      </c>
      <c r="P1368" s="11">
        <v>25500.0</v>
      </c>
      <c r="Q1368" s="11">
        <v>16680.0</v>
      </c>
      <c r="R1368" s="12"/>
      <c r="S1368" s="12"/>
      <c r="T1368" s="11">
        <v>57450.0</v>
      </c>
      <c r="U1368" s="11">
        <v>21060.0</v>
      </c>
      <c r="V1368" s="11">
        <v>15240.0</v>
      </c>
      <c r="W1368" s="12"/>
      <c r="X1368" s="12"/>
      <c r="Y1368" s="12"/>
      <c r="Z1368" s="12"/>
      <c r="AA1368" s="12"/>
      <c r="AB1368" s="12"/>
      <c r="AC1368" s="12"/>
      <c r="AD1368" s="11">
        <v>-72130.0</v>
      </c>
      <c r="AE1368" s="11">
        <v>-24780.0</v>
      </c>
      <c r="AF1368" s="11">
        <v>-16590.0</v>
      </c>
      <c r="AG1368" s="12"/>
      <c r="AH1368" s="12"/>
      <c r="AI1368" s="11">
        <v>-76150.0</v>
      </c>
      <c r="AJ1368" s="11">
        <v>-25500.0</v>
      </c>
      <c r="AK1368" s="11">
        <v>-16680.0</v>
      </c>
      <c r="AL1368" s="12"/>
      <c r="AM1368" s="12"/>
      <c r="AN1368" s="11">
        <v>-72130.0</v>
      </c>
      <c r="AO1368" s="11">
        <v>-24790.0</v>
      </c>
      <c r="AP1368" s="11">
        <v>-16590.0</v>
      </c>
      <c r="AQ1368" s="12"/>
      <c r="AR1368" s="12"/>
      <c r="AS1368" s="11">
        <v>-57760.0</v>
      </c>
      <c r="AT1368" s="11">
        <v>-23530.0</v>
      </c>
      <c r="AU1368" s="11">
        <v>-12640.0</v>
      </c>
      <c r="AV1368" s="12"/>
      <c r="AW1368" s="12"/>
      <c r="AX1368" s="11">
        <v>-1740.0</v>
      </c>
      <c r="AY1368" s="11">
        <v>-302.0</v>
      </c>
      <c r="AZ1368" s="11">
        <v>-88.0</v>
      </c>
      <c r="BA1368" s="12"/>
      <c r="BB1368" s="12"/>
      <c r="BC1368" s="12"/>
      <c r="BD1368" s="12"/>
      <c r="BE1368" s="12"/>
      <c r="BF1368" s="12"/>
      <c r="BG1368" s="12"/>
      <c r="BH1368" s="11">
        <v>409150.0</v>
      </c>
      <c r="BI1368" s="11">
        <v>101030.0</v>
      </c>
      <c r="BJ1368" s="11">
        <v>45030.0</v>
      </c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1">
        <v>414950.0</v>
      </c>
      <c r="BX1368" s="11">
        <v>101520.0</v>
      </c>
      <c r="BY1368" s="11">
        <v>45610.0</v>
      </c>
      <c r="BZ1368" s="12"/>
      <c r="CA1368" s="12"/>
      <c r="CB1368" s="11">
        <v>7180.0</v>
      </c>
      <c r="CC1368" s="11">
        <v>1000.0</v>
      </c>
      <c r="CD1368" s="11">
        <v>256.0</v>
      </c>
      <c r="CE1368" s="12"/>
      <c r="CF1368" s="12"/>
      <c r="CG1368" s="12"/>
      <c r="CH1368" s="12"/>
      <c r="CI1368" s="12"/>
      <c r="CJ1368" s="12"/>
      <c r="CK1368" s="12"/>
      <c r="CL1368" s="11">
        <v>422200.0</v>
      </c>
      <c r="CM1368" s="11">
        <v>103280.0</v>
      </c>
      <c r="CN1368" s="11">
        <v>45910.0</v>
      </c>
      <c r="CO1368" s="12"/>
      <c r="CP1368" s="12"/>
      <c r="CQ1368" s="11">
        <v>2150.0</v>
      </c>
      <c r="CR1368" s="11">
        <v>1490.0</v>
      </c>
      <c r="CS1368" s="11">
        <v>1340.0</v>
      </c>
      <c r="CT1368" s="12"/>
      <c r="CU1368" s="12"/>
      <c r="CV1368" s="11">
        <v>14030.0</v>
      </c>
      <c r="CW1368" s="11">
        <v>1240.0</v>
      </c>
      <c r="CX1368" s="12"/>
      <c r="CY1368" s="12"/>
      <c r="CZ1368" s="12"/>
      <c r="DA1368" s="12"/>
      <c r="DB1368" s="11">
        <v>14030.0</v>
      </c>
      <c r="DC1368" s="11">
        <v>5320.0</v>
      </c>
      <c r="DD1368" s="11">
        <v>4530.0</v>
      </c>
      <c r="DE1368" s="12"/>
      <c r="DF1368" s="11">
        <v>17850.0</v>
      </c>
      <c r="DG1368" s="11">
        <v>5770.0</v>
      </c>
      <c r="DH1368" s="11">
        <v>4590.0</v>
      </c>
      <c r="DI1368" s="12"/>
      <c r="DJ1368" s="12"/>
      <c r="DK1368" s="12"/>
      <c r="DL1368" s="12"/>
      <c r="DM1368" s="12"/>
      <c r="DN1368" s="12"/>
      <c r="DO1368" s="12"/>
      <c r="DP1368" s="11">
        <v>3820.0</v>
      </c>
      <c r="DQ1368" s="12"/>
      <c r="DR1368" s="12"/>
      <c r="DS1368" s="12"/>
      <c r="DT1368" s="12"/>
      <c r="DU1368" s="13"/>
      <c r="DV1368" s="11">
        <v>145920.0</v>
      </c>
      <c r="DW1368" s="11">
        <v>66160.0</v>
      </c>
      <c r="DX1368" s="13"/>
      <c r="DY1368" s="13"/>
      <c r="DZ1368" s="11">
        <v>404350.0</v>
      </c>
      <c r="EA1368" s="11">
        <v>97510.0</v>
      </c>
      <c r="EB1368" s="11">
        <v>41320.0</v>
      </c>
      <c r="EC1368" s="12"/>
      <c r="ED1368" s="12"/>
      <c r="EE1368" s="23"/>
      <c r="EF1368" s="23"/>
      <c r="EG1368" s="14">
        <v>0.079</v>
      </c>
      <c r="EH1368" s="14">
        <v>-0.383</v>
      </c>
    </row>
    <row r="1369">
      <c r="A1369" s="9">
        <f t="shared" si="2"/>
        <v>1367</v>
      </c>
      <c r="B1369" s="10" t="s">
        <v>1504</v>
      </c>
      <c r="C1369" s="15">
        <v>3730000.0</v>
      </c>
      <c r="D1369" s="15">
        <v>3460000.0</v>
      </c>
      <c r="E1369" s="15">
        <v>3110000.0</v>
      </c>
      <c r="F1369" s="15">
        <v>2700000.0</v>
      </c>
      <c r="G1369" s="15">
        <v>2700000.0</v>
      </c>
      <c r="H1369" s="15">
        <v>3130000.0</v>
      </c>
      <c r="I1369" s="15">
        <v>3150000.0</v>
      </c>
      <c r="J1369" s="15">
        <v>1330000.0</v>
      </c>
      <c r="K1369" s="15">
        <v>1110000.0</v>
      </c>
      <c r="L1369" s="15">
        <v>1110000.0</v>
      </c>
      <c r="M1369" s="15">
        <v>1290000.0</v>
      </c>
      <c r="N1369" s="15">
        <v>1230000.0</v>
      </c>
      <c r="O1369" s="15">
        <v>959600.0</v>
      </c>
      <c r="P1369" s="15">
        <v>866700.0</v>
      </c>
      <c r="Q1369" s="15">
        <v>831500.0</v>
      </c>
      <c r="R1369" s="15">
        <v>912700.0</v>
      </c>
      <c r="S1369" s="15">
        <v>910700.0</v>
      </c>
      <c r="T1369" s="15">
        <v>23000.0</v>
      </c>
      <c r="U1369" s="15">
        <v>21900.0</v>
      </c>
      <c r="V1369" s="15">
        <v>21700.0</v>
      </c>
      <c r="W1369" s="15">
        <v>26700.0</v>
      </c>
      <c r="X1369" s="15">
        <v>28700.0</v>
      </c>
      <c r="Y1369" s="15">
        <v>330800.0</v>
      </c>
      <c r="Z1369" s="12"/>
      <c r="AA1369" s="15">
        <v>-14400.0</v>
      </c>
      <c r="AB1369" s="15">
        <v>-47200.0</v>
      </c>
      <c r="AC1369" s="15">
        <v>271000.0</v>
      </c>
      <c r="AD1369" s="15">
        <v>265500.0</v>
      </c>
      <c r="AE1369" s="15">
        <v>165000.0</v>
      </c>
      <c r="AF1369" s="15">
        <v>215400.0</v>
      </c>
      <c r="AG1369" s="15">
        <v>271800.0</v>
      </c>
      <c r="AH1369" s="15">
        <v>200100.0</v>
      </c>
      <c r="AI1369" s="15">
        <v>456400.0</v>
      </c>
      <c r="AJ1369" s="15">
        <v>325800.0</v>
      </c>
      <c r="AK1369" s="15">
        <v>354200.0</v>
      </c>
      <c r="AL1369" s="15">
        <v>450900.0</v>
      </c>
      <c r="AM1369" s="15">
        <v>391700.0</v>
      </c>
      <c r="AN1369" s="15">
        <v>190900.0</v>
      </c>
      <c r="AO1369" s="15">
        <v>118300.0</v>
      </c>
      <c r="AP1369" s="15">
        <v>182300.0</v>
      </c>
      <c r="AQ1369" s="15">
        <v>190600.0</v>
      </c>
      <c r="AR1369" s="15">
        <v>73500.0</v>
      </c>
      <c r="AS1369" s="15">
        <v>306200.0</v>
      </c>
      <c r="AT1369" s="15">
        <v>207500.0</v>
      </c>
      <c r="AU1369" s="15">
        <v>256500.0</v>
      </c>
      <c r="AV1369" s="15">
        <v>165500.0</v>
      </c>
      <c r="AW1369" s="15">
        <v>234200.0</v>
      </c>
      <c r="AX1369" s="15">
        <v>-88200.0</v>
      </c>
      <c r="AY1369" s="15">
        <v>-73600.0</v>
      </c>
      <c r="AZ1369" s="15">
        <v>-66600.0</v>
      </c>
      <c r="BA1369" s="15">
        <v>-62400.0</v>
      </c>
      <c r="BB1369" s="15">
        <v>-65900.0</v>
      </c>
      <c r="BC1369" s="12"/>
      <c r="BD1369" s="12"/>
      <c r="BE1369" s="12"/>
      <c r="BF1369" s="12"/>
      <c r="BG1369" s="12"/>
      <c r="BH1369" s="15">
        <v>64900.0</v>
      </c>
      <c r="BI1369" s="15">
        <v>45800.0</v>
      </c>
      <c r="BJ1369" s="15">
        <v>41100.0</v>
      </c>
      <c r="BK1369" s="15">
        <v>65700.0</v>
      </c>
      <c r="BL1369" s="15">
        <v>153900.0</v>
      </c>
      <c r="BM1369" s="15">
        <v>372000.0</v>
      </c>
      <c r="BN1369" s="15">
        <v>321500.0</v>
      </c>
      <c r="BO1369" s="15">
        <v>310800.0</v>
      </c>
      <c r="BP1369" s="15">
        <v>341600.0</v>
      </c>
      <c r="BQ1369" s="15">
        <v>379400.0</v>
      </c>
      <c r="BR1369" s="15">
        <v>260500.0</v>
      </c>
      <c r="BS1369" s="15">
        <v>222300.0</v>
      </c>
      <c r="BT1369" s="15">
        <v>179100.0</v>
      </c>
      <c r="BU1369" s="15">
        <v>196500.0</v>
      </c>
      <c r="BV1369" s="15">
        <v>199200.0</v>
      </c>
      <c r="BW1369" s="15">
        <v>896600.0</v>
      </c>
      <c r="BX1369" s="15">
        <v>796900.0</v>
      </c>
      <c r="BY1369" s="15">
        <v>603600.0</v>
      </c>
      <c r="BZ1369" s="15">
        <v>660300.0</v>
      </c>
      <c r="CA1369" s="15">
        <v>795400.0</v>
      </c>
      <c r="CB1369" s="15">
        <v>681200.0</v>
      </c>
      <c r="CC1369" s="15">
        <v>420800.0</v>
      </c>
      <c r="CD1369" s="15">
        <v>433500.0</v>
      </c>
      <c r="CE1369" s="15">
        <v>422200.0</v>
      </c>
      <c r="CF1369" s="15">
        <v>361700.0</v>
      </c>
      <c r="CG1369" s="15">
        <v>732300.0</v>
      </c>
      <c r="CH1369" s="15">
        <v>723000.0</v>
      </c>
      <c r="CI1369" s="15">
        <v>732700.0</v>
      </c>
      <c r="CJ1369" s="15">
        <v>722500.0</v>
      </c>
      <c r="CK1369" s="15">
        <v>709400.0</v>
      </c>
      <c r="CL1369" s="15">
        <v>3060000.0</v>
      </c>
      <c r="CM1369" s="15">
        <v>2720000.0</v>
      </c>
      <c r="CN1369" s="15">
        <v>2690000.0</v>
      </c>
      <c r="CO1369" s="15">
        <v>2700000.0</v>
      </c>
      <c r="CP1369" s="15">
        <v>2660000.0</v>
      </c>
      <c r="CQ1369" s="15">
        <v>251700.0</v>
      </c>
      <c r="CR1369" s="15">
        <v>253000.0</v>
      </c>
      <c r="CS1369" s="15">
        <v>228300.0</v>
      </c>
      <c r="CT1369" s="15">
        <v>235000.0</v>
      </c>
      <c r="CU1369" s="15">
        <v>266300.0</v>
      </c>
      <c r="CV1369" s="15">
        <v>773300.0</v>
      </c>
      <c r="CW1369" s="15">
        <v>50800.0</v>
      </c>
      <c r="CX1369" s="12"/>
      <c r="CY1369" s="13"/>
      <c r="CZ1369" s="13"/>
      <c r="DA1369" s="12"/>
      <c r="DB1369" s="15">
        <v>773300.0</v>
      </c>
      <c r="DC1369" s="15">
        <v>669000.0</v>
      </c>
      <c r="DD1369" s="15">
        <v>576900.0</v>
      </c>
      <c r="DE1369" s="15">
        <v>561100.0</v>
      </c>
      <c r="DF1369" s="15">
        <v>2700000.0</v>
      </c>
      <c r="DG1369" s="15">
        <v>2500000.0</v>
      </c>
      <c r="DH1369" s="15">
        <v>2580000.0</v>
      </c>
      <c r="DI1369" s="15">
        <v>2730000.0</v>
      </c>
      <c r="DJ1369" s="15">
        <v>2350000.0</v>
      </c>
      <c r="DK1369" s="15">
        <v>22500.0</v>
      </c>
      <c r="DL1369" s="15">
        <v>22500.0</v>
      </c>
      <c r="DM1369" s="15">
        <v>21500.0</v>
      </c>
      <c r="DN1369" s="15">
        <v>15500.0</v>
      </c>
      <c r="DO1369" s="15">
        <v>13600.0</v>
      </c>
      <c r="DP1369" s="15">
        <v>1710000.0</v>
      </c>
      <c r="DQ1369" s="15">
        <v>1600000.0</v>
      </c>
      <c r="DR1369" s="15">
        <v>1680000.0</v>
      </c>
      <c r="DS1369" s="15">
        <v>1820000.0</v>
      </c>
      <c r="DT1369" s="15">
        <v>1270000.0</v>
      </c>
      <c r="DU1369" s="13"/>
      <c r="DV1369" s="12"/>
      <c r="DW1369" s="12"/>
      <c r="DX1369" s="12"/>
      <c r="DY1369" s="12"/>
      <c r="DZ1369" s="15">
        <v>359500.0</v>
      </c>
      <c r="EA1369" s="15">
        <v>214600.0</v>
      </c>
      <c r="EB1369" s="15">
        <v>112500.0</v>
      </c>
      <c r="EC1369" s="15">
        <v>-44900.0</v>
      </c>
      <c r="ED1369" s="15">
        <v>290200.0</v>
      </c>
      <c r="EE1369" s="17">
        <v>0.066</v>
      </c>
      <c r="EF1369" s="17">
        <v>0.091</v>
      </c>
      <c r="EG1369" s="17" t="s">
        <v>155</v>
      </c>
      <c r="EH1369" s="23"/>
    </row>
    <row r="1370">
      <c r="A1370" s="9">
        <f t="shared" si="2"/>
        <v>1368</v>
      </c>
      <c r="B1370" s="10" t="s">
        <v>1505</v>
      </c>
      <c r="C1370" s="15"/>
      <c r="D1370" s="15"/>
      <c r="E1370" s="15">
        <v>527110.0</v>
      </c>
      <c r="F1370" s="15">
        <v>518920.0</v>
      </c>
      <c r="G1370" s="15">
        <v>519290.0</v>
      </c>
      <c r="H1370" s="15">
        <v>521100.0</v>
      </c>
      <c r="I1370" s="15">
        <v>540110.0</v>
      </c>
      <c r="J1370" s="15">
        <v>197630.0</v>
      </c>
      <c r="K1370" s="15">
        <v>189870.0</v>
      </c>
      <c r="L1370" s="15">
        <v>191840.0</v>
      </c>
      <c r="M1370" s="15">
        <v>198940.0</v>
      </c>
      <c r="N1370" s="15">
        <v>200760.0</v>
      </c>
      <c r="O1370" s="15">
        <v>127430.0</v>
      </c>
      <c r="P1370" s="15">
        <v>116570.0</v>
      </c>
      <c r="Q1370" s="15">
        <v>119110.0</v>
      </c>
      <c r="R1370" s="15">
        <v>107380.0</v>
      </c>
      <c r="S1370" s="15">
        <v>108050.0</v>
      </c>
      <c r="T1370" s="15"/>
      <c r="U1370" s="15"/>
      <c r="V1370" s="15"/>
      <c r="W1370" s="15"/>
      <c r="X1370" s="15"/>
      <c r="Y1370" s="15">
        <v>69830.0</v>
      </c>
      <c r="Z1370" s="15">
        <v>72180.0</v>
      </c>
      <c r="AA1370" s="15">
        <v>-2370.0</v>
      </c>
      <c r="AB1370" s="15"/>
      <c r="AC1370" s="15"/>
      <c r="AD1370" s="15">
        <v>85400.0</v>
      </c>
      <c r="AE1370" s="15">
        <v>73210.0</v>
      </c>
      <c r="AF1370" s="15">
        <v>84560.0</v>
      </c>
      <c r="AG1370" s="15">
        <v>97910.0</v>
      </c>
      <c r="AH1370" s="15">
        <v>92580.0</v>
      </c>
      <c r="AI1370" s="15">
        <v>88990.0</v>
      </c>
      <c r="AJ1370" s="15">
        <v>91970.0</v>
      </c>
      <c r="AK1370" s="15">
        <v>91720.0</v>
      </c>
      <c r="AL1370" s="15">
        <v>111190.0</v>
      </c>
      <c r="AM1370" s="15">
        <v>113090.0</v>
      </c>
      <c r="AN1370" s="15">
        <v>64920.0</v>
      </c>
      <c r="AO1370" s="15">
        <v>56890.0</v>
      </c>
      <c r="AP1370" s="15">
        <v>80860.0</v>
      </c>
      <c r="AQ1370" s="15">
        <v>67510.0</v>
      </c>
      <c r="AR1370" s="15">
        <v>66090.0</v>
      </c>
      <c r="AS1370" s="15">
        <v>100220.0</v>
      </c>
      <c r="AT1370" s="15">
        <v>100930.0</v>
      </c>
      <c r="AU1370" s="15">
        <v>42970.0</v>
      </c>
      <c r="AV1370" s="15">
        <v>98550.0</v>
      </c>
      <c r="AW1370" s="15">
        <v>91070.0</v>
      </c>
      <c r="AX1370" s="15">
        <v>-20260.0</v>
      </c>
      <c r="AY1370" s="15">
        <v>-27610.0</v>
      </c>
      <c r="AZ1370" s="15">
        <v>-16670.0</v>
      </c>
      <c r="BA1370" s="15">
        <v>-16090.0</v>
      </c>
      <c r="BB1370" s="15">
        <v>-15530.0</v>
      </c>
      <c r="BC1370" s="13">
        <v>-23460.0</v>
      </c>
      <c r="BD1370" s="13">
        <v>-22980.0</v>
      </c>
      <c r="BE1370" s="13">
        <v>-22620.0</v>
      </c>
      <c r="BF1370" s="13">
        <v>-22270.0</v>
      </c>
      <c r="BG1370" s="13">
        <v>-20780.0</v>
      </c>
      <c r="BH1370" s="15">
        <v>239780.0</v>
      </c>
      <c r="BI1370" s="15">
        <v>186430.0</v>
      </c>
      <c r="BJ1370" s="15">
        <v>138330.0</v>
      </c>
      <c r="BK1370" s="15">
        <v>187040.0</v>
      </c>
      <c r="BL1370" s="15">
        <v>168700.0</v>
      </c>
      <c r="BM1370" s="15">
        <v>48460.0</v>
      </c>
      <c r="BN1370" s="15">
        <v>52720.0</v>
      </c>
      <c r="BO1370" s="15">
        <v>65750.0</v>
      </c>
      <c r="BP1370" s="15">
        <v>46260.0</v>
      </c>
      <c r="BQ1370" s="15">
        <v>53780.0</v>
      </c>
      <c r="BR1370" s="15">
        <v>59090.0</v>
      </c>
      <c r="BS1370" s="15">
        <v>54520.0</v>
      </c>
      <c r="BT1370" s="15">
        <v>54830.0</v>
      </c>
      <c r="BU1370" s="15">
        <v>57530.0</v>
      </c>
      <c r="BV1370" s="15">
        <v>62260.0</v>
      </c>
      <c r="BW1370" s="15">
        <v>353330.0</v>
      </c>
      <c r="BX1370" s="15">
        <v>304050.0</v>
      </c>
      <c r="BY1370" s="15">
        <v>270920.0</v>
      </c>
      <c r="BZ1370" s="15">
        <v>299300.0</v>
      </c>
      <c r="CA1370" s="15">
        <v>293810.0</v>
      </c>
      <c r="CB1370" s="15">
        <v>188460.0</v>
      </c>
      <c r="CC1370" s="15">
        <v>186100.0</v>
      </c>
      <c r="CD1370" s="15">
        <v>178970.0</v>
      </c>
      <c r="CE1370" s="15">
        <v>180910.0</v>
      </c>
      <c r="CF1370" s="15">
        <v>184590.0</v>
      </c>
      <c r="CG1370" s="15">
        <v>73240.0</v>
      </c>
      <c r="CH1370" s="15">
        <v>73240.0</v>
      </c>
      <c r="CI1370" s="15">
        <v>73240.0</v>
      </c>
      <c r="CJ1370" s="15">
        <v>73240.0</v>
      </c>
      <c r="CK1370" s="15">
        <v>73240.0</v>
      </c>
      <c r="CL1370" s="15">
        <v>977860.0</v>
      </c>
      <c r="CM1370" s="15">
        <v>947360.0</v>
      </c>
      <c r="CN1370" s="15">
        <v>930950.0</v>
      </c>
      <c r="CO1370" s="15">
        <v>920100.0</v>
      </c>
      <c r="CP1370" s="15">
        <v>908980.0</v>
      </c>
      <c r="CQ1370" s="15">
        <v>12720.0</v>
      </c>
      <c r="CR1370" s="15">
        <v>11820.0</v>
      </c>
      <c r="CS1370" s="15">
        <v>11930.0</v>
      </c>
      <c r="CT1370" s="15">
        <v>10320.0</v>
      </c>
      <c r="CU1370" s="15">
        <v>11320.0</v>
      </c>
      <c r="CV1370" s="15">
        <v>79540.0</v>
      </c>
      <c r="CW1370" s="15">
        <v>1810.0</v>
      </c>
      <c r="CX1370" s="13"/>
      <c r="CY1370" s="15"/>
      <c r="CZ1370" s="15"/>
      <c r="DA1370" s="15"/>
      <c r="DB1370" s="15">
        <v>79540.0</v>
      </c>
      <c r="DC1370" s="15">
        <v>61390.0</v>
      </c>
      <c r="DD1370" s="15">
        <v>63790.0</v>
      </c>
      <c r="DE1370" s="15">
        <v>63560.0</v>
      </c>
      <c r="DF1370" s="15">
        <v>218220.0</v>
      </c>
      <c r="DG1370" s="15">
        <v>196860.0</v>
      </c>
      <c r="DH1370" s="15">
        <v>197140.0</v>
      </c>
      <c r="DI1370" s="15">
        <v>208560.0</v>
      </c>
      <c r="DJ1370" s="15">
        <v>210440.0</v>
      </c>
      <c r="DK1370" s="12">
        <v>153030.0</v>
      </c>
      <c r="DL1370" s="12">
        <v>170410.0</v>
      </c>
      <c r="DM1370" s="15">
        <v>190510.0</v>
      </c>
      <c r="DN1370" s="15">
        <v>164670.0</v>
      </c>
      <c r="DO1370" s="15">
        <v>152930.0</v>
      </c>
      <c r="DP1370" s="15">
        <v>8020.0</v>
      </c>
      <c r="DQ1370" s="15">
        <v>7500.0</v>
      </c>
      <c r="DR1370" s="15">
        <v>7500.0</v>
      </c>
      <c r="DS1370" s="15">
        <v>7730.0</v>
      </c>
      <c r="DT1370" s="15">
        <v>7880.0</v>
      </c>
      <c r="DU1370" s="13"/>
      <c r="DV1370" s="12"/>
      <c r="DW1370" s="12"/>
      <c r="DX1370" s="13"/>
      <c r="DY1370" s="13"/>
      <c r="DZ1370" s="15">
        <v>759850.0</v>
      </c>
      <c r="EA1370" s="15">
        <v>750620.0</v>
      </c>
      <c r="EB1370" s="15">
        <v>733840.0</v>
      </c>
      <c r="EC1370" s="15">
        <v>711360.0</v>
      </c>
      <c r="ED1370" s="15">
        <v>698180.0</v>
      </c>
      <c r="EE1370" s="17"/>
      <c r="EF1370" s="17"/>
      <c r="EG1370" s="23" t="s">
        <v>155</v>
      </c>
      <c r="EH1370" s="17"/>
    </row>
    <row r="1371">
      <c r="A1371" s="9">
        <f t="shared" si="2"/>
        <v>1369</v>
      </c>
      <c r="B1371" s="10" t="s">
        <v>1506</v>
      </c>
      <c r="C1371" s="15"/>
      <c r="D1371" s="15"/>
      <c r="E1371" s="15">
        <v>49520.0</v>
      </c>
      <c r="F1371" s="15">
        <v>45620.0</v>
      </c>
      <c r="G1371" s="15">
        <v>35260.0</v>
      </c>
      <c r="H1371" s="15">
        <v>45580.0</v>
      </c>
      <c r="I1371" s="15">
        <v>51150.0</v>
      </c>
      <c r="J1371" s="15">
        <v>7930.0</v>
      </c>
      <c r="K1371" s="15">
        <v>10140.0</v>
      </c>
      <c r="L1371" s="15">
        <v>2200.0</v>
      </c>
      <c r="M1371" s="15">
        <v>4640.0</v>
      </c>
      <c r="N1371" s="15">
        <v>9610.0</v>
      </c>
      <c r="O1371" s="15">
        <v>9360.0</v>
      </c>
      <c r="P1371" s="15">
        <v>9710.0</v>
      </c>
      <c r="Q1371" s="15">
        <v>9710.0</v>
      </c>
      <c r="R1371" s="15">
        <v>12550.0</v>
      </c>
      <c r="S1371" s="15">
        <v>12810.0</v>
      </c>
      <c r="T1371" s="15"/>
      <c r="U1371" s="15"/>
      <c r="V1371" s="15"/>
      <c r="W1371" s="15"/>
      <c r="X1371" s="15"/>
      <c r="Y1371" s="12"/>
      <c r="Z1371" s="12"/>
      <c r="AA1371" s="12"/>
      <c r="AB1371" s="15"/>
      <c r="AC1371" s="15"/>
      <c r="AD1371" s="15">
        <v>14560.0</v>
      </c>
      <c r="AE1371" s="15">
        <v>5560.0</v>
      </c>
      <c r="AF1371" s="15">
        <v>-3100.0</v>
      </c>
      <c r="AG1371" s="15">
        <v>851.0</v>
      </c>
      <c r="AH1371" s="15">
        <v>4040.0</v>
      </c>
      <c r="AI1371" s="15">
        <v>3610.0</v>
      </c>
      <c r="AJ1371" s="15">
        <v>5860.0</v>
      </c>
      <c r="AK1371" s="15">
        <v>-1830.0</v>
      </c>
      <c r="AL1371" s="15">
        <v>-3360.0</v>
      </c>
      <c r="AM1371" s="15">
        <v>1890.0</v>
      </c>
      <c r="AN1371" s="15">
        <v>10580.0</v>
      </c>
      <c r="AO1371" s="15">
        <v>4260.0</v>
      </c>
      <c r="AP1371" s="15">
        <v>-1800.0</v>
      </c>
      <c r="AQ1371" s="15">
        <v>558.0</v>
      </c>
      <c r="AR1371" s="15">
        <v>2950.0</v>
      </c>
      <c r="AS1371" s="15">
        <v>16050.0</v>
      </c>
      <c r="AT1371" s="15">
        <v>14350.0</v>
      </c>
      <c r="AU1371" s="15">
        <v>9830.0</v>
      </c>
      <c r="AV1371" s="15">
        <v>5590.0</v>
      </c>
      <c r="AW1371" s="15">
        <v>16970.0</v>
      </c>
      <c r="AX1371" s="15">
        <v>-28910.0</v>
      </c>
      <c r="AY1371" s="15">
        <v>-26420.0</v>
      </c>
      <c r="AZ1371" s="15">
        <v>-26430.0</v>
      </c>
      <c r="BA1371" s="15">
        <v>-26380.0</v>
      </c>
      <c r="BB1371" s="15">
        <v>-28050.0</v>
      </c>
      <c r="BC1371" s="13"/>
      <c r="BD1371" s="13"/>
      <c r="BE1371" s="13"/>
      <c r="BF1371" s="13"/>
      <c r="BG1371" s="13"/>
      <c r="BH1371" s="15">
        <v>66190.0</v>
      </c>
      <c r="BI1371" s="15">
        <v>79660.0</v>
      </c>
      <c r="BJ1371" s="15">
        <v>90980.0</v>
      </c>
      <c r="BK1371" s="15">
        <v>27930.0</v>
      </c>
      <c r="BL1371" s="15">
        <v>34750.0</v>
      </c>
      <c r="BM1371" s="15">
        <v>9950.0</v>
      </c>
      <c r="BN1371" s="15">
        <v>10880.0</v>
      </c>
      <c r="BO1371" s="15">
        <v>7610.0</v>
      </c>
      <c r="BP1371" s="15">
        <v>8740.0</v>
      </c>
      <c r="BQ1371" s="15">
        <v>6510.0</v>
      </c>
      <c r="BR1371" s="15">
        <v>2790.0</v>
      </c>
      <c r="BS1371" s="15">
        <v>2620.0</v>
      </c>
      <c r="BT1371" s="15">
        <v>2470.0</v>
      </c>
      <c r="BU1371" s="15">
        <v>3080.0</v>
      </c>
      <c r="BV1371" s="15">
        <v>3520.0</v>
      </c>
      <c r="BW1371" s="15">
        <v>82180.0</v>
      </c>
      <c r="BX1371" s="15">
        <v>96500.0</v>
      </c>
      <c r="BY1371" s="15">
        <v>103900.0</v>
      </c>
      <c r="BZ1371" s="15">
        <v>44220.0</v>
      </c>
      <c r="CA1371" s="15">
        <v>48890.0</v>
      </c>
      <c r="CB1371" s="15">
        <v>45070.0</v>
      </c>
      <c r="CC1371" s="15">
        <v>46090.0</v>
      </c>
      <c r="CD1371" s="15">
        <v>45330.0</v>
      </c>
      <c r="CE1371" s="15">
        <v>46030.0</v>
      </c>
      <c r="CF1371" s="15">
        <v>44470.0</v>
      </c>
      <c r="CG1371" s="15"/>
      <c r="CH1371" s="15"/>
      <c r="CI1371" s="15"/>
      <c r="CJ1371" s="15"/>
      <c r="CK1371" s="15"/>
      <c r="CL1371" s="15">
        <v>550030.0</v>
      </c>
      <c r="CM1371" s="15">
        <v>529050.0</v>
      </c>
      <c r="CN1371" s="15">
        <v>518200.0</v>
      </c>
      <c r="CO1371" s="15">
        <v>439700.0</v>
      </c>
      <c r="CP1371" s="15">
        <v>431920.0</v>
      </c>
      <c r="CQ1371" s="15">
        <v>6150.0</v>
      </c>
      <c r="CR1371" s="15">
        <v>6040.0</v>
      </c>
      <c r="CS1371" s="15">
        <v>3550.0</v>
      </c>
      <c r="CT1371" s="15">
        <v>2420.0</v>
      </c>
      <c r="CU1371" s="15">
        <v>3250.0</v>
      </c>
      <c r="CV1371" s="15">
        <v>15140.0</v>
      </c>
      <c r="CW1371" s="15"/>
      <c r="CX1371" s="15"/>
      <c r="CY1371" s="15"/>
      <c r="CZ1371" s="15">
        <v>7700.0</v>
      </c>
      <c r="DA1371" s="12"/>
      <c r="DB1371" s="15">
        <v>15140.0</v>
      </c>
      <c r="DC1371" s="15">
        <v>16490.0</v>
      </c>
      <c r="DD1371" s="15">
        <v>10480.0</v>
      </c>
      <c r="DE1371" s="15">
        <v>18690.0</v>
      </c>
      <c r="DF1371" s="15">
        <v>104400.0</v>
      </c>
      <c r="DG1371" s="15">
        <v>94380.0</v>
      </c>
      <c r="DH1371" s="15">
        <v>91390.0</v>
      </c>
      <c r="DI1371" s="15">
        <v>105230.0</v>
      </c>
      <c r="DJ1371" s="15">
        <v>100610.0</v>
      </c>
      <c r="DK1371" s="15">
        <v>354500.0</v>
      </c>
      <c r="DL1371" s="15">
        <v>330940.0</v>
      </c>
      <c r="DM1371" s="15">
        <v>316480.0</v>
      </c>
      <c r="DN1371" s="12">
        <v>302090.0</v>
      </c>
      <c r="DO1371" s="15">
        <v>288090.0</v>
      </c>
      <c r="DP1371" s="15">
        <v>57480.0</v>
      </c>
      <c r="DQ1371" s="15">
        <v>61780.0</v>
      </c>
      <c r="DR1371" s="15">
        <v>65820.0</v>
      </c>
      <c r="DS1371" s="15">
        <v>69850.0</v>
      </c>
      <c r="DT1371" s="15">
        <v>73220.0</v>
      </c>
      <c r="DU1371" s="13"/>
      <c r="DV1371" s="12"/>
      <c r="DW1371" s="12"/>
      <c r="DX1371" s="13"/>
      <c r="DY1371" s="13"/>
      <c r="DZ1371" s="15">
        <v>430250.0</v>
      </c>
      <c r="EA1371" s="15">
        <v>419300.0</v>
      </c>
      <c r="EB1371" s="15">
        <v>398240.0</v>
      </c>
      <c r="EC1371" s="15">
        <v>305880.0</v>
      </c>
      <c r="ED1371" s="15">
        <v>291630.0</v>
      </c>
      <c r="EE1371" s="17"/>
      <c r="EF1371" s="17"/>
      <c r="EG1371" s="23" t="s">
        <v>155</v>
      </c>
      <c r="EH1371" s="17"/>
    </row>
    <row r="1372">
      <c r="A1372" s="9">
        <f t="shared" si="2"/>
        <v>1370</v>
      </c>
      <c r="B1372" s="25" t="s">
        <v>1507</v>
      </c>
      <c r="C1372" s="15">
        <v>235000.0</v>
      </c>
      <c r="D1372" s="15">
        <v>224970.0</v>
      </c>
      <c r="E1372" s="15">
        <v>258960.0</v>
      </c>
      <c r="F1372" s="15">
        <v>287930.0</v>
      </c>
      <c r="G1372" s="15">
        <v>245140.0</v>
      </c>
      <c r="H1372" s="15">
        <v>212400.0</v>
      </c>
      <c r="I1372" s="15">
        <v>241980.0</v>
      </c>
      <c r="J1372" s="15">
        <v>37680.0</v>
      </c>
      <c r="K1372" s="15">
        <v>27080.0</v>
      </c>
      <c r="L1372" s="15">
        <v>40690.0</v>
      </c>
      <c r="M1372" s="15">
        <v>39140.0</v>
      </c>
      <c r="N1372" s="15">
        <v>56280.0</v>
      </c>
      <c r="O1372" s="15">
        <v>24390.0</v>
      </c>
      <c r="P1372" s="15">
        <v>22530.0</v>
      </c>
      <c r="Q1372" s="15">
        <v>22590.0</v>
      </c>
      <c r="R1372" s="15">
        <v>20430.0</v>
      </c>
      <c r="S1372" s="15">
        <v>20240.0</v>
      </c>
      <c r="T1372" s="15"/>
      <c r="U1372" s="15"/>
      <c r="V1372" s="15"/>
      <c r="W1372" s="15"/>
      <c r="X1372" s="15"/>
      <c r="Y1372" s="15">
        <v>-10860.0</v>
      </c>
      <c r="Z1372" s="15">
        <v>-2660.0</v>
      </c>
      <c r="AA1372" s="15"/>
      <c r="AB1372" s="15"/>
      <c r="AC1372" s="15">
        <v>180.0</v>
      </c>
      <c r="AD1372" s="15">
        <v>-16450.0</v>
      </c>
      <c r="AE1372" s="15">
        <v>-2370.0</v>
      </c>
      <c r="AF1372" s="15">
        <v>10850.0</v>
      </c>
      <c r="AG1372" s="15">
        <v>29930.0</v>
      </c>
      <c r="AH1372" s="15">
        <v>28360.0</v>
      </c>
      <c r="AI1372" s="15">
        <v>29490.0</v>
      </c>
      <c r="AJ1372" s="15">
        <v>18900.0</v>
      </c>
      <c r="AK1372" s="15">
        <v>29060.0</v>
      </c>
      <c r="AL1372" s="15">
        <v>28480.0</v>
      </c>
      <c r="AM1372" s="15">
        <v>45100.0</v>
      </c>
      <c r="AN1372" s="15">
        <v>-12880.0</v>
      </c>
      <c r="AO1372" s="15">
        <v>-1730.0</v>
      </c>
      <c r="AP1372" s="15">
        <v>18010.0</v>
      </c>
      <c r="AQ1372" s="15">
        <v>19430.0</v>
      </c>
      <c r="AR1372" s="15">
        <v>18600.0</v>
      </c>
      <c r="AS1372" s="15">
        <v>25120.0</v>
      </c>
      <c r="AT1372" s="15">
        <v>19900.0</v>
      </c>
      <c r="AU1372" s="15">
        <v>30830.0</v>
      </c>
      <c r="AV1372" s="15">
        <v>28510.0</v>
      </c>
      <c r="AW1372" s="15">
        <v>39570.0</v>
      </c>
      <c r="AX1372" s="15">
        <v>-10080.0</v>
      </c>
      <c r="AY1372" s="15">
        <v>-25290.0</v>
      </c>
      <c r="AZ1372" s="15">
        <v>-51580.0</v>
      </c>
      <c r="BA1372" s="15">
        <v>-40500.0</v>
      </c>
      <c r="BB1372" s="15">
        <v>-31250.0</v>
      </c>
      <c r="BC1372" s="13"/>
      <c r="BD1372" s="15"/>
      <c r="BE1372" s="13"/>
      <c r="BF1372" s="13"/>
      <c r="BG1372" s="13"/>
      <c r="BH1372" s="15">
        <v>6150.0</v>
      </c>
      <c r="BI1372" s="15">
        <v>6740.0</v>
      </c>
      <c r="BJ1372" s="15">
        <v>3030.0</v>
      </c>
      <c r="BK1372" s="15">
        <v>8390.0</v>
      </c>
      <c r="BL1372" s="15">
        <v>18620.0</v>
      </c>
      <c r="BM1372" s="15">
        <v>27650.0</v>
      </c>
      <c r="BN1372" s="15">
        <v>27290.0</v>
      </c>
      <c r="BO1372" s="15">
        <v>31360.0</v>
      </c>
      <c r="BP1372" s="15">
        <v>26180.0</v>
      </c>
      <c r="BQ1372" s="15">
        <v>27150.0</v>
      </c>
      <c r="BR1372" s="15">
        <v>15480.0</v>
      </c>
      <c r="BS1372" s="15">
        <v>18140.0</v>
      </c>
      <c r="BT1372" s="15">
        <v>19400.0</v>
      </c>
      <c r="BU1372" s="15">
        <v>17870.0</v>
      </c>
      <c r="BV1372" s="15">
        <v>15800.0</v>
      </c>
      <c r="BW1372" s="15">
        <v>84090.0</v>
      </c>
      <c r="BX1372" s="15">
        <v>93980.0</v>
      </c>
      <c r="BY1372" s="15">
        <v>56490.0</v>
      </c>
      <c r="BZ1372" s="15">
        <v>55950.0</v>
      </c>
      <c r="CA1372" s="15">
        <v>66080.0</v>
      </c>
      <c r="CB1372" s="15">
        <v>202990.0</v>
      </c>
      <c r="CC1372" s="15">
        <v>195250.0</v>
      </c>
      <c r="CD1372" s="15">
        <v>183110.0</v>
      </c>
      <c r="CE1372" s="15">
        <v>140600.0</v>
      </c>
      <c r="CF1372" s="15">
        <v>97500.0</v>
      </c>
      <c r="CG1372" s="15"/>
      <c r="CH1372" s="15">
        <v>21800.0</v>
      </c>
      <c r="CI1372" s="15">
        <v>21800.0</v>
      </c>
      <c r="CJ1372" s="15">
        <v>21800.0</v>
      </c>
      <c r="CK1372" s="15">
        <v>21800.0</v>
      </c>
      <c r="CL1372" s="15">
        <v>301820.0</v>
      </c>
      <c r="CM1372" s="15">
        <v>329970.0</v>
      </c>
      <c r="CN1372" s="15">
        <v>327330.0</v>
      </c>
      <c r="CO1372" s="15">
        <v>290480.0</v>
      </c>
      <c r="CP1372" s="15">
        <v>257790.0</v>
      </c>
      <c r="CQ1372" s="15">
        <v>14600.0</v>
      </c>
      <c r="CR1372" s="15">
        <v>19110.0</v>
      </c>
      <c r="CS1372" s="15">
        <v>18350.0</v>
      </c>
      <c r="CT1372" s="15">
        <v>13310.0</v>
      </c>
      <c r="CU1372" s="15">
        <v>8090.0</v>
      </c>
      <c r="CV1372" s="15">
        <v>28640.0</v>
      </c>
      <c r="CW1372" s="15">
        <v>3170.0</v>
      </c>
      <c r="CX1372" s="15"/>
      <c r="CY1372" s="13"/>
      <c r="CZ1372" s="13"/>
      <c r="DA1372" s="15"/>
      <c r="DB1372" s="15">
        <v>28640.0</v>
      </c>
      <c r="DC1372" s="15">
        <v>29490.0</v>
      </c>
      <c r="DD1372" s="15">
        <v>31540.0</v>
      </c>
      <c r="DE1372" s="15">
        <v>26710.0</v>
      </c>
      <c r="DF1372" s="15">
        <v>130380.0</v>
      </c>
      <c r="DG1372" s="15">
        <v>144810.0</v>
      </c>
      <c r="DH1372" s="15">
        <v>142320.0</v>
      </c>
      <c r="DI1372" s="15">
        <v>126110.0</v>
      </c>
      <c r="DJ1372" s="15">
        <v>115410.0</v>
      </c>
      <c r="DK1372" s="15"/>
      <c r="DL1372" s="15"/>
      <c r="DM1372" s="15">
        <v>45130.0</v>
      </c>
      <c r="DN1372" s="15">
        <v>49390.0</v>
      </c>
      <c r="DO1372" s="15">
        <v>47700.0</v>
      </c>
      <c r="DP1372" s="15">
        <v>89430.0</v>
      </c>
      <c r="DQ1372" s="15">
        <v>98290.0</v>
      </c>
      <c r="DR1372" s="15">
        <v>91020.0</v>
      </c>
      <c r="DS1372" s="15">
        <v>73110.0</v>
      </c>
      <c r="DT1372" s="15">
        <v>73170.0</v>
      </c>
      <c r="DU1372" s="15"/>
      <c r="DV1372" s="15"/>
      <c r="DW1372" s="15"/>
      <c r="DX1372" s="15"/>
      <c r="DY1372" s="15"/>
      <c r="DZ1372" s="15">
        <v>171150.0</v>
      </c>
      <c r="EA1372" s="15">
        <v>184870.0</v>
      </c>
      <c r="EB1372" s="15">
        <v>184720.0</v>
      </c>
      <c r="EC1372" s="15">
        <v>164090.0</v>
      </c>
      <c r="ED1372" s="15">
        <v>142100.0</v>
      </c>
      <c r="EE1372" s="23">
        <v>0.0</v>
      </c>
      <c r="EF1372" s="23">
        <v>0.0</v>
      </c>
      <c r="EG1372" s="23">
        <v>15.0</v>
      </c>
      <c r="EH1372" s="23"/>
    </row>
    <row r="1373">
      <c r="A1373" s="9">
        <f t="shared" si="2"/>
        <v>1371</v>
      </c>
      <c r="B1373" s="10" t="s">
        <v>1508</v>
      </c>
      <c r="C1373" s="12">
        <v>844440.0</v>
      </c>
      <c r="D1373" s="12">
        <v>762140.0</v>
      </c>
      <c r="E1373" s="11">
        <v>745350.0</v>
      </c>
      <c r="F1373" s="11">
        <v>684250.0</v>
      </c>
      <c r="G1373" s="11">
        <v>565150.0</v>
      </c>
      <c r="H1373" s="11">
        <v>479620.0</v>
      </c>
      <c r="I1373" s="11">
        <v>440800.0</v>
      </c>
      <c r="J1373" s="11">
        <v>306500.0</v>
      </c>
      <c r="K1373" s="11">
        <v>294890.0</v>
      </c>
      <c r="L1373" s="11">
        <v>243370.0</v>
      </c>
      <c r="M1373" s="11">
        <v>187100.0</v>
      </c>
      <c r="N1373" s="11">
        <v>154870.0</v>
      </c>
      <c r="O1373" s="11">
        <v>118300.0</v>
      </c>
      <c r="P1373" s="11">
        <v>118230.0</v>
      </c>
      <c r="Q1373" s="11">
        <v>100490.0</v>
      </c>
      <c r="R1373" s="11">
        <v>83140.0</v>
      </c>
      <c r="S1373" s="11">
        <v>76760.0</v>
      </c>
      <c r="T1373" s="11">
        <v>4500.0</v>
      </c>
      <c r="U1373" s="11">
        <v>4200.0</v>
      </c>
      <c r="V1373" s="11">
        <v>3800.0</v>
      </c>
      <c r="W1373" s="11">
        <v>3700.0</v>
      </c>
      <c r="X1373" s="11">
        <v>1500.0</v>
      </c>
      <c r="Y1373" s="12"/>
      <c r="Z1373" s="12"/>
      <c r="AA1373" s="11">
        <v>142380.0</v>
      </c>
      <c r="AB1373" s="12"/>
      <c r="AC1373" s="11">
        <v>77910.0</v>
      </c>
      <c r="AD1373" s="11">
        <v>189700.0</v>
      </c>
      <c r="AE1373" s="11">
        <v>176860.0</v>
      </c>
      <c r="AF1373" s="11">
        <v>141920.0</v>
      </c>
      <c r="AG1373" s="11">
        <v>102830.0</v>
      </c>
      <c r="AH1373" s="11">
        <v>76790.0</v>
      </c>
      <c r="AI1373" s="11">
        <v>202230.0</v>
      </c>
      <c r="AJ1373" s="11">
        <v>193270.0</v>
      </c>
      <c r="AK1373" s="11">
        <v>159740.0</v>
      </c>
      <c r="AL1373" s="11">
        <v>118450.0</v>
      </c>
      <c r="AM1373" s="11">
        <v>92490.0</v>
      </c>
      <c r="AN1373" s="11">
        <v>144740.0</v>
      </c>
      <c r="AO1373" s="11">
        <v>134570.0</v>
      </c>
      <c r="AP1373" s="11">
        <v>95130.0</v>
      </c>
      <c r="AQ1373" s="11">
        <v>67850.0</v>
      </c>
      <c r="AR1373" s="11">
        <v>48100.0</v>
      </c>
      <c r="AS1373" s="11">
        <v>156350.0</v>
      </c>
      <c r="AT1373" s="11">
        <v>138120.0</v>
      </c>
      <c r="AU1373" s="11">
        <v>101870.0</v>
      </c>
      <c r="AV1373" s="11">
        <v>85290.0</v>
      </c>
      <c r="AW1373" s="11">
        <v>62630.0</v>
      </c>
      <c r="AX1373" s="11">
        <v>-67270.0</v>
      </c>
      <c r="AY1373" s="11">
        <v>-33820.0</v>
      </c>
      <c r="AZ1373" s="11">
        <v>-15040.0</v>
      </c>
      <c r="BA1373" s="11">
        <v>-14550.0</v>
      </c>
      <c r="BB1373" s="11">
        <v>-23330.0</v>
      </c>
      <c r="BC1373" s="13"/>
      <c r="BD1373" s="13"/>
      <c r="BE1373" s="13"/>
      <c r="BF1373" s="13"/>
      <c r="BG1373" s="13"/>
      <c r="BH1373" s="11">
        <v>148830.0</v>
      </c>
      <c r="BI1373" s="11">
        <v>105700.0</v>
      </c>
      <c r="BJ1373" s="11">
        <v>30510.0</v>
      </c>
      <c r="BK1373" s="11">
        <v>18660.0</v>
      </c>
      <c r="BL1373" s="11">
        <v>6000.0</v>
      </c>
      <c r="BM1373" s="11">
        <v>89630.0</v>
      </c>
      <c r="BN1373" s="11">
        <v>102090.0</v>
      </c>
      <c r="BO1373" s="11">
        <v>75400.0</v>
      </c>
      <c r="BP1373" s="11">
        <v>52060.0</v>
      </c>
      <c r="BQ1373" s="11">
        <v>52520.0</v>
      </c>
      <c r="BR1373" s="11">
        <v>56110.0</v>
      </c>
      <c r="BS1373" s="11">
        <v>57800.0</v>
      </c>
      <c r="BT1373" s="11">
        <v>34520.0</v>
      </c>
      <c r="BU1373" s="11">
        <v>28550.0</v>
      </c>
      <c r="BV1373" s="11">
        <v>23100.0</v>
      </c>
      <c r="BW1373" s="11">
        <v>303200.0</v>
      </c>
      <c r="BX1373" s="11">
        <v>270230.0</v>
      </c>
      <c r="BY1373" s="11">
        <v>148800.0</v>
      </c>
      <c r="BZ1373" s="11">
        <v>105650.0</v>
      </c>
      <c r="CA1373" s="11">
        <v>99030.0</v>
      </c>
      <c r="CB1373" s="11">
        <v>211350.0</v>
      </c>
      <c r="CC1373" s="11">
        <v>117140.0</v>
      </c>
      <c r="CD1373" s="11">
        <v>103110.0</v>
      </c>
      <c r="CE1373" s="11">
        <v>103290.0</v>
      </c>
      <c r="CF1373" s="11">
        <v>100920.0</v>
      </c>
      <c r="CG1373" s="11">
        <v>67780.0</v>
      </c>
      <c r="CH1373" s="11">
        <v>68460.0</v>
      </c>
      <c r="CI1373" s="11">
        <v>68460.0</v>
      </c>
      <c r="CJ1373" s="12"/>
      <c r="CK1373" s="11">
        <v>10530.0</v>
      </c>
      <c r="CL1373" s="11">
        <v>618980.0</v>
      </c>
      <c r="CM1373" s="11">
        <v>483730.0</v>
      </c>
      <c r="CN1373" s="11">
        <v>326230.0</v>
      </c>
      <c r="CO1373" s="11">
        <v>246220.0</v>
      </c>
      <c r="CP1373" s="11">
        <v>212000.0</v>
      </c>
      <c r="CQ1373" s="11">
        <v>15230.0</v>
      </c>
      <c r="CR1373" s="11">
        <v>31080.0</v>
      </c>
      <c r="CS1373" s="11">
        <v>9950.0</v>
      </c>
      <c r="CT1373" s="11">
        <v>10770.0</v>
      </c>
      <c r="CU1373" s="11">
        <v>17730.0</v>
      </c>
      <c r="CV1373" s="11">
        <v>78670.0</v>
      </c>
      <c r="CW1373" s="11">
        <v>7080.0</v>
      </c>
      <c r="CX1373" s="13"/>
      <c r="CY1373" s="13"/>
      <c r="CZ1373" s="13"/>
      <c r="DA1373" s="11">
        <v>7000.0</v>
      </c>
      <c r="DB1373" s="11">
        <v>78670.0</v>
      </c>
      <c r="DC1373" s="11">
        <v>92780.0</v>
      </c>
      <c r="DD1373" s="11">
        <v>62510.0</v>
      </c>
      <c r="DE1373" s="11">
        <v>51390.0</v>
      </c>
      <c r="DF1373" s="11">
        <v>169810.0</v>
      </c>
      <c r="DG1373" s="11">
        <v>140760.0</v>
      </c>
      <c r="DH1373" s="11">
        <v>94980.0</v>
      </c>
      <c r="DI1373" s="11">
        <v>112060.0</v>
      </c>
      <c r="DJ1373" s="11">
        <v>95540.0</v>
      </c>
      <c r="DK1373" s="12"/>
      <c r="DL1373" s="12"/>
      <c r="DM1373" s="12"/>
      <c r="DN1373" s="12"/>
      <c r="DO1373" s="13"/>
      <c r="DP1373" s="11">
        <v>34240.0</v>
      </c>
      <c r="DQ1373" s="12"/>
      <c r="DR1373" s="12"/>
      <c r="DS1373" s="12"/>
      <c r="DT1373" s="12"/>
      <c r="DU1373" s="13"/>
      <c r="DV1373" s="12"/>
      <c r="DW1373" s="12"/>
      <c r="DX1373" s="13"/>
      <c r="DY1373" s="13"/>
      <c r="DZ1373" s="11">
        <v>449180.0</v>
      </c>
      <c r="EA1373" s="11">
        <v>342960.0</v>
      </c>
      <c r="EB1373" s="11">
        <v>231250.0</v>
      </c>
      <c r="EC1373" s="11">
        <v>134160.0</v>
      </c>
      <c r="ED1373" s="11">
        <v>116460.0</v>
      </c>
      <c r="EE1373" s="23">
        <v>0.099719212</v>
      </c>
      <c r="EF1373" s="23">
        <v>0.151366586</v>
      </c>
      <c r="EG1373" s="14">
        <v>0.197</v>
      </c>
      <c r="EH1373" s="23">
        <v>0.113</v>
      </c>
    </row>
    <row r="1374">
      <c r="A1374" s="9">
        <f t="shared" si="2"/>
        <v>1372</v>
      </c>
      <c r="B1374" s="22" t="s">
        <v>1509</v>
      </c>
      <c r="C1374" s="12"/>
      <c r="D1374" s="12"/>
      <c r="E1374" s="11">
        <v>165.0</v>
      </c>
      <c r="F1374" s="12"/>
      <c r="G1374" s="12"/>
      <c r="H1374" s="12"/>
      <c r="I1374" s="12"/>
      <c r="J1374" s="12"/>
      <c r="K1374" s="11">
        <v>-3150.0</v>
      </c>
      <c r="L1374" s="11">
        <v>-4710.0</v>
      </c>
      <c r="M1374" s="11">
        <v>-4290.0</v>
      </c>
      <c r="N1374" s="11">
        <v>-458.0</v>
      </c>
      <c r="O1374" s="11">
        <v>40780.0</v>
      </c>
      <c r="P1374" s="11">
        <v>41730.0</v>
      </c>
      <c r="Q1374" s="11">
        <v>37570.0</v>
      </c>
      <c r="R1374" s="11">
        <v>29360.0</v>
      </c>
      <c r="S1374" s="11">
        <v>21330.0</v>
      </c>
      <c r="T1374" s="11">
        <v>33560.0</v>
      </c>
      <c r="U1374" s="11">
        <v>38150.0</v>
      </c>
      <c r="V1374" s="11">
        <v>33710.0</v>
      </c>
      <c r="W1374" s="11">
        <v>25530.0</v>
      </c>
      <c r="X1374" s="11">
        <v>18150.0</v>
      </c>
      <c r="Y1374" s="11">
        <v>-54830.0</v>
      </c>
      <c r="Z1374" s="11">
        <v>-47210.0</v>
      </c>
      <c r="AA1374" s="11">
        <v>-41120.0</v>
      </c>
      <c r="AB1374" s="11">
        <v>-33960.0</v>
      </c>
      <c r="AC1374" s="12"/>
      <c r="AD1374" s="11">
        <v>-55370.0</v>
      </c>
      <c r="AE1374" s="11">
        <v>-42680.0</v>
      </c>
      <c r="AF1374" s="11">
        <v>-45210.0</v>
      </c>
      <c r="AG1374" s="11">
        <v>-35650.0</v>
      </c>
      <c r="AH1374" s="11">
        <v>-15280.0</v>
      </c>
      <c r="AI1374" s="11">
        <v>-40620.0</v>
      </c>
      <c r="AJ1374" s="11">
        <v>-41730.0</v>
      </c>
      <c r="AK1374" s="11">
        <v>-37570.0</v>
      </c>
      <c r="AL1374" s="11">
        <v>-29360.0</v>
      </c>
      <c r="AM1374" s="11">
        <v>-21330.0</v>
      </c>
      <c r="AN1374" s="11">
        <v>-55230.0</v>
      </c>
      <c r="AO1374" s="11">
        <v>-42490.0</v>
      </c>
      <c r="AP1374" s="11">
        <v>-45090.0</v>
      </c>
      <c r="AQ1374" s="11">
        <v>-31730.0</v>
      </c>
      <c r="AR1374" s="11">
        <v>-14730.0</v>
      </c>
      <c r="AS1374" s="11">
        <v>-33050.0</v>
      </c>
      <c r="AT1374" s="11">
        <v>-39300.0</v>
      </c>
      <c r="AU1374" s="11">
        <v>-27040.0</v>
      </c>
      <c r="AV1374" s="11">
        <v>-22850.0</v>
      </c>
      <c r="AW1374" s="11">
        <v>-18300.0</v>
      </c>
      <c r="AX1374" s="11">
        <v>-430.0</v>
      </c>
      <c r="AY1374" s="11">
        <v>-81.0</v>
      </c>
      <c r="AZ1374" s="11">
        <v>-471.0</v>
      </c>
      <c r="BA1374" s="11">
        <v>-2970.0</v>
      </c>
      <c r="BB1374" s="11">
        <v>-750.0</v>
      </c>
      <c r="BC1374" s="12"/>
      <c r="BD1374" s="12"/>
      <c r="BE1374" s="12"/>
      <c r="BF1374" s="12"/>
      <c r="BG1374" s="12"/>
      <c r="BH1374" s="11">
        <v>29390.0</v>
      </c>
      <c r="BI1374" s="11">
        <v>45410.0</v>
      </c>
      <c r="BJ1374" s="11">
        <v>81790.0</v>
      </c>
      <c r="BK1374" s="11">
        <v>50470.0</v>
      </c>
      <c r="BL1374" s="11">
        <v>86770.0</v>
      </c>
      <c r="BM1374" s="11">
        <v>424.0</v>
      </c>
      <c r="BN1374" s="11">
        <v>1100.0</v>
      </c>
      <c r="BO1374" s="11">
        <v>669.0</v>
      </c>
      <c r="BP1374" s="11">
        <v>527.0</v>
      </c>
      <c r="BQ1374" s="11">
        <v>975.0</v>
      </c>
      <c r="BR1374" s="12"/>
      <c r="BS1374" s="12"/>
      <c r="BT1374" s="12"/>
      <c r="BU1374" s="12"/>
      <c r="BV1374" s="12"/>
      <c r="BW1374" s="11">
        <v>30200.0</v>
      </c>
      <c r="BX1374" s="11">
        <v>47540.0</v>
      </c>
      <c r="BY1374" s="11">
        <v>83420.0</v>
      </c>
      <c r="BZ1374" s="11">
        <v>51400.0</v>
      </c>
      <c r="CA1374" s="11">
        <v>88930.0</v>
      </c>
      <c r="CB1374" s="11">
        <v>2740.0</v>
      </c>
      <c r="CC1374" s="11">
        <v>2160.0</v>
      </c>
      <c r="CD1374" s="11">
        <v>2880.0</v>
      </c>
      <c r="CE1374" s="11">
        <v>3260.0</v>
      </c>
      <c r="CF1374" s="11">
        <v>897.0</v>
      </c>
      <c r="CG1374" s="12"/>
      <c r="CH1374" s="12"/>
      <c r="CI1374" s="12"/>
      <c r="CJ1374" s="12"/>
      <c r="CK1374" s="12"/>
      <c r="CL1374" s="11">
        <v>32950.0</v>
      </c>
      <c r="CM1374" s="11">
        <v>55460.0</v>
      </c>
      <c r="CN1374" s="11">
        <v>94400.0</v>
      </c>
      <c r="CO1374" s="11">
        <v>66620.0</v>
      </c>
      <c r="CP1374" s="11">
        <v>90040.0</v>
      </c>
      <c r="CQ1374" s="11">
        <v>2060.0</v>
      </c>
      <c r="CR1374" s="12"/>
      <c r="CS1374" s="12"/>
      <c r="CT1374" s="12"/>
      <c r="CU1374" s="12"/>
      <c r="CV1374" s="11">
        <v>17540.0</v>
      </c>
      <c r="CW1374" s="12"/>
      <c r="CX1374" s="12"/>
      <c r="CY1374" s="12"/>
      <c r="CZ1374" s="12"/>
      <c r="DA1374" s="12"/>
      <c r="DB1374" s="11">
        <v>17540.0</v>
      </c>
      <c r="DC1374" s="11">
        <v>13360.0</v>
      </c>
      <c r="DD1374" s="11">
        <v>14520.0</v>
      </c>
      <c r="DE1374" s="11">
        <v>5920.0</v>
      </c>
      <c r="DF1374" s="11">
        <v>33160.0</v>
      </c>
      <c r="DG1374" s="11">
        <v>13860.0</v>
      </c>
      <c r="DH1374" s="11">
        <v>15830.0</v>
      </c>
      <c r="DI1374" s="11">
        <v>8500.0</v>
      </c>
      <c r="DJ1374" s="11">
        <v>4240.0</v>
      </c>
      <c r="DK1374" s="12"/>
      <c r="DL1374" s="12"/>
      <c r="DM1374" s="12"/>
      <c r="DN1374" s="12"/>
      <c r="DO1374" s="12"/>
      <c r="DP1374" s="11">
        <v>1070.0</v>
      </c>
      <c r="DQ1374" s="12"/>
      <c r="DR1374" s="11">
        <v>98.0</v>
      </c>
      <c r="DS1374" s="11">
        <v>191.0</v>
      </c>
      <c r="DT1374" s="11">
        <v>270.0</v>
      </c>
      <c r="DU1374" s="11">
        <v>31980.0</v>
      </c>
      <c r="DV1374" s="11">
        <v>47610.0</v>
      </c>
      <c r="DW1374" s="11">
        <v>52710.0</v>
      </c>
      <c r="DX1374" s="11">
        <v>32090.0</v>
      </c>
      <c r="DY1374" s="11">
        <v>32170.0</v>
      </c>
      <c r="DZ1374" s="11">
        <v>-218.0</v>
      </c>
      <c r="EA1374" s="11">
        <v>41600.0</v>
      </c>
      <c r="EB1374" s="11">
        <v>78580.0</v>
      </c>
      <c r="EC1374" s="11">
        <v>58120.0</v>
      </c>
      <c r="ED1374" s="11">
        <v>85800.0</v>
      </c>
      <c r="EE1374" s="23"/>
      <c r="EF1374" s="23"/>
      <c r="EG1374" s="14">
        <v>0.088</v>
      </c>
      <c r="EH1374" s="14">
        <v>-0.018</v>
      </c>
    </row>
    <row r="1375">
      <c r="A1375" s="9">
        <f t="shared" si="2"/>
        <v>1373</v>
      </c>
      <c r="B1375" s="10" t="s">
        <v>1510</v>
      </c>
      <c r="C1375" s="12"/>
      <c r="D1375" s="12"/>
      <c r="E1375" s="15">
        <v>1440000.0</v>
      </c>
      <c r="F1375" s="15">
        <v>1560000.0</v>
      </c>
      <c r="G1375" s="15">
        <v>1370000.0</v>
      </c>
      <c r="H1375" s="15">
        <v>1380000.0</v>
      </c>
      <c r="I1375" s="15">
        <v>1330000.0</v>
      </c>
      <c r="J1375" s="15">
        <v>-68540.0</v>
      </c>
      <c r="K1375" s="15">
        <v>-86940.0</v>
      </c>
      <c r="L1375" s="15">
        <v>90680.0</v>
      </c>
      <c r="M1375" s="15">
        <v>145840.0</v>
      </c>
      <c r="N1375" s="15">
        <v>164060.0</v>
      </c>
      <c r="O1375" s="15">
        <v>72430.0</v>
      </c>
      <c r="P1375" s="15">
        <v>61820.0</v>
      </c>
      <c r="Q1375" s="15">
        <v>55040.0</v>
      </c>
      <c r="R1375" s="15">
        <v>65640.0</v>
      </c>
      <c r="S1375" s="15">
        <v>75560.0</v>
      </c>
      <c r="T1375" s="15">
        <v>0.0</v>
      </c>
      <c r="U1375" s="15">
        <v>0.0</v>
      </c>
      <c r="V1375" s="15">
        <v>0.0</v>
      </c>
      <c r="W1375" s="15">
        <v>0.0</v>
      </c>
      <c r="X1375" s="15">
        <v>0.0</v>
      </c>
      <c r="Y1375" s="15">
        <v>-285510.0</v>
      </c>
      <c r="Z1375" s="15">
        <v>-170290.0</v>
      </c>
      <c r="AA1375" s="15">
        <v>36530.0</v>
      </c>
      <c r="AB1375" s="15">
        <v>65720.0</v>
      </c>
      <c r="AC1375" s="15">
        <v>-13110.0</v>
      </c>
      <c r="AD1375" s="15">
        <v>-313370.0</v>
      </c>
      <c r="AE1375" s="15">
        <v>-127400.0</v>
      </c>
      <c r="AF1375" s="15">
        <v>33130.0</v>
      </c>
      <c r="AG1375" s="15">
        <v>67080.0</v>
      </c>
      <c r="AH1375" s="15">
        <v>69900.0</v>
      </c>
      <c r="AI1375" s="15">
        <v>-108250.0</v>
      </c>
      <c r="AJ1375" s="15">
        <v>-117450.0</v>
      </c>
      <c r="AK1375" s="15">
        <v>64720.0</v>
      </c>
      <c r="AL1375" s="15">
        <v>103900.0</v>
      </c>
      <c r="AM1375" s="15">
        <v>109950.0</v>
      </c>
      <c r="AN1375" s="15">
        <v>-285430.0</v>
      </c>
      <c r="AO1375" s="15">
        <v>-111010.0</v>
      </c>
      <c r="AP1375" s="15">
        <v>31430.0</v>
      </c>
      <c r="AQ1375" s="15">
        <v>54690.0</v>
      </c>
      <c r="AR1375" s="15">
        <v>50200.0</v>
      </c>
      <c r="AS1375" s="15">
        <v>-203930.0</v>
      </c>
      <c r="AT1375" s="15">
        <v>-43750.0</v>
      </c>
      <c r="AU1375" s="15">
        <v>50450.0</v>
      </c>
      <c r="AV1375" s="15">
        <v>-45360.0</v>
      </c>
      <c r="AW1375" s="15">
        <v>313000.0</v>
      </c>
      <c r="AX1375" s="15">
        <v>-15130.0</v>
      </c>
      <c r="AY1375" s="15">
        <v>-32280.0</v>
      </c>
      <c r="AZ1375" s="15">
        <v>-43290.0</v>
      </c>
      <c r="BA1375" s="15">
        <v>-36960.0</v>
      </c>
      <c r="BB1375" s="15">
        <v>-26070.0</v>
      </c>
      <c r="BC1375" s="16">
        <v>0.0</v>
      </c>
      <c r="BD1375" s="15">
        <v>-5140.0</v>
      </c>
      <c r="BE1375" s="15">
        <v>-25700.0</v>
      </c>
      <c r="BF1375" s="15">
        <v>-17480.0</v>
      </c>
      <c r="BG1375" s="16">
        <v>0.0</v>
      </c>
      <c r="BH1375" s="15">
        <v>107470.0</v>
      </c>
      <c r="BI1375" s="15">
        <v>116690.0</v>
      </c>
      <c r="BJ1375" s="15">
        <v>112180.0</v>
      </c>
      <c r="BK1375" s="15">
        <v>148800.0</v>
      </c>
      <c r="BL1375" s="15">
        <v>251440.0</v>
      </c>
      <c r="BM1375" s="15">
        <v>606860.0</v>
      </c>
      <c r="BN1375" s="15">
        <v>538840.0</v>
      </c>
      <c r="BO1375" s="15">
        <v>468930.0</v>
      </c>
      <c r="BP1375" s="15">
        <v>426550.0</v>
      </c>
      <c r="BQ1375" s="15">
        <v>248020.0</v>
      </c>
      <c r="BR1375" s="15">
        <v>135390.0</v>
      </c>
      <c r="BS1375" s="15">
        <v>86850.0</v>
      </c>
      <c r="BT1375" s="15">
        <v>94030.0</v>
      </c>
      <c r="BU1375" s="15">
        <v>75860.0</v>
      </c>
      <c r="BV1375" s="15">
        <v>84830.0</v>
      </c>
      <c r="BW1375" s="15">
        <v>887950.0</v>
      </c>
      <c r="BX1375" s="15">
        <v>822050.0</v>
      </c>
      <c r="BY1375" s="15">
        <v>700170.0</v>
      </c>
      <c r="BZ1375" s="15">
        <v>669700.0</v>
      </c>
      <c r="CA1375" s="15">
        <v>609660.0</v>
      </c>
      <c r="CB1375" s="15">
        <v>286230.0</v>
      </c>
      <c r="CC1375" s="15">
        <v>297290.0</v>
      </c>
      <c r="CD1375" s="15">
        <v>266850.0</v>
      </c>
      <c r="CE1375" s="15">
        <v>247490.0</v>
      </c>
      <c r="CF1375" s="15">
        <v>194230.0</v>
      </c>
      <c r="CG1375" s="15">
        <v>217720.0</v>
      </c>
      <c r="CH1375" s="15">
        <v>357520.0</v>
      </c>
      <c r="CI1375" s="15">
        <v>376730.0</v>
      </c>
      <c r="CJ1375" s="15">
        <v>386590.0</v>
      </c>
      <c r="CK1375" s="15">
        <v>383450.0</v>
      </c>
      <c r="CL1375" s="15">
        <v>1560000.0</v>
      </c>
      <c r="CM1375" s="15">
        <v>1600000.0</v>
      </c>
      <c r="CN1375" s="15">
        <v>1550000.0</v>
      </c>
      <c r="CO1375" s="15">
        <v>1480000.0</v>
      </c>
      <c r="CP1375" s="15">
        <v>1350000.0</v>
      </c>
      <c r="CQ1375" s="15">
        <v>326550.0</v>
      </c>
      <c r="CR1375" s="15">
        <v>298940.0</v>
      </c>
      <c r="CS1375" s="15">
        <v>282060.0</v>
      </c>
      <c r="CT1375" s="15">
        <v>259050.0</v>
      </c>
      <c r="CU1375" s="15">
        <v>249450.0</v>
      </c>
      <c r="CV1375" s="15">
        <v>826020.0</v>
      </c>
      <c r="CW1375" s="15">
        <v>134950.0</v>
      </c>
      <c r="CX1375" s="15">
        <v>115370.0</v>
      </c>
      <c r="CY1375" s="15">
        <v>15910.0</v>
      </c>
      <c r="CZ1375" s="15">
        <v>12360.0</v>
      </c>
      <c r="DA1375" s="15">
        <v>13930.0</v>
      </c>
      <c r="DB1375" s="15">
        <v>826020.0</v>
      </c>
      <c r="DC1375" s="15">
        <v>795440.0</v>
      </c>
      <c r="DD1375" s="15">
        <v>563290.0</v>
      </c>
      <c r="DE1375" s="15">
        <v>467220.0</v>
      </c>
      <c r="DF1375" s="15">
        <v>1130000.0</v>
      </c>
      <c r="DG1375" s="15">
        <v>948960.0</v>
      </c>
      <c r="DH1375" s="15">
        <v>783450.0</v>
      </c>
      <c r="DI1375" s="15">
        <v>701890.0</v>
      </c>
      <c r="DJ1375" s="15">
        <v>622190.0</v>
      </c>
      <c r="DK1375" s="15">
        <v>28670.0</v>
      </c>
      <c r="DL1375" s="15">
        <v>24980.0</v>
      </c>
      <c r="DM1375" s="15">
        <v>65100.0</v>
      </c>
      <c r="DN1375" s="15">
        <v>67750.0</v>
      </c>
      <c r="DO1375" s="15">
        <v>81710.0</v>
      </c>
      <c r="DP1375" s="15">
        <v>207860.0</v>
      </c>
      <c r="DQ1375" s="15">
        <v>66370.0</v>
      </c>
      <c r="DR1375" s="15">
        <v>87660.0</v>
      </c>
      <c r="DS1375" s="15">
        <v>100670.0</v>
      </c>
      <c r="DT1375" s="15">
        <v>89490.0</v>
      </c>
      <c r="DU1375" s="16">
        <v>0.0</v>
      </c>
      <c r="DV1375" s="15">
        <v>0.0</v>
      </c>
      <c r="DW1375" s="15">
        <v>0.0</v>
      </c>
      <c r="DX1375" s="16">
        <v>0.0</v>
      </c>
      <c r="DY1375" s="16">
        <v>0.0</v>
      </c>
      <c r="DZ1375" s="15">
        <v>420240.0</v>
      </c>
      <c r="EA1375" s="15">
        <v>645540.0</v>
      </c>
      <c r="EB1375" s="15">
        <v>756980.0</v>
      </c>
      <c r="EC1375" s="15">
        <v>771140.0</v>
      </c>
      <c r="ED1375" s="15">
        <v>722340.0</v>
      </c>
      <c r="EE1375" s="23"/>
      <c r="EF1375" s="23"/>
      <c r="EG1375" s="23"/>
      <c r="EH1375" s="23"/>
    </row>
    <row r="1376">
      <c r="A1376" s="9">
        <f t="shared" si="2"/>
        <v>1374</v>
      </c>
      <c r="B1376" s="10" t="s">
        <v>1511</v>
      </c>
      <c r="C1376" s="12">
        <v>2820000.0</v>
      </c>
      <c r="D1376" s="12">
        <v>2570000.0</v>
      </c>
      <c r="E1376" s="12">
        <v>2640000.0</v>
      </c>
      <c r="F1376" s="12">
        <v>1820000.0</v>
      </c>
      <c r="G1376" s="12">
        <v>1700000.0</v>
      </c>
      <c r="H1376" s="12">
        <v>1310000.0</v>
      </c>
      <c r="I1376" s="12">
        <v>2110000.0</v>
      </c>
      <c r="J1376" s="12">
        <v>442000.0</v>
      </c>
      <c r="K1376" s="12">
        <v>470000.0</v>
      </c>
      <c r="L1376" s="12">
        <v>362000.0</v>
      </c>
      <c r="M1376" s="12">
        <v>106000.0</v>
      </c>
      <c r="N1376" s="12">
        <v>91000.0</v>
      </c>
      <c r="O1376" s="12">
        <v>266000.0</v>
      </c>
      <c r="P1376" s="12">
        <v>239000.0</v>
      </c>
      <c r="Q1376" s="12">
        <v>222000.0</v>
      </c>
      <c r="R1376" s="12">
        <v>162000.0</v>
      </c>
      <c r="S1376" s="12">
        <v>188000.0</v>
      </c>
      <c r="T1376" s="12">
        <v>17000.0</v>
      </c>
      <c r="U1376" s="12">
        <v>11000.0</v>
      </c>
      <c r="V1376" s="12">
        <v>8000.0</v>
      </c>
      <c r="W1376" s="12">
        <v>9000.0</v>
      </c>
      <c r="X1376" s="12">
        <v>13000.0</v>
      </c>
      <c r="Y1376" s="15">
        <v>111000.0</v>
      </c>
      <c r="Z1376" s="15">
        <v>170000.0</v>
      </c>
      <c r="AA1376" s="15">
        <v>-27000.0</v>
      </c>
      <c r="AB1376" s="12">
        <v>3000.0</v>
      </c>
      <c r="AC1376" s="15">
        <v>-21000.0</v>
      </c>
      <c r="AD1376" s="15">
        <v>-88000.0</v>
      </c>
      <c r="AE1376" s="15">
        <v>43000.0</v>
      </c>
      <c r="AF1376" s="15">
        <v>-87000.0</v>
      </c>
      <c r="AG1376" s="15">
        <v>-264000.0</v>
      </c>
      <c r="AH1376" s="15">
        <v>-266000.0</v>
      </c>
      <c r="AI1376" s="12">
        <v>466000.0</v>
      </c>
      <c r="AJ1376" s="15">
        <v>431000.0</v>
      </c>
      <c r="AK1376" s="15">
        <v>327000.0</v>
      </c>
      <c r="AL1376" s="15">
        <v>121000.0</v>
      </c>
      <c r="AM1376" s="15">
        <v>197000.0</v>
      </c>
      <c r="AN1376" s="15">
        <v>-114000.0</v>
      </c>
      <c r="AO1376" s="15">
        <v>-7000.0</v>
      </c>
      <c r="AP1376" s="15">
        <v>-106000.0</v>
      </c>
      <c r="AQ1376" s="15">
        <v>-140000.0</v>
      </c>
      <c r="AR1376" s="15">
        <v>-318000.0</v>
      </c>
      <c r="AS1376" s="12">
        <v>441000.0</v>
      </c>
      <c r="AT1376" s="12">
        <v>170000.0</v>
      </c>
      <c r="AU1376" s="15">
        <v>272000.0</v>
      </c>
      <c r="AV1376" s="15">
        <v>212000.0</v>
      </c>
      <c r="AW1376" s="15">
        <v>216000.0</v>
      </c>
      <c r="AX1376" s="15">
        <v>-198000.0</v>
      </c>
      <c r="AY1376" s="15">
        <v>-117000.0</v>
      </c>
      <c r="AZ1376" s="15">
        <v>-91000.0</v>
      </c>
      <c r="BA1376" s="15">
        <v>-86000.0</v>
      </c>
      <c r="BB1376" s="15">
        <v>-191000.0</v>
      </c>
      <c r="BC1376" s="12">
        <v>-27000.0</v>
      </c>
      <c r="BD1376" s="12">
        <v>-23000.0</v>
      </c>
      <c r="BE1376" s="12">
        <v>-23000.0</v>
      </c>
      <c r="BF1376" s="12">
        <v>-46000.0</v>
      </c>
      <c r="BG1376" s="12">
        <v>-117000.0</v>
      </c>
      <c r="BH1376" s="12">
        <v>311000.0</v>
      </c>
      <c r="BI1376" s="12">
        <v>1700000.0</v>
      </c>
      <c r="BJ1376" s="12">
        <v>1770000.0</v>
      </c>
      <c r="BK1376" s="12">
        <v>251000.0</v>
      </c>
      <c r="BL1376" s="12">
        <v>234000.0</v>
      </c>
      <c r="BM1376" s="12">
        <v>488000.0</v>
      </c>
      <c r="BN1376" s="12">
        <v>319000.0</v>
      </c>
      <c r="BO1376" s="12">
        <v>336000.0</v>
      </c>
      <c r="BP1376" s="12">
        <v>289000.0</v>
      </c>
      <c r="BQ1376" s="12">
        <v>391000.0</v>
      </c>
      <c r="BR1376" s="12">
        <v>1130000.0</v>
      </c>
      <c r="BS1376" s="12">
        <v>479000.0</v>
      </c>
      <c r="BT1376" s="12">
        <v>473000.0</v>
      </c>
      <c r="BU1376" s="12">
        <v>499000.0</v>
      </c>
      <c r="BV1376" s="12">
        <v>630000.0</v>
      </c>
      <c r="BW1376" s="12">
        <v>2070000.0</v>
      </c>
      <c r="BX1376" s="12">
        <v>2540000.0</v>
      </c>
      <c r="BY1376" s="12">
        <v>2640000.0</v>
      </c>
      <c r="BZ1376" s="12">
        <v>2740000.0</v>
      </c>
      <c r="CA1376" s="12">
        <v>1300000.0</v>
      </c>
      <c r="CB1376" s="12">
        <v>2720000.0</v>
      </c>
      <c r="CC1376" s="12">
        <v>1800000.0</v>
      </c>
      <c r="CD1376" s="12">
        <v>2000000.0</v>
      </c>
      <c r="CE1376" s="12">
        <v>1970000.0</v>
      </c>
      <c r="CF1376" s="15">
        <v>3450000.0</v>
      </c>
      <c r="CG1376" s="12">
        <v>0.0</v>
      </c>
      <c r="CH1376" s="12">
        <v>0.0</v>
      </c>
      <c r="CI1376" s="12">
        <v>0.0</v>
      </c>
      <c r="CJ1376" s="12">
        <v>0.0</v>
      </c>
      <c r="CK1376" s="12">
        <v>0.0</v>
      </c>
      <c r="CL1376" s="12">
        <v>5270000.0</v>
      </c>
      <c r="CM1376" s="12">
        <v>4640000.0</v>
      </c>
      <c r="CN1376" s="12">
        <v>4860000.0</v>
      </c>
      <c r="CO1376" s="12">
        <v>4960000.0</v>
      </c>
      <c r="CP1376" s="12">
        <v>5250000.0</v>
      </c>
      <c r="CQ1376" s="12">
        <v>342000.0</v>
      </c>
      <c r="CR1376" s="12">
        <v>133000.0</v>
      </c>
      <c r="CS1376" s="12">
        <v>165000.0</v>
      </c>
      <c r="CT1376" s="12">
        <v>136000.0</v>
      </c>
      <c r="CU1376" s="12">
        <v>159000.0</v>
      </c>
      <c r="CV1376" s="12">
        <v>702000.0</v>
      </c>
      <c r="CW1376" s="12">
        <v>38000.0</v>
      </c>
      <c r="CX1376" s="12">
        <v>0.0</v>
      </c>
      <c r="CY1376" s="12">
        <v>0.0</v>
      </c>
      <c r="CZ1376" s="12">
        <v>150000.0</v>
      </c>
      <c r="DA1376" s="12">
        <v>150000.0</v>
      </c>
      <c r="DB1376" s="12">
        <v>702000.0</v>
      </c>
      <c r="DC1376" s="12">
        <v>300000.0</v>
      </c>
      <c r="DD1376" s="12">
        <v>353000.0</v>
      </c>
      <c r="DE1376" s="12">
        <v>564000.0</v>
      </c>
      <c r="DF1376" s="12">
        <v>4350000.0</v>
      </c>
      <c r="DG1376" s="12">
        <v>3780000.0</v>
      </c>
      <c r="DH1376" s="12">
        <v>3850000.0</v>
      </c>
      <c r="DI1376" s="12">
        <v>3810000.0</v>
      </c>
      <c r="DJ1376" s="12">
        <v>4140000.0</v>
      </c>
      <c r="DK1376" s="12">
        <v>3000.0</v>
      </c>
      <c r="DL1376" s="12">
        <v>12000.0</v>
      </c>
      <c r="DM1376" s="12">
        <v>13000.0</v>
      </c>
      <c r="DN1376" s="15">
        <v>13000.0</v>
      </c>
      <c r="DO1376" s="12">
        <v>12000.0</v>
      </c>
      <c r="DP1376" s="12">
        <v>3050000.0</v>
      </c>
      <c r="DQ1376" s="12">
        <v>3140000.0</v>
      </c>
      <c r="DR1376" s="12">
        <v>3130000.0</v>
      </c>
      <c r="DS1376" s="12">
        <v>2890000.0</v>
      </c>
      <c r="DT1376" s="12">
        <v>2910000.0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2">
        <v>748000.0</v>
      </c>
      <c r="EA1376" s="12">
        <v>683000.0</v>
      </c>
      <c r="EB1376" s="12">
        <v>829000.0</v>
      </c>
      <c r="EC1376" s="12">
        <v>1010000.0</v>
      </c>
      <c r="ED1376" s="12">
        <v>998000.0</v>
      </c>
      <c r="EE1376" s="23">
        <v>0.058</v>
      </c>
      <c r="EF1376" s="23">
        <v>0.142</v>
      </c>
      <c r="EG1376" s="23">
        <v>0.45</v>
      </c>
      <c r="EH1376" s="23">
        <v>0.546</v>
      </c>
    </row>
    <row r="1377">
      <c r="A1377" s="9">
        <f t="shared" si="2"/>
        <v>1375</v>
      </c>
      <c r="B1377" s="10" t="s">
        <v>1512</v>
      </c>
      <c r="C1377" s="15">
        <v>1190000.0</v>
      </c>
      <c r="D1377" s="15">
        <v>941330.0</v>
      </c>
      <c r="E1377" s="15">
        <v>1550000.0</v>
      </c>
      <c r="F1377" s="15">
        <v>1530000.0</v>
      </c>
      <c r="G1377" s="15">
        <v>1220000.0</v>
      </c>
      <c r="H1377" s="15">
        <v>1590000.0</v>
      </c>
      <c r="I1377" s="15">
        <v>2090000.0</v>
      </c>
      <c r="J1377" s="15">
        <v>543410.0</v>
      </c>
      <c r="K1377" s="15">
        <v>513270.0</v>
      </c>
      <c r="L1377" s="15">
        <v>217640.0</v>
      </c>
      <c r="M1377" s="15">
        <v>421280.0</v>
      </c>
      <c r="N1377" s="15">
        <v>824390.0</v>
      </c>
      <c r="O1377" s="15">
        <v>314040.0</v>
      </c>
      <c r="P1377" s="15">
        <v>309880.0</v>
      </c>
      <c r="Q1377" s="15">
        <v>290890.0</v>
      </c>
      <c r="R1377" s="15">
        <v>389470.0</v>
      </c>
      <c r="S1377" s="15">
        <v>405130.0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-562840.0</v>
      </c>
      <c r="Z1377" s="15">
        <v>0.0</v>
      </c>
      <c r="AA1377" s="15">
        <v>-67980.0</v>
      </c>
      <c r="AB1377" s="15">
        <v>0.0</v>
      </c>
      <c r="AC1377" s="15">
        <v>189940.0</v>
      </c>
      <c r="AD1377" s="15">
        <v>-424320.0</v>
      </c>
      <c r="AE1377" s="15">
        <v>328740.0</v>
      </c>
      <c r="AF1377" s="15">
        <v>-55920.0</v>
      </c>
      <c r="AG1377" s="15">
        <v>-4860.0</v>
      </c>
      <c r="AH1377" s="15">
        <v>177480.0</v>
      </c>
      <c r="AI1377" s="15">
        <v>491140.0</v>
      </c>
      <c r="AJ1377" s="15">
        <v>460820.0</v>
      </c>
      <c r="AK1377" s="15">
        <v>337650.0</v>
      </c>
      <c r="AL1377" s="15">
        <v>497730.0</v>
      </c>
      <c r="AM1377" s="15">
        <v>744390.0</v>
      </c>
      <c r="AN1377" s="15">
        <v>-199640.0</v>
      </c>
      <c r="AO1377" s="15">
        <v>532970.0</v>
      </c>
      <c r="AP1377" s="15">
        <v>235260.0</v>
      </c>
      <c r="AQ1377" s="15">
        <v>279040.0</v>
      </c>
      <c r="AR1377" s="15">
        <v>435820.0</v>
      </c>
      <c r="AS1377" s="15">
        <v>-15460.0</v>
      </c>
      <c r="AT1377" s="15">
        <v>233270.0</v>
      </c>
      <c r="AU1377" s="15">
        <v>153170.0</v>
      </c>
      <c r="AV1377" s="15">
        <v>305590.0</v>
      </c>
      <c r="AW1377" s="15">
        <v>745210.0</v>
      </c>
      <c r="AX1377" s="15">
        <v>-1740000.0</v>
      </c>
      <c r="AY1377" s="15">
        <v>-1690000.0</v>
      </c>
      <c r="AZ1377" s="15">
        <v>-1190000.0</v>
      </c>
      <c r="BA1377" s="15">
        <v>-432370.0</v>
      </c>
      <c r="BB1377" s="15">
        <v>-148680.0</v>
      </c>
      <c r="BC1377" s="16">
        <v>0.0</v>
      </c>
      <c r="BD1377" s="16">
        <v>0.0</v>
      </c>
      <c r="BE1377" s="16">
        <v>0.0</v>
      </c>
      <c r="BF1377" s="16">
        <v>0.0</v>
      </c>
      <c r="BG1377" s="16">
        <v>0.0</v>
      </c>
      <c r="BH1377" s="15">
        <v>2140000.0</v>
      </c>
      <c r="BI1377" s="15">
        <v>2190000.0</v>
      </c>
      <c r="BJ1377" s="15">
        <v>1810000.0</v>
      </c>
      <c r="BK1377" s="15">
        <v>1900000.0</v>
      </c>
      <c r="BL1377" s="15">
        <v>1870000.0</v>
      </c>
      <c r="BM1377" s="15">
        <v>698080.0</v>
      </c>
      <c r="BN1377" s="15">
        <v>2250000.0</v>
      </c>
      <c r="BO1377" s="15">
        <v>1750000.0</v>
      </c>
      <c r="BP1377" s="15">
        <v>1370000.0</v>
      </c>
      <c r="BQ1377" s="15">
        <v>21990.0</v>
      </c>
      <c r="BR1377" s="15">
        <v>227860.0</v>
      </c>
      <c r="BS1377" s="15">
        <v>331850.0</v>
      </c>
      <c r="BT1377" s="15">
        <v>343490.0</v>
      </c>
      <c r="BU1377" s="15">
        <v>349570.0</v>
      </c>
      <c r="BV1377" s="15">
        <v>446470.0</v>
      </c>
      <c r="BW1377" s="15">
        <v>3200000.0</v>
      </c>
      <c r="BX1377" s="15">
        <v>4820000.0</v>
      </c>
      <c r="BY1377" s="15">
        <v>3970000.0</v>
      </c>
      <c r="BZ1377" s="15">
        <v>3650000.0</v>
      </c>
      <c r="CA1377" s="15">
        <v>2370000.0</v>
      </c>
      <c r="CB1377" s="15">
        <v>1.269E7</v>
      </c>
      <c r="CC1377" s="15">
        <v>1.207E7</v>
      </c>
      <c r="CD1377" s="15">
        <v>9210000.0</v>
      </c>
      <c r="CE1377" s="15">
        <v>8610000.0</v>
      </c>
      <c r="CF1377" s="15">
        <v>8780000.0</v>
      </c>
      <c r="CG1377" s="15">
        <v>0.0</v>
      </c>
      <c r="CH1377" s="15">
        <v>0.0</v>
      </c>
      <c r="CI1377" s="15">
        <v>0.0</v>
      </c>
      <c r="CJ1377" s="15">
        <v>0.0</v>
      </c>
      <c r="CK1377" s="15">
        <v>0.0</v>
      </c>
      <c r="CL1377" s="15">
        <v>1.663E7</v>
      </c>
      <c r="CM1377" s="15">
        <v>1.818E7</v>
      </c>
      <c r="CN1377" s="15">
        <v>1.608E7</v>
      </c>
      <c r="CO1377" s="15">
        <v>1.671E7</v>
      </c>
      <c r="CP1377" s="15">
        <v>1.145E7</v>
      </c>
      <c r="CQ1377" s="15">
        <v>505050.0</v>
      </c>
      <c r="CR1377" s="15">
        <v>540700.0</v>
      </c>
      <c r="CS1377" s="15">
        <v>451940.0</v>
      </c>
      <c r="CT1377" s="15">
        <v>263810.0</v>
      </c>
      <c r="CU1377" s="15">
        <v>231650.0</v>
      </c>
      <c r="CV1377" s="15">
        <v>675150.0</v>
      </c>
      <c r="CW1377" s="15">
        <v>0.0</v>
      </c>
      <c r="CX1377" s="16">
        <v>0.0</v>
      </c>
      <c r="CY1377" s="16">
        <v>0.0</v>
      </c>
      <c r="CZ1377" s="16">
        <v>0.0</v>
      </c>
      <c r="DA1377" s="15">
        <v>0.0</v>
      </c>
      <c r="DB1377" s="15">
        <v>675150.0</v>
      </c>
      <c r="DC1377" s="15">
        <v>729890.0</v>
      </c>
      <c r="DD1377" s="15">
        <v>630820.0</v>
      </c>
      <c r="DE1377" s="15">
        <v>389050.0</v>
      </c>
      <c r="DF1377" s="15">
        <v>6340000.0</v>
      </c>
      <c r="DG1377" s="15">
        <v>6690000.0</v>
      </c>
      <c r="DH1377" s="15">
        <v>6030000.0</v>
      </c>
      <c r="DI1377" s="15">
        <v>6110000.0</v>
      </c>
      <c r="DJ1377" s="15">
        <v>617430.0</v>
      </c>
      <c r="DK1377" s="15">
        <v>5070.0</v>
      </c>
      <c r="DL1377" s="15">
        <v>7600.0</v>
      </c>
      <c r="DM1377" s="15">
        <v>10580.0</v>
      </c>
      <c r="DN1377" s="15">
        <v>5830.0</v>
      </c>
      <c r="DO1377" s="15">
        <v>27890.0</v>
      </c>
      <c r="DP1377" s="15">
        <v>5430000.0</v>
      </c>
      <c r="DQ1377" s="15">
        <v>5720000.0</v>
      </c>
      <c r="DR1377" s="15">
        <v>5210000.0</v>
      </c>
      <c r="DS1377" s="15">
        <v>5550000.0</v>
      </c>
      <c r="DT1377" s="15">
        <v>18860.0</v>
      </c>
      <c r="DU1377" s="16">
        <v>0.0</v>
      </c>
      <c r="DV1377" s="15">
        <v>0.0</v>
      </c>
      <c r="DW1377" s="15">
        <v>0.0</v>
      </c>
      <c r="DX1377" s="16">
        <v>0.0</v>
      </c>
      <c r="DY1377" s="16">
        <v>0.0</v>
      </c>
      <c r="DZ1377" s="15">
        <v>1.189E7</v>
      </c>
      <c r="EA1377" s="15">
        <v>1.273E7</v>
      </c>
      <c r="EB1377" s="15">
        <v>1.117E7</v>
      </c>
      <c r="EC1377" s="15">
        <v>1.17E7</v>
      </c>
      <c r="ED1377" s="15">
        <v>1.183E7</v>
      </c>
      <c r="EE1377" s="17">
        <v>0.021</v>
      </c>
      <c r="EF1377" s="17">
        <v>0.16</v>
      </c>
      <c r="EG1377" s="23" t="s">
        <v>155</v>
      </c>
      <c r="EH1377" s="17">
        <v>4.0</v>
      </c>
    </row>
    <row r="1378">
      <c r="A1378" s="9">
        <f t="shared" si="2"/>
        <v>1376</v>
      </c>
      <c r="B1378" s="10" t="s">
        <v>1513</v>
      </c>
      <c r="C1378" s="11">
        <v>1320000.0</v>
      </c>
      <c r="D1378" s="11">
        <v>1300000.0</v>
      </c>
      <c r="E1378" s="11">
        <v>1430000.0</v>
      </c>
      <c r="F1378" s="11">
        <v>1430000.0</v>
      </c>
      <c r="G1378" s="11">
        <v>1200000.0</v>
      </c>
      <c r="H1378" s="11">
        <v>845110.0</v>
      </c>
      <c r="I1378" s="11">
        <v>707840.0</v>
      </c>
      <c r="J1378" s="11">
        <v>746570.0</v>
      </c>
      <c r="K1378" s="11">
        <v>775760.0</v>
      </c>
      <c r="L1378" s="11">
        <v>604090.0</v>
      </c>
      <c r="M1378" s="11">
        <v>352460.0</v>
      </c>
      <c r="N1378" s="11">
        <v>352930.0</v>
      </c>
      <c r="O1378" s="11">
        <v>76460.0</v>
      </c>
      <c r="P1378" s="11">
        <v>78800.0</v>
      </c>
      <c r="Q1378" s="11">
        <v>90960.0</v>
      </c>
      <c r="R1378" s="11">
        <v>88520.0</v>
      </c>
      <c r="S1378" s="11">
        <v>50880.0</v>
      </c>
      <c r="T1378" s="12"/>
      <c r="U1378" s="12"/>
      <c r="V1378" s="12"/>
      <c r="W1378" s="12"/>
      <c r="X1378" s="12"/>
      <c r="Y1378" s="11">
        <v>659170.0</v>
      </c>
      <c r="Z1378" s="11">
        <v>686420.0</v>
      </c>
      <c r="AA1378" s="11">
        <v>505050.0</v>
      </c>
      <c r="AB1378" s="11">
        <v>201290.0</v>
      </c>
      <c r="AC1378" s="11">
        <v>-25600.0</v>
      </c>
      <c r="AD1378" s="11">
        <v>380830.0</v>
      </c>
      <c r="AE1378" s="11">
        <v>427310.0</v>
      </c>
      <c r="AF1378" s="11">
        <v>260250.0</v>
      </c>
      <c r="AG1378" s="11">
        <v>-5830.0</v>
      </c>
      <c r="AH1378" s="11">
        <v>131720.0</v>
      </c>
      <c r="AI1378" s="11">
        <v>1250000.0</v>
      </c>
      <c r="AJ1378" s="11">
        <v>1310000.0</v>
      </c>
      <c r="AK1378" s="11">
        <v>1110000.0</v>
      </c>
      <c r="AL1378" s="11">
        <v>712020.0</v>
      </c>
      <c r="AM1378" s="11">
        <v>602520.0</v>
      </c>
      <c r="AN1378" s="11">
        <v>352690.0</v>
      </c>
      <c r="AO1378" s="11">
        <v>349560.0</v>
      </c>
      <c r="AP1378" s="11">
        <v>344600.0</v>
      </c>
      <c r="AQ1378" s="11">
        <v>-13520.0</v>
      </c>
      <c r="AR1378" s="11">
        <v>111090.0</v>
      </c>
      <c r="AS1378" s="11">
        <v>1060000.0</v>
      </c>
      <c r="AT1378" s="11">
        <v>929850.0</v>
      </c>
      <c r="AU1378" s="11">
        <v>806800.0</v>
      </c>
      <c r="AV1378" s="11">
        <v>484190.0</v>
      </c>
      <c r="AW1378" s="11">
        <v>449300.0</v>
      </c>
      <c r="AX1378" s="11">
        <v>-240170.0</v>
      </c>
      <c r="AY1378" s="11">
        <v>-1600000.0</v>
      </c>
      <c r="AZ1378" s="11">
        <v>-1560000.0</v>
      </c>
      <c r="BA1378" s="11">
        <v>-629330.0</v>
      </c>
      <c r="BB1378" s="11">
        <v>-398800.0</v>
      </c>
      <c r="BC1378" s="11">
        <v>-166180.0</v>
      </c>
      <c r="BD1378" s="11">
        <v>-160290.0</v>
      </c>
      <c r="BE1378" s="11">
        <v>-135560.0</v>
      </c>
      <c r="BF1378" s="11">
        <v>-84750.0</v>
      </c>
      <c r="BG1378" s="12"/>
      <c r="BH1378" s="11">
        <v>168970.0</v>
      </c>
      <c r="BI1378" s="11">
        <v>159540.0</v>
      </c>
      <c r="BJ1378" s="11">
        <v>226170.0</v>
      </c>
      <c r="BK1378" s="11">
        <v>163490.0</v>
      </c>
      <c r="BL1378" s="11">
        <v>79260.0</v>
      </c>
      <c r="BM1378" s="11">
        <v>210700.0</v>
      </c>
      <c r="BN1378" s="11">
        <v>264380.0</v>
      </c>
      <c r="BO1378" s="11">
        <v>199880.0</v>
      </c>
      <c r="BP1378" s="11">
        <v>173590.0</v>
      </c>
      <c r="BQ1378" s="11">
        <v>110970.0</v>
      </c>
      <c r="BR1378" s="12"/>
      <c r="BS1378" s="12"/>
      <c r="BT1378" s="12"/>
      <c r="BU1378" s="12"/>
      <c r="BV1378" s="12"/>
      <c r="BW1378" s="11">
        <v>379670.0</v>
      </c>
      <c r="BX1378" s="11">
        <v>423920.0</v>
      </c>
      <c r="BY1378" s="11">
        <v>426050.0</v>
      </c>
      <c r="BZ1378" s="11">
        <v>337080.0</v>
      </c>
      <c r="CA1378" s="11">
        <v>190230.0</v>
      </c>
      <c r="CB1378" s="11">
        <v>8400000.0</v>
      </c>
      <c r="CC1378" s="11">
        <v>8920000.0</v>
      </c>
      <c r="CD1378" s="11">
        <v>8360000.0</v>
      </c>
      <c r="CE1378" s="11">
        <v>7370000.0</v>
      </c>
      <c r="CF1378" s="11">
        <v>4360000.0</v>
      </c>
      <c r="CG1378" s="11">
        <v>236670.0</v>
      </c>
      <c r="CH1378" s="11">
        <v>236670.0</v>
      </c>
      <c r="CI1378" s="11">
        <v>236670.0</v>
      </c>
      <c r="CJ1378" s="11">
        <v>236670.0</v>
      </c>
      <c r="CK1378" s="11"/>
      <c r="CL1378" s="11">
        <v>9640000.0</v>
      </c>
      <c r="CM1378" s="11">
        <v>1.027E7</v>
      </c>
      <c r="CN1378" s="11">
        <v>9580000.0</v>
      </c>
      <c r="CO1378" s="11">
        <v>8710000.0</v>
      </c>
      <c r="CP1378" s="11">
        <v>4660000.0</v>
      </c>
      <c r="CQ1378" s="11">
        <v>131040.0</v>
      </c>
      <c r="CR1378" s="11">
        <v>111460.0</v>
      </c>
      <c r="CS1378" s="11">
        <v>228440.0</v>
      </c>
      <c r="CT1378" s="11">
        <v>217100.0</v>
      </c>
      <c r="CU1378" s="11">
        <v>80700.0</v>
      </c>
      <c r="CV1378" s="11">
        <v>1000000.0</v>
      </c>
      <c r="CW1378" s="11">
        <v>8940.0</v>
      </c>
      <c r="CX1378" s="12"/>
      <c r="CY1378" s="12"/>
      <c r="CZ1378" s="12"/>
      <c r="DA1378" s="12"/>
      <c r="DB1378" s="11">
        <v>1000000.0</v>
      </c>
      <c r="DC1378" s="11">
        <v>1110000.0</v>
      </c>
      <c r="DD1378" s="11">
        <v>987970.0</v>
      </c>
      <c r="DE1378" s="11">
        <v>850320.0</v>
      </c>
      <c r="DF1378" s="11">
        <v>7110000.0</v>
      </c>
      <c r="DG1378" s="11">
        <v>7940000.0</v>
      </c>
      <c r="DH1378" s="11">
        <v>7370000.0</v>
      </c>
      <c r="DI1378" s="11">
        <v>6910000.0</v>
      </c>
      <c r="DJ1378" s="11">
        <v>3280000.0</v>
      </c>
      <c r="DK1378" s="11">
        <v>424190.0</v>
      </c>
      <c r="DL1378" s="11">
        <v>491990.0</v>
      </c>
      <c r="DM1378" s="11">
        <v>303270.0</v>
      </c>
      <c r="DN1378" s="11">
        <v>352550.0</v>
      </c>
      <c r="DO1378" s="11">
        <v>68810.0</v>
      </c>
      <c r="DP1378" s="11">
        <v>5800000.0</v>
      </c>
      <c r="DQ1378" s="11">
        <v>6550000.0</v>
      </c>
      <c r="DR1378" s="11">
        <v>6160000.0</v>
      </c>
      <c r="DS1378" s="11">
        <v>5740000.0</v>
      </c>
      <c r="DT1378" s="11">
        <v>3170000.0</v>
      </c>
      <c r="DU1378" s="11">
        <v>405000.0</v>
      </c>
      <c r="DV1378" s="12"/>
      <c r="DW1378" s="12"/>
      <c r="DX1378" s="12"/>
      <c r="DY1378" s="12"/>
      <c r="DZ1378" s="11">
        <v>2530000.0</v>
      </c>
      <c r="EA1378" s="11">
        <v>2200000.0</v>
      </c>
      <c r="EB1378" s="11">
        <v>2080000.0</v>
      </c>
      <c r="EC1378" s="11">
        <v>1660000.0</v>
      </c>
      <c r="ED1378" s="11">
        <v>1220000.0</v>
      </c>
      <c r="EE1378" s="14">
        <v>0.015</v>
      </c>
      <c r="EF1378" s="14">
        <v>0.038</v>
      </c>
      <c r="EG1378" s="14">
        <v>0.103</v>
      </c>
      <c r="EH1378" s="14">
        <v>0.021</v>
      </c>
    </row>
    <row r="1379">
      <c r="A1379" s="9">
        <f t="shared" si="2"/>
        <v>1377</v>
      </c>
      <c r="B1379" s="22" t="s">
        <v>1514</v>
      </c>
      <c r="C1379" s="11">
        <v>22430.0</v>
      </c>
      <c r="D1379" s="11">
        <v>1500.0</v>
      </c>
      <c r="E1379" s="11">
        <v>31.0</v>
      </c>
      <c r="F1379" s="11">
        <v>5730.0</v>
      </c>
      <c r="G1379" s="12"/>
      <c r="H1379" s="11">
        <v>3750.0</v>
      </c>
      <c r="I1379" s="11">
        <v>6250.0</v>
      </c>
      <c r="J1379" s="12"/>
      <c r="K1379" s="12"/>
      <c r="L1379" s="11">
        <v>-490.0</v>
      </c>
      <c r="M1379" s="12"/>
      <c r="N1379" s="12"/>
      <c r="O1379" s="11">
        <v>25640.0</v>
      </c>
      <c r="P1379" s="11">
        <v>34160.0</v>
      </c>
      <c r="Q1379" s="11">
        <v>68120.0</v>
      </c>
      <c r="R1379" s="11">
        <v>105790.0</v>
      </c>
      <c r="S1379" s="11">
        <v>56660.0</v>
      </c>
      <c r="T1379" s="11">
        <v>13290.0</v>
      </c>
      <c r="U1379" s="11">
        <v>15820.0</v>
      </c>
      <c r="V1379" s="11">
        <v>48970.0</v>
      </c>
      <c r="W1379" s="11">
        <v>89960.0</v>
      </c>
      <c r="X1379" s="11">
        <v>44070.0</v>
      </c>
      <c r="Y1379" s="11">
        <v>-26580.0</v>
      </c>
      <c r="Z1379" s="11">
        <v>-30490.0</v>
      </c>
      <c r="AA1379" s="11">
        <v>-70320.0</v>
      </c>
      <c r="AB1379" s="11">
        <v>-102210.0</v>
      </c>
      <c r="AC1379" s="11">
        <v>-50690.0</v>
      </c>
      <c r="AD1379" s="11">
        <v>-24870.0</v>
      </c>
      <c r="AE1379" s="11">
        <v>-30040.0</v>
      </c>
      <c r="AF1379" s="11">
        <v>-71870.0</v>
      </c>
      <c r="AG1379" s="11">
        <v>-102990.0</v>
      </c>
      <c r="AH1379" s="11">
        <v>-50530.0</v>
      </c>
      <c r="AI1379" s="11">
        <v>-25610.0</v>
      </c>
      <c r="AJ1379" s="11">
        <v>-28430.0</v>
      </c>
      <c r="AK1379" s="11">
        <v>-68120.0</v>
      </c>
      <c r="AL1379" s="11">
        <v>-102040.0</v>
      </c>
      <c r="AM1379" s="11">
        <v>-50410.0</v>
      </c>
      <c r="AN1379" s="11">
        <v>-24870.0</v>
      </c>
      <c r="AO1379" s="11">
        <v>-30780.0</v>
      </c>
      <c r="AP1379" s="11">
        <v>-71870.0</v>
      </c>
      <c r="AQ1379" s="11">
        <v>-102990.0</v>
      </c>
      <c r="AR1379" s="11">
        <v>-50530.0</v>
      </c>
      <c r="AS1379" s="11">
        <v>-23190.0</v>
      </c>
      <c r="AT1379" s="11">
        <v>-25380.0</v>
      </c>
      <c r="AU1379" s="11">
        <v>-71260.0</v>
      </c>
      <c r="AV1379" s="11">
        <v>-91550.0</v>
      </c>
      <c r="AW1379" s="11">
        <v>-40070.0</v>
      </c>
      <c r="AX1379" s="12"/>
      <c r="AY1379" s="11">
        <v>-169.0</v>
      </c>
      <c r="AZ1379" s="11">
        <v>-3500.0</v>
      </c>
      <c r="BA1379" s="11">
        <v>-605.0</v>
      </c>
      <c r="BB1379" s="11">
        <v>-376.0</v>
      </c>
      <c r="BC1379" s="12"/>
      <c r="BD1379" s="12"/>
      <c r="BE1379" s="12"/>
      <c r="BF1379" s="12"/>
      <c r="BG1379" s="12"/>
      <c r="BH1379" s="11">
        <v>35810.0</v>
      </c>
      <c r="BI1379" s="11">
        <v>61480.0</v>
      </c>
      <c r="BJ1379" s="11">
        <v>66100.0</v>
      </c>
      <c r="BK1379" s="11">
        <v>110600.0</v>
      </c>
      <c r="BL1379" s="11">
        <v>172640.0</v>
      </c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1">
        <v>37490.0</v>
      </c>
      <c r="BX1379" s="11">
        <v>62090.0</v>
      </c>
      <c r="BY1379" s="11">
        <v>67490.0</v>
      </c>
      <c r="BZ1379" s="11">
        <v>112390.0</v>
      </c>
      <c r="CA1379" s="11">
        <v>174530.0</v>
      </c>
      <c r="CB1379" s="11">
        <v>8180.0</v>
      </c>
      <c r="CC1379" s="11">
        <v>3390.0</v>
      </c>
      <c r="CD1379" s="11">
        <v>3810.0</v>
      </c>
      <c r="CE1379" s="11">
        <v>1060.0</v>
      </c>
      <c r="CF1379" s="11">
        <v>696.0</v>
      </c>
      <c r="CG1379" s="12"/>
      <c r="CH1379" s="12"/>
      <c r="CI1379" s="12"/>
      <c r="CJ1379" s="12"/>
      <c r="CK1379" s="12"/>
      <c r="CL1379" s="11">
        <v>46990.0</v>
      </c>
      <c r="CM1379" s="11">
        <v>66780.0</v>
      </c>
      <c r="CN1379" s="11">
        <v>72720.0</v>
      </c>
      <c r="CO1379" s="11">
        <v>114650.0</v>
      </c>
      <c r="CP1379" s="11">
        <v>175350.0</v>
      </c>
      <c r="CQ1379" s="11">
        <v>1050.0</v>
      </c>
      <c r="CR1379" s="11">
        <v>1420.0</v>
      </c>
      <c r="CS1379" s="11">
        <v>1420.0</v>
      </c>
      <c r="CT1379" s="11">
        <v>8750.0</v>
      </c>
      <c r="CU1379" s="11">
        <v>6750.0</v>
      </c>
      <c r="CV1379" s="11">
        <v>9110.0</v>
      </c>
      <c r="CW1379" s="11">
        <v>620.0</v>
      </c>
      <c r="CX1379" s="12"/>
      <c r="CY1379" s="12"/>
      <c r="CZ1379" s="12"/>
      <c r="DA1379" s="12"/>
      <c r="DB1379" s="11">
        <v>9110.0</v>
      </c>
      <c r="DC1379" s="11">
        <v>17490.0</v>
      </c>
      <c r="DD1379" s="11">
        <v>18210.0</v>
      </c>
      <c r="DE1379" s="11">
        <v>22050.0</v>
      </c>
      <c r="DF1379" s="11">
        <v>16920.0</v>
      </c>
      <c r="DG1379" s="11">
        <v>25250.0</v>
      </c>
      <c r="DH1379" s="11">
        <v>38090.0</v>
      </c>
      <c r="DI1379" s="11">
        <v>36070.0</v>
      </c>
      <c r="DJ1379" s="11">
        <v>32220.0</v>
      </c>
      <c r="DK1379" s="11">
        <v>1310.0</v>
      </c>
      <c r="DL1379" s="11">
        <v>1300.0</v>
      </c>
      <c r="DM1379" s="11">
        <v>1410.0</v>
      </c>
      <c r="DN1379" s="11">
        <v>1190.0</v>
      </c>
      <c r="DO1379" s="24">
        <v>113.0</v>
      </c>
      <c r="DP1379" s="11">
        <v>7800.0</v>
      </c>
      <c r="DQ1379" s="11">
        <v>4830.0</v>
      </c>
      <c r="DR1379" s="11">
        <v>15760.0</v>
      </c>
      <c r="DS1379" s="11">
        <v>13290.0</v>
      </c>
      <c r="DT1379" s="11">
        <v>18190.0</v>
      </c>
      <c r="DU1379" s="13"/>
      <c r="DV1379" s="12"/>
      <c r="DW1379" s="12"/>
      <c r="DX1379" s="13"/>
      <c r="DY1379" s="13"/>
      <c r="DZ1379" s="11">
        <v>30080.0</v>
      </c>
      <c r="EA1379" s="11">
        <v>41530.0</v>
      </c>
      <c r="EB1379" s="11">
        <v>34630.0</v>
      </c>
      <c r="EC1379" s="11">
        <v>78580.0</v>
      </c>
      <c r="ED1379" s="11">
        <v>143130.0</v>
      </c>
      <c r="EE1379" s="23"/>
      <c r="EF1379" s="14">
        <v>0.336</v>
      </c>
      <c r="EG1379" s="14">
        <v>0.0</v>
      </c>
      <c r="EH1379" s="14">
        <v>-0.04</v>
      </c>
    </row>
    <row r="1380">
      <c r="A1380" s="9">
        <f t="shared" si="2"/>
        <v>1378</v>
      </c>
      <c r="B1380" s="10" t="s">
        <v>1515</v>
      </c>
      <c r="C1380" s="15">
        <v>4740000.0</v>
      </c>
      <c r="D1380" s="15">
        <v>5060000.0</v>
      </c>
      <c r="E1380" s="15">
        <v>6520000.0</v>
      </c>
      <c r="F1380" s="15">
        <v>6490000.0</v>
      </c>
      <c r="G1380" s="15">
        <v>4690000.0</v>
      </c>
      <c r="H1380" s="15">
        <v>3880000.0</v>
      </c>
      <c r="I1380" s="15">
        <v>6230000.0</v>
      </c>
      <c r="J1380" s="15">
        <v>1940000.0</v>
      </c>
      <c r="K1380" s="15">
        <v>1880000.0</v>
      </c>
      <c r="L1380" s="15">
        <v>1290000.0</v>
      </c>
      <c r="M1380" s="15">
        <v>848230.0</v>
      </c>
      <c r="N1380" s="15">
        <v>1790000.0</v>
      </c>
      <c r="O1380" s="15">
        <v>1180000.0</v>
      </c>
      <c r="P1380" s="15">
        <v>1130000.0</v>
      </c>
      <c r="Q1380" s="15">
        <v>999340.0</v>
      </c>
      <c r="R1380" s="15">
        <v>910620.0</v>
      </c>
      <c r="S1380" s="15">
        <v>1290000.0</v>
      </c>
      <c r="T1380" s="15">
        <v>54590.0</v>
      </c>
      <c r="U1380" s="15">
        <v>53740.0</v>
      </c>
      <c r="V1380" s="15">
        <v>56470.0</v>
      </c>
      <c r="W1380" s="15">
        <v>62010.0</v>
      </c>
      <c r="X1380" s="15">
        <v>80260.0</v>
      </c>
      <c r="Y1380" s="15">
        <v>723830.0</v>
      </c>
      <c r="Z1380" s="15">
        <v>739410.0</v>
      </c>
      <c r="AA1380" s="15">
        <v>0.0</v>
      </c>
      <c r="AB1380" s="15">
        <v>-85460.0</v>
      </c>
      <c r="AC1380" s="15">
        <v>23020.0</v>
      </c>
      <c r="AD1380" s="15">
        <v>760930.0</v>
      </c>
      <c r="AE1380" s="15">
        <v>770600.0</v>
      </c>
      <c r="AF1380" s="15">
        <v>276230.0</v>
      </c>
      <c r="AG1380" s="15">
        <v>-33540.0</v>
      </c>
      <c r="AH1380" s="15">
        <v>162670.0</v>
      </c>
      <c r="AI1380" s="15">
        <v>1240000.0</v>
      </c>
      <c r="AJ1380" s="15">
        <v>1300000.0</v>
      </c>
      <c r="AK1380" s="15">
        <v>835220.0</v>
      </c>
      <c r="AL1380" s="15">
        <v>536420.0</v>
      </c>
      <c r="AM1380" s="15">
        <v>1100000.0</v>
      </c>
      <c r="AN1380" s="15">
        <v>663560.0</v>
      </c>
      <c r="AO1380" s="15">
        <v>742580.0</v>
      </c>
      <c r="AP1380" s="15">
        <v>401790.0</v>
      </c>
      <c r="AQ1380" s="15">
        <v>12550.0</v>
      </c>
      <c r="AR1380" s="15">
        <v>-89540.0</v>
      </c>
      <c r="AS1380" s="15">
        <v>1390000.0</v>
      </c>
      <c r="AT1380" s="15">
        <v>539540.0</v>
      </c>
      <c r="AU1380" s="15">
        <v>0.0</v>
      </c>
      <c r="AV1380" s="15">
        <v>799350.0</v>
      </c>
      <c r="AW1380" s="15">
        <v>2020000.0</v>
      </c>
      <c r="AX1380" s="15">
        <v>-312870.0</v>
      </c>
      <c r="AY1380" s="15">
        <v>-296230.0</v>
      </c>
      <c r="AZ1380" s="15">
        <v>-494920.0</v>
      </c>
      <c r="BA1380" s="15">
        <v>-711330.0</v>
      </c>
      <c r="BB1380" s="15">
        <v>-1020000.0</v>
      </c>
      <c r="BC1380" s="15">
        <v>-432450.0</v>
      </c>
      <c r="BD1380" s="15">
        <v>-410270.0</v>
      </c>
      <c r="BE1380" s="15">
        <v>-429120.0</v>
      </c>
      <c r="BF1380" s="15">
        <v>-458900.0</v>
      </c>
      <c r="BG1380" s="15">
        <v>-479060.0</v>
      </c>
      <c r="BH1380" s="15">
        <v>1570000.0</v>
      </c>
      <c r="BI1380" s="15">
        <v>801380.0</v>
      </c>
      <c r="BJ1380" s="15">
        <v>1270000.0</v>
      </c>
      <c r="BK1380" s="15">
        <v>1930000.0</v>
      </c>
      <c r="BL1380" s="15">
        <v>2230000.0</v>
      </c>
      <c r="BM1380" s="15">
        <v>1320000.0</v>
      </c>
      <c r="BN1380" s="15">
        <v>1610000.0</v>
      </c>
      <c r="BO1380" s="15">
        <v>1140000.0</v>
      </c>
      <c r="BP1380" s="15">
        <v>1040000.0</v>
      </c>
      <c r="BQ1380" s="15">
        <v>1190000.0</v>
      </c>
      <c r="BR1380" s="15">
        <v>2030000.0</v>
      </c>
      <c r="BS1380" s="15">
        <v>2230000.0</v>
      </c>
      <c r="BT1380" s="15">
        <v>1970000.0</v>
      </c>
      <c r="BU1380" s="15">
        <v>1480000.0</v>
      </c>
      <c r="BV1380" s="15">
        <v>1700000.0</v>
      </c>
      <c r="BW1380" s="15">
        <v>5050000.0</v>
      </c>
      <c r="BX1380" s="15">
        <v>4780000.0</v>
      </c>
      <c r="BY1380" s="15">
        <v>4480000.0</v>
      </c>
      <c r="BZ1380" s="15">
        <v>4570000.0</v>
      </c>
      <c r="CA1380" s="15">
        <v>5290000.0</v>
      </c>
      <c r="CB1380" s="15">
        <v>5630000.0</v>
      </c>
      <c r="CC1380" s="15">
        <v>5300000.0</v>
      </c>
      <c r="CD1380" s="15">
        <v>5190000.0</v>
      </c>
      <c r="CE1380" s="15">
        <v>5690000.0</v>
      </c>
      <c r="CF1380" s="15">
        <v>5220000.0</v>
      </c>
      <c r="CG1380" s="15">
        <v>1180000.0</v>
      </c>
      <c r="CH1380" s="15">
        <v>1130000.0</v>
      </c>
      <c r="CI1380" s="15">
        <v>1080000.0</v>
      </c>
      <c r="CJ1380" s="15">
        <v>1230000.0</v>
      </c>
      <c r="CK1380" s="15">
        <v>1230000.0</v>
      </c>
      <c r="CL1380" s="15">
        <v>1.322E7</v>
      </c>
      <c r="CM1380" s="15">
        <v>1.247E7</v>
      </c>
      <c r="CN1380" s="15">
        <v>1.199E7</v>
      </c>
      <c r="CO1380" s="15">
        <v>1.328E7</v>
      </c>
      <c r="CP1380" s="15">
        <v>1.37E7</v>
      </c>
      <c r="CQ1380" s="15">
        <v>495220.0</v>
      </c>
      <c r="CR1380" s="15">
        <v>606810.0</v>
      </c>
      <c r="CS1380" s="15">
        <v>625200.0</v>
      </c>
      <c r="CT1380" s="15">
        <v>527930.0</v>
      </c>
      <c r="CU1380" s="15">
        <v>463820.0</v>
      </c>
      <c r="CV1380" s="15">
        <v>1590000.0</v>
      </c>
      <c r="CW1380" s="15">
        <v>696010.0</v>
      </c>
      <c r="CX1380" s="15">
        <v>445940.0</v>
      </c>
      <c r="CY1380" s="15">
        <v>775380.0</v>
      </c>
      <c r="CZ1380" s="15">
        <v>766590.0</v>
      </c>
      <c r="DA1380" s="15">
        <v>688510.0</v>
      </c>
      <c r="DB1380" s="15">
        <v>1590000.0</v>
      </c>
      <c r="DC1380" s="15">
        <v>1500000.0</v>
      </c>
      <c r="DD1380" s="15">
        <v>1720000.0</v>
      </c>
      <c r="DE1380" s="15">
        <v>1620000.0</v>
      </c>
      <c r="DF1380" s="15">
        <v>2370000.0</v>
      </c>
      <c r="DG1380" s="15">
        <v>2080000.0</v>
      </c>
      <c r="DH1380" s="15">
        <v>2350000.0</v>
      </c>
      <c r="DI1380" s="15">
        <v>2460000.0</v>
      </c>
      <c r="DJ1380" s="15">
        <v>2780000.0</v>
      </c>
      <c r="DK1380" s="15">
        <v>806150.0</v>
      </c>
      <c r="DL1380" s="15">
        <v>808050.0</v>
      </c>
      <c r="DM1380" s="15">
        <v>669360.0</v>
      </c>
      <c r="DN1380" s="15">
        <v>798480.0</v>
      </c>
      <c r="DO1380" s="15">
        <v>848460.0</v>
      </c>
      <c r="DP1380" s="15">
        <v>207750.0</v>
      </c>
      <c r="DQ1380" s="15">
        <v>25530.0</v>
      </c>
      <c r="DR1380" s="15">
        <v>28850.0</v>
      </c>
      <c r="DS1380" s="15">
        <v>29900.0</v>
      </c>
      <c r="DT1380" s="15">
        <v>205490.0</v>
      </c>
      <c r="DU1380" s="16">
        <v>0.0</v>
      </c>
      <c r="DV1380" s="15">
        <v>0.0</v>
      </c>
      <c r="DW1380" s="15">
        <v>0.0</v>
      </c>
      <c r="DX1380" s="16">
        <v>0.0</v>
      </c>
      <c r="DY1380" s="16">
        <v>0.0</v>
      </c>
      <c r="DZ1380" s="15">
        <v>1.068E7</v>
      </c>
      <c r="EA1380" s="15">
        <v>1.031E7</v>
      </c>
      <c r="EB1380" s="15">
        <v>9560000.0</v>
      </c>
      <c r="EC1380" s="15">
        <v>1.07E7</v>
      </c>
      <c r="ED1380" s="15">
        <v>1.078E7</v>
      </c>
      <c r="EE1380" s="17">
        <v>0.261</v>
      </c>
      <c r="EF1380" s="17">
        <v>0.593</v>
      </c>
      <c r="EG1380" s="17">
        <v>-1.273</v>
      </c>
      <c r="EH1380" s="17">
        <v>-0.385</v>
      </c>
    </row>
    <row r="1381">
      <c r="A1381" s="9">
        <f t="shared" si="2"/>
        <v>1379</v>
      </c>
      <c r="B1381" s="10" t="s">
        <v>1516</v>
      </c>
      <c r="C1381" s="15">
        <v>1.01E7</v>
      </c>
      <c r="D1381" s="15">
        <v>9960000.0</v>
      </c>
      <c r="E1381" s="15">
        <v>8350000.0</v>
      </c>
      <c r="F1381" s="15">
        <v>7910000.0</v>
      </c>
      <c r="G1381" s="15">
        <v>7260000.0</v>
      </c>
      <c r="H1381" s="15">
        <v>6780000.0</v>
      </c>
      <c r="I1381" s="15">
        <v>6230000.0</v>
      </c>
      <c r="J1381" s="15">
        <v>2680000.0</v>
      </c>
      <c r="K1381" s="15">
        <v>2530000.0</v>
      </c>
      <c r="L1381" s="15">
        <v>2330000.0</v>
      </c>
      <c r="M1381" s="15">
        <v>2180000.0</v>
      </c>
      <c r="N1381" s="15">
        <v>2020000.0</v>
      </c>
      <c r="O1381" s="15">
        <v>1930000.0</v>
      </c>
      <c r="P1381" s="15">
        <v>1820000.0</v>
      </c>
      <c r="Q1381" s="15">
        <v>1640000.0</v>
      </c>
      <c r="R1381" s="15">
        <v>1490000.0</v>
      </c>
      <c r="S1381" s="15">
        <v>1370000.0</v>
      </c>
      <c r="T1381" s="12"/>
      <c r="U1381" s="12"/>
      <c r="V1381" s="12"/>
      <c r="W1381" s="12"/>
      <c r="X1381" s="12"/>
      <c r="Y1381" s="12"/>
      <c r="Z1381" s="15">
        <v>701800.0</v>
      </c>
      <c r="AA1381" s="15">
        <v>686480.0</v>
      </c>
      <c r="AB1381" s="15">
        <v>534.0</v>
      </c>
      <c r="AC1381" s="12"/>
      <c r="AD1381" s="15">
        <v>723380.0</v>
      </c>
      <c r="AE1381" s="15">
        <v>683390.0</v>
      </c>
      <c r="AF1381" s="15">
        <v>672520.0</v>
      </c>
      <c r="AG1381" s="15">
        <v>688270.0</v>
      </c>
      <c r="AH1381" s="15">
        <v>647620.0</v>
      </c>
      <c r="AI1381" s="15">
        <v>939200.0</v>
      </c>
      <c r="AJ1381" s="15">
        <v>879090.0</v>
      </c>
      <c r="AK1381" s="15">
        <v>852220.0</v>
      </c>
      <c r="AL1381" s="15">
        <v>837040.0</v>
      </c>
      <c r="AM1381" s="15">
        <v>774080.0</v>
      </c>
      <c r="AN1381" s="15">
        <v>562350.0</v>
      </c>
      <c r="AO1381" s="15">
        <v>532360.0</v>
      </c>
      <c r="AP1381" s="15">
        <v>422600.0</v>
      </c>
      <c r="AQ1381" s="15">
        <v>437120.0</v>
      </c>
      <c r="AR1381" s="15">
        <v>410400.0</v>
      </c>
      <c r="AS1381" s="15">
        <v>811720.0</v>
      </c>
      <c r="AT1381" s="15">
        <v>694390.0</v>
      </c>
      <c r="AU1381" s="15">
        <v>631450.0</v>
      </c>
      <c r="AV1381" s="15">
        <v>650710.0</v>
      </c>
      <c r="AW1381" s="15">
        <v>429180.0</v>
      </c>
      <c r="AX1381" s="15">
        <v>-217450.0</v>
      </c>
      <c r="AY1381" s="15">
        <v>-278530.0</v>
      </c>
      <c r="AZ1381" s="15">
        <v>-250400.0</v>
      </c>
      <c r="BA1381" s="15">
        <v>-226020.0</v>
      </c>
      <c r="BB1381" s="15">
        <v>-236500.0</v>
      </c>
      <c r="BC1381" s="15">
        <v>-162700.0</v>
      </c>
      <c r="BD1381" s="15">
        <v>-147090.0</v>
      </c>
      <c r="BE1381" s="15">
        <v>-133830.0</v>
      </c>
      <c r="BF1381" s="15">
        <v>-122270.0</v>
      </c>
      <c r="BG1381" s="15">
        <v>-103100.0</v>
      </c>
      <c r="BH1381" s="15">
        <v>84240.0</v>
      </c>
      <c r="BI1381" s="15">
        <v>86300.0</v>
      </c>
      <c r="BJ1381" s="15">
        <v>109150.0</v>
      </c>
      <c r="BK1381" s="15">
        <v>53920.0</v>
      </c>
      <c r="BL1381" s="15">
        <v>63810.0</v>
      </c>
      <c r="BM1381" s="12"/>
      <c r="BN1381" s="15">
        <v>4110.0</v>
      </c>
      <c r="BO1381" s="15">
        <v>4760.0</v>
      </c>
      <c r="BP1381" s="15">
        <v>3680.0</v>
      </c>
      <c r="BQ1381" s="15">
        <v>3760.0</v>
      </c>
      <c r="BR1381" s="15">
        <v>1600000.0</v>
      </c>
      <c r="BS1381" s="15">
        <v>1590000.0</v>
      </c>
      <c r="BT1381" s="15">
        <v>1450000.0</v>
      </c>
      <c r="BU1381" s="15">
        <v>1370000.0</v>
      </c>
      <c r="BV1381" s="15">
        <v>1280000.0</v>
      </c>
      <c r="BW1381" s="15">
        <v>1790000.0</v>
      </c>
      <c r="BX1381" s="15">
        <v>1790000.0</v>
      </c>
      <c r="BY1381" s="15">
        <v>1660000.0</v>
      </c>
      <c r="BZ1381" s="15">
        <v>1520000.0</v>
      </c>
      <c r="CA1381" s="15">
        <v>1440000.0</v>
      </c>
      <c r="CB1381" s="15">
        <v>3350000.0</v>
      </c>
      <c r="CC1381" s="15">
        <v>1130000.0</v>
      </c>
      <c r="CD1381" s="15">
        <v>1040000.0</v>
      </c>
      <c r="CE1381" s="15">
        <v>962310.0</v>
      </c>
      <c r="CF1381" s="15">
        <v>847580.0</v>
      </c>
      <c r="CG1381" s="15">
        <v>93190.0</v>
      </c>
      <c r="CH1381" s="15">
        <v>93190.0</v>
      </c>
      <c r="CI1381" s="15">
        <v>93190.0</v>
      </c>
      <c r="CJ1381" s="15">
        <v>94420.0</v>
      </c>
      <c r="CK1381" s="15">
        <v>10260.0</v>
      </c>
      <c r="CL1381" s="15">
        <v>5290000.0</v>
      </c>
      <c r="CM1381" s="15">
        <v>3190000.0</v>
      </c>
      <c r="CN1381" s="15">
        <v>2950000.0</v>
      </c>
      <c r="CO1381" s="15">
        <v>2760000.0</v>
      </c>
      <c r="CP1381" s="15">
        <v>2440000.0</v>
      </c>
      <c r="CQ1381" s="15">
        <v>643040.0</v>
      </c>
      <c r="CR1381" s="15">
        <v>619980.0</v>
      </c>
      <c r="CS1381" s="15">
        <v>576570.0</v>
      </c>
      <c r="CT1381" s="15">
        <v>519520.0</v>
      </c>
      <c r="CU1381" s="15">
        <v>427250.0</v>
      </c>
      <c r="CV1381" s="15">
        <v>1250000.0</v>
      </c>
      <c r="CW1381" s="15">
        <v>277100.0</v>
      </c>
      <c r="CX1381" s="12"/>
      <c r="CY1381" s="13"/>
      <c r="CZ1381" s="13"/>
      <c r="DA1381" s="12"/>
      <c r="DB1381" s="15">
        <v>1250000.0</v>
      </c>
      <c r="DC1381" s="15">
        <v>938110.0</v>
      </c>
      <c r="DD1381" s="15">
        <v>849210.0</v>
      </c>
      <c r="DE1381" s="15">
        <v>777190.0</v>
      </c>
      <c r="DF1381" s="15">
        <v>3720000.0</v>
      </c>
      <c r="DG1381" s="15">
        <v>1630000.0</v>
      </c>
      <c r="DH1381" s="15">
        <v>1530000.0</v>
      </c>
      <c r="DI1381" s="15">
        <v>1310000.0</v>
      </c>
      <c r="DJ1381" s="15">
        <v>1040000.0</v>
      </c>
      <c r="DK1381" s="15">
        <v>91.0</v>
      </c>
      <c r="DL1381" s="15">
        <v>3220.0</v>
      </c>
      <c r="DM1381" s="12"/>
      <c r="DN1381" s="12"/>
      <c r="DO1381" s="12"/>
      <c r="DP1381" s="15">
        <v>2400000.0</v>
      </c>
      <c r="DQ1381" s="15">
        <v>410370.0</v>
      </c>
      <c r="DR1381" s="15">
        <v>433690.0</v>
      </c>
      <c r="DS1381" s="15">
        <v>289770.0</v>
      </c>
      <c r="DT1381" s="15">
        <v>166990.0</v>
      </c>
      <c r="DU1381" s="13"/>
      <c r="DV1381" s="12"/>
      <c r="DW1381" s="12"/>
      <c r="DX1381" s="12"/>
      <c r="DY1381" s="12"/>
      <c r="DZ1381" s="15">
        <v>1570000.0</v>
      </c>
      <c r="EA1381" s="15">
        <v>1560000.0</v>
      </c>
      <c r="EB1381" s="15">
        <v>1420000.0</v>
      </c>
      <c r="EC1381" s="15">
        <v>1450000.0</v>
      </c>
      <c r="ED1381" s="15">
        <v>1390000.0</v>
      </c>
      <c r="EE1381" s="17">
        <v>0.027</v>
      </c>
      <c r="EF1381" s="17">
        <v>0.139</v>
      </c>
      <c r="EG1381" s="17">
        <v>0.151</v>
      </c>
      <c r="EH1381" s="17">
        <v>0.035</v>
      </c>
    </row>
    <row r="1382">
      <c r="A1382" s="9">
        <f t="shared" si="2"/>
        <v>1380</v>
      </c>
      <c r="B1382" s="25" t="s">
        <v>1517</v>
      </c>
      <c r="C1382" s="15">
        <v>3350000.0</v>
      </c>
      <c r="D1382" s="15">
        <v>2960000.0</v>
      </c>
      <c r="E1382" s="15">
        <v>3780000.0</v>
      </c>
      <c r="F1382" s="15">
        <v>4620000.0</v>
      </c>
      <c r="G1382" s="15">
        <v>4450000.0</v>
      </c>
      <c r="H1382" s="15">
        <v>3720000.0</v>
      </c>
      <c r="I1382" s="15">
        <v>3970000.0</v>
      </c>
      <c r="J1382" s="15">
        <v>335600.0</v>
      </c>
      <c r="K1382" s="15">
        <v>522800.0</v>
      </c>
      <c r="L1382" s="15">
        <v>677300.0</v>
      </c>
      <c r="M1382" s="15">
        <v>578100.0</v>
      </c>
      <c r="N1382" s="15">
        <v>463020.0</v>
      </c>
      <c r="O1382" s="15">
        <v>281400.0</v>
      </c>
      <c r="P1382" s="15">
        <v>249200.0</v>
      </c>
      <c r="Q1382" s="15">
        <v>231000.0</v>
      </c>
      <c r="R1382" s="15">
        <v>217600.0</v>
      </c>
      <c r="S1382" s="15">
        <v>199760.0</v>
      </c>
      <c r="T1382" s="15">
        <v>54600.0</v>
      </c>
      <c r="U1382" s="15">
        <v>56000.0</v>
      </c>
      <c r="V1382" s="15">
        <v>51900.0</v>
      </c>
      <c r="W1382" s="15">
        <v>51000.0</v>
      </c>
      <c r="X1382" s="15">
        <v>51900.0</v>
      </c>
      <c r="Y1382" s="15">
        <v>35600.0</v>
      </c>
      <c r="Z1382" s="15">
        <v>264100.0</v>
      </c>
      <c r="AA1382" s="15">
        <v>351800.0</v>
      </c>
      <c r="AB1382" s="15">
        <v>-17400.0</v>
      </c>
      <c r="AC1382" s="15">
        <v>160420.0</v>
      </c>
      <c r="AD1382" s="15">
        <v>-14400.0</v>
      </c>
      <c r="AE1382" s="15">
        <v>364300.0</v>
      </c>
      <c r="AF1382" s="15">
        <v>411100.0</v>
      </c>
      <c r="AG1382" s="15">
        <v>405300.0</v>
      </c>
      <c r="AH1382" s="15">
        <v>203860.0</v>
      </c>
      <c r="AI1382" s="15">
        <v>190200.0</v>
      </c>
      <c r="AJ1382" s="15">
        <v>403800.0</v>
      </c>
      <c r="AK1382" s="15">
        <v>556900.0</v>
      </c>
      <c r="AL1382" s="15">
        <v>456900.0</v>
      </c>
      <c r="AM1382" s="15">
        <v>360010.0</v>
      </c>
      <c r="AN1382" s="15">
        <v>92000.0</v>
      </c>
      <c r="AO1382" s="15">
        <v>292500.0</v>
      </c>
      <c r="AP1382" s="15">
        <v>328300.0</v>
      </c>
      <c r="AQ1382" s="15">
        <v>318300.0</v>
      </c>
      <c r="AR1382" s="15">
        <v>133650.0</v>
      </c>
      <c r="AS1382" s="15">
        <v>322500.0</v>
      </c>
      <c r="AT1382" s="15">
        <v>366500.0</v>
      </c>
      <c r="AU1382" s="15">
        <v>391300.0</v>
      </c>
      <c r="AV1382" s="15">
        <v>403700.0</v>
      </c>
      <c r="AW1382" s="15">
        <v>353250.0</v>
      </c>
      <c r="AX1382" s="15">
        <v>-110100.0</v>
      </c>
      <c r="AY1382" s="15">
        <v>-121400.0</v>
      </c>
      <c r="AZ1382" s="15">
        <v>-147400.0</v>
      </c>
      <c r="BA1382" s="15">
        <v>-123900.0</v>
      </c>
      <c r="BB1382" s="15">
        <v>-109270.0</v>
      </c>
      <c r="BC1382" s="15">
        <v>-65700.0</v>
      </c>
      <c r="BD1382" s="15">
        <v>-66000.0</v>
      </c>
      <c r="BE1382" s="15">
        <v>-58000.0</v>
      </c>
      <c r="BF1382" s="15">
        <v>-27300.0</v>
      </c>
      <c r="BG1382" s="13"/>
      <c r="BH1382" s="15">
        <v>457400.0</v>
      </c>
      <c r="BI1382" s="15">
        <v>452300.0</v>
      </c>
      <c r="BJ1382" s="15">
        <v>432800.0</v>
      </c>
      <c r="BK1382" s="15">
        <v>465100.0</v>
      </c>
      <c r="BL1382" s="15">
        <v>431260.0</v>
      </c>
      <c r="BM1382" s="15">
        <v>570800.0</v>
      </c>
      <c r="BN1382" s="15">
        <v>648100.0</v>
      </c>
      <c r="BO1382" s="15">
        <v>685500.0</v>
      </c>
      <c r="BP1382" s="15">
        <v>564400.0</v>
      </c>
      <c r="BQ1382" s="15">
        <v>494560.0</v>
      </c>
      <c r="BR1382" s="15">
        <v>438200.0</v>
      </c>
      <c r="BS1382" s="15">
        <v>510400.0</v>
      </c>
      <c r="BT1382" s="15">
        <v>510400.0</v>
      </c>
      <c r="BU1382" s="15">
        <v>385300.0</v>
      </c>
      <c r="BV1382" s="15">
        <v>353100.0</v>
      </c>
      <c r="BW1382" s="15">
        <v>1490000.0</v>
      </c>
      <c r="BX1382" s="15">
        <v>1630000.0</v>
      </c>
      <c r="BY1382" s="15">
        <v>1650000.0</v>
      </c>
      <c r="BZ1382" s="15">
        <v>1430000.0</v>
      </c>
      <c r="CA1382" s="15">
        <v>1290000.0</v>
      </c>
      <c r="CB1382" s="15">
        <v>697200.0</v>
      </c>
      <c r="CC1382" s="15">
        <v>592100.0</v>
      </c>
      <c r="CD1382" s="15">
        <v>627000.0</v>
      </c>
      <c r="CE1382" s="15">
        <v>510000.0</v>
      </c>
      <c r="CF1382" s="15">
        <v>518750.0</v>
      </c>
      <c r="CG1382" s="15">
        <v>67700.0</v>
      </c>
      <c r="CH1382" s="15">
        <v>69000.0</v>
      </c>
      <c r="CI1382" s="15">
        <v>72500.0</v>
      </c>
      <c r="CJ1382" s="15">
        <v>38000.0</v>
      </c>
      <c r="CK1382" s="15">
        <v>31060.0</v>
      </c>
      <c r="CL1382" s="15">
        <v>2760000.0</v>
      </c>
      <c r="CM1382" s="15">
        <v>2730000.0</v>
      </c>
      <c r="CN1382" s="15">
        <v>2770000.0</v>
      </c>
      <c r="CO1382" s="15">
        <v>2420000.0</v>
      </c>
      <c r="CP1382" s="15">
        <v>2280000.0</v>
      </c>
      <c r="CQ1382" s="15">
        <v>304600.0</v>
      </c>
      <c r="CR1382" s="15">
        <v>319900.0</v>
      </c>
      <c r="CS1382" s="15">
        <v>387300.0</v>
      </c>
      <c r="CT1382" s="15">
        <v>341900.0</v>
      </c>
      <c r="CU1382" s="15">
        <v>296050.0</v>
      </c>
      <c r="CV1382" s="15">
        <v>527600.0</v>
      </c>
      <c r="CW1382" s="15">
        <v>14100.0</v>
      </c>
      <c r="CX1382" s="13"/>
      <c r="CY1382" s="15">
        <v>7000.0</v>
      </c>
      <c r="CZ1382" s="15">
        <v>5000.0</v>
      </c>
      <c r="DA1382" s="15">
        <v>5000.0</v>
      </c>
      <c r="DB1382" s="15">
        <v>527600.0</v>
      </c>
      <c r="DC1382" s="15">
        <v>537000.0</v>
      </c>
      <c r="DD1382" s="15">
        <v>626600.0</v>
      </c>
      <c r="DE1382" s="15">
        <v>542200.0</v>
      </c>
      <c r="DF1382" s="15">
        <v>2090000.0</v>
      </c>
      <c r="DG1382" s="15">
        <v>1960000.0</v>
      </c>
      <c r="DH1382" s="15">
        <v>2100000.0</v>
      </c>
      <c r="DI1382" s="15">
        <v>1970000.0</v>
      </c>
      <c r="DJ1382" s="15">
        <v>1900000.0</v>
      </c>
      <c r="DK1382" s="15">
        <v>188100.0</v>
      </c>
      <c r="DL1382" s="15">
        <v>179100.0</v>
      </c>
      <c r="DM1382" s="15">
        <v>152500.0</v>
      </c>
      <c r="DN1382" s="15">
        <v>191400.0</v>
      </c>
      <c r="DO1382" s="15">
        <v>182840.0</v>
      </c>
      <c r="DP1382" s="15">
        <v>1220000.0</v>
      </c>
      <c r="DQ1382" s="15">
        <v>1160000.0</v>
      </c>
      <c r="DR1382" s="15">
        <v>1170000.0</v>
      </c>
      <c r="DS1382" s="15">
        <v>1160000.0</v>
      </c>
      <c r="DT1382" s="15">
        <v>1200000.0</v>
      </c>
      <c r="DU1382" s="13"/>
      <c r="DV1382" s="12"/>
      <c r="DW1382" s="12"/>
      <c r="DX1382" s="12"/>
      <c r="DY1382" s="12"/>
      <c r="DZ1382" s="15">
        <v>668900.0</v>
      </c>
      <c r="EA1382" s="15">
        <v>768700.0</v>
      </c>
      <c r="EB1382" s="15">
        <v>674800.0</v>
      </c>
      <c r="EC1382" s="15">
        <v>447700.0</v>
      </c>
      <c r="ED1382" s="15">
        <v>389010.0</v>
      </c>
      <c r="EE1382" s="17">
        <v>0.23</v>
      </c>
      <c r="EF1382" s="17">
        <v>0.361</v>
      </c>
      <c r="EG1382" s="17">
        <v>2.714</v>
      </c>
      <c r="EH1382" s="17">
        <v>0.497</v>
      </c>
    </row>
    <row r="1383">
      <c r="A1383" s="9">
        <f t="shared" si="2"/>
        <v>1381</v>
      </c>
      <c r="B1383" s="10" t="s">
        <v>1518</v>
      </c>
      <c r="C1383" s="15">
        <v>1360000.0</v>
      </c>
      <c r="D1383" s="15">
        <v>1270000.0</v>
      </c>
      <c r="E1383" s="15">
        <v>4400000.0</v>
      </c>
      <c r="F1383" s="15">
        <v>4690000.0</v>
      </c>
      <c r="G1383" s="15">
        <v>4990000.0</v>
      </c>
      <c r="H1383" s="15">
        <v>4800000.0</v>
      </c>
      <c r="I1383" s="15">
        <v>3730000.0</v>
      </c>
      <c r="J1383" s="15">
        <v>818320.0</v>
      </c>
      <c r="K1383" s="15">
        <v>1050000.0</v>
      </c>
      <c r="L1383" s="15">
        <v>1270000.0</v>
      </c>
      <c r="M1383" s="15">
        <v>1160000.0</v>
      </c>
      <c r="N1383" s="15">
        <v>797890.0</v>
      </c>
      <c r="O1383" s="15">
        <v>509350.0</v>
      </c>
      <c r="P1383" s="15">
        <v>496160.0</v>
      </c>
      <c r="Q1383" s="15">
        <v>483660.0</v>
      </c>
      <c r="R1383" s="15">
        <v>493560.0</v>
      </c>
      <c r="S1383" s="15">
        <v>483560.0</v>
      </c>
      <c r="T1383" s="15">
        <v>269290.0</v>
      </c>
      <c r="U1383" s="15">
        <v>262640.0</v>
      </c>
      <c r="V1383" s="15">
        <v>243390.0</v>
      </c>
      <c r="W1383" s="15">
        <v>242360.0</v>
      </c>
      <c r="X1383" s="15">
        <v>239600.0</v>
      </c>
      <c r="Y1383" s="15">
        <v>327750.0</v>
      </c>
      <c r="Z1383" s="15">
        <v>0.0</v>
      </c>
      <c r="AA1383" s="15">
        <v>779980.0</v>
      </c>
      <c r="AB1383" s="15">
        <v>858830.0</v>
      </c>
      <c r="AC1383" s="15">
        <v>255660.0</v>
      </c>
      <c r="AD1383" s="15">
        <v>324310.0</v>
      </c>
      <c r="AE1383" s="15">
        <v>500880.0</v>
      </c>
      <c r="AF1383" s="15">
        <v>725750.0</v>
      </c>
      <c r="AG1383" s="15">
        <v>808440.0</v>
      </c>
      <c r="AH1383" s="15">
        <v>-160870.0</v>
      </c>
      <c r="AI1383" s="15">
        <v>1070000.0</v>
      </c>
      <c r="AJ1383" s="15">
        <v>1330000.0</v>
      </c>
      <c r="AK1383" s="15">
        <v>1540000.0</v>
      </c>
      <c r="AL1383" s="15">
        <v>1430000.0</v>
      </c>
      <c r="AM1383" s="15">
        <v>967170.0</v>
      </c>
      <c r="AN1383" s="15">
        <v>320840.0</v>
      </c>
      <c r="AO1383" s="15">
        <v>487440.0</v>
      </c>
      <c r="AP1383" s="15">
        <v>1070000.0</v>
      </c>
      <c r="AQ1383" s="15">
        <v>782820.0</v>
      </c>
      <c r="AR1383" s="15">
        <v>-115190.0</v>
      </c>
      <c r="AS1383" s="15">
        <v>1040000.0</v>
      </c>
      <c r="AT1383" s="15">
        <v>1120000.0</v>
      </c>
      <c r="AU1383" s="15">
        <v>1280000.0</v>
      </c>
      <c r="AV1383" s="15">
        <v>1260000.0</v>
      </c>
      <c r="AW1383" s="15">
        <v>661680.0</v>
      </c>
      <c r="AX1383" s="15">
        <v>-683420.0</v>
      </c>
      <c r="AY1383" s="15">
        <v>-755700.0</v>
      </c>
      <c r="AZ1383" s="15">
        <v>-675070.0</v>
      </c>
      <c r="BA1383" s="15">
        <v>-834920.0</v>
      </c>
      <c r="BB1383" s="15">
        <v>-668100.0</v>
      </c>
      <c r="BC1383" s="15">
        <v>0.0</v>
      </c>
      <c r="BD1383" s="15">
        <v>0.0</v>
      </c>
      <c r="BE1383" s="15">
        <v>0.0</v>
      </c>
      <c r="BF1383" s="15">
        <v>0.0</v>
      </c>
      <c r="BG1383" s="15">
        <v>0.0</v>
      </c>
      <c r="BH1383" s="15">
        <v>2580000.0</v>
      </c>
      <c r="BI1383" s="15">
        <v>2400000.0</v>
      </c>
      <c r="BJ1383" s="15">
        <v>1940000.0</v>
      </c>
      <c r="BK1383" s="15">
        <v>1500000.0</v>
      </c>
      <c r="BL1383" s="15">
        <v>799900.0</v>
      </c>
      <c r="BM1383" s="15">
        <v>486050.0</v>
      </c>
      <c r="BN1383" s="15">
        <v>588190.0</v>
      </c>
      <c r="BO1383" s="15">
        <v>551330.0</v>
      </c>
      <c r="BP1383" s="15">
        <v>599110.0</v>
      </c>
      <c r="BQ1383" s="15">
        <v>456970.0</v>
      </c>
      <c r="BR1383" s="15">
        <v>664050.0</v>
      </c>
      <c r="BS1383" s="15">
        <v>638150.0</v>
      </c>
      <c r="BT1383" s="15">
        <v>497540.0</v>
      </c>
      <c r="BU1383" s="15">
        <v>529310.0</v>
      </c>
      <c r="BV1383" s="15">
        <v>411210.0</v>
      </c>
      <c r="BW1383" s="15">
        <v>3760000.0</v>
      </c>
      <c r="BX1383" s="15">
        <v>3690000.0</v>
      </c>
      <c r="BY1383" s="15">
        <v>3040000.0</v>
      </c>
      <c r="BZ1383" s="15">
        <v>2690000.0</v>
      </c>
      <c r="CA1383" s="15">
        <v>1740000.0</v>
      </c>
      <c r="CB1383" s="15">
        <v>2420000.0</v>
      </c>
      <c r="CC1383" s="15">
        <v>2460000.0</v>
      </c>
      <c r="CD1383" s="15">
        <v>2200000.0</v>
      </c>
      <c r="CE1383" s="15">
        <v>2370000.0</v>
      </c>
      <c r="CF1383" s="15">
        <v>1790000.0</v>
      </c>
      <c r="CG1383" s="15">
        <v>24180.0</v>
      </c>
      <c r="CH1383" s="15">
        <v>26160.0</v>
      </c>
      <c r="CI1383" s="15">
        <v>24300.0</v>
      </c>
      <c r="CJ1383" s="15">
        <v>26940.0</v>
      </c>
      <c r="CK1383" s="15">
        <v>27240.0</v>
      </c>
      <c r="CL1383" s="15">
        <v>6680000.0</v>
      </c>
      <c r="CM1383" s="15">
        <v>6690000.0</v>
      </c>
      <c r="CN1383" s="15">
        <v>5810000.0</v>
      </c>
      <c r="CO1383" s="15">
        <v>5440000.0</v>
      </c>
      <c r="CP1383" s="15">
        <v>3760000.0</v>
      </c>
      <c r="CQ1383" s="15">
        <v>411710.0</v>
      </c>
      <c r="CR1383" s="15">
        <v>389850.0</v>
      </c>
      <c r="CS1383" s="15">
        <v>400440.0</v>
      </c>
      <c r="CT1383" s="15">
        <v>382020.0</v>
      </c>
      <c r="CU1383" s="15">
        <v>357090.0</v>
      </c>
      <c r="CV1383" s="15">
        <v>874060.0</v>
      </c>
      <c r="CW1383" s="15">
        <v>24630.0</v>
      </c>
      <c r="CX1383" s="15">
        <v>0.0</v>
      </c>
      <c r="CY1383" s="15">
        <v>367850.0</v>
      </c>
      <c r="CZ1383" s="15">
        <v>185060.0</v>
      </c>
      <c r="DA1383" s="15">
        <v>0.0</v>
      </c>
      <c r="DB1383" s="15">
        <v>874060.0</v>
      </c>
      <c r="DC1383" s="15">
        <v>761250.0</v>
      </c>
      <c r="DD1383" s="15">
        <v>1050000.0</v>
      </c>
      <c r="DE1383" s="15">
        <v>951060.0</v>
      </c>
      <c r="DF1383" s="15">
        <v>2020000.0</v>
      </c>
      <c r="DG1383" s="15">
        <v>2070000.0</v>
      </c>
      <c r="DH1383" s="15">
        <v>2310000.0</v>
      </c>
      <c r="DI1383" s="15">
        <v>2970000.0</v>
      </c>
      <c r="DJ1383" s="15">
        <v>2450000.0</v>
      </c>
      <c r="DK1383" s="15">
        <v>141100.0</v>
      </c>
      <c r="DL1383" s="15">
        <v>108560.0</v>
      </c>
      <c r="DM1383" s="15">
        <v>106790.0</v>
      </c>
      <c r="DN1383" s="15">
        <v>60480.0</v>
      </c>
      <c r="DO1383" s="15">
        <v>6700.0</v>
      </c>
      <c r="DP1383" s="15">
        <v>849070.0</v>
      </c>
      <c r="DQ1383" s="15">
        <v>959110.0</v>
      </c>
      <c r="DR1383" s="15">
        <v>866110.0</v>
      </c>
      <c r="DS1383" s="15">
        <v>1300000.0</v>
      </c>
      <c r="DT1383" s="15">
        <v>1190000.0</v>
      </c>
      <c r="DU1383" s="16">
        <v>0.0</v>
      </c>
      <c r="DV1383" s="15">
        <v>0.0</v>
      </c>
      <c r="DW1383" s="15">
        <v>0.0</v>
      </c>
      <c r="DX1383" s="15">
        <v>0.0</v>
      </c>
      <c r="DY1383" s="15">
        <v>0.0</v>
      </c>
      <c r="DZ1383" s="15">
        <v>4680000.0</v>
      </c>
      <c r="EA1383" s="15">
        <v>4640000.0</v>
      </c>
      <c r="EB1383" s="15">
        <v>3520000.0</v>
      </c>
      <c r="EC1383" s="15">
        <v>2500000.0</v>
      </c>
      <c r="ED1383" s="15">
        <v>1360000.0</v>
      </c>
      <c r="EE1383" s="17">
        <v>0.008</v>
      </c>
      <c r="EF1383" s="17">
        <v>0.029</v>
      </c>
      <c r="EG1383" s="17">
        <v>0.053</v>
      </c>
      <c r="EH1383" s="17">
        <v>0.017</v>
      </c>
    </row>
    <row r="1384">
      <c r="A1384" s="9">
        <f t="shared" si="2"/>
        <v>1382</v>
      </c>
      <c r="B1384" s="25" t="s">
        <v>1519</v>
      </c>
      <c r="C1384" s="15">
        <v>4.08E7</v>
      </c>
      <c r="D1384" s="15">
        <v>2.964E7</v>
      </c>
      <c r="E1384" s="15">
        <v>2.458E7</v>
      </c>
      <c r="F1384" s="15">
        <v>2.146E7</v>
      </c>
      <c r="G1384" s="15">
        <v>1.176E7</v>
      </c>
      <c r="H1384" s="15">
        <v>7000000.0</v>
      </c>
      <c r="I1384" s="15">
        <v>4050000.0</v>
      </c>
      <c r="J1384" s="15">
        <v>4070000.0</v>
      </c>
      <c r="K1384" s="15">
        <v>4040000.0</v>
      </c>
      <c r="L1384" s="15">
        <v>2220000.0</v>
      </c>
      <c r="M1384" s="15">
        <v>1550000.0</v>
      </c>
      <c r="N1384" s="15">
        <v>923500.0</v>
      </c>
      <c r="O1384" s="15">
        <v>3990000.0</v>
      </c>
      <c r="P1384" s="15">
        <v>4290000.0</v>
      </c>
      <c r="Q1384" s="15">
        <v>3850000.0</v>
      </c>
      <c r="R1384" s="15">
        <v>2240000.0</v>
      </c>
      <c r="S1384" s="15">
        <v>1640000.0</v>
      </c>
      <c r="T1384" s="15">
        <v>1340000.0</v>
      </c>
      <c r="U1384" s="15">
        <v>1460000.0</v>
      </c>
      <c r="V1384" s="15">
        <v>1380000.0</v>
      </c>
      <c r="W1384" s="15">
        <v>834410.0</v>
      </c>
      <c r="X1384" s="15">
        <v>717900.0</v>
      </c>
      <c r="Y1384" s="15">
        <v>-109000.0</v>
      </c>
      <c r="Z1384" s="15">
        <v>-366520.0</v>
      </c>
      <c r="AA1384" s="15">
        <v>-1630000.0</v>
      </c>
      <c r="AB1384" s="15">
        <v>-616510.0</v>
      </c>
      <c r="AC1384" s="12"/>
      <c r="AD1384" s="15">
        <v>-665000.0</v>
      </c>
      <c r="AE1384" s="15">
        <v>-1000000.0</v>
      </c>
      <c r="AF1384" s="15">
        <v>-2210000.0</v>
      </c>
      <c r="AG1384" s="15">
        <v>-746350.0</v>
      </c>
      <c r="AH1384" s="15">
        <v>-875620.0</v>
      </c>
      <c r="AI1384" s="15">
        <v>2230000.0</v>
      </c>
      <c r="AJ1384" s="15">
        <v>1650000.0</v>
      </c>
      <c r="AK1384" s="15">
        <v>-1680.0</v>
      </c>
      <c r="AL1384" s="15">
        <v>256560.0</v>
      </c>
      <c r="AM1384" s="15">
        <v>-294040.0</v>
      </c>
      <c r="AN1384" s="15">
        <v>-862000.0</v>
      </c>
      <c r="AO1384" s="15">
        <v>-976090.0</v>
      </c>
      <c r="AP1384" s="15">
        <v>-1960000.0</v>
      </c>
      <c r="AQ1384" s="15">
        <v>-674910.0</v>
      </c>
      <c r="AR1384" s="15">
        <v>-888660.0</v>
      </c>
      <c r="AS1384" s="15">
        <v>2410000.0</v>
      </c>
      <c r="AT1384" s="15">
        <v>2100000.0</v>
      </c>
      <c r="AU1384" s="15">
        <v>-60650.0</v>
      </c>
      <c r="AV1384" s="15">
        <v>-123830.0</v>
      </c>
      <c r="AW1384" s="15">
        <v>-524500.0</v>
      </c>
      <c r="AX1384" s="15">
        <v>-1440000.0</v>
      </c>
      <c r="AY1384" s="15">
        <v>-2320000.0</v>
      </c>
      <c r="AZ1384" s="15">
        <v>-4080000.0</v>
      </c>
      <c r="BA1384" s="15">
        <v>-1440000.0</v>
      </c>
      <c r="BB1384" s="15">
        <v>-1630000.0</v>
      </c>
      <c r="BC1384" s="12"/>
      <c r="BD1384" s="12"/>
      <c r="BE1384" s="12"/>
      <c r="BF1384" s="12"/>
      <c r="BG1384" s="12"/>
      <c r="BH1384" s="15">
        <v>6510000.0</v>
      </c>
      <c r="BI1384" s="15">
        <v>3880000.0</v>
      </c>
      <c r="BJ1384" s="15">
        <v>3520000.0</v>
      </c>
      <c r="BK1384" s="15">
        <v>3500000.0</v>
      </c>
      <c r="BL1384" s="15">
        <v>1220000.0</v>
      </c>
      <c r="BM1384" s="15">
        <v>1320000.0</v>
      </c>
      <c r="BN1384" s="15">
        <v>949020.0</v>
      </c>
      <c r="BO1384" s="15">
        <v>515380.0</v>
      </c>
      <c r="BP1384" s="15">
        <v>499140.0</v>
      </c>
      <c r="BQ1384" s="15">
        <v>168970.0</v>
      </c>
      <c r="BR1384" s="15">
        <v>3550000.0</v>
      </c>
      <c r="BS1384" s="15">
        <v>3110000.0</v>
      </c>
      <c r="BT1384" s="15">
        <v>2260000.0</v>
      </c>
      <c r="BU1384" s="15">
        <v>2070000.0</v>
      </c>
      <c r="BV1384" s="15">
        <v>1280000.0</v>
      </c>
      <c r="BW1384" s="15">
        <v>1.21E7</v>
      </c>
      <c r="BX1384" s="15">
        <v>8310000.0</v>
      </c>
      <c r="BY1384" s="15">
        <v>6570000.0</v>
      </c>
      <c r="BZ1384" s="15">
        <v>6260000.0</v>
      </c>
      <c r="CA1384" s="15">
        <v>2780000.0</v>
      </c>
      <c r="CB1384" s="15">
        <v>2.02E7</v>
      </c>
      <c r="CC1384" s="15">
        <v>1.969E7</v>
      </c>
      <c r="CD1384" s="15">
        <v>2.049E7</v>
      </c>
      <c r="CE1384" s="15">
        <v>1.504E7</v>
      </c>
      <c r="CF1384" s="15">
        <v>5190000.0</v>
      </c>
      <c r="CG1384" s="15">
        <v>198000.0</v>
      </c>
      <c r="CH1384" s="15">
        <v>68160.0</v>
      </c>
      <c r="CI1384" s="15">
        <v>60240.0</v>
      </c>
      <c r="CJ1384" s="12"/>
      <c r="CK1384" s="12"/>
      <c r="CL1384" s="15">
        <v>3.431E7</v>
      </c>
      <c r="CM1384" s="15">
        <v>2.974E7</v>
      </c>
      <c r="CN1384" s="15">
        <v>2.866E7</v>
      </c>
      <c r="CO1384" s="15">
        <v>2.266E7</v>
      </c>
      <c r="CP1384" s="15">
        <v>8070000.0</v>
      </c>
      <c r="CQ1384" s="15">
        <v>3770000.0</v>
      </c>
      <c r="CR1384" s="15">
        <v>3400000.0</v>
      </c>
      <c r="CS1384" s="15">
        <v>2390000.0</v>
      </c>
      <c r="CT1384" s="15">
        <v>1860000.0</v>
      </c>
      <c r="CU1384" s="15">
        <v>916150.0</v>
      </c>
      <c r="CV1384" s="15">
        <v>1.067E7</v>
      </c>
      <c r="CW1384" s="15">
        <v>228000.0</v>
      </c>
      <c r="CX1384" s="12"/>
      <c r="CY1384" s="12"/>
      <c r="CZ1384" s="12"/>
      <c r="DA1384" s="12"/>
      <c r="DB1384" s="15">
        <v>1.067E7</v>
      </c>
      <c r="DC1384" s="15">
        <v>9990000.0</v>
      </c>
      <c r="DD1384" s="15">
        <v>7670000.0</v>
      </c>
      <c r="DE1384" s="15">
        <v>5830000.0</v>
      </c>
      <c r="DF1384" s="15">
        <v>2.62E7</v>
      </c>
      <c r="DG1384" s="15">
        <v>2.343E7</v>
      </c>
      <c r="DH1384" s="15">
        <v>2.302E7</v>
      </c>
      <c r="DI1384" s="15">
        <v>1.676E7</v>
      </c>
      <c r="DJ1384" s="15">
        <v>6980000.0</v>
      </c>
      <c r="DK1384" s="15">
        <v>270000.0</v>
      </c>
      <c r="DL1384" s="15">
        <v>398220.0</v>
      </c>
      <c r="DM1384" s="15">
        <v>441720.0</v>
      </c>
      <c r="DN1384" s="15">
        <v>268170.0</v>
      </c>
      <c r="DO1384" s="15">
        <v>31520.0</v>
      </c>
      <c r="DP1384" s="15">
        <v>1.263E7</v>
      </c>
      <c r="DQ1384" s="15">
        <v>1.112E7</v>
      </c>
      <c r="DR1384" s="15">
        <v>1.115E7</v>
      </c>
      <c r="DS1384" s="15">
        <v>7390000.0</v>
      </c>
      <c r="DT1384" s="15">
        <v>2270000.0</v>
      </c>
      <c r="DU1384" s="13"/>
      <c r="DV1384" s="12"/>
      <c r="DW1384" s="12"/>
      <c r="DX1384" s="13"/>
      <c r="DY1384" s="13"/>
      <c r="DZ1384" s="15">
        <v>6620000.0</v>
      </c>
      <c r="EA1384" s="15">
        <v>4920000.0</v>
      </c>
      <c r="EB1384" s="15">
        <v>4240000.0</v>
      </c>
      <c r="EC1384" s="15">
        <v>4750000.0</v>
      </c>
      <c r="ED1384" s="15">
        <v>1080000.0</v>
      </c>
      <c r="EE1384" s="17">
        <v>0.191</v>
      </c>
      <c r="EF1384" s="17">
        <v>0.416</v>
      </c>
      <c r="EG1384" s="17">
        <v>71.667</v>
      </c>
      <c r="EH1384" s="17">
        <v>20.714</v>
      </c>
    </row>
    <row r="1385">
      <c r="A1385" s="9">
        <f t="shared" si="2"/>
        <v>1383</v>
      </c>
      <c r="B1385" s="10" t="s">
        <v>1520</v>
      </c>
      <c r="C1385" s="15">
        <v>1.33632E9</v>
      </c>
      <c r="D1385" s="15">
        <v>1.2122E9</v>
      </c>
      <c r="E1385" s="15">
        <v>1.07E9</v>
      </c>
      <c r="F1385" s="15">
        <v>1.03E9</v>
      </c>
      <c r="G1385" s="15">
        <v>9.7744E8</v>
      </c>
      <c r="H1385" s="15">
        <v>9.4791E8</v>
      </c>
      <c r="I1385" s="15">
        <v>8.4351E8</v>
      </c>
      <c r="J1385" s="15">
        <v>4.6542E8</v>
      </c>
      <c r="K1385" s="15">
        <v>4.7221E8</v>
      </c>
      <c r="L1385" s="15">
        <v>4.728E8</v>
      </c>
      <c r="M1385" s="15">
        <v>4.5651E8</v>
      </c>
      <c r="N1385" s="15">
        <v>3.9366E8</v>
      </c>
      <c r="O1385" s="15">
        <v>9.225E7</v>
      </c>
      <c r="P1385" s="15">
        <v>8.651E7</v>
      </c>
      <c r="Q1385" s="15">
        <v>8.594E7</v>
      </c>
      <c r="R1385" s="15">
        <v>7.861E7</v>
      </c>
      <c r="S1385" s="15">
        <v>7.175E7</v>
      </c>
      <c r="T1385" s="15">
        <v>9.142E7</v>
      </c>
      <c r="U1385" s="15">
        <v>8.59E7</v>
      </c>
      <c r="V1385" s="15">
        <v>8.073E7</v>
      </c>
      <c r="W1385" s="15">
        <v>7.121E7</v>
      </c>
      <c r="X1385" s="15">
        <v>6.554E7</v>
      </c>
      <c r="Y1385" s="15">
        <v>3.7331E8</v>
      </c>
      <c r="Z1385" s="15">
        <v>3.853E8</v>
      </c>
      <c r="AA1385" s="15">
        <v>3.8917E8</v>
      </c>
      <c r="AB1385" s="15">
        <v>3.7826E8</v>
      </c>
      <c r="AC1385" s="15">
        <v>3.1737E8</v>
      </c>
      <c r="AD1385" s="15">
        <v>3.87E8</v>
      </c>
      <c r="AE1385" s="15">
        <v>3.9445E8</v>
      </c>
      <c r="AF1385" s="15">
        <v>3.9315E8</v>
      </c>
      <c r="AG1385" s="15">
        <v>3.8246E8</v>
      </c>
      <c r="AH1385" s="15">
        <v>3.463E8</v>
      </c>
      <c r="AI1385" s="15">
        <v>6.6006E8</v>
      </c>
      <c r="AJ1385" s="15">
        <v>6.7827E8</v>
      </c>
      <c r="AK1385" s="15">
        <v>6.47E8</v>
      </c>
      <c r="AL1385" s="15">
        <v>6.0173E8</v>
      </c>
      <c r="AM1385" s="15">
        <v>5.4441E8</v>
      </c>
      <c r="AN1385" s="15">
        <v>3.4526E8</v>
      </c>
      <c r="AO1385" s="15">
        <v>3.5113E8</v>
      </c>
      <c r="AP1385" s="15">
        <v>3.4311E8</v>
      </c>
      <c r="AQ1385" s="15">
        <v>3.3425E8</v>
      </c>
      <c r="AR1385" s="15">
        <v>3.0657E8</v>
      </c>
      <c r="AS1385" s="15">
        <v>6.3046E8</v>
      </c>
      <c r="AT1385" s="15">
        <v>5.888E8</v>
      </c>
      <c r="AU1385" s="15">
        <v>5.9575E8</v>
      </c>
      <c r="AV1385" s="15">
        <v>5.485E8</v>
      </c>
      <c r="AW1385" s="15">
        <v>5.3462E8</v>
      </c>
      <c r="AX1385" s="15">
        <v>-4.678E8</v>
      </c>
      <c r="AY1385" s="15">
        <v>-3.2491E8</v>
      </c>
      <c r="AZ1385" s="15">
        <v>-3.3722E8</v>
      </c>
      <c r="BA1385" s="15">
        <v>-3.3309E8</v>
      </c>
      <c r="BB1385" s="15">
        <v>-2.618E8</v>
      </c>
      <c r="BC1385" s="15">
        <v>-2.593E8</v>
      </c>
      <c r="BD1385" s="15">
        <v>-2.0744E8</v>
      </c>
      <c r="BE1385" s="15">
        <v>-1.8151E8</v>
      </c>
      <c r="BF1385" s="15">
        <v>-1.5558E8</v>
      </c>
      <c r="BG1385" s="15">
        <v>-1.1668E8</v>
      </c>
      <c r="BH1385" s="15">
        <v>5.8356E8</v>
      </c>
      <c r="BI1385" s="15">
        <v>6.9531E8</v>
      </c>
      <c r="BJ1385" s="15">
        <v>6.4952E8</v>
      </c>
      <c r="BK1385" s="15">
        <v>6.3229E8</v>
      </c>
      <c r="BL1385" s="15">
        <v>5.8634E8</v>
      </c>
      <c r="BM1385" s="15">
        <v>1.3982E8</v>
      </c>
      <c r="BN1385" s="15">
        <v>1.2926E8</v>
      </c>
      <c r="BO1385" s="15">
        <v>1.2249E8</v>
      </c>
      <c r="BP1385" s="15">
        <v>1.2945E8</v>
      </c>
      <c r="BQ1385" s="15">
        <v>8.569E7</v>
      </c>
      <c r="BR1385" s="15">
        <v>8.298E7</v>
      </c>
      <c r="BS1385" s="15">
        <v>1.0323E8</v>
      </c>
      <c r="BT1385" s="15">
        <v>7.388E7</v>
      </c>
      <c r="BU1385" s="15">
        <v>4.868E7</v>
      </c>
      <c r="BV1385" s="15">
        <v>6.705E7</v>
      </c>
      <c r="BW1385" s="15">
        <v>8.2261E8</v>
      </c>
      <c r="BX1385" s="15">
        <v>9.5168E8</v>
      </c>
      <c r="BY1385" s="15">
        <v>8.572E8</v>
      </c>
      <c r="BZ1385" s="15">
        <v>8.1773E8</v>
      </c>
      <c r="CA1385" s="15">
        <v>7.4674E8</v>
      </c>
      <c r="CB1385" s="15">
        <v>0.0</v>
      </c>
      <c r="CC1385" s="15">
        <v>0.0</v>
      </c>
      <c r="CD1385" s="15">
        <v>0.0</v>
      </c>
      <c r="CE1385" s="15">
        <v>9.9778E8</v>
      </c>
      <c r="CF1385" s="15">
        <v>8.5347E8</v>
      </c>
      <c r="CG1385" s="15">
        <v>5690000.0</v>
      </c>
      <c r="CH1385" s="15">
        <v>5800000.0</v>
      </c>
      <c r="CI1385" s="15">
        <v>5650000.0</v>
      </c>
      <c r="CJ1385" s="15">
        <v>6010000.0</v>
      </c>
      <c r="CK1385" s="15">
        <v>6100000.0</v>
      </c>
      <c r="CL1385" s="15">
        <v>0.0</v>
      </c>
      <c r="CM1385" s="15">
        <v>0.0</v>
      </c>
      <c r="CN1385" s="15">
        <v>0.0</v>
      </c>
      <c r="CO1385" s="15">
        <v>0.0</v>
      </c>
      <c r="CP1385" s="15">
        <v>0.0</v>
      </c>
      <c r="CQ1385" s="15">
        <v>4.021E7</v>
      </c>
      <c r="CR1385" s="15">
        <v>3.436E7</v>
      </c>
      <c r="CS1385" s="15">
        <v>3.007E7</v>
      </c>
      <c r="CT1385" s="15">
        <v>2.606E7</v>
      </c>
      <c r="CU1385" s="15">
        <v>1.858E7</v>
      </c>
      <c r="CV1385" s="15">
        <v>5.9074E8</v>
      </c>
      <c r="CW1385" s="15">
        <v>1.1852E8</v>
      </c>
      <c r="CX1385" s="15">
        <v>8.875E7</v>
      </c>
      <c r="CY1385" s="15">
        <v>6.377E7</v>
      </c>
      <c r="CZ1385" s="15">
        <v>5.796E7</v>
      </c>
      <c r="DA1385" s="15">
        <v>3.947E7</v>
      </c>
      <c r="DB1385" s="15">
        <v>5.9074E8</v>
      </c>
      <c r="DC1385" s="15">
        <v>3.4054E8</v>
      </c>
      <c r="DD1385" s="15">
        <v>3.5871E8</v>
      </c>
      <c r="DE1385" s="15">
        <v>3.1824E8</v>
      </c>
      <c r="DF1385" s="15">
        <v>6.4271E8</v>
      </c>
      <c r="DG1385" s="15">
        <v>4.1263E8</v>
      </c>
      <c r="DH1385" s="15">
        <v>4.691E8</v>
      </c>
      <c r="DI1385" s="15">
        <v>4.964E8</v>
      </c>
      <c r="DJ1385" s="15">
        <v>4.3488E8</v>
      </c>
      <c r="DK1385" s="15">
        <v>3.017E7</v>
      </c>
      <c r="DL1385" s="15">
        <v>2.93E7</v>
      </c>
      <c r="DM1385" s="15">
        <v>4.157E7</v>
      </c>
      <c r="DN1385" s="15">
        <v>4.656E7</v>
      </c>
      <c r="DO1385" s="15">
        <v>3.542E7</v>
      </c>
      <c r="DP1385" s="15">
        <v>4.014E7</v>
      </c>
      <c r="DQ1385" s="15">
        <v>5.69E7</v>
      </c>
      <c r="DR1385" s="15">
        <v>9.18E7</v>
      </c>
      <c r="DS1385" s="15">
        <v>1.5312E8</v>
      </c>
      <c r="DT1385" s="15">
        <v>1.92E8</v>
      </c>
      <c r="DU1385" s="16">
        <v>0.0</v>
      </c>
      <c r="DV1385" s="15">
        <v>0.0</v>
      </c>
      <c r="DW1385" s="15">
        <v>0.0</v>
      </c>
      <c r="DX1385" s="15">
        <v>0.0</v>
      </c>
      <c r="DY1385" s="15">
        <v>0.0</v>
      </c>
      <c r="DZ1385" s="15">
        <v>0.0</v>
      </c>
      <c r="EA1385" s="15">
        <v>0.0</v>
      </c>
      <c r="EB1385" s="15">
        <v>0.0</v>
      </c>
      <c r="EC1385" s="15">
        <v>0.0</v>
      </c>
      <c r="ED1385" s="15">
        <v>0.0</v>
      </c>
      <c r="EE1385" s="17">
        <v>0.124</v>
      </c>
      <c r="EF1385" s="17">
        <v>0.224</v>
      </c>
      <c r="EG1385" s="17">
        <v>0.027</v>
      </c>
      <c r="EH1385" s="17">
        <v>0.006</v>
      </c>
    </row>
    <row r="1386">
      <c r="A1386" s="9">
        <f t="shared" si="2"/>
        <v>1384</v>
      </c>
      <c r="B1386" s="10" t="s">
        <v>1521</v>
      </c>
      <c r="C1386" s="15">
        <v>4.496E7</v>
      </c>
      <c r="D1386" s="15">
        <v>4.364E7</v>
      </c>
      <c r="E1386" s="15">
        <v>4.243E7</v>
      </c>
      <c r="F1386" s="15">
        <v>4.003E7</v>
      </c>
      <c r="G1386" s="15">
        <v>3.815E7</v>
      </c>
      <c r="H1386" s="15">
        <v>3.695E7</v>
      </c>
      <c r="I1386" s="15">
        <v>4.144E7</v>
      </c>
      <c r="J1386" s="15">
        <v>5100000.0</v>
      </c>
      <c r="K1386" s="15">
        <v>5300000.0</v>
      </c>
      <c r="L1386" s="15">
        <v>5200000.0</v>
      </c>
      <c r="M1386" s="15">
        <v>4750000.0</v>
      </c>
      <c r="N1386" s="15">
        <v>4080000.0</v>
      </c>
      <c r="O1386" s="15">
        <v>2150000.0</v>
      </c>
      <c r="P1386" s="15">
        <v>2010000.0</v>
      </c>
      <c r="Q1386" s="15">
        <v>1930000.0</v>
      </c>
      <c r="R1386" s="15">
        <v>1860000.0</v>
      </c>
      <c r="S1386" s="15">
        <v>1740000.0</v>
      </c>
      <c r="T1386" s="15">
        <v>97000.0</v>
      </c>
      <c r="U1386" s="15">
        <v>114000.0</v>
      </c>
      <c r="V1386" s="15">
        <v>113000.0</v>
      </c>
      <c r="W1386" s="15">
        <v>96000.0</v>
      </c>
      <c r="X1386" s="15">
        <v>75000.0</v>
      </c>
      <c r="Y1386" s="15">
        <v>2850000.0</v>
      </c>
      <c r="Z1386" s="15">
        <v>3110000.0</v>
      </c>
      <c r="AA1386" s="15">
        <v>2890000.0</v>
      </c>
      <c r="AB1386" s="15">
        <v>2750000.0</v>
      </c>
      <c r="AC1386" s="15">
        <v>2010000.0</v>
      </c>
      <c r="AD1386" s="15">
        <v>2430000.0</v>
      </c>
      <c r="AE1386" s="15">
        <v>2750000.0</v>
      </c>
      <c r="AF1386" s="15">
        <v>2630000.0</v>
      </c>
      <c r="AG1386" s="15">
        <v>2600000.0</v>
      </c>
      <c r="AH1386" s="15">
        <v>1920000.0</v>
      </c>
      <c r="AI1386" s="15">
        <v>4030000.0</v>
      </c>
      <c r="AJ1386" s="15">
        <v>4220000.0</v>
      </c>
      <c r="AK1386" s="15">
        <v>4020000.0</v>
      </c>
      <c r="AL1386" s="15">
        <v>3590000.0</v>
      </c>
      <c r="AM1386" s="15">
        <v>3050000.0</v>
      </c>
      <c r="AN1386" s="15">
        <v>2020000.0</v>
      </c>
      <c r="AO1386" s="15">
        <v>3020000.0</v>
      </c>
      <c r="AP1386" s="15">
        <v>1770000.0</v>
      </c>
      <c r="AQ1386" s="15">
        <v>1770000.0</v>
      </c>
      <c r="AR1386" s="15">
        <v>1220000.0</v>
      </c>
      <c r="AS1386" s="15">
        <v>2510000.0</v>
      </c>
      <c r="AT1386" s="15">
        <v>2960000.0</v>
      </c>
      <c r="AU1386" s="15">
        <v>2600000.0</v>
      </c>
      <c r="AV1386" s="15">
        <v>2720000.0</v>
      </c>
      <c r="AW1386" s="15">
        <v>2570000.0</v>
      </c>
      <c r="AX1386" s="15">
        <v>-1260000.0</v>
      </c>
      <c r="AY1386" s="15">
        <v>-1200000.0</v>
      </c>
      <c r="AZ1386" s="15">
        <v>-1070000.0</v>
      </c>
      <c r="BA1386" s="15">
        <v>-695000.0</v>
      </c>
      <c r="BB1386" s="15">
        <v>-854000.0</v>
      </c>
      <c r="BC1386" s="13">
        <v>-537000.0</v>
      </c>
      <c r="BD1386" s="13">
        <v>-431000.0</v>
      </c>
      <c r="BE1386" s="13">
        <v>-319000.0</v>
      </c>
      <c r="BF1386" s="13">
        <v>-216000.0</v>
      </c>
      <c r="BG1386" s="13">
        <v>-147000.0</v>
      </c>
      <c r="BH1386" s="15">
        <v>485000.0</v>
      </c>
      <c r="BI1386" s="15">
        <v>271000.0</v>
      </c>
      <c r="BJ1386" s="15">
        <v>321000.0</v>
      </c>
      <c r="BK1386" s="15">
        <v>353000.0</v>
      </c>
      <c r="BL1386" s="15">
        <v>690000.0</v>
      </c>
      <c r="BM1386" s="15">
        <v>2170000.0</v>
      </c>
      <c r="BN1386" s="15">
        <v>1720000.0</v>
      </c>
      <c r="BO1386" s="15">
        <v>1680000.0</v>
      </c>
      <c r="BP1386" s="15">
        <v>1540000.0</v>
      </c>
      <c r="BQ1386" s="15">
        <v>1620000.0</v>
      </c>
      <c r="BR1386" s="15">
        <v>4110000.0</v>
      </c>
      <c r="BS1386" s="15">
        <v>3510000.0</v>
      </c>
      <c r="BT1386" s="15">
        <v>3240000.0</v>
      </c>
      <c r="BU1386" s="15">
        <v>2730000.0</v>
      </c>
      <c r="BV1386" s="15">
        <v>2880000.0</v>
      </c>
      <c r="BW1386" s="15">
        <v>7170000.0</v>
      </c>
      <c r="BX1386" s="15">
        <v>5690000.0</v>
      </c>
      <c r="BY1386" s="15">
        <v>6260000.0</v>
      </c>
      <c r="BZ1386" s="15">
        <v>4890000.0</v>
      </c>
      <c r="CA1386" s="15">
        <v>5380000.0</v>
      </c>
      <c r="CB1386" s="15">
        <v>7280000.0</v>
      </c>
      <c r="CC1386" s="15">
        <v>6170000.0</v>
      </c>
      <c r="CD1386" s="15">
        <v>5570000.0</v>
      </c>
      <c r="CE1386" s="15">
        <v>5170000.0</v>
      </c>
      <c r="CF1386" s="15">
        <v>5180000.0</v>
      </c>
      <c r="CG1386" s="15">
        <v>1.084E7</v>
      </c>
      <c r="CH1386" s="15">
        <v>9740000.0</v>
      </c>
      <c r="CI1386" s="15">
        <v>9320000.0</v>
      </c>
      <c r="CJ1386" s="15">
        <v>6670000.0</v>
      </c>
      <c r="CK1386" s="15">
        <v>6670000.0</v>
      </c>
      <c r="CL1386" s="15">
        <v>3.31E7</v>
      </c>
      <c r="CM1386" s="15">
        <v>2.911E7</v>
      </c>
      <c r="CN1386" s="15">
        <v>2.807E7</v>
      </c>
      <c r="CO1386" s="15">
        <v>2.237E7</v>
      </c>
      <c r="CP1386" s="15">
        <v>2.3E7</v>
      </c>
      <c r="CQ1386" s="15">
        <v>1930000.0</v>
      </c>
      <c r="CR1386" s="15">
        <v>1690000.0</v>
      </c>
      <c r="CS1386" s="15">
        <v>1700000.0</v>
      </c>
      <c r="CT1386" s="15">
        <v>1510000.0</v>
      </c>
      <c r="CU1386" s="15">
        <v>1660000.0</v>
      </c>
      <c r="CV1386" s="15">
        <v>5510000.0</v>
      </c>
      <c r="CW1386" s="15"/>
      <c r="CX1386" s="13"/>
      <c r="CY1386" s="13"/>
      <c r="CZ1386" s="13"/>
      <c r="DA1386" s="12"/>
      <c r="DB1386" s="15">
        <v>5510000.0</v>
      </c>
      <c r="DC1386" s="15">
        <v>5030000.0</v>
      </c>
      <c r="DD1386" s="15">
        <v>4030000.0</v>
      </c>
      <c r="DE1386" s="15">
        <v>2760000.0</v>
      </c>
      <c r="DF1386" s="15">
        <v>1.887E7</v>
      </c>
      <c r="DG1386" s="15">
        <v>1.63E7</v>
      </c>
      <c r="DH1386" s="15">
        <v>1.751E7</v>
      </c>
      <c r="DI1386" s="15">
        <v>1.275E7</v>
      </c>
      <c r="DJ1386" s="15">
        <v>1.33E7</v>
      </c>
      <c r="DK1386" s="15">
        <v>102000.0</v>
      </c>
      <c r="DL1386" s="12">
        <v>51000.0</v>
      </c>
      <c r="DM1386" s="12">
        <v>95000.0</v>
      </c>
      <c r="DN1386" s="12">
        <v>93000.0</v>
      </c>
      <c r="DO1386" s="15"/>
      <c r="DP1386" s="15">
        <v>9830000.0</v>
      </c>
      <c r="DQ1386" s="15">
        <v>7960000.0</v>
      </c>
      <c r="DR1386" s="15">
        <v>9300000.0</v>
      </c>
      <c r="DS1386" s="15">
        <v>6200000.0</v>
      </c>
      <c r="DT1386" s="15">
        <v>6010000.0</v>
      </c>
      <c r="DU1386" s="13"/>
      <c r="DV1386" s="12"/>
      <c r="DW1386" s="12"/>
      <c r="DX1386" s="13"/>
      <c r="DY1386" s="13"/>
      <c r="DZ1386" s="15">
        <v>1.408E7</v>
      </c>
      <c r="EA1386" s="15">
        <v>1.28E7</v>
      </c>
      <c r="EB1386" s="15">
        <v>1.054E7</v>
      </c>
      <c r="EC1386" s="15">
        <v>9610000.0</v>
      </c>
      <c r="ED1386" s="15">
        <v>9690000.0</v>
      </c>
      <c r="EE1386" s="23">
        <v>0.078139322</v>
      </c>
      <c r="EF1386" s="23">
        <v>0.12366548</v>
      </c>
      <c r="EG1386" s="17">
        <v>-0.26</v>
      </c>
      <c r="EH1386" s="23">
        <v>-0.06825</v>
      </c>
    </row>
    <row r="1387">
      <c r="A1387" s="9">
        <f t="shared" si="2"/>
        <v>1385</v>
      </c>
      <c r="B1387" s="10" t="s">
        <v>1522</v>
      </c>
      <c r="C1387" s="12">
        <v>2400000.0</v>
      </c>
      <c r="D1387" s="12">
        <v>2350000.0</v>
      </c>
      <c r="E1387" s="11">
        <v>3110000.0</v>
      </c>
      <c r="F1387" s="11">
        <v>2960000.0</v>
      </c>
      <c r="G1387" s="11">
        <v>2750000.0</v>
      </c>
      <c r="H1387" s="11">
        <v>2580000.0</v>
      </c>
      <c r="I1387" s="11">
        <v>2300000.0</v>
      </c>
      <c r="J1387" s="11">
        <v>408180.0</v>
      </c>
      <c r="K1387" s="11">
        <v>384460.0</v>
      </c>
      <c r="L1387" s="11">
        <v>353640.0</v>
      </c>
      <c r="M1387" s="11">
        <v>328510.0</v>
      </c>
      <c r="N1387" s="11">
        <v>310690.0</v>
      </c>
      <c r="O1387" s="11">
        <v>198230.0</v>
      </c>
      <c r="P1387" s="11">
        <v>180650.0</v>
      </c>
      <c r="Q1387" s="11">
        <v>162510.0</v>
      </c>
      <c r="R1387" s="11">
        <v>160190.0</v>
      </c>
      <c r="S1387" s="11">
        <v>167870.0</v>
      </c>
      <c r="T1387" s="12"/>
      <c r="U1387" s="12"/>
      <c r="V1387" s="12"/>
      <c r="W1387" s="12"/>
      <c r="X1387" s="12"/>
      <c r="Y1387" s="11">
        <v>188760.0</v>
      </c>
      <c r="Z1387" s="11">
        <v>193490.0</v>
      </c>
      <c r="AA1387" s="11">
        <v>183080.0</v>
      </c>
      <c r="AB1387" s="11">
        <v>133880.0</v>
      </c>
      <c r="AC1387" s="11">
        <v>82450.0</v>
      </c>
      <c r="AD1387" s="11">
        <v>175140.0</v>
      </c>
      <c r="AE1387" s="11">
        <v>174560.0</v>
      </c>
      <c r="AF1387" s="11">
        <v>171760.0</v>
      </c>
      <c r="AG1387" s="11">
        <v>124470.0</v>
      </c>
      <c r="AH1387" s="11">
        <v>80320.0</v>
      </c>
      <c r="AI1387" s="11">
        <v>238800.0</v>
      </c>
      <c r="AJ1387" s="11">
        <v>241610.0</v>
      </c>
      <c r="AK1387" s="11">
        <v>236890.0</v>
      </c>
      <c r="AL1387" s="11">
        <v>213910.0</v>
      </c>
      <c r="AM1387" s="11">
        <v>187020.0</v>
      </c>
      <c r="AN1387" s="11">
        <v>158670.0</v>
      </c>
      <c r="AO1387" s="11">
        <v>136880.0</v>
      </c>
      <c r="AP1387" s="11">
        <v>117870.0</v>
      </c>
      <c r="AQ1387" s="11">
        <v>83780.0</v>
      </c>
      <c r="AR1387" s="11">
        <v>39070.0</v>
      </c>
      <c r="AS1387" s="11">
        <v>208510.0</v>
      </c>
      <c r="AT1387" s="11">
        <v>176860.0</v>
      </c>
      <c r="AU1387" s="11">
        <v>137990.0</v>
      </c>
      <c r="AV1387" s="11">
        <v>142020.0</v>
      </c>
      <c r="AW1387" s="11">
        <v>162850.0</v>
      </c>
      <c r="AX1387" s="11">
        <v>-16200.0</v>
      </c>
      <c r="AY1387" s="11">
        <v>-9730.0</v>
      </c>
      <c r="AZ1387" s="11">
        <v>-9740.0</v>
      </c>
      <c r="BA1387" s="11">
        <v>-11950.0</v>
      </c>
      <c r="BB1387" s="11">
        <v>-24300.0</v>
      </c>
      <c r="BC1387" s="24">
        <v>-29670.0</v>
      </c>
      <c r="BD1387" s="24">
        <v>-24480.0</v>
      </c>
      <c r="BE1387" s="24">
        <v>-21670.0</v>
      </c>
      <c r="BF1387" s="24">
        <v>-19740.0</v>
      </c>
      <c r="BG1387" s="24">
        <v>-18240.0</v>
      </c>
      <c r="BH1387" s="11">
        <v>120930.0</v>
      </c>
      <c r="BI1387" s="11">
        <v>148890.0</v>
      </c>
      <c r="BJ1387" s="11">
        <v>192680.0</v>
      </c>
      <c r="BK1387" s="11">
        <v>162960.0</v>
      </c>
      <c r="BL1387" s="11">
        <v>135330.0</v>
      </c>
      <c r="BM1387" s="11">
        <v>896860.0</v>
      </c>
      <c r="BN1387" s="11">
        <v>848190.0</v>
      </c>
      <c r="BO1387" s="11">
        <v>802080.0</v>
      </c>
      <c r="BP1387" s="11">
        <v>728710.0</v>
      </c>
      <c r="BQ1387" s="11">
        <v>646320.0</v>
      </c>
      <c r="BR1387" s="12"/>
      <c r="BS1387" s="12"/>
      <c r="BT1387" s="12"/>
      <c r="BU1387" s="12"/>
      <c r="BV1387" s="12"/>
      <c r="BW1387" s="11">
        <v>1080000.0</v>
      </c>
      <c r="BX1387" s="11">
        <v>1050000.0</v>
      </c>
      <c r="BY1387" s="11">
        <v>1040000.0</v>
      </c>
      <c r="BZ1387" s="11">
        <v>935430.0</v>
      </c>
      <c r="CA1387" s="11">
        <v>823780.0</v>
      </c>
      <c r="CB1387" s="11">
        <v>39440.0</v>
      </c>
      <c r="CC1387" s="11">
        <v>43280.0</v>
      </c>
      <c r="CD1387" s="11">
        <v>56840.0</v>
      </c>
      <c r="CE1387" s="11">
        <v>67830.0</v>
      </c>
      <c r="CF1387" s="11">
        <v>64910.0</v>
      </c>
      <c r="CG1387" s="11">
        <v>924820.0</v>
      </c>
      <c r="CH1387" s="11">
        <v>798820.0</v>
      </c>
      <c r="CI1387" s="11">
        <v>740890.0</v>
      </c>
      <c r="CJ1387" s="11">
        <v>717990.0</v>
      </c>
      <c r="CK1387" s="11">
        <v>601380.0</v>
      </c>
      <c r="CL1387" s="11">
        <v>2150000.0</v>
      </c>
      <c r="CM1387" s="11">
        <v>1960000.0</v>
      </c>
      <c r="CN1387" s="11">
        <v>1900000.0</v>
      </c>
      <c r="CO1387" s="11">
        <v>1800000.0</v>
      </c>
      <c r="CP1387" s="11">
        <v>1560000.0</v>
      </c>
      <c r="CQ1387" s="11">
        <v>206610.0</v>
      </c>
      <c r="CR1387" s="11">
        <v>160220.0</v>
      </c>
      <c r="CS1387" s="11">
        <v>177640.0</v>
      </c>
      <c r="CT1387" s="11">
        <v>158770.0</v>
      </c>
      <c r="CU1387" s="11">
        <v>150280.0</v>
      </c>
      <c r="CV1387" s="11">
        <v>769950.0</v>
      </c>
      <c r="CW1387" s="12"/>
      <c r="CX1387" s="13"/>
      <c r="CY1387" s="13"/>
      <c r="CZ1387" s="13"/>
      <c r="DA1387" s="12"/>
      <c r="DB1387" s="11">
        <v>769950.0</v>
      </c>
      <c r="DC1387" s="11">
        <v>618090.0</v>
      </c>
      <c r="DD1387" s="11">
        <v>537670.0</v>
      </c>
      <c r="DE1387" s="11">
        <v>481090.0</v>
      </c>
      <c r="DF1387" s="11">
        <v>1160000.0</v>
      </c>
      <c r="DG1387" s="11">
        <v>992320.0</v>
      </c>
      <c r="DH1387" s="11">
        <v>974120.0</v>
      </c>
      <c r="DI1387" s="11">
        <v>931380.0</v>
      </c>
      <c r="DJ1387" s="11">
        <v>702440.0</v>
      </c>
      <c r="DK1387" s="11">
        <v>6870.0</v>
      </c>
      <c r="DL1387" s="11">
        <v>3370.0</v>
      </c>
      <c r="DM1387" s="11">
        <v>2700.0</v>
      </c>
      <c r="DN1387" s="11">
        <v>2060.0</v>
      </c>
      <c r="DO1387" s="24">
        <v>1890.0</v>
      </c>
      <c r="DP1387" s="11">
        <v>263950.0</v>
      </c>
      <c r="DQ1387" s="11">
        <v>264710.0</v>
      </c>
      <c r="DR1387" s="11">
        <v>341280.0</v>
      </c>
      <c r="DS1387" s="11">
        <v>331500.0</v>
      </c>
      <c r="DT1387" s="11">
        <v>180970.0</v>
      </c>
      <c r="DU1387" s="13"/>
      <c r="DV1387" s="12"/>
      <c r="DW1387" s="12"/>
      <c r="DX1387" s="13"/>
      <c r="DY1387" s="13"/>
      <c r="DZ1387" s="11">
        <v>989290.0</v>
      </c>
      <c r="EA1387" s="11">
        <v>966970.0</v>
      </c>
      <c r="EB1387" s="11">
        <v>928450.0</v>
      </c>
      <c r="EC1387" s="11">
        <v>869260.0</v>
      </c>
      <c r="ED1387" s="11">
        <v>856330.0</v>
      </c>
      <c r="EE1387" s="23">
        <v>0.017021277</v>
      </c>
      <c r="EF1387" s="23">
        <v>0.108333333</v>
      </c>
      <c r="EG1387" s="14">
        <v>0.028</v>
      </c>
      <c r="EH1387" s="23">
        <v>0.06975</v>
      </c>
    </row>
    <row r="1388">
      <c r="A1388" s="9">
        <f t="shared" si="2"/>
        <v>1386</v>
      </c>
      <c r="B1388" s="25" t="s">
        <v>1523</v>
      </c>
      <c r="C1388" s="15"/>
      <c r="D1388" s="15"/>
      <c r="E1388" s="15"/>
      <c r="F1388" s="15"/>
      <c r="G1388" s="15"/>
      <c r="H1388" s="15"/>
      <c r="I1388" s="15"/>
      <c r="J1388" s="15">
        <v>5.9279E8</v>
      </c>
      <c r="K1388" s="15">
        <v>4.32E8</v>
      </c>
      <c r="L1388" s="15">
        <v>3.1999E8</v>
      </c>
      <c r="M1388" s="15">
        <v>3.6667E8</v>
      </c>
      <c r="N1388" s="15">
        <v>5.3351E8</v>
      </c>
      <c r="O1388" s="15">
        <v>6.1276E8</v>
      </c>
      <c r="P1388" s="15">
        <v>2.3704E8</v>
      </c>
      <c r="Q1388" s="15">
        <v>2.5506E8</v>
      </c>
      <c r="R1388" s="15">
        <v>2.424E8</v>
      </c>
      <c r="S1388" s="15">
        <v>2.5257E8</v>
      </c>
      <c r="T1388" s="15">
        <v>4.188E7</v>
      </c>
      <c r="U1388" s="15">
        <v>4.225E7</v>
      </c>
      <c r="V1388" s="15">
        <v>3.532E7</v>
      </c>
      <c r="W1388" s="15">
        <v>3.414E7</v>
      </c>
      <c r="X1388" s="15">
        <v>3.469E7</v>
      </c>
      <c r="Y1388" s="15">
        <v>-4.546E7</v>
      </c>
      <c r="Z1388" s="15">
        <v>-2.0745E8</v>
      </c>
      <c r="AA1388" s="15">
        <v>1.965E7</v>
      </c>
      <c r="AB1388" s="15">
        <v>9790000.0</v>
      </c>
      <c r="AC1388" s="15">
        <v>-2.91E7</v>
      </c>
      <c r="AD1388" s="15">
        <v>-1.058E8</v>
      </c>
      <c r="AE1388" s="15">
        <v>-3.1371E8</v>
      </c>
      <c r="AF1388" s="15">
        <v>1.1155E8</v>
      </c>
      <c r="AG1388" s="15">
        <v>9.315E7</v>
      </c>
      <c r="AH1388" s="15">
        <v>1.4126E8</v>
      </c>
      <c r="AI1388" s="15">
        <v>1.8652E8</v>
      </c>
      <c r="AJ1388" s="15">
        <v>3.1196E8</v>
      </c>
      <c r="AK1388" s="15">
        <v>2.0347E8</v>
      </c>
      <c r="AL1388" s="15">
        <v>2.2225E8</v>
      </c>
      <c r="AM1388" s="15">
        <v>3.8013E8</v>
      </c>
      <c r="AN1388" s="15">
        <v>-1.2071E8</v>
      </c>
      <c r="AO1388" s="15">
        <v>-2.8826E8</v>
      </c>
      <c r="AP1388" s="15">
        <v>8.989E7</v>
      </c>
      <c r="AQ1388" s="15">
        <v>7.454E7</v>
      </c>
      <c r="AR1388" s="15">
        <v>1.1579E8</v>
      </c>
      <c r="AS1388" s="15">
        <v>2.0863E8</v>
      </c>
      <c r="AT1388" s="15">
        <v>1.2878E8</v>
      </c>
      <c r="AU1388" s="15">
        <v>2.0935E8</v>
      </c>
      <c r="AV1388" s="15">
        <v>2.6121E8</v>
      </c>
      <c r="AW1388" s="15">
        <v>3.2973E8</v>
      </c>
      <c r="AX1388" s="15">
        <v>-2.9702E8</v>
      </c>
      <c r="AY1388" s="15">
        <v>-3.5304E8</v>
      </c>
      <c r="AZ1388" s="15">
        <v>-3.5079E8</v>
      </c>
      <c r="BA1388" s="15">
        <v>-3.0467E8</v>
      </c>
      <c r="BB1388" s="15">
        <v>-3.1503E8</v>
      </c>
      <c r="BC1388" s="13"/>
      <c r="BD1388" s="15"/>
      <c r="BE1388" s="13"/>
      <c r="BF1388" s="15">
        <v>-730000.0</v>
      </c>
      <c r="BG1388" s="13"/>
      <c r="BH1388" s="15">
        <v>4.4589E8</v>
      </c>
      <c r="BI1388" s="15">
        <v>4.2179E8</v>
      </c>
      <c r="BJ1388" s="15">
        <v>5.2251E8</v>
      </c>
      <c r="BK1388" s="15">
        <v>5.2669E8</v>
      </c>
      <c r="BL1388" s="15">
        <v>5.0456E8</v>
      </c>
      <c r="BM1388" s="15">
        <v>2.5418E8</v>
      </c>
      <c r="BN1388" s="15">
        <v>3.2152E8</v>
      </c>
      <c r="BO1388" s="15">
        <v>2.8867E8</v>
      </c>
      <c r="BP1388" s="15">
        <v>2.0918E8</v>
      </c>
      <c r="BQ1388" s="15">
        <v>1.9911E8</v>
      </c>
      <c r="BR1388" s="15">
        <v>3.7457E8</v>
      </c>
      <c r="BS1388" s="15">
        <v>4.0192E8</v>
      </c>
      <c r="BT1388" s="15">
        <v>4.4398E8</v>
      </c>
      <c r="BU1388" s="15">
        <v>3.577E8</v>
      </c>
      <c r="BV1388" s="15">
        <v>3.3587E8</v>
      </c>
      <c r="BW1388" s="15"/>
      <c r="BX1388" s="15"/>
      <c r="BY1388" s="15"/>
      <c r="BZ1388" s="15"/>
      <c r="CA1388" s="15"/>
      <c r="CB1388" s="15">
        <v>9.2758E8</v>
      </c>
      <c r="CC1388" s="15">
        <v>8.1544E8</v>
      </c>
      <c r="CD1388" s="15">
        <v>9.0295E8</v>
      </c>
      <c r="CE1388" s="15">
        <v>7.0344E8</v>
      </c>
      <c r="CF1388" s="15">
        <v>7.1948E8</v>
      </c>
      <c r="CG1388" s="15">
        <v>7770000.0</v>
      </c>
      <c r="CH1388" s="15">
        <v>7480000.0</v>
      </c>
      <c r="CI1388" s="15">
        <v>1160000.0</v>
      </c>
      <c r="CJ1388" s="15">
        <v>6730000.0</v>
      </c>
      <c r="CK1388" s="15">
        <v>7600000.0</v>
      </c>
      <c r="CL1388" s="15"/>
      <c r="CM1388" s="15"/>
      <c r="CN1388" s="15"/>
      <c r="CO1388" s="15"/>
      <c r="CP1388" s="15"/>
      <c r="CQ1388" s="15">
        <v>6.6398E8</v>
      </c>
      <c r="CR1388" s="15">
        <v>7.1691E8</v>
      </c>
      <c r="CS1388" s="15">
        <v>7.694E8</v>
      </c>
      <c r="CT1388" s="15">
        <v>6.2533E8</v>
      </c>
      <c r="CU1388" s="15">
        <v>6.1562E8</v>
      </c>
      <c r="CV1388" s="15"/>
      <c r="CW1388" s="15">
        <v>1.6363E8</v>
      </c>
      <c r="CX1388" s="15">
        <v>2.015E8</v>
      </c>
      <c r="CY1388" s="15">
        <v>1.6795E8</v>
      </c>
      <c r="CZ1388" s="15">
        <v>1.386E8</v>
      </c>
      <c r="DA1388" s="15">
        <v>1.1451E8</v>
      </c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>
        <v>1.0197E8</v>
      </c>
      <c r="DL1388" s="15">
        <v>7.556E7</v>
      </c>
      <c r="DM1388" s="15">
        <v>8.672E7</v>
      </c>
      <c r="DN1388" s="15">
        <v>8.204E7</v>
      </c>
      <c r="DO1388" s="15">
        <v>6.358E7</v>
      </c>
      <c r="DP1388" s="15">
        <v>8.8479E8</v>
      </c>
      <c r="DQ1388" s="15">
        <v>7.0974E8</v>
      </c>
      <c r="DR1388" s="15">
        <v>6.12E8</v>
      </c>
      <c r="DS1388" s="15">
        <v>6.0629E8</v>
      </c>
      <c r="DT1388" s="15">
        <v>5.051E8</v>
      </c>
      <c r="DU1388" s="15"/>
      <c r="DV1388" s="15"/>
      <c r="DW1388" s="15"/>
      <c r="DX1388" s="15"/>
      <c r="DY1388" s="15"/>
      <c r="DZ1388" s="15">
        <v>6.3079E8</v>
      </c>
      <c r="EA1388" s="15">
        <v>6.018E8</v>
      </c>
      <c r="EB1388" s="15">
        <v>9.5428E8</v>
      </c>
      <c r="EC1388" s="15">
        <v>5.8062E8</v>
      </c>
      <c r="ED1388" s="15">
        <v>7.8952E8</v>
      </c>
      <c r="EE1388" s="17"/>
      <c r="EF1388" s="17"/>
      <c r="EG1388" s="23" t="s">
        <v>155</v>
      </c>
      <c r="EH1388" s="17"/>
    </row>
    <row r="1389">
      <c r="A1389" s="9">
        <f t="shared" si="2"/>
        <v>1387</v>
      </c>
      <c r="B1389" s="10" t="s">
        <v>1524</v>
      </c>
      <c r="C1389" s="12"/>
      <c r="D1389" s="12"/>
      <c r="E1389" s="12"/>
      <c r="F1389" s="12"/>
      <c r="G1389" s="12"/>
      <c r="H1389" s="12"/>
      <c r="I1389" s="12"/>
      <c r="J1389" s="15">
        <v>-13.0</v>
      </c>
      <c r="K1389" s="12"/>
      <c r="L1389" s="15">
        <v>0.0</v>
      </c>
      <c r="M1389" s="15">
        <v>-5.0</v>
      </c>
      <c r="N1389" s="15">
        <v>-5.0</v>
      </c>
      <c r="O1389" s="15">
        <v>512.0</v>
      </c>
      <c r="P1389" s="15">
        <v>211.0</v>
      </c>
      <c r="Q1389" s="15">
        <v>324.0</v>
      </c>
      <c r="R1389" s="15">
        <v>249.0</v>
      </c>
      <c r="S1389" s="15">
        <v>130.0</v>
      </c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5">
        <v>-525.0</v>
      </c>
      <c r="AE1389" s="15">
        <v>-211.0</v>
      </c>
      <c r="AF1389" s="15">
        <v>-324.0</v>
      </c>
      <c r="AG1389" s="15">
        <v>-220.0</v>
      </c>
      <c r="AH1389" s="15">
        <v>-111.0</v>
      </c>
      <c r="AI1389" s="15">
        <v>-512.0</v>
      </c>
      <c r="AJ1389" s="15">
        <v>-211.0</v>
      </c>
      <c r="AK1389" s="15">
        <v>-324.0</v>
      </c>
      <c r="AL1389" s="15">
        <v>-249.0</v>
      </c>
      <c r="AM1389" s="15">
        <v>-130.0</v>
      </c>
      <c r="AN1389" s="15">
        <v>-525.0</v>
      </c>
      <c r="AO1389" s="15">
        <v>-211.0</v>
      </c>
      <c r="AP1389" s="15">
        <v>-324.0</v>
      </c>
      <c r="AQ1389" s="15">
        <v>-220.0</v>
      </c>
      <c r="AR1389" s="15">
        <v>-111.0</v>
      </c>
      <c r="AS1389" s="15">
        <v>-267.0</v>
      </c>
      <c r="AT1389" s="15">
        <v>-233.0</v>
      </c>
      <c r="AU1389" s="15">
        <v>-350.0</v>
      </c>
      <c r="AV1389" s="15">
        <v>-157.0</v>
      </c>
      <c r="AW1389" s="15">
        <v>-187.0</v>
      </c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5">
        <v>562.0</v>
      </c>
      <c r="BI1389" s="15">
        <v>26.0</v>
      </c>
      <c r="BJ1389" s="15">
        <v>59.0</v>
      </c>
      <c r="BK1389" s="15">
        <v>59.0</v>
      </c>
      <c r="BL1389" s="15">
        <v>16.0</v>
      </c>
      <c r="BM1389" s="15">
        <v>19.0</v>
      </c>
      <c r="BN1389" s="15">
        <v>2.0</v>
      </c>
      <c r="BO1389" s="15">
        <v>1.0</v>
      </c>
      <c r="BP1389" s="15">
        <v>11.0</v>
      </c>
      <c r="BQ1389" s="15">
        <v>18.0</v>
      </c>
      <c r="BR1389" s="12"/>
      <c r="BS1389" s="12"/>
      <c r="BT1389" s="12"/>
      <c r="BU1389" s="12"/>
      <c r="BV1389" s="12"/>
      <c r="BW1389" s="15">
        <v>601.0</v>
      </c>
      <c r="BX1389" s="15">
        <v>38.0</v>
      </c>
      <c r="BY1389" s="15">
        <v>71.0</v>
      </c>
      <c r="BZ1389" s="15">
        <v>74.0</v>
      </c>
      <c r="CA1389" s="15">
        <v>38.0</v>
      </c>
      <c r="CB1389" s="15">
        <v>0.0</v>
      </c>
      <c r="CC1389" s="12"/>
      <c r="CD1389" s="12"/>
      <c r="CE1389" s="15">
        <v>0.0</v>
      </c>
      <c r="CF1389" s="15">
        <v>5.0</v>
      </c>
      <c r="CG1389" s="12"/>
      <c r="CH1389" s="12"/>
      <c r="CI1389" s="12"/>
      <c r="CJ1389" s="12"/>
      <c r="CK1389" s="12"/>
      <c r="CL1389" s="15">
        <v>701.0</v>
      </c>
      <c r="CM1389" s="15">
        <v>138.0</v>
      </c>
      <c r="CN1389" s="15">
        <v>71.0</v>
      </c>
      <c r="CO1389" s="15">
        <v>74.0</v>
      </c>
      <c r="CP1389" s="15">
        <v>42.0</v>
      </c>
      <c r="CQ1389" s="12"/>
      <c r="CR1389" s="15">
        <v>11970.0</v>
      </c>
      <c r="CS1389" s="15">
        <v>11770.0</v>
      </c>
      <c r="CT1389" s="15">
        <v>11420.0</v>
      </c>
      <c r="CU1389" s="12"/>
      <c r="CV1389" s="15">
        <v>133.0</v>
      </c>
      <c r="CW1389" s="12"/>
      <c r="CX1389" s="12"/>
      <c r="CY1389" s="13"/>
      <c r="CZ1389" s="13"/>
      <c r="DA1389" s="12"/>
      <c r="DB1389" s="15">
        <v>133.0</v>
      </c>
      <c r="DC1389" s="15">
        <v>12010.0</v>
      </c>
      <c r="DD1389" s="15">
        <v>11820.0</v>
      </c>
      <c r="DE1389" s="15">
        <v>11500.0</v>
      </c>
      <c r="DF1389" s="15">
        <v>12760.0</v>
      </c>
      <c r="DG1389" s="15">
        <v>12400.0</v>
      </c>
      <c r="DH1389" s="15">
        <v>12200.0</v>
      </c>
      <c r="DI1389" s="15">
        <v>11880.0</v>
      </c>
      <c r="DJ1389" s="15">
        <v>11630.0</v>
      </c>
      <c r="DK1389" s="12"/>
      <c r="DL1389" s="15">
        <v>100.0</v>
      </c>
      <c r="DM1389" s="15">
        <v>0.0</v>
      </c>
      <c r="DN1389" s="15">
        <v>0.0</v>
      </c>
      <c r="DO1389" s="15">
        <v>0.0</v>
      </c>
      <c r="DP1389" s="12"/>
      <c r="DQ1389" s="12"/>
      <c r="DR1389" s="12"/>
      <c r="DS1389" s="12"/>
      <c r="DT1389" s="12"/>
      <c r="DU1389" s="13"/>
      <c r="DV1389" s="12"/>
      <c r="DW1389" s="12"/>
      <c r="DX1389" s="12"/>
      <c r="DY1389" s="12"/>
      <c r="DZ1389" s="15">
        <v>-12060.0</v>
      </c>
      <c r="EA1389" s="15">
        <v>-12260.0</v>
      </c>
      <c r="EB1389" s="15">
        <v>-12130.0</v>
      </c>
      <c r="EC1389" s="15">
        <v>-11810.0</v>
      </c>
      <c r="ED1389" s="15">
        <v>-11590.0</v>
      </c>
      <c r="EE1389" s="23"/>
      <c r="EF1389" s="23"/>
      <c r="EG1389" s="23"/>
      <c r="EH1389" s="23"/>
    </row>
    <row r="1390">
      <c r="A1390" s="9">
        <f t="shared" si="2"/>
        <v>1388</v>
      </c>
      <c r="B1390" s="10" t="s">
        <v>1525</v>
      </c>
      <c r="C1390" s="15">
        <v>3490000.0</v>
      </c>
      <c r="D1390" s="15">
        <v>2720000.0</v>
      </c>
      <c r="E1390" s="15">
        <v>3090000.0</v>
      </c>
      <c r="F1390" s="15">
        <v>2670000.0</v>
      </c>
      <c r="G1390" s="15">
        <v>1790000.0</v>
      </c>
      <c r="H1390" s="15">
        <v>1780000.0</v>
      </c>
      <c r="I1390" s="15">
        <v>1410000.0</v>
      </c>
      <c r="J1390" s="15">
        <v>1490000.0</v>
      </c>
      <c r="K1390" s="15">
        <v>1100000.0</v>
      </c>
      <c r="L1390" s="15">
        <v>858520.0</v>
      </c>
      <c r="M1390" s="15">
        <v>743760.0</v>
      </c>
      <c r="N1390" s="15">
        <v>593710.0</v>
      </c>
      <c r="O1390" s="15">
        <v>1070000.0</v>
      </c>
      <c r="P1390" s="15">
        <v>896370.0</v>
      </c>
      <c r="Q1390" s="15">
        <v>692160.0</v>
      </c>
      <c r="R1390" s="15">
        <v>630380.0</v>
      </c>
      <c r="S1390" s="15">
        <v>510570.0</v>
      </c>
      <c r="T1390" s="15">
        <v>290220.0</v>
      </c>
      <c r="U1390" s="15">
        <v>223730.0</v>
      </c>
      <c r="V1390" s="15">
        <v>189880.0</v>
      </c>
      <c r="W1390" s="15">
        <v>136930.0</v>
      </c>
      <c r="X1390" s="15">
        <v>119810.0</v>
      </c>
      <c r="Y1390" s="15">
        <v>418980.0</v>
      </c>
      <c r="Z1390" s="15">
        <v>218600.0</v>
      </c>
      <c r="AA1390" s="15">
        <v>126300.0</v>
      </c>
      <c r="AB1390" s="15">
        <v>98500.0</v>
      </c>
      <c r="AC1390" s="15">
        <v>-10670.0</v>
      </c>
      <c r="AD1390" s="15">
        <v>458440.0</v>
      </c>
      <c r="AE1390" s="15">
        <v>232790.0</v>
      </c>
      <c r="AF1390" s="15">
        <v>136630.0</v>
      </c>
      <c r="AG1390" s="15">
        <v>76970.0</v>
      </c>
      <c r="AH1390" s="15">
        <v>-38350.0</v>
      </c>
      <c r="AI1390" s="15">
        <v>661890.0</v>
      </c>
      <c r="AJ1390" s="15">
        <v>462140.0</v>
      </c>
      <c r="AK1390" s="15">
        <v>310730.0</v>
      </c>
      <c r="AL1390" s="15">
        <v>352580.0</v>
      </c>
      <c r="AM1390" s="15">
        <v>223910.0</v>
      </c>
      <c r="AN1390" s="15">
        <v>404460.0</v>
      </c>
      <c r="AO1390" s="15">
        <v>333840.0</v>
      </c>
      <c r="AP1390" s="15">
        <v>173370.0</v>
      </c>
      <c r="AQ1390" s="15">
        <v>66030.0</v>
      </c>
      <c r="AR1390" s="15">
        <v>-8300.0</v>
      </c>
      <c r="AS1390" s="15">
        <v>685680.0</v>
      </c>
      <c r="AT1390" s="15">
        <v>843520.0</v>
      </c>
      <c r="AU1390" s="15">
        <v>493530.0</v>
      </c>
      <c r="AV1390" s="15">
        <v>407900.0</v>
      </c>
      <c r="AW1390" s="15">
        <v>352800.0</v>
      </c>
      <c r="AX1390" s="15">
        <v>-53380.0</v>
      </c>
      <c r="AY1390" s="15">
        <v>-66970.0</v>
      </c>
      <c r="AZ1390" s="15">
        <v>-87520.0</v>
      </c>
      <c r="BA1390" s="15">
        <v>-21170.0</v>
      </c>
      <c r="BB1390" s="15">
        <v>-37280.0</v>
      </c>
      <c r="BC1390" s="16">
        <v>0.0</v>
      </c>
      <c r="BD1390" s="16">
        <v>0.0</v>
      </c>
      <c r="BE1390" s="16">
        <v>0.0</v>
      </c>
      <c r="BF1390" s="16">
        <v>0.0</v>
      </c>
      <c r="BG1390" s="16">
        <v>0.0</v>
      </c>
      <c r="BH1390" s="15">
        <v>2550000.0</v>
      </c>
      <c r="BI1390" s="15">
        <v>2140000.0</v>
      </c>
      <c r="BJ1390" s="15">
        <v>1860000.0</v>
      </c>
      <c r="BK1390" s="15">
        <v>1730000.0</v>
      </c>
      <c r="BL1390" s="15">
        <v>1530000.0</v>
      </c>
      <c r="BM1390" s="15">
        <v>674180.0</v>
      </c>
      <c r="BN1390" s="15">
        <v>395730.0</v>
      </c>
      <c r="BO1390" s="15">
        <v>247650.0</v>
      </c>
      <c r="BP1390" s="15">
        <v>219560.0</v>
      </c>
      <c r="BQ1390" s="15">
        <v>168530.0</v>
      </c>
      <c r="BR1390" s="15">
        <v>19110.0</v>
      </c>
      <c r="BS1390" s="15">
        <v>28200.0</v>
      </c>
      <c r="BT1390" s="15">
        <v>15160.0</v>
      </c>
      <c r="BU1390" s="15">
        <v>16320.0</v>
      </c>
      <c r="BV1390" s="15">
        <v>15890.0</v>
      </c>
      <c r="BW1390" s="15">
        <v>3470000.0</v>
      </c>
      <c r="BX1390" s="15">
        <v>2780000.0</v>
      </c>
      <c r="BY1390" s="15">
        <v>2290000.0</v>
      </c>
      <c r="BZ1390" s="15">
        <v>2070000.0</v>
      </c>
      <c r="CA1390" s="15">
        <v>1950000.0</v>
      </c>
      <c r="CB1390" s="15">
        <v>286170.0</v>
      </c>
      <c r="CC1390" s="15">
        <v>127880.0</v>
      </c>
      <c r="CD1390" s="15">
        <v>102480.0</v>
      </c>
      <c r="CE1390" s="15">
        <v>67300.0</v>
      </c>
      <c r="CF1390" s="15">
        <v>77130.0</v>
      </c>
      <c r="CG1390" s="15">
        <v>386490.0</v>
      </c>
      <c r="CH1390" s="15">
        <v>381720.0</v>
      </c>
      <c r="CI1390" s="15">
        <v>399530.0</v>
      </c>
      <c r="CJ1390" s="15">
        <v>359120.0</v>
      </c>
      <c r="CK1390" s="15">
        <v>217080.0</v>
      </c>
      <c r="CL1390" s="15">
        <v>4950000.0</v>
      </c>
      <c r="CM1390" s="15">
        <v>4240000.0</v>
      </c>
      <c r="CN1390" s="15">
        <v>3880000.0</v>
      </c>
      <c r="CO1390" s="15">
        <v>3280000.0</v>
      </c>
      <c r="CP1390" s="15">
        <v>2710000.0</v>
      </c>
      <c r="CQ1390" s="15">
        <v>65680.0</v>
      </c>
      <c r="CR1390" s="15">
        <v>72800.0</v>
      </c>
      <c r="CS1390" s="15">
        <v>35030.0</v>
      </c>
      <c r="CT1390" s="15">
        <v>31890.0</v>
      </c>
      <c r="CU1390" s="15">
        <v>30450.0</v>
      </c>
      <c r="CV1390" s="15">
        <v>2040000.0</v>
      </c>
      <c r="CW1390" s="15">
        <v>25190.0</v>
      </c>
      <c r="CX1390" s="16">
        <v>0.0</v>
      </c>
      <c r="CY1390" s="16">
        <v>0.0</v>
      </c>
      <c r="CZ1390" s="16">
        <v>0.0</v>
      </c>
      <c r="DA1390" s="15">
        <v>0.0</v>
      </c>
      <c r="DB1390" s="15">
        <v>2040000.0</v>
      </c>
      <c r="DC1390" s="15">
        <v>1950000.0</v>
      </c>
      <c r="DD1390" s="15">
        <v>1730000.0</v>
      </c>
      <c r="DE1390" s="15">
        <v>1690000.0</v>
      </c>
      <c r="DF1390" s="15">
        <v>2410000.0</v>
      </c>
      <c r="DG1390" s="15">
        <v>2200000.0</v>
      </c>
      <c r="DH1390" s="15">
        <v>2390000.0</v>
      </c>
      <c r="DI1390" s="15">
        <v>2270000.0</v>
      </c>
      <c r="DJ1390" s="15">
        <v>2130000.0</v>
      </c>
      <c r="DK1390" s="15">
        <v>91880.0</v>
      </c>
      <c r="DL1390" s="15">
        <v>1820.0</v>
      </c>
      <c r="DM1390" s="15">
        <v>1210.0</v>
      </c>
      <c r="DN1390" s="15">
        <v>0.0</v>
      </c>
      <c r="DO1390" s="15">
        <v>0.0</v>
      </c>
      <c r="DP1390" s="15">
        <v>152060.0</v>
      </c>
      <c r="DQ1390" s="15">
        <v>0.0</v>
      </c>
      <c r="DR1390" s="15">
        <v>8070.0</v>
      </c>
      <c r="DS1390" s="15">
        <v>251930.0</v>
      </c>
      <c r="DT1390" s="15">
        <v>497940.0</v>
      </c>
      <c r="DU1390" s="16">
        <v>0.0</v>
      </c>
      <c r="DV1390" s="15">
        <v>0.0</v>
      </c>
      <c r="DW1390" s="15">
        <v>0.0</v>
      </c>
      <c r="DX1390" s="16">
        <v>0.0</v>
      </c>
      <c r="DY1390" s="16">
        <v>0.0</v>
      </c>
      <c r="DZ1390" s="15">
        <v>2540000.0</v>
      </c>
      <c r="EA1390" s="15">
        <v>2040000.0</v>
      </c>
      <c r="EB1390" s="15">
        <v>1490000.0</v>
      </c>
      <c r="EC1390" s="15">
        <v>1000000.0</v>
      </c>
      <c r="ED1390" s="15">
        <v>581390.0</v>
      </c>
      <c r="EE1390" s="17">
        <v>0.18</v>
      </c>
      <c r="EF1390" s="17">
        <v>0.682</v>
      </c>
      <c r="EG1390" s="17">
        <v>0.685</v>
      </c>
      <c r="EH1390" s="17">
        <v>3.315</v>
      </c>
    </row>
    <row r="1391">
      <c r="A1391" s="9">
        <f t="shared" si="2"/>
        <v>1389</v>
      </c>
      <c r="B1391" s="25" t="s">
        <v>1526</v>
      </c>
      <c r="C1391" s="15">
        <v>1740000.0</v>
      </c>
      <c r="D1391" s="15">
        <v>1550000.0</v>
      </c>
      <c r="E1391" s="15">
        <v>1800000.0</v>
      </c>
      <c r="F1391" s="15">
        <v>2070000.0</v>
      </c>
      <c r="G1391" s="15">
        <v>2260000.0</v>
      </c>
      <c r="H1391" s="15">
        <v>2210000.0</v>
      </c>
      <c r="I1391" s="15">
        <v>2280000.0</v>
      </c>
      <c r="J1391" s="15">
        <v>1190000.0</v>
      </c>
      <c r="K1391" s="15">
        <v>1370000.0</v>
      </c>
      <c r="L1391" s="15">
        <v>1510000.0</v>
      </c>
      <c r="M1391" s="15">
        <v>1490000.0</v>
      </c>
      <c r="N1391" s="15">
        <v>1520000.0</v>
      </c>
      <c r="O1391" s="15">
        <v>999400.0</v>
      </c>
      <c r="P1391" s="15">
        <v>1060000.0</v>
      </c>
      <c r="Q1391" s="15">
        <v>1160000.0</v>
      </c>
      <c r="R1391" s="15">
        <v>1170000.0</v>
      </c>
      <c r="S1391" s="15">
        <v>1220000.0</v>
      </c>
      <c r="T1391" s="15">
        <v>15100.0</v>
      </c>
      <c r="U1391" s="15">
        <v>15000.0</v>
      </c>
      <c r="V1391" s="15">
        <v>16700.0</v>
      </c>
      <c r="W1391" s="15">
        <v>18300.0</v>
      </c>
      <c r="X1391" s="15">
        <v>18100.0</v>
      </c>
      <c r="Y1391" s="15">
        <v>116100.0</v>
      </c>
      <c r="Z1391" s="15">
        <v>268600.0</v>
      </c>
      <c r="AA1391" s="15">
        <v>-163200.0</v>
      </c>
      <c r="AB1391" s="15">
        <v>287900.0</v>
      </c>
      <c r="AC1391" s="15">
        <v>258000.0</v>
      </c>
      <c r="AD1391" s="15">
        <v>103400.0</v>
      </c>
      <c r="AE1391" s="15">
        <v>276200.0</v>
      </c>
      <c r="AF1391" s="15">
        <v>185100.0</v>
      </c>
      <c r="AG1391" s="15">
        <v>301300.0</v>
      </c>
      <c r="AH1391" s="15">
        <v>259900.0</v>
      </c>
      <c r="AI1391" s="15">
        <v>246000.0</v>
      </c>
      <c r="AJ1391" s="15">
        <v>369200.0</v>
      </c>
      <c r="AK1391" s="15">
        <v>415000.0</v>
      </c>
      <c r="AL1391" s="15">
        <v>379100.0</v>
      </c>
      <c r="AM1391" s="15">
        <v>365000.0</v>
      </c>
      <c r="AN1391" s="15">
        <v>12400.0</v>
      </c>
      <c r="AO1391" s="15">
        <v>155900.0</v>
      </c>
      <c r="AP1391" s="15">
        <v>-265400.0</v>
      </c>
      <c r="AQ1391" s="15">
        <v>223600.0</v>
      </c>
      <c r="AR1391" s="15">
        <v>185800.0</v>
      </c>
      <c r="AS1391" s="15">
        <v>85100.0</v>
      </c>
      <c r="AT1391" s="15">
        <v>132000.0</v>
      </c>
      <c r="AU1391" s="15">
        <v>217400.0</v>
      </c>
      <c r="AV1391" s="15">
        <v>238600.0</v>
      </c>
      <c r="AW1391" s="15">
        <v>225700.0</v>
      </c>
      <c r="AX1391" s="15">
        <v>-61000.0</v>
      </c>
      <c r="AY1391" s="15">
        <v>-75400.0</v>
      </c>
      <c r="AZ1391" s="15">
        <v>-72300.0</v>
      </c>
      <c r="BA1391" s="15">
        <v>-61600.0</v>
      </c>
      <c r="BB1391" s="15">
        <v>-61100.0</v>
      </c>
      <c r="BC1391" s="15">
        <v>-74300.0</v>
      </c>
      <c r="BD1391" s="15">
        <v>-137800.0</v>
      </c>
      <c r="BE1391" s="15">
        <v>-139500.0</v>
      </c>
      <c r="BF1391" s="15">
        <v>-138800.0</v>
      </c>
      <c r="BG1391" s="15">
        <v>-138000.0</v>
      </c>
      <c r="BH1391" s="15">
        <v>123200.0</v>
      </c>
      <c r="BI1391" s="15">
        <v>149000.0</v>
      </c>
      <c r="BJ1391" s="15">
        <v>144100.0</v>
      </c>
      <c r="BK1391" s="15">
        <v>93200.0</v>
      </c>
      <c r="BL1391" s="15">
        <v>79800.0</v>
      </c>
      <c r="BM1391" s="15">
        <v>149800.0</v>
      </c>
      <c r="BN1391" s="15">
        <v>194600.0</v>
      </c>
      <c r="BO1391" s="15">
        <v>203000.0</v>
      </c>
      <c r="BP1391" s="15">
        <v>190200.0</v>
      </c>
      <c r="BQ1391" s="15">
        <v>188200.0</v>
      </c>
      <c r="BR1391" s="15">
        <v>245200.0</v>
      </c>
      <c r="BS1391" s="15">
        <v>257700.0</v>
      </c>
      <c r="BT1391" s="15">
        <v>262200.0</v>
      </c>
      <c r="BU1391" s="15">
        <v>240400.0</v>
      </c>
      <c r="BV1391" s="15">
        <v>254600.0</v>
      </c>
      <c r="BW1391" s="15">
        <v>538500.0</v>
      </c>
      <c r="BX1391" s="15">
        <v>620600.0</v>
      </c>
      <c r="BY1391" s="15">
        <v>630500.0</v>
      </c>
      <c r="BZ1391" s="15">
        <v>545300.0</v>
      </c>
      <c r="CA1391" s="15">
        <v>550500.0</v>
      </c>
      <c r="CB1391" s="15">
        <v>351600.0</v>
      </c>
      <c r="CC1391" s="15">
        <v>276000.0</v>
      </c>
      <c r="CD1391" s="15">
        <v>278200.0</v>
      </c>
      <c r="CE1391" s="15">
        <v>259800.0</v>
      </c>
      <c r="CF1391" s="15">
        <v>253600.0</v>
      </c>
      <c r="CG1391" s="15">
        <v>59500.0</v>
      </c>
      <c r="CH1391" s="15">
        <v>76100.0</v>
      </c>
      <c r="CI1391" s="15">
        <v>78900.0</v>
      </c>
      <c r="CJ1391" s="15">
        <v>132600.0</v>
      </c>
      <c r="CK1391" s="15">
        <v>146300.0</v>
      </c>
      <c r="CL1391" s="15">
        <v>1260000.0</v>
      </c>
      <c r="CM1391" s="15">
        <v>1310000.0</v>
      </c>
      <c r="CN1391" s="15">
        <v>1390000.0</v>
      </c>
      <c r="CO1391" s="15">
        <v>1590000.0</v>
      </c>
      <c r="CP1391" s="15">
        <v>1600000.0</v>
      </c>
      <c r="CQ1391" s="15">
        <v>125400.0</v>
      </c>
      <c r="CR1391" s="15">
        <v>129200.0</v>
      </c>
      <c r="CS1391" s="15">
        <v>124400.0</v>
      </c>
      <c r="CT1391" s="15">
        <v>117700.0</v>
      </c>
      <c r="CU1391" s="15">
        <v>126700.0</v>
      </c>
      <c r="CV1391" s="15">
        <v>688900.0</v>
      </c>
      <c r="CW1391" s="15">
        <v>302400.0</v>
      </c>
      <c r="CX1391" s="15"/>
      <c r="CY1391" s="15"/>
      <c r="CZ1391" s="15"/>
      <c r="DA1391" s="15"/>
      <c r="DB1391" s="15">
        <v>688900.0</v>
      </c>
      <c r="DC1391" s="15">
        <v>759100.0</v>
      </c>
      <c r="DD1391" s="15">
        <v>658800.0</v>
      </c>
      <c r="DE1391" s="15">
        <v>547600.0</v>
      </c>
      <c r="DF1391" s="15">
        <v>1540000.0</v>
      </c>
      <c r="DG1391" s="15">
        <v>1540000.0</v>
      </c>
      <c r="DH1391" s="15">
        <v>1510000.0</v>
      </c>
      <c r="DI1391" s="15">
        <v>1380000.0</v>
      </c>
      <c r="DJ1391" s="15">
        <v>1440000.0</v>
      </c>
      <c r="DK1391" s="15"/>
      <c r="DL1391" s="15"/>
      <c r="DM1391" s="15"/>
      <c r="DN1391" s="15"/>
      <c r="DO1391" s="15"/>
      <c r="DP1391" s="15">
        <v>658200.0</v>
      </c>
      <c r="DQ1391" s="15">
        <v>603400.0</v>
      </c>
      <c r="DR1391" s="15">
        <v>605100.0</v>
      </c>
      <c r="DS1391" s="15">
        <v>606000.0</v>
      </c>
      <c r="DT1391" s="15">
        <v>608200.0</v>
      </c>
      <c r="DU1391" s="15"/>
      <c r="DV1391" s="15"/>
      <c r="DW1391" s="15"/>
      <c r="DX1391" s="15"/>
      <c r="DY1391" s="15"/>
      <c r="DZ1391" s="15">
        <v>-277000.0</v>
      </c>
      <c r="EA1391" s="15">
        <v>-235200.0</v>
      </c>
      <c r="EB1391" s="15">
        <v>-119400.0</v>
      </c>
      <c r="EC1391" s="15">
        <v>212800.0</v>
      </c>
      <c r="ED1391" s="15">
        <v>161000.0</v>
      </c>
      <c r="EE1391" s="17">
        <v>0.0</v>
      </c>
      <c r="EF1391" s="17">
        <v>0.0</v>
      </c>
      <c r="EG1391" s="17">
        <v>5.0</v>
      </c>
      <c r="EH1391" s="17">
        <v>0.977</v>
      </c>
    </row>
    <row r="1392">
      <c r="A1392" s="9">
        <f t="shared" si="2"/>
        <v>1390</v>
      </c>
      <c r="B1392" s="10" t="s">
        <v>1527</v>
      </c>
      <c r="C1392" s="12"/>
      <c r="D1392" s="12"/>
      <c r="E1392" s="15">
        <v>325940.0</v>
      </c>
      <c r="F1392" s="15">
        <v>418190.0</v>
      </c>
      <c r="G1392" s="15">
        <v>442860.0</v>
      </c>
      <c r="H1392" s="15">
        <v>353470.0</v>
      </c>
      <c r="I1392" s="15">
        <v>339500.0</v>
      </c>
      <c r="J1392" s="15">
        <v>91630.0</v>
      </c>
      <c r="K1392" s="15">
        <v>118960.0</v>
      </c>
      <c r="L1392" s="15">
        <v>130350.0</v>
      </c>
      <c r="M1392" s="15">
        <v>126960.0</v>
      </c>
      <c r="N1392" s="15">
        <v>130750.0</v>
      </c>
      <c r="O1392" s="15">
        <v>124820.0</v>
      </c>
      <c r="P1392" s="15">
        <v>156110.0</v>
      </c>
      <c r="Q1392" s="15">
        <v>157130.0</v>
      </c>
      <c r="R1392" s="15">
        <v>130380.0</v>
      </c>
      <c r="S1392" s="15">
        <v>126980.0</v>
      </c>
      <c r="T1392" s="12"/>
      <c r="U1392" s="12"/>
      <c r="V1392" s="12"/>
      <c r="W1392" s="12"/>
      <c r="X1392" s="12"/>
      <c r="Y1392" s="15">
        <v>-57600.0</v>
      </c>
      <c r="Z1392" s="15">
        <v>-96810.0</v>
      </c>
      <c r="AA1392" s="15">
        <v>-44460.0</v>
      </c>
      <c r="AB1392" s="15">
        <v>-5030.0</v>
      </c>
      <c r="AC1392" s="15">
        <v>800.0</v>
      </c>
      <c r="AD1392" s="15">
        <v>-58420.0</v>
      </c>
      <c r="AE1392" s="15">
        <v>-97300.0</v>
      </c>
      <c r="AF1392" s="15">
        <v>-42850.0</v>
      </c>
      <c r="AG1392" s="15">
        <v>-3560.0</v>
      </c>
      <c r="AH1392" s="15">
        <v>2870.0</v>
      </c>
      <c r="AI1392" s="15">
        <v>-21730.0</v>
      </c>
      <c r="AJ1392" s="15">
        <v>-28030.0</v>
      </c>
      <c r="AK1392" s="15">
        <v>-12620.0</v>
      </c>
      <c r="AL1392" s="15">
        <v>5860.0</v>
      </c>
      <c r="AM1392" s="15">
        <v>8960.0</v>
      </c>
      <c r="AN1392" s="15">
        <v>-58740.0</v>
      </c>
      <c r="AO1392" s="15">
        <v>-97380.0</v>
      </c>
      <c r="AP1392" s="15">
        <v>-42550.0</v>
      </c>
      <c r="AQ1392" s="15">
        <v>3210.0</v>
      </c>
      <c r="AR1392" s="15">
        <v>2690.0</v>
      </c>
      <c r="AS1392" s="15">
        <v>-15830.0</v>
      </c>
      <c r="AT1392" s="15">
        <v>-25520.0</v>
      </c>
      <c r="AU1392" s="15">
        <v>-13.0</v>
      </c>
      <c r="AV1392" s="15">
        <v>4440.0</v>
      </c>
      <c r="AW1392" s="15">
        <v>7960.0</v>
      </c>
      <c r="AX1392" s="15">
        <v>-2820.0</v>
      </c>
      <c r="AY1392" s="15">
        <v>-3690.0</v>
      </c>
      <c r="AZ1392" s="15">
        <v>-8410.0</v>
      </c>
      <c r="BA1392" s="15">
        <v>-24670.0</v>
      </c>
      <c r="BB1392" s="15">
        <v>-20700.0</v>
      </c>
      <c r="BC1392" s="12"/>
      <c r="BD1392" s="12"/>
      <c r="BE1392" s="12"/>
      <c r="BF1392" s="12"/>
      <c r="BG1392" s="12"/>
      <c r="BH1392" s="15">
        <v>3930.0</v>
      </c>
      <c r="BI1392" s="15">
        <v>8480.0</v>
      </c>
      <c r="BJ1392" s="15">
        <v>32830.0</v>
      </c>
      <c r="BK1392" s="15">
        <v>27970.0</v>
      </c>
      <c r="BL1392" s="15">
        <v>104310.0</v>
      </c>
      <c r="BM1392" s="15">
        <v>4200.0</v>
      </c>
      <c r="BN1392" s="15">
        <v>5380.0</v>
      </c>
      <c r="BO1392" s="15">
        <v>4470.0</v>
      </c>
      <c r="BP1392" s="15">
        <v>7090.0</v>
      </c>
      <c r="BQ1392" s="15">
        <v>4600.0</v>
      </c>
      <c r="BR1392" s="15">
        <v>67960.0</v>
      </c>
      <c r="BS1392" s="15">
        <v>94840.0</v>
      </c>
      <c r="BT1392" s="15">
        <v>109110.0</v>
      </c>
      <c r="BU1392" s="15">
        <v>126000.0</v>
      </c>
      <c r="BV1392" s="15">
        <v>120050.0</v>
      </c>
      <c r="BW1392" s="15">
        <v>80070.0</v>
      </c>
      <c r="BX1392" s="15">
        <v>115360.0</v>
      </c>
      <c r="BY1392" s="15">
        <v>153390.0</v>
      </c>
      <c r="BZ1392" s="15">
        <v>169330.0</v>
      </c>
      <c r="CA1392" s="15">
        <v>230990.0</v>
      </c>
      <c r="CB1392" s="15">
        <v>5500.0</v>
      </c>
      <c r="CC1392" s="15">
        <v>7530.0</v>
      </c>
      <c r="CD1392" s="15">
        <v>13550.0</v>
      </c>
      <c r="CE1392" s="15">
        <v>45100.0</v>
      </c>
      <c r="CF1392" s="15">
        <v>30670.0</v>
      </c>
      <c r="CG1392" s="12"/>
      <c r="CH1392" s="12"/>
      <c r="CI1392" s="15">
        <v>39190.0</v>
      </c>
      <c r="CJ1392" s="15">
        <v>39190.0</v>
      </c>
      <c r="CK1392" s="12"/>
      <c r="CL1392" s="15">
        <v>97810.0</v>
      </c>
      <c r="CM1392" s="15">
        <v>138010.0</v>
      </c>
      <c r="CN1392" s="15">
        <v>247910.0</v>
      </c>
      <c r="CO1392" s="15">
        <v>307810.0</v>
      </c>
      <c r="CP1392" s="15">
        <v>271610.0</v>
      </c>
      <c r="CQ1392" s="15">
        <v>24120.0</v>
      </c>
      <c r="CR1392" s="15">
        <v>34330.0</v>
      </c>
      <c r="CS1392" s="15">
        <v>41780.0</v>
      </c>
      <c r="CT1392" s="15">
        <v>52310.0</v>
      </c>
      <c r="CU1392" s="15">
        <v>51890.0</v>
      </c>
      <c r="CV1392" s="15">
        <v>57940.0</v>
      </c>
      <c r="CW1392" s="15">
        <v>22660.0</v>
      </c>
      <c r="CX1392" s="12"/>
      <c r="CY1392" s="13"/>
      <c r="CZ1392" s="13"/>
      <c r="DA1392" s="12"/>
      <c r="DB1392" s="15">
        <v>57940.0</v>
      </c>
      <c r="DC1392" s="15">
        <v>49420.0</v>
      </c>
      <c r="DD1392" s="15">
        <v>60560.0</v>
      </c>
      <c r="DE1392" s="15">
        <v>70730.0</v>
      </c>
      <c r="DF1392" s="15">
        <v>93290.0</v>
      </c>
      <c r="DG1392" s="15">
        <v>74280.0</v>
      </c>
      <c r="DH1392" s="15">
        <v>89690.0</v>
      </c>
      <c r="DI1392" s="15">
        <v>109870.0</v>
      </c>
      <c r="DJ1392" s="15">
        <v>96340.0</v>
      </c>
      <c r="DK1392" s="15">
        <v>4930.0</v>
      </c>
      <c r="DL1392" s="15">
        <v>5750.0</v>
      </c>
      <c r="DM1392" s="15">
        <v>12180.0</v>
      </c>
      <c r="DN1392" s="15">
        <v>16100.0</v>
      </c>
      <c r="DO1392" s="12"/>
      <c r="DP1392" s="15">
        <v>13260.0</v>
      </c>
      <c r="DQ1392" s="12"/>
      <c r="DR1392" s="12"/>
      <c r="DS1392" s="12"/>
      <c r="DT1392" s="12"/>
      <c r="DU1392" s="13"/>
      <c r="DV1392" s="12"/>
      <c r="DW1392" s="12"/>
      <c r="DX1392" s="12"/>
      <c r="DY1392" s="12"/>
      <c r="DZ1392" s="15">
        <v>4520.0</v>
      </c>
      <c r="EA1392" s="15">
        <v>63730.0</v>
      </c>
      <c r="EB1392" s="15">
        <v>158210.0</v>
      </c>
      <c r="EC1392" s="15">
        <v>197940.0</v>
      </c>
      <c r="ED1392" s="15">
        <v>175270.0</v>
      </c>
      <c r="EE1392" s="23"/>
      <c r="EF1392" s="23"/>
      <c r="EG1392" s="23"/>
      <c r="EH1392" s="23"/>
    </row>
    <row r="1393">
      <c r="A1393" s="9">
        <f t="shared" si="2"/>
        <v>1391</v>
      </c>
      <c r="B1393" s="10" t="s">
        <v>1528</v>
      </c>
      <c r="C1393" s="15">
        <v>1040000.0</v>
      </c>
      <c r="D1393" s="15">
        <v>1000000.0</v>
      </c>
      <c r="E1393" s="15">
        <v>907680.0</v>
      </c>
      <c r="F1393" s="15">
        <v>850390.0</v>
      </c>
      <c r="G1393" s="15">
        <v>776190.0</v>
      </c>
      <c r="H1393" s="15">
        <v>727590.0</v>
      </c>
      <c r="I1393" s="15">
        <v>620820.0</v>
      </c>
      <c r="J1393" s="15">
        <v>284700.0</v>
      </c>
      <c r="K1393" s="15">
        <v>240520.0</v>
      </c>
      <c r="L1393" s="15">
        <v>300540.0</v>
      </c>
      <c r="M1393" s="15">
        <v>307240.0</v>
      </c>
      <c r="N1393" s="15">
        <v>261350.0</v>
      </c>
      <c r="O1393" s="15">
        <v>130600.0</v>
      </c>
      <c r="P1393" s="15">
        <v>115200.0</v>
      </c>
      <c r="Q1393" s="15">
        <v>115530.0</v>
      </c>
      <c r="R1393" s="15">
        <v>113050.0</v>
      </c>
      <c r="S1393" s="15">
        <v>94260.0</v>
      </c>
      <c r="T1393" s="15"/>
      <c r="U1393" s="15"/>
      <c r="V1393" s="15"/>
      <c r="W1393" s="15"/>
      <c r="X1393" s="15"/>
      <c r="Y1393" s="15">
        <v>135870.0</v>
      </c>
      <c r="Z1393" s="15">
        <v>133930.0</v>
      </c>
      <c r="AA1393" s="15">
        <v>231290.0</v>
      </c>
      <c r="AB1393" s="15">
        <v>116580.0</v>
      </c>
      <c r="AC1393" s="15">
        <v>-28580.0</v>
      </c>
      <c r="AD1393" s="15">
        <v>94460.0</v>
      </c>
      <c r="AE1393" s="15">
        <v>94380.0</v>
      </c>
      <c r="AF1393" s="15">
        <v>190900.0</v>
      </c>
      <c r="AG1393" s="15">
        <v>44620.0</v>
      </c>
      <c r="AH1393" s="15">
        <v>88760.0</v>
      </c>
      <c r="AI1393" s="15">
        <v>195870.0</v>
      </c>
      <c r="AJ1393" s="15">
        <v>166570.0</v>
      </c>
      <c r="AK1393" s="15">
        <v>273020.0</v>
      </c>
      <c r="AL1393" s="15">
        <v>179960.0</v>
      </c>
      <c r="AM1393" s="15">
        <v>176930.0</v>
      </c>
      <c r="AN1393" s="15">
        <v>63120.0</v>
      </c>
      <c r="AO1393" s="15">
        <v>62900.0</v>
      </c>
      <c r="AP1393" s="15">
        <v>223900.0</v>
      </c>
      <c r="AQ1393" s="15">
        <v>52810.0</v>
      </c>
      <c r="AR1393" s="15">
        <v>84250.0</v>
      </c>
      <c r="AS1393" s="15">
        <v>136540.0</v>
      </c>
      <c r="AT1393" s="15">
        <v>143660.0</v>
      </c>
      <c r="AU1393" s="15">
        <v>162620.0</v>
      </c>
      <c r="AV1393" s="15">
        <v>114010.0</v>
      </c>
      <c r="AW1393" s="15">
        <v>132970.0</v>
      </c>
      <c r="AX1393" s="15">
        <v>-40480.0</v>
      </c>
      <c r="AY1393" s="15">
        <v>-48420.0</v>
      </c>
      <c r="AZ1393" s="15">
        <v>-35290.0</v>
      </c>
      <c r="BA1393" s="15">
        <v>-37800.0</v>
      </c>
      <c r="BB1393" s="15">
        <v>-27270.0</v>
      </c>
      <c r="BC1393" s="13"/>
      <c r="BD1393" s="13"/>
      <c r="BE1393" s="13"/>
      <c r="BF1393" s="13">
        <v>-23580.0</v>
      </c>
      <c r="BG1393" s="13">
        <v>-952850.0</v>
      </c>
      <c r="BH1393" s="15">
        <v>285090.0</v>
      </c>
      <c r="BI1393" s="15">
        <v>146380.0</v>
      </c>
      <c r="BJ1393" s="15">
        <v>135700.0</v>
      </c>
      <c r="BK1393" s="15">
        <v>26860.0</v>
      </c>
      <c r="BL1393" s="15">
        <v>69130.0</v>
      </c>
      <c r="BM1393" s="15">
        <v>104890.0</v>
      </c>
      <c r="BN1393" s="15">
        <v>105680.0</v>
      </c>
      <c r="BO1393" s="15">
        <v>101010.0</v>
      </c>
      <c r="BP1393" s="15">
        <v>89240.0</v>
      </c>
      <c r="BQ1393" s="15">
        <v>68520.0</v>
      </c>
      <c r="BR1393" s="15">
        <v>47610.0</v>
      </c>
      <c r="BS1393" s="15">
        <v>38580.0</v>
      </c>
      <c r="BT1393" s="15">
        <v>34350.0</v>
      </c>
      <c r="BU1393" s="15">
        <v>30440.0</v>
      </c>
      <c r="BV1393" s="15">
        <v>25130.0</v>
      </c>
      <c r="BW1393" s="15">
        <v>453160.0</v>
      </c>
      <c r="BX1393" s="15">
        <v>299440.0</v>
      </c>
      <c r="BY1393" s="15">
        <v>279030.0</v>
      </c>
      <c r="BZ1393" s="15">
        <v>151360.0</v>
      </c>
      <c r="CA1393" s="15">
        <v>168820.0</v>
      </c>
      <c r="CB1393" s="15">
        <v>242380.0</v>
      </c>
      <c r="CC1393" s="15">
        <v>220350.0</v>
      </c>
      <c r="CD1393" s="15">
        <v>174120.0</v>
      </c>
      <c r="CE1393" s="15">
        <v>153220.0</v>
      </c>
      <c r="CF1393" s="15">
        <v>128080.0</v>
      </c>
      <c r="CG1393" s="15">
        <v>535850.0</v>
      </c>
      <c r="CH1393" s="15">
        <v>575650.0</v>
      </c>
      <c r="CI1393" s="15">
        <v>579450.0</v>
      </c>
      <c r="CJ1393" s="15">
        <v>588460.0</v>
      </c>
      <c r="CK1393" s="15">
        <v>56990.0</v>
      </c>
      <c r="CL1393" s="15">
        <v>3110000.0</v>
      </c>
      <c r="CM1393" s="15">
        <v>3020000.0</v>
      </c>
      <c r="CN1393" s="15">
        <v>2970000.0</v>
      </c>
      <c r="CO1393" s="15">
        <v>2870000.0</v>
      </c>
      <c r="CP1393" s="15">
        <v>643530.0</v>
      </c>
      <c r="CQ1393" s="15">
        <v>68570.0</v>
      </c>
      <c r="CR1393" s="15">
        <v>65290.0</v>
      </c>
      <c r="CS1393" s="15">
        <v>49990.0</v>
      </c>
      <c r="CT1393" s="15">
        <v>34080.0</v>
      </c>
      <c r="CU1393" s="15">
        <v>28050.0</v>
      </c>
      <c r="CV1393" s="15">
        <v>159930.0</v>
      </c>
      <c r="CW1393" s="15"/>
      <c r="CX1393" s="15"/>
      <c r="CY1393" s="15"/>
      <c r="CZ1393" s="15"/>
      <c r="DA1393" s="15"/>
      <c r="DB1393" s="15">
        <v>159930.0</v>
      </c>
      <c r="DC1393" s="15">
        <v>141100.0</v>
      </c>
      <c r="DD1393" s="15">
        <v>127850.0</v>
      </c>
      <c r="DE1393" s="15">
        <v>103930.0</v>
      </c>
      <c r="DF1393" s="15">
        <v>1530000.0</v>
      </c>
      <c r="DG1393" s="15">
        <v>1470000.0</v>
      </c>
      <c r="DH1393" s="15">
        <v>1500000.0</v>
      </c>
      <c r="DI1393" s="15">
        <v>1640000.0</v>
      </c>
      <c r="DJ1393" s="15">
        <v>1300000.0</v>
      </c>
      <c r="DK1393" s="12"/>
      <c r="DL1393" s="12"/>
      <c r="DM1393" s="12"/>
      <c r="DN1393" s="12"/>
      <c r="DO1393" s="15">
        <v>17230.0</v>
      </c>
      <c r="DP1393" s="15">
        <v>975410.0</v>
      </c>
      <c r="DQ1393" s="15">
        <v>976740.0</v>
      </c>
      <c r="DR1393" s="12">
        <v>987920.0</v>
      </c>
      <c r="DS1393" s="15">
        <v>993370.0</v>
      </c>
      <c r="DT1393" s="15">
        <v>1190000.0</v>
      </c>
      <c r="DU1393" s="13"/>
      <c r="DV1393" s="12"/>
      <c r="DW1393" s="12"/>
      <c r="DX1393" s="13"/>
      <c r="DY1393" s="13"/>
      <c r="DZ1393" s="15">
        <v>1490000.0</v>
      </c>
      <c r="EA1393" s="15">
        <v>1200000.0</v>
      </c>
      <c r="EB1393" s="15">
        <v>1130000.0</v>
      </c>
      <c r="EC1393" s="15">
        <v>897220.0</v>
      </c>
      <c r="ED1393" s="15">
        <v>-622130.0</v>
      </c>
      <c r="EE1393" s="23">
        <v>0.04432</v>
      </c>
      <c r="EF1393" s="23">
        <v>0.067980769</v>
      </c>
      <c r="EG1393" s="17">
        <v>0.077</v>
      </c>
      <c r="EH1393" s="23">
        <v>0.07325</v>
      </c>
    </row>
    <row r="1394">
      <c r="A1394" s="9">
        <f t="shared" si="2"/>
        <v>1392</v>
      </c>
      <c r="B1394" s="22" t="s">
        <v>1529</v>
      </c>
      <c r="C1394" s="11">
        <v>116670.0</v>
      </c>
      <c r="D1394" s="11">
        <v>79800.0</v>
      </c>
      <c r="E1394" s="11">
        <v>54390.0</v>
      </c>
      <c r="F1394" s="11">
        <v>25430.0</v>
      </c>
      <c r="G1394" s="11">
        <v>10770.0</v>
      </c>
      <c r="H1394" s="11">
        <v>2270.0</v>
      </c>
      <c r="I1394" s="12"/>
      <c r="J1394" s="11">
        <v>6960.0</v>
      </c>
      <c r="K1394" s="11">
        <v>-6760.0</v>
      </c>
      <c r="L1394" s="11">
        <v>-13250.0</v>
      </c>
      <c r="M1394" s="11">
        <v>-7150.0</v>
      </c>
      <c r="N1394" s="12"/>
      <c r="O1394" s="11">
        <v>115810.0</v>
      </c>
      <c r="P1394" s="11">
        <v>63800.0</v>
      </c>
      <c r="Q1394" s="11">
        <v>45230.0</v>
      </c>
      <c r="R1394" s="11">
        <v>36500.0</v>
      </c>
      <c r="S1394" s="12"/>
      <c r="T1394" s="11">
        <v>35680.0</v>
      </c>
      <c r="U1394" s="11">
        <v>20350.0</v>
      </c>
      <c r="V1394" s="11">
        <v>19170.0</v>
      </c>
      <c r="W1394" s="11">
        <v>18230.0</v>
      </c>
      <c r="X1394" s="12"/>
      <c r="Y1394" s="12"/>
      <c r="Z1394" s="11">
        <v>-70570.0</v>
      </c>
      <c r="AA1394" s="12"/>
      <c r="AB1394" s="12"/>
      <c r="AC1394" s="12"/>
      <c r="AD1394" s="11">
        <v>-107380.0</v>
      </c>
      <c r="AE1394" s="11">
        <v>-70990.0</v>
      </c>
      <c r="AF1394" s="11">
        <v>-59030.0</v>
      </c>
      <c r="AG1394" s="11">
        <v>-44090.0</v>
      </c>
      <c r="AH1394" s="12"/>
      <c r="AI1394" s="11">
        <v>-102540.0</v>
      </c>
      <c r="AJ1394" s="11">
        <v>-64830.0</v>
      </c>
      <c r="AK1394" s="11">
        <v>-53460.0</v>
      </c>
      <c r="AL1394" s="11">
        <v>-39430.0</v>
      </c>
      <c r="AM1394" s="12"/>
      <c r="AN1394" s="11">
        <v>-107670.0</v>
      </c>
      <c r="AO1394" s="11">
        <v>-71240.0</v>
      </c>
      <c r="AP1394" s="11">
        <v>-59310.0</v>
      </c>
      <c r="AQ1394" s="11">
        <v>-44090.0</v>
      </c>
      <c r="AR1394" s="12"/>
      <c r="AS1394" s="11">
        <v>-87940.0</v>
      </c>
      <c r="AT1394" s="11">
        <v>-66160.0</v>
      </c>
      <c r="AU1394" s="11">
        <v>-51300.0</v>
      </c>
      <c r="AV1394" s="11">
        <v>-38590.0</v>
      </c>
      <c r="AW1394" s="12"/>
      <c r="AX1394" s="11">
        <v>-14760.0</v>
      </c>
      <c r="AY1394" s="11">
        <v>-3690.0</v>
      </c>
      <c r="AZ1394" s="11">
        <v>-6590.0</v>
      </c>
      <c r="BA1394" s="11">
        <v>-6230.0</v>
      </c>
      <c r="BB1394" s="12"/>
      <c r="BC1394" s="12"/>
      <c r="BD1394" s="12"/>
      <c r="BE1394" s="12"/>
      <c r="BF1394" s="12"/>
      <c r="BG1394" s="12"/>
      <c r="BH1394" s="11">
        <v>138190.0</v>
      </c>
      <c r="BI1394" s="11">
        <v>80760.0</v>
      </c>
      <c r="BJ1394" s="11">
        <v>62200.0</v>
      </c>
      <c r="BK1394" s="11">
        <v>55920.0</v>
      </c>
      <c r="BL1394" s="12"/>
      <c r="BM1394" s="11">
        <v>12100.0</v>
      </c>
      <c r="BN1394" s="11">
        <v>5420.0</v>
      </c>
      <c r="BO1394" s="11">
        <v>2350.0</v>
      </c>
      <c r="BP1394" s="11">
        <v>723.0</v>
      </c>
      <c r="BQ1394" s="12"/>
      <c r="BR1394" s="11">
        <v>7330.0</v>
      </c>
      <c r="BS1394" s="11">
        <v>6030.0</v>
      </c>
      <c r="BT1394" s="11">
        <v>1830.0</v>
      </c>
      <c r="BU1394" s="11">
        <v>1230.0</v>
      </c>
      <c r="BV1394" s="12"/>
      <c r="BW1394" s="11">
        <v>160140.0</v>
      </c>
      <c r="BX1394" s="11">
        <v>95670.0</v>
      </c>
      <c r="BY1394" s="11">
        <v>67870.0</v>
      </c>
      <c r="BZ1394" s="11">
        <v>59040.0</v>
      </c>
      <c r="CA1394" s="12"/>
      <c r="CB1394" s="11">
        <v>20840.0</v>
      </c>
      <c r="CC1394" s="11">
        <v>12330.0</v>
      </c>
      <c r="CD1394" s="11">
        <v>14830.0</v>
      </c>
      <c r="CE1394" s="11">
        <v>14620.0</v>
      </c>
      <c r="CF1394" s="12"/>
      <c r="CG1394" s="11">
        <v>1140.0</v>
      </c>
      <c r="CH1394" s="11">
        <v>1140.0</v>
      </c>
      <c r="CI1394" s="11">
        <v>1140.0</v>
      </c>
      <c r="CJ1394" s="11">
        <v>1140.0</v>
      </c>
      <c r="CK1394" s="12"/>
      <c r="CL1394" s="11">
        <v>186990.0</v>
      </c>
      <c r="CM1394" s="11">
        <v>115790.0</v>
      </c>
      <c r="CN1394" s="11">
        <v>85660.0</v>
      </c>
      <c r="CO1394" s="11">
        <v>76460.0</v>
      </c>
      <c r="CP1394" s="12"/>
      <c r="CQ1394" s="11">
        <v>9760.0</v>
      </c>
      <c r="CR1394" s="11">
        <v>7530.0</v>
      </c>
      <c r="CS1394" s="11">
        <v>2850.0</v>
      </c>
      <c r="CT1394" s="11">
        <v>2340.0</v>
      </c>
      <c r="CU1394" s="12"/>
      <c r="CV1394" s="11">
        <v>30350.0</v>
      </c>
      <c r="CW1394" s="12"/>
      <c r="CX1394" s="12"/>
      <c r="CY1394" s="12"/>
      <c r="CZ1394" s="12"/>
      <c r="DA1394" s="12"/>
      <c r="DB1394" s="11">
        <v>30350.0</v>
      </c>
      <c r="DC1394" s="11">
        <v>18540.0</v>
      </c>
      <c r="DD1394" s="11">
        <v>9480.0</v>
      </c>
      <c r="DE1394" s="11">
        <v>8680.0</v>
      </c>
      <c r="DF1394" s="11">
        <v>34910.0</v>
      </c>
      <c r="DG1394" s="11">
        <v>26730.0</v>
      </c>
      <c r="DH1394" s="11">
        <v>19380.0</v>
      </c>
      <c r="DI1394" s="11">
        <v>19040.0</v>
      </c>
      <c r="DJ1394" s="12"/>
      <c r="DK1394" s="11">
        <v>579.0</v>
      </c>
      <c r="DL1394" s="11">
        <v>579.0</v>
      </c>
      <c r="DM1394" s="11">
        <v>202.0</v>
      </c>
      <c r="DN1394" s="11">
        <v>322.0</v>
      </c>
      <c r="DO1394" s="12"/>
      <c r="DP1394" s="11">
        <v>4400.0</v>
      </c>
      <c r="DQ1394" s="11">
        <v>7220.0</v>
      </c>
      <c r="DR1394" s="11">
        <v>9150.0</v>
      </c>
      <c r="DS1394" s="11">
        <v>9810.0</v>
      </c>
      <c r="DT1394" s="12"/>
      <c r="DU1394" s="13"/>
      <c r="DV1394" s="11">
        <v>290480.0</v>
      </c>
      <c r="DW1394" s="11">
        <v>199630.0</v>
      </c>
      <c r="DX1394" s="11">
        <v>134040.0</v>
      </c>
      <c r="DY1394" s="13"/>
      <c r="DZ1394" s="11">
        <v>152080.0</v>
      </c>
      <c r="EA1394" s="11">
        <v>89060.0</v>
      </c>
      <c r="EB1394" s="11">
        <v>66280.0</v>
      </c>
      <c r="EC1394" s="11">
        <v>57430.0</v>
      </c>
      <c r="ED1394" s="12"/>
      <c r="EE1394" s="14">
        <v>0.028</v>
      </c>
      <c r="EF1394" s="14">
        <v>0.223</v>
      </c>
      <c r="EG1394" s="14">
        <v>0.082</v>
      </c>
      <c r="EH1394" s="14">
        <v>-0.311</v>
      </c>
    </row>
    <row r="1395">
      <c r="A1395" s="9">
        <f t="shared" si="2"/>
        <v>1393</v>
      </c>
      <c r="B1395" s="10" t="s">
        <v>1530</v>
      </c>
      <c r="C1395" s="15">
        <v>9060000.0</v>
      </c>
      <c r="D1395" s="15">
        <v>8050000.0</v>
      </c>
      <c r="E1395" s="15">
        <v>1.031E7</v>
      </c>
      <c r="F1395" s="15">
        <v>1.186E7</v>
      </c>
      <c r="G1395" s="15">
        <v>9590000.0</v>
      </c>
      <c r="H1395" s="15">
        <v>7140000.0</v>
      </c>
      <c r="I1395" s="15">
        <v>7770000.0</v>
      </c>
      <c r="J1395" s="15">
        <v>1600000.0</v>
      </c>
      <c r="K1395" s="15">
        <v>2540000.0</v>
      </c>
      <c r="L1395" s="15">
        <v>2190000.0</v>
      </c>
      <c r="M1395" s="15">
        <v>1780000.0</v>
      </c>
      <c r="N1395" s="15">
        <v>1340000.0</v>
      </c>
      <c r="O1395" s="15">
        <v>666910.0</v>
      </c>
      <c r="P1395" s="15">
        <v>697960.0</v>
      </c>
      <c r="Q1395" s="15">
        <v>637160.0</v>
      </c>
      <c r="R1395" s="15">
        <v>548550.0</v>
      </c>
      <c r="S1395" s="15">
        <v>588080.0</v>
      </c>
      <c r="T1395" s="15">
        <v>0.0</v>
      </c>
      <c r="U1395" s="15">
        <v>0.0</v>
      </c>
      <c r="V1395" s="15">
        <v>9690.0</v>
      </c>
      <c r="W1395" s="15">
        <v>9090.0</v>
      </c>
      <c r="X1395" s="15">
        <v>6110.0</v>
      </c>
      <c r="Y1395" s="15">
        <v>821790.0</v>
      </c>
      <c r="Z1395" s="15">
        <v>1650000.0</v>
      </c>
      <c r="AA1395" s="15">
        <v>1460000.0</v>
      </c>
      <c r="AB1395" s="15">
        <v>1160000.0</v>
      </c>
      <c r="AC1395" s="15">
        <v>611050.0</v>
      </c>
      <c r="AD1395" s="15">
        <v>774680.0</v>
      </c>
      <c r="AE1395" s="15">
        <v>2000000.0</v>
      </c>
      <c r="AF1395" s="15">
        <v>1280000.0</v>
      </c>
      <c r="AG1395" s="15">
        <v>1090000.0</v>
      </c>
      <c r="AH1395" s="15">
        <v>532390.0</v>
      </c>
      <c r="AI1395" s="15">
        <v>1500000.0</v>
      </c>
      <c r="AJ1395" s="15">
        <v>2350000.0</v>
      </c>
      <c r="AK1395" s="15">
        <v>1920000.0</v>
      </c>
      <c r="AL1395" s="15">
        <v>1540000.0</v>
      </c>
      <c r="AM1395" s="15">
        <v>1050000.0</v>
      </c>
      <c r="AN1395" s="15">
        <v>570970.0</v>
      </c>
      <c r="AO1395" s="15">
        <v>1560000.0</v>
      </c>
      <c r="AP1395" s="15">
        <v>875910.0</v>
      </c>
      <c r="AQ1395" s="15">
        <v>588760.0</v>
      </c>
      <c r="AR1395" s="15">
        <v>8010.0</v>
      </c>
      <c r="AS1395" s="15">
        <v>1670000.0</v>
      </c>
      <c r="AT1395" s="15">
        <v>1800000.0</v>
      </c>
      <c r="AU1395" s="15">
        <v>379460.0</v>
      </c>
      <c r="AV1395" s="15">
        <v>1090000.0</v>
      </c>
      <c r="AW1395" s="15">
        <v>1310000.0</v>
      </c>
      <c r="AX1395" s="15">
        <v>-1060000.0</v>
      </c>
      <c r="AY1395" s="15">
        <v>-538510.0</v>
      </c>
      <c r="AZ1395" s="15">
        <v>-404640.0</v>
      </c>
      <c r="BA1395" s="15">
        <v>-430430.0</v>
      </c>
      <c r="BB1395" s="15">
        <v>-460140.0</v>
      </c>
      <c r="BC1395" s="15">
        <v>-238360.0</v>
      </c>
      <c r="BD1395" s="15">
        <v>-223520.0</v>
      </c>
      <c r="BE1395" s="15">
        <v>-194030.0</v>
      </c>
      <c r="BF1395" s="15">
        <v>-174640.0</v>
      </c>
      <c r="BG1395" s="15">
        <v>-174220.0</v>
      </c>
      <c r="BH1395" s="15">
        <v>732150.0</v>
      </c>
      <c r="BI1395" s="15">
        <v>295030.0</v>
      </c>
      <c r="BJ1395" s="15">
        <v>472810.0</v>
      </c>
      <c r="BK1395" s="15">
        <v>325930.0</v>
      </c>
      <c r="BL1395" s="15">
        <v>390470.0</v>
      </c>
      <c r="BM1395" s="15">
        <v>1250000.0</v>
      </c>
      <c r="BN1395" s="15">
        <v>1400000.0</v>
      </c>
      <c r="BO1395" s="15">
        <v>1310000.0</v>
      </c>
      <c r="BP1395" s="15">
        <v>695420.0</v>
      </c>
      <c r="BQ1395" s="15">
        <v>583590.0</v>
      </c>
      <c r="BR1395" s="15">
        <v>2180000.0</v>
      </c>
      <c r="BS1395" s="15">
        <v>2710000.0</v>
      </c>
      <c r="BT1395" s="15">
        <v>2600000.0</v>
      </c>
      <c r="BU1395" s="15">
        <v>1640000.0</v>
      </c>
      <c r="BV1395" s="15">
        <v>1590000.0</v>
      </c>
      <c r="BW1395" s="15">
        <v>4180000.0</v>
      </c>
      <c r="BX1395" s="15">
        <v>4420000.0</v>
      </c>
      <c r="BY1395" s="15">
        <v>4400000.0</v>
      </c>
      <c r="BZ1395" s="15">
        <v>2730000.0</v>
      </c>
      <c r="CA1395" s="15">
        <v>2580000.0</v>
      </c>
      <c r="CB1395" s="15">
        <v>6540000.0</v>
      </c>
      <c r="CC1395" s="15">
        <v>5900000.0</v>
      </c>
      <c r="CD1395" s="15">
        <v>5380000.0</v>
      </c>
      <c r="CE1395" s="15">
        <v>4110000.0</v>
      </c>
      <c r="CF1395" s="15">
        <v>4220000.0</v>
      </c>
      <c r="CG1395" s="15">
        <v>662230.0</v>
      </c>
      <c r="CH1395" s="15">
        <v>662220.0</v>
      </c>
      <c r="CI1395" s="15">
        <v>662300.0</v>
      </c>
      <c r="CJ1395" s="15">
        <v>656850.0</v>
      </c>
      <c r="CK1395" s="15">
        <v>662310.0</v>
      </c>
      <c r="CL1395" s="15">
        <v>1.293E7</v>
      </c>
      <c r="CM1395" s="15">
        <v>1.255E7</v>
      </c>
      <c r="CN1395" s="15">
        <v>1.212E7</v>
      </c>
      <c r="CO1395" s="15">
        <v>8350000.0</v>
      </c>
      <c r="CP1395" s="15">
        <v>8060000.0</v>
      </c>
      <c r="CQ1395" s="15">
        <v>876700.0</v>
      </c>
      <c r="CR1395" s="15">
        <v>904060.0</v>
      </c>
      <c r="CS1395" s="15">
        <v>897720.0</v>
      </c>
      <c r="CT1395" s="15">
        <v>598150.0</v>
      </c>
      <c r="CU1395" s="15">
        <v>568480.0</v>
      </c>
      <c r="CV1395" s="15">
        <v>1770000.0</v>
      </c>
      <c r="CW1395" s="15">
        <v>559710.0</v>
      </c>
      <c r="CX1395" s="15">
        <v>399810.0</v>
      </c>
      <c r="CY1395" s="15">
        <v>1510000.0</v>
      </c>
      <c r="CZ1395" s="15">
        <v>815130.0</v>
      </c>
      <c r="DA1395" s="15">
        <v>913790.0</v>
      </c>
      <c r="DB1395" s="15">
        <v>1770000.0</v>
      </c>
      <c r="DC1395" s="15">
        <v>1830000.0</v>
      </c>
      <c r="DD1395" s="15">
        <v>2830000.0</v>
      </c>
      <c r="DE1395" s="15">
        <v>1870000.0</v>
      </c>
      <c r="DF1395" s="15">
        <v>5220000.0</v>
      </c>
      <c r="DG1395" s="15">
        <v>5060000.0</v>
      </c>
      <c r="DH1395" s="15">
        <v>6270000.0</v>
      </c>
      <c r="DI1395" s="15">
        <v>3230000.0</v>
      </c>
      <c r="DJ1395" s="15">
        <v>3260000.0</v>
      </c>
      <c r="DK1395" s="15">
        <v>516840.0</v>
      </c>
      <c r="DL1395" s="15">
        <v>503190.0</v>
      </c>
      <c r="DM1395" s="15">
        <v>481720.0</v>
      </c>
      <c r="DN1395" s="15">
        <v>420880.0</v>
      </c>
      <c r="DO1395" s="15">
        <v>250410.0</v>
      </c>
      <c r="DP1395" s="15">
        <v>1930000.0</v>
      </c>
      <c r="DQ1395" s="15">
        <v>1700000.0</v>
      </c>
      <c r="DR1395" s="15">
        <v>1790000.0</v>
      </c>
      <c r="DS1395" s="15">
        <v>393480.0</v>
      </c>
      <c r="DT1395" s="15">
        <v>607240.0</v>
      </c>
      <c r="DU1395" s="16">
        <v>0.0</v>
      </c>
      <c r="DV1395" s="15">
        <v>0.0</v>
      </c>
      <c r="DW1395" s="15">
        <v>0.0</v>
      </c>
      <c r="DX1395" s="16">
        <v>0.0</v>
      </c>
      <c r="DY1395" s="15">
        <v>0.0</v>
      </c>
      <c r="DZ1395" s="15">
        <v>6610000.0</v>
      </c>
      <c r="EA1395" s="15">
        <v>6390000.0</v>
      </c>
      <c r="EB1395" s="15">
        <v>5010000.0</v>
      </c>
      <c r="EC1395" s="15">
        <v>4360000.0</v>
      </c>
      <c r="ED1395" s="15">
        <v>4030000.0</v>
      </c>
      <c r="EE1395" s="17">
        <v>0.327</v>
      </c>
      <c r="EF1395" s="17">
        <v>0.306</v>
      </c>
      <c r="EG1395" s="17">
        <v>-1.154</v>
      </c>
      <c r="EH1395" s="17">
        <v>-0.297</v>
      </c>
    </row>
    <row r="1396">
      <c r="A1396" s="9">
        <f t="shared" si="2"/>
        <v>1394</v>
      </c>
      <c r="B1396" s="22" t="s">
        <v>1531</v>
      </c>
      <c r="C1396" s="11">
        <v>476180.0</v>
      </c>
      <c r="D1396" s="11">
        <v>258820.0</v>
      </c>
      <c r="E1396" s="11">
        <v>245890.0</v>
      </c>
      <c r="F1396" s="11">
        <v>146310.0</v>
      </c>
      <c r="G1396" s="11">
        <v>71090.0</v>
      </c>
      <c r="H1396" s="12"/>
      <c r="I1396" s="12"/>
      <c r="J1396" s="11">
        <v>184860.0</v>
      </c>
      <c r="K1396" s="11">
        <v>117650.0</v>
      </c>
      <c r="L1396" s="11">
        <v>60530.0</v>
      </c>
      <c r="M1396" s="12"/>
      <c r="N1396" s="12"/>
      <c r="O1396" s="11">
        <v>213930.0</v>
      </c>
      <c r="P1396" s="11">
        <v>135470.0</v>
      </c>
      <c r="Q1396" s="11">
        <v>78900.0</v>
      </c>
      <c r="R1396" s="12"/>
      <c r="S1396" s="12"/>
      <c r="T1396" s="11">
        <v>83100.0</v>
      </c>
      <c r="U1396" s="11">
        <v>47540.0</v>
      </c>
      <c r="V1396" s="11">
        <v>32160.0</v>
      </c>
      <c r="W1396" s="12"/>
      <c r="X1396" s="12"/>
      <c r="Y1396" s="11">
        <v>-30570.0</v>
      </c>
      <c r="Z1396" s="11">
        <v>-110760.0</v>
      </c>
      <c r="AA1396" s="12"/>
      <c r="AB1396" s="12"/>
      <c r="AC1396" s="12"/>
      <c r="AD1396" s="11">
        <v>-31030.0</v>
      </c>
      <c r="AE1396" s="11">
        <v>-112400.0</v>
      </c>
      <c r="AF1396" s="11">
        <v>-18740.0</v>
      </c>
      <c r="AG1396" s="12"/>
      <c r="AH1396" s="12"/>
      <c r="AI1396" s="11">
        <v>-22010.0</v>
      </c>
      <c r="AJ1396" s="11">
        <v>-13920.0</v>
      </c>
      <c r="AK1396" s="11">
        <v>-14070.0</v>
      </c>
      <c r="AL1396" s="12"/>
      <c r="AM1396" s="12"/>
      <c r="AN1396" s="11">
        <v>-31250.0</v>
      </c>
      <c r="AO1396" s="11">
        <v>-112490.0</v>
      </c>
      <c r="AP1396" s="11">
        <v>-18760.0</v>
      </c>
      <c r="AQ1396" s="12"/>
      <c r="AR1396" s="12"/>
      <c r="AS1396" s="11">
        <v>34630.0</v>
      </c>
      <c r="AT1396" s="11">
        <v>-76410.0</v>
      </c>
      <c r="AU1396" s="11">
        <v>-10700.0</v>
      </c>
      <c r="AV1396" s="12"/>
      <c r="AW1396" s="12"/>
      <c r="AX1396" s="11">
        <v>-42770.0</v>
      </c>
      <c r="AY1396" s="11">
        <v>-6710.0</v>
      </c>
      <c r="AZ1396" s="11">
        <v>-3760.0</v>
      </c>
      <c r="BA1396" s="12"/>
      <c r="BB1396" s="12"/>
      <c r="BC1396" s="12"/>
      <c r="BD1396" s="12"/>
      <c r="BE1396" s="12"/>
      <c r="BF1396" s="12"/>
      <c r="BG1396" s="12"/>
      <c r="BH1396" s="11">
        <v>424170.0</v>
      </c>
      <c r="BI1396" s="11">
        <v>65080.0</v>
      </c>
      <c r="BJ1396" s="11">
        <v>47860.0</v>
      </c>
      <c r="BK1396" s="12"/>
      <c r="BL1396" s="12"/>
      <c r="BM1396" s="11">
        <v>33370.0</v>
      </c>
      <c r="BN1396" s="11">
        <v>28090.0</v>
      </c>
      <c r="BO1396" s="11">
        <v>13340.0</v>
      </c>
      <c r="BP1396" s="12"/>
      <c r="BQ1396" s="12"/>
      <c r="BR1396" s="11">
        <v>15270.0</v>
      </c>
      <c r="BS1396" s="11">
        <v>8570.0</v>
      </c>
      <c r="BT1396" s="11">
        <v>4840.0</v>
      </c>
      <c r="BU1396" s="12"/>
      <c r="BV1396" s="12"/>
      <c r="BW1396" s="11">
        <v>480840.0</v>
      </c>
      <c r="BX1396" s="11">
        <v>106240.0</v>
      </c>
      <c r="BY1396" s="11">
        <v>68110.0</v>
      </c>
      <c r="BZ1396" s="12"/>
      <c r="CA1396" s="12"/>
      <c r="CB1396" s="11">
        <v>48820.0</v>
      </c>
      <c r="CC1396" s="11">
        <v>11130.0</v>
      </c>
      <c r="CD1396" s="11">
        <v>6930.0</v>
      </c>
      <c r="CE1396" s="12"/>
      <c r="CF1396" s="12"/>
      <c r="CG1396" s="12"/>
      <c r="CH1396" s="12"/>
      <c r="CI1396" s="12"/>
      <c r="CJ1396" s="12"/>
      <c r="CK1396" s="12"/>
      <c r="CL1396" s="11">
        <v>605920.0</v>
      </c>
      <c r="CM1396" s="11">
        <v>124310.0</v>
      </c>
      <c r="CN1396" s="11">
        <v>75610.0</v>
      </c>
      <c r="CO1396" s="12"/>
      <c r="CP1396" s="12"/>
      <c r="CQ1396" s="11">
        <v>13030.0</v>
      </c>
      <c r="CR1396" s="11">
        <v>8790.0</v>
      </c>
      <c r="CS1396" s="11">
        <v>5440.0</v>
      </c>
      <c r="CT1396" s="12"/>
      <c r="CU1396" s="12"/>
      <c r="CV1396" s="11">
        <v>63050.0</v>
      </c>
      <c r="CW1396" s="12"/>
      <c r="CX1396" s="12"/>
      <c r="CY1396" s="12"/>
      <c r="CZ1396" s="12"/>
      <c r="DA1396" s="12"/>
      <c r="DB1396" s="11">
        <v>63050.0</v>
      </c>
      <c r="DC1396" s="11">
        <v>32360.0</v>
      </c>
      <c r="DD1396" s="11">
        <v>22140.0</v>
      </c>
      <c r="DE1396" s="12"/>
      <c r="DF1396" s="11">
        <v>185840.0</v>
      </c>
      <c r="DG1396" s="11">
        <v>344300.0</v>
      </c>
      <c r="DH1396" s="11">
        <v>188120.0</v>
      </c>
      <c r="DI1396" s="12"/>
      <c r="DJ1396" s="12"/>
      <c r="DK1396" s="11">
        <v>52330.0</v>
      </c>
      <c r="DL1396" s="11">
        <v>5010.0</v>
      </c>
      <c r="DM1396" s="12"/>
      <c r="DN1396" s="12"/>
      <c r="DO1396" s="12"/>
      <c r="DP1396" s="11">
        <v>19840.0</v>
      </c>
      <c r="DQ1396" s="11">
        <v>268730.0</v>
      </c>
      <c r="DR1396" s="11">
        <v>164750.0</v>
      </c>
      <c r="DS1396" s="12"/>
      <c r="DT1396" s="12"/>
      <c r="DU1396" s="13"/>
      <c r="DV1396" s="12"/>
      <c r="DW1396" s="12"/>
      <c r="DX1396" s="13"/>
      <c r="DY1396" s="13"/>
      <c r="DZ1396" s="11">
        <v>420080.0</v>
      </c>
      <c r="EA1396" s="11">
        <v>-219990.0</v>
      </c>
      <c r="EB1396" s="11">
        <v>-112510.0</v>
      </c>
      <c r="EC1396" s="12"/>
      <c r="ED1396" s="12"/>
      <c r="EE1396" s="14">
        <v>0.107</v>
      </c>
      <c r="EF1396" s="14">
        <v>0.095</v>
      </c>
      <c r="EG1396" s="14">
        <v>0.255</v>
      </c>
      <c r="EH1396" s="14">
        <v>-0.456</v>
      </c>
    </row>
    <row r="1397">
      <c r="A1397" s="9">
        <f t="shared" si="2"/>
        <v>1395</v>
      </c>
      <c r="B1397" s="22" t="s">
        <v>1532</v>
      </c>
      <c r="C1397" s="11">
        <v>152830.0</v>
      </c>
      <c r="D1397" s="11">
        <v>59900.0</v>
      </c>
      <c r="E1397" s="11">
        <v>49650.0</v>
      </c>
      <c r="F1397" s="11">
        <v>16100.0</v>
      </c>
      <c r="G1397" s="11">
        <v>16780.0</v>
      </c>
      <c r="H1397" s="11">
        <v>19360.0</v>
      </c>
      <c r="I1397" s="11">
        <v>20140.0</v>
      </c>
      <c r="J1397" s="11">
        <v>42700.0</v>
      </c>
      <c r="K1397" s="11">
        <v>13070.0</v>
      </c>
      <c r="L1397" s="11">
        <v>13930.0</v>
      </c>
      <c r="M1397" s="11">
        <v>15040.0</v>
      </c>
      <c r="N1397" s="11">
        <v>15570.0</v>
      </c>
      <c r="O1397" s="11">
        <v>193900.0</v>
      </c>
      <c r="P1397" s="11">
        <v>143290.0</v>
      </c>
      <c r="Q1397" s="11">
        <v>91560.0</v>
      </c>
      <c r="R1397" s="11">
        <v>105290.0</v>
      </c>
      <c r="S1397" s="11">
        <v>100760.0</v>
      </c>
      <c r="T1397" s="11">
        <v>19790.0</v>
      </c>
      <c r="U1397" s="11">
        <v>27300.0</v>
      </c>
      <c r="V1397" s="11">
        <v>33850.0</v>
      </c>
      <c r="W1397" s="11">
        <v>53940.0</v>
      </c>
      <c r="X1397" s="11">
        <v>72040.0</v>
      </c>
      <c r="Y1397" s="11">
        <v>-161260.0</v>
      </c>
      <c r="Z1397" s="12"/>
      <c r="AA1397" s="12"/>
      <c r="AB1397" s="12"/>
      <c r="AC1397" s="12"/>
      <c r="AD1397" s="11">
        <v>-176140.0</v>
      </c>
      <c r="AE1397" s="11">
        <v>-132620.0</v>
      </c>
      <c r="AF1397" s="11">
        <v>-76930.0</v>
      </c>
      <c r="AG1397" s="11">
        <v>-89880.0</v>
      </c>
      <c r="AH1397" s="11">
        <v>-85080.0</v>
      </c>
      <c r="AI1397" s="11">
        <v>-148750.0</v>
      </c>
      <c r="AJ1397" s="11">
        <v>-129930.0</v>
      </c>
      <c r="AK1397" s="11">
        <v>-77420.0</v>
      </c>
      <c r="AL1397" s="11">
        <v>-90120.0</v>
      </c>
      <c r="AM1397" s="11">
        <v>-85130.0</v>
      </c>
      <c r="AN1397" s="11">
        <v>-176140.0</v>
      </c>
      <c r="AO1397" s="11">
        <v>-132620.0</v>
      </c>
      <c r="AP1397" s="11">
        <v>-76930.0</v>
      </c>
      <c r="AQ1397" s="11">
        <v>-89880.0</v>
      </c>
      <c r="AR1397" s="11">
        <v>-85080.0</v>
      </c>
      <c r="AS1397" s="11">
        <v>-165700.0</v>
      </c>
      <c r="AT1397" s="11">
        <v>-106810.0</v>
      </c>
      <c r="AU1397" s="11">
        <v>-76160.0</v>
      </c>
      <c r="AV1397" s="11">
        <v>-69140.0</v>
      </c>
      <c r="AW1397" s="11">
        <v>-79040.0</v>
      </c>
      <c r="AX1397" s="11">
        <v>-23890.0</v>
      </c>
      <c r="AY1397" s="11">
        <v>-21320.0</v>
      </c>
      <c r="AZ1397" s="11">
        <v>-827.0</v>
      </c>
      <c r="BA1397" s="11">
        <v>-1240.0</v>
      </c>
      <c r="BB1397" s="11">
        <v>-584.0</v>
      </c>
      <c r="BC1397" s="12"/>
      <c r="BD1397" s="12"/>
      <c r="BE1397" s="12"/>
      <c r="BF1397" s="12"/>
      <c r="BG1397" s="12"/>
      <c r="BH1397" s="11">
        <v>160830.0</v>
      </c>
      <c r="BI1397" s="11">
        <v>161610.0</v>
      </c>
      <c r="BJ1397" s="11">
        <v>127140.0</v>
      </c>
      <c r="BK1397" s="11">
        <v>131530.0</v>
      </c>
      <c r="BL1397" s="11">
        <v>64710.0</v>
      </c>
      <c r="BM1397" s="11">
        <v>24400.0</v>
      </c>
      <c r="BN1397" s="11">
        <v>11060.0</v>
      </c>
      <c r="BO1397" s="11">
        <v>4330.0</v>
      </c>
      <c r="BP1397" s="11">
        <v>4500.0</v>
      </c>
      <c r="BQ1397" s="11">
        <v>3050.0</v>
      </c>
      <c r="BR1397" s="11">
        <v>11860.0</v>
      </c>
      <c r="BS1397" s="11">
        <v>3270.0</v>
      </c>
      <c r="BT1397" s="11">
        <v>1490.0</v>
      </c>
      <c r="BU1397" s="11">
        <v>1080.0</v>
      </c>
      <c r="BV1397" s="11">
        <v>690.0</v>
      </c>
      <c r="BW1397" s="11">
        <v>207870.0</v>
      </c>
      <c r="BX1397" s="11">
        <v>184880.0</v>
      </c>
      <c r="BY1397" s="11">
        <v>139550.0</v>
      </c>
      <c r="BZ1397" s="11">
        <v>139410.0</v>
      </c>
      <c r="CA1397" s="11">
        <v>70680.0</v>
      </c>
      <c r="CB1397" s="11">
        <v>12620.0</v>
      </c>
      <c r="CC1397" s="11">
        <v>473.0</v>
      </c>
      <c r="CD1397" s="11">
        <v>437.0</v>
      </c>
      <c r="CE1397" s="11">
        <v>517.0</v>
      </c>
      <c r="CF1397" s="11">
        <v>199.0</v>
      </c>
      <c r="CG1397" s="12"/>
      <c r="CH1397" s="12"/>
      <c r="CI1397" s="12"/>
      <c r="CJ1397" s="12"/>
      <c r="CK1397" s="12"/>
      <c r="CL1397" s="11">
        <v>265990.0</v>
      </c>
      <c r="CM1397" s="11">
        <v>211980.0</v>
      </c>
      <c r="CN1397" s="11">
        <v>143230.0</v>
      </c>
      <c r="CO1397" s="11">
        <v>142470.0</v>
      </c>
      <c r="CP1397" s="11">
        <v>73730.0</v>
      </c>
      <c r="CQ1397" s="11">
        <v>19180.0</v>
      </c>
      <c r="CR1397" s="11">
        <v>22740.0</v>
      </c>
      <c r="CS1397" s="11">
        <v>4100.0</v>
      </c>
      <c r="CT1397" s="11">
        <v>7360.0</v>
      </c>
      <c r="CU1397" s="11">
        <v>3130.0</v>
      </c>
      <c r="CV1397" s="11">
        <v>53000.0</v>
      </c>
      <c r="CW1397" s="11">
        <v>1500.0</v>
      </c>
      <c r="CX1397" s="12"/>
      <c r="CY1397" s="12"/>
      <c r="CZ1397" s="12"/>
      <c r="DA1397" s="12"/>
      <c r="DB1397" s="11">
        <v>53000.0</v>
      </c>
      <c r="DC1397" s="11">
        <v>41080.0</v>
      </c>
      <c r="DD1397" s="11">
        <v>13320.0</v>
      </c>
      <c r="DE1397" s="11">
        <v>14980.0</v>
      </c>
      <c r="DF1397" s="11">
        <v>256780.0</v>
      </c>
      <c r="DG1397" s="11">
        <v>114460.0</v>
      </c>
      <c r="DH1397" s="11">
        <v>13320.0</v>
      </c>
      <c r="DI1397" s="11">
        <v>14980.0</v>
      </c>
      <c r="DJ1397" s="11">
        <v>10670.0</v>
      </c>
      <c r="DK1397" s="12"/>
      <c r="DL1397" s="12"/>
      <c r="DM1397" s="12"/>
      <c r="DN1397" s="12"/>
      <c r="DO1397" s="12"/>
      <c r="DP1397" s="11">
        <v>203780.0</v>
      </c>
      <c r="DQ1397" s="11">
        <v>73380.0</v>
      </c>
      <c r="DR1397" s="12"/>
      <c r="DS1397" s="12"/>
      <c r="DT1397" s="12"/>
      <c r="DU1397" s="13"/>
      <c r="DV1397" s="12"/>
      <c r="DW1397" s="12"/>
      <c r="DX1397" s="13"/>
      <c r="DY1397" s="13"/>
      <c r="DZ1397" s="11">
        <v>9200.0</v>
      </c>
      <c r="EA1397" s="11">
        <v>97520.0</v>
      </c>
      <c r="EB1397" s="11">
        <v>129910.0</v>
      </c>
      <c r="EC1397" s="11">
        <v>127490.0</v>
      </c>
      <c r="ED1397" s="11">
        <v>63060.0</v>
      </c>
      <c r="EE1397" s="14">
        <v>0.119</v>
      </c>
      <c r="EF1397" s="14">
        <v>0.43</v>
      </c>
      <c r="EG1397" s="14">
        <v>-0.118</v>
      </c>
      <c r="EH1397" s="14">
        <v>0.023</v>
      </c>
    </row>
    <row r="1398">
      <c r="A1398" s="9">
        <f t="shared" si="2"/>
        <v>1396</v>
      </c>
      <c r="B1398" s="10" t="s">
        <v>1533</v>
      </c>
      <c r="C1398" s="15">
        <v>1.391E7</v>
      </c>
      <c r="D1398" s="15">
        <v>1.241E7</v>
      </c>
      <c r="E1398" s="15">
        <v>1.438E7</v>
      </c>
      <c r="F1398" s="15">
        <v>1.578E7</v>
      </c>
      <c r="G1398" s="15">
        <v>1.496E7</v>
      </c>
      <c r="H1398" s="15">
        <v>1.337E7</v>
      </c>
      <c r="I1398" s="15">
        <v>1.3E7</v>
      </c>
      <c r="J1398" s="15">
        <v>8880000.0</v>
      </c>
      <c r="K1398" s="15">
        <v>9960000.0</v>
      </c>
      <c r="L1398" s="15">
        <v>9300000.0</v>
      </c>
      <c r="M1398" s="15">
        <v>7920000.0</v>
      </c>
      <c r="N1398" s="15">
        <v>7240000.0</v>
      </c>
      <c r="O1398" s="15">
        <v>3190000.0</v>
      </c>
      <c r="P1398" s="15">
        <v>3240000.0</v>
      </c>
      <c r="Q1398" s="15">
        <v>3260000.0</v>
      </c>
      <c r="R1398" s="15">
        <v>3140000.0</v>
      </c>
      <c r="S1398" s="15">
        <v>3030000.0</v>
      </c>
      <c r="T1398" s="15">
        <v>1540000.0</v>
      </c>
      <c r="U1398" s="15">
        <v>1560000.0</v>
      </c>
      <c r="V1398" s="15">
        <v>1510000.0</v>
      </c>
      <c r="W1398" s="15">
        <v>1370000.0</v>
      </c>
      <c r="X1398" s="15">
        <v>1280000.0</v>
      </c>
      <c r="Y1398" s="15">
        <v>5700000.0</v>
      </c>
      <c r="Z1398" s="15">
        <v>6710000.0</v>
      </c>
      <c r="AA1398" s="15">
        <v>6020000.0</v>
      </c>
      <c r="AB1398" s="15">
        <v>4950000.0</v>
      </c>
      <c r="AC1398" s="15">
        <v>4190000.0</v>
      </c>
      <c r="AD1398" s="15">
        <v>5730000.0</v>
      </c>
      <c r="AE1398" s="15">
        <v>6690000.0</v>
      </c>
      <c r="AF1398" s="15">
        <v>6080000.0</v>
      </c>
      <c r="AG1398" s="15">
        <v>4930000.0</v>
      </c>
      <c r="AH1398" s="15">
        <v>4220000.0</v>
      </c>
      <c r="AI1398" s="15">
        <v>6740000.0</v>
      </c>
      <c r="AJ1398" s="15">
        <v>7670000.0</v>
      </c>
      <c r="AK1398" s="15">
        <v>6940000.0</v>
      </c>
      <c r="AL1398" s="15">
        <v>5740000.0</v>
      </c>
      <c r="AM1398" s="15">
        <v>5350000.0</v>
      </c>
      <c r="AN1398" s="15">
        <v>4990000.0</v>
      </c>
      <c r="AO1398" s="15">
        <v>5540000.0</v>
      </c>
      <c r="AP1398" s="15">
        <v>3650000.0</v>
      </c>
      <c r="AQ1398" s="15">
        <v>3550000.0</v>
      </c>
      <c r="AR1398" s="15">
        <v>2940000.0</v>
      </c>
      <c r="AS1398" s="15">
        <v>6650000.0</v>
      </c>
      <c r="AT1398" s="15">
        <v>7190000.0</v>
      </c>
      <c r="AU1398" s="15">
        <v>5360000.0</v>
      </c>
      <c r="AV1398" s="15">
        <v>4610000.0</v>
      </c>
      <c r="AW1398" s="15">
        <v>4270000.0</v>
      </c>
      <c r="AX1398" s="15">
        <v>-847000.0</v>
      </c>
      <c r="AY1398" s="15">
        <v>-1130000.0</v>
      </c>
      <c r="AZ1398" s="15">
        <v>-695000.0</v>
      </c>
      <c r="BA1398" s="15">
        <v>-531000.0</v>
      </c>
      <c r="BB1398" s="15">
        <v>-551000.0</v>
      </c>
      <c r="BC1398" s="15">
        <v>-3010000.0</v>
      </c>
      <c r="BD1398" s="15">
        <v>-2560000.0</v>
      </c>
      <c r="BE1398" s="15">
        <v>-2100000.0</v>
      </c>
      <c r="BF1398" s="15">
        <v>-1650000.0</v>
      </c>
      <c r="BG1398" s="15">
        <v>-1440000.0</v>
      </c>
      <c r="BH1398" s="15">
        <v>5390000.0</v>
      </c>
      <c r="BI1398" s="15">
        <v>4230000.0</v>
      </c>
      <c r="BJ1398" s="15">
        <v>4470000.0</v>
      </c>
      <c r="BK1398" s="15">
        <v>3490000.0</v>
      </c>
      <c r="BL1398" s="15">
        <v>3220000.0</v>
      </c>
      <c r="BM1398" s="15">
        <v>1070000.0</v>
      </c>
      <c r="BN1398" s="15">
        <v>1210000.0</v>
      </c>
      <c r="BO1398" s="15">
        <v>1280000.0</v>
      </c>
      <c r="BP1398" s="15">
        <v>1270000.0</v>
      </c>
      <c r="BQ1398" s="15">
        <v>1170000.0</v>
      </c>
      <c r="BR1398" s="15">
        <v>2000000.0</v>
      </c>
      <c r="BS1398" s="15">
        <v>2220000.0</v>
      </c>
      <c r="BT1398" s="15">
        <v>1960000.0</v>
      </c>
      <c r="BU1398" s="15">
        <v>1790000.0</v>
      </c>
      <c r="BV1398" s="15">
        <v>1690000.0</v>
      </c>
      <c r="BW1398" s="15">
        <v>8760000.0</v>
      </c>
      <c r="BX1398" s="15">
        <v>8100000.0</v>
      </c>
      <c r="BY1398" s="15">
        <v>8730000.0</v>
      </c>
      <c r="BZ1398" s="15">
        <v>7460000.0</v>
      </c>
      <c r="CA1398" s="15">
        <v>7070000.0</v>
      </c>
      <c r="CB1398" s="15">
        <v>3640000.0</v>
      </c>
      <c r="CC1398" s="15">
        <v>3180000.0</v>
      </c>
      <c r="CD1398" s="15">
        <v>2660000.0</v>
      </c>
      <c r="CE1398" s="15">
        <v>2510000.0</v>
      </c>
      <c r="CF1398" s="15">
        <v>2600000.0</v>
      </c>
      <c r="CG1398" s="15">
        <v>4360000.0</v>
      </c>
      <c r="CH1398" s="15">
        <v>4360000.0</v>
      </c>
      <c r="CI1398" s="15">
        <v>4360000.0</v>
      </c>
      <c r="CJ1398" s="15">
        <v>4360000.0</v>
      </c>
      <c r="CK1398" s="15">
        <v>4360000.0</v>
      </c>
      <c r="CL1398" s="15">
        <v>1.802E7</v>
      </c>
      <c r="CM1398" s="15">
        <v>1.714E7</v>
      </c>
      <c r="CN1398" s="15">
        <v>1.764E7</v>
      </c>
      <c r="CO1398" s="15">
        <v>1.643E7</v>
      </c>
      <c r="CP1398" s="15">
        <v>1.623E7</v>
      </c>
      <c r="CQ1398" s="15">
        <v>388000.0</v>
      </c>
      <c r="CR1398" s="15">
        <v>478000.0</v>
      </c>
      <c r="CS1398" s="15">
        <v>466000.0</v>
      </c>
      <c r="CT1398" s="15">
        <v>396000.0</v>
      </c>
      <c r="CU1398" s="15">
        <v>386000.0</v>
      </c>
      <c r="CV1398" s="15">
        <v>2120000.0</v>
      </c>
      <c r="CW1398" s="15">
        <v>73000.0</v>
      </c>
      <c r="CX1398" s="15">
        <v>0.0</v>
      </c>
      <c r="CY1398" s="16">
        <v>0.0</v>
      </c>
      <c r="CZ1398" s="16">
        <v>0.0</v>
      </c>
      <c r="DA1398" s="15">
        <v>0.0</v>
      </c>
      <c r="DB1398" s="15">
        <v>2120000.0</v>
      </c>
      <c r="DC1398" s="15">
        <v>2470000.0</v>
      </c>
      <c r="DD1398" s="15">
        <v>2260000.0</v>
      </c>
      <c r="DE1398" s="15">
        <v>2260000.0</v>
      </c>
      <c r="DF1398" s="15">
        <v>9110000.0</v>
      </c>
      <c r="DG1398" s="15">
        <v>8140000.0</v>
      </c>
      <c r="DH1398" s="15">
        <v>7310000.0</v>
      </c>
      <c r="DI1398" s="15">
        <v>5960000.0</v>
      </c>
      <c r="DJ1398" s="15">
        <v>6280000.0</v>
      </c>
      <c r="DK1398" s="15">
        <v>300000.0</v>
      </c>
      <c r="DL1398" s="15">
        <v>251000.0</v>
      </c>
      <c r="DM1398" s="15">
        <v>268000.0</v>
      </c>
      <c r="DN1398" s="15">
        <v>235000.0</v>
      </c>
      <c r="DO1398" s="15">
        <v>221000.0</v>
      </c>
      <c r="DP1398" s="15">
        <v>5560000.0</v>
      </c>
      <c r="DQ1398" s="15">
        <v>4320000.0</v>
      </c>
      <c r="DR1398" s="15">
        <v>3580000.0</v>
      </c>
      <c r="DS1398" s="15">
        <v>2980000.0</v>
      </c>
      <c r="DT1398" s="15">
        <v>3120000.0</v>
      </c>
      <c r="DU1398" s="16">
        <v>0.0</v>
      </c>
      <c r="DV1398" s="15">
        <v>0.0</v>
      </c>
      <c r="DW1398" s="15">
        <v>0.0</v>
      </c>
      <c r="DX1398" s="15">
        <v>0.0</v>
      </c>
      <c r="DY1398" s="15">
        <v>0.0</v>
      </c>
      <c r="DZ1398" s="15">
        <v>8910000.0</v>
      </c>
      <c r="EA1398" s="15">
        <v>8990000.0</v>
      </c>
      <c r="EB1398" s="15">
        <v>1.034E7</v>
      </c>
      <c r="EC1398" s="15">
        <v>1.047E7</v>
      </c>
      <c r="ED1398" s="15">
        <v>9950000.0</v>
      </c>
      <c r="EE1398" s="17">
        <v>0.169</v>
      </c>
      <c r="EF1398" s="17">
        <v>0.438</v>
      </c>
      <c r="EG1398" s="17">
        <v>0.24</v>
      </c>
      <c r="EH1398" s="17">
        <v>0.126</v>
      </c>
    </row>
    <row r="1399">
      <c r="A1399" s="9">
        <f t="shared" si="2"/>
        <v>1397</v>
      </c>
      <c r="B1399" s="10" t="s">
        <v>1534</v>
      </c>
      <c r="C1399" s="15">
        <v>2820000.0</v>
      </c>
      <c r="D1399" s="15">
        <v>2370000.0</v>
      </c>
      <c r="E1399" s="15">
        <v>2760000.0</v>
      </c>
      <c r="F1399" s="15">
        <v>2460000.0</v>
      </c>
      <c r="G1399" s="15">
        <v>2220000.0</v>
      </c>
      <c r="H1399" s="15">
        <v>1990000.0</v>
      </c>
      <c r="I1399" s="15">
        <v>1810000.0</v>
      </c>
      <c r="J1399" s="15">
        <v>380670.0</v>
      </c>
      <c r="K1399" s="15">
        <v>343280.0</v>
      </c>
      <c r="L1399" s="15">
        <v>329430.0</v>
      </c>
      <c r="M1399" s="15">
        <v>302420.0</v>
      </c>
      <c r="N1399" s="15">
        <v>256990.0</v>
      </c>
      <c r="O1399" s="15">
        <v>149390.0</v>
      </c>
      <c r="P1399" s="15">
        <v>134660.0</v>
      </c>
      <c r="Q1399" s="15">
        <v>108390.0</v>
      </c>
      <c r="R1399" s="15">
        <v>123040.0</v>
      </c>
      <c r="S1399" s="15">
        <v>111450.0</v>
      </c>
      <c r="T1399" s="15"/>
      <c r="U1399" s="15"/>
      <c r="V1399" s="15"/>
      <c r="W1399" s="15"/>
      <c r="X1399" s="15"/>
      <c r="Y1399" s="15">
        <v>232180.0</v>
      </c>
      <c r="Z1399" s="15">
        <v>206840.0</v>
      </c>
      <c r="AA1399" s="15">
        <v>205480.0</v>
      </c>
      <c r="AB1399" s="15">
        <v>171900.0</v>
      </c>
      <c r="AC1399" s="15">
        <v>144570.0</v>
      </c>
      <c r="AD1399" s="15">
        <v>213920.0</v>
      </c>
      <c r="AE1399" s="15">
        <v>188550.0</v>
      </c>
      <c r="AF1399" s="15">
        <v>186120.0</v>
      </c>
      <c r="AG1399" s="15">
        <v>171760.0</v>
      </c>
      <c r="AH1399" s="15">
        <v>144250.0</v>
      </c>
      <c r="AI1399" s="15">
        <v>346820.0</v>
      </c>
      <c r="AJ1399" s="15">
        <v>309830.0</v>
      </c>
      <c r="AK1399" s="15">
        <v>314530.0</v>
      </c>
      <c r="AL1399" s="15">
        <v>262340.0</v>
      </c>
      <c r="AM1399" s="15">
        <v>215230.0</v>
      </c>
      <c r="AN1399" s="15">
        <v>174450.0</v>
      </c>
      <c r="AO1399" s="15">
        <v>158230.0</v>
      </c>
      <c r="AP1399" s="15">
        <v>131530.0</v>
      </c>
      <c r="AQ1399" s="15">
        <v>115600.0</v>
      </c>
      <c r="AR1399" s="15">
        <v>96890.0</v>
      </c>
      <c r="AS1399" s="15">
        <v>374300.0</v>
      </c>
      <c r="AT1399" s="15">
        <v>352870.0</v>
      </c>
      <c r="AU1399" s="15">
        <v>285900.0</v>
      </c>
      <c r="AV1399" s="15">
        <v>257070.0</v>
      </c>
      <c r="AW1399" s="15">
        <v>227940.0</v>
      </c>
      <c r="AX1399" s="15">
        <v>-214340.0</v>
      </c>
      <c r="AY1399" s="15">
        <v>-155980.0</v>
      </c>
      <c r="AZ1399" s="15">
        <v>-161630.0</v>
      </c>
      <c r="BA1399" s="15">
        <v>-164740.0</v>
      </c>
      <c r="BB1399" s="15">
        <v>-173480.0</v>
      </c>
      <c r="BC1399" s="13">
        <v>-102370.0</v>
      </c>
      <c r="BD1399" s="13">
        <v>-68550.0</v>
      </c>
      <c r="BE1399" s="13">
        <v>-58150.0</v>
      </c>
      <c r="BF1399" s="13">
        <v>-52050.0</v>
      </c>
      <c r="BG1399" s="13">
        <v>-46180.0</v>
      </c>
      <c r="BH1399" s="15">
        <v>107880.0</v>
      </c>
      <c r="BI1399" s="15">
        <v>210130.0</v>
      </c>
      <c r="BJ1399" s="15">
        <v>150920.0</v>
      </c>
      <c r="BK1399" s="15">
        <v>112940.0</v>
      </c>
      <c r="BL1399" s="15">
        <v>59330.0</v>
      </c>
      <c r="BM1399" s="15">
        <v>99310.0</v>
      </c>
      <c r="BN1399" s="15">
        <v>92110.0</v>
      </c>
      <c r="BO1399" s="15">
        <v>76500.0</v>
      </c>
      <c r="BP1399" s="15">
        <v>56130.0</v>
      </c>
      <c r="BQ1399" s="15">
        <v>45420.0</v>
      </c>
      <c r="BR1399" s="15">
        <v>20270.0</v>
      </c>
      <c r="BS1399" s="15">
        <v>18830.0</v>
      </c>
      <c r="BT1399" s="15">
        <v>16310.0</v>
      </c>
      <c r="BU1399" s="15">
        <v>16090.0</v>
      </c>
      <c r="BV1399" s="15">
        <v>15630.0</v>
      </c>
      <c r="BW1399" s="15">
        <v>247900.0</v>
      </c>
      <c r="BX1399" s="15">
        <v>345020.0</v>
      </c>
      <c r="BY1399" s="15">
        <v>257080.0</v>
      </c>
      <c r="BZ1399" s="15">
        <v>200260.0</v>
      </c>
      <c r="CA1399" s="15">
        <v>133810.0</v>
      </c>
      <c r="CB1399" s="15">
        <v>1560000.0</v>
      </c>
      <c r="CC1399" s="15">
        <v>956680.0</v>
      </c>
      <c r="CD1399" s="15">
        <v>912150.0</v>
      </c>
      <c r="CE1399" s="15">
        <v>830050.0</v>
      </c>
      <c r="CF1399" s="15">
        <v>751290.0</v>
      </c>
      <c r="CG1399" s="15">
        <v>124750.0</v>
      </c>
      <c r="CH1399" s="15">
        <v>123220.0</v>
      </c>
      <c r="CI1399" s="15">
        <v>121040.0</v>
      </c>
      <c r="CJ1399" s="15">
        <v>116570.0</v>
      </c>
      <c r="CK1399" s="15">
        <v>116570.0</v>
      </c>
      <c r="CL1399" s="15">
        <v>2160000.0</v>
      </c>
      <c r="CM1399" s="15">
        <v>1510000.0</v>
      </c>
      <c r="CN1399" s="15">
        <v>1330000.0</v>
      </c>
      <c r="CO1399" s="15">
        <v>1180000.0</v>
      </c>
      <c r="CP1399" s="15">
        <v>1030000.0</v>
      </c>
      <c r="CQ1399" s="15">
        <v>61650.0</v>
      </c>
      <c r="CR1399" s="15">
        <v>62060.0</v>
      </c>
      <c r="CS1399" s="15">
        <v>57580.0</v>
      </c>
      <c r="CT1399" s="15">
        <v>50790.0</v>
      </c>
      <c r="CU1399" s="15">
        <v>51000.0</v>
      </c>
      <c r="CV1399" s="15">
        <v>417220.0</v>
      </c>
      <c r="CW1399" s="15">
        <v>17260.0</v>
      </c>
      <c r="CX1399" s="13"/>
      <c r="CY1399" s="13"/>
      <c r="CZ1399" s="13"/>
      <c r="DA1399" s="12"/>
      <c r="DB1399" s="15">
        <v>417220.0</v>
      </c>
      <c r="DC1399" s="15">
        <v>385140.0</v>
      </c>
      <c r="DD1399" s="15">
        <v>330000.0</v>
      </c>
      <c r="DE1399" s="15">
        <v>279530.0</v>
      </c>
      <c r="DF1399" s="15">
        <v>1230000.0</v>
      </c>
      <c r="DG1399" s="15">
        <v>553760.0</v>
      </c>
      <c r="DH1399" s="15">
        <v>479230.0</v>
      </c>
      <c r="DI1399" s="15">
        <v>421730.0</v>
      </c>
      <c r="DJ1399" s="15">
        <v>355520.0</v>
      </c>
      <c r="DK1399" s="12"/>
      <c r="DL1399" s="12"/>
      <c r="DM1399" s="12"/>
      <c r="DN1399" s="12"/>
      <c r="DO1399" s="15"/>
      <c r="DP1399" s="15">
        <v>538710.0</v>
      </c>
      <c r="DQ1399" s="15">
        <v>2080.0</v>
      </c>
      <c r="DR1399" s="12">
        <v>51980.0</v>
      </c>
      <c r="DS1399" s="12">
        <v>52380.0</v>
      </c>
      <c r="DT1399" s="12">
        <v>25550.0</v>
      </c>
      <c r="DU1399" s="13"/>
      <c r="DV1399" s="12"/>
      <c r="DW1399" s="12"/>
      <c r="DX1399" s="13"/>
      <c r="DY1399" s="13"/>
      <c r="DZ1399" s="15">
        <v>915990.0</v>
      </c>
      <c r="EA1399" s="15">
        <v>945570.0</v>
      </c>
      <c r="EB1399" s="15">
        <v>839080.0</v>
      </c>
      <c r="EC1399" s="15">
        <v>750230.0</v>
      </c>
      <c r="ED1399" s="15">
        <v>669660.0</v>
      </c>
      <c r="EE1399" s="23">
        <v>0.139240506</v>
      </c>
      <c r="EF1399" s="23">
        <v>0.141843972</v>
      </c>
      <c r="EG1399" s="17">
        <v>-0.603</v>
      </c>
      <c r="EH1399" s="23">
        <v>-0.075</v>
      </c>
    </row>
    <row r="1400">
      <c r="A1400" s="9">
        <f t="shared" si="2"/>
        <v>1398</v>
      </c>
      <c r="B1400" s="10" t="s">
        <v>1535</v>
      </c>
      <c r="C1400" s="11">
        <v>1.233E7</v>
      </c>
      <c r="D1400" s="11">
        <v>1.141E7</v>
      </c>
      <c r="E1400" s="11">
        <v>1.363E7</v>
      </c>
      <c r="F1400" s="11">
        <v>1.397E7</v>
      </c>
      <c r="G1400" s="11">
        <v>1.42E7</v>
      </c>
      <c r="H1400" s="11">
        <v>1.379E7</v>
      </c>
      <c r="I1400" s="11">
        <v>1.342E7</v>
      </c>
      <c r="J1400" s="11">
        <v>2850000.0</v>
      </c>
      <c r="K1400" s="11">
        <v>3020000.0</v>
      </c>
      <c r="L1400" s="11">
        <v>3010000.0</v>
      </c>
      <c r="M1400" s="11">
        <v>3150000.0</v>
      </c>
      <c r="N1400" s="11">
        <v>3220000.0</v>
      </c>
      <c r="O1400" s="11">
        <v>1800000.0</v>
      </c>
      <c r="P1400" s="11">
        <v>1920000.0</v>
      </c>
      <c r="Q1400" s="11">
        <v>1970000.0</v>
      </c>
      <c r="R1400" s="11">
        <v>1980000.0</v>
      </c>
      <c r="S1400" s="11">
        <v>2080000.0</v>
      </c>
      <c r="T1400" s="11">
        <v>647000.0</v>
      </c>
      <c r="U1400" s="11">
        <v>643000.0</v>
      </c>
      <c r="V1400" s="11">
        <v>634000.0</v>
      </c>
      <c r="W1400" s="11">
        <v>677000.0</v>
      </c>
      <c r="X1400" s="11">
        <v>778000.0</v>
      </c>
      <c r="Y1400" s="11">
        <v>1000000.0</v>
      </c>
      <c r="Z1400" s="11">
        <v>1030000.0</v>
      </c>
      <c r="AA1400" s="11">
        <v>-130000.0</v>
      </c>
      <c r="AB1400" s="11">
        <v>1050000.0</v>
      </c>
      <c r="AC1400" s="12"/>
      <c r="AD1400" s="11">
        <v>942000.0</v>
      </c>
      <c r="AE1400" s="11">
        <v>1380000.0</v>
      </c>
      <c r="AF1400" s="11">
        <v>762000.0</v>
      </c>
      <c r="AG1400" s="11">
        <v>876000.0</v>
      </c>
      <c r="AH1400" s="11">
        <v>971000.0</v>
      </c>
      <c r="AI1400" s="11">
        <v>1460000.0</v>
      </c>
      <c r="AJ1400" s="11">
        <v>1530000.0</v>
      </c>
      <c r="AK1400" s="11">
        <v>1470000.0</v>
      </c>
      <c r="AL1400" s="11">
        <v>1610000.0</v>
      </c>
      <c r="AM1400" s="11">
        <v>1580000.0</v>
      </c>
      <c r="AN1400" s="11">
        <v>815000.0</v>
      </c>
      <c r="AO1400" s="11">
        <v>1220000.0</v>
      </c>
      <c r="AP1400" s="11">
        <v>306000.0</v>
      </c>
      <c r="AQ1400" s="11">
        <v>843000.0</v>
      </c>
      <c r="AR1400" s="11">
        <v>698000.0</v>
      </c>
      <c r="AS1400" s="11">
        <v>1010000.0</v>
      </c>
      <c r="AT1400" s="11">
        <v>1110000.0</v>
      </c>
      <c r="AU1400" s="11">
        <v>936000.0</v>
      </c>
      <c r="AV1400" s="11">
        <v>1010000.0</v>
      </c>
      <c r="AW1400" s="11">
        <v>1090000.0</v>
      </c>
      <c r="AX1400" s="11">
        <v>-339000.0</v>
      </c>
      <c r="AY1400" s="11">
        <v>-369000.0</v>
      </c>
      <c r="AZ1400" s="11">
        <v>-423000.0</v>
      </c>
      <c r="BA1400" s="11">
        <v>-446000.0</v>
      </c>
      <c r="BB1400" s="11">
        <v>-420000.0</v>
      </c>
      <c r="BC1400" s="11">
        <v>-18000.0</v>
      </c>
      <c r="BD1400" s="11">
        <v>-20000.0</v>
      </c>
      <c r="BE1400" s="11">
        <v>-21000.0</v>
      </c>
      <c r="BF1400" s="11">
        <v>-22000.0</v>
      </c>
      <c r="BG1400" s="11">
        <v>-22000.0</v>
      </c>
      <c r="BH1400" s="11">
        <v>1360000.0</v>
      </c>
      <c r="BI1400" s="11">
        <v>1110000.0</v>
      </c>
      <c r="BJ1400" s="11">
        <v>1260000.0</v>
      </c>
      <c r="BK1400" s="11">
        <v>1300000.0</v>
      </c>
      <c r="BL1400" s="11">
        <v>1010000.0</v>
      </c>
      <c r="BM1400" s="11">
        <v>921000.0</v>
      </c>
      <c r="BN1400" s="11">
        <v>1020000.0</v>
      </c>
      <c r="BO1400" s="11">
        <v>1360000.0</v>
      </c>
      <c r="BP1400" s="11">
        <v>1060000.0</v>
      </c>
      <c r="BQ1400" s="11">
        <v>1050000.0</v>
      </c>
      <c r="BR1400" s="11">
        <v>4070000.0</v>
      </c>
      <c r="BS1400" s="11">
        <v>3820000.0</v>
      </c>
      <c r="BT1400" s="11">
        <v>4150000.0</v>
      </c>
      <c r="BU1400" s="11">
        <v>4460000.0</v>
      </c>
      <c r="BV1400" s="11">
        <v>4140000.0</v>
      </c>
      <c r="BW1400" s="11">
        <v>7240000.0</v>
      </c>
      <c r="BX1400" s="11">
        <v>6730000.0</v>
      </c>
      <c r="BY1400" s="11">
        <v>7210000.0</v>
      </c>
      <c r="BZ1400" s="11">
        <v>7210000.0</v>
      </c>
      <c r="CA1400" s="11">
        <v>6540000.0</v>
      </c>
      <c r="CB1400" s="11">
        <v>2800000.0</v>
      </c>
      <c r="CC1400" s="11">
        <v>2620000.0</v>
      </c>
      <c r="CD1400" s="11">
        <v>2720000.0</v>
      </c>
      <c r="CE1400" s="11">
        <v>2580000.0</v>
      </c>
      <c r="CF1400" s="11">
        <v>2490000.0</v>
      </c>
      <c r="CG1400" s="11">
        <v>2150000.0</v>
      </c>
      <c r="CH1400" s="11">
        <v>2220000.0</v>
      </c>
      <c r="CI1400" s="11">
        <v>2360000.0</v>
      </c>
      <c r="CJ1400" s="11">
        <v>2110000.0</v>
      </c>
      <c r="CK1400" s="11">
        <v>2020000.0</v>
      </c>
      <c r="CL1400" s="11">
        <v>1.502E7</v>
      </c>
      <c r="CM1400" s="11">
        <v>1.426E7</v>
      </c>
      <c r="CN1400" s="11">
        <v>1.534E7</v>
      </c>
      <c r="CO1400" s="11">
        <v>1.536E7</v>
      </c>
      <c r="CP1400" s="11">
        <v>1.471E7</v>
      </c>
      <c r="CQ1400" s="11">
        <v>1380000.0</v>
      </c>
      <c r="CR1400" s="11">
        <v>1100000.0</v>
      </c>
      <c r="CS1400" s="11">
        <v>1210000.0</v>
      </c>
      <c r="CT1400" s="11">
        <v>1270000.0</v>
      </c>
      <c r="CU1400" s="11">
        <v>1060000.0</v>
      </c>
      <c r="CV1400" s="11">
        <v>4010000.0</v>
      </c>
      <c r="CW1400" s="11">
        <v>48000.0</v>
      </c>
      <c r="CX1400" s="11">
        <v>258000.0</v>
      </c>
      <c r="CY1400" s="11">
        <v>14000.0</v>
      </c>
      <c r="CZ1400" s="12"/>
      <c r="DA1400" s="11">
        <v>12000.0</v>
      </c>
      <c r="DB1400" s="11">
        <v>4010000.0</v>
      </c>
      <c r="DC1400" s="11">
        <v>3510000.0</v>
      </c>
      <c r="DD1400" s="11">
        <v>3660000.0</v>
      </c>
      <c r="DE1400" s="11">
        <v>3890000.0</v>
      </c>
      <c r="DF1400" s="11">
        <v>9500000.0</v>
      </c>
      <c r="DG1400" s="11">
        <v>9070000.0</v>
      </c>
      <c r="DH1400" s="11">
        <v>9690000.0</v>
      </c>
      <c r="DI1400" s="11">
        <v>9780000.0</v>
      </c>
      <c r="DJ1400" s="11">
        <v>9740000.0</v>
      </c>
      <c r="DK1400" s="12"/>
      <c r="DL1400" s="12"/>
      <c r="DM1400" s="12"/>
      <c r="DN1400" s="12"/>
      <c r="DO1400" s="12"/>
      <c r="DP1400" s="11">
        <v>3320000.0</v>
      </c>
      <c r="DQ1400" s="11">
        <v>3530000.0</v>
      </c>
      <c r="DR1400" s="11">
        <v>3900000.0</v>
      </c>
      <c r="DS1400" s="11">
        <v>3320000.0</v>
      </c>
      <c r="DT1400" s="11">
        <v>3350000.0</v>
      </c>
      <c r="DU1400" s="12"/>
      <c r="DV1400" s="12"/>
      <c r="DW1400" s="12"/>
      <c r="DX1400" s="12"/>
      <c r="DY1400" s="12"/>
      <c r="DZ1400" s="11">
        <v>5520000.0</v>
      </c>
      <c r="EA1400" s="11">
        <v>5190000.0</v>
      </c>
      <c r="EB1400" s="11">
        <v>5650000.0</v>
      </c>
      <c r="EC1400" s="11">
        <v>5570000.0</v>
      </c>
      <c r="ED1400" s="11">
        <v>4960000.0</v>
      </c>
      <c r="EE1400" s="14">
        <v>0.153</v>
      </c>
      <c r="EF1400" s="14">
        <v>0.142</v>
      </c>
      <c r="EG1400" s="14">
        <v>-0.255</v>
      </c>
      <c r="EH1400" s="14">
        <v>-0.01</v>
      </c>
    </row>
    <row r="1401">
      <c r="A1401" s="9">
        <f t="shared" si="2"/>
        <v>1399</v>
      </c>
      <c r="B1401" s="22" t="s">
        <v>1536</v>
      </c>
      <c r="C1401" s="11">
        <v>2500.0</v>
      </c>
      <c r="D1401" s="12"/>
      <c r="E1401" s="12"/>
      <c r="F1401" s="12"/>
      <c r="G1401" s="12"/>
      <c r="H1401" s="12"/>
      <c r="I1401" s="12"/>
      <c r="J1401" s="11">
        <v>-5.0</v>
      </c>
      <c r="K1401" s="11">
        <v>-8.0</v>
      </c>
      <c r="L1401" s="11">
        <v>-4.0</v>
      </c>
      <c r="M1401" s="11">
        <v>-4.0</v>
      </c>
      <c r="N1401" s="11">
        <v>-4.0</v>
      </c>
      <c r="O1401" s="11">
        <v>25760.0</v>
      </c>
      <c r="P1401" s="11">
        <v>31770.0</v>
      </c>
      <c r="Q1401" s="11">
        <v>19360.0</v>
      </c>
      <c r="R1401" s="11">
        <v>15200.0</v>
      </c>
      <c r="S1401" s="11">
        <v>7600.0</v>
      </c>
      <c r="T1401" s="11">
        <v>12950.0</v>
      </c>
      <c r="U1401" s="11">
        <v>14720.0</v>
      </c>
      <c r="V1401" s="11">
        <v>8840.0</v>
      </c>
      <c r="W1401" s="11">
        <v>6110.0</v>
      </c>
      <c r="X1401" s="11">
        <v>3820.0</v>
      </c>
      <c r="Y1401" s="11">
        <v>-22120.0</v>
      </c>
      <c r="Z1401" s="12"/>
      <c r="AA1401" s="11">
        <v>-18970.0</v>
      </c>
      <c r="AB1401" s="11">
        <v>-15210.0</v>
      </c>
      <c r="AC1401" s="11">
        <v>-8220.0</v>
      </c>
      <c r="AD1401" s="11">
        <v>-22000.0</v>
      </c>
      <c r="AE1401" s="11">
        <v>-32980.0</v>
      </c>
      <c r="AF1401" s="11">
        <v>-18970.0</v>
      </c>
      <c r="AG1401" s="11">
        <v>-15210.0</v>
      </c>
      <c r="AH1401" s="11">
        <v>-11730.0</v>
      </c>
      <c r="AI1401" s="11">
        <v>-25760.0</v>
      </c>
      <c r="AJ1401" s="11">
        <v>-31770.0</v>
      </c>
      <c r="AK1401" s="11">
        <v>-19360.0</v>
      </c>
      <c r="AL1401" s="11">
        <v>-15200.0</v>
      </c>
      <c r="AM1401" s="11">
        <v>-7600.0</v>
      </c>
      <c r="AN1401" s="11">
        <v>-22000.0</v>
      </c>
      <c r="AO1401" s="11">
        <v>-32980.0</v>
      </c>
      <c r="AP1401" s="11">
        <v>-18970.0</v>
      </c>
      <c r="AQ1401" s="11">
        <v>-15210.0</v>
      </c>
      <c r="AR1401" s="11">
        <v>-11730.0</v>
      </c>
      <c r="AS1401" s="11">
        <v>-19510.0</v>
      </c>
      <c r="AT1401" s="11">
        <v>-20120.0</v>
      </c>
      <c r="AU1401" s="11">
        <v>-11880.0</v>
      </c>
      <c r="AV1401" s="11">
        <v>-13930.0</v>
      </c>
      <c r="AW1401" s="11">
        <v>-6610.0</v>
      </c>
      <c r="AX1401" s="12"/>
      <c r="AY1401" s="11">
        <v>-16.0</v>
      </c>
      <c r="AZ1401" s="12"/>
      <c r="BA1401" s="12"/>
      <c r="BB1401" s="12"/>
      <c r="BC1401" s="12"/>
      <c r="BD1401" s="12"/>
      <c r="BE1401" s="12"/>
      <c r="BF1401" s="12"/>
      <c r="BG1401" s="12"/>
      <c r="BH1401" s="11">
        <v>26700.0</v>
      </c>
      <c r="BI1401" s="11">
        <v>14300.0</v>
      </c>
      <c r="BJ1401" s="11">
        <v>28980.0</v>
      </c>
      <c r="BK1401" s="11">
        <v>10480.0</v>
      </c>
      <c r="BL1401" s="11">
        <v>4450.0</v>
      </c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1">
        <v>28080.0</v>
      </c>
      <c r="BX1401" s="11">
        <v>16140.0</v>
      </c>
      <c r="BY1401" s="11">
        <v>31010.0</v>
      </c>
      <c r="BZ1401" s="11">
        <v>10710.0</v>
      </c>
      <c r="CA1401" s="11">
        <v>4480.0</v>
      </c>
      <c r="CB1401" s="11">
        <v>155.0</v>
      </c>
      <c r="CC1401" s="11">
        <v>10.0</v>
      </c>
      <c r="CD1401" s="11">
        <v>3.0</v>
      </c>
      <c r="CE1401" s="11">
        <v>8.0</v>
      </c>
      <c r="CF1401" s="11">
        <v>13.0</v>
      </c>
      <c r="CG1401" s="12"/>
      <c r="CH1401" s="12"/>
      <c r="CI1401" s="12"/>
      <c r="CJ1401" s="12"/>
      <c r="CK1401" s="12"/>
      <c r="CL1401" s="11">
        <v>29500.0</v>
      </c>
      <c r="CM1401" s="11">
        <v>17520.0</v>
      </c>
      <c r="CN1401" s="11">
        <v>31020.0</v>
      </c>
      <c r="CO1401" s="11">
        <v>10890.0</v>
      </c>
      <c r="CP1401" s="11">
        <v>4490.0</v>
      </c>
      <c r="CQ1401" s="11">
        <v>1860.0</v>
      </c>
      <c r="CR1401" s="11">
        <v>1910.0</v>
      </c>
      <c r="CS1401" s="12"/>
      <c r="CT1401" s="12"/>
      <c r="CU1401" s="12"/>
      <c r="CV1401" s="11">
        <v>5580.0</v>
      </c>
      <c r="CW1401" s="11">
        <v>573.0</v>
      </c>
      <c r="CX1401" s="24">
        <v>597.0</v>
      </c>
      <c r="CY1401" s="24">
        <v>480.0</v>
      </c>
      <c r="CZ1401" s="12"/>
      <c r="DA1401" s="12"/>
      <c r="DB1401" s="11">
        <v>5580.0</v>
      </c>
      <c r="DC1401" s="11">
        <v>6310.0</v>
      </c>
      <c r="DD1401" s="11">
        <v>4550.0</v>
      </c>
      <c r="DE1401" s="11">
        <v>3330.0</v>
      </c>
      <c r="DF1401" s="11">
        <v>10480.0</v>
      </c>
      <c r="DG1401" s="11">
        <v>7850.0</v>
      </c>
      <c r="DH1401" s="11">
        <v>4550.0</v>
      </c>
      <c r="DI1401" s="11">
        <v>3330.0</v>
      </c>
      <c r="DJ1401" s="11">
        <v>1470.0</v>
      </c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3"/>
      <c r="DV1401" s="12"/>
      <c r="DW1401" s="12"/>
      <c r="DX1401" s="13"/>
      <c r="DY1401" s="13"/>
      <c r="DZ1401" s="11">
        <v>19030.0</v>
      </c>
      <c r="EA1401" s="11">
        <v>9670.0</v>
      </c>
      <c r="EB1401" s="11">
        <v>26470.0</v>
      </c>
      <c r="EC1401" s="11">
        <v>7570.0</v>
      </c>
      <c r="ED1401" s="11">
        <v>3020.0</v>
      </c>
      <c r="EE1401" s="23"/>
      <c r="EF1401" s="23"/>
      <c r="EG1401" s="14">
        <v>-0.167</v>
      </c>
      <c r="EH1401" s="14">
        <v>0.107</v>
      </c>
    </row>
    <row r="1402">
      <c r="A1402" s="9">
        <f t="shared" si="2"/>
        <v>1400</v>
      </c>
      <c r="B1402" s="25" t="s">
        <v>1537</v>
      </c>
      <c r="C1402" s="15">
        <v>4860000.0</v>
      </c>
      <c r="D1402" s="15">
        <v>3880000.0</v>
      </c>
      <c r="E1402" s="15">
        <v>5250000.0</v>
      </c>
      <c r="F1402" s="15">
        <v>5190000.0</v>
      </c>
      <c r="G1402" s="15">
        <v>4980000.0</v>
      </c>
      <c r="H1402" s="15">
        <v>4830000.0</v>
      </c>
      <c r="I1402" s="15">
        <v>3960000.0</v>
      </c>
      <c r="J1402" s="15">
        <v>2440000.0</v>
      </c>
      <c r="K1402" s="15">
        <v>2340000.0</v>
      </c>
      <c r="L1402" s="15">
        <v>2230000.0</v>
      </c>
      <c r="M1402" s="15">
        <v>2230000.0</v>
      </c>
      <c r="N1402" s="15">
        <v>1890000.0</v>
      </c>
      <c r="O1402" s="15">
        <v>2230000.0</v>
      </c>
      <c r="P1402" s="15">
        <v>2180000.0</v>
      </c>
      <c r="Q1402" s="15">
        <v>2080000.0</v>
      </c>
      <c r="R1402" s="15">
        <v>1790000.0</v>
      </c>
      <c r="S1402" s="15">
        <v>1480000.0</v>
      </c>
      <c r="T1402" s="15"/>
      <c r="U1402" s="15"/>
      <c r="V1402" s="15"/>
      <c r="W1402" s="15"/>
      <c r="X1402" s="15"/>
      <c r="Y1402" s="15">
        <v>207140.0</v>
      </c>
      <c r="Z1402" s="15">
        <v>-23830.0</v>
      </c>
      <c r="AA1402" s="15">
        <v>26230.0</v>
      </c>
      <c r="AB1402" s="15">
        <v>417900.0</v>
      </c>
      <c r="AC1402" s="15">
        <v>-5910.0</v>
      </c>
      <c r="AD1402" s="15">
        <v>209840.0</v>
      </c>
      <c r="AE1402" s="15">
        <v>-67790.0</v>
      </c>
      <c r="AF1402" s="15">
        <v>-10310.0</v>
      </c>
      <c r="AG1402" s="15">
        <v>388280.0</v>
      </c>
      <c r="AH1402" s="15">
        <v>386690.0</v>
      </c>
      <c r="AI1402" s="15">
        <v>399700.0</v>
      </c>
      <c r="AJ1402" s="15">
        <v>341200.0</v>
      </c>
      <c r="AK1402" s="15">
        <v>325240.0</v>
      </c>
      <c r="AL1402" s="15">
        <v>578940.0</v>
      </c>
      <c r="AM1402" s="15">
        <v>512290.0</v>
      </c>
      <c r="AN1402" s="15">
        <v>92140.0</v>
      </c>
      <c r="AO1402" s="15">
        <v>-46300.0</v>
      </c>
      <c r="AP1402" s="15">
        <v>-48260.0</v>
      </c>
      <c r="AQ1402" s="15">
        <v>197980.0</v>
      </c>
      <c r="AR1402" s="15">
        <v>232570.0</v>
      </c>
      <c r="AS1402" s="15">
        <v>509030.0</v>
      </c>
      <c r="AT1402" s="15">
        <v>628230.0</v>
      </c>
      <c r="AU1402" s="15">
        <v>234060.0</v>
      </c>
      <c r="AV1402" s="15">
        <v>304490.0</v>
      </c>
      <c r="AW1402" s="15">
        <v>-44100.0</v>
      </c>
      <c r="AX1402" s="15">
        <v>-147110.0</v>
      </c>
      <c r="AY1402" s="15">
        <v>-174980.0</v>
      </c>
      <c r="AZ1402" s="15">
        <v>-282990.0</v>
      </c>
      <c r="BA1402" s="15">
        <v>-387620.0</v>
      </c>
      <c r="BB1402" s="15">
        <v>-301480.0</v>
      </c>
      <c r="BC1402" s="13"/>
      <c r="BD1402" s="13"/>
      <c r="BE1402" s="13"/>
      <c r="BF1402" s="15">
        <v>-2930.0</v>
      </c>
      <c r="BG1402" s="13"/>
      <c r="BH1402" s="15">
        <v>796010.0</v>
      </c>
      <c r="BI1402" s="15">
        <v>566060.0</v>
      </c>
      <c r="BJ1402" s="15">
        <v>312480.0</v>
      </c>
      <c r="BK1402" s="15">
        <v>250470.0</v>
      </c>
      <c r="BL1402" s="15">
        <v>129850.0</v>
      </c>
      <c r="BM1402" s="15">
        <v>724310.0</v>
      </c>
      <c r="BN1402" s="15">
        <v>665650.0</v>
      </c>
      <c r="BO1402" s="15">
        <v>609670.0</v>
      </c>
      <c r="BP1402" s="15">
        <v>622690.0</v>
      </c>
      <c r="BQ1402" s="15">
        <v>433640.0</v>
      </c>
      <c r="BR1402" s="15">
        <v>892260.0</v>
      </c>
      <c r="BS1402" s="15">
        <v>1020000.0</v>
      </c>
      <c r="BT1402" s="15">
        <v>1160000.0</v>
      </c>
      <c r="BU1402" s="15">
        <v>917490.0</v>
      </c>
      <c r="BV1402" s="15">
        <v>783030.0</v>
      </c>
      <c r="BW1402" s="15">
        <v>2700000.0</v>
      </c>
      <c r="BX1402" s="15">
        <v>2590000.0</v>
      </c>
      <c r="BY1402" s="15">
        <v>2340000.0</v>
      </c>
      <c r="BZ1402" s="15">
        <v>1960000.0</v>
      </c>
      <c r="CA1402" s="15">
        <v>1500000.0</v>
      </c>
      <c r="CB1402" s="15">
        <v>1380000.0</v>
      </c>
      <c r="CC1402" s="15">
        <v>826870.0</v>
      </c>
      <c r="CD1402" s="15">
        <v>885770.0</v>
      </c>
      <c r="CE1402" s="15">
        <v>804210.0</v>
      </c>
      <c r="CF1402" s="15">
        <v>538530.0</v>
      </c>
      <c r="CG1402" s="15">
        <v>550180.0</v>
      </c>
      <c r="CH1402" s="15">
        <v>546490.0</v>
      </c>
      <c r="CI1402" s="15">
        <v>555670.0</v>
      </c>
      <c r="CJ1402" s="15">
        <v>563590.0</v>
      </c>
      <c r="CK1402" s="15">
        <v>585180.0</v>
      </c>
      <c r="CL1402" s="15">
        <v>4840000.0</v>
      </c>
      <c r="CM1402" s="15">
        <v>4250000.0</v>
      </c>
      <c r="CN1402" s="15">
        <v>4010000.0</v>
      </c>
      <c r="CO1402" s="15">
        <v>3640000.0</v>
      </c>
      <c r="CP1402" s="15">
        <v>2870000.0</v>
      </c>
      <c r="CQ1402" s="15">
        <v>618190.0</v>
      </c>
      <c r="CR1402" s="15">
        <v>560880.0</v>
      </c>
      <c r="CS1402" s="15">
        <v>561110.0</v>
      </c>
      <c r="CT1402" s="15">
        <v>409680.0</v>
      </c>
      <c r="CU1402" s="15">
        <v>200460.0</v>
      </c>
      <c r="CV1402" s="15">
        <v>1420000.0</v>
      </c>
      <c r="CW1402" s="15">
        <v>125900.0</v>
      </c>
      <c r="CX1402" s="15"/>
      <c r="CY1402" s="15">
        <v>125000.0</v>
      </c>
      <c r="CZ1402" s="15"/>
      <c r="DA1402" s="15"/>
      <c r="DB1402" s="15">
        <v>1420000.0</v>
      </c>
      <c r="DC1402" s="15">
        <v>1320000.0</v>
      </c>
      <c r="DD1402" s="15">
        <v>1060000.0</v>
      </c>
      <c r="DE1402" s="15">
        <v>685820.0</v>
      </c>
      <c r="DF1402" s="15">
        <v>2690000.0</v>
      </c>
      <c r="DG1402" s="15">
        <v>2230000.0</v>
      </c>
      <c r="DH1402" s="15">
        <v>1990000.0</v>
      </c>
      <c r="DI1402" s="15">
        <v>1610000.0</v>
      </c>
      <c r="DJ1402" s="15">
        <v>1200000.0</v>
      </c>
      <c r="DK1402" s="15">
        <v>24.0</v>
      </c>
      <c r="DL1402" s="15">
        <v>1600.0</v>
      </c>
      <c r="DM1402" s="15">
        <v>12700.0</v>
      </c>
      <c r="DN1402" s="15">
        <v>11700.0</v>
      </c>
      <c r="DO1402" s="15">
        <v>12000.0</v>
      </c>
      <c r="DP1402" s="15">
        <v>1170000.0</v>
      </c>
      <c r="DQ1402" s="15">
        <v>703830.0</v>
      </c>
      <c r="DR1402" s="15">
        <v>765050.0</v>
      </c>
      <c r="DS1402" s="15">
        <v>790390.0</v>
      </c>
      <c r="DT1402" s="15">
        <v>624070.0</v>
      </c>
      <c r="DU1402" s="13"/>
      <c r="DV1402" s="12"/>
      <c r="DW1402" s="12"/>
      <c r="DX1402" s="13"/>
      <c r="DY1402" s="13"/>
      <c r="DZ1402" s="15">
        <v>2150000.0</v>
      </c>
      <c r="EA1402" s="15">
        <v>2020000.0</v>
      </c>
      <c r="EB1402" s="15">
        <v>2020000.0</v>
      </c>
      <c r="EC1402" s="15">
        <v>2030000.0</v>
      </c>
      <c r="ED1402" s="15">
        <v>1670000.0</v>
      </c>
      <c r="EE1402" s="17">
        <v>0.0</v>
      </c>
      <c r="EF1402" s="17">
        <v>0.0</v>
      </c>
      <c r="EG1402" s="17">
        <v>0.244</v>
      </c>
      <c r="EH1402" s="17">
        <v>-0.024</v>
      </c>
    </row>
    <row r="1403">
      <c r="A1403" s="9">
        <f t="shared" si="2"/>
        <v>1401</v>
      </c>
      <c r="B1403" s="18" t="s">
        <v>1538</v>
      </c>
      <c r="C1403" s="19">
        <v>2.786E7</v>
      </c>
      <c r="D1403" s="19">
        <v>1.67E7</v>
      </c>
      <c r="E1403" s="19">
        <v>4.326E7</v>
      </c>
      <c r="F1403" s="19">
        <v>4.13E7</v>
      </c>
      <c r="G1403" s="19">
        <v>3.778E7</v>
      </c>
      <c r="H1403" s="19">
        <v>3.656E7</v>
      </c>
      <c r="I1403" s="19">
        <v>3.786E7</v>
      </c>
      <c r="J1403" s="19">
        <v>6200000.0</v>
      </c>
      <c r="K1403" s="19">
        <v>5270000.0</v>
      </c>
      <c r="L1403" s="19">
        <v>5280000.0</v>
      </c>
      <c r="M1403" s="19">
        <v>6500000.0</v>
      </c>
      <c r="N1403" s="19">
        <v>7440000.0</v>
      </c>
      <c r="O1403" s="19">
        <v>1650000.0</v>
      </c>
      <c r="P1403" s="19">
        <v>1560000.0</v>
      </c>
      <c r="Q1403" s="19">
        <v>1440000.0</v>
      </c>
      <c r="R1403" s="19">
        <v>1300000.0</v>
      </c>
      <c r="S1403" s="19">
        <v>1340000.0</v>
      </c>
      <c r="T1403" s="20"/>
      <c r="U1403" s="20"/>
      <c r="V1403" s="20"/>
      <c r="W1403" s="20"/>
      <c r="X1403" s="20"/>
      <c r="Y1403" s="19">
        <v>4510000.0</v>
      </c>
      <c r="Z1403" s="19">
        <v>-446000.0</v>
      </c>
      <c r="AA1403" s="19">
        <v>-25000.0</v>
      </c>
      <c r="AB1403" s="19">
        <v>4610000.0</v>
      </c>
      <c r="AC1403" s="19">
        <v>5590000.0</v>
      </c>
      <c r="AD1403" s="19">
        <v>3910000.0</v>
      </c>
      <c r="AE1403" s="19">
        <v>2650000.0</v>
      </c>
      <c r="AF1403" s="19">
        <v>3040000.0</v>
      </c>
      <c r="AG1403" s="19">
        <v>3820000.0</v>
      </c>
      <c r="AH1403" s="19">
        <v>4220000.0</v>
      </c>
      <c r="AI1403" s="19">
        <v>6820000.0</v>
      </c>
      <c r="AJ1403" s="19">
        <v>5840000.0</v>
      </c>
      <c r="AK1403" s="19">
        <v>5880000.0</v>
      </c>
      <c r="AL1403" s="19">
        <v>7130000.0</v>
      </c>
      <c r="AM1403" s="19">
        <v>7810000.0</v>
      </c>
      <c r="AN1403" s="19">
        <v>3010000.0</v>
      </c>
      <c r="AO1403" s="19">
        <v>2120000.0</v>
      </c>
      <c r="AP1403" s="19">
        <v>2140000.0</v>
      </c>
      <c r="AQ1403" s="19">
        <v>2260000.0</v>
      </c>
      <c r="AR1403" s="19">
        <v>7340000.0</v>
      </c>
      <c r="AS1403" s="19">
        <v>6910000.0</v>
      </c>
      <c r="AT1403" s="19">
        <v>6160000.0</v>
      </c>
      <c r="AU1403" s="19">
        <v>3410000.0</v>
      </c>
      <c r="AV1403" s="19">
        <v>5540000.0</v>
      </c>
      <c r="AW1403" s="19">
        <v>5990000.0</v>
      </c>
      <c r="AX1403" s="19">
        <v>-4530000.0</v>
      </c>
      <c r="AY1403" s="19">
        <v>-4070000.0</v>
      </c>
      <c r="AZ1403" s="19">
        <v>-4000000.0</v>
      </c>
      <c r="BA1403" s="19">
        <v>-3220000.0</v>
      </c>
      <c r="BB1403" s="19">
        <v>-2750000.0</v>
      </c>
      <c r="BC1403" s="20"/>
      <c r="BD1403" s="20"/>
      <c r="BE1403" s="20"/>
      <c r="BF1403" s="20"/>
      <c r="BG1403" s="20"/>
      <c r="BH1403" s="19">
        <v>4940000.0</v>
      </c>
      <c r="BI1403" s="19">
        <v>3950000.0</v>
      </c>
      <c r="BJ1403" s="19">
        <v>3820000.0</v>
      </c>
      <c r="BK1403" s="19">
        <v>4430000.0</v>
      </c>
      <c r="BL1403" s="19">
        <v>5220000.0</v>
      </c>
      <c r="BM1403" s="19">
        <v>1360000.0</v>
      </c>
      <c r="BN1403" s="19">
        <v>1430000.0</v>
      </c>
      <c r="BO1403" s="19">
        <v>1340000.0</v>
      </c>
      <c r="BP1403" s="19">
        <v>1180000.0</v>
      </c>
      <c r="BQ1403" s="19">
        <v>1130000.0</v>
      </c>
      <c r="BR1403" s="19">
        <v>1070000.0</v>
      </c>
      <c r="BS1403" s="19">
        <v>985000.0</v>
      </c>
      <c r="BT1403" s="19">
        <v>924000.0</v>
      </c>
      <c r="BU1403" s="19">
        <v>873000.0</v>
      </c>
      <c r="BV1403" s="19">
        <v>738000.0</v>
      </c>
      <c r="BW1403" s="19">
        <v>8190000.0</v>
      </c>
      <c r="BX1403" s="19">
        <v>7090000.0</v>
      </c>
      <c r="BY1403" s="19">
        <v>7130000.0</v>
      </c>
      <c r="BZ1403" s="19">
        <v>7310000.0</v>
      </c>
      <c r="CA1403" s="19">
        <v>7830000.0</v>
      </c>
      <c r="CB1403" s="19">
        <v>3.493E7</v>
      </c>
      <c r="CC1403" s="19">
        <v>3.266E7</v>
      </c>
      <c r="CD1403" s="19">
        <v>2.621E7</v>
      </c>
      <c r="CE1403" s="19">
        <v>2.332E7</v>
      </c>
      <c r="CF1403" s="19">
        <v>2.158E7</v>
      </c>
      <c r="CG1403" s="19">
        <v>4520000.0</v>
      </c>
      <c r="CH1403" s="19">
        <v>4520000.0</v>
      </c>
      <c r="CI1403" s="19">
        <v>4520000.0</v>
      </c>
      <c r="CJ1403" s="19">
        <v>4520000.0</v>
      </c>
      <c r="CK1403" s="19">
        <v>4520000.0</v>
      </c>
      <c r="CL1403" s="19">
        <v>5.667E7</v>
      </c>
      <c r="CM1403" s="19">
        <v>5.305E7</v>
      </c>
      <c r="CN1403" s="19">
        <v>4.538E7</v>
      </c>
      <c r="CO1403" s="19">
        <v>4.543E7</v>
      </c>
      <c r="CP1403" s="19">
        <v>4.629E7</v>
      </c>
      <c r="CQ1403" s="19">
        <v>2700000.0</v>
      </c>
      <c r="CR1403" s="19">
        <v>2360000.0</v>
      </c>
      <c r="CS1403" s="19">
        <v>2200000.0</v>
      </c>
      <c r="CT1403" s="19">
        <v>2140000.0</v>
      </c>
      <c r="CU1403" s="19">
        <v>1870000.0</v>
      </c>
      <c r="CV1403" s="19">
        <v>1.494E7</v>
      </c>
      <c r="CW1403" s="19">
        <v>686000.0</v>
      </c>
      <c r="CX1403" s="19">
        <v>719000.0</v>
      </c>
      <c r="CY1403" s="27"/>
      <c r="CZ1403" s="27"/>
      <c r="DA1403" s="27"/>
      <c r="DB1403" s="19">
        <v>1.494E7</v>
      </c>
      <c r="DC1403" s="19">
        <v>1.384E7</v>
      </c>
      <c r="DD1403" s="19">
        <v>1.276E7</v>
      </c>
      <c r="DE1403" s="19">
        <v>1.229E7</v>
      </c>
      <c r="DF1403" s="19">
        <v>4.514E7</v>
      </c>
      <c r="DG1403" s="19">
        <v>4.301E7</v>
      </c>
      <c r="DH1403" s="19">
        <v>3.664E7</v>
      </c>
      <c r="DI1403" s="19">
        <v>3.677E7</v>
      </c>
      <c r="DJ1403" s="19">
        <v>3.733E7</v>
      </c>
      <c r="DK1403" s="19">
        <v>106000.0</v>
      </c>
      <c r="DL1403" s="19">
        <v>105000.0</v>
      </c>
      <c r="DM1403" s="19">
        <v>91000.0</v>
      </c>
      <c r="DN1403" s="19">
        <v>124000.0</v>
      </c>
      <c r="DO1403" s="19">
        <v>204000.0</v>
      </c>
      <c r="DP1403" s="19">
        <v>1.831E7</v>
      </c>
      <c r="DQ1403" s="19">
        <v>1.772E7</v>
      </c>
      <c r="DR1403" s="19">
        <v>1.27E7</v>
      </c>
      <c r="DS1403" s="19">
        <v>1.074E7</v>
      </c>
      <c r="DT1403" s="19">
        <v>1.04E7</v>
      </c>
      <c r="DU1403" s="27"/>
      <c r="DV1403" s="20"/>
      <c r="DW1403" s="20"/>
      <c r="DX1403" s="27"/>
      <c r="DY1403" s="27"/>
      <c r="DZ1403" s="19">
        <v>1.153E7</v>
      </c>
      <c r="EA1403" s="19">
        <v>1.004E7</v>
      </c>
      <c r="EB1403" s="19">
        <v>8730000.0</v>
      </c>
      <c r="EC1403" s="19">
        <v>8660000.0</v>
      </c>
      <c r="ED1403" s="19">
        <v>8970000.0</v>
      </c>
      <c r="EE1403" s="21">
        <v>0.221</v>
      </c>
      <c r="EF1403" s="21">
        <v>0.547</v>
      </c>
      <c r="EG1403" s="21">
        <v>-0.032</v>
      </c>
      <c r="EH1403" s="21">
        <v>0.065</v>
      </c>
    </row>
    <row r="1404">
      <c r="A1404" s="9">
        <f t="shared" si="2"/>
        <v>1402</v>
      </c>
      <c r="B1404" s="25" t="s">
        <v>1539</v>
      </c>
      <c r="C1404" s="15">
        <v>358730.0</v>
      </c>
      <c r="D1404" s="15">
        <v>336130.0</v>
      </c>
      <c r="E1404" s="15">
        <v>404180.0</v>
      </c>
      <c r="F1404" s="15">
        <v>351080.0</v>
      </c>
      <c r="G1404" s="15">
        <v>330800.0</v>
      </c>
      <c r="H1404" s="15">
        <v>356280.0</v>
      </c>
      <c r="I1404" s="15">
        <v>289190.0</v>
      </c>
      <c r="J1404" s="15">
        <v>56610.0</v>
      </c>
      <c r="K1404" s="15">
        <v>31730.0</v>
      </c>
      <c r="L1404" s="15">
        <v>15590.0</v>
      </c>
      <c r="M1404" s="15">
        <v>62580.0</v>
      </c>
      <c r="N1404" s="15">
        <v>89500.0</v>
      </c>
      <c r="O1404" s="15">
        <v>25830.0</v>
      </c>
      <c r="P1404" s="15">
        <v>25020.0</v>
      </c>
      <c r="Q1404" s="15">
        <v>25630.0</v>
      </c>
      <c r="R1404" s="15">
        <v>26180.0</v>
      </c>
      <c r="S1404" s="15">
        <v>18470.0</v>
      </c>
      <c r="T1404" s="15"/>
      <c r="U1404" s="15"/>
      <c r="V1404" s="15"/>
      <c r="W1404" s="15"/>
      <c r="X1404" s="15"/>
      <c r="Y1404" s="15"/>
      <c r="Z1404" s="15"/>
      <c r="AA1404" s="15"/>
      <c r="AB1404" s="15">
        <v>21840.0</v>
      </c>
      <c r="AC1404" s="15">
        <v>-2300.0</v>
      </c>
      <c r="AD1404" s="15">
        <v>-34990.0</v>
      </c>
      <c r="AE1404" s="15">
        <v>-50070.0</v>
      </c>
      <c r="AF1404" s="15">
        <v>-72570.0</v>
      </c>
      <c r="AG1404" s="15">
        <v>-26610.0</v>
      </c>
      <c r="AH1404" s="15">
        <v>62050.0</v>
      </c>
      <c r="AI1404" s="15">
        <v>110620.0</v>
      </c>
      <c r="AJ1404" s="15">
        <v>78280.0</v>
      </c>
      <c r="AK1404" s="15">
        <v>63940.0</v>
      </c>
      <c r="AL1404" s="15">
        <v>94650.0</v>
      </c>
      <c r="AM1404" s="15">
        <v>99480.0</v>
      </c>
      <c r="AN1404" s="15">
        <v>-34970.0</v>
      </c>
      <c r="AO1404" s="15">
        <v>-50030.0</v>
      </c>
      <c r="AP1404" s="15">
        <v>-72790.0</v>
      </c>
      <c r="AQ1404" s="15">
        <v>-26940.0</v>
      </c>
      <c r="AR1404" s="15">
        <v>62040.0</v>
      </c>
      <c r="AS1404" s="15">
        <v>39160.0</v>
      </c>
      <c r="AT1404" s="15">
        <v>32230.0</v>
      </c>
      <c r="AU1404" s="15">
        <v>10400.0</v>
      </c>
      <c r="AV1404" s="15">
        <v>44970.0</v>
      </c>
      <c r="AW1404" s="15">
        <v>78420.0</v>
      </c>
      <c r="AX1404" s="15">
        <v>-18660.0</v>
      </c>
      <c r="AY1404" s="15">
        <v>-19810.0</v>
      </c>
      <c r="AZ1404" s="15">
        <v>-14560.0</v>
      </c>
      <c r="BA1404" s="15">
        <v>-23230.0</v>
      </c>
      <c r="BB1404" s="15">
        <v>-17020.0</v>
      </c>
      <c r="BC1404" s="15">
        <v>-45310.0</v>
      </c>
      <c r="BD1404" s="13"/>
      <c r="BE1404" s="15">
        <v>-2270.0</v>
      </c>
      <c r="BF1404" s="15">
        <v>-69590.0</v>
      </c>
      <c r="BG1404" s="15">
        <v>-91400.0</v>
      </c>
      <c r="BH1404" s="15">
        <v>36990.0</v>
      </c>
      <c r="BI1404" s="15">
        <v>61780.0</v>
      </c>
      <c r="BJ1404" s="15">
        <v>49170.0</v>
      </c>
      <c r="BK1404" s="15">
        <v>55600.0</v>
      </c>
      <c r="BL1404" s="15">
        <v>49970.0</v>
      </c>
      <c r="BM1404" s="15">
        <v>34260.0</v>
      </c>
      <c r="BN1404" s="15">
        <v>61660.0</v>
      </c>
      <c r="BO1404" s="15">
        <v>9860.0</v>
      </c>
      <c r="BP1404" s="15">
        <v>14670.0</v>
      </c>
      <c r="BQ1404" s="15">
        <v>8070.0</v>
      </c>
      <c r="BR1404" s="15">
        <v>53930.0</v>
      </c>
      <c r="BS1404" s="15">
        <v>63550.0</v>
      </c>
      <c r="BT1404" s="15">
        <v>53170.0</v>
      </c>
      <c r="BU1404" s="15">
        <v>58170.0</v>
      </c>
      <c r="BV1404" s="15">
        <v>37530.0</v>
      </c>
      <c r="BW1404" s="15">
        <v>130590.0</v>
      </c>
      <c r="BX1404" s="15">
        <v>193980.0</v>
      </c>
      <c r="BY1404" s="15">
        <v>117990.0</v>
      </c>
      <c r="BZ1404" s="15">
        <v>134530.0</v>
      </c>
      <c r="CA1404" s="15">
        <v>98550.0</v>
      </c>
      <c r="CB1404" s="15">
        <v>965370.0</v>
      </c>
      <c r="CC1404" s="15">
        <v>1020000.0</v>
      </c>
      <c r="CD1404" s="15">
        <v>1070000.0</v>
      </c>
      <c r="CE1404" s="15">
        <v>1130000.0</v>
      </c>
      <c r="CF1404" s="15">
        <v>393130.0</v>
      </c>
      <c r="CG1404" s="15">
        <v>40970.0</v>
      </c>
      <c r="CH1404" s="15">
        <v>40970.0</v>
      </c>
      <c r="CI1404" s="15">
        <v>40970.0</v>
      </c>
      <c r="CJ1404" s="15">
        <v>40970.0</v>
      </c>
      <c r="CK1404" s="15">
        <v>40970.0</v>
      </c>
      <c r="CL1404" s="15">
        <v>1140000.0</v>
      </c>
      <c r="CM1404" s="15">
        <v>1250000.0</v>
      </c>
      <c r="CN1404" s="15">
        <v>1230000.0</v>
      </c>
      <c r="CO1404" s="15">
        <v>1310000.0</v>
      </c>
      <c r="CP1404" s="15">
        <v>536260.0</v>
      </c>
      <c r="CQ1404" s="15">
        <v>23650.0</v>
      </c>
      <c r="CR1404" s="15">
        <v>29770.0</v>
      </c>
      <c r="CS1404" s="15">
        <v>23520.0</v>
      </c>
      <c r="CT1404" s="15">
        <v>28820.0</v>
      </c>
      <c r="CU1404" s="15">
        <v>11100.0</v>
      </c>
      <c r="CV1404" s="15">
        <v>75530.0</v>
      </c>
      <c r="CW1404" s="15">
        <v>3520.0</v>
      </c>
      <c r="CX1404" s="15"/>
      <c r="CY1404" s="13"/>
      <c r="CZ1404" s="13"/>
      <c r="DA1404" s="15"/>
      <c r="DB1404" s="15">
        <v>75530.0</v>
      </c>
      <c r="DC1404" s="15">
        <v>122640.0</v>
      </c>
      <c r="DD1404" s="15">
        <v>56100.0</v>
      </c>
      <c r="DE1404" s="15">
        <v>63020.0</v>
      </c>
      <c r="DF1404" s="15">
        <v>718410.0</v>
      </c>
      <c r="DG1404" s="15">
        <v>754560.0</v>
      </c>
      <c r="DH1404" s="15">
        <v>684420.0</v>
      </c>
      <c r="DI1404" s="15">
        <v>687310.0</v>
      </c>
      <c r="DJ1404" s="15">
        <v>150700.0</v>
      </c>
      <c r="DK1404" s="15"/>
      <c r="DL1404" s="15"/>
      <c r="DM1404" s="15"/>
      <c r="DN1404" s="15"/>
      <c r="DO1404" s="15"/>
      <c r="DP1404" s="15">
        <v>640200.0</v>
      </c>
      <c r="DQ1404" s="15">
        <v>628990.0</v>
      </c>
      <c r="DR1404" s="15">
        <v>625900.0</v>
      </c>
      <c r="DS1404" s="15">
        <v>623110.0</v>
      </c>
      <c r="DT1404" s="15">
        <v>124770.0</v>
      </c>
      <c r="DU1404" s="13"/>
      <c r="DV1404" s="12"/>
      <c r="DW1404" s="12"/>
      <c r="DX1404" s="13"/>
      <c r="DY1404" s="13"/>
      <c r="DZ1404" s="15">
        <v>419540.0</v>
      </c>
      <c r="EA1404" s="15">
        <v>499830.0</v>
      </c>
      <c r="EB1404" s="15">
        <v>549850.0</v>
      </c>
      <c r="EC1404" s="15">
        <v>624910.0</v>
      </c>
      <c r="ED1404" s="15">
        <v>385550.0</v>
      </c>
      <c r="EE1404" s="23">
        <v>0.0</v>
      </c>
      <c r="EF1404" s="23">
        <v>0.0</v>
      </c>
      <c r="EG1404" s="23">
        <v>0.143</v>
      </c>
      <c r="EH1404" s="23">
        <v>-0.257</v>
      </c>
    </row>
    <row r="1405">
      <c r="A1405" s="9">
        <f t="shared" si="2"/>
        <v>1403</v>
      </c>
      <c r="B1405" s="22" t="s">
        <v>1540</v>
      </c>
      <c r="C1405" s="12"/>
      <c r="D1405" s="12"/>
      <c r="E1405" s="12"/>
      <c r="F1405" s="12"/>
      <c r="G1405" s="11">
        <v>1380.0</v>
      </c>
      <c r="H1405" s="12"/>
      <c r="I1405" s="12"/>
      <c r="J1405" s="11">
        <v>-2660.0</v>
      </c>
      <c r="K1405" s="11">
        <v>-2180.0</v>
      </c>
      <c r="L1405" s="12"/>
      <c r="M1405" s="11">
        <v>-153.0</v>
      </c>
      <c r="N1405" s="12"/>
      <c r="O1405" s="11">
        <v>88340.0</v>
      </c>
      <c r="P1405" s="11">
        <v>72740.0</v>
      </c>
      <c r="Q1405" s="11">
        <v>45690.0</v>
      </c>
      <c r="R1405" s="11">
        <v>18690.0</v>
      </c>
      <c r="S1405" s="12"/>
      <c r="T1405" s="11">
        <v>70960.0</v>
      </c>
      <c r="U1405" s="11">
        <v>58910.0</v>
      </c>
      <c r="V1405" s="11">
        <v>36070.0</v>
      </c>
      <c r="W1405" s="11">
        <v>13550.0</v>
      </c>
      <c r="X1405" s="12"/>
      <c r="Y1405" s="11">
        <v>-89650.0</v>
      </c>
      <c r="Z1405" s="11">
        <v>-80970.0</v>
      </c>
      <c r="AA1405" s="12"/>
      <c r="AB1405" s="11">
        <v>-28220.0</v>
      </c>
      <c r="AC1405" s="12"/>
      <c r="AD1405" s="11">
        <v>-82180.0</v>
      </c>
      <c r="AE1405" s="11">
        <v>-76400.0</v>
      </c>
      <c r="AF1405" s="11">
        <v>-44660.0</v>
      </c>
      <c r="AG1405" s="11">
        <v>-30400.0</v>
      </c>
      <c r="AH1405" s="12"/>
      <c r="AI1405" s="11">
        <v>-88340.0</v>
      </c>
      <c r="AJ1405" s="11">
        <v>-72740.0</v>
      </c>
      <c r="AK1405" s="11">
        <v>-44300.0</v>
      </c>
      <c r="AL1405" s="11">
        <v>-18690.0</v>
      </c>
      <c r="AM1405" s="12"/>
      <c r="AN1405" s="11">
        <v>-82180.0</v>
      </c>
      <c r="AO1405" s="11">
        <v>-76400.0</v>
      </c>
      <c r="AP1405" s="11">
        <v>-44660.0</v>
      </c>
      <c r="AQ1405" s="11">
        <v>-30400.0</v>
      </c>
      <c r="AR1405" s="12"/>
      <c r="AS1405" s="11">
        <v>-72420.0</v>
      </c>
      <c r="AT1405" s="11">
        <v>-56620.0</v>
      </c>
      <c r="AU1405" s="11">
        <v>-38360.0</v>
      </c>
      <c r="AV1405" s="11">
        <v>-16400.0</v>
      </c>
      <c r="AW1405" s="12"/>
      <c r="AX1405" s="11">
        <v>-1590.0</v>
      </c>
      <c r="AY1405" s="11">
        <v>-1260.0</v>
      </c>
      <c r="AZ1405" s="11">
        <v>-1690.0</v>
      </c>
      <c r="BA1405" s="11">
        <v>-2240.0</v>
      </c>
      <c r="BB1405" s="12"/>
      <c r="BC1405" s="12"/>
      <c r="BD1405" s="12"/>
      <c r="BE1405" s="12"/>
      <c r="BF1405" s="12"/>
      <c r="BG1405" s="12"/>
      <c r="BH1405" s="11">
        <v>127490.0</v>
      </c>
      <c r="BI1405" s="11">
        <v>171140.0</v>
      </c>
      <c r="BJ1405" s="11">
        <v>86510.0</v>
      </c>
      <c r="BK1405" s="11">
        <v>89290.0</v>
      </c>
      <c r="BL1405" s="12"/>
      <c r="BM1405" s="12"/>
      <c r="BN1405" s="12"/>
      <c r="BO1405" s="11">
        <v>1380.0</v>
      </c>
      <c r="BP1405" s="12"/>
      <c r="BQ1405" s="12"/>
      <c r="BR1405" s="12"/>
      <c r="BS1405" s="12"/>
      <c r="BT1405" s="12"/>
      <c r="BU1405" s="12"/>
      <c r="BV1405" s="12"/>
      <c r="BW1405" s="11">
        <v>129490.0</v>
      </c>
      <c r="BX1405" s="11">
        <v>172970.0</v>
      </c>
      <c r="BY1405" s="11">
        <v>88880.0</v>
      </c>
      <c r="BZ1405" s="11">
        <v>93410.0</v>
      </c>
      <c r="CA1405" s="12"/>
      <c r="CB1405" s="11">
        <v>16640.0</v>
      </c>
      <c r="CC1405" s="11">
        <v>6240.0</v>
      </c>
      <c r="CD1405" s="11">
        <v>6960.0</v>
      </c>
      <c r="CE1405" s="11">
        <v>2250.0</v>
      </c>
      <c r="CF1405" s="12"/>
      <c r="CG1405" s="12"/>
      <c r="CH1405" s="12"/>
      <c r="CI1405" s="12"/>
      <c r="CJ1405" s="12"/>
      <c r="CK1405" s="12"/>
      <c r="CL1405" s="11">
        <v>151850.0</v>
      </c>
      <c r="CM1405" s="11">
        <v>181980.0</v>
      </c>
      <c r="CN1405" s="11">
        <v>102230.0</v>
      </c>
      <c r="CO1405" s="11">
        <v>96850.0</v>
      </c>
      <c r="CP1405" s="12"/>
      <c r="CQ1405" s="11">
        <v>5190.0</v>
      </c>
      <c r="CR1405" s="11">
        <v>4850.0</v>
      </c>
      <c r="CS1405" s="11">
        <v>2380.0</v>
      </c>
      <c r="CT1405" s="11">
        <v>964.0</v>
      </c>
      <c r="CU1405" s="12"/>
      <c r="CV1405" s="11">
        <v>17220.0</v>
      </c>
      <c r="CW1405" s="12"/>
      <c r="CX1405" s="12"/>
      <c r="CY1405" s="12"/>
      <c r="CZ1405" s="12"/>
      <c r="DA1405" s="12"/>
      <c r="DB1405" s="11">
        <v>17220.0</v>
      </c>
      <c r="DC1405" s="11">
        <v>16580.0</v>
      </c>
      <c r="DD1405" s="11">
        <v>7900.0</v>
      </c>
      <c r="DE1405" s="11">
        <v>3690.0</v>
      </c>
      <c r="DF1405" s="11">
        <v>30510.0</v>
      </c>
      <c r="DG1405" s="11">
        <v>20680.0</v>
      </c>
      <c r="DH1405" s="11">
        <v>11180.0</v>
      </c>
      <c r="DI1405" s="11">
        <v>7100.0</v>
      </c>
      <c r="DJ1405" s="12"/>
      <c r="DK1405" s="11">
        <v>4470.0</v>
      </c>
      <c r="DL1405" s="11">
        <v>550.0</v>
      </c>
      <c r="DM1405" s="11">
        <v>5670.0</v>
      </c>
      <c r="DN1405" s="11">
        <v>450.0</v>
      </c>
      <c r="DO1405" s="12"/>
      <c r="DP1405" s="12"/>
      <c r="DQ1405" s="11">
        <v>46.0</v>
      </c>
      <c r="DR1405" s="11">
        <v>124.0</v>
      </c>
      <c r="DS1405" s="12"/>
      <c r="DT1405" s="12"/>
      <c r="DU1405" s="13"/>
      <c r="DV1405" s="12"/>
      <c r="DW1405" s="11">
        <v>173960.0</v>
      </c>
      <c r="DX1405" s="11">
        <v>131090.0</v>
      </c>
      <c r="DY1405" s="13"/>
      <c r="DZ1405" s="11">
        <v>121340.0</v>
      </c>
      <c r="EA1405" s="11">
        <v>161290.0</v>
      </c>
      <c r="EB1405" s="11">
        <v>91050.0</v>
      </c>
      <c r="EC1405" s="11">
        <v>89760.0</v>
      </c>
      <c r="ED1405" s="12"/>
      <c r="EE1405" s="23"/>
      <c r="EF1405" s="23"/>
      <c r="EG1405" s="14">
        <v>0.255</v>
      </c>
      <c r="EH1405" s="14">
        <v>0.101</v>
      </c>
    </row>
    <row r="1406">
      <c r="A1406" s="9">
        <f t="shared" si="2"/>
        <v>1404</v>
      </c>
      <c r="B1406" s="13" t="s">
        <v>1541</v>
      </c>
      <c r="C1406" s="36">
        <v>1290000.0</v>
      </c>
      <c r="D1406" s="36">
        <v>1220000.0</v>
      </c>
      <c r="E1406" s="36">
        <v>1070000.0</v>
      </c>
      <c r="F1406" s="36">
        <v>1100000.0</v>
      </c>
      <c r="G1406" s="36">
        <v>924350.0</v>
      </c>
      <c r="H1406" s="36">
        <v>562760.0</v>
      </c>
      <c r="I1406" s="36">
        <v>469100.0</v>
      </c>
      <c r="J1406" s="36">
        <v>176700.0</v>
      </c>
      <c r="K1406" s="36">
        <v>167230.0</v>
      </c>
      <c r="L1406" s="36">
        <v>162450.0</v>
      </c>
      <c r="M1406" s="36">
        <v>81030.0</v>
      </c>
      <c r="N1406" s="36">
        <v>64820.0</v>
      </c>
      <c r="O1406" s="36">
        <v>143000.0</v>
      </c>
      <c r="P1406" s="36">
        <v>105560.0</v>
      </c>
      <c r="Q1406" s="36">
        <v>72800.0</v>
      </c>
      <c r="R1406" s="36">
        <v>58630.0</v>
      </c>
      <c r="S1406" s="36">
        <v>57880.0</v>
      </c>
      <c r="T1406" s="36">
        <v>14600.0</v>
      </c>
      <c r="U1406" s="36">
        <v>13290.0</v>
      </c>
      <c r="V1406" s="36">
        <v>11670.0</v>
      </c>
      <c r="W1406" s="36">
        <v>9900.0</v>
      </c>
      <c r="X1406" s="36">
        <v>9580.0</v>
      </c>
      <c r="Y1406" s="36">
        <v>27800.0</v>
      </c>
      <c r="Z1406" s="36">
        <v>0.0</v>
      </c>
      <c r="AA1406" s="36">
        <v>0.0</v>
      </c>
      <c r="AB1406" s="36">
        <v>20950.0</v>
      </c>
      <c r="AC1406" s="36">
        <v>5840.0</v>
      </c>
      <c r="AD1406" s="36">
        <v>2300.0</v>
      </c>
      <c r="AE1406" s="36">
        <v>52270.0</v>
      </c>
      <c r="AF1406" s="36">
        <v>86940.0</v>
      </c>
      <c r="AG1406" s="36">
        <v>18950.0</v>
      </c>
      <c r="AH1406" s="36">
        <v>3610.0</v>
      </c>
      <c r="AI1406" s="36">
        <v>75300.0</v>
      </c>
      <c r="AJ1406" s="36">
        <v>82780.0</v>
      </c>
      <c r="AK1406" s="36">
        <v>100360.0</v>
      </c>
      <c r="AL1406" s="36">
        <v>34130.0</v>
      </c>
      <c r="AM1406" s="36">
        <v>17880.0</v>
      </c>
      <c r="AN1406" s="36">
        <v>-9400.0</v>
      </c>
      <c r="AO1406" s="36">
        <v>36600.0</v>
      </c>
      <c r="AP1406" s="36">
        <v>75090.0</v>
      </c>
      <c r="AQ1406" s="36">
        <v>10050.0</v>
      </c>
      <c r="AR1406" s="36">
        <v>-10730.0</v>
      </c>
      <c r="AS1406" s="36">
        <v>121000.0</v>
      </c>
      <c r="AT1406" s="36">
        <v>41710.0</v>
      </c>
      <c r="AU1406" s="36">
        <v>48910.0</v>
      </c>
      <c r="AV1406" s="36">
        <v>17580.0</v>
      </c>
      <c r="AW1406" s="36">
        <v>0.0</v>
      </c>
      <c r="AX1406" s="36">
        <v>-26300.0</v>
      </c>
      <c r="AY1406" s="36">
        <v>-26150.0</v>
      </c>
      <c r="AZ1406" s="36">
        <v>-16150.0</v>
      </c>
      <c r="BA1406" s="36">
        <v>-7280.0</v>
      </c>
      <c r="BB1406" s="36">
        <v>-10150.0</v>
      </c>
      <c r="BC1406" s="36">
        <v>0.0</v>
      </c>
      <c r="BD1406" s="36">
        <v>0.0</v>
      </c>
      <c r="BE1406" s="36">
        <v>0.0</v>
      </c>
      <c r="BF1406" s="36">
        <v>0.0</v>
      </c>
      <c r="BG1406" s="36">
        <v>0.0</v>
      </c>
      <c r="BH1406" s="36">
        <v>162500.0</v>
      </c>
      <c r="BI1406" s="36">
        <v>144150.0</v>
      </c>
      <c r="BJ1406" s="36">
        <v>68310.0</v>
      </c>
      <c r="BK1406" s="36">
        <v>52470.0</v>
      </c>
      <c r="BL1406" s="36">
        <v>50100.0</v>
      </c>
      <c r="BM1406" s="36">
        <v>112700.0</v>
      </c>
      <c r="BN1406" s="36">
        <v>106960.0</v>
      </c>
      <c r="BO1406" s="36">
        <v>90210.0</v>
      </c>
      <c r="BP1406" s="36">
        <v>74660.0</v>
      </c>
      <c r="BQ1406" s="36">
        <v>59150.0</v>
      </c>
      <c r="BR1406" s="36">
        <v>172400.0</v>
      </c>
      <c r="BS1406" s="36">
        <v>186120.0</v>
      </c>
      <c r="BT1406" s="36">
        <v>236840.0</v>
      </c>
      <c r="BU1406" s="36">
        <v>103860.0</v>
      </c>
      <c r="BV1406" s="36">
        <v>72720.0</v>
      </c>
      <c r="BW1406" s="36">
        <v>467000.0</v>
      </c>
      <c r="BX1406" s="36">
        <v>462930.0</v>
      </c>
      <c r="BY1406" s="36">
        <v>407450.0</v>
      </c>
      <c r="BZ1406" s="36">
        <v>237450.0</v>
      </c>
      <c r="CA1406" s="36">
        <v>190140.0</v>
      </c>
      <c r="CB1406" s="36">
        <v>180200.0</v>
      </c>
      <c r="CC1406" s="36">
        <v>143460.0</v>
      </c>
      <c r="CD1406" s="36">
        <v>32250.0</v>
      </c>
      <c r="CE1406" s="36">
        <v>18860.0</v>
      </c>
      <c r="CF1406" s="36">
        <v>17270.0</v>
      </c>
      <c r="CG1406" s="36">
        <v>171100.0</v>
      </c>
      <c r="CH1406" s="36">
        <v>150230.0</v>
      </c>
      <c r="CI1406" s="36">
        <v>85250.0</v>
      </c>
      <c r="CJ1406" s="36">
        <v>85250.0</v>
      </c>
      <c r="CK1406" s="36">
        <v>85250.0</v>
      </c>
      <c r="CL1406" s="36">
        <v>1020000.0</v>
      </c>
      <c r="CM1406" s="36">
        <v>965480.0</v>
      </c>
      <c r="CN1406" s="36">
        <v>563410.0</v>
      </c>
      <c r="CO1406" s="36">
        <v>380700.0</v>
      </c>
      <c r="CP1406" s="36">
        <v>336150.0</v>
      </c>
      <c r="CQ1406" s="36">
        <v>133100.0</v>
      </c>
      <c r="CR1406" s="36">
        <v>99010.0</v>
      </c>
      <c r="CS1406" s="36">
        <v>173520.0</v>
      </c>
      <c r="CT1406" s="36">
        <v>71190.0</v>
      </c>
      <c r="CU1406" s="36">
        <v>39660.0</v>
      </c>
      <c r="CV1406" s="36">
        <v>210600.0</v>
      </c>
      <c r="CW1406" s="36">
        <v>13200.0</v>
      </c>
      <c r="CX1406" s="36">
        <v>0.0</v>
      </c>
      <c r="CY1406" s="36">
        <v>0.0</v>
      </c>
      <c r="CZ1406" s="36">
        <v>0.0</v>
      </c>
      <c r="DA1406" s="36">
        <v>0.0</v>
      </c>
      <c r="DB1406" s="36">
        <v>210600.0</v>
      </c>
      <c r="DC1406" s="36">
        <v>139300.0</v>
      </c>
      <c r="DD1406" s="36">
        <v>207350.0</v>
      </c>
      <c r="DE1406" s="36">
        <v>101060.0</v>
      </c>
      <c r="DF1406" s="36">
        <v>566800.0</v>
      </c>
      <c r="DG1406" s="36">
        <v>514490.0</v>
      </c>
      <c r="DH1406" s="36">
        <v>263110.0</v>
      </c>
      <c r="DI1406" s="36">
        <v>164570.0</v>
      </c>
      <c r="DJ1406" s="36">
        <v>135210.0</v>
      </c>
      <c r="DK1406" s="36">
        <v>0.0</v>
      </c>
      <c r="DL1406" s="36">
        <v>0.0</v>
      </c>
      <c r="DM1406" s="36">
        <v>0.0</v>
      </c>
      <c r="DN1406" s="36">
        <v>0.0</v>
      </c>
      <c r="DO1406" s="36">
        <v>0.0</v>
      </c>
      <c r="DP1406" s="36">
        <v>312200.0</v>
      </c>
      <c r="DQ1406" s="36">
        <v>331550.0</v>
      </c>
      <c r="DR1406" s="36">
        <v>39890.0</v>
      </c>
      <c r="DS1406" s="36">
        <v>50930.0</v>
      </c>
      <c r="DT1406" s="36">
        <v>62800.0</v>
      </c>
      <c r="DU1406" s="37">
        <v>0.0</v>
      </c>
      <c r="DV1406" s="36">
        <v>0.0</v>
      </c>
      <c r="DW1406" s="36">
        <v>0.0</v>
      </c>
      <c r="DX1406" s="36">
        <v>0.0</v>
      </c>
      <c r="DY1406" s="36">
        <v>0.0</v>
      </c>
      <c r="DZ1406" s="36">
        <v>436700.0</v>
      </c>
      <c r="EA1406" s="36">
        <v>436300.0</v>
      </c>
      <c r="EB1406" s="36">
        <v>300310.0</v>
      </c>
      <c r="EC1406" s="36">
        <v>216130.0</v>
      </c>
      <c r="ED1406" s="36">
        <v>200940.0</v>
      </c>
      <c r="EE1406" s="38">
        <v>0.066</v>
      </c>
      <c r="EF1406" s="38">
        <v>0.194</v>
      </c>
      <c r="EG1406" s="38">
        <v>0.182</v>
      </c>
      <c r="EH1406" s="38">
        <v>0.233</v>
      </c>
    </row>
    <row r="1407">
      <c r="A1407" s="9">
        <f t="shared" si="2"/>
        <v>1405</v>
      </c>
      <c r="B1407" s="25" t="s">
        <v>1542</v>
      </c>
      <c r="C1407" s="15">
        <v>706690.0</v>
      </c>
      <c r="D1407" s="15">
        <v>645560.0</v>
      </c>
      <c r="E1407" s="15">
        <v>753480.0</v>
      </c>
      <c r="F1407" s="15">
        <v>680240.0</v>
      </c>
      <c r="G1407" s="15">
        <v>695790.0</v>
      </c>
      <c r="H1407" s="15">
        <v>651370.0</v>
      </c>
      <c r="I1407" s="15">
        <v>602830.0</v>
      </c>
      <c r="J1407" s="15">
        <v>167400.0</v>
      </c>
      <c r="K1407" s="15">
        <v>132230.0</v>
      </c>
      <c r="L1407" s="15">
        <v>166420.0</v>
      </c>
      <c r="M1407" s="15">
        <v>150890.0</v>
      </c>
      <c r="N1407" s="15">
        <v>152530.0</v>
      </c>
      <c r="O1407" s="15">
        <v>138800.0</v>
      </c>
      <c r="P1407" s="15">
        <v>122090.0</v>
      </c>
      <c r="Q1407" s="15">
        <v>141720.0</v>
      </c>
      <c r="R1407" s="15">
        <v>116230.0</v>
      </c>
      <c r="S1407" s="15">
        <v>111210.0</v>
      </c>
      <c r="T1407" s="15">
        <v>29410.0</v>
      </c>
      <c r="U1407" s="15">
        <v>23820.0</v>
      </c>
      <c r="V1407" s="15">
        <v>21420.0</v>
      </c>
      <c r="W1407" s="15">
        <v>19850.0</v>
      </c>
      <c r="X1407" s="15">
        <v>18140.0</v>
      </c>
      <c r="Y1407" s="15">
        <v>15250.0</v>
      </c>
      <c r="Z1407" s="15">
        <v>-1120.0</v>
      </c>
      <c r="AA1407" s="15">
        <v>7070.0</v>
      </c>
      <c r="AB1407" s="15">
        <v>24150.0</v>
      </c>
      <c r="AC1407" s="15">
        <v>36210.0</v>
      </c>
      <c r="AD1407" s="15">
        <v>10400.0</v>
      </c>
      <c r="AE1407" s="15">
        <v>26170.0</v>
      </c>
      <c r="AF1407" s="15">
        <v>7290.0</v>
      </c>
      <c r="AG1407" s="15">
        <v>25190.0</v>
      </c>
      <c r="AH1407" s="15">
        <v>35980.0</v>
      </c>
      <c r="AI1407" s="15">
        <v>47740.0</v>
      </c>
      <c r="AJ1407" s="15">
        <v>37040.0</v>
      </c>
      <c r="AK1407" s="15">
        <v>52370.0</v>
      </c>
      <c r="AL1407" s="15">
        <v>58160.0</v>
      </c>
      <c r="AM1407" s="15">
        <v>61770.0</v>
      </c>
      <c r="AN1407" s="15">
        <v>3630.0</v>
      </c>
      <c r="AO1407" s="15">
        <v>11920.0</v>
      </c>
      <c r="AP1407" s="15">
        <v>-10320.0</v>
      </c>
      <c r="AQ1407" s="15">
        <v>20350.0</v>
      </c>
      <c r="AR1407" s="15">
        <v>29170.0</v>
      </c>
      <c r="AS1407" s="15">
        <v>85260.0</v>
      </c>
      <c r="AT1407" s="15">
        <v>12860.0</v>
      </c>
      <c r="AU1407" s="15">
        <v>9170.0</v>
      </c>
      <c r="AV1407" s="15">
        <v>49540.0</v>
      </c>
      <c r="AW1407" s="15">
        <v>30720.0</v>
      </c>
      <c r="AX1407" s="15">
        <v>-23970.0</v>
      </c>
      <c r="AY1407" s="15">
        <v>-22660.0</v>
      </c>
      <c r="AZ1407" s="15">
        <v>-42330.0</v>
      </c>
      <c r="BA1407" s="15">
        <v>-42560.0</v>
      </c>
      <c r="BB1407" s="15">
        <v>-35380.0</v>
      </c>
      <c r="BC1407" s="13"/>
      <c r="BD1407" s="13"/>
      <c r="BE1407" s="13"/>
      <c r="BF1407" s="13"/>
      <c r="BG1407" s="13">
        <v>-78.0</v>
      </c>
      <c r="BH1407" s="15">
        <v>74300.0</v>
      </c>
      <c r="BI1407" s="15">
        <v>53210.0</v>
      </c>
      <c r="BJ1407" s="15">
        <v>67340.0</v>
      </c>
      <c r="BK1407" s="15">
        <v>55230.0</v>
      </c>
      <c r="BL1407" s="15">
        <v>57590.0</v>
      </c>
      <c r="BM1407" s="15">
        <v>152580.0</v>
      </c>
      <c r="BN1407" s="15">
        <v>171260.0</v>
      </c>
      <c r="BO1407" s="15">
        <v>153170.0</v>
      </c>
      <c r="BP1407" s="15">
        <v>125650.0</v>
      </c>
      <c r="BQ1407" s="15">
        <v>121860.0</v>
      </c>
      <c r="BR1407" s="15">
        <v>145140.0</v>
      </c>
      <c r="BS1407" s="15">
        <v>144350.0</v>
      </c>
      <c r="BT1407" s="15">
        <v>162590.0</v>
      </c>
      <c r="BU1407" s="15">
        <v>129880.0</v>
      </c>
      <c r="BV1407" s="15">
        <v>122370.0</v>
      </c>
      <c r="BW1407" s="15">
        <v>378750.0</v>
      </c>
      <c r="BX1407" s="15">
        <v>380450.0</v>
      </c>
      <c r="BY1407" s="15">
        <v>407300.0</v>
      </c>
      <c r="BZ1407" s="15">
        <v>324160.0</v>
      </c>
      <c r="CA1407" s="15">
        <v>315320.0</v>
      </c>
      <c r="CB1407" s="15">
        <v>110560.0</v>
      </c>
      <c r="CC1407" s="15">
        <v>95840.0</v>
      </c>
      <c r="CD1407" s="15">
        <v>110960.0</v>
      </c>
      <c r="CE1407" s="15">
        <v>105350.0</v>
      </c>
      <c r="CF1407" s="15">
        <v>90020.0</v>
      </c>
      <c r="CG1407" s="15">
        <v>48450.0</v>
      </c>
      <c r="CH1407" s="15">
        <v>48490.0</v>
      </c>
      <c r="CI1407" s="15">
        <v>48650.0</v>
      </c>
      <c r="CJ1407" s="15">
        <v>43050.0</v>
      </c>
      <c r="CK1407" s="15">
        <v>43120.0</v>
      </c>
      <c r="CL1407" s="15">
        <v>564160.0</v>
      </c>
      <c r="CM1407" s="15">
        <v>555600.0</v>
      </c>
      <c r="CN1407" s="15">
        <v>608430.0</v>
      </c>
      <c r="CO1407" s="15">
        <v>521040.0</v>
      </c>
      <c r="CP1407" s="15">
        <v>495220.0</v>
      </c>
      <c r="CQ1407" s="15">
        <v>102590.0</v>
      </c>
      <c r="CR1407" s="15">
        <v>107280.0</v>
      </c>
      <c r="CS1407" s="15">
        <v>119170.0</v>
      </c>
      <c r="CT1407" s="15">
        <v>97160.0</v>
      </c>
      <c r="CU1407" s="15">
        <v>93840.0</v>
      </c>
      <c r="CV1407" s="15">
        <v>266460.0</v>
      </c>
      <c r="CW1407" s="15">
        <v>72900.0</v>
      </c>
      <c r="CX1407" s="15">
        <v>101500.0</v>
      </c>
      <c r="CY1407" s="15">
        <v>138000.0</v>
      </c>
      <c r="CZ1407" s="15">
        <v>49990.0</v>
      </c>
      <c r="DA1407" s="15">
        <v>50000.0</v>
      </c>
      <c r="DB1407" s="15">
        <v>266460.0</v>
      </c>
      <c r="DC1407" s="15">
        <v>279860.0</v>
      </c>
      <c r="DD1407" s="15">
        <v>332940.0</v>
      </c>
      <c r="DE1407" s="15">
        <v>215870.0</v>
      </c>
      <c r="DF1407" s="15">
        <v>289760.0</v>
      </c>
      <c r="DG1407" s="15">
        <v>292640.0</v>
      </c>
      <c r="DH1407" s="15">
        <v>354880.0</v>
      </c>
      <c r="DI1407" s="15">
        <v>240530.0</v>
      </c>
      <c r="DJ1407" s="15">
        <v>237310.0</v>
      </c>
      <c r="DK1407" s="12"/>
      <c r="DL1407" s="12"/>
      <c r="DM1407" s="12"/>
      <c r="DN1407" s="15">
        <v>4600.0</v>
      </c>
      <c r="DO1407" s="15"/>
      <c r="DP1407" s="15">
        <v>15640.0</v>
      </c>
      <c r="DQ1407" s="15"/>
      <c r="DR1407" s="12"/>
      <c r="DS1407" s="12"/>
      <c r="DT1407" s="12"/>
      <c r="DU1407" s="13"/>
      <c r="DV1407" s="12"/>
      <c r="DW1407" s="12"/>
      <c r="DX1407" s="13"/>
      <c r="DY1407" s="13"/>
      <c r="DZ1407" s="15">
        <v>274400.0</v>
      </c>
      <c r="EA1407" s="15">
        <v>262960.0</v>
      </c>
      <c r="EB1407" s="15">
        <v>253550.0</v>
      </c>
      <c r="EC1407" s="15">
        <v>280510.0</v>
      </c>
      <c r="ED1407" s="15">
        <v>257610.0</v>
      </c>
      <c r="EE1407" s="17">
        <v>0.065</v>
      </c>
      <c r="EF1407" s="17">
        <v>0.089</v>
      </c>
      <c r="EG1407" s="17">
        <v>0.047</v>
      </c>
      <c r="EH1407" s="17">
        <v>0.07</v>
      </c>
    </row>
    <row r="1408">
      <c r="A1408" s="9">
        <f t="shared" si="2"/>
        <v>1406</v>
      </c>
      <c r="B1408" s="10" t="s">
        <v>1543</v>
      </c>
      <c r="C1408" s="12">
        <v>4680000.0</v>
      </c>
      <c r="D1408" s="12">
        <v>4520000.0</v>
      </c>
      <c r="E1408" s="11">
        <v>4420000.0</v>
      </c>
      <c r="F1408" s="11">
        <v>4490000.0</v>
      </c>
      <c r="G1408" s="11">
        <v>3940000.0</v>
      </c>
      <c r="H1408" s="11">
        <v>3240000.0</v>
      </c>
      <c r="I1408" s="11">
        <v>2890000.0</v>
      </c>
      <c r="J1408" s="11">
        <v>685520.0</v>
      </c>
      <c r="K1408" s="11">
        <v>592890.0</v>
      </c>
      <c r="L1408" s="11">
        <v>542830.0</v>
      </c>
      <c r="M1408" s="11">
        <v>474590.0</v>
      </c>
      <c r="N1408" s="11">
        <v>399900.0</v>
      </c>
      <c r="O1408" s="11">
        <v>439050.0</v>
      </c>
      <c r="P1408" s="11">
        <v>392240.0</v>
      </c>
      <c r="Q1408" s="11">
        <v>362220.0</v>
      </c>
      <c r="R1408" s="11">
        <v>310150.0</v>
      </c>
      <c r="S1408" s="11">
        <v>264270.0</v>
      </c>
      <c r="T1408" s="12"/>
      <c r="U1408" s="12"/>
      <c r="V1408" s="12"/>
      <c r="W1408" s="12"/>
      <c r="X1408" s="12"/>
      <c r="Y1408" s="11">
        <v>248990.0</v>
      </c>
      <c r="Z1408" s="11">
        <v>198770.0</v>
      </c>
      <c r="AA1408" s="12"/>
      <c r="AB1408" s="12"/>
      <c r="AC1408" s="12"/>
      <c r="AD1408" s="11">
        <v>240670.0</v>
      </c>
      <c r="AE1408" s="11">
        <v>197850.0</v>
      </c>
      <c r="AF1408" s="11">
        <v>176010.0</v>
      </c>
      <c r="AG1408" s="11">
        <v>160670.0</v>
      </c>
      <c r="AH1408" s="11">
        <v>131000.0</v>
      </c>
      <c r="AI1408" s="11">
        <v>313290.0</v>
      </c>
      <c r="AJ1408" s="11">
        <v>262000.0</v>
      </c>
      <c r="AK1408" s="11">
        <v>234000.0</v>
      </c>
      <c r="AL1408" s="11">
        <v>208060.0</v>
      </c>
      <c r="AM1408" s="11">
        <v>176880.0</v>
      </c>
      <c r="AN1408" s="11">
        <v>175150.0</v>
      </c>
      <c r="AO1408" s="11">
        <v>145200.0</v>
      </c>
      <c r="AP1408" s="11">
        <v>117290.0</v>
      </c>
      <c r="AQ1408" s="11">
        <v>99580.0</v>
      </c>
      <c r="AR1408" s="11">
        <v>79540.0</v>
      </c>
      <c r="AS1408" s="11">
        <v>349290.0</v>
      </c>
      <c r="AT1408" s="11">
        <v>116690.0</v>
      </c>
      <c r="AU1408" s="11">
        <v>136580.0</v>
      </c>
      <c r="AV1408" s="11">
        <v>172520.0</v>
      </c>
      <c r="AW1408" s="11">
        <v>168800.0</v>
      </c>
      <c r="AX1408" s="11">
        <v>-84930.0</v>
      </c>
      <c r="AY1408" s="11">
        <v>-95860.0</v>
      </c>
      <c r="AZ1408" s="11">
        <v>-71120.0</v>
      </c>
      <c r="BA1408" s="11">
        <v>-53760.0</v>
      </c>
      <c r="BB1408" s="11">
        <v>-43520.0</v>
      </c>
      <c r="BC1408" s="24">
        <v>-24550.0</v>
      </c>
      <c r="BD1408" s="24">
        <v>-22070.0</v>
      </c>
      <c r="BE1408" s="24">
        <v>-19610.0</v>
      </c>
      <c r="BF1408" s="24">
        <v>-17680.0</v>
      </c>
      <c r="BG1408" s="24">
        <v>-16510.0</v>
      </c>
      <c r="BH1408" s="11">
        <v>187190.0</v>
      </c>
      <c r="BI1408" s="11">
        <v>42950.0</v>
      </c>
      <c r="BJ1408" s="11">
        <v>40090.0</v>
      </c>
      <c r="BK1408" s="11">
        <v>44840.0</v>
      </c>
      <c r="BL1408" s="11">
        <v>95090.0</v>
      </c>
      <c r="BM1408" s="11">
        <v>381990.0</v>
      </c>
      <c r="BN1408" s="11">
        <v>364530.0</v>
      </c>
      <c r="BO1408" s="11">
        <v>339980.0</v>
      </c>
      <c r="BP1408" s="11">
        <v>296290.0</v>
      </c>
      <c r="BQ1408" s="11">
        <v>236370.0</v>
      </c>
      <c r="BR1408" s="11">
        <v>486870.0</v>
      </c>
      <c r="BS1408" s="11">
        <v>556220.0</v>
      </c>
      <c r="BT1408" s="11">
        <v>460310.0</v>
      </c>
      <c r="BU1408" s="11">
        <v>397230.0</v>
      </c>
      <c r="BV1408" s="11">
        <v>304920.0</v>
      </c>
      <c r="BW1408" s="11">
        <v>1090000.0</v>
      </c>
      <c r="BX1408" s="11">
        <v>995280.0</v>
      </c>
      <c r="BY1408" s="11">
        <v>863490.0</v>
      </c>
      <c r="BZ1408" s="11">
        <v>756440.0</v>
      </c>
      <c r="CA1408" s="11">
        <v>648230.0</v>
      </c>
      <c r="CB1408" s="11">
        <v>467340.0</v>
      </c>
      <c r="CC1408" s="11">
        <v>354710.0</v>
      </c>
      <c r="CD1408" s="11">
        <v>328630.0</v>
      </c>
      <c r="CE1408" s="11">
        <v>297850.0</v>
      </c>
      <c r="CF1408" s="11">
        <v>251150.0</v>
      </c>
      <c r="CG1408" s="11">
        <v>229540.0</v>
      </c>
      <c r="CH1408" s="11">
        <v>224120.0</v>
      </c>
      <c r="CI1408" s="11">
        <v>212640.0</v>
      </c>
      <c r="CJ1408" s="11">
        <v>198540.0</v>
      </c>
      <c r="CK1408" s="11">
        <v>180990.0</v>
      </c>
      <c r="CL1408" s="11">
        <v>1890000.0</v>
      </c>
      <c r="CM1408" s="11">
        <v>1650000.0</v>
      </c>
      <c r="CN1408" s="11">
        <v>1460000.0</v>
      </c>
      <c r="CO1408" s="11">
        <v>1290000.0</v>
      </c>
      <c r="CP1408" s="11">
        <v>1110000.0</v>
      </c>
      <c r="CQ1408" s="11">
        <v>142480.0</v>
      </c>
      <c r="CR1408" s="11">
        <v>164270.0</v>
      </c>
      <c r="CS1408" s="11">
        <v>165960.0</v>
      </c>
      <c r="CT1408" s="11">
        <v>144420.0</v>
      </c>
      <c r="CU1408" s="11">
        <v>95040.0</v>
      </c>
      <c r="CV1408" s="11">
        <v>354040.0</v>
      </c>
      <c r="CW1408" s="11">
        <v>15280.0</v>
      </c>
      <c r="CX1408" s="13"/>
      <c r="CY1408" s="13"/>
      <c r="CZ1408" s="13"/>
      <c r="DA1408" s="12"/>
      <c r="DB1408" s="11">
        <v>354040.0</v>
      </c>
      <c r="DC1408" s="11">
        <v>310170.0</v>
      </c>
      <c r="DD1408" s="11">
        <v>303250.0</v>
      </c>
      <c r="DE1408" s="11">
        <v>271780.0</v>
      </c>
      <c r="DF1408" s="11">
        <v>631740.0</v>
      </c>
      <c r="DG1408" s="11">
        <v>558860.0</v>
      </c>
      <c r="DH1408" s="11">
        <v>490650.0</v>
      </c>
      <c r="DI1408" s="11">
        <v>431590.0</v>
      </c>
      <c r="DJ1408" s="11">
        <v>341270.0</v>
      </c>
      <c r="DK1408" s="11">
        <v>16210.0</v>
      </c>
      <c r="DL1408" s="11">
        <v>13270.0</v>
      </c>
      <c r="DM1408" s="11">
        <v>8360.0</v>
      </c>
      <c r="DN1408" s="12"/>
      <c r="DO1408" s="13"/>
      <c r="DP1408" s="11">
        <v>225750.0</v>
      </c>
      <c r="DQ1408" s="11">
        <v>202130.0</v>
      </c>
      <c r="DR1408" s="11">
        <v>144670.0</v>
      </c>
      <c r="DS1408" s="11">
        <v>109060.0</v>
      </c>
      <c r="DT1408" s="11">
        <v>84750.0</v>
      </c>
      <c r="DU1408" s="13"/>
      <c r="DV1408" s="12"/>
      <c r="DW1408" s="12"/>
      <c r="DX1408" s="13"/>
      <c r="DY1408" s="13"/>
      <c r="DZ1408" s="11">
        <v>1240000.0</v>
      </c>
      <c r="EA1408" s="11">
        <v>1070000.0</v>
      </c>
      <c r="EB1408" s="11">
        <v>959480.0</v>
      </c>
      <c r="EC1408" s="11">
        <v>849180.0</v>
      </c>
      <c r="ED1408" s="11">
        <v>752760.0</v>
      </c>
      <c r="EE1408" s="23">
        <v>0.132743363</v>
      </c>
      <c r="EF1408" s="23">
        <v>0.117521368</v>
      </c>
      <c r="EG1408" s="14">
        <v>0.862</v>
      </c>
      <c r="EH1408" s="23">
        <v>0.25825</v>
      </c>
    </row>
    <row r="1409">
      <c r="A1409" s="9">
        <f t="shared" si="2"/>
        <v>1407</v>
      </c>
      <c r="B1409" s="10" t="s">
        <v>1544</v>
      </c>
      <c r="C1409" s="11">
        <v>3680000.0</v>
      </c>
      <c r="D1409" s="11">
        <v>3580000.0</v>
      </c>
      <c r="E1409" s="11">
        <v>3980000.0</v>
      </c>
      <c r="F1409" s="11">
        <v>3770000.0</v>
      </c>
      <c r="G1409" s="11">
        <v>3610000.0</v>
      </c>
      <c r="H1409" s="11">
        <v>3420000.0</v>
      </c>
      <c r="I1409" s="11">
        <v>3280000.0</v>
      </c>
      <c r="J1409" s="11">
        <v>543530.0</v>
      </c>
      <c r="K1409" s="11">
        <v>622520.0</v>
      </c>
      <c r="L1409" s="11">
        <v>582520.0</v>
      </c>
      <c r="M1409" s="11">
        <v>758280.0</v>
      </c>
      <c r="N1409" s="11">
        <v>792160.0</v>
      </c>
      <c r="O1409" s="11"/>
      <c r="P1409" s="11"/>
      <c r="Q1409" s="11"/>
      <c r="R1409" s="11"/>
      <c r="S1409" s="11"/>
      <c r="T1409" s="12"/>
      <c r="U1409" s="12"/>
      <c r="V1409" s="12"/>
      <c r="W1409" s="12"/>
      <c r="X1409" s="12"/>
      <c r="Y1409" s="12"/>
      <c r="Z1409" s="11">
        <v>593930.0</v>
      </c>
      <c r="AA1409" s="11"/>
      <c r="AB1409" s="11">
        <v>705700.0</v>
      </c>
      <c r="AC1409" s="11">
        <v>-83.0</v>
      </c>
      <c r="AD1409" s="11">
        <v>378120.0</v>
      </c>
      <c r="AE1409" s="11">
        <v>477530.0</v>
      </c>
      <c r="AF1409" s="11">
        <v>637610.0</v>
      </c>
      <c r="AG1409" s="11">
        <v>628360.0</v>
      </c>
      <c r="AH1409" s="11">
        <v>768910.0</v>
      </c>
      <c r="AI1409" s="11">
        <v>1180000.0</v>
      </c>
      <c r="AJ1409" s="11">
        <v>1170000.0</v>
      </c>
      <c r="AK1409" s="11">
        <v>1110000.0</v>
      </c>
      <c r="AL1409" s="11">
        <v>1210000.0</v>
      </c>
      <c r="AM1409" s="11">
        <v>1160000.0</v>
      </c>
      <c r="AN1409" s="11">
        <v>442050.0</v>
      </c>
      <c r="AO1409" s="11">
        <v>370860.0</v>
      </c>
      <c r="AP1409" s="11">
        <v>790580.0</v>
      </c>
      <c r="AQ1409" s="11">
        <v>398420.0</v>
      </c>
      <c r="AR1409" s="11">
        <v>489000.0</v>
      </c>
      <c r="AS1409" s="11">
        <v>1080000.0</v>
      </c>
      <c r="AT1409" s="11">
        <v>975580.0</v>
      </c>
      <c r="AU1409" s="11">
        <v>937680.0</v>
      </c>
      <c r="AV1409" s="11">
        <v>1020000.0</v>
      </c>
      <c r="AW1409" s="11">
        <v>1040000.0</v>
      </c>
      <c r="AX1409" s="11">
        <v>-2310000.0</v>
      </c>
      <c r="AY1409" s="11">
        <v>-1870000.0</v>
      </c>
      <c r="AZ1409" s="11">
        <v>-1360000.0</v>
      </c>
      <c r="BA1409" s="11">
        <v>-1420000.0</v>
      </c>
      <c r="BB1409" s="11">
        <v>-1510000.0</v>
      </c>
      <c r="BC1409" s="11">
        <v>-29400.0</v>
      </c>
      <c r="BD1409" s="11">
        <v>-39180.0</v>
      </c>
      <c r="BE1409" s="11">
        <v>-29380.0</v>
      </c>
      <c r="BF1409" s="11">
        <v>-58760.0</v>
      </c>
      <c r="BG1409" s="11">
        <v>-78370.0</v>
      </c>
      <c r="BH1409" s="11">
        <v>501350.0</v>
      </c>
      <c r="BI1409" s="11">
        <v>679250.0</v>
      </c>
      <c r="BJ1409" s="11">
        <v>769740.0</v>
      </c>
      <c r="BK1409" s="11">
        <v>712960.0</v>
      </c>
      <c r="BL1409" s="11">
        <v>635440.0</v>
      </c>
      <c r="BM1409" s="11">
        <v>186670.0</v>
      </c>
      <c r="BN1409" s="11">
        <v>224790.0</v>
      </c>
      <c r="BO1409" s="11">
        <v>193540.0</v>
      </c>
      <c r="BP1409" s="11">
        <v>178080.0</v>
      </c>
      <c r="BQ1409" s="11">
        <v>175140.0</v>
      </c>
      <c r="BR1409" s="11">
        <v>101080.0</v>
      </c>
      <c r="BS1409" s="11">
        <v>103500.0</v>
      </c>
      <c r="BT1409" s="11">
        <v>89880.0</v>
      </c>
      <c r="BU1409" s="11">
        <v>82440.0</v>
      </c>
      <c r="BV1409" s="11">
        <v>79760.0</v>
      </c>
      <c r="BW1409" s="11">
        <v>1350000.0</v>
      </c>
      <c r="BX1409" s="11">
        <v>1180000.0</v>
      </c>
      <c r="BY1409" s="11">
        <v>1220000.0</v>
      </c>
      <c r="BZ1409" s="11">
        <v>1100000.0</v>
      </c>
      <c r="CA1409" s="11">
        <v>1020000.0</v>
      </c>
      <c r="CB1409" s="11">
        <v>9030000.0</v>
      </c>
      <c r="CC1409" s="11">
        <v>7930000.0</v>
      </c>
      <c r="CD1409" s="11">
        <v>6820000.0</v>
      </c>
      <c r="CE1409" s="11">
        <v>5960000.0</v>
      </c>
      <c r="CF1409" s="11">
        <v>5020000.0</v>
      </c>
      <c r="CG1409" s="11"/>
      <c r="CH1409" s="11"/>
      <c r="CI1409" s="11"/>
      <c r="CJ1409" s="11"/>
      <c r="CK1409" s="11"/>
      <c r="CL1409" s="11">
        <v>1.361E7</v>
      </c>
      <c r="CM1409" s="11">
        <v>1.21E7</v>
      </c>
      <c r="CN1409" s="11">
        <v>1.087E7</v>
      </c>
      <c r="CO1409" s="11">
        <v>9600000.0</v>
      </c>
      <c r="CP1409" s="11">
        <v>8320000.0</v>
      </c>
      <c r="CQ1409" s="11">
        <v>530440.0</v>
      </c>
      <c r="CR1409" s="11">
        <v>541270.0</v>
      </c>
      <c r="CS1409" s="11">
        <v>495020.0</v>
      </c>
      <c r="CT1409" s="11">
        <v>445540.0</v>
      </c>
      <c r="CU1409" s="11">
        <v>502540.0</v>
      </c>
      <c r="CV1409" s="11">
        <v>1010000.0</v>
      </c>
      <c r="CW1409" s="11">
        <v>23780.0</v>
      </c>
      <c r="CX1409" s="12"/>
      <c r="CY1409" s="12"/>
      <c r="CZ1409" s="12"/>
      <c r="DA1409" s="12"/>
      <c r="DB1409" s="11">
        <v>1010000.0</v>
      </c>
      <c r="DC1409" s="11">
        <v>1020000.0</v>
      </c>
      <c r="DD1409" s="11">
        <v>495020.0</v>
      </c>
      <c r="DE1409" s="11">
        <v>939470.0</v>
      </c>
      <c r="DF1409" s="11">
        <v>9390000.0</v>
      </c>
      <c r="DG1409" s="11">
        <v>8410000.0</v>
      </c>
      <c r="DH1409" s="11">
        <v>7460000.0</v>
      </c>
      <c r="DI1409" s="11">
        <v>6980000.0</v>
      </c>
      <c r="DJ1409" s="11">
        <v>6070000.0</v>
      </c>
      <c r="DK1409" s="11">
        <v>2850000.0</v>
      </c>
      <c r="DL1409" s="11">
        <v>2530000.0</v>
      </c>
      <c r="DM1409" s="11">
        <v>2310000.0</v>
      </c>
      <c r="DN1409" s="11">
        <v>2020000.0</v>
      </c>
      <c r="DO1409" s="11">
        <v>1770000.0</v>
      </c>
      <c r="DP1409" s="11">
        <v>4240000.0</v>
      </c>
      <c r="DQ1409" s="11">
        <v>3690000.0</v>
      </c>
      <c r="DR1409" s="11">
        <v>3510000.0</v>
      </c>
      <c r="DS1409" s="11">
        <v>2770000.0</v>
      </c>
      <c r="DT1409" s="11">
        <v>2650000.0</v>
      </c>
      <c r="DU1409" s="13"/>
      <c r="DV1409" s="12"/>
      <c r="DW1409" s="12"/>
      <c r="DX1409" s="12"/>
      <c r="DY1409" s="12"/>
      <c r="DZ1409" s="11">
        <v>4220000.0</v>
      </c>
      <c r="EA1409" s="11">
        <v>3690000.0</v>
      </c>
      <c r="EB1409" s="11">
        <v>3410000.0</v>
      </c>
      <c r="EC1409" s="11">
        <v>2620000.0</v>
      </c>
      <c r="ED1409" s="11">
        <v>2250000.0</v>
      </c>
      <c r="EE1409" s="14">
        <v>0.0</v>
      </c>
      <c r="EF1409" s="14">
        <v>0.0</v>
      </c>
      <c r="EG1409" s="14">
        <v>1.511</v>
      </c>
      <c r="EH1409" s="14">
        <v>0.981</v>
      </c>
    </row>
    <row r="1410">
      <c r="A1410" s="9">
        <f t="shared" si="2"/>
        <v>1408</v>
      </c>
      <c r="B1410" s="10" t="s">
        <v>1545</v>
      </c>
      <c r="C1410" s="11">
        <v>1.21E7</v>
      </c>
      <c r="D1410" s="11">
        <v>1.09E7</v>
      </c>
      <c r="E1410" s="11">
        <v>1.138E7</v>
      </c>
      <c r="F1410" s="11">
        <v>1.077E7</v>
      </c>
      <c r="G1410" s="11">
        <v>1.041E7</v>
      </c>
      <c r="H1410" s="11">
        <v>9770000.0</v>
      </c>
      <c r="I1410" s="11">
        <v>9040000.0</v>
      </c>
      <c r="J1410" s="11">
        <v>1310000.0</v>
      </c>
      <c r="K1410" s="11">
        <v>1230000.0</v>
      </c>
      <c r="L1410" s="11">
        <v>1280000.0</v>
      </c>
      <c r="M1410" s="11">
        <v>1280000.0</v>
      </c>
      <c r="N1410" s="11">
        <v>1240000.0</v>
      </c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1">
        <v>1220000.0</v>
      </c>
      <c r="Z1410" s="11">
        <v>1180000.0</v>
      </c>
      <c r="AA1410" s="12"/>
      <c r="AB1410" s="11">
        <v>1270000.0</v>
      </c>
      <c r="AC1410" s="12"/>
      <c r="AD1410" s="11">
        <v>1070000.0</v>
      </c>
      <c r="AE1410" s="11">
        <v>1030000.0</v>
      </c>
      <c r="AF1410" s="11">
        <v>1140000.0</v>
      </c>
      <c r="AG1410" s="11">
        <v>1160000.0</v>
      </c>
      <c r="AH1410" s="11">
        <v>1150000.0</v>
      </c>
      <c r="AI1410" s="11">
        <v>1800000.0</v>
      </c>
      <c r="AJ1410" s="11">
        <v>1680000.0</v>
      </c>
      <c r="AK1410" s="11">
        <v>1730000.0</v>
      </c>
      <c r="AL1410" s="11">
        <v>1690000.0</v>
      </c>
      <c r="AM1410" s="11">
        <v>1640000.0</v>
      </c>
      <c r="AN1410" s="11">
        <v>812830.0</v>
      </c>
      <c r="AO1410" s="11">
        <v>778610.0</v>
      </c>
      <c r="AP1410" s="11">
        <v>751940.0</v>
      </c>
      <c r="AQ1410" s="11">
        <v>702100.0</v>
      </c>
      <c r="AR1410" s="11">
        <v>680250.0</v>
      </c>
      <c r="AS1410" s="11">
        <v>1440000.0</v>
      </c>
      <c r="AT1410" s="11">
        <v>1340000.0</v>
      </c>
      <c r="AU1410" s="11">
        <v>1180000.0</v>
      </c>
      <c r="AV1410" s="11">
        <v>1290000.0</v>
      </c>
      <c r="AW1410" s="11">
        <v>1020000.0</v>
      </c>
      <c r="AX1410" s="12"/>
      <c r="AY1410" s="12"/>
      <c r="AZ1410" s="12"/>
      <c r="BA1410" s="12"/>
      <c r="BB1410" s="12"/>
      <c r="BC1410" s="13"/>
      <c r="BD1410" s="13"/>
      <c r="BE1410" s="13"/>
      <c r="BF1410" s="13"/>
      <c r="BG1410" s="13"/>
      <c r="BH1410" s="11">
        <v>61270.0</v>
      </c>
      <c r="BI1410" s="11">
        <v>105220.0</v>
      </c>
      <c r="BJ1410" s="11">
        <v>74420.0</v>
      </c>
      <c r="BK1410" s="11">
        <v>33750.0</v>
      </c>
      <c r="BL1410" s="11">
        <v>61230.0</v>
      </c>
      <c r="BM1410" s="11">
        <v>1560000.0</v>
      </c>
      <c r="BN1410" s="11">
        <v>1510000.0</v>
      </c>
      <c r="BO1410" s="11">
        <v>1500000.0</v>
      </c>
      <c r="BP1410" s="11">
        <v>1440000.0</v>
      </c>
      <c r="BQ1410" s="11">
        <v>1300000.0</v>
      </c>
      <c r="BR1410" s="11">
        <v>159890.0</v>
      </c>
      <c r="BS1410" s="11">
        <v>148210.0</v>
      </c>
      <c r="BT1410" s="11">
        <v>136180.0</v>
      </c>
      <c r="BU1410" s="11">
        <v>125370.0</v>
      </c>
      <c r="BV1410" s="11">
        <v>116040.0</v>
      </c>
      <c r="BW1410" s="11">
        <v>1920000.0</v>
      </c>
      <c r="BX1410" s="11">
        <v>1940000.0</v>
      </c>
      <c r="BY1410" s="11">
        <v>1800000.0</v>
      </c>
      <c r="BZ1410" s="11">
        <v>1680000.0</v>
      </c>
      <c r="CA1410" s="11">
        <v>1720000.0</v>
      </c>
      <c r="CB1410" s="11">
        <v>5340000.0</v>
      </c>
      <c r="CC1410" s="11">
        <v>4850000.0</v>
      </c>
      <c r="CD1410" s="11">
        <v>4570000.0</v>
      </c>
      <c r="CE1410" s="11">
        <v>4330000.0</v>
      </c>
      <c r="CF1410" s="11">
        <v>3840000.0</v>
      </c>
      <c r="CG1410" s="11">
        <v>3870000.0</v>
      </c>
      <c r="CH1410" s="11">
        <v>3840000.0</v>
      </c>
      <c r="CI1410" s="11">
        <v>3830000.0</v>
      </c>
      <c r="CJ1410" s="11">
        <v>3780000.0</v>
      </c>
      <c r="CK1410" s="11">
        <v>3600000.0</v>
      </c>
      <c r="CL1410" s="11">
        <v>1.167E7</v>
      </c>
      <c r="CM1410" s="11">
        <v>1.127E7</v>
      </c>
      <c r="CN1410" s="11">
        <v>1.076E7</v>
      </c>
      <c r="CO1410" s="11">
        <v>1.032E7</v>
      </c>
      <c r="CP1410" s="11">
        <v>9620000.0</v>
      </c>
      <c r="CQ1410" s="11">
        <v>446960.0</v>
      </c>
      <c r="CR1410" s="11">
        <v>445650.0</v>
      </c>
      <c r="CS1410" s="11">
        <v>441980.0</v>
      </c>
      <c r="CT1410" s="11">
        <v>439670.0</v>
      </c>
      <c r="CU1410" s="11">
        <v>366240.0</v>
      </c>
      <c r="CV1410" s="11">
        <v>1560000.0</v>
      </c>
      <c r="CW1410" s="11">
        <v>56440.0</v>
      </c>
      <c r="CX1410" s="13"/>
      <c r="CY1410" s="13"/>
      <c r="CZ1410" s="13"/>
      <c r="DA1410" s="12"/>
      <c r="DB1410" s="11">
        <v>1560000.0</v>
      </c>
      <c r="DC1410" s="11">
        <v>1450000.0</v>
      </c>
      <c r="DD1410" s="11">
        <v>1850000.0</v>
      </c>
      <c r="DE1410" s="11">
        <v>1320000.0</v>
      </c>
      <c r="DF1410" s="11">
        <v>6090000.0</v>
      </c>
      <c r="DG1410" s="11">
        <v>5800000.0</v>
      </c>
      <c r="DH1410" s="11">
        <v>5700000.0</v>
      </c>
      <c r="DI1410" s="11">
        <v>5710000.0</v>
      </c>
      <c r="DJ1410" s="11">
        <v>5060000.0</v>
      </c>
      <c r="DK1410" s="11">
        <v>183650.0</v>
      </c>
      <c r="DL1410" s="11">
        <v>101970.0</v>
      </c>
      <c r="DM1410" s="11">
        <v>11200.0</v>
      </c>
      <c r="DN1410" s="11">
        <v>7700.0</v>
      </c>
      <c r="DO1410" s="11">
        <v>8700.0</v>
      </c>
      <c r="DP1410" s="11">
        <v>4170000.0</v>
      </c>
      <c r="DQ1410" s="11">
        <v>3940000.0</v>
      </c>
      <c r="DR1410" s="11">
        <v>3490000.0</v>
      </c>
      <c r="DS1410" s="11">
        <v>4030000.0</v>
      </c>
      <c r="DT1410" s="11">
        <v>3370000.0</v>
      </c>
      <c r="DU1410" s="13"/>
      <c r="DV1410" s="12"/>
      <c r="DW1410" s="12"/>
      <c r="DX1410" s="12"/>
      <c r="DY1410" s="12"/>
      <c r="DZ1410" s="11">
        <v>5500000.0</v>
      </c>
      <c r="EA1410" s="11">
        <v>5390000.0</v>
      </c>
      <c r="EB1410" s="11">
        <v>4990000.0</v>
      </c>
      <c r="EC1410" s="11">
        <v>4530000.0</v>
      </c>
      <c r="ED1410" s="11">
        <v>4250000.0</v>
      </c>
      <c r="EE1410" s="14">
        <v>0.186</v>
      </c>
      <c r="EF1410" s="14">
        <v>0.073</v>
      </c>
      <c r="EG1410" s="14">
        <v>-0.322</v>
      </c>
      <c r="EH1410" s="14">
        <v>-0.067</v>
      </c>
    </row>
    <row r="1411">
      <c r="A1411" s="9">
        <f t="shared" si="2"/>
        <v>1409</v>
      </c>
      <c r="B1411" s="25" t="s">
        <v>1546</v>
      </c>
      <c r="C1411" s="15"/>
      <c r="D1411" s="15"/>
      <c r="E1411" s="15">
        <v>4.56E7</v>
      </c>
      <c r="F1411" s="15">
        <v>4.511E7</v>
      </c>
      <c r="G1411" s="15">
        <v>4.705E7</v>
      </c>
      <c r="H1411" s="15">
        <v>4.322E7</v>
      </c>
      <c r="I1411" s="15">
        <v>3.867E7</v>
      </c>
      <c r="J1411" s="15">
        <v>2.007E7</v>
      </c>
      <c r="K1411" s="15">
        <v>1.971E7</v>
      </c>
      <c r="L1411" s="15">
        <v>2.029E7</v>
      </c>
      <c r="M1411" s="15">
        <v>1.843E7</v>
      </c>
      <c r="N1411" s="15">
        <v>1.63E7</v>
      </c>
      <c r="O1411" s="15">
        <v>1.134E7</v>
      </c>
      <c r="P1411" s="15"/>
      <c r="Q1411" s="15">
        <v>1.206E7</v>
      </c>
      <c r="R1411" s="15">
        <v>1.185E7</v>
      </c>
      <c r="S1411" s="15">
        <v>1.07E7</v>
      </c>
      <c r="T1411" s="15">
        <v>736960.0</v>
      </c>
      <c r="U1411" s="15">
        <v>796290.0</v>
      </c>
      <c r="V1411" s="15">
        <v>788260.0</v>
      </c>
      <c r="W1411" s="15">
        <v>801790.0</v>
      </c>
      <c r="X1411" s="15">
        <v>729460.0</v>
      </c>
      <c r="Y1411" s="15">
        <v>7530000.0</v>
      </c>
      <c r="Z1411" s="12"/>
      <c r="AA1411" s="15">
        <v>7480000.0</v>
      </c>
      <c r="AB1411" s="15">
        <v>6460000.0</v>
      </c>
      <c r="AC1411" s="15">
        <v>5490000.0</v>
      </c>
      <c r="AD1411" s="15">
        <v>7120000.0</v>
      </c>
      <c r="AE1411" s="15">
        <v>1.08E7</v>
      </c>
      <c r="AF1411" s="15">
        <v>7010000.0</v>
      </c>
      <c r="AG1411" s="15">
        <v>6020000.0</v>
      </c>
      <c r="AH1411" s="15">
        <v>5160000.0</v>
      </c>
      <c r="AI1411" s="15">
        <v>1.045E7</v>
      </c>
      <c r="AJ1411" s="12"/>
      <c r="AK1411" s="15">
        <v>9580000.0</v>
      </c>
      <c r="AL1411" s="15">
        <v>7780000.0</v>
      </c>
      <c r="AM1411" s="15">
        <v>6600000.0</v>
      </c>
      <c r="AN1411" s="15">
        <v>4940000.0</v>
      </c>
      <c r="AO1411" s="12"/>
      <c r="AP1411" s="15">
        <v>5300000.0</v>
      </c>
      <c r="AQ1411" s="15">
        <v>4250000.0</v>
      </c>
      <c r="AR1411" s="15">
        <v>3560000.0</v>
      </c>
      <c r="AS1411" s="15">
        <v>6780000.0</v>
      </c>
      <c r="AT1411" s="12"/>
      <c r="AU1411" s="15">
        <v>6640000.0</v>
      </c>
      <c r="AV1411" s="15">
        <v>6020000.0</v>
      </c>
      <c r="AW1411" s="15">
        <v>5530000.0</v>
      </c>
      <c r="AX1411" s="15">
        <v>-1340000.0</v>
      </c>
      <c r="AY1411" s="12"/>
      <c r="AZ1411" s="15">
        <v>-1460000.0</v>
      </c>
      <c r="BA1411" s="15">
        <v>-1670000.0</v>
      </c>
      <c r="BB1411" s="15">
        <v>-1600000.0</v>
      </c>
      <c r="BC1411" s="15">
        <v>-3690000.0</v>
      </c>
      <c r="BD1411" s="15">
        <v>-3600000.0</v>
      </c>
      <c r="BE1411" s="15">
        <v>-3430000.0</v>
      </c>
      <c r="BF1411" s="15">
        <v>-2960000.0</v>
      </c>
      <c r="BG1411" s="15">
        <v>-2420000.0</v>
      </c>
      <c r="BH1411" s="15">
        <v>4310000.0</v>
      </c>
      <c r="BI1411" s="15">
        <v>3680000.0</v>
      </c>
      <c r="BJ1411" s="15">
        <v>3380000.0</v>
      </c>
      <c r="BK1411" s="15">
        <v>3220000.0</v>
      </c>
      <c r="BL1411" s="15">
        <v>2110000.0</v>
      </c>
      <c r="BM1411" s="15">
        <v>5870000.0</v>
      </c>
      <c r="BN1411" s="15">
        <v>6110000.0</v>
      </c>
      <c r="BO1411" s="15">
        <v>4720000.0</v>
      </c>
      <c r="BP1411" s="15">
        <v>4200000.0</v>
      </c>
      <c r="BQ1411" s="15">
        <v>3490000.0</v>
      </c>
      <c r="BR1411" s="15">
        <v>3530000.0</v>
      </c>
      <c r="BS1411" s="15">
        <v>3860000.0</v>
      </c>
      <c r="BT1411" s="15">
        <v>3520000.0</v>
      </c>
      <c r="BU1411" s="15">
        <v>3650000.0</v>
      </c>
      <c r="BV1411" s="15">
        <v>3200000.0</v>
      </c>
      <c r="BW1411" s="15">
        <v>1.378E7</v>
      </c>
      <c r="BX1411" s="15">
        <v>1.376E7</v>
      </c>
      <c r="BY1411" s="15">
        <v>1.498E7</v>
      </c>
      <c r="BZ1411" s="15">
        <v>1.185E7</v>
      </c>
      <c r="CA1411" s="15">
        <v>9350000.0</v>
      </c>
      <c r="CB1411" s="15">
        <v>1.023E7</v>
      </c>
      <c r="CC1411" s="15">
        <v>1.087E7</v>
      </c>
      <c r="CD1411" s="15">
        <v>9260000.0</v>
      </c>
      <c r="CE1411" s="15">
        <v>1.001E7</v>
      </c>
      <c r="CF1411" s="15">
        <v>8190000.0</v>
      </c>
      <c r="CG1411" s="15">
        <v>1.531E7</v>
      </c>
      <c r="CH1411" s="15">
        <v>1.556E7</v>
      </c>
      <c r="CI1411" s="15">
        <v>1.498E7</v>
      </c>
      <c r="CJ1411" s="15">
        <v>1.504E7</v>
      </c>
      <c r="CK1411" s="15">
        <v>1.195E7</v>
      </c>
      <c r="CL1411" s="15">
        <v>5.491E7</v>
      </c>
      <c r="CM1411" s="15">
        <v>5.485E7</v>
      </c>
      <c r="CN1411" s="15">
        <v>5.351E7</v>
      </c>
      <c r="CO1411" s="15">
        <v>4.817E7</v>
      </c>
      <c r="CP1411" s="15">
        <v>3.854E7</v>
      </c>
      <c r="CQ1411" s="15">
        <v>7790000.0</v>
      </c>
      <c r="CR1411" s="15">
        <v>8190000.0</v>
      </c>
      <c r="CS1411" s="15">
        <v>7290000.0</v>
      </c>
      <c r="CT1411" s="15">
        <v>7330000.0</v>
      </c>
      <c r="CU1411" s="15">
        <v>6110000.0</v>
      </c>
      <c r="CV1411" s="15">
        <v>1.778E7</v>
      </c>
      <c r="CW1411" s="15">
        <v>3450000.0</v>
      </c>
      <c r="CX1411" s="15">
        <v>2650000.0</v>
      </c>
      <c r="CY1411" s="15">
        <v>6830000.0</v>
      </c>
      <c r="CZ1411" s="15">
        <v>4500000.0</v>
      </c>
      <c r="DA1411" s="15">
        <v>3200000.0</v>
      </c>
      <c r="DB1411" s="15">
        <v>1.778E7</v>
      </c>
      <c r="DC1411" s="15">
        <v>1.809E7</v>
      </c>
      <c r="DD1411" s="15">
        <v>2.057E7</v>
      </c>
      <c r="DE1411" s="15">
        <v>1.755E7</v>
      </c>
      <c r="DF1411" s="15">
        <v>4.315E7</v>
      </c>
      <c r="DG1411" s="15"/>
      <c r="DH1411" s="15">
        <v>4.074E7</v>
      </c>
      <c r="DI1411" s="15">
        <v>3.367E7</v>
      </c>
      <c r="DJ1411" s="15">
        <v>2.669E7</v>
      </c>
      <c r="DK1411" s="15">
        <v>801570.0</v>
      </c>
      <c r="DL1411" s="15"/>
      <c r="DM1411" s="15">
        <v>501540.0</v>
      </c>
      <c r="DN1411" s="15">
        <v>419120.0</v>
      </c>
      <c r="DO1411" s="15">
        <v>436320.0</v>
      </c>
      <c r="DP1411" s="15">
        <v>1.979E7</v>
      </c>
      <c r="DQ1411" s="15">
        <v>2.051E7</v>
      </c>
      <c r="DR1411" s="15">
        <v>1.432E7</v>
      </c>
      <c r="DS1411" s="15">
        <v>9500000.0</v>
      </c>
      <c r="DT1411" s="15">
        <v>7110000.0</v>
      </c>
      <c r="DU1411" s="13"/>
      <c r="DV1411" s="12"/>
      <c r="DW1411" s="12"/>
      <c r="DX1411" s="13"/>
      <c r="DY1411" s="13"/>
      <c r="DZ1411" s="15">
        <v>1.118E7</v>
      </c>
      <c r="EA1411" s="15">
        <v>1.023E7</v>
      </c>
      <c r="EB1411" s="15">
        <v>1.21E7</v>
      </c>
      <c r="EC1411" s="15">
        <v>1.396E7</v>
      </c>
      <c r="ED1411" s="15">
        <v>1.138E7</v>
      </c>
      <c r="EE1411" s="17"/>
      <c r="EF1411" s="17"/>
      <c r="EG1411" s="23" t="s">
        <v>155</v>
      </c>
      <c r="EH1411" s="17"/>
    </row>
    <row r="1412">
      <c r="A1412" s="9">
        <f t="shared" si="2"/>
        <v>1410</v>
      </c>
      <c r="B1412" s="10" t="s">
        <v>1547</v>
      </c>
      <c r="C1412" s="11">
        <v>1510000.0</v>
      </c>
      <c r="D1412" s="11">
        <v>1330000.0</v>
      </c>
      <c r="E1412" s="11">
        <v>1510000.0</v>
      </c>
      <c r="F1412" s="11">
        <v>1460000.0</v>
      </c>
      <c r="G1412" s="11">
        <v>1220000.0</v>
      </c>
      <c r="H1412" s="11">
        <v>1070000.0</v>
      </c>
      <c r="I1412" s="11">
        <v>1130000.0</v>
      </c>
      <c r="J1412" s="11">
        <v>109880.0</v>
      </c>
      <c r="K1412" s="11">
        <v>147520.0</v>
      </c>
      <c r="L1412" s="11">
        <v>87310.0</v>
      </c>
      <c r="M1412" s="11">
        <v>107870.0</v>
      </c>
      <c r="N1412" s="11">
        <v>137910.0</v>
      </c>
      <c r="O1412" s="11">
        <v>13810.0</v>
      </c>
      <c r="P1412" s="11">
        <v>62220.0</v>
      </c>
      <c r="Q1412" s="11">
        <v>62090.0</v>
      </c>
      <c r="R1412" s="11">
        <v>61290.0</v>
      </c>
      <c r="S1412" s="11">
        <v>64510.0</v>
      </c>
      <c r="T1412" s="12"/>
      <c r="U1412" s="12"/>
      <c r="V1412" s="12"/>
      <c r="W1412" s="12"/>
      <c r="X1412" s="12"/>
      <c r="Y1412" s="11">
        <v>66610.0</v>
      </c>
      <c r="Z1412" s="11">
        <v>82980.0</v>
      </c>
      <c r="AA1412" s="11"/>
      <c r="AB1412" s="12"/>
      <c r="AC1412" s="12"/>
      <c r="AD1412" s="11">
        <v>50190.0</v>
      </c>
      <c r="AE1412" s="11">
        <v>69390.0</v>
      </c>
      <c r="AF1412" s="11">
        <v>17140.0</v>
      </c>
      <c r="AG1412" s="11">
        <v>39410.0</v>
      </c>
      <c r="AH1412" s="11">
        <v>65010.0</v>
      </c>
      <c r="AI1412" s="11">
        <v>200740.0</v>
      </c>
      <c r="AJ1412" s="11">
        <v>139720.0</v>
      </c>
      <c r="AK1412" s="11">
        <v>72210.0</v>
      </c>
      <c r="AL1412" s="11">
        <v>83280.0</v>
      </c>
      <c r="AM1412" s="11">
        <v>108270.0</v>
      </c>
      <c r="AN1412" s="11">
        <v>37590.0</v>
      </c>
      <c r="AO1412" s="11">
        <v>52180.0</v>
      </c>
      <c r="AP1412" s="11">
        <v>28150.0</v>
      </c>
      <c r="AQ1412" s="11">
        <v>24240.0</v>
      </c>
      <c r="AR1412" s="11">
        <v>40000.0</v>
      </c>
      <c r="AS1412" s="11">
        <v>157100.0</v>
      </c>
      <c r="AT1412" s="11">
        <v>94900.0</v>
      </c>
      <c r="AU1412" s="11">
        <v>83850.0</v>
      </c>
      <c r="AV1412" s="11">
        <v>68630.0</v>
      </c>
      <c r="AW1412" s="11">
        <v>78300.0</v>
      </c>
      <c r="AX1412" s="11">
        <v>-79750.0</v>
      </c>
      <c r="AY1412" s="11">
        <v>-66590.0</v>
      </c>
      <c r="AZ1412" s="11">
        <v>-63360.0</v>
      </c>
      <c r="BA1412" s="11">
        <v>-97350.0</v>
      </c>
      <c r="BB1412" s="11">
        <v>-26260.0</v>
      </c>
      <c r="BC1412" s="11">
        <v>-15040.0</v>
      </c>
      <c r="BD1412" s="11">
        <v>-10930.0</v>
      </c>
      <c r="BE1412" s="11">
        <v>-7960.0</v>
      </c>
      <c r="BF1412" s="11">
        <v>-7950.0</v>
      </c>
      <c r="BG1412" s="11">
        <v>-8170.0</v>
      </c>
      <c r="BH1412" s="11">
        <v>17100.0</v>
      </c>
      <c r="BI1412" s="11">
        <v>15060.0</v>
      </c>
      <c r="BJ1412" s="11">
        <v>16820.0</v>
      </c>
      <c r="BK1412" s="11">
        <v>16110.0</v>
      </c>
      <c r="BL1412" s="11">
        <v>26360.0</v>
      </c>
      <c r="BM1412" s="11">
        <v>232460.0</v>
      </c>
      <c r="BN1412" s="11">
        <v>242270.0</v>
      </c>
      <c r="BO1412" s="11">
        <v>191230.0</v>
      </c>
      <c r="BP1412" s="11">
        <v>162660.0</v>
      </c>
      <c r="BQ1412" s="11">
        <v>158620.0</v>
      </c>
      <c r="BR1412" s="11">
        <v>7160.0</v>
      </c>
      <c r="BS1412" s="11">
        <v>6750.0</v>
      </c>
      <c r="BT1412" s="11">
        <v>5340.0</v>
      </c>
      <c r="BU1412" s="11">
        <v>8620.0</v>
      </c>
      <c r="BV1412" s="11">
        <v>8620.0</v>
      </c>
      <c r="BW1412" s="11">
        <v>271840.0</v>
      </c>
      <c r="BX1412" s="11">
        <v>275260.0</v>
      </c>
      <c r="BY1412" s="11">
        <v>228670.0</v>
      </c>
      <c r="BZ1412" s="11">
        <v>207450.0</v>
      </c>
      <c r="CA1412" s="11">
        <v>202840.0</v>
      </c>
      <c r="CB1412" s="11">
        <v>427030.0</v>
      </c>
      <c r="CC1412" s="11">
        <v>303230.0</v>
      </c>
      <c r="CD1412" s="11">
        <v>267200.0</v>
      </c>
      <c r="CE1412" s="11">
        <v>246280.0</v>
      </c>
      <c r="CF1412" s="11">
        <v>177190.0</v>
      </c>
      <c r="CG1412" s="11">
        <v>168450.0</v>
      </c>
      <c r="CH1412" s="11">
        <v>145150.0</v>
      </c>
      <c r="CI1412" s="11">
        <v>74480.0</v>
      </c>
      <c r="CJ1412" s="11">
        <v>74480.0</v>
      </c>
      <c r="CK1412" s="11">
        <v>74480.0</v>
      </c>
      <c r="CL1412" s="11">
        <v>996090.0</v>
      </c>
      <c r="CM1412" s="11">
        <v>853120.0</v>
      </c>
      <c r="CN1412" s="11">
        <v>620230.0</v>
      </c>
      <c r="CO1412" s="11">
        <v>579270.0</v>
      </c>
      <c r="CP1412" s="11">
        <v>503160.0</v>
      </c>
      <c r="CQ1412" s="11">
        <v>106750.0</v>
      </c>
      <c r="CR1412" s="11">
        <v>109780.0</v>
      </c>
      <c r="CS1412" s="11">
        <v>96340.0</v>
      </c>
      <c r="CT1412" s="11">
        <v>70540.0</v>
      </c>
      <c r="CU1412" s="11">
        <v>49760.0</v>
      </c>
      <c r="CV1412" s="11">
        <v>251580.0</v>
      </c>
      <c r="CW1412" s="11">
        <v>27480.0</v>
      </c>
      <c r="CX1412" s="12"/>
      <c r="CY1412" s="12"/>
      <c r="CZ1412" s="12"/>
      <c r="DA1412" s="12"/>
      <c r="DB1412" s="11">
        <v>251580.0</v>
      </c>
      <c r="DC1412" s="11">
        <v>221170.0</v>
      </c>
      <c r="DD1412" s="11">
        <v>199070.0</v>
      </c>
      <c r="DE1412" s="11">
        <v>144520.0</v>
      </c>
      <c r="DF1412" s="11">
        <v>790870.0</v>
      </c>
      <c r="DG1412" s="11">
        <v>643820.0</v>
      </c>
      <c r="DH1412" s="11">
        <v>451470.0</v>
      </c>
      <c r="DI1412" s="11">
        <v>431530.0</v>
      </c>
      <c r="DJ1412" s="11">
        <v>372070.0</v>
      </c>
      <c r="DK1412" s="12"/>
      <c r="DL1412" s="11"/>
      <c r="DM1412" s="11"/>
      <c r="DN1412" s="11"/>
      <c r="DO1412" s="12"/>
      <c r="DP1412" s="11">
        <v>459810.0</v>
      </c>
      <c r="DQ1412" s="11">
        <v>348550.0</v>
      </c>
      <c r="DR1412" s="11">
        <v>207110.0</v>
      </c>
      <c r="DS1412" s="11">
        <v>226810.0</v>
      </c>
      <c r="DT1412" s="11">
        <v>173260.0</v>
      </c>
      <c r="DU1412" s="13"/>
      <c r="DV1412" s="12"/>
      <c r="DW1412" s="12"/>
      <c r="DX1412" s="12"/>
      <c r="DY1412" s="12"/>
      <c r="DZ1412" s="11">
        <v>205220.0</v>
      </c>
      <c r="EA1412" s="11">
        <v>209300.0</v>
      </c>
      <c r="EB1412" s="11">
        <v>168770.0</v>
      </c>
      <c r="EC1412" s="11">
        <v>147730.0</v>
      </c>
      <c r="ED1412" s="11">
        <v>131080.0</v>
      </c>
      <c r="EE1412" s="14">
        <v>0.008</v>
      </c>
      <c r="EF1412" s="14">
        <v>0.013</v>
      </c>
      <c r="EG1412" s="14">
        <v>1.875</v>
      </c>
      <c r="EH1412" s="14">
        <v>0.164</v>
      </c>
    </row>
    <row r="1413">
      <c r="A1413" s="9">
        <f t="shared" si="2"/>
        <v>1411</v>
      </c>
      <c r="B1413" s="10" t="s">
        <v>1548</v>
      </c>
      <c r="C1413" s="15">
        <v>7700000.0</v>
      </c>
      <c r="D1413" s="15">
        <v>6450000.0</v>
      </c>
      <c r="E1413" s="15">
        <v>7400000.0</v>
      </c>
      <c r="F1413" s="15">
        <v>6720000.0</v>
      </c>
      <c r="G1413" s="15">
        <v>5880000.0</v>
      </c>
      <c r="H1413" s="15">
        <v>4850000.0</v>
      </c>
      <c r="I1413" s="15">
        <v>3920000.0</v>
      </c>
      <c r="J1413" s="15">
        <v>2680000.0</v>
      </c>
      <c r="K1413" s="15">
        <v>2410000.0</v>
      </c>
      <c r="L1413" s="15">
        <v>2100000.0</v>
      </c>
      <c r="M1413" s="15">
        <v>1750000.0</v>
      </c>
      <c r="N1413" s="15">
        <v>1380000.0</v>
      </c>
      <c r="O1413" s="15">
        <v>1760000.0</v>
      </c>
      <c r="P1413" s="15">
        <v>1540000.0</v>
      </c>
      <c r="Q1413" s="15">
        <v>1290000.0</v>
      </c>
      <c r="R1413" s="15">
        <v>1070000.0</v>
      </c>
      <c r="S1413" s="15">
        <v>863350.0</v>
      </c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5">
        <v>906150.0</v>
      </c>
      <c r="AE1413" s="15">
        <v>859140.0</v>
      </c>
      <c r="AF1413" s="15">
        <v>786860.0</v>
      </c>
      <c r="AG1413" s="15">
        <v>655710.0</v>
      </c>
      <c r="AH1413" s="15">
        <v>507440.0</v>
      </c>
      <c r="AI1413" s="15">
        <v>1220000.0</v>
      </c>
      <c r="AJ1413" s="15">
        <v>1150000.0</v>
      </c>
      <c r="AK1413" s="15">
        <v>1060000.0</v>
      </c>
      <c r="AL1413" s="15">
        <v>883690.0</v>
      </c>
      <c r="AM1413" s="15">
        <v>686030.0</v>
      </c>
      <c r="AN1413" s="15">
        <v>705950.0</v>
      </c>
      <c r="AO1413" s="15">
        <v>658560.0</v>
      </c>
      <c r="AP1413" s="15">
        <v>555230.0</v>
      </c>
      <c r="AQ1413" s="15">
        <v>409760.0</v>
      </c>
      <c r="AR1413" s="15">
        <v>320010.0</v>
      </c>
      <c r="AS1413" s="15">
        <v>1360000.0</v>
      </c>
      <c r="AT1413" s="15">
        <v>956130.0</v>
      </c>
      <c r="AU1413" s="15">
        <v>778780.0</v>
      </c>
      <c r="AV1413" s="15">
        <v>634690.0</v>
      </c>
      <c r="AW1413" s="15">
        <v>375870.0</v>
      </c>
      <c r="AX1413" s="15">
        <v>-298530.0</v>
      </c>
      <c r="AY1413" s="15">
        <v>-319400.0</v>
      </c>
      <c r="AZ1413" s="15">
        <v>-440710.0</v>
      </c>
      <c r="BA1413" s="15">
        <v>-373750.0</v>
      </c>
      <c r="BB1413" s="15">
        <v>-299170.0</v>
      </c>
      <c r="BC1413" s="12"/>
      <c r="BD1413" s="12"/>
      <c r="BE1413" s="12"/>
      <c r="BF1413" s="12"/>
      <c r="BG1413" s="12"/>
      <c r="BH1413" s="15">
        <v>502330.0</v>
      </c>
      <c r="BI1413" s="15">
        <v>409250.0</v>
      </c>
      <c r="BJ1413" s="15">
        <v>397450.0</v>
      </c>
      <c r="BK1413" s="15">
        <v>415010.0</v>
      </c>
      <c r="BL1413" s="15">
        <v>475840.0</v>
      </c>
      <c r="BM1413" s="15">
        <v>139340.0</v>
      </c>
      <c r="BN1413" s="15">
        <v>136170.0</v>
      </c>
      <c r="BO1413" s="15">
        <v>99720.0</v>
      </c>
      <c r="BP1413" s="15">
        <v>88630.0</v>
      </c>
      <c r="BQ1413" s="15">
        <v>64990.0</v>
      </c>
      <c r="BR1413" s="15">
        <v>1290000.0</v>
      </c>
      <c r="BS1413" s="15">
        <v>1210000.0</v>
      </c>
      <c r="BT1413" s="15">
        <v>1100000.0</v>
      </c>
      <c r="BU1413" s="15">
        <v>943980.0</v>
      </c>
      <c r="BV1413" s="15">
        <v>761790.0</v>
      </c>
      <c r="BW1413" s="15">
        <v>2060000.0</v>
      </c>
      <c r="BX1413" s="15">
        <v>1910000.0</v>
      </c>
      <c r="BY1413" s="15">
        <v>1690000.0</v>
      </c>
      <c r="BZ1413" s="15">
        <v>1540000.0</v>
      </c>
      <c r="CA1413" s="15">
        <v>1380000.0</v>
      </c>
      <c r="CB1413" s="15">
        <v>2740000.0</v>
      </c>
      <c r="CC1413" s="15">
        <v>1230000.0</v>
      </c>
      <c r="CD1413" s="15">
        <v>1190000.0</v>
      </c>
      <c r="CE1413" s="15">
        <v>1000000.0</v>
      </c>
      <c r="CF1413" s="15">
        <v>847600.0</v>
      </c>
      <c r="CG1413" s="15">
        <v>10870.0</v>
      </c>
      <c r="CH1413" s="15">
        <v>10870.0</v>
      </c>
      <c r="CI1413" s="12"/>
      <c r="CJ1413" s="12"/>
      <c r="CK1413" s="12"/>
      <c r="CL1413" s="15">
        <v>5450000.0</v>
      </c>
      <c r="CM1413" s="15">
        <v>3280000.0</v>
      </c>
      <c r="CN1413" s="15">
        <v>2960000.0</v>
      </c>
      <c r="CO1413" s="15">
        <v>2620000.0</v>
      </c>
      <c r="CP1413" s="15">
        <v>2280000.0</v>
      </c>
      <c r="CQ1413" s="15">
        <v>414010.0</v>
      </c>
      <c r="CR1413" s="15">
        <v>404020.0</v>
      </c>
      <c r="CS1413" s="15">
        <v>325760.0</v>
      </c>
      <c r="CT1413" s="15">
        <v>259520.0</v>
      </c>
      <c r="CU1413" s="15">
        <v>196170.0</v>
      </c>
      <c r="CV1413" s="15">
        <v>1140000.0</v>
      </c>
      <c r="CW1413" s="15">
        <v>239630.0</v>
      </c>
      <c r="CX1413" s="12"/>
      <c r="CY1413" s="13"/>
      <c r="CZ1413" s="13"/>
      <c r="DA1413" s="12"/>
      <c r="DB1413" s="15">
        <v>1140000.0</v>
      </c>
      <c r="DC1413" s="15">
        <v>823740.0</v>
      </c>
      <c r="DD1413" s="15">
        <v>642170.0</v>
      </c>
      <c r="DE1413" s="15">
        <v>529340.0</v>
      </c>
      <c r="DF1413" s="15">
        <v>3550000.0</v>
      </c>
      <c r="DG1413" s="15">
        <v>1460000.0</v>
      </c>
      <c r="DH1413" s="15">
        <v>1190000.0</v>
      </c>
      <c r="DI1413" s="15">
        <v>1070000.0</v>
      </c>
      <c r="DJ1413" s="15">
        <v>837760.0</v>
      </c>
      <c r="DK1413" s="12"/>
      <c r="DL1413" s="12"/>
      <c r="DM1413" s="12"/>
      <c r="DN1413" s="12"/>
      <c r="DO1413" s="12"/>
      <c r="DP1413" s="15">
        <v>1700000.0</v>
      </c>
      <c r="DQ1413" s="12"/>
      <c r="DR1413" s="12"/>
      <c r="DS1413" s="12"/>
      <c r="DT1413" s="12"/>
      <c r="DU1413" s="13"/>
      <c r="DV1413" s="12"/>
      <c r="DW1413" s="12"/>
      <c r="DX1413" s="12"/>
      <c r="DY1413" s="12"/>
      <c r="DZ1413" s="15">
        <v>1900000.0</v>
      </c>
      <c r="EA1413" s="15">
        <v>1820000.0</v>
      </c>
      <c r="EB1413" s="15">
        <v>1770000.0</v>
      </c>
      <c r="EC1413" s="15">
        <v>1550000.0</v>
      </c>
      <c r="ED1413" s="15">
        <v>1440000.0</v>
      </c>
      <c r="EE1413" s="17">
        <v>0.171</v>
      </c>
      <c r="EF1413" s="17">
        <v>0.116</v>
      </c>
      <c r="EG1413" s="23"/>
      <c r="EH1413" s="23"/>
    </row>
    <row r="1414">
      <c r="A1414" s="9">
        <f t="shared" si="2"/>
        <v>1412</v>
      </c>
      <c r="B1414" s="10" t="s">
        <v>1549</v>
      </c>
      <c r="C1414" s="15">
        <v>5240000.0</v>
      </c>
      <c r="D1414" s="15">
        <v>5380000.0</v>
      </c>
      <c r="E1414" s="15">
        <v>1.482E8</v>
      </c>
      <c r="F1414" s="15">
        <v>1.5125E8</v>
      </c>
      <c r="G1414" s="15">
        <v>1.4928E8</v>
      </c>
      <c r="H1414" s="15">
        <v>1.4787E8</v>
      </c>
      <c r="I1414" s="15">
        <v>1.4483E8</v>
      </c>
      <c r="J1414" s="15">
        <v>1.81E7</v>
      </c>
      <c r="K1414" s="15">
        <v>1.893E7</v>
      </c>
      <c r="L1414" s="15">
        <v>2.283E7</v>
      </c>
      <c r="M1414" s="15">
        <v>2.609E7</v>
      </c>
      <c r="N1414" s="15">
        <v>2.804E7</v>
      </c>
      <c r="O1414" s="15">
        <v>1.86E7</v>
      </c>
      <c r="P1414" s="15">
        <v>1.825E7</v>
      </c>
      <c r="Q1414" s="15">
        <v>1.792E7</v>
      </c>
      <c r="R1414" s="15">
        <v>1.963E7</v>
      </c>
      <c r="S1414" s="15">
        <v>1.624E7</v>
      </c>
      <c r="T1414" s="15">
        <v>1.186E7</v>
      </c>
      <c r="U1414" s="15">
        <v>1.303E7</v>
      </c>
      <c r="V1414" s="15">
        <v>1.367E7</v>
      </c>
      <c r="W1414" s="15">
        <v>1.353E7</v>
      </c>
      <c r="X1414" s="15">
        <v>1.217E7</v>
      </c>
      <c r="Y1414" s="15">
        <v>669490.0</v>
      </c>
      <c r="Z1414" s="15">
        <v>-533610.0</v>
      </c>
      <c r="AA1414" s="15">
        <v>4560000.0</v>
      </c>
      <c r="AB1414" s="15">
        <v>4530000.0</v>
      </c>
      <c r="AC1414" s="15">
        <v>9440000.0</v>
      </c>
      <c r="AD1414" s="15">
        <v>4590000.0</v>
      </c>
      <c r="AE1414" s="15">
        <v>2850000.0</v>
      </c>
      <c r="AF1414" s="15">
        <v>7520000.0</v>
      </c>
      <c r="AG1414" s="15">
        <v>5040000.0</v>
      </c>
      <c r="AH1414" s="15">
        <v>1.364E7</v>
      </c>
      <c r="AI1414" s="15">
        <v>4.863E7</v>
      </c>
      <c r="AJ1414" s="15">
        <v>5.256E7</v>
      </c>
      <c r="AK1414" s="15">
        <v>5.787E7</v>
      </c>
      <c r="AL1414" s="15">
        <v>5.834E7</v>
      </c>
      <c r="AM1414" s="15">
        <v>5.72E7</v>
      </c>
      <c r="AN1414" s="15">
        <v>9710000.0</v>
      </c>
      <c r="AO1414" s="15">
        <v>7070000.0</v>
      </c>
      <c r="AP1414" s="15">
        <v>9630000.0</v>
      </c>
      <c r="AQ1414" s="15">
        <v>8320000.0</v>
      </c>
      <c r="AR1414" s="15">
        <v>1.345E7</v>
      </c>
      <c r="AS1414" s="15">
        <v>5.55E7</v>
      </c>
      <c r="AT1414" s="15">
        <v>5.015E7</v>
      </c>
      <c r="AU1414" s="15">
        <v>5.247E7</v>
      </c>
      <c r="AV1414" s="15">
        <v>4.645E7</v>
      </c>
      <c r="AW1414" s="15">
        <v>6.004E7</v>
      </c>
      <c r="AX1414" s="15">
        <v>-1.924E7</v>
      </c>
      <c r="AY1414" s="15">
        <v>-2.214E7</v>
      </c>
      <c r="AZ1414" s="15">
        <v>-4.566E7</v>
      </c>
      <c r="BA1414" s="15">
        <v>-9.369E7</v>
      </c>
      <c r="BB1414" s="15">
        <v>-6.159E7</v>
      </c>
      <c r="BC1414" s="15">
        <v>-6910000.0</v>
      </c>
      <c r="BD1414" s="15">
        <v>-8560000.0</v>
      </c>
      <c r="BE1414" s="15">
        <v>-6100000.0</v>
      </c>
      <c r="BF1414" s="15">
        <v>-6910000.0</v>
      </c>
      <c r="BG1414" s="15">
        <v>-6940000.0</v>
      </c>
      <c r="BH1414" s="15">
        <v>9.622E7</v>
      </c>
      <c r="BI1414" s="15">
        <v>8.419E7</v>
      </c>
      <c r="BJ1414" s="15">
        <v>8.239E7</v>
      </c>
      <c r="BK1414" s="15">
        <v>5.829E7</v>
      </c>
      <c r="BL1414" s="15">
        <v>5.396E7</v>
      </c>
      <c r="BM1414" s="15">
        <v>2.662E7</v>
      </c>
      <c r="BN1414" s="15">
        <v>2.47E7</v>
      </c>
      <c r="BO1414" s="15">
        <v>2.266E7</v>
      </c>
      <c r="BP1414" s="15">
        <v>2.4E7</v>
      </c>
      <c r="BQ1414" s="15">
        <v>1.999E7</v>
      </c>
      <c r="BR1414" s="15">
        <v>2.171E7</v>
      </c>
      <c r="BS1414" s="15">
        <v>1.82E7</v>
      </c>
      <c r="BT1414" s="15">
        <v>1.826E7</v>
      </c>
      <c r="BU1414" s="15">
        <v>1.7E7</v>
      </c>
      <c r="BV1414" s="15">
        <v>1.764E7</v>
      </c>
      <c r="BW1414" s="15">
        <v>1.5376E8</v>
      </c>
      <c r="BX1414" s="15">
        <v>1.4119E8</v>
      </c>
      <c r="BY1414" s="15">
        <v>1.3916E8</v>
      </c>
      <c r="BZ1414" s="15">
        <v>1.1047E8</v>
      </c>
      <c r="CA1414" s="15">
        <v>9.482E7</v>
      </c>
      <c r="CB1414" s="15">
        <v>1.5888E8</v>
      </c>
      <c r="CC1414" s="15">
        <v>1.7351E8</v>
      </c>
      <c r="CD1414" s="15">
        <v>2.0603E8</v>
      </c>
      <c r="CE1414" s="15">
        <v>2.2616E8</v>
      </c>
      <c r="CF1414" s="15">
        <v>1.8877E8</v>
      </c>
      <c r="CG1414" s="15">
        <v>7610.0</v>
      </c>
      <c r="CH1414" s="15">
        <v>15010.0</v>
      </c>
      <c r="CI1414" s="15">
        <v>15190.0</v>
      </c>
      <c r="CJ1414" s="15">
        <v>15190.0</v>
      </c>
      <c r="CK1414" s="15">
        <v>15190.0</v>
      </c>
      <c r="CL1414" s="15">
        <v>3.7019E8</v>
      </c>
      <c r="CM1414" s="15">
        <v>3.646E8</v>
      </c>
      <c r="CN1414" s="15">
        <v>3.941E8</v>
      </c>
      <c r="CO1414" s="15">
        <v>3.8666E8</v>
      </c>
      <c r="CP1414" s="15">
        <v>3.3737E8</v>
      </c>
      <c r="CQ1414" s="15">
        <v>8880000.0</v>
      </c>
      <c r="CR1414" s="15">
        <v>6800000.0</v>
      </c>
      <c r="CS1414" s="15">
        <v>6540000.0</v>
      </c>
      <c r="CT1414" s="15">
        <v>6850000.0</v>
      </c>
      <c r="CU1414" s="15">
        <v>5950000.0</v>
      </c>
      <c r="CV1414" s="15">
        <v>7.271E7</v>
      </c>
      <c r="CW1414" s="15">
        <v>1.202E7</v>
      </c>
      <c r="CX1414" s="15">
        <v>1.31E7</v>
      </c>
      <c r="CY1414" s="15">
        <v>2.545E7</v>
      </c>
      <c r="CZ1414" s="15">
        <v>2.055E7</v>
      </c>
      <c r="DA1414" s="15">
        <v>5510000.0</v>
      </c>
      <c r="DB1414" s="15">
        <v>7.271E7</v>
      </c>
      <c r="DC1414" s="15">
        <v>4.99E7</v>
      </c>
      <c r="DD1414" s="15">
        <v>8.806E7</v>
      </c>
      <c r="DE1414" s="15">
        <v>7.198E7</v>
      </c>
      <c r="DF1414" s="15">
        <v>1.532E8</v>
      </c>
      <c r="DG1414" s="15">
        <v>1.4442E8</v>
      </c>
      <c r="DH1414" s="15">
        <v>1.6986E8</v>
      </c>
      <c r="DI1414" s="15">
        <v>1.6108E8</v>
      </c>
      <c r="DJ1414" s="15">
        <v>1.1012E8</v>
      </c>
      <c r="DK1414" s="15">
        <v>4.356E7</v>
      </c>
      <c r="DL1414" s="15">
        <v>3.576E7</v>
      </c>
      <c r="DM1414" s="15">
        <v>3.515E7</v>
      </c>
      <c r="DN1414" s="15">
        <v>3.587E7</v>
      </c>
      <c r="DO1414" s="15">
        <v>4.122E7</v>
      </c>
      <c r="DP1414" s="15">
        <v>5.335E7</v>
      </c>
      <c r="DQ1414" s="15">
        <v>6.708E7</v>
      </c>
      <c r="DR1414" s="15">
        <v>5.489E7</v>
      </c>
      <c r="DS1414" s="15">
        <v>6.23E7</v>
      </c>
      <c r="DT1414" s="15">
        <v>4.91E7</v>
      </c>
      <c r="DU1414" s="16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2.068E8</v>
      </c>
      <c r="EA1414" s="15">
        <v>2.0607E8</v>
      </c>
      <c r="EB1414" s="15">
        <v>2.1151E8</v>
      </c>
      <c r="EC1414" s="15">
        <v>2.1501E8</v>
      </c>
      <c r="ED1414" s="15">
        <v>2.2522E8</v>
      </c>
      <c r="EE1414" s="17">
        <v>0.0</v>
      </c>
      <c r="EF1414" s="17">
        <v>0.0</v>
      </c>
      <c r="EG1414" s="17">
        <v>-0.25</v>
      </c>
      <c r="EH1414" s="17">
        <v>-0.104</v>
      </c>
    </row>
    <row r="1415">
      <c r="A1415" s="9">
        <f t="shared" si="2"/>
        <v>1413</v>
      </c>
      <c r="B1415" s="22" t="s">
        <v>1550</v>
      </c>
      <c r="C1415" s="12"/>
      <c r="D1415" s="11">
        <v>7560.0</v>
      </c>
      <c r="E1415" s="11">
        <v>22500.0</v>
      </c>
      <c r="F1415" s="11">
        <v>9730.0</v>
      </c>
      <c r="G1415" s="11">
        <v>8360.0</v>
      </c>
      <c r="H1415" s="11">
        <v>6360.0</v>
      </c>
      <c r="I1415" s="11">
        <v>2990.0</v>
      </c>
      <c r="J1415" s="12"/>
      <c r="K1415" s="12"/>
      <c r="L1415" s="12"/>
      <c r="M1415" s="12"/>
      <c r="N1415" s="12"/>
      <c r="O1415" s="11">
        <v>53380.0</v>
      </c>
      <c r="P1415" s="11">
        <v>44420.0</v>
      </c>
      <c r="Q1415" s="11">
        <v>33340.0</v>
      </c>
      <c r="R1415" s="11">
        <v>24600.0</v>
      </c>
      <c r="S1415" s="11">
        <v>9400.0</v>
      </c>
      <c r="T1415" s="11">
        <v>43710.0</v>
      </c>
      <c r="U1415" s="11">
        <v>38290.0</v>
      </c>
      <c r="V1415" s="11">
        <v>29830.0</v>
      </c>
      <c r="W1415" s="11">
        <v>21990.0</v>
      </c>
      <c r="X1415" s="11">
        <v>6850.0</v>
      </c>
      <c r="Y1415" s="12"/>
      <c r="Z1415" s="12"/>
      <c r="AA1415" s="12"/>
      <c r="AB1415" s="12"/>
      <c r="AC1415" s="12"/>
      <c r="AD1415" s="11">
        <v>-31830.0</v>
      </c>
      <c r="AE1415" s="11">
        <v>-34530.0</v>
      </c>
      <c r="AF1415" s="11">
        <v>-25490.0</v>
      </c>
      <c r="AG1415" s="11">
        <v>-18120.0</v>
      </c>
      <c r="AH1415" s="11">
        <v>-6590.0</v>
      </c>
      <c r="AI1415" s="11">
        <v>-30890.0</v>
      </c>
      <c r="AJ1415" s="11">
        <v>-34680.0</v>
      </c>
      <c r="AK1415" s="11">
        <v>-24980.0</v>
      </c>
      <c r="AL1415" s="11">
        <v>-18240.0</v>
      </c>
      <c r="AM1415" s="11">
        <v>-6410.0</v>
      </c>
      <c r="AN1415" s="11">
        <v>-31830.0</v>
      </c>
      <c r="AO1415" s="11">
        <v>-34550.0</v>
      </c>
      <c r="AP1415" s="11">
        <v>-25560.0</v>
      </c>
      <c r="AQ1415" s="11">
        <v>-18190.0</v>
      </c>
      <c r="AR1415" s="11">
        <v>-6640.0</v>
      </c>
      <c r="AS1415" s="11">
        <v>-40040.0</v>
      </c>
      <c r="AT1415" s="11">
        <v>-32490.0</v>
      </c>
      <c r="AU1415" s="11">
        <v>-25840.0</v>
      </c>
      <c r="AV1415" s="11">
        <v>-18640.0</v>
      </c>
      <c r="AW1415" s="11">
        <v>17720.0</v>
      </c>
      <c r="AX1415" s="11">
        <v>-33.0</v>
      </c>
      <c r="AY1415" s="11">
        <v>-549.0</v>
      </c>
      <c r="AZ1415" s="11">
        <v>-912.0</v>
      </c>
      <c r="BA1415" s="11">
        <v>-3310.0</v>
      </c>
      <c r="BB1415" s="11">
        <v>-1990.0</v>
      </c>
      <c r="BC1415" s="12"/>
      <c r="BD1415" s="12"/>
      <c r="BE1415" s="12"/>
      <c r="BF1415" s="12"/>
      <c r="BG1415" s="12"/>
      <c r="BH1415" s="11">
        <v>37420.0</v>
      </c>
      <c r="BI1415" s="11">
        <v>78590.0</v>
      </c>
      <c r="BJ1415" s="11">
        <v>41040.0</v>
      </c>
      <c r="BK1415" s="11">
        <v>68510.0</v>
      </c>
      <c r="BL1415" s="11">
        <v>90480.0</v>
      </c>
      <c r="BM1415" s="11">
        <v>2000.0</v>
      </c>
      <c r="BN1415" s="11">
        <v>1670.0</v>
      </c>
      <c r="BO1415" s="11">
        <v>830.0</v>
      </c>
      <c r="BP1415" s="11">
        <v>928.0</v>
      </c>
      <c r="BQ1415" s="11">
        <v>294.0</v>
      </c>
      <c r="BR1415" s="12"/>
      <c r="BS1415" s="12"/>
      <c r="BT1415" s="12"/>
      <c r="BU1415" s="12"/>
      <c r="BV1415" s="12"/>
      <c r="BW1415" s="11">
        <v>40590.0</v>
      </c>
      <c r="BX1415" s="11">
        <v>81000.0</v>
      </c>
      <c r="BY1415" s="11">
        <v>42380.0</v>
      </c>
      <c r="BZ1415" s="11">
        <v>69730.0</v>
      </c>
      <c r="CA1415" s="11">
        <v>91100.0</v>
      </c>
      <c r="CB1415" s="11">
        <v>7150.0</v>
      </c>
      <c r="CC1415" s="11">
        <v>3250.0</v>
      </c>
      <c r="CD1415" s="11">
        <v>4110.0</v>
      </c>
      <c r="CE1415" s="11">
        <v>4560.0</v>
      </c>
      <c r="CF1415" s="11">
        <v>2420.0</v>
      </c>
      <c r="CG1415" s="12"/>
      <c r="CH1415" s="12"/>
      <c r="CI1415" s="12"/>
      <c r="CJ1415" s="12"/>
      <c r="CK1415" s="12"/>
      <c r="CL1415" s="11">
        <v>49420.0</v>
      </c>
      <c r="CM1415" s="11">
        <v>85930.0</v>
      </c>
      <c r="CN1415" s="11">
        <v>49120.0</v>
      </c>
      <c r="CO1415" s="11">
        <v>75550.0</v>
      </c>
      <c r="CP1415" s="11">
        <v>94770.0</v>
      </c>
      <c r="CQ1415" s="11">
        <v>3180.0</v>
      </c>
      <c r="CR1415" s="11">
        <v>1520.0</v>
      </c>
      <c r="CS1415" s="11">
        <v>1350.0</v>
      </c>
      <c r="CT1415" s="11">
        <v>1450.0</v>
      </c>
      <c r="CU1415" s="11">
        <v>1400.0</v>
      </c>
      <c r="CV1415" s="11">
        <v>13250.0</v>
      </c>
      <c r="CW1415" s="11">
        <v>1620.0</v>
      </c>
      <c r="CX1415" s="12"/>
      <c r="CY1415" s="12"/>
      <c r="CZ1415" s="12"/>
      <c r="DA1415" s="12"/>
      <c r="DB1415" s="11">
        <v>13250.0</v>
      </c>
      <c r="DC1415" s="11">
        <v>24950.0</v>
      </c>
      <c r="DD1415" s="11">
        <v>11190.0</v>
      </c>
      <c r="DE1415" s="11">
        <v>8740.0</v>
      </c>
      <c r="DF1415" s="11">
        <v>17660.0</v>
      </c>
      <c r="DG1415" s="11">
        <v>25690.0</v>
      </c>
      <c r="DH1415" s="11">
        <v>20810.0</v>
      </c>
      <c r="DI1415" s="11">
        <v>23160.0</v>
      </c>
      <c r="DJ1415" s="11">
        <v>25250.0</v>
      </c>
      <c r="DK1415" s="11">
        <v>1260.0</v>
      </c>
      <c r="DL1415" s="11">
        <v>1260.0</v>
      </c>
      <c r="DM1415" s="11">
        <v>1260.0</v>
      </c>
      <c r="DN1415" s="11">
        <v>1260.0</v>
      </c>
      <c r="DO1415" s="11">
        <v>1260.0</v>
      </c>
      <c r="DP1415" s="11">
        <v>4410.0</v>
      </c>
      <c r="DQ1415" s="12"/>
      <c r="DR1415" s="12"/>
      <c r="DS1415" s="12"/>
      <c r="DT1415" s="12"/>
      <c r="DU1415" s="13"/>
      <c r="DV1415" s="12"/>
      <c r="DW1415" s="11">
        <v>77150.0</v>
      </c>
      <c r="DX1415" s="11">
        <v>77090.0</v>
      </c>
      <c r="DY1415" s="11">
        <v>77020.0</v>
      </c>
      <c r="DZ1415" s="11">
        <v>31760.0</v>
      </c>
      <c r="EA1415" s="11">
        <v>60230.0</v>
      </c>
      <c r="EB1415" s="11">
        <v>28310.0</v>
      </c>
      <c r="EC1415" s="11">
        <v>52390.0</v>
      </c>
      <c r="ED1415" s="11">
        <v>69520.0</v>
      </c>
      <c r="EE1415" s="14">
        <v>0.0</v>
      </c>
      <c r="EF1415" s="23"/>
      <c r="EG1415" s="14">
        <v>-0.143</v>
      </c>
      <c r="EH1415" s="14">
        <v>0.309</v>
      </c>
    </row>
    <row r="1416">
      <c r="A1416" s="9">
        <f t="shared" si="2"/>
        <v>1414</v>
      </c>
      <c r="B1416" s="25" t="s">
        <v>1551</v>
      </c>
      <c r="C1416" s="15"/>
      <c r="D1416" s="15"/>
      <c r="E1416" s="15">
        <v>5.198E7</v>
      </c>
      <c r="F1416" s="15">
        <v>5.098E7</v>
      </c>
      <c r="G1416" s="15">
        <v>5.372E7</v>
      </c>
      <c r="H1416" s="15">
        <v>5.271E7</v>
      </c>
      <c r="I1416" s="15">
        <v>5.327E7</v>
      </c>
      <c r="J1416" s="15">
        <v>2.288E7</v>
      </c>
      <c r="K1416" s="15">
        <v>2.228E7</v>
      </c>
      <c r="L1416" s="15">
        <v>2.317E7</v>
      </c>
      <c r="M1416" s="15">
        <v>2.248E7</v>
      </c>
      <c r="N1416" s="15">
        <v>2.246E7</v>
      </c>
      <c r="O1416" s="15">
        <v>1.293E7</v>
      </c>
      <c r="P1416" s="15">
        <v>1.282E7</v>
      </c>
      <c r="Q1416" s="15">
        <v>1.377E7</v>
      </c>
      <c r="R1416" s="15">
        <v>1.446E7</v>
      </c>
      <c r="S1416" s="15">
        <v>1.474E7</v>
      </c>
      <c r="T1416" s="15">
        <v>840000.0</v>
      </c>
      <c r="U1416" s="15">
        <v>900000.0</v>
      </c>
      <c r="V1416" s="15">
        <v>900000.0</v>
      </c>
      <c r="W1416" s="15">
        <v>978000.0</v>
      </c>
      <c r="X1416" s="15">
        <v>1010000.0</v>
      </c>
      <c r="Y1416" s="15">
        <v>8580000.0</v>
      </c>
      <c r="Z1416" s="15">
        <v>-1140000.0</v>
      </c>
      <c r="AA1416" s="15">
        <v>8540000.0</v>
      </c>
      <c r="AB1416" s="15">
        <v>7880000.0</v>
      </c>
      <c r="AC1416" s="15">
        <v>7560000.0</v>
      </c>
      <c r="AD1416" s="15">
        <v>8120000.0</v>
      </c>
      <c r="AE1416" s="15">
        <v>1.221E7</v>
      </c>
      <c r="AF1416" s="15">
        <v>8000000.0</v>
      </c>
      <c r="AG1416" s="15">
        <v>7340000.0</v>
      </c>
      <c r="AH1416" s="15">
        <v>7110000.0</v>
      </c>
      <c r="AI1416" s="15">
        <v>1.191E7</v>
      </c>
      <c r="AJ1416" s="15">
        <v>1.168E7</v>
      </c>
      <c r="AK1416" s="15">
        <v>1.094E7</v>
      </c>
      <c r="AL1416" s="15">
        <v>9490000.0</v>
      </c>
      <c r="AM1416" s="15">
        <v>9100000.0</v>
      </c>
      <c r="AN1416" s="15">
        <v>5630000.0</v>
      </c>
      <c r="AO1416" s="15">
        <v>9370000.0</v>
      </c>
      <c r="AP1416" s="15">
        <v>6050000.0</v>
      </c>
      <c r="AQ1416" s="15">
        <v>5180000.0</v>
      </c>
      <c r="AR1416" s="15">
        <v>4910000.0</v>
      </c>
      <c r="AS1416" s="15">
        <v>7730000.0</v>
      </c>
      <c r="AT1416" s="15">
        <v>7010000.0</v>
      </c>
      <c r="AU1416" s="15">
        <v>7580000.0</v>
      </c>
      <c r="AV1416" s="15">
        <v>7340000.0</v>
      </c>
      <c r="AW1416" s="15">
        <v>7630000.0</v>
      </c>
      <c r="AX1416" s="15">
        <v>-1530000.0</v>
      </c>
      <c r="AY1416" s="15">
        <v>-1530000.0</v>
      </c>
      <c r="AZ1416" s="15">
        <v>-1670000.0</v>
      </c>
      <c r="BA1416" s="15">
        <v>-2040000.0</v>
      </c>
      <c r="BB1416" s="15">
        <v>-2200000.0</v>
      </c>
      <c r="BC1416" s="15">
        <v>-4210000.0</v>
      </c>
      <c r="BD1416" s="15">
        <v>-4070000.0</v>
      </c>
      <c r="BE1416" s="15">
        <v>-3920000.0</v>
      </c>
      <c r="BF1416" s="15">
        <v>-3610000.0</v>
      </c>
      <c r="BG1416" s="15">
        <v>-3330000.0</v>
      </c>
      <c r="BH1416" s="15">
        <v>5090000.0</v>
      </c>
      <c r="BI1416" s="15">
        <v>4100000.0</v>
      </c>
      <c r="BJ1416" s="15">
        <v>3810000.0</v>
      </c>
      <c r="BK1416" s="15">
        <v>3770000.0</v>
      </c>
      <c r="BL1416" s="15">
        <v>2870000.0</v>
      </c>
      <c r="BM1416" s="15">
        <v>6930000.0</v>
      </c>
      <c r="BN1416" s="15">
        <v>6810000.0</v>
      </c>
      <c r="BO1416" s="15">
        <v>5320000.0</v>
      </c>
      <c r="BP1416" s="15">
        <v>4920000.0</v>
      </c>
      <c r="BQ1416" s="15">
        <v>4740000.0</v>
      </c>
      <c r="BR1416" s="15">
        <v>4160000.0</v>
      </c>
      <c r="BS1416" s="15">
        <v>4300000.0</v>
      </c>
      <c r="BT1416" s="15">
        <v>3960000.0</v>
      </c>
      <c r="BU1416" s="15">
        <v>4280000.0</v>
      </c>
      <c r="BV1416" s="15">
        <v>4340000.0</v>
      </c>
      <c r="BW1416" s="15">
        <v>1.627E7</v>
      </c>
      <c r="BX1416" s="15">
        <v>1.533E7</v>
      </c>
      <c r="BY1416" s="15">
        <v>1.687E7</v>
      </c>
      <c r="BZ1416" s="15">
        <v>1.388E7</v>
      </c>
      <c r="CA1416" s="15">
        <v>1.269E7</v>
      </c>
      <c r="CB1416" s="15">
        <v>1.208E7</v>
      </c>
      <c r="CC1416" s="15">
        <v>1.211E7</v>
      </c>
      <c r="CD1416" s="15">
        <v>1.043E7</v>
      </c>
      <c r="CE1416" s="15">
        <v>1.172E7</v>
      </c>
      <c r="CF1416" s="15">
        <v>1.111E7</v>
      </c>
      <c r="CG1416" s="15">
        <v>1.807E7</v>
      </c>
      <c r="CH1416" s="15">
        <v>1.734E7</v>
      </c>
      <c r="CI1416" s="15">
        <v>1.688E7</v>
      </c>
      <c r="CJ1416" s="15">
        <v>1.762E7</v>
      </c>
      <c r="CK1416" s="15">
        <v>1.621E7</v>
      </c>
      <c r="CL1416" s="15">
        <v>6.481E7</v>
      </c>
      <c r="CM1416" s="15">
        <v>6.111E7</v>
      </c>
      <c r="CN1416" s="15">
        <v>6.029E7</v>
      </c>
      <c r="CO1416" s="15">
        <v>5.643E7</v>
      </c>
      <c r="CP1416" s="15">
        <v>5.23E7</v>
      </c>
      <c r="CQ1416" s="15">
        <v>9190000.0</v>
      </c>
      <c r="CR1416" s="15">
        <v>9120000.0</v>
      </c>
      <c r="CS1416" s="15">
        <v>8220000.0</v>
      </c>
      <c r="CT1416" s="15">
        <v>8590000.0</v>
      </c>
      <c r="CU1416" s="15">
        <v>8300000.0</v>
      </c>
      <c r="CV1416" s="15">
        <v>2.098E7</v>
      </c>
      <c r="CW1416" s="15">
        <v>4070000.0</v>
      </c>
      <c r="CX1416" s="15">
        <v>2950000.0</v>
      </c>
      <c r="CY1416" s="15">
        <v>7690000.0</v>
      </c>
      <c r="CZ1416" s="15">
        <v>5270000.0</v>
      </c>
      <c r="DA1416" s="15">
        <v>4350000.0</v>
      </c>
      <c r="DB1416" s="15">
        <v>2.098E7</v>
      </c>
      <c r="DC1416" s="15">
        <v>2.015E7</v>
      </c>
      <c r="DD1416" s="15">
        <v>2.318E7</v>
      </c>
      <c r="DE1416" s="15">
        <v>2.056E7</v>
      </c>
      <c r="DF1416" s="15">
        <v>5.092E7</v>
      </c>
      <c r="DG1416" s="15">
        <v>4.899E7</v>
      </c>
      <c r="DH1416" s="15">
        <v>4.59E7</v>
      </c>
      <c r="DI1416" s="15">
        <v>3.945E7</v>
      </c>
      <c r="DJ1416" s="15">
        <v>3.622E7</v>
      </c>
      <c r="DK1416" s="15">
        <v>946000.0</v>
      </c>
      <c r="DL1416" s="15">
        <v>696000.0</v>
      </c>
      <c r="DM1416" s="15">
        <v>565000.0</v>
      </c>
      <c r="DN1416" s="15">
        <v>491000.0</v>
      </c>
      <c r="DO1416" s="15">
        <v>592000.0</v>
      </c>
      <c r="DP1416" s="15">
        <v>2.335E7</v>
      </c>
      <c r="DQ1416" s="15">
        <v>2.285E7</v>
      </c>
      <c r="DR1416" s="15">
        <v>1.613E7</v>
      </c>
      <c r="DS1416" s="15">
        <v>1.114E7</v>
      </c>
      <c r="DT1416" s="15">
        <v>9650000.0</v>
      </c>
      <c r="DU1416" s="13"/>
      <c r="DV1416" s="12"/>
      <c r="DW1416" s="12"/>
      <c r="DX1416" s="13"/>
      <c r="DY1416" s="13"/>
      <c r="DZ1416" s="15">
        <v>1.319E7</v>
      </c>
      <c r="EA1416" s="15">
        <v>1.14E7</v>
      </c>
      <c r="EB1416" s="15">
        <v>1.363E7</v>
      </c>
      <c r="EC1416" s="15">
        <v>1.635E7</v>
      </c>
      <c r="ED1416" s="15">
        <v>1.544E7</v>
      </c>
      <c r="EE1416" s="17"/>
      <c r="EF1416" s="17"/>
      <c r="EG1416" s="23" t="s">
        <v>155</v>
      </c>
      <c r="EH1416" s="17"/>
    </row>
    <row r="1417">
      <c r="A1417" s="9">
        <f t="shared" si="2"/>
        <v>1415</v>
      </c>
      <c r="B1417" s="10" t="s">
        <v>1552</v>
      </c>
      <c r="C1417" s="15">
        <v>2.645E7</v>
      </c>
      <c r="D1417" s="15">
        <v>2.55E7</v>
      </c>
      <c r="E1417" s="15">
        <v>2.139E7</v>
      </c>
      <c r="F1417" s="15">
        <v>1.023E7</v>
      </c>
      <c r="G1417" s="15">
        <v>9270000.0</v>
      </c>
      <c r="H1417" s="15">
        <v>8470000.0</v>
      </c>
      <c r="I1417" s="15">
        <v>8180000.0</v>
      </c>
      <c r="J1417" s="15">
        <v>2790000.0</v>
      </c>
      <c r="K1417" s="15">
        <v>1520000.0</v>
      </c>
      <c r="L1417" s="15">
        <v>1430000.0</v>
      </c>
      <c r="M1417" s="15">
        <v>1280000.0</v>
      </c>
      <c r="N1417" s="15">
        <v>1260000.0</v>
      </c>
      <c r="O1417" s="15">
        <v>2630000.0</v>
      </c>
      <c r="P1417" s="15">
        <v>1280000.0</v>
      </c>
      <c r="Q1417" s="15">
        <v>1200000.0</v>
      </c>
      <c r="R1417" s="15">
        <v>1050000.0</v>
      </c>
      <c r="S1417" s="15">
        <v>1020000.0</v>
      </c>
      <c r="T1417" s="15"/>
      <c r="U1417" s="15"/>
      <c r="V1417" s="15"/>
      <c r="W1417" s="15"/>
      <c r="X1417" s="15"/>
      <c r="Y1417" s="15">
        <v>-290960.0</v>
      </c>
      <c r="Z1417" s="15">
        <v>227230.0</v>
      </c>
      <c r="AA1417" s="15">
        <v>226030.0</v>
      </c>
      <c r="AB1417" s="15">
        <v>224110.0</v>
      </c>
      <c r="AC1417" s="15">
        <v>246160.0</v>
      </c>
      <c r="AD1417" s="15">
        <v>-435290.0</v>
      </c>
      <c r="AE1417" s="15">
        <v>212750.0</v>
      </c>
      <c r="AF1417" s="15">
        <v>214420.0</v>
      </c>
      <c r="AG1417" s="15">
        <v>208220.0</v>
      </c>
      <c r="AH1417" s="15">
        <v>229770.0</v>
      </c>
      <c r="AI1417" s="15">
        <v>404400.0</v>
      </c>
      <c r="AJ1417" s="15">
        <v>329740.0</v>
      </c>
      <c r="AK1417" s="15">
        <v>317890.0</v>
      </c>
      <c r="AL1417" s="15">
        <v>302770.0</v>
      </c>
      <c r="AM1417" s="15">
        <v>306860.0</v>
      </c>
      <c r="AN1417" s="15">
        <v>-350790.0</v>
      </c>
      <c r="AO1417" s="15">
        <v>165670.0</v>
      </c>
      <c r="AP1417" s="15">
        <v>130160.0</v>
      </c>
      <c r="AQ1417" s="15">
        <v>125770.0</v>
      </c>
      <c r="AR1417" s="15">
        <v>138730.0</v>
      </c>
      <c r="AS1417" s="15">
        <v>284530.0</v>
      </c>
      <c r="AT1417" s="15">
        <v>109470.0</v>
      </c>
      <c r="AU1417" s="15">
        <v>280780.0</v>
      </c>
      <c r="AV1417" s="15">
        <v>296610.0</v>
      </c>
      <c r="AW1417" s="15">
        <v>48860.0</v>
      </c>
      <c r="AX1417" s="15">
        <v>-207820.0</v>
      </c>
      <c r="AY1417" s="15">
        <v>-44610.0</v>
      </c>
      <c r="AZ1417" s="15">
        <v>-56110.0</v>
      </c>
      <c r="BA1417" s="15">
        <v>-41380.0</v>
      </c>
      <c r="BB1417" s="15">
        <v>-129130.0</v>
      </c>
      <c r="BC1417" s="13"/>
      <c r="BD1417" s="13"/>
      <c r="BE1417" s="13"/>
      <c r="BF1417" s="13"/>
      <c r="BG1417" s="13"/>
      <c r="BH1417" s="15">
        <v>42350.0</v>
      </c>
      <c r="BI1417" s="15">
        <v>23320.0</v>
      </c>
      <c r="BJ1417" s="15">
        <v>15410.0</v>
      </c>
      <c r="BK1417" s="15">
        <v>18590.0</v>
      </c>
      <c r="BL1417" s="15">
        <v>17380.0</v>
      </c>
      <c r="BM1417" s="15">
        <v>1080000.0</v>
      </c>
      <c r="BN1417" s="15">
        <v>579700.0</v>
      </c>
      <c r="BO1417" s="15">
        <v>525640.0</v>
      </c>
      <c r="BP1417" s="15">
        <v>489710.0</v>
      </c>
      <c r="BQ1417" s="15">
        <v>474490.0</v>
      </c>
      <c r="BR1417" s="15">
        <v>2090000.0</v>
      </c>
      <c r="BS1417" s="15">
        <v>1140000.0</v>
      </c>
      <c r="BT1417" s="15">
        <v>1030000.0</v>
      </c>
      <c r="BU1417" s="15">
        <v>1020000.0</v>
      </c>
      <c r="BV1417" s="15">
        <v>982560.0</v>
      </c>
      <c r="BW1417" s="15">
        <v>3570000.0</v>
      </c>
      <c r="BX1417" s="15">
        <v>1790000.0</v>
      </c>
      <c r="BY1417" s="15">
        <v>1660000.0</v>
      </c>
      <c r="BZ1417" s="15">
        <v>1610000.0</v>
      </c>
      <c r="CA1417" s="15">
        <v>1550000.0</v>
      </c>
      <c r="CB1417" s="15">
        <v>1640000.0</v>
      </c>
      <c r="CC1417" s="15">
        <v>571150.0</v>
      </c>
      <c r="CD1417" s="15">
        <v>602090.0</v>
      </c>
      <c r="CE1417" s="15">
        <v>616610.0</v>
      </c>
      <c r="CF1417" s="15">
        <v>572450.0</v>
      </c>
      <c r="CG1417" s="15">
        <v>442260.0</v>
      </c>
      <c r="CH1417" s="15">
        <v>362500.0</v>
      </c>
      <c r="CI1417" s="15">
        <v>371260.0</v>
      </c>
      <c r="CJ1417" s="15">
        <v>366170.0</v>
      </c>
      <c r="CK1417" s="15">
        <v>266640.0</v>
      </c>
      <c r="CL1417" s="15">
        <v>7180000.0</v>
      </c>
      <c r="CM1417" s="15">
        <v>2960000.0</v>
      </c>
      <c r="CN1417" s="15">
        <v>2890000.0</v>
      </c>
      <c r="CO1417" s="15">
        <v>2850000.0</v>
      </c>
      <c r="CP1417" s="15">
        <v>2550000.0</v>
      </c>
      <c r="CQ1417" s="15">
        <v>1480000.0</v>
      </c>
      <c r="CR1417" s="15">
        <v>517130.0</v>
      </c>
      <c r="CS1417" s="15">
        <v>534620.0</v>
      </c>
      <c r="CT1417" s="15">
        <v>445430.0</v>
      </c>
      <c r="CU1417" s="15">
        <v>390130.0</v>
      </c>
      <c r="CV1417" s="15">
        <v>2110000.0</v>
      </c>
      <c r="CW1417" s="15"/>
      <c r="CX1417" s="13"/>
      <c r="CY1417" s="13"/>
      <c r="CZ1417" s="13"/>
      <c r="DA1417" s="15"/>
      <c r="DB1417" s="15">
        <v>2110000.0</v>
      </c>
      <c r="DC1417" s="15">
        <v>699220.0</v>
      </c>
      <c r="DD1417" s="15">
        <v>703990.0</v>
      </c>
      <c r="DE1417" s="15">
        <v>619720.0</v>
      </c>
      <c r="DF1417" s="15">
        <v>5670000.0</v>
      </c>
      <c r="DG1417" s="15">
        <v>1120000.0</v>
      </c>
      <c r="DH1417" s="15">
        <v>1200000.0</v>
      </c>
      <c r="DI1417" s="15">
        <v>1330000.0</v>
      </c>
      <c r="DJ1417" s="15">
        <v>1160000.0</v>
      </c>
      <c r="DK1417" s="15">
        <v>1940.0</v>
      </c>
      <c r="DL1417" s="15"/>
      <c r="DM1417" s="15"/>
      <c r="DN1417" s="12"/>
      <c r="DO1417" s="15"/>
      <c r="DP1417" s="15">
        <v>2930000.0</v>
      </c>
      <c r="DQ1417" s="15">
        <v>347710.0</v>
      </c>
      <c r="DR1417" s="15">
        <v>373480.0</v>
      </c>
      <c r="DS1417" s="15">
        <v>588260.0</v>
      </c>
      <c r="DT1417" s="15">
        <v>537770.0</v>
      </c>
      <c r="DU1417" s="13"/>
      <c r="DV1417" s="12"/>
      <c r="DW1417" s="12"/>
      <c r="DX1417" s="13"/>
      <c r="DY1417" s="13"/>
      <c r="DZ1417" s="15">
        <v>1510000.0</v>
      </c>
      <c r="EA1417" s="15">
        <v>1850000.0</v>
      </c>
      <c r="EB1417" s="15">
        <v>1680000.0</v>
      </c>
      <c r="EC1417" s="15">
        <v>1520000.0</v>
      </c>
      <c r="ED1417" s="15">
        <v>1390000.0</v>
      </c>
      <c r="EE1417" s="23">
        <v>0.022352941</v>
      </c>
      <c r="EF1417" s="23">
        <v>0.074102079</v>
      </c>
      <c r="EG1417" s="17">
        <v>0.228</v>
      </c>
      <c r="EH1417" s="23">
        <v>-0.06975</v>
      </c>
    </row>
    <row r="1418">
      <c r="A1418" s="9">
        <f t="shared" si="2"/>
        <v>1416</v>
      </c>
      <c r="B1418" s="10" t="s">
        <v>1553</v>
      </c>
      <c r="C1418" s="11">
        <v>2.08E7</v>
      </c>
      <c r="D1418" s="11">
        <v>1.925E7</v>
      </c>
      <c r="E1418" s="11">
        <v>2.171E7</v>
      </c>
      <c r="F1418" s="11">
        <v>2.283E7</v>
      </c>
      <c r="G1418" s="11">
        <v>2.124E7</v>
      </c>
      <c r="H1418" s="11">
        <v>1.994E7</v>
      </c>
      <c r="I1418" s="11">
        <v>2.181E7</v>
      </c>
      <c r="J1418" s="11">
        <v>9610000.0</v>
      </c>
      <c r="K1418" s="11">
        <v>9540000.0</v>
      </c>
      <c r="L1418" s="11">
        <v>9050000.0</v>
      </c>
      <c r="M1418" s="11">
        <v>8240000.0</v>
      </c>
      <c r="N1418" s="11">
        <v>8980000.0</v>
      </c>
      <c r="O1418" s="11">
        <v>1280000.0</v>
      </c>
      <c r="P1418" s="11">
        <v>1220000.0</v>
      </c>
      <c r="Q1418" s="11">
        <v>1120000.0</v>
      </c>
      <c r="R1418" s="11">
        <v>997000.0</v>
      </c>
      <c r="S1418" s="11">
        <v>925000.0</v>
      </c>
      <c r="T1418" s="12"/>
      <c r="U1418" s="12"/>
      <c r="V1418" s="12"/>
      <c r="W1418" s="12"/>
      <c r="X1418" s="12"/>
      <c r="Y1418" s="11">
        <v>8550000.0</v>
      </c>
      <c r="Z1418" s="11">
        <v>8430000.0</v>
      </c>
      <c r="AA1418" s="11"/>
      <c r="AB1418" s="12"/>
      <c r="AC1418" s="12"/>
      <c r="AD1418" s="11">
        <v>7750000.0</v>
      </c>
      <c r="AE1418" s="11">
        <v>7740000.0</v>
      </c>
      <c r="AF1418" s="11">
        <v>7630000.0</v>
      </c>
      <c r="AG1418" s="11">
        <v>6770000.0</v>
      </c>
      <c r="AH1418" s="11">
        <v>7660000.0</v>
      </c>
      <c r="AI1418" s="11">
        <v>1.077E7</v>
      </c>
      <c r="AJ1418" s="11">
        <v>1.071E7</v>
      </c>
      <c r="AK1418" s="11">
        <v>1.021E7</v>
      </c>
      <c r="AL1418" s="11">
        <v>9280000.0</v>
      </c>
      <c r="AM1418" s="11">
        <v>1.006E7</v>
      </c>
      <c r="AN1418" s="11">
        <v>5920000.0</v>
      </c>
      <c r="AO1418" s="11">
        <v>5970000.0</v>
      </c>
      <c r="AP1418" s="11">
        <v>1.071E7</v>
      </c>
      <c r="AQ1418" s="11">
        <v>4230000.0</v>
      </c>
      <c r="AR1418" s="11">
        <v>4770000.0</v>
      </c>
      <c r="AS1418" s="11">
        <v>8610000.0</v>
      </c>
      <c r="AT1418" s="11">
        <v>8690000.0</v>
      </c>
      <c r="AU1418" s="11">
        <v>7230000.0</v>
      </c>
      <c r="AV1418" s="11">
        <v>7530000.0</v>
      </c>
      <c r="AW1418" s="11">
        <v>7340000.0</v>
      </c>
      <c r="AX1418" s="11">
        <v>-3450000.0</v>
      </c>
      <c r="AY1418" s="11">
        <v>-3440000.0</v>
      </c>
      <c r="AZ1418" s="11">
        <v>-3240000.0</v>
      </c>
      <c r="BA1418" s="11">
        <v>-3510000.0</v>
      </c>
      <c r="BB1418" s="11">
        <v>-4650000.0</v>
      </c>
      <c r="BC1418" s="11">
        <v>-2600000.0</v>
      </c>
      <c r="BD1418" s="11">
        <v>-2300000.0</v>
      </c>
      <c r="BE1418" s="11">
        <v>-1980000.0</v>
      </c>
      <c r="BF1418" s="11">
        <v>-1880000.0</v>
      </c>
      <c r="BG1418" s="11">
        <v>-2340000.0</v>
      </c>
      <c r="BH1418" s="11">
        <v>891000.0</v>
      </c>
      <c r="BI1418" s="11">
        <v>1330000.0</v>
      </c>
      <c r="BJ1418" s="11">
        <v>1370000.0</v>
      </c>
      <c r="BK1418" s="11">
        <v>1340000.0</v>
      </c>
      <c r="BL1418" s="11">
        <v>1390000.0</v>
      </c>
      <c r="BM1418" s="11">
        <v>1600000.0</v>
      </c>
      <c r="BN1418" s="11">
        <v>1760000.0</v>
      </c>
      <c r="BO1418" s="11">
        <v>1490000.0</v>
      </c>
      <c r="BP1418" s="11">
        <v>1260000.0</v>
      </c>
      <c r="BQ1418" s="11">
        <v>1360000.0</v>
      </c>
      <c r="BR1418" s="11">
        <v>751000.0</v>
      </c>
      <c r="BS1418" s="11">
        <v>742000.0</v>
      </c>
      <c r="BT1418" s="11">
        <v>749000.0</v>
      </c>
      <c r="BU1418" s="11">
        <v>717000.0</v>
      </c>
      <c r="BV1418" s="11">
        <v>736000.0</v>
      </c>
      <c r="BW1418" s="11">
        <v>3460000.0</v>
      </c>
      <c r="BX1418" s="11">
        <v>4160000.0</v>
      </c>
      <c r="BY1418" s="11">
        <v>4010000.0</v>
      </c>
      <c r="BZ1418" s="11">
        <v>3600000.0</v>
      </c>
      <c r="CA1418" s="11">
        <v>4130000.0</v>
      </c>
      <c r="CB1418" s="11">
        <v>5.573E7</v>
      </c>
      <c r="CC1418" s="11">
        <v>5.268E7</v>
      </c>
      <c r="CD1418" s="11">
        <v>5.161E7</v>
      </c>
      <c r="CE1418" s="11">
        <v>5.039E7</v>
      </c>
      <c r="CF1418" s="11">
        <v>4.887E7</v>
      </c>
      <c r="CG1418" s="11"/>
      <c r="CH1418" s="11"/>
      <c r="CI1418" s="11"/>
      <c r="CJ1418" s="11"/>
      <c r="CK1418" s="11"/>
      <c r="CL1418" s="11">
        <v>6.221E7</v>
      </c>
      <c r="CM1418" s="11">
        <v>5.965E7</v>
      </c>
      <c r="CN1418" s="11">
        <v>5.833E7</v>
      </c>
      <c r="CO1418" s="11">
        <v>5.676E7</v>
      </c>
      <c r="CP1418" s="11">
        <v>5.46E7</v>
      </c>
      <c r="CQ1418" s="11">
        <v>749000.0</v>
      </c>
      <c r="CR1418" s="11">
        <v>872000.0</v>
      </c>
      <c r="CS1418" s="11">
        <v>1010000.0</v>
      </c>
      <c r="CT1418" s="11">
        <v>955000.0</v>
      </c>
      <c r="CU1418" s="11">
        <v>743000.0</v>
      </c>
      <c r="CV1418" s="11">
        <v>4350000.0</v>
      </c>
      <c r="CW1418" s="11">
        <v>362000.0</v>
      </c>
      <c r="CX1418" s="12"/>
      <c r="CY1418" s="12"/>
      <c r="CZ1418" s="12"/>
      <c r="DA1418" s="12"/>
      <c r="DB1418" s="11">
        <v>4350000.0</v>
      </c>
      <c r="DC1418" s="11">
        <v>4630000.0</v>
      </c>
      <c r="DD1418" s="11">
        <v>3940000.0</v>
      </c>
      <c r="DE1418" s="11">
        <v>3640000.0</v>
      </c>
      <c r="DF1418" s="11">
        <v>4.408E7</v>
      </c>
      <c r="DG1418" s="11">
        <v>3.923E7</v>
      </c>
      <c r="DH1418" s="11">
        <v>3.347E7</v>
      </c>
      <c r="DI1418" s="11">
        <v>3.682E7</v>
      </c>
      <c r="DJ1418" s="11">
        <v>3.39E7</v>
      </c>
      <c r="DK1418" s="11">
        <v>2050000.0</v>
      </c>
      <c r="DL1418" s="11">
        <v>1910000.0</v>
      </c>
      <c r="DM1418" s="11">
        <v>1810000.0</v>
      </c>
      <c r="DN1418" s="11">
        <v>1460000.0</v>
      </c>
      <c r="DO1418" s="11">
        <v>1410000.0</v>
      </c>
      <c r="DP1418" s="11">
        <v>2.541E7</v>
      </c>
      <c r="DQ1418" s="11">
        <v>2.093E7</v>
      </c>
      <c r="DR1418" s="11">
        <v>1.614E7</v>
      </c>
      <c r="DS1418" s="11">
        <v>1.425E7</v>
      </c>
      <c r="DT1418" s="11">
        <v>1.361E7</v>
      </c>
      <c r="DU1418" s="13"/>
      <c r="DV1418" s="12"/>
      <c r="DW1418" s="12"/>
      <c r="DX1418" s="12"/>
      <c r="DY1418" s="12"/>
      <c r="DZ1418" s="11">
        <v>1.813E7</v>
      </c>
      <c r="EA1418" s="11">
        <v>2.042E7</v>
      </c>
      <c r="EB1418" s="11">
        <v>2.486E7</v>
      </c>
      <c r="EC1418" s="11">
        <v>1.993E7</v>
      </c>
      <c r="ED1418" s="11">
        <v>2.07E7</v>
      </c>
      <c r="EE1418" s="14">
        <v>0.046</v>
      </c>
      <c r="EF1418" s="14">
        <v>0.095</v>
      </c>
      <c r="EG1418" s="14">
        <v>0.077</v>
      </c>
      <c r="EH1418" s="14">
        <v>0.041</v>
      </c>
    </row>
    <row r="1419">
      <c r="A1419" s="9">
        <f t="shared" si="2"/>
        <v>1417</v>
      </c>
      <c r="B1419" s="25" t="s">
        <v>1554</v>
      </c>
      <c r="C1419" s="15">
        <v>8860000.0</v>
      </c>
      <c r="D1419" s="15">
        <v>8450000.0</v>
      </c>
      <c r="E1419" s="15">
        <v>9290000.0</v>
      </c>
      <c r="F1419" s="15">
        <v>8630000.0</v>
      </c>
      <c r="G1419" s="15">
        <v>8250000.0</v>
      </c>
      <c r="H1419" s="15">
        <v>8070000.0</v>
      </c>
      <c r="I1419" s="15">
        <v>8980000.0</v>
      </c>
      <c r="J1419" s="15">
        <v>1930000.0</v>
      </c>
      <c r="K1419" s="15">
        <v>1390000.0</v>
      </c>
      <c r="L1419" s="15">
        <v>1310000.0</v>
      </c>
      <c r="M1419" s="15">
        <v>1200000.0</v>
      </c>
      <c r="N1419" s="15">
        <v>1250000.0</v>
      </c>
      <c r="O1419" s="15">
        <v>1460000.0</v>
      </c>
      <c r="P1419" s="15">
        <v>952100.0</v>
      </c>
      <c r="Q1419" s="15">
        <v>939400.0</v>
      </c>
      <c r="R1419" s="15">
        <v>956800.0</v>
      </c>
      <c r="S1419" s="15">
        <v>881900.0</v>
      </c>
      <c r="T1419" s="15"/>
      <c r="U1419" s="15"/>
      <c r="V1419" s="15"/>
      <c r="W1419" s="15"/>
      <c r="X1419" s="15"/>
      <c r="Y1419" s="15">
        <v>130900.0</v>
      </c>
      <c r="Z1419" s="15">
        <v>390400.0</v>
      </c>
      <c r="AA1419" s="15">
        <v>-45800.0</v>
      </c>
      <c r="AB1419" s="15">
        <v>86400.0</v>
      </c>
      <c r="AC1419" s="15">
        <v>289200.0</v>
      </c>
      <c r="AD1419" s="15">
        <v>-1100.0</v>
      </c>
      <c r="AE1419" s="15">
        <v>222200.0</v>
      </c>
      <c r="AF1419" s="15">
        <v>168800.0</v>
      </c>
      <c r="AG1419" s="15">
        <v>-79600.0</v>
      </c>
      <c r="AH1419" s="15">
        <v>26700.0</v>
      </c>
      <c r="AI1419" s="15">
        <v>654600.0</v>
      </c>
      <c r="AJ1419" s="15">
        <v>612100.0</v>
      </c>
      <c r="AK1419" s="15">
        <v>567200.0</v>
      </c>
      <c r="AL1419" s="15">
        <v>470400.0</v>
      </c>
      <c r="AM1419" s="15">
        <v>592600.0</v>
      </c>
      <c r="AN1419" s="15">
        <v>-105600.0</v>
      </c>
      <c r="AO1419" s="15">
        <v>172000.0</v>
      </c>
      <c r="AP1419" s="15">
        <v>119600.0</v>
      </c>
      <c r="AQ1419" s="15">
        <v>-68400.0</v>
      </c>
      <c r="AR1419" s="15">
        <v>16500.0</v>
      </c>
      <c r="AS1419" s="15">
        <v>363900.0</v>
      </c>
      <c r="AT1419" s="15">
        <v>289900.0</v>
      </c>
      <c r="AU1419" s="15">
        <v>282600.0</v>
      </c>
      <c r="AV1419" s="15">
        <v>449600.0</v>
      </c>
      <c r="AW1419" s="15">
        <v>356000.0</v>
      </c>
      <c r="AX1419" s="15">
        <v>-122500.0</v>
      </c>
      <c r="AY1419" s="15">
        <v>-94600.0</v>
      </c>
      <c r="AZ1419" s="15">
        <v>-82700.0</v>
      </c>
      <c r="BA1419" s="15">
        <v>-90100.0</v>
      </c>
      <c r="BB1419" s="15">
        <v>-145000.0</v>
      </c>
      <c r="BC1419" s="13"/>
      <c r="BD1419" s="13"/>
      <c r="BE1419" s="13"/>
      <c r="BF1419" s="13"/>
      <c r="BG1419" s="13"/>
      <c r="BH1419" s="15">
        <v>330300.0</v>
      </c>
      <c r="BI1419" s="15">
        <v>121600.0</v>
      </c>
      <c r="BJ1419" s="15">
        <v>467000.0</v>
      </c>
      <c r="BK1419" s="15">
        <v>336400.0</v>
      </c>
      <c r="BL1419" s="15">
        <v>188100.0</v>
      </c>
      <c r="BM1419" s="15">
        <v>1160000.0</v>
      </c>
      <c r="BN1419" s="15">
        <v>1090000.0</v>
      </c>
      <c r="BO1419" s="15">
        <v>1060000.0</v>
      </c>
      <c r="BP1419" s="15">
        <v>950300.0</v>
      </c>
      <c r="BQ1419" s="15">
        <v>1030000.0</v>
      </c>
      <c r="BR1419" s="15">
        <v>796000.0</v>
      </c>
      <c r="BS1419" s="15">
        <v>803300.0</v>
      </c>
      <c r="BT1419" s="15">
        <v>839500.0</v>
      </c>
      <c r="BU1419" s="15">
        <v>756600.0</v>
      </c>
      <c r="BV1419" s="15">
        <v>803400.0</v>
      </c>
      <c r="BW1419" s="15">
        <v>2450000.0</v>
      </c>
      <c r="BX1419" s="15">
        <v>2190000.0</v>
      </c>
      <c r="BY1419" s="15">
        <v>2520000.0</v>
      </c>
      <c r="BZ1419" s="15">
        <v>2180000.0</v>
      </c>
      <c r="CA1419" s="15">
        <v>2200000.0</v>
      </c>
      <c r="CB1419" s="15">
        <v>1310000.0</v>
      </c>
      <c r="CC1419" s="15">
        <v>955800.0</v>
      </c>
      <c r="CD1419" s="15">
        <v>1000000.0</v>
      </c>
      <c r="CE1419" s="15">
        <v>1020000.0</v>
      </c>
      <c r="CF1419" s="15">
        <v>1080000.0</v>
      </c>
      <c r="CG1419" s="15">
        <v>2280000.0</v>
      </c>
      <c r="CH1419" s="15">
        <v>1780000.0</v>
      </c>
      <c r="CI1419" s="15">
        <v>1820000.0</v>
      </c>
      <c r="CJ1419" s="15">
        <v>1780000.0</v>
      </c>
      <c r="CK1419" s="15">
        <v>1750000.0</v>
      </c>
      <c r="CL1419" s="15">
        <v>6490000.0</v>
      </c>
      <c r="CM1419" s="15">
        <v>5270000.0</v>
      </c>
      <c r="CN1419" s="15">
        <v>5730000.0</v>
      </c>
      <c r="CO1419" s="15">
        <v>5390000.0</v>
      </c>
      <c r="CP1419" s="15">
        <v>5610000.0</v>
      </c>
      <c r="CQ1419" s="15">
        <v>895000.0</v>
      </c>
      <c r="CR1419" s="15">
        <v>925400.0</v>
      </c>
      <c r="CS1419" s="15">
        <v>941700.0</v>
      </c>
      <c r="CT1419" s="15">
        <v>852300.0</v>
      </c>
      <c r="CU1419" s="15">
        <v>836000.0</v>
      </c>
      <c r="CV1419" s="15">
        <v>1450000.0</v>
      </c>
      <c r="CW1419" s="15">
        <v>48100.0</v>
      </c>
      <c r="CX1419" s="15">
        <v>8100.0</v>
      </c>
      <c r="CY1419" s="15">
        <v>13400.0</v>
      </c>
      <c r="CZ1419" s="15">
        <v>25300.0</v>
      </c>
      <c r="DA1419" s="15">
        <v>33500.0</v>
      </c>
      <c r="DB1419" s="15">
        <v>1450000.0</v>
      </c>
      <c r="DC1419" s="15">
        <v>1330000.0</v>
      </c>
      <c r="DD1419" s="15">
        <v>1420000.0</v>
      </c>
      <c r="DE1419" s="15">
        <v>1340000.0</v>
      </c>
      <c r="DF1419" s="15">
        <v>4760000.0</v>
      </c>
      <c r="DG1419" s="15">
        <v>4080000.0</v>
      </c>
      <c r="DH1419" s="15">
        <v>4640000.0</v>
      </c>
      <c r="DI1419" s="15">
        <v>4580000.0</v>
      </c>
      <c r="DJ1419" s="15">
        <v>4800000.0</v>
      </c>
      <c r="DK1419" s="12"/>
      <c r="DL1419" s="15">
        <v>1500.0</v>
      </c>
      <c r="DM1419" s="15">
        <v>10600.0</v>
      </c>
      <c r="DN1419" s="12"/>
      <c r="DO1419" s="13"/>
      <c r="DP1419" s="15">
        <v>2800000.0</v>
      </c>
      <c r="DQ1419" s="15">
        <v>2350000.0</v>
      </c>
      <c r="DR1419" s="15">
        <v>2820000.0</v>
      </c>
      <c r="DS1419" s="15">
        <v>2850000.0</v>
      </c>
      <c r="DT1419" s="15">
        <v>3060000.0</v>
      </c>
      <c r="DU1419" s="13"/>
      <c r="DV1419" s="12"/>
      <c r="DW1419" s="15"/>
      <c r="DX1419" s="15"/>
      <c r="DY1419" s="15"/>
      <c r="DZ1419" s="15">
        <v>1730000.0</v>
      </c>
      <c r="EA1419" s="15">
        <v>1190000.0</v>
      </c>
      <c r="EB1419" s="15">
        <v>1090000.0</v>
      </c>
      <c r="EC1419" s="15">
        <v>809900.0</v>
      </c>
      <c r="ED1419" s="15">
        <v>816700.0</v>
      </c>
      <c r="EE1419" s="23"/>
      <c r="EF1419" s="23"/>
      <c r="EG1419" s="23">
        <v>0.107</v>
      </c>
      <c r="EH1419" s="23">
        <v>0.017</v>
      </c>
    </row>
    <row r="1420">
      <c r="A1420" s="9">
        <f t="shared" si="2"/>
        <v>1418</v>
      </c>
      <c r="B1420" s="10" t="s">
        <v>1555</v>
      </c>
      <c r="C1420" s="11">
        <v>8.432E7</v>
      </c>
      <c r="D1420" s="11">
        <v>8.052E7</v>
      </c>
      <c r="E1420" s="11">
        <v>7.392E7</v>
      </c>
      <c r="F1420" s="11">
        <v>7.191E7</v>
      </c>
      <c r="G1420" s="11">
        <v>6.655E7</v>
      </c>
      <c r="H1420" s="11">
        <v>6.05E7</v>
      </c>
      <c r="I1420" s="11">
        <v>5.805E7</v>
      </c>
      <c r="J1420" s="11">
        <v>1.609E7</v>
      </c>
      <c r="K1420" s="11">
        <v>1.417E7</v>
      </c>
      <c r="L1420" s="11">
        <v>1.335E7</v>
      </c>
      <c r="M1420" s="11">
        <v>1.234E7</v>
      </c>
      <c r="N1420" s="11">
        <v>1.211E7</v>
      </c>
      <c r="O1420" s="11">
        <v>8220000.0</v>
      </c>
      <c r="P1420" s="11">
        <v>7090000.0</v>
      </c>
      <c r="Q1420" s="11">
        <v>5860000.0</v>
      </c>
      <c r="R1420" s="11">
        <v>7270000.0</v>
      </c>
      <c r="S1420" s="11">
        <v>4770000.0</v>
      </c>
      <c r="T1420" s="12"/>
      <c r="U1420" s="12"/>
      <c r="V1420" s="12"/>
      <c r="W1420" s="12"/>
      <c r="X1420" s="12"/>
      <c r="Y1420" s="11">
        <v>7610000.0</v>
      </c>
      <c r="Z1420" s="11">
        <v>6980000.0</v>
      </c>
      <c r="AA1420" s="11">
        <v>46000.0</v>
      </c>
      <c r="AB1420" s="11">
        <v>4910000.0</v>
      </c>
      <c r="AC1420" s="11">
        <v>7370000.0</v>
      </c>
      <c r="AD1420" s="11">
        <v>5650000.0</v>
      </c>
      <c r="AE1420" s="11">
        <v>6020000.0</v>
      </c>
      <c r="AF1420" s="11">
        <v>7140000.0</v>
      </c>
      <c r="AG1420" s="11">
        <v>5140000.0</v>
      </c>
      <c r="AH1420" s="11">
        <v>7340000.0</v>
      </c>
      <c r="AI1420" s="11">
        <v>1.024E7</v>
      </c>
      <c r="AJ1420" s="11">
        <v>9280000.0</v>
      </c>
      <c r="AK1420" s="11">
        <v>9780000.0</v>
      </c>
      <c r="AL1420" s="11">
        <v>7300000.0</v>
      </c>
      <c r="AM1420" s="11">
        <v>9430000.0</v>
      </c>
      <c r="AN1420" s="11">
        <v>4440000.0</v>
      </c>
      <c r="AO1420" s="11">
        <v>4790000.0</v>
      </c>
      <c r="AP1420" s="11">
        <v>4910000.0</v>
      </c>
      <c r="AQ1420" s="11">
        <v>3430000.0</v>
      </c>
      <c r="AR1420" s="11">
        <v>4840000.0</v>
      </c>
      <c r="AS1420" s="11">
        <v>8640000.0</v>
      </c>
      <c r="AT1420" s="11">
        <v>1.271E7</v>
      </c>
      <c r="AU1420" s="11">
        <v>1480000.0</v>
      </c>
      <c r="AV1420" s="11">
        <v>6470000.0</v>
      </c>
      <c r="AW1420" s="11">
        <v>7430000.0</v>
      </c>
      <c r="AX1420" s="11">
        <v>-6380000.0</v>
      </c>
      <c r="AY1420" s="11">
        <v>-6280000.0</v>
      </c>
      <c r="AZ1420" s="11">
        <v>-5230000.0</v>
      </c>
      <c r="BA1420" s="11">
        <v>-2970000.0</v>
      </c>
      <c r="BB1420" s="11">
        <v>-2380000.0</v>
      </c>
      <c r="BC1420" s="11">
        <v>-3190000.0</v>
      </c>
      <c r="BD1420" s="11">
        <v>-3010000.0</v>
      </c>
      <c r="BE1420" s="11">
        <v>-2770000.0</v>
      </c>
      <c r="BF1420" s="11">
        <v>-2640000.0</v>
      </c>
      <c r="BG1420" s="11">
        <v>-2530000.0</v>
      </c>
      <c r="BH1420" s="11">
        <v>5740000.0</v>
      </c>
      <c r="BI1420" s="11">
        <v>5040000.0</v>
      </c>
      <c r="BJ1420" s="11">
        <v>4070000.0</v>
      </c>
      <c r="BK1420" s="11">
        <v>4570000.0</v>
      </c>
      <c r="BL1420" s="11">
        <v>4730000.0</v>
      </c>
      <c r="BM1420" s="11">
        <v>1.021E7</v>
      </c>
      <c r="BN1420" s="11">
        <v>9900000.0</v>
      </c>
      <c r="BO1420" s="11">
        <v>1.035E7</v>
      </c>
      <c r="BP1420" s="11">
        <v>7700000.0</v>
      </c>
      <c r="BQ1420" s="11">
        <v>7130000.0</v>
      </c>
      <c r="BR1420" s="11">
        <v>511000.0</v>
      </c>
      <c r="BS1420" s="11">
        <v>421000.0</v>
      </c>
      <c r="BT1420" s="11">
        <v>404000.0</v>
      </c>
      <c r="BU1420" s="11">
        <v>342000.0</v>
      </c>
      <c r="BV1420" s="11">
        <v>308000.0</v>
      </c>
      <c r="BW1420" s="11">
        <v>1.71E7</v>
      </c>
      <c r="BX1420" s="11">
        <v>1.621E7</v>
      </c>
      <c r="BY1420" s="11">
        <v>1.572E7</v>
      </c>
      <c r="BZ1420" s="11">
        <v>1.385E7</v>
      </c>
      <c r="CA1420" s="11">
        <v>1.321E7</v>
      </c>
      <c r="CB1420" s="11">
        <v>3.334E7</v>
      </c>
      <c r="CC1420" s="11">
        <v>2.658E7</v>
      </c>
      <c r="CD1420" s="11">
        <v>2.212E7</v>
      </c>
      <c r="CE1420" s="11">
        <v>1.88E7</v>
      </c>
      <c r="CF1420" s="11">
        <v>1.835E7</v>
      </c>
      <c r="CG1420" s="11">
        <v>3810000.0</v>
      </c>
      <c r="CH1420" s="11">
        <v>3810000.0</v>
      </c>
      <c r="CI1420" s="11">
        <v>3870000.0</v>
      </c>
      <c r="CJ1420" s="11">
        <v>3760000.0</v>
      </c>
      <c r="CK1420" s="11">
        <v>3420000.0</v>
      </c>
      <c r="CL1420" s="11">
        <v>5.786E7</v>
      </c>
      <c r="CM1420" s="11">
        <v>5.002E7</v>
      </c>
      <c r="CN1420" s="11">
        <v>4.557E7</v>
      </c>
      <c r="CO1420" s="11">
        <v>4.038E7</v>
      </c>
      <c r="CP1420" s="11">
        <v>3.831E7</v>
      </c>
      <c r="CQ1420" s="11">
        <v>5560000.0</v>
      </c>
      <c r="CR1420" s="11">
        <v>5190000.0</v>
      </c>
      <c r="CS1420" s="11">
        <v>3930000.0</v>
      </c>
      <c r="CT1420" s="11">
        <v>3040000.0</v>
      </c>
      <c r="CU1420" s="11">
        <v>2590000.0</v>
      </c>
      <c r="CV1420" s="11">
        <v>1.541E7</v>
      </c>
      <c r="CW1420" s="11">
        <v>538000.0</v>
      </c>
      <c r="CX1420" s="12"/>
      <c r="CY1420" s="12"/>
      <c r="CZ1420" s="12"/>
      <c r="DA1420" s="12"/>
      <c r="DB1420" s="11">
        <v>1.541E7</v>
      </c>
      <c r="DC1420" s="11">
        <v>1.409E7</v>
      </c>
      <c r="DD1420" s="11">
        <v>1.289E7</v>
      </c>
      <c r="DE1420" s="11">
        <v>1.173E7</v>
      </c>
      <c r="DF1420" s="11">
        <v>5.457E7</v>
      </c>
      <c r="DG1420" s="11">
        <v>4.698E7</v>
      </c>
      <c r="DH1420" s="11">
        <v>4.455E7</v>
      </c>
      <c r="DI1420" s="11">
        <v>3.995E7</v>
      </c>
      <c r="DJ1420" s="11">
        <v>3.582E7</v>
      </c>
      <c r="DK1420" s="11">
        <v>24000.0</v>
      </c>
      <c r="DL1420" s="11">
        <v>170000.0</v>
      </c>
      <c r="DM1420" s="11">
        <v>483000.0</v>
      </c>
      <c r="DN1420" s="11">
        <v>476000.0</v>
      </c>
      <c r="DO1420" s="11">
        <v>505000.0</v>
      </c>
      <c r="DP1420" s="11">
        <v>2.421E7</v>
      </c>
      <c r="DQ1420" s="11">
        <v>1.993E7</v>
      </c>
      <c r="DR1420" s="11">
        <v>2.028E7</v>
      </c>
      <c r="DS1420" s="11">
        <v>1.239E7</v>
      </c>
      <c r="DT1420" s="11">
        <v>1.132E7</v>
      </c>
      <c r="DU1420" s="13"/>
      <c r="DV1420" s="12"/>
      <c r="DW1420" s="12"/>
      <c r="DX1420" s="12"/>
      <c r="DY1420" s="12"/>
      <c r="DZ1420" s="11">
        <v>3270000.0</v>
      </c>
      <c r="EA1420" s="11">
        <v>3020000.0</v>
      </c>
      <c r="EB1420" s="11">
        <v>994000.0</v>
      </c>
      <c r="EC1420" s="11">
        <v>405000.0</v>
      </c>
      <c r="ED1420" s="11">
        <v>2470000.0</v>
      </c>
      <c r="EE1420" s="14">
        <v>0.096</v>
      </c>
      <c r="EF1420" s="14">
        <v>0.123</v>
      </c>
      <c r="EG1420" s="14">
        <v>0.991</v>
      </c>
      <c r="EH1420" s="14">
        <v>0.233</v>
      </c>
    </row>
    <row r="1421">
      <c r="A1421" s="9">
        <f t="shared" si="2"/>
        <v>1419</v>
      </c>
      <c r="B1421" s="10" t="s">
        <v>1556</v>
      </c>
      <c r="C1421" s="15">
        <v>3860000.0</v>
      </c>
      <c r="D1421" s="15">
        <v>3310000.0</v>
      </c>
      <c r="E1421" s="15">
        <v>3980000.0</v>
      </c>
      <c r="F1421" s="15">
        <v>3950000.0</v>
      </c>
      <c r="G1421" s="15">
        <v>3620000.0</v>
      </c>
      <c r="H1421" s="15">
        <v>3550000.0</v>
      </c>
      <c r="I1421" s="15">
        <v>3450000.0</v>
      </c>
      <c r="J1421" s="15">
        <v>1250000.0</v>
      </c>
      <c r="K1421" s="15">
        <v>1350000.0</v>
      </c>
      <c r="L1421" s="15">
        <v>1190000.0</v>
      </c>
      <c r="M1421" s="15">
        <v>1250000.0</v>
      </c>
      <c r="N1421" s="15">
        <v>1210000.0</v>
      </c>
      <c r="O1421" s="15">
        <v>993990.0</v>
      </c>
      <c r="P1421" s="15">
        <v>965400.0</v>
      </c>
      <c r="Q1421" s="15">
        <v>915620.0</v>
      </c>
      <c r="R1421" s="15">
        <v>906090.0</v>
      </c>
      <c r="S1421" s="15">
        <v>846820.0</v>
      </c>
      <c r="T1421" s="12"/>
      <c r="U1421" s="12"/>
      <c r="V1421" s="12"/>
      <c r="W1421" s="12"/>
      <c r="X1421" s="12"/>
      <c r="Y1421" s="15">
        <v>231930.0</v>
      </c>
      <c r="Z1421" s="15">
        <v>381310.0</v>
      </c>
      <c r="AA1421" s="15">
        <v>259890.0</v>
      </c>
      <c r="AB1421" s="15">
        <v>-4340.0</v>
      </c>
      <c r="AC1421" s="15">
        <v>353580.0</v>
      </c>
      <c r="AD1421" s="15">
        <v>239720.0</v>
      </c>
      <c r="AE1421" s="15">
        <v>385550.0</v>
      </c>
      <c r="AF1421" s="15">
        <v>261370.0</v>
      </c>
      <c r="AG1421" s="15">
        <v>338100.0</v>
      </c>
      <c r="AH1421" s="15">
        <v>350030.0</v>
      </c>
      <c r="AI1421" s="15">
        <v>562650.0</v>
      </c>
      <c r="AJ1421" s="15">
        <v>501150.0</v>
      </c>
      <c r="AK1421" s="15">
        <v>397120.0</v>
      </c>
      <c r="AL1421" s="15">
        <v>476000.0</v>
      </c>
      <c r="AM1421" s="15">
        <v>505230.0</v>
      </c>
      <c r="AN1421" s="15">
        <v>168100.0</v>
      </c>
      <c r="AO1421" s="15">
        <v>298000.0</v>
      </c>
      <c r="AP1421" s="15">
        <v>108260.0</v>
      </c>
      <c r="AQ1421" s="15">
        <v>218120.0</v>
      </c>
      <c r="AR1421" s="15">
        <v>224490.0</v>
      </c>
      <c r="AS1421" s="15">
        <v>483160.0</v>
      </c>
      <c r="AT1421" s="15">
        <v>446620.0</v>
      </c>
      <c r="AU1421" s="15">
        <v>303060.0</v>
      </c>
      <c r="AV1421" s="15">
        <v>415250.0</v>
      </c>
      <c r="AW1421" s="15">
        <v>413420.0</v>
      </c>
      <c r="AX1421" s="15">
        <v>-217430.0</v>
      </c>
      <c r="AY1421" s="15">
        <v>-114920.0</v>
      </c>
      <c r="AZ1421" s="15">
        <v>-83810.0</v>
      </c>
      <c r="BA1421" s="15">
        <v>-143710.0</v>
      </c>
      <c r="BB1421" s="15">
        <v>-134950.0</v>
      </c>
      <c r="BC1421" s="12"/>
      <c r="BD1421" s="12"/>
      <c r="BE1421" s="12"/>
      <c r="BF1421" s="12"/>
      <c r="BG1421" s="12"/>
      <c r="BH1421" s="15">
        <v>433290.0</v>
      </c>
      <c r="BI1421" s="15">
        <v>637490.0</v>
      </c>
      <c r="BJ1421" s="15">
        <v>447350.0</v>
      </c>
      <c r="BK1421" s="15">
        <v>359210.0</v>
      </c>
      <c r="BL1421" s="15">
        <v>326340.0</v>
      </c>
      <c r="BM1421" s="15">
        <v>88290.0</v>
      </c>
      <c r="BN1421" s="15">
        <v>80460.0</v>
      </c>
      <c r="BO1421" s="15">
        <v>76960.0</v>
      </c>
      <c r="BP1421" s="15">
        <v>54510.0</v>
      </c>
      <c r="BQ1421" s="15">
        <v>75720.0</v>
      </c>
      <c r="BR1421" s="15">
        <v>409530.0</v>
      </c>
      <c r="BS1421" s="15">
        <v>370510.0</v>
      </c>
      <c r="BT1421" s="15">
        <v>351400.0</v>
      </c>
      <c r="BU1421" s="15">
        <v>338590.0</v>
      </c>
      <c r="BV1421" s="15">
        <v>330220.0</v>
      </c>
      <c r="BW1421" s="15">
        <v>1050000.0</v>
      </c>
      <c r="BX1421" s="15">
        <v>1200000.0</v>
      </c>
      <c r="BY1421" s="15">
        <v>978760.0</v>
      </c>
      <c r="BZ1421" s="15">
        <v>881400.0</v>
      </c>
      <c r="CA1421" s="15">
        <v>834360.0</v>
      </c>
      <c r="CB1421" s="15">
        <v>2060000.0</v>
      </c>
      <c r="CC1421" s="15">
        <v>796030.0</v>
      </c>
      <c r="CD1421" s="15">
        <v>813770.0</v>
      </c>
      <c r="CE1421" s="15">
        <v>867790.0</v>
      </c>
      <c r="CF1421" s="15">
        <v>863140.0</v>
      </c>
      <c r="CG1421" s="12"/>
      <c r="CH1421" s="12"/>
      <c r="CI1421" s="12"/>
      <c r="CJ1421" s="12"/>
      <c r="CK1421" s="12"/>
      <c r="CL1421" s="15">
        <v>3320000.0</v>
      </c>
      <c r="CM1421" s="15">
        <v>2160000.0</v>
      </c>
      <c r="CN1421" s="15">
        <v>1950000.0</v>
      </c>
      <c r="CO1421" s="15">
        <v>1900000.0</v>
      </c>
      <c r="CP1421" s="15">
        <v>1830000.0</v>
      </c>
      <c r="CQ1421" s="15">
        <v>167870.0</v>
      </c>
      <c r="CR1421" s="15">
        <v>144410.0</v>
      </c>
      <c r="CS1421" s="15">
        <v>128250.0</v>
      </c>
      <c r="CT1421" s="15">
        <v>119540.0</v>
      </c>
      <c r="CU1421" s="15">
        <v>118040.0</v>
      </c>
      <c r="CV1421" s="15">
        <v>638770.0</v>
      </c>
      <c r="CW1421" s="15">
        <v>221590.0</v>
      </c>
      <c r="CX1421" s="12"/>
      <c r="CY1421" s="13"/>
      <c r="CZ1421" s="13"/>
      <c r="DA1421" s="12"/>
      <c r="DB1421" s="15">
        <v>638770.0</v>
      </c>
      <c r="DC1421" s="15">
        <v>386640.0</v>
      </c>
      <c r="DD1421" s="15">
        <v>360210.0</v>
      </c>
      <c r="DE1421" s="15">
        <v>352930.0</v>
      </c>
      <c r="DF1421" s="15">
        <v>1860000.0</v>
      </c>
      <c r="DG1421" s="15">
        <v>671420.0</v>
      </c>
      <c r="DH1421" s="15">
        <v>651880.0</v>
      </c>
      <c r="DI1421" s="15">
        <v>589550.0</v>
      </c>
      <c r="DJ1421" s="15">
        <v>696070.0</v>
      </c>
      <c r="DK1421" s="15">
        <v>97100.0</v>
      </c>
      <c r="DL1421" s="15">
        <v>57290.0</v>
      </c>
      <c r="DM1421" s="15">
        <v>58690.0</v>
      </c>
      <c r="DN1421" s="15">
        <v>44290.0</v>
      </c>
      <c r="DO1421" s="15">
        <v>36600.0</v>
      </c>
      <c r="DP1421" s="15">
        <v>1140000.0</v>
      </c>
      <c r="DQ1421" s="12"/>
      <c r="DR1421" s="12"/>
      <c r="DS1421" s="12"/>
      <c r="DT1421" s="15">
        <v>150000.0</v>
      </c>
      <c r="DU1421" s="13"/>
      <c r="DV1421" s="12"/>
      <c r="DW1421" s="12"/>
      <c r="DX1421" s="12"/>
      <c r="DY1421" s="12"/>
      <c r="DZ1421" s="15">
        <v>1460000.0</v>
      </c>
      <c r="EA1421" s="15">
        <v>1490000.0</v>
      </c>
      <c r="EB1421" s="15">
        <v>1300000.0</v>
      </c>
      <c r="EC1421" s="15">
        <v>1310000.0</v>
      </c>
      <c r="ED1421" s="15">
        <v>1140000.0</v>
      </c>
      <c r="EE1421" s="17">
        <v>0.338</v>
      </c>
      <c r="EF1421" s="17">
        <v>0.181</v>
      </c>
      <c r="EG1421" s="23"/>
      <c r="EH1421" s="23"/>
    </row>
    <row r="1422">
      <c r="A1422" s="9">
        <f t="shared" si="2"/>
        <v>1420</v>
      </c>
      <c r="B1422" s="22" t="s">
        <v>1557</v>
      </c>
      <c r="C1422" s="11">
        <v>58320.0</v>
      </c>
      <c r="D1422" s="11">
        <v>12380.0</v>
      </c>
      <c r="E1422" s="11">
        <v>18.0</v>
      </c>
      <c r="F1422" s="11">
        <v>1130.0</v>
      </c>
      <c r="G1422" s="11">
        <v>8160.0</v>
      </c>
      <c r="H1422" s="11">
        <v>17530.0</v>
      </c>
      <c r="I1422" s="12"/>
      <c r="J1422" s="12"/>
      <c r="K1422" s="11">
        <v>-675.0</v>
      </c>
      <c r="L1422" s="11">
        <v>7560.0</v>
      </c>
      <c r="M1422" s="11">
        <v>17290.0</v>
      </c>
      <c r="N1422" s="11">
        <v>-113.0</v>
      </c>
      <c r="O1422" s="11">
        <v>108170.0</v>
      </c>
      <c r="P1422" s="11">
        <v>76510.0</v>
      </c>
      <c r="Q1422" s="11">
        <v>27510.0</v>
      </c>
      <c r="R1422" s="11">
        <v>16490.0</v>
      </c>
      <c r="S1422" s="11">
        <v>12300.0</v>
      </c>
      <c r="T1422" s="11">
        <v>49300.0</v>
      </c>
      <c r="U1422" s="11">
        <v>36930.0</v>
      </c>
      <c r="V1422" s="11">
        <v>18700.0</v>
      </c>
      <c r="W1422" s="11">
        <v>10290.0</v>
      </c>
      <c r="X1422" s="11">
        <v>10520.0</v>
      </c>
      <c r="Y1422" s="12"/>
      <c r="Z1422" s="12"/>
      <c r="AA1422" s="12"/>
      <c r="AB1422" s="12"/>
      <c r="AC1422" s="12"/>
      <c r="AD1422" s="11">
        <v>-105150.0</v>
      </c>
      <c r="AE1422" s="11">
        <v>-75530.0</v>
      </c>
      <c r="AF1422" s="11">
        <v>-19980.0</v>
      </c>
      <c r="AG1422" s="11">
        <v>-1940.0</v>
      </c>
      <c r="AH1422" s="11">
        <v>-12690.0</v>
      </c>
      <c r="AI1422" s="11">
        <v>-108150.0</v>
      </c>
      <c r="AJ1422" s="11">
        <v>-76760.0</v>
      </c>
      <c r="AK1422" s="11">
        <v>-19740.0</v>
      </c>
      <c r="AL1422" s="11">
        <v>1010.0</v>
      </c>
      <c r="AM1422" s="11">
        <v>-12300.0</v>
      </c>
      <c r="AN1422" s="11">
        <v>-105150.0</v>
      </c>
      <c r="AO1422" s="11">
        <v>-75660.0</v>
      </c>
      <c r="AP1422" s="11">
        <v>-20000.0</v>
      </c>
      <c r="AQ1422" s="11">
        <v>-1940.0</v>
      </c>
      <c r="AR1422" s="11">
        <v>-12690.0</v>
      </c>
      <c r="AS1422" s="11">
        <v>-71020.0</v>
      </c>
      <c r="AT1422" s="11">
        <v>-37330.0</v>
      </c>
      <c r="AU1422" s="11">
        <v>-9570.0</v>
      </c>
      <c r="AV1422" s="11">
        <v>4190.0</v>
      </c>
      <c r="AW1422" s="11">
        <v>-7180.0</v>
      </c>
      <c r="AX1422" s="11">
        <v>-325.0</v>
      </c>
      <c r="AY1422" s="11">
        <v>-560.0</v>
      </c>
      <c r="AZ1422" s="11">
        <v>-271.0</v>
      </c>
      <c r="BA1422" s="11">
        <v>-695.0</v>
      </c>
      <c r="BB1422" s="11">
        <v>-301.0</v>
      </c>
      <c r="BC1422" s="12"/>
      <c r="BD1422" s="12"/>
      <c r="BE1422" s="12"/>
      <c r="BF1422" s="12"/>
      <c r="BG1422" s="12"/>
      <c r="BH1422" s="11">
        <v>147600.0</v>
      </c>
      <c r="BI1422" s="11">
        <v>101570.0</v>
      </c>
      <c r="BJ1422" s="11">
        <v>73200.0</v>
      </c>
      <c r="BK1422" s="11">
        <v>21460.0</v>
      </c>
      <c r="BL1422" s="11">
        <v>18000.0</v>
      </c>
      <c r="BM1422" s="12"/>
      <c r="BN1422" s="12"/>
      <c r="BO1422" s="12"/>
      <c r="BP1422" s="11">
        <v>83.0</v>
      </c>
      <c r="BQ1422" s="12"/>
      <c r="BR1422" s="12"/>
      <c r="BS1422" s="12"/>
      <c r="BT1422" s="11">
        <v>316.0</v>
      </c>
      <c r="BU1422" s="11">
        <v>105.0</v>
      </c>
      <c r="BV1422" s="12"/>
      <c r="BW1422" s="11">
        <v>148630.0</v>
      </c>
      <c r="BX1422" s="11">
        <v>102240.0</v>
      </c>
      <c r="BY1422" s="11">
        <v>74470.0</v>
      </c>
      <c r="BZ1422" s="11">
        <v>22040.0</v>
      </c>
      <c r="CA1422" s="11">
        <v>19130.0</v>
      </c>
      <c r="CB1422" s="11">
        <v>977.0</v>
      </c>
      <c r="CC1422" s="11">
        <v>948.0</v>
      </c>
      <c r="CD1422" s="11">
        <v>805.0</v>
      </c>
      <c r="CE1422" s="11">
        <v>741.0</v>
      </c>
      <c r="CF1422" s="11">
        <v>259.0</v>
      </c>
      <c r="CG1422" s="12"/>
      <c r="CH1422" s="12"/>
      <c r="CI1422" s="12"/>
      <c r="CJ1422" s="12"/>
      <c r="CK1422" s="12"/>
      <c r="CL1422" s="11">
        <v>202390.0</v>
      </c>
      <c r="CM1422" s="11">
        <v>103560.0</v>
      </c>
      <c r="CN1422" s="11">
        <v>75550.0</v>
      </c>
      <c r="CO1422" s="11">
        <v>23060.0</v>
      </c>
      <c r="CP1422" s="11">
        <v>19390.0</v>
      </c>
      <c r="CQ1422" s="11">
        <v>4690.0</v>
      </c>
      <c r="CR1422" s="11">
        <v>4270.0</v>
      </c>
      <c r="CS1422" s="11">
        <v>4440.0</v>
      </c>
      <c r="CT1422" s="11">
        <v>1880.0</v>
      </c>
      <c r="CU1422" s="11">
        <v>1730.0</v>
      </c>
      <c r="CV1422" s="11">
        <v>19480.0</v>
      </c>
      <c r="CW1422" s="12"/>
      <c r="CX1422" s="12"/>
      <c r="CY1422" s="12"/>
      <c r="CZ1422" s="12"/>
      <c r="DA1422" s="12"/>
      <c r="DB1422" s="11">
        <v>19480.0</v>
      </c>
      <c r="DC1422" s="11">
        <v>13470.0</v>
      </c>
      <c r="DD1422" s="11">
        <v>7040.0</v>
      </c>
      <c r="DE1422" s="11">
        <v>3140.0</v>
      </c>
      <c r="DF1422" s="11">
        <v>22090.0</v>
      </c>
      <c r="DG1422" s="11">
        <v>13470.0</v>
      </c>
      <c r="DH1422" s="11">
        <v>7040.0</v>
      </c>
      <c r="DI1422" s="11">
        <v>6750.0</v>
      </c>
      <c r="DJ1422" s="11">
        <v>3110.0</v>
      </c>
      <c r="DK1422" s="11">
        <v>48780.0</v>
      </c>
      <c r="DL1422" s="11">
        <v>51.0</v>
      </c>
      <c r="DM1422" s="11">
        <v>29.0</v>
      </c>
      <c r="DN1422" s="11">
        <v>24.0</v>
      </c>
      <c r="DO1422" s="12"/>
      <c r="DP1422" s="11">
        <v>2600.0</v>
      </c>
      <c r="DQ1422" s="12"/>
      <c r="DR1422" s="12"/>
      <c r="DS1422" s="12"/>
      <c r="DT1422" s="12"/>
      <c r="DU1422" s="13"/>
      <c r="DV1422" s="12"/>
      <c r="DW1422" s="12"/>
      <c r="DX1422" s="24">
        <v>4.0</v>
      </c>
      <c r="DY1422" s="24">
        <v>4.0</v>
      </c>
      <c r="DZ1422" s="11">
        <v>180300.0</v>
      </c>
      <c r="EA1422" s="11">
        <v>90090.0</v>
      </c>
      <c r="EB1422" s="11">
        <v>68520.0</v>
      </c>
      <c r="EC1422" s="11">
        <v>16310.0</v>
      </c>
      <c r="ED1422" s="11">
        <v>16280.0</v>
      </c>
      <c r="EE1422" s="14">
        <v>1.021</v>
      </c>
      <c r="EF1422" s="14">
        <v>0.935</v>
      </c>
      <c r="EG1422" s="14">
        <v>0.089</v>
      </c>
      <c r="EH1422" s="14">
        <v>0.017</v>
      </c>
    </row>
    <row r="1423">
      <c r="A1423" s="9">
        <f t="shared" si="2"/>
        <v>1421</v>
      </c>
      <c r="B1423" s="22" t="s">
        <v>1558</v>
      </c>
      <c r="C1423" s="11">
        <v>133030.0</v>
      </c>
      <c r="D1423" s="11">
        <v>4400.0</v>
      </c>
      <c r="E1423" s="12"/>
      <c r="F1423" s="12"/>
      <c r="G1423" s="12"/>
      <c r="H1423" s="12"/>
      <c r="I1423" s="12"/>
      <c r="J1423" s="11">
        <v>-525.0</v>
      </c>
      <c r="K1423" s="11">
        <v>-180.0</v>
      </c>
      <c r="L1423" s="11">
        <v>-12.0</v>
      </c>
      <c r="M1423" s="12"/>
      <c r="N1423" s="12"/>
      <c r="O1423" s="11">
        <v>138210.0</v>
      </c>
      <c r="P1423" s="11">
        <v>110600.0</v>
      </c>
      <c r="Q1423" s="11">
        <v>36990.0</v>
      </c>
      <c r="R1423" s="11">
        <v>27060.0</v>
      </c>
      <c r="S1423" s="12"/>
      <c r="T1423" s="11">
        <v>92440.0</v>
      </c>
      <c r="U1423" s="11">
        <v>92200.0</v>
      </c>
      <c r="V1423" s="11">
        <v>32360.0</v>
      </c>
      <c r="W1423" s="11">
        <v>26050.0</v>
      </c>
      <c r="X1423" s="12"/>
      <c r="Y1423" s="11">
        <v>-142830.0</v>
      </c>
      <c r="Z1423" s="12"/>
      <c r="AA1423" s="12"/>
      <c r="AB1423" s="12"/>
      <c r="AC1423" s="12"/>
      <c r="AD1423" s="11">
        <v>-146680.0</v>
      </c>
      <c r="AE1423" s="11">
        <v>-111300.0</v>
      </c>
      <c r="AF1423" s="11">
        <v>-37040.0</v>
      </c>
      <c r="AG1423" s="11">
        <v>-26970.0</v>
      </c>
      <c r="AH1423" s="12"/>
      <c r="AI1423" s="11">
        <v>-138210.0</v>
      </c>
      <c r="AJ1423" s="11">
        <v>-110600.0</v>
      </c>
      <c r="AK1423" s="11">
        <v>-36990.0</v>
      </c>
      <c r="AL1423" s="11">
        <v>-27060.0</v>
      </c>
      <c r="AM1423" s="12"/>
      <c r="AN1423" s="11">
        <v>-146750.0</v>
      </c>
      <c r="AO1423" s="11">
        <v>-111350.0</v>
      </c>
      <c r="AP1423" s="11">
        <v>-37070.0</v>
      </c>
      <c r="AQ1423" s="11">
        <v>-26970.0</v>
      </c>
      <c r="AR1423" s="12"/>
      <c r="AS1423" s="11">
        <v>-101750.0</v>
      </c>
      <c r="AT1423" s="11">
        <v>-109040.0</v>
      </c>
      <c r="AU1423" s="11">
        <v>-34090.0</v>
      </c>
      <c r="AV1423" s="11">
        <v>-25260.0</v>
      </c>
      <c r="AW1423" s="12"/>
      <c r="AX1423" s="11">
        <v>-769.0</v>
      </c>
      <c r="AY1423" s="11">
        <v>-593.0</v>
      </c>
      <c r="AZ1423" s="11">
        <v>-522.0</v>
      </c>
      <c r="BA1423" s="12"/>
      <c r="BB1423" s="12"/>
      <c r="BC1423" s="12"/>
      <c r="BD1423" s="12"/>
      <c r="BE1423" s="12"/>
      <c r="BF1423" s="12"/>
      <c r="BG1423" s="12"/>
      <c r="BH1423" s="11">
        <v>51660.0</v>
      </c>
      <c r="BI1423" s="11">
        <v>85600.0</v>
      </c>
      <c r="BJ1423" s="11">
        <v>7190.0</v>
      </c>
      <c r="BK1423" s="11">
        <v>4770.0</v>
      </c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1">
        <v>58320.0</v>
      </c>
      <c r="BX1423" s="11">
        <v>98510.0</v>
      </c>
      <c r="BY1423" s="11">
        <v>12390.0</v>
      </c>
      <c r="BZ1423" s="11">
        <v>4780.0</v>
      </c>
      <c r="CA1423" s="12"/>
      <c r="CB1423" s="11">
        <v>4350.0</v>
      </c>
      <c r="CC1423" s="11">
        <v>923.0</v>
      </c>
      <c r="CD1423" s="11">
        <v>510.0</v>
      </c>
      <c r="CE1423" s="12"/>
      <c r="CF1423" s="12"/>
      <c r="CG1423" s="12"/>
      <c r="CH1423" s="12"/>
      <c r="CI1423" s="12"/>
      <c r="CJ1423" s="12"/>
      <c r="CK1423" s="12"/>
      <c r="CL1423" s="11">
        <v>63300.0</v>
      </c>
      <c r="CM1423" s="11">
        <v>100120.0</v>
      </c>
      <c r="CN1423" s="11">
        <v>12980.0</v>
      </c>
      <c r="CO1423" s="11">
        <v>4780.0</v>
      </c>
      <c r="CP1423" s="12"/>
      <c r="CQ1423" s="12"/>
      <c r="CR1423" s="12"/>
      <c r="CS1423" s="12"/>
      <c r="CT1423" s="12"/>
      <c r="CU1423" s="12"/>
      <c r="CV1423" s="11">
        <v>30930.0</v>
      </c>
      <c r="CW1423" s="11">
        <v>351.0</v>
      </c>
      <c r="CX1423" s="12"/>
      <c r="CY1423" s="12"/>
      <c r="CZ1423" s="12"/>
      <c r="DA1423" s="12"/>
      <c r="DB1423" s="11">
        <v>30930.0</v>
      </c>
      <c r="DC1423" s="11">
        <v>11820.0</v>
      </c>
      <c r="DD1423" s="11">
        <v>5910.0</v>
      </c>
      <c r="DE1423" s="11">
        <v>866.0</v>
      </c>
      <c r="DF1423" s="11">
        <v>121300.0</v>
      </c>
      <c r="DG1423" s="11">
        <v>25350.0</v>
      </c>
      <c r="DH1423" s="11">
        <v>5910.0</v>
      </c>
      <c r="DI1423" s="11">
        <v>866.0</v>
      </c>
      <c r="DJ1423" s="12"/>
      <c r="DK1423" s="11">
        <v>623.0</v>
      </c>
      <c r="DL1423" s="11">
        <v>600.0</v>
      </c>
      <c r="DM1423" s="12"/>
      <c r="DN1423" s="12"/>
      <c r="DO1423" s="12"/>
      <c r="DP1423" s="11">
        <v>90340.0</v>
      </c>
      <c r="DQ1423" s="11">
        <v>13530.0</v>
      </c>
      <c r="DR1423" s="12"/>
      <c r="DS1423" s="12"/>
      <c r="DT1423" s="12"/>
      <c r="DU1423" s="13"/>
      <c r="DV1423" s="12"/>
      <c r="DW1423" s="12"/>
      <c r="DX1423" s="13"/>
      <c r="DY1423" s="13"/>
      <c r="DZ1423" s="11">
        <v>-58010.0</v>
      </c>
      <c r="EA1423" s="11">
        <v>74770.0</v>
      </c>
      <c r="EB1423" s="11">
        <v>7070.0</v>
      </c>
      <c r="EC1423" s="11">
        <v>3910.0</v>
      </c>
      <c r="ED1423" s="12"/>
      <c r="EE1423" s="23"/>
      <c r="EF1423" s="14">
        <v>1.364</v>
      </c>
      <c r="EG1423" s="14">
        <v>0.288</v>
      </c>
      <c r="EH1423" s="14">
        <v>-0.049</v>
      </c>
    </row>
    <row r="1424">
      <c r="A1424" s="9">
        <f t="shared" si="2"/>
        <v>1422</v>
      </c>
      <c r="B1424" s="10" t="s">
        <v>1559</v>
      </c>
      <c r="C1424" s="11">
        <v>568400.0</v>
      </c>
      <c r="D1424" s="11">
        <v>519050.0</v>
      </c>
      <c r="E1424" s="11">
        <v>522630.0</v>
      </c>
      <c r="F1424" s="11">
        <v>534060.0</v>
      </c>
      <c r="G1424" s="11">
        <v>446530.0</v>
      </c>
      <c r="H1424" s="11">
        <v>429100.0</v>
      </c>
      <c r="I1424" s="11">
        <v>507930.0</v>
      </c>
      <c r="J1424" s="11">
        <v>23330.0</v>
      </c>
      <c r="K1424" s="11">
        <v>37790.0</v>
      </c>
      <c r="L1424" s="11">
        <v>15040.0</v>
      </c>
      <c r="M1424" s="11">
        <v>17040.0</v>
      </c>
      <c r="N1424" s="11">
        <v>38950.0</v>
      </c>
      <c r="O1424" s="11">
        <v>20730.0</v>
      </c>
      <c r="P1424" s="11">
        <v>19570.0</v>
      </c>
      <c r="Q1424" s="11">
        <v>17880.0</v>
      </c>
      <c r="R1424" s="11">
        <v>17570.0</v>
      </c>
      <c r="S1424" s="11">
        <v>20690.0</v>
      </c>
      <c r="T1424" s="12"/>
      <c r="U1424" s="12"/>
      <c r="V1424" s="12"/>
      <c r="W1424" s="12"/>
      <c r="X1424" s="12"/>
      <c r="Y1424" s="11">
        <v>1220.0</v>
      </c>
      <c r="Z1424" s="11">
        <v>639.0</v>
      </c>
      <c r="AA1424" s="11"/>
      <c r="AB1424" s="11">
        <v>-8100.0</v>
      </c>
      <c r="AC1424" s="11">
        <v>14770.0</v>
      </c>
      <c r="AD1424" s="11">
        <v>-4850.0</v>
      </c>
      <c r="AE1424" s="11">
        <v>16580.0</v>
      </c>
      <c r="AF1424" s="11">
        <v>-6260.0</v>
      </c>
      <c r="AG1424" s="11">
        <v>-11220.0</v>
      </c>
      <c r="AH1424" s="11">
        <v>19340.0</v>
      </c>
      <c r="AI1424" s="11">
        <v>39800.0</v>
      </c>
      <c r="AJ1424" s="11">
        <v>46540.0</v>
      </c>
      <c r="AK1424" s="11">
        <v>25620.0</v>
      </c>
      <c r="AL1424" s="11">
        <v>29430.0</v>
      </c>
      <c r="AM1424" s="11">
        <v>55750.0</v>
      </c>
      <c r="AN1424" s="11">
        <v>-4700.0</v>
      </c>
      <c r="AO1424" s="11">
        <v>12200.0</v>
      </c>
      <c r="AP1424" s="11">
        <v>7500.0</v>
      </c>
      <c r="AQ1424" s="11">
        <v>-7700.0</v>
      </c>
      <c r="AR1424" s="11">
        <v>11070.0</v>
      </c>
      <c r="AS1424" s="11">
        <v>43460.0</v>
      </c>
      <c r="AT1424" s="11">
        <v>41260.0</v>
      </c>
      <c r="AU1424" s="11">
        <v>35460.0</v>
      </c>
      <c r="AV1424" s="11">
        <v>22190.0</v>
      </c>
      <c r="AW1424" s="11">
        <v>60130.0</v>
      </c>
      <c r="AX1424" s="11">
        <v>-34680.0</v>
      </c>
      <c r="AY1424" s="11">
        <v>-15020.0</v>
      </c>
      <c r="AZ1424" s="11">
        <v>-13980.0</v>
      </c>
      <c r="BA1424" s="11">
        <v>-59750.0</v>
      </c>
      <c r="BB1424" s="11">
        <v>-66190.0</v>
      </c>
      <c r="BC1424" s="12"/>
      <c r="BD1424" s="12"/>
      <c r="BE1424" s="12"/>
      <c r="BF1424" s="12"/>
      <c r="BG1424" s="12"/>
      <c r="BH1424" s="12">
        <v>97.0</v>
      </c>
      <c r="BI1424" s="12">
        <v>989.0</v>
      </c>
      <c r="BJ1424" s="12">
        <v>71.0</v>
      </c>
      <c r="BK1424" s="12">
        <v>122.0</v>
      </c>
      <c r="BL1424" s="12">
        <v>87.0</v>
      </c>
      <c r="BM1424" s="11">
        <v>55260.0</v>
      </c>
      <c r="BN1424" s="11">
        <v>62880.0</v>
      </c>
      <c r="BO1424" s="11">
        <v>57930.0</v>
      </c>
      <c r="BP1424" s="11">
        <v>62110.0</v>
      </c>
      <c r="BQ1424" s="11">
        <v>64580.0</v>
      </c>
      <c r="BR1424" s="11">
        <v>769.0</v>
      </c>
      <c r="BS1424" s="11">
        <v>722.0</v>
      </c>
      <c r="BT1424" s="11">
        <v>458.0</v>
      </c>
      <c r="BU1424" s="11">
        <v>413.0</v>
      </c>
      <c r="BV1424" s="11">
        <v>748.0</v>
      </c>
      <c r="BW1424" s="11">
        <v>66520.0</v>
      </c>
      <c r="BX1424" s="11">
        <v>74870.0</v>
      </c>
      <c r="BY1424" s="11">
        <v>64590.0</v>
      </c>
      <c r="BZ1424" s="11">
        <v>73500.0</v>
      </c>
      <c r="CA1424" s="11">
        <v>78270.0</v>
      </c>
      <c r="CB1424" s="11">
        <v>260440.0</v>
      </c>
      <c r="CC1424" s="11">
        <v>225390.0</v>
      </c>
      <c r="CD1424" s="11">
        <v>187820.0</v>
      </c>
      <c r="CE1424" s="11">
        <v>220280.0</v>
      </c>
      <c r="CF1424" s="11">
        <v>206780.0</v>
      </c>
      <c r="CG1424" s="11">
        <v>5230.0</v>
      </c>
      <c r="CH1424" s="11">
        <v>4930.0</v>
      </c>
      <c r="CI1424" s="11"/>
      <c r="CJ1424" s="11"/>
      <c r="CK1424" s="11"/>
      <c r="CL1424" s="11">
        <v>362880.0</v>
      </c>
      <c r="CM1424" s="11">
        <v>333260.0</v>
      </c>
      <c r="CN1424" s="11">
        <v>261070.0</v>
      </c>
      <c r="CO1424" s="11">
        <v>306900.0</v>
      </c>
      <c r="CP1424" s="11">
        <v>295190.0</v>
      </c>
      <c r="CQ1424" s="11">
        <v>29420.0</v>
      </c>
      <c r="CR1424" s="11">
        <v>23480.0</v>
      </c>
      <c r="CS1424" s="11">
        <v>24330.0</v>
      </c>
      <c r="CT1424" s="11">
        <v>18780.0</v>
      </c>
      <c r="CU1424" s="11">
        <v>24470.0</v>
      </c>
      <c r="CV1424" s="11">
        <v>91400.0</v>
      </c>
      <c r="CW1424" s="11">
        <v>6050.0</v>
      </c>
      <c r="CX1424" s="12"/>
      <c r="CY1424" s="12"/>
      <c r="CZ1424" s="12"/>
      <c r="DA1424" s="12"/>
      <c r="DB1424" s="11">
        <v>91400.0</v>
      </c>
      <c r="DC1424" s="11">
        <v>70430.0</v>
      </c>
      <c r="DD1424" s="11">
        <v>64040.0</v>
      </c>
      <c r="DE1424" s="11">
        <v>57660.0</v>
      </c>
      <c r="DF1424" s="11">
        <v>284670.0</v>
      </c>
      <c r="DG1424" s="11">
        <v>251990.0</v>
      </c>
      <c r="DH1424" s="11">
        <v>194580.0</v>
      </c>
      <c r="DI1424" s="11">
        <v>248310.0</v>
      </c>
      <c r="DJ1424" s="11">
        <v>201410.0</v>
      </c>
      <c r="DK1424" s="12"/>
      <c r="DL1424" s="11"/>
      <c r="DM1424" s="11"/>
      <c r="DN1424" s="11"/>
      <c r="DO1424" s="12"/>
      <c r="DP1424" s="11">
        <v>147560.0</v>
      </c>
      <c r="DQ1424" s="11">
        <v>138760.0</v>
      </c>
      <c r="DR1424" s="11">
        <v>90440.0</v>
      </c>
      <c r="DS1424" s="11">
        <v>131730.0</v>
      </c>
      <c r="DT1424" s="11">
        <v>89250.0</v>
      </c>
      <c r="DU1424" s="13"/>
      <c r="DV1424" s="12"/>
      <c r="DW1424" s="12"/>
      <c r="DX1424" s="12"/>
      <c r="DY1424" s="12"/>
      <c r="DZ1424" s="11">
        <v>78210.0</v>
      </c>
      <c r="EA1424" s="11">
        <v>81270.0</v>
      </c>
      <c r="EB1424" s="11">
        <v>66490.0</v>
      </c>
      <c r="EC1424" s="11">
        <v>58590.0</v>
      </c>
      <c r="ED1424" s="11">
        <v>93780.0</v>
      </c>
      <c r="EE1424" s="14">
        <v>0.023</v>
      </c>
      <c r="EF1424" s="14">
        <v>0.072</v>
      </c>
      <c r="EG1424" s="14">
        <v>0.333</v>
      </c>
      <c r="EH1424" s="14">
        <v>-2.398</v>
      </c>
    </row>
    <row r="1425">
      <c r="A1425" s="9">
        <f t="shared" si="2"/>
        <v>1423</v>
      </c>
      <c r="B1425" s="10" t="s">
        <v>1560</v>
      </c>
      <c r="C1425" s="12">
        <v>1440000.0</v>
      </c>
      <c r="D1425" s="12">
        <v>1410000.0</v>
      </c>
      <c r="E1425" s="11">
        <v>1480000.0</v>
      </c>
      <c r="F1425" s="11">
        <v>1510000.0</v>
      </c>
      <c r="G1425" s="11">
        <v>1340000.0</v>
      </c>
      <c r="H1425" s="11">
        <v>1170000.0</v>
      </c>
      <c r="I1425" s="11">
        <v>974720.0</v>
      </c>
      <c r="J1425" s="11">
        <v>197900.0</v>
      </c>
      <c r="K1425" s="11">
        <v>202400.0</v>
      </c>
      <c r="L1425" s="11">
        <v>211640.0</v>
      </c>
      <c r="M1425" s="11">
        <v>190970.0</v>
      </c>
      <c r="N1425" s="11">
        <v>162710.0</v>
      </c>
      <c r="O1425" s="11">
        <v>130000.0</v>
      </c>
      <c r="P1425" s="11">
        <v>125800.0</v>
      </c>
      <c r="Q1425" s="11">
        <v>119230.0</v>
      </c>
      <c r="R1425" s="11">
        <v>100020.0</v>
      </c>
      <c r="S1425" s="11">
        <v>86870.0</v>
      </c>
      <c r="T1425" s="12"/>
      <c r="U1425" s="12"/>
      <c r="V1425" s="12"/>
      <c r="W1425" s="12"/>
      <c r="X1425" s="12"/>
      <c r="Y1425" s="11">
        <v>65100.0</v>
      </c>
      <c r="Z1425" s="11">
        <v>74600.0</v>
      </c>
      <c r="AA1425" s="11">
        <v>77400.0</v>
      </c>
      <c r="AB1425" s="11">
        <v>53790.0</v>
      </c>
      <c r="AC1425" s="11">
        <v>-60950.0</v>
      </c>
      <c r="AD1425" s="11">
        <v>28600.0</v>
      </c>
      <c r="AE1425" s="11">
        <v>48100.0</v>
      </c>
      <c r="AF1425" s="11">
        <v>38700.0</v>
      </c>
      <c r="AG1425" s="11">
        <v>30730.0</v>
      </c>
      <c r="AH1425" s="11">
        <v>-4320.0</v>
      </c>
      <c r="AI1425" s="11">
        <v>161100.0</v>
      </c>
      <c r="AJ1425" s="11">
        <v>168400.0</v>
      </c>
      <c r="AK1425" s="11">
        <v>160200.0</v>
      </c>
      <c r="AL1425" s="11">
        <v>145800.0</v>
      </c>
      <c r="AM1425" s="11">
        <v>119410.0</v>
      </c>
      <c r="AN1425" s="11">
        <v>14900.0</v>
      </c>
      <c r="AO1425" s="11">
        <v>30000.0</v>
      </c>
      <c r="AP1425" s="11">
        <v>26140.0</v>
      </c>
      <c r="AQ1425" s="11">
        <v>9580.0</v>
      </c>
      <c r="AR1425" s="11">
        <v>-5090.0</v>
      </c>
      <c r="AS1425" s="11">
        <v>138800.0</v>
      </c>
      <c r="AT1425" s="11">
        <v>122800.0</v>
      </c>
      <c r="AU1425" s="11">
        <v>94830.0</v>
      </c>
      <c r="AV1425" s="11">
        <v>112120.0</v>
      </c>
      <c r="AW1425" s="11">
        <v>104260.0</v>
      </c>
      <c r="AX1425" s="11">
        <v>-42700.0</v>
      </c>
      <c r="AY1425" s="11">
        <v>-39900.0</v>
      </c>
      <c r="AZ1425" s="11">
        <v>-42730.0</v>
      </c>
      <c r="BA1425" s="11">
        <v>-40430.0</v>
      </c>
      <c r="BB1425" s="11">
        <v>-24980.0</v>
      </c>
      <c r="BC1425" s="13"/>
      <c r="BD1425" s="13"/>
      <c r="BE1425" s="13"/>
      <c r="BF1425" s="13"/>
      <c r="BG1425" s="13"/>
      <c r="BH1425" s="11">
        <v>40600.0</v>
      </c>
      <c r="BI1425" s="11">
        <v>20000.0</v>
      </c>
      <c r="BJ1425" s="11">
        <v>22580.0</v>
      </c>
      <c r="BK1425" s="11">
        <v>75770.0</v>
      </c>
      <c r="BL1425" s="11">
        <v>3930.0</v>
      </c>
      <c r="BM1425" s="11">
        <v>241500.0</v>
      </c>
      <c r="BN1425" s="11">
        <v>245000.0</v>
      </c>
      <c r="BO1425" s="11">
        <v>233410.0</v>
      </c>
      <c r="BP1425" s="11">
        <v>215980.0</v>
      </c>
      <c r="BQ1425" s="11">
        <v>179020.0</v>
      </c>
      <c r="BR1425" s="11">
        <v>59000.0</v>
      </c>
      <c r="BS1425" s="11">
        <v>51200.0</v>
      </c>
      <c r="BT1425" s="11">
        <v>48090.0</v>
      </c>
      <c r="BU1425" s="11">
        <v>41980.0</v>
      </c>
      <c r="BV1425" s="11">
        <v>36730.0</v>
      </c>
      <c r="BW1425" s="11">
        <v>349000.0</v>
      </c>
      <c r="BX1425" s="11">
        <v>324100.0</v>
      </c>
      <c r="BY1425" s="11">
        <v>311690.0</v>
      </c>
      <c r="BZ1425" s="11">
        <v>341290.0</v>
      </c>
      <c r="CA1425" s="11">
        <v>226290.0</v>
      </c>
      <c r="CB1425" s="11">
        <v>743300.0</v>
      </c>
      <c r="CC1425" s="11">
        <v>680200.0</v>
      </c>
      <c r="CD1425" s="11">
        <v>636270.0</v>
      </c>
      <c r="CE1425" s="11">
        <v>337410.0</v>
      </c>
      <c r="CF1425" s="11">
        <v>248120.0</v>
      </c>
      <c r="CG1425" s="11">
        <v>239500.0</v>
      </c>
      <c r="CH1425" s="11">
        <v>239300.0</v>
      </c>
      <c r="CI1425" s="11">
        <v>204730.0</v>
      </c>
      <c r="CJ1425" s="11">
        <v>133270.0</v>
      </c>
      <c r="CK1425" s="11">
        <v>100200.0</v>
      </c>
      <c r="CL1425" s="11">
        <v>1430000.0</v>
      </c>
      <c r="CM1425" s="11">
        <v>1370000.0</v>
      </c>
      <c r="CN1425" s="11">
        <v>1280000.0</v>
      </c>
      <c r="CO1425" s="11">
        <v>945400.0</v>
      </c>
      <c r="CP1425" s="11">
        <v>703380.0</v>
      </c>
      <c r="CQ1425" s="11">
        <v>136400.0</v>
      </c>
      <c r="CR1425" s="11">
        <v>125800.0</v>
      </c>
      <c r="CS1425" s="11">
        <v>117070.0</v>
      </c>
      <c r="CT1425" s="11">
        <v>110690.0</v>
      </c>
      <c r="CU1425" s="11">
        <v>80420.0</v>
      </c>
      <c r="CV1425" s="11">
        <v>245300.0</v>
      </c>
      <c r="CW1425" s="11">
        <v>12900.0</v>
      </c>
      <c r="CX1425" s="13"/>
      <c r="CY1425" s="13"/>
      <c r="CZ1425" s="13"/>
      <c r="DA1425" s="12"/>
      <c r="DB1425" s="11">
        <v>245300.0</v>
      </c>
      <c r="DC1425" s="11">
        <v>252900.0</v>
      </c>
      <c r="DD1425" s="11">
        <v>208440.0</v>
      </c>
      <c r="DE1425" s="11">
        <v>270010.0</v>
      </c>
      <c r="DF1425" s="11">
        <v>1060000.0</v>
      </c>
      <c r="DG1425" s="11">
        <v>1030000.0</v>
      </c>
      <c r="DH1425" s="11">
        <v>973990.0</v>
      </c>
      <c r="DI1425" s="11">
        <v>756570.0</v>
      </c>
      <c r="DJ1425" s="11">
        <v>569370.0</v>
      </c>
      <c r="DK1425" s="12"/>
      <c r="DL1425" s="12"/>
      <c r="DM1425" s="12"/>
      <c r="DN1425" s="12"/>
      <c r="DO1425" s="13"/>
      <c r="DP1425" s="11">
        <v>714500.0</v>
      </c>
      <c r="DQ1425" s="11">
        <v>683300.0</v>
      </c>
      <c r="DR1425" s="11">
        <v>667390.0</v>
      </c>
      <c r="DS1425" s="11">
        <v>432640.0</v>
      </c>
      <c r="DT1425" s="11">
        <v>266210.0</v>
      </c>
      <c r="DU1425" s="13"/>
      <c r="DV1425" s="12"/>
      <c r="DW1425" s="12"/>
      <c r="DX1425" s="13"/>
      <c r="DY1425" s="13"/>
      <c r="DZ1425" s="11">
        <v>343400.0</v>
      </c>
      <c r="EA1425" s="11">
        <v>312400.0</v>
      </c>
      <c r="EB1425" s="11">
        <v>280450.0</v>
      </c>
      <c r="EC1425" s="11">
        <v>188830.0</v>
      </c>
      <c r="ED1425" s="11">
        <v>134010.0</v>
      </c>
      <c r="EE1425" s="23">
        <v>0.134751773</v>
      </c>
      <c r="EF1425" s="23">
        <v>0.173611111</v>
      </c>
      <c r="EG1425" s="14">
        <v>0.846</v>
      </c>
      <c r="EH1425" s="23">
        <v>-0.08575</v>
      </c>
    </row>
    <row r="1426">
      <c r="A1426" s="9">
        <f t="shared" si="2"/>
        <v>1424</v>
      </c>
      <c r="B1426" s="10" t="s">
        <v>1561</v>
      </c>
      <c r="C1426" s="12"/>
      <c r="D1426" s="12"/>
      <c r="E1426" s="12">
        <v>6570.0</v>
      </c>
      <c r="F1426" s="12">
        <v>5540.0</v>
      </c>
      <c r="G1426" s="12">
        <v>6550.0</v>
      </c>
      <c r="H1426" s="12">
        <v>5750.0</v>
      </c>
      <c r="I1426" s="12">
        <v>10300.0</v>
      </c>
      <c r="J1426" s="12">
        <v>3600.0</v>
      </c>
      <c r="K1426" s="12">
        <v>2860.0</v>
      </c>
      <c r="L1426" s="12">
        <v>2390.0</v>
      </c>
      <c r="M1426" s="12">
        <v>0.0</v>
      </c>
      <c r="N1426" s="12">
        <v>-5470.0</v>
      </c>
      <c r="O1426" s="12">
        <v>4390.0</v>
      </c>
      <c r="P1426" s="12">
        <v>4000.0</v>
      </c>
      <c r="Q1426" s="12">
        <v>3380.0</v>
      </c>
      <c r="R1426" s="12">
        <v>2850.0</v>
      </c>
      <c r="S1426" s="12">
        <v>5420.0</v>
      </c>
      <c r="T1426" s="12">
        <v>0.0</v>
      </c>
      <c r="U1426" s="12">
        <v>0.0</v>
      </c>
      <c r="V1426" s="12">
        <v>0.0</v>
      </c>
      <c r="W1426" s="12">
        <v>0.0</v>
      </c>
      <c r="X1426" s="12">
        <v>0.0</v>
      </c>
      <c r="Y1426" s="15">
        <v>0.0</v>
      </c>
      <c r="Z1426" s="15">
        <v>0.0</v>
      </c>
      <c r="AA1426" s="15">
        <v>-4770.0</v>
      </c>
      <c r="AB1426" s="12">
        <v>-13350.0</v>
      </c>
      <c r="AC1426" s="12">
        <v>-67430.0</v>
      </c>
      <c r="AD1426" s="15">
        <v>0.0</v>
      </c>
      <c r="AE1426" s="15">
        <v>-1040.0</v>
      </c>
      <c r="AF1426" s="15">
        <v>-1360.0</v>
      </c>
      <c r="AG1426" s="12">
        <v>-11670.0</v>
      </c>
      <c r="AH1426" s="12">
        <v>-67280.0</v>
      </c>
      <c r="AI1426" s="15">
        <v>0.0</v>
      </c>
      <c r="AJ1426" s="15">
        <v>0.0</v>
      </c>
      <c r="AK1426" s="15">
        <v>0.0</v>
      </c>
      <c r="AL1426" s="12">
        <v>0.0</v>
      </c>
      <c r="AM1426" s="12">
        <v>-2330.0</v>
      </c>
      <c r="AN1426" s="15">
        <v>0.0</v>
      </c>
      <c r="AO1426" s="15">
        <v>-1040.0</v>
      </c>
      <c r="AP1426" s="15">
        <v>-1360.0</v>
      </c>
      <c r="AQ1426" s="12">
        <v>-11670.0</v>
      </c>
      <c r="AR1426" s="12">
        <v>-67280.0</v>
      </c>
      <c r="AS1426" s="15">
        <v>0.0</v>
      </c>
      <c r="AT1426" s="15">
        <v>0.0</v>
      </c>
      <c r="AU1426" s="15">
        <v>0.0</v>
      </c>
      <c r="AV1426" s="12">
        <v>-1410.0</v>
      </c>
      <c r="AW1426" s="12">
        <v>2500.0</v>
      </c>
      <c r="AX1426" s="15">
        <v>0.0</v>
      </c>
      <c r="AY1426" s="15">
        <v>-1310.0</v>
      </c>
      <c r="AZ1426" s="15">
        <v>0.0</v>
      </c>
      <c r="BA1426" s="12">
        <v>0.0</v>
      </c>
      <c r="BB1426" s="12">
        <v>-3620.0</v>
      </c>
      <c r="BC1426" s="12">
        <v>0.0</v>
      </c>
      <c r="BD1426" s="12">
        <v>0.0</v>
      </c>
      <c r="BE1426" s="12">
        <v>0.0</v>
      </c>
      <c r="BF1426" s="12">
        <v>0.0</v>
      </c>
      <c r="BG1426" s="12">
        <v>0.0</v>
      </c>
      <c r="BH1426" s="12">
        <v>1840.0</v>
      </c>
      <c r="BI1426" s="12">
        <v>2880.0</v>
      </c>
      <c r="BJ1426" s="12">
        <v>4150.0</v>
      </c>
      <c r="BK1426" s="12">
        <v>3170.0</v>
      </c>
      <c r="BL1426" s="12">
        <v>5240.0</v>
      </c>
      <c r="BM1426" s="12">
        <v>0.0</v>
      </c>
      <c r="BN1426" s="12">
        <v>0.0</v>
      </c>
      <c r="BO1426" s="12">
        <v>0.0</v>
      </c>
      <c r="BP1426" s="12">
        <v>0.0</v>
      </c>
      <c r="BQ1426" s="12">
        <v>1140.0</v>
      </c>
      <c r="BR1426" s="12">
        <v>0.0</v>
      </c>
      <c r="BS1426" s="12">
        <v>0.0</v>
      </c>
      <c r="BT1426" s="12">
        <v>0.0</v>
      </c>
      <c r="BU1426" s="12">
        <v>0.0</v>
      </c>
      <c r="BV1426" s="12">
        <v>0.0</v>
      </c>
      <c r="BW1426" s="12">
        <v>2690.0</v>
      </c>
      <c r="BX1426" s="12">
        <v>3690.0</v>
      </c>
      <c r="BY1426" s="12">
        <v>5920.0</v>
      </c>
      <c r="BZ1426" s="12">
        <v>4890.0</v>
      </c>
      <c r="CA1426" s="12">
        <v>6840.0</v>
      </c>
      <c r="CB1426" s="12">
        <v>10750.0</v>
      </c>
      <c r="CC1426" s="12">
        <v>11010.0</v>
      </c>
      <c r="CD1426" s="12">
        <v>9330.0</v>
      </c>
      <c r="CE1426" s="12">
        <v>11720.0</v>
      </c>
      <c r="CF1426" s="12">
        <v>26090.0</v>
      </c>
      <c r="CG1426" s="12">
        <v>0.0</v>
      </c>
      <c r="CH1426" s="12">
        <v>0.0</v>
      </c>
      <c r="CI1426" s="12">
        <v>0.0</v>
      </c>
      <c r="CJ1426" s="12">
        <v>0.0</v>
      </c>
      <c r="CK1426" s="12">
        <v>0.0</v>
      </c>
      <c r="CL1426" s="12">
        <v>13470.0</v>
      </c>
      <c r="CM1426" s="12">
        <v>14780.0</v>
      </c>
      <c r="CN1426" s="12">
        <v>15320.0</v>
      </c>
      <c r="CO1426" s="12">
        <v>16770.0</v>
      </c>
      <c r="CP1426" s="12">
        <v>33130.0</v>
      </c>
      <c r="CQ1426" s="12">
        <v>0.0</v>
      </c>
      <c r="CR1426" s="12">
        <v>0.0</v>
      </c>
      <c r="CS1426" s="12">
        <v>0.0</v>
      </c>
      <c r="CT1426" s="12">
        <v>2710.0</v>
      </c>
      <c r="CU1426" s="12">
        <v>7270.0</v>
      </c>
      <c r="CV1426" s="12">
        <v>1220.0</v>
      </c>
      <c r="CW1426" s="12">
        <v>0.0</v>
      </c>
      <c r="CX1426" s="12">
        <v>0.0</v>
      </c>
      <c r="CY1426" s="12">
        <v>0.0</v>
      </c>
      <c r="CZ1426" s="12">
        <v>0.0</v>
      </c>
      <c r="DA1426" s="12">
        <v>0.0</v>
      </c>
      <c r="DB1426" s="12">
        <v>1220.0</v>
      </c>
      <c r="DC1426" s="12">
        <v>1670.0</v>
      </c>
      <c r="DD1426" s="12">
        <v>1580.0</v>
      </c>
      <c r="DE1426" s="12">
        <v>10930.0</v>
      </c>
      <c r="DF1426" s="12">
        <v>2260.0</v>
      </c>
      <c r="DG1426" s="12">
        <v>3060.0</v>
      </c>
      <c r="DH1426" s="12">
        <v>4660.0</v>
      </c>
      <c r="DI1426" s="12">
        <v>13010.0</v>
      </c>
      <c r="DJ1426" s="12">
        <v>17660.0</v>
      </c>
      <c r="DK1426" s="12">
        <v>0.0</v>
      </c>
      <c r="DL1426" s="12">
        <v>0.0</v>
      </c>
      <c r="DM1426" s="12">
        <v>0.0</v>
      </c>
      <c r="DN1426" s="12">
        <v>0.0</v>
      </c>
      <c r="DO1426" s="12">
        <v>0.0</v>
      </c>
      <c r="DP1426" s="12">
        <v>0.0</v>
      </c>
      <c r="DQ1426" s="12">
        <v>0.0</v>
      </c>
      <c r="DR1426" s="12">
        <v>0.0</v>
      </c>
      <c r="DS1426" s="12">
        <v>0.0</v>
      </c>
      <c r="DT1426" s="12">
        <v>0.0</v>
      </c>
      <c r="DU1426" s="12">
        <v>2000.0</v>
      </c>
      <c r="DV1426" s="12">
        <v>2000.0</v>
      </c>
      <c r="DW1426" s="12">
        <v>2000.0</v>
      </c>
      <c r="DX1426" s="12">
        <v>0.0</v>
      </c>
      <c r="DY1426" s="12">
        <v>0.0</v>
      </c>
      <c r="DZ1426" s="15">
        <v>11210.0</v>
      </c>
      <c r="EA1426" s="12">
        <v>11720.0</v>
      </c>
      <c r="EB1426" s="12">
        <v>10660.0</v>
      </c>
      <c r="EC1426" s="12">
        <v>3760.0</v>
      </c>
      <c r="ED1426" s="12">
        <v>15480.0</v>
      </c>
      <c r="EE1426" s="31"/>
      <c r="EF1426" s="31"/>
      <c r="EG1426" s="31"/>
      <c r="EH1426" s="31"/>
    </row>
    <row r="1427">
      <c r="A1427" s="9">
        <f t="shared" si="2"/>
        <v>1425</v>
      </c>
      <c r="B1427" s="10" t="s">
        <v>1562</v>
      </c>
      <c r="C1427" s="15">
        <v>2.623E7</v>
      </c>
      <c r="D1427" s="15">
        <v>2.252E7</v>
      </c>
      <c r="E1427" s="15">
        <v>2.594E7</v>
      </c>
      <c r="F1427" s="15">
        <v>2.418E7</v>
      </c>
      <c r="G1427" s="15">
        <v>2.415E7</v>
      </c>
      <c r="H1427" s="15">
        <v>2.292E7</v>
      </c>
      <c r="I1427" s="15">
        <v>2.313E7</v>
      </c>
      <c r="J1427" s="15">
        <v>4590000.0</v>
      </c>
      <c r="K1427" s="15">
        <v>4310000.0</v>
      </c>
      <c r="L1427" s="15">
        <v>4220000.0</v>
      </c>
      <c r="M1427" s="15">
        <v>4050000.0</v>
      </c>
      <c r="N1427" s="15">
        <v>4010000.0</v>
      </c>
      <c r="O1427" s="15">
        <v>3840000.0</v>
      </c>
      <c r="P1427" s="15">
        <v>3650000.0</v>
      </c>
      <c r="Q1427" s="15">
        <v>3630000.0</v>
      </c>
      <c r="R1427" s="15">
        <v>3590000.0</v>
      </c>
      <c r="S1427" s="15">
        <v>3650000.0</v>
      </c>
      <c r="T1427" s="12"/>
      <c r="U1427" s="12"/>
      <c r="V1427" s="12"/>
      <c r="W1427" s="12"/>
      <c r="X1427" s="12"/>
      <c r="Y1427" s="15">
        <v>699000.0</v>
      </c>
      <c r="Z1427" s="15">
        <v>658000.0</v>
      </c>
      <c r="AA1427" s="15">
        <v>1000.0</v>
      </c>
      <c r="AB1427" s="15">
        <v>-107100.0</v>
      </c>
      <c r="AC1427" s="15">
        <v>477330.0</v>
      </c>
      <c r="AD1427" s="15">
        <v>511000.0</v>
      </c>
      <c r="AE1427" s="15">
        <v>496000.0</v>
      </c>
      <c r="AF1427" s="15">
        <v>404000.0</v>
      </c>
      <c r="AG1427" s="15">
        <v>131110.0</v>
      </c>
      <c r="AH1427" s="15">
        <v>192150.0</v>
      </c>
      <c r="AI1427" s="15">
        <v>1110000.0</v>
      </c>
      <c r="AJ1427" s="15">
        <v>999000.0</v>
      </c>
      <c r="AK1427" s="15">
        <v>965000.0</v>
      </c>
      <c r="AL1427" s="15">
        <v>888660.0</v>
      </c>
      <c r="AM1427" s="15">
        <v>761780.0</v>
      </c>
      <c r="AN1427" s="15">
        <v>385000.0</v>
      </c>
      <c r="AO1427" s="15">
        <v>407000.0</v>
      </c>
      <c r="AP1427" s="15">
        <v>444000.0</v>
      </c>
      <c r="AQ1427" s="15">
        <v>209790.0</v>
      </c>
      <c r="AR1427" s="15">
        <v>167520.0</v>
      </c>
      <c r="AS1427" s="15">
        <v>760000.0</v>
      </c>
      <c r="AT1427" s="15">
        <v>609000.0</v>
      </c>
      <c r="AU1427" s="15">
        <v>749000.0</v>
      </c>
      <c r="AV1427" s="15">
        <v>555640.0</v>
      </c>
      <c r="AW1427" s="15">
        <v>555770.0</v>
      </c>
      <c r="AX1427" s="15">
        <v>-258000.0</v>
      </c>
      <c r="AY1427" s="15">
        <v>-235000.0</v>
      </c>
      <c r="AZ1427" s="15">
        <v>-221000.0</v>
      </c>
      <c r="BA1427" s="15">
        <v>-164400.0</v>
      </c>
      <c r="BB1427" s="15">
        <v>-187410.0</v>
      </c>
      <c r="BC1427" s="13"/>
      <c r="BD1427" s="13"/>
      <c r="BE1427" s="13"/>
      <c r="BF1427" s="13">
        <v>-666330.0</v>
      </c>
      <c r="BG1427" s="13"/>
      <c r="BH1427" s="15">
        <v>90000.0</v>
      </c>
      <c r="BI1427" s="15">
        <v>104000.0</v>
      </c>
      <c r="BJ1427" s="15">
        <v>119000.0</v>
      </c>
      <c r="BK1427" s="15">
        <v>131090.0</v>
      </c>
      <c r="BL1427" s="15">
        <v>517800.0</v>
      </c>
      <c r="BM1427" s="15">
        <v>1640000.0</v>
      </c>
      <c r="BN1427" s="15">
        <v>1450000.0</v>
      </c>
      <c r="BO1427" s="15">
        <v>1400000.0</v>
      </c>
      <c r="BP1427" s="15">
        <v>1330000.0</v>
      </c>
      <c r="BQ1427" s="15">
        <v>1340000.0</v>
      </c>
      <c r="BR1427" s="12">
        <v>1430000.0</v>
      </c>
      <c r="BS1427" s="12">
        <v>1280000.0</v>
      </c>
      <c r="BT1427" s="12">
        <v>1210000.0</v>
      </c>
      <c r="BU1427" s="12">
        <v>1220000.0</v>
      </c>
      <c r="BV1427" s="12">
        <v>1110000.0</v>
      </c>
      <c r="BW1427" s="15">
        <v>3260000.0</v>
      </c>
      <c r="BX1427" s="15">
        <v>2980000.0</v>
      </c>
      <c r="BY1427" s="15">
        <v>2820000.0</v>
      </c>
      <c r="BZ1427" s="15">
        <v>2790000.0</v>
      </c>
      <c r="CA1427" s="15">
        <v>3060000.0</v>
      </c>
      <c r="CB1427" s="15">
        <v>2220000.0</v>
      </c>
      <c r="CC1427" s="15">
        <v>1840000.0</v>
      </c>
      <c r="CD1427" s="15">
        <v>1800000.0</v>
      </c>
      <c r="CE1427" s="15">
        <v>1770000.0</v>
      </c>
      <c r="CF1427" s="15">
        <v>1770000.0</v>
      </c>
      <c r="CG1427" s="15">
        <v>4730000.0</v>
      </c>
      <c r="CH1427" s="15">
        <v>3970000.0</v>
      </c>
      <c r="CI1427" s="15">
        <v>3970000.0</v>
      </c>
      <c r="CJ1427" s="15">
        <v>3910000.0</v>
      </c>
      <c r="CK1427" s="15">
        <v>3880000.0</v>
      </c>
      <c r="CL1427" s="15">
        <v>1.129E7</v>
      </c>
      <c r="CM1427" s="15">
        <v>9190000.0</v>
      </c>
      <c r="CN1427" s="15">
        <v>9040000.0</v>
      </c>
      <c r="CO1427" s="15">
        <v>8940000.0</v>
      </c>
      <c r="CP1427" s="15">
        <v>9450000.0</v>
      </c>
      <c r="CQ1427" s="15">
        <v>1460000.0</v>
      </c>
      <c r="CR1427" s="15">
        <v>1360000.0</v>
      </c>
      <c r="CS1427" s="15">
        <v>1290000.0</v>
      </c>
      <c r="CT1427" s="15">
        <v>1440000.0</v>
      </c>
      <c r="CU1427" s="15">
        <v>1270000.0</v>
      </c>
      <c r="CV1427" s="15">
        <v>2360000.0</v>
      </c>
      <c r="CW1427" s="15">
        <v>262000.0</v>
      </c>
      <c r="CX1427" s="13">
        <v>157000.0</v>
      </c>
      <c r="CY1427" s="13">
        <v>154000.0</v>
      </c>
      <c r="CZ1427" s="13"/>
      <c r="DA1427" s="12"/>
      <c r="DB1427" s="15">
        <v>2360000.0</v>
      </c>
      <c r="DC1427" s="15">
        <v>2080000.0</v>
      </c>
      <c r="DD1427" s="15">
        <v>2000000.0</v>
      </c>
      <c r="DE1427" s="15">
        <v>1970000.0</v>
      </c>
      <c r="DF1427" s="15">
        <v>7580000.0</v>
      </c>
      <c r="DG1427" s="15">
        <v>5960000.0</v>
      </c>
      <c r="DH1427" s="15">
        <v>6290000.0</v>
      </c>
      <c r="DI1427" s="15">
        <v>6410000.0</v>
      </c>
      <c r="DJ1427" s="15">
        <v>7530000.0</v>
      </c>
      <c r="DK1427" s="12">
        <v>8000.0</v>
      </c>
      <c r="DL1427" s="12">
        <v>11000.0</v>
      </c>
      <c r="DM1427" s="12">
        <v>12000.0</v>
      </c>
      <c r="DN1427" s="12"/>
      <c r="DO1427" s="15"/>
      <c r="DP1427" s="15">
        <v>4730000.0</v>
      </c>
      <c r="DQ1427" s="15">
        <v>3350000.0</v>
      </c>
      <c r="DR1427" s="12">
        <v>3650000.0</v>
      </c>
      <c r="DS1427" s="12">
        <v>3710000.0</v>
      </c>
      <c r="DT1427" s="12">
        <v>4680000.0</v>
      </c>
      <c r="DU1427" s="13"/>
      <c r="DV1427" s="12"/>
      <c r="DW1427" s="12"/>
      <c r="DX1427" s="13"/>
      <c r="DY1427" s="13">
        <v>38440.0</v>
      </c>
      <c r="DZ1427" s="15">
        <v>3710000.0</v>
      </c>
      <c r="EA1427" s="15">
        <v>3230000.0</v>
      </c>
      <c r="EB1427" s="15">
        <v>2750000.0</v>
      </c>
      <c r="EC1427" s="15">
        <v>2540000.0</v>
      </c>
      <c r="ED1427" s="15">
        <v>1910000.0</v>
      </c>
      <c r="EE1427" s="23">
        <v>0.165186501</v>
      </c>
      <c r="EF1427" s="23">
        <v>0.165459398</v>
      </c>
      <c r="EG1427" s="17">
        <v>-0.318</v>
      </c>
      <c r="EH1427" s="23">
        <v>-0.04725</v>
      </c>
    </row>
    <row r="1428">
      <c r="A1428" s="9">
        <f t="shared" si="2"/>
        <v>1426</v>
      </c>
      <c r="B1428" s="25" t="s">
        <v>1563</v>
      </c>
      <c r="C1428" s="12"/>
      <c r="D1428" s="12"/>
      <c r="E1428" s="12">
        <v>158280.0</v>
      </c>
      <c r="F1428" s="12">
        <v>144440.0</v>
      </c>
      <c r="G1428" s="12">
        <v>144840.0</v>
      </c>
      <c r="H1428" s="12">
        <v>139280.0</v>
      </c>
      <c r="I1428" s="12">
        <v>130840.0</v>
      </c>
      <c r="J1428" s="12">
        <v>41450.0</v>
      </c>
      <c r="K1428" s="12">
        <v>30270.0</v>
      </c>
      <c r="L1428" s="12">
        <v>34170.0</v>
      </c>
      <c r="M1428" s="12">
        <v>32880.0</v>
      </c>
      <c r="N1428" s="12">
        <v>28470.0</v>
      </c>
      <c r="O1428" s="12">
        <v>11280.0</v>
      </c>
      <c r="P1428" s="12">
        <v>10270.0</v>
      </c>
      <c r="Q1428" s="12">
        <v>9940.0</v>
      </c>
      <c r="R1428" s="12">
        <v>9400.0</v>
      </c>
      <c r="S1428" s="12">
        <v>9380.0</v>
      </c>
      <c r="T1428" s="12">
        <v>0.0</v>
      </c>
      <c r="U1428" s="12">
        <v>0.0</v>
      </c>
      <c r="V1428" s="12">
        <v>0.0</v>
      </c>
      <c r="W1428" s="12">
        <v>0.0</v>
      </c>
      <c r="X1428" s="12">
        <v>0.0</v>
      </c>
      <c r="Y1428" s="12">
        <v>29250.0</v>
      </c>
      <c r="Z1428" s="12">
        <v>0.0</v>
      </c>
      <c r="AA1428" s="12">
        <v>0.0</v>
      </c>
      <c r="AB1428" s="12">
        <v>0.0</v>
      </c>
      <c r="AC1428" s="12">
        <v>0.0</v>
      </c>
      <c r="AD1428" s="12">
        <v>30900.0</v>
      </c>
      <c r="AE1428" s="12">
        <v>21570.0</v>
      </c>
      <c r="AF1428" s="12">
        <v>24940.0</v>
      </c>
      <c r="AG1428" s="12">
        <v>23620.0</v>
      </c>
      <c r="AH1428" s="12">
        <v>17480.0</v>
      </c>
      <c r="AI1428" s="12">
        <v>47880.0</v>
      </c>
      <c r="AJ1428" s="12">
        <v>37610.0</v>
      </c>
      <c r="AK1428" s="12">
        <v>40780.0</v>
      </c>
      <c r="AL1428" s="12">
        <v>39620.0</v>
      </c>
      <c r="AM1428" s="12">
        <v>35120.0</v>
      </c>
      <c r="AN1428" s="12">
        <v>26060.0</v>
      </c>
      <c r="AO1428" s="12">
        <v>19690.0</v>
      </c>
      <c r="AP1428" s="12">
        <v>27150.0</v>
      </c>
      <c r="AQ1428" s="12">
        <v>17750.0</v>
      </c>
      <c r="AR1428" s="12">
        <v>12890.0</v>
      </c>
      <c r="AS1428" s="12">
        <v>47010.0</v>
      </c>
      <c r="AT1428" s="12">
        <v>38740.0</v>
      </c>
      <c r="AU1428" s="12">
        <v>34280.0</v>
      </c>
      <c r="AV1428" s="12">
        <v>37850.0</v>
      </c>
      <c r="AW1428" s="12">
        <v>32490.0</v>
      </c>
      <c r="AX1428" s="12">
        <v>-27100.0</v>
      </c>
      <c r="AY1428" s="12">
        <v>-53760.0</v>
      </c>
      <c r="AZ1428" s="12">
        <v>-21340.0</v>
      </c>
      <c r="BA1428" s="12">
        <v>-17660.0</v>
      </c>
      <c r="BB1428" s="12">
        <v>-11460.0</v>
      </c>
      <c r="BC1428" s="12">
        <v>-33060.0</v>
      </c>
      <c r="BD1428" s="12">
        <v>-3020.0</v>
      </c>
      <c r="BE1428" s="12">
        <v>-3010.0</v>
      </c>
      <c r="BF1428" s="12">
        <v>-2780.0</v>
      </c>
      <c r="BG1428" s="12">
        <v>-2800.0</v>
      </c>
      <c r="BH1428" s="12">
        <v>54260.0</v>
      </c>
      <c r="BI1428" s="12">
        <v>67220.0</v>
      </c>
      <c r="BJ1428" s="12">
        <v>85000.0</v>
      </c>
      <c r="BK1428" s="12">
        <v>74710.0</v>
      </c>
      <c r="BL1428" s="12">
        <v>59930.0</v>
      </c>
      <c r="BM1428" s="12">
        <v>23360.0</v>
      </c>
      <c r="BN1428" s="12">
        <v>19600.0</v>
      </c>
      <c r="BO1428" s="12">
        <v>16470.0</v>
      </c>
      <c r="BP1428" s="12">
        <v>16860.0</v>
      </c>
      <c r="BQ1428" s="12">
        <v>16180.0</v>
      </c>
      <c r="BR1428" s="12">
        <v>13390.0</v>
      </c>
      <c r="BS1428" s="12">
        <v>12850.0</v>
      </c>
      <c r="BT1428" s="12">
        <v>13550.0</v>
      </c>
      <c r="BU1428" s="12">
        <v>12430.0</v>
      </c>
      <c r="BV1428" s="12">
        <v>14730.0</v>
      </c>
      <c r="BW1428" s="12">
        <v>92740.0</v>
      </c>
      <c r="BX1428" s="12">
        <v>101360.0</v>
      </c>
      <c r="BY1428" s="12">
        <v>118020.0</v>
      </c>
      <c r="BZ1428" s="12">
        <v>105040.0</v>
      </c>
      <c r="CA1428" s="12">
        <v>91960.0</v>
      </c>
      <c r="CB1428" s="12">
        <v>153880.0</v>
      </c>
      <c r="CC1428" s="12">
        <v>142760.0</v>
      </c>
      <c r="CD1428" s="12">
        <v>109720.0</v>
      </c>
      <c r="CE1428" s="12">
        <v>104980.0</v>
      </c>
      <c r="CF1428" s="12">
        <v>104380.0</v>
      </c>
      <c r="CG1428" s="12">
        <v>0.0</v>
      </c>
      <c r="CH1428" s="12">
        <v>0.0</v>
      </c>
      <c r="CI1428" s="12">
        <v>0.0</v>
      </c>
      <c r="CJ1428" s="12">
        <v>0.0</v>
      </c>
      <c r="CK1428" s="12">
        <v>0.0</v>
      </c>
      <c r="CL1428" s="12">
        <v>248520.0</v>
      </c>
      <c r="CM1428" s="12">
        <v>245000.0</v>
      </c>
      <c r="CN1428" s="12">
        <v>228740.0</v>
      </c>
      <c r="CO1428" s="12">
        <v>210160.0</v>
      </c>
      <c r="CP1428" s="12">
        <v>196500.0</v>
      </c>
      <c r="CQ1428" s="12">
        <v>4430.0</v>
      </c>
      <c r="CR1428" s="12">
        <v>4570.0</v>
      </c>
      <c r="CS1428" s="12">
        <v>6260.0</v>
      </c>
      <c r="CT1428" s="12">
        <v>5590.0</v>
      </c>
      <c r="CU1428" s="12">
        <v>6020.0</v>
      </c>
      <c r="CV1428" s="12">
        <v>9460.0</v>
      </c>
      <c r="CW1428" s="12">
        <v>1290.0</v>
      </c>
      <c r="CX1428" s="16">
        <v>0.0</v>
      </c>
      <c r="CY1428" s="16">
        <v>0.0</v>
      </c>
      <c r="CZ1428" s="16">
        <v>0.0</v>
      </c>
      <c r="DA1428" s="12">
        <v>0.0</v>
      </c>
      <c r="DB1428" s="12">
        <v>9460.0</v>
      </c>
      <c r="DC1428" s="12">
        <v>7960.0</v>
      </c>
      <c r="DD1428" s="12">
        <v>9360.0</v>
      </c>
      <c r="DE1428" s="12">
        <v>9110.0</v>
      </c>
      <c r="DF1428" s="12">
        <v>31390.0</v>
      </c>
      <c r="DG1428" s="12">
        <v>22030.0</v>
      </c>
      <c r="DH1428" s="12">
        <v>23490.0</v>
      </c>
      <c r="DI1428" s="12">
        <v>30520.0</v>
      </c>
      <c r="DJ1428" s="12">
        <v>29870.0</v>
      </c>
      <c r="DK1428" s="12">
        <v>0.0</v>
      </c>
      <c r="DL1428" s="12">
        <v>0.0</v>
      </c>
      <c r="DM1428" s="12">
        <v>0.0</v>
      </c>
      <c r="DN1428" s="12">
        <v>0.0</v>
      </c>
      <c r="DO1428" s="12">
        <v>0.0</v>
      </c>
      <c r="DP1428" s="12">
        <v>1870.0</v>
      </c>
      <c r="DQ1428" s="12">
        <v>0.0</v>
      </c>
      <c r="DR1428" s="12">
        <v>0.0</v>
      </c>
      <c r="DS1428" s="15">
        <v>0.0</v>
      </c>
      <c r="DT1428" s="12">
        <v>0.0</v>
      </c>
      <c r="DU1428" s="16">
        <v>0.0</v>
      </c>
      <c r="DV1428" s="15">
        <v>0.0</v>
      </c>
      <c r="DW1428" s="15">
        <v>0.0</v>
      </c>
      <c r="DX1428" s="16">
        <v>0.0</v>
      </c>
      <c r="DY1428" s="16">
        <v>0.0</v>
      </c>
      <c r="DZ1428" s="12">
        <v>217130.0</v>
      </c>
      <c r="EA1428" s="12">
        <v>222970.0</v>
      </c>
      <c r="EB1428" s="12">
        <v>205250.0</v>
      </c>
      <c r="EC1428" s="12">
        <v>179640.0</v>
      </c>
      <c r="ED1428" s="12">
        <v>166630.0</v>
      </c>
      <c r="EE1428" s="23"/>
      <c r="EF1428" s="23"/>
      <c r="EG1428" s="17" t="s">
        <v>155</v>
      </c>
      <c r="EH1428" s="23"/>
    </row>
    <row r="1429">
      <c r="A1429" s="9">
        <f t="shared" si="2"/>
        <v>1427</v>
      </c>
      <c r="B1429" s="25" t="s">
        <v>1564</v>
      </c>
      <c r="C1429" s="15">
        <v>1140000.0</v>
      </c>
      <c r="D1429" s="15">
        <v>1080000.0</v>
      </c>
      <c r="E1429" s="15">
        <v>1060000.0</v>
      </c>
      <c r="F1429" s="15">
        <v>1190000.0</v>
      </c>
      <c r="G1429" s="15">
        <v>1050000.0</v>
      </c>
      <c r="H1429" s="15">
        <v>1010000.0</v>
      </c>
      <c r="I1429" s="15">
        <v>918500.0</v>
      </c>
      <c r="J1429" s="15">
        <v>858870.0</v>
      </c>
      <c r="K1429" s="15">
        <v>971810.0</v>
      </c>
      <c r="L1429" s="15">
        <v>851900.0</v>
      </c>
      <c r="M1429" s="15">
        <v>812410.0</v>
      </c>
      <c r="N1429" s="15">
        <v>748840.0</v>
      </c>
      <c r="O1429" s="15">
        <v>712680.0</v>
      </c>
      <c r="P1429" s="15">
        <v>783460.0</v>
      </c>
      <c r="Q1429" s="15">
        <v>719400.0</v>
      </c>
      <c r="R1429" s="15">
        <v>673790.0</v>
      </c>
      <c r="S1429" s="15">
        <v>607180.0</v>
      </c>
      <c r="T1429" s="15">
        <v>10260.0</v>
      </c>
      <c r="U1429" s="15">
        <v>10240.0</v>
      </c>
      <c r="V1429" s="15">
        <v>8950.0</v>
      </c>
      <c r="W1429" s="15">
        <v>8840.0</v>
      </c>
      <c r="X1429" s="15">
        <v>6420.0</v>
      </c>
      <c r="Y1429" s="12"/>
      <c r="Z1429" s="12"/>
      <c r="AA1429" s="12"/>
      <c r="AB1429" s="15"/>
      <c r="AC1429" s="15"/>
      <c r="AD1429" s="15">
        <v>150500.0</v>
      </c>
      <c r="AE1429" s="15">
        <v>191510.0</v>
      </c>
      <c r="AF1429" s="15">
        <v>134640.0</v>
      </c>
      <c r="AG1429" s="15">
        <v>138550.0</v>
      </c>
      <c r="AH1429" s="15">
        <v>142590.0</v>
      </c>
      <c r="AI1429" s="15">
        <v>168980.0</v>
      </c>
      <c r="AJ1429" s="15">
        <v>205080.0</v>
      </c>
      <c r="AK1429" s="15">
        <v>148460.0</v>
      </c>
      <c r="AL1429" s="15">
        <v>152100.0</v>
      </c>
      <c r="AM1429" s="15">
        <v>151640.0</v>
      </c>
      <c r="AN1429" s="15">
        <v>100530.0</v>
      </c>
      <c r="AO1429" s="15">
        <v>126220.0</v>
      </c>
      <c r="AP1429" s="15">
        <v>62540.0</v>
      </c>
      <c r="AQ1429" s="15">
        <v>100040.0</v>
      </c>
      <c r="AR1429" s="15">
        <v>94670.0</v>
      </c>
      <c r="AS1429" s="15">
        <v>126730.0</v>
      </c>
      <c r="AT1429" s="15">
        <v>152120.0</v>
      </c>
      <c r="AU1429" s="15">
        <v>123780.0</v>
      </c>
      <c r="AV1429" s="15">
        <v>137030.0</v>
      </c>
      <c r="AW1429" s="15">
        <v>111470.0</v>
      </c>
      <c r="AX1429" s="15">
        <v>-16570.0</v>
      </c>
      <c r="AY1429" s="15">
        <v>-11430.0</v>
      </c>
      <c r="AZ1429" s="15">
        <v>-13220.0</v>
      </c>
      <c r="BA1429" s="15">
        <v>-32700.0</v>
      </c>
      <c r="BB1429" s="15">
        <v>-23730.0</v>
      </c>
      <c r="BC1429" s="13"/>
      <c r="BD1429" s="13"/>
      <c r="BE1429" s="13"/>
      <c r="BF1429" s="13"/>
      <c r="BG1429" s="13"/>
      <c r="BH1429" s="15">
        <v>234830.0</v>
      </c>
      <c r="BI1429" s="15">
        <v>277870.0</v>
      </c>
      <c r="BJ1429" s="15">
        <v>247130.0</v>
      </c>
      <c r="BK1429" s="15">
        <v>175770.0</v>
      </c>
      <c r="BL1429" s="15">
        <v>143210.0</v>
      </c>
      <c r="BM1429" s="15">
        <v>8760.0</v>
      </c>
      <c r="BN1429" s="15">
        <v>14030.0</v>
      </c>
      <c r="BO1429" s="15">
        <v>13460.0</v>
      </c>
      <c r="BP1429" s="15">
        <v>17040.0</v>
      </c>
      <c r="BQ1429" s="15">
        <v>11780.0</v>
      </c>
      <c r="BR1429" s="15">
        <v>68910.0</v>
      </c>
      <c r="BS1429" s="15">
        <v>81950.0</v>
      </c>
      <c r="BT1429" s="15">
        <v>62920.0</v>
      </c>
      <c r="BU1429" s="15">
        <v>64810.0</v>
      </c>
      <c r="BV1429" s="15">
        <v>66120.0</v>
      </c>
      <c r="BW1429" s="15">
        <v>327610.0</v>
      </c>
      <c r="BX1429" s="15">
        <v>392340.0</v>
      </c>
      <c r="BY1429" s="15">
        <v>340160.0</v>
      </c>
      <c r="BZ1429" s="15">
        <v>277860.0</v>
      </c>
      <c r="CA1429" s="15">
        <v>240960.0</v>
      </c>
      <c r="CB1429" s="15">
        <v>126500.0</v>
      </c>
      <c r="CC1429" s="15">
        <v>92030.0</v>
      </c>
      <c r="CD1429" s="15">
        <v>102850.0</v>
      </c>
      <c r="CE1429" s="15">
        <v>101270.0</v>
      </c>
      <c r="CF1429" s="15">
        <v>87980.0</v>
      </c>
      <c r="CG1429" s="15">
        <v>16640.0</v>
      </c>
      <c r="CH1429" s="15">
        <v>16820.0</v>
      </c>
      <c r="CI1429" s="15">
        <v>17420.0</v>
      </c>
      <c r="CJ1429" s="15">
        <v>16720.0</v>
      </c>
      <c r="CK1429" s="15">
        <v>17430.0</v>
      </c>
      <c r="CL1429" s="15">
        <v>516930.0</v>
      </c>
      <c r="CM1429" s="15">
        <v>554460.0</v>
      </c>
      <c r="CN1429" s="15">
        <v>519270.0</v>
      </c>
      <c r="CO1429" s="15">
        <v>470640.0</v>
      </c>
      <c r="CP1429" s="15">
        <v>423240.0</v>
      </c>
      <c r="CQ1429" s="15">
        <v>12530.0</v>
      </c>
      <c r="CR1429" s="15">
        <v>9950.0</v>
      </c>
      <c r="CS1429" s="15">
        <v>11790.0</v>
      </c>
      <c r="CT1429" s="15">
        <v>9040.0</v>
      </c>
      <c r="CU1429" s="15">
        <v>10040.0</v>
      </c>
      <c r="CV1429" s="15">
        <v>136100.0</v>
      </c>
      <c r="CW1429" s="15">
        <v>8320.0</v>
      </c>
      <c r="CX1429" s="15"/>
      <c r="CY1429" s="15"/>
      <c r="CZ1429" s="15"/>
      <c r="DA1429" s="15"/>
      <c r="DB1429" s="15">
        <v>136100.0</v>
      </c>
      <c r="DC1429" s="15">
        <v>148690.0</v>
      </c>
      <c r="DD1429" s="15">
        <v>141180.0</v>
      </c>
      <c r="DE1429" s="15">
        <v>138490.0</v>
      </c>
      <c r="DF1429" s="15">
        <v>165220.0</v>
      </c>
      <c r="DG1429" s="15">
        <v>163320.0</v>
      </c>
      <c r="DH1429" s="15">
        <v>156060.0</v>
      </c>
      <c r="DI1429" s="15">
        <v>145360.0</v>
      </c>
      <c r="DJ1429" s="15">
        <v>142390.0</v>
      </c>
      <c r="DK1429" s="15">
        <v>2860.0</v>
      </c>
      <c r="DL1429" s="15">
        <v>2910.0</v>
      </c>
      <c r="DM1429" s="15">
        <v>3080.0</v>
      </c>
      <c r="DN1429" s="15">
        <v>2880.0</v>
      </c>
      <c r="DO1429" s="15">
        <v>3080.0</v>
      </c>
      <c r="DP1429" s="15">
        <v>17270.0</v>
      </c>
      <c r="DQ1429" s="15"/>
      <c r="DR1429" s="15"/>
      <c r="DS1429" s="15"/>
      <c r="DT1429" s="15"/>
      <c r="DU1429" s="13"/>
      <c r="DV1429" s="12"/>
      <c r="DW1429" s="12"/>
      <c r="DX1429" s="13"/>
      <c r="DY1429" s="15"/>
      <c r="DZ1429" s="15">
        <v>351710.0</v>
      </c>
      <c r="EA1429" s="15">
        <v>391150.0</v>
      </c>
      <c r="EB1429" s="15">
        <v>363210.0</v>
      </c>
      <c r="EC1429" s="15">
        <v>325290.0</v>
      </c>
      <c r="ED1429" s="15">
        <v>280850.0</v>
      </c>
      <c r="EE1429" s="17">
        <v>0.009</v>
      </c>
      <c r="EF1429" s="17">
        <v>0.053</v>
      </c>
      <c r="EG1429" s="17">
        <v>0.222</v>
      </c>
      <c r="EH1429" s="17">
        <v>0.353</v>
      </c>
    </row>
    <row r="1430">
      <c r="A1430" s="9">
        <f t="shared" si="2"/>
        <v>1428</v>
      </c>
      <c r="B1430" s="22" t="s">
        <v>1565</v>
      </c>
      <c r="C1430" s="11">
        <v>1400000.0</v>
      </c>
      <c r="D1430" s="11">
        <v>1420000.0</v>
      </c>
      <c r="E1430" s="11">
        <v>1450000.0</v>
      </c>
      <c r="F1430" s="11">
        <v>1630000.0</v>
      </c>
      <c r="G1430" s="11">
        <v>1730000.0</v>
      </c>
      <c r="H1430" s="11">
        <v>1600000.0</v>
      </c>
      <c r="I1430" s="11">
        <v>1470000.0</v>
      </c>
      <c r="J1430" s="11">
        <v>1330000.0</v>
      </c>
      <c r="K1430" s="11">
        <v>1430000.0</v>
      </c>
      <c r="L1430" s="11">
        <v>1620000.0</v>
      </c>
      <c r="M1430" s="11">
        <v>1530000.0</v>
      </c>
      <c r="N1430" s="11">
        <v>1400000.0</v>
      </c>
      <c r="O1430" s="11">
        <v>710000.0</v>
      </c>
      <c r="P1430" s="11">
        <v>618300.0</v>
      </c>
      <c r="Q1430" s="11">
        <v>594700.0</v>
      </c>
      <c r="R1430" s="11">
        <v>464400.0</v>
      </c>
      <c r="S1430" s="11">
        <v>697710.0</v>
      </c>
      <c r="T1430" s="11">
        <v>373800.0</v>
      </c>
      <c r="U1430" s="11">
        <v>357900.0</v>
      </c>
      <c r="V1430" s="11">
        <v>264600.0</v>
      </c>
      <c r="W1430" s="11">
        <v>147600.0</v>
      </c>
      <c r="X1430" s="11">
        <v>245100.0</v>
      </c>
      <c r="Y1430" s="11">
        <v>-166200.0</v>
      </c>
      <c r="Z1430" s="11">
        <v>751900.0</v>
      </c>
      <c r="AA1430" s="11">
        <v>765300.0</v>
      </c>
      <c r="AB1430" s="12"/>
      <c r="AC1430" s="12"/>
      <c r="AD1430" s="11">
        <v>-165000.0</v>
      </c>
      <c r="AE1430" s="11">
        <v>758900.0</v>
      </c>
      <c r="AF1430" s="11">
        <v>769500.0</v>
      </c>
      <c r="AG1430" s="11">
        <v>1060000.0</v>
      </c>
      <c r="AH1430" s="11">
        <v>1040000.0</v>
      </c>
      <c r="AI1430" s="11">
        <v>667100.0</v>
      </c>
      <c r="AJ1430" s="11">
        <v>846700.0</v>
      </c>
      <c r="AK1430" s="11">
        <v>1060000.0</v>
      </c>
      <c r="AL1430" s="11">
        <v>1090000.0</v>
      </c>
      <c r="AM1430" s="11">
        <v>731940.0</v>
      </c>
      <c r="AN1430" s="11">
        <v>-104500.0</v>
      </c>
      <c r="AO1430" s="11">
        <v>589200.0</v>
      </c>
      <c r="AP1430" s="11">
        <v>417900.0</v>
      </c>
      <c r="AQ1430" s="11">
        <v>713700.0</v>
      </c>
      <c r="AR1430" s="11">
        <v>651640.0</v>
      </c>
      <c r="AS1430" s="11">
        <v>-206600.0</v>
      </c>
      <c r="AT1430" s="11">
        <v>778400.0</v>
      </c>
      <c r="AU1430" s="11">
        <v>474200.0</v>
      </c>
      <c r="AV1430" s="11">
        <v>643600.0</v>
      </c>
      <c r="AW1430" s="11">
        <v>382760.0</v>
      </c>
      <c r="AX1430" s="11">
        <v>-83700.0</v>
      </c>
      <c r="AY1430" s="11">
        <v>-184400.0</v>
      </c>
      <c r="AZ1430" s="11">
        <v>-86300.0</v>
      </c>
      <c r="BA1430" s="11">
        <v>-43200.0</v>
      </c>
      <c r="BB1430" s="11">
        <v>-49790.0</v>
      </c>
      <c r="BC1430" s="12"/>
      <c r="BD1430" s="12"/>
      <c r="BE1430" s="12"/>
      <c r="BF1430" s="12"/>
      <c r="BG1430" s="12"/>
      <c r="BH1430" s="11">
        <v>1490000.0</v>
      </c>
      <c r="BI1430" s="11">
        <v>1420000.0</v>
      </c>
      <c r="BJ1430" s="11">
        <v>927400.0</v>
      </c>
      <c r="BK1430" s="11">
        <v>1050000.0</v>
      </c>
      <c r="BL1430" s="11">
        <v>953770.0</v>
      </c>
      <c r="BM1430" s="11">
        <v>151400.0</v>
      </c>
      <c r="BN1430" s="11">
        <v>175700.0</v>
      </c>
      <c r="BO1430" s="11">
        <v>297100.0</v>
      </c>
      <c r="BP1430" s="11">
        <v>214500.0</v>
      </c>
      <c r="BQ1430" s="11">
        <v>192830.0</v>
      </c>
      <c r="BR1430" s="11">
        <v>93400.0</v>
      </c>
      <c r="BS1430" s="11">
        <v>101000.0</v>
      </c>
      <c r="BT1430" s="11">
        <v>107900.0</v>
      </c>
      <c r="BU1430" s="11">
        <v>100000.0</v>
      </c>
      <c r="BV1430" s="11">
        <v>81330.0</v>
      </c>
      <c r="BW1430" s="11">
        <v>1860000.0</v>
      </c>
      <c r="BX1430" s="11">
        <v>1770000.0</v>
      </c>
      <c r="BY1430" s="11">
        <v>1450000.0</v>
      </c>
      <c r="BZ1430" s="11">
        <v>1420000.0</v>
      </c>
      <c r="CA1430" s="11">
        <v>1280000.0</v>
      </c>
      <c r="CB1430" s="11">
        <v>743300.0</v>
      </c>
      <c r="CC1430" s="11">
        <v>699700.0</v>
      </c>
      <c r="CD1430" s="11">
        <v>545700.0</v>
      </c>
      <c r="CE1430" s="11">
        <v>489300.0</v>
      </c>
      <c r="CF1430" s="11">
        <v>495770.0</v>
      </c>
      <c r="CG1430" s="11">
        <v>28000.0</v>
      </c>
      <c r="CH1430" s="11">
        <v>31500.0</v>
      </c>
      <c r="CI1430" s="11">
        <v>13700.0</v>
      </c>
      <c r="CJ1430" s="11">
        <v>10300.0</v>
      </c>
      <c r="CK1430" s="11">
        <v>10260.0</v>
      </c>
      <c r="CL1430" s="11">
        <v>3960000.0</v>
      </c>
      <c r="CM1430" s="11">
        <v>3450000.0</v>
      </c>
      <c r="CN1430" s="11">
        <v>2900000.0</v>
      </c>
      <c r="CO1430" s="11">
        <v>2360000.0</v>
      </c>
      <c r="CP1430" s="11">
        <v>2220000.0</v>
      </c>
      <c r="CQ1430" s="11">
        <v>9900.0</v>
      </c>
      <c r="CR1430" s="11">
        <v>23100.0</v>
      </c>
      <c r="CS1430" s="11">
        <v>8400.0</v>
      </c>
      <c r="CT1430" s="11">
        <v>8100.0</v>
      </c>
      <c r="CU1430" s="11">
        <v>7500.0</v>
      </c>
      <c r="CV1430" s="11">
        <v>463000.0</v>
      </c>
      <c r="CW1430" s="11">
        <v>1800.0</v>
      </c>
      <c r="CX1430" s="12"/>
      <c r="CY1430" s="12"/>
      <c r="CZ1430" s="12"/>
      <c r="DA1430" s="12"/>
      <c r="DB1430" s="11">
        <v>463000.0</v>
      </c>
      <c r="DC1430" s="11">
        <v>276600.0</v>
      </c>
      <c r="DD1430" s="11">
        <v>444700.0</v>
      </c>
      <c r="DE1430" s="11">
        <v>332500.0</v>
      </c>
      <c r="DF1430" s="11">
        <v>1180000.0</v>
      </c>
      <c r="DG1430" s="11">
        <v>646500.0</v>
      </c>
      <c r="DH1430" s="11">
        <v>777500.0</v>
      </c>
      <c r="DI1430" s="11">
        <v>495100.0</v>
      </c>
      <c r="DJ1430" s="11">
        <v>619250.0</v>
      </c>
      <c r="DK1430" s="11">
        <v>853500.0</v>
      </c>
      <c r="DL1430" s="11">
        <v>447600.0</v>
      </c>
      <c r="DM1430" s="11">
        <v>563100.0</v>
      </c>
      <c r="DN1430" s="11">
        <v>175500.0</v>
      </c>
      <c r="DO1430" s="11">
        <v>175200.0</v>
      </c>
      <c r="DP1430" s="11">
        <v>603000.0</v>
      </c>
      <c r="DQ1430" s="11">
        <v>250000.0</v>
      </c>
      <c r="DR1430" s="11">
        <v>250000.0</v>
      </c>
      <c r="DS1430" s="12"/>
      <c r="DT1430" s="12"/>
      <c r="DU1430" s="13"/>
      <c r="DV1430" s="11">
        <v>19200.0</v>
      </c>
      <c r="DW1430" s="11">
        <v>19200.0</v>
      </c>
      <c r="DX1430" s="11">
        <v>10900.0</v>
      </c>
      <c r="DY1430" s="11">
        <v>10880.0</v>
      </c>
      <c r="DZ1430" s="11">
        <v>2780000.0</v>
      </c>
      <c r="EA1430" s="11">
        <v>2810000.0</v>
      </c>
      <c r="EB1430" s="11">
        <v>2120000.0</v>
      </c>
      <c r="EC1430" s="11">
        <v>1860000.0</v>
      </c>
      <c r="ED1430" s="11">
        <v>1600000.0</v>
      </c>
      <c r="EE1430" s="14">
        <v>0.092</v>
      </c>
      <c r="EF1430" s="14">
        <v>0.321</v>
      </c>
      <c r="EG1430" s="14">
        <v>-0.157</v>
      </c>
      <c r="EH1430" s="14">
        <v>-0.085</v>
      </c>
    </row>
    <row r="1431">
      <c r="A1431" s="9">
        <f t="shared" si="2"/>
        <v>1429</v>
      </c>
      <c r="B1431" s="10" t="s">
        <v>1566</v>
      </c>
      <c r="C1431" s="15">
        <v>7.903E7</v>
      </c>
      <c r="D1431" s="15">
        <v>7.535E7</v>
      </c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3"/>
      <c r="BD1431" s="13"/>
      <c r="BE1431" s="13"/>
      <c r="BF1431" s="13"/>
      <c r="BG1431" s="13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3"/>
      <c r="CY1431" s="13"/>
      <c r="CZ1431" s="13"/>
      <c r="DA1431" s="12"/>
      <c r="DB1431" s="12"/>
      <c r="DC1431" s="12"/>
      <c r="DD1431" s="12"/>
      <c r="DE1431" s="12"/>
      <c r="DF1431" s="12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3"/>
      <c r="DV1431" s="12"/>
      <c r="DW1431" s="12"/>
      <c r="DX1431" s="13"/>
      <c r="DY1431" s="13"/>
      <c r="DZ1431" s="12"/>
      <c r="EA1431" s="12"/>
      <c r="EB1431" s="12"/>
      <c r="EC1431" s="12"/>
      <c r="ED1431" s="12"/>
      <c r="EE1431" s="17">
        <v>0.228</v>
      </c>
      <c r="EF1431" s="17">
        <v>0.175</v>
      </c>
      <c r="EG1431" s="17">
        <v>0.054</v>
      </c>
      <c r="EH1431" s="17">
        <v>0.083</v>
      </c>
    </row>
    <row r="1432">
      <c r="A1432" s="9">
        <f t="shared" si="2"/>
        <v>1430</v>
      </c>
      <c r="B1432" s="25" t="s">
        <v>1567</v>
      </c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3"/>
      <c r="BD1432" s="13"/>
      <c r="BE1432" s="13"/>
      <c r="BF1432" s="13"/>
      <c r="BG1432" s="13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3"/>
      <c r="CY1432" s="13"/>
      <c r="CZ1432" s="13"/>
      <c r="DA1432" s="12"/>
      <c r="DB1432" s="12"/>
      <c r="DC1432" s="12"/>
      <c r="DD1432" s="12"/>
      <c r="DE1432" s="12"/>
      <c r="DF1432" s="12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3"/>
      <c r="DV1432" s="12"/>
      <c r="DW1432" s="12"/>
      <c r="DX1432" s="13"/>
      <c r="DY1432" s="13"/>
      <c r="DZ1432" s="12"/>
      <c r="EA1432" s="12"/>
      <c r="EB1432" s="12"/>
      <c r="EC1432" s="12"/>
      <c r="ED1432" s="12"/>
      <c r="EE1432" s="17"/>
      <c r="EF1432" s="17"/>
      <c r="EG1432" s="17"/>
      <c r="EH1432" s="17"/>
    </row>
    <row r="1433">
      <c r="A1433" s="9">
        <f t="shared" si="2"/>
        <v>1431</v>
      </c>
      <c r="B1433" s="10" t="s">
        <v>1568</v>
      </c>
      <c r="C1433" s="15">
        <v>4000000.0</v>
      </c>
      <c r="D1433" s="15">
        <v>3070000.0</v>
      </c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3"/>
      <c r="CY1433" s="13"/>
      <c r="CZ1433" s="13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3"/>
      <c r="DV1433" s="12"/>
      <c r="DW1433" s="12"/>
      <c r="DX1433" s="13"/>
      <c r="DY1433" s="13"/>
      <c r="DZ1433" s="12"/>
      <c r="EA1433" s="12"/>
      <c r="EB1433" s="12"/>
      <c r="EC1433" s="12"/>
      <c r="ED1433" s="12"/>
      <c r="EE1433" s="17">
        <v>0.378</v>
      </c>
      <c r="EF1433" s="17">
        <v>0.373</v>
      </c>
      <c r="EG1433" s="17">
        <v>0.257</v>
      </c>
      <c r="EH1433" s="17">
        <v>0.073</v>
      </c>
    </row>
    <row r="1434">
      <c r="A1434" s="9">
        <f t="shared" si="2"/>
        <v>1432</v>
      </c>
      <c r="B1434" s="10" t="s">
        <v>1569</v>
      </c>
      <c r="C1434" s="15">
        <v>3.47E7</v>
      </c>
      <c r="D1434" s="15">
        <v>3.189E7</v>
      </c>
      <c r="E1434" s="15">
        <v>1.4864E8</v>
      </c>
      <c r="F1434" s="15">
        <v>1.3448E8</v>
      </c>
      <c r="G1434" s="15">
        <v>1.0853E8</v>
      </c>
      <c r="H1434" s="15">
        <v>9.463E7</v>
      </c>
      <c r="I1434" s="15">
        <v>7.806E7</v>
      </c>
      <c r="J1434" s="15">
        <v>6.316E7</v>
      </c>
      <c r="K1434" s="15">
        <v>5.209E7</v>
      </c>
      <c r="L1434" s="15">
        <v>4.008E7</v>
      </c>
      <c r="M1434" s="15">
        <v>3.248E7</v>
      </c>
      <c r="N1434" s="15">
        <v>1.36E7</v>
      </c>
      <c r="O1434" s="15">
        <v>3470000.0</v>
      </c>
      <c r="P1434" s="15">
        <v>3070000.0</v>
      </c>
      <c r="Q1434" s="15">
        <v>2490000.0</v>
      </c>
      <c r="R1434" s="15">
        <v>2440000.0</v>
      </c>
      <c r="S1434" s="15">
        <v>2900000.0</v>
      </c>
      <c r="T1434" s="15">
        <v>1770000.0</v>
      </c>
      <c r="U1434" s="15">
        <v>1380000.0</v>
      </c>
      <c r="V1434" s="15">
        <v>1090000.0</v>
      </c>
      <c r="W1434" s="15">
        <v>1100000.0</v>
      </c>
      <c r="X1434" s="15">
        <v>1330000.0</v>
      </c>
      <c r="Y1434" s="15">
        <v>8000000.0</v>
      </c>
      <c r="Z1434" s="15">
        <v>4.44E7</v>
      </c>
      <c r="AA1434" s="15">
        <v>3.611E7</v>
      </c>
      <c r="AB1434" s="15">
        <v>-4610000.0</v>
      </c>
      <c r="AC1434" s="15">
        <v>-4.38E7</v>
      </c>
      <c r="AD1434" s="15">
        <v>-8520000.0</v>
      </c>
      <c r="AE1434" s="15">
        <v>2.581E7</v>
      </c>
      <c r="AF1434" s="15">
        <v>2.458E7</v>
      </c>
      <c r="AG1434" s="15">
        <v>2.591E7</v>
      </c>
      <c r="AH1434" s="15">
        <v>-6.315E7</v>
      </c>
      <c r="AI1434" s="15">
        <v>4.372E7</v>
      </c>
      <c r="AJ1434" s="15">
        <v>6.057E7</v>
      </c>
      <c r="AK1434" s="15">
        <v>4.849E7</v>
      </c>
      <c r="AL1434" s="15">
        <v>4.101E7</v>
      </c>
      <c r="AM1434" s="15">
        <v>1.998E7</v>
      </c>
      <c r="AN1434" s="15">
        <v>-6670000.0</v>
      </c>
      <c r="AO1434" s="15">
        <v>2.597E7</v>
      </c>
      <c r="AP1434" s="15">
        <v>2.021E7</v>
      </c>
      <c r="AQ1434" s="15">
        <v>1.746E7</v>
      </c>
      <c r="AR1434" s="15">
        <v>-4.352E7</v>
      </c>
      <c r="AS1434" s="15">
        <v>4.871E7</v>
      </c>
      <c r="AT1434" s="15">
        <v>4.884E7</v>
      </c>
      <c r="AU1434" s="15">
        <v>4.071E7</v>
      </c>
      <c r="AV1434" s="15">
        <v>2.181E7</v>
      </c>
      <c r="AW1434" s="15">
        <v>1.678E7</v>
      </c>
      <c r="AX1434" s="15">
        <v>-1.477E7</v>
      </c>
      <c r="AY1434" s="15">
        <v>-1.39E7</v>
      </c>
      <c r="AZ1434" s="15">
        <v>-1.224E7</v>
      </c>
      <c r="BA1434" s="15">
        <v>-1.734E7</v>
      </c>
      <c r="BB1434" s="15">
        <v>-2.693E7</v>
      </c>
      <c r="BC1434" s="16">
        <v>0.0</v>
      </c>
      <c r="BD1434" s="15">
        <v>-1.242E7</v>
      </c>
      <c r="BE1434" s="15">
        <v>-4670000.0</v>
      </c>
      <c r="BF1434" s="15">
        <v>-857000.0</v>
      </c>
      <c r="BG1434" s="15">
        <v>-5030000.0</v>
      </c>
      <c r="BH1434" s="15">
        <v>3.296E7</v>
      </c>
      <c r="BI1434" s="15">
        <v>2.269E7</v>
      </c>
      <c r="BJ1434" s="15">
        <v>1.473E7</v>
      </c>
      <c r="BK1434" s="15">
        <v>1.484E7</v>
      </c>
      <c r="BL1434" s="15">
        <v>1.461E7</v>
      </c>
      <c r="BM1434" s="15">
        <v>1.52E7</v>
      </c>
      <c r="BN1434" s="15">
        <v>1.509E7</v>
      </c>
      <c r="BO1434" s="15">
        <v>1.876E7</v>
      </c>
      <c r="BP1434" s="15">
        <v>1.723E7</v>
      </c>
      <c r="BQ1434" s="15">
        <v>1.152E7</v>
      </c>
      <c r="BR1434" s="15">
        <v>1.723E7</v>
      </c>
      <c r="BS1434" s="15">
        <v>1.722E7</v>
      </c>
      <c r="BT1434" s="15">
        <v>1.299E7</v>
      </c>
      <c r="BU1434" s="15">
        <v>1.091E7</v>
      </c>
      <c r="BV1434" s="15">
        <v>1.378E7</v>
      </c>
      <c r="BW1434" s="15">
        <v>6.87E7</v>
      </c>
      <c r="BX1434" s="15">
        <v>5.926E7</v>
      </c>
      <c r="BY1434" s="15">
        <v>6.27E7</v>
      </c>
      <c r="BZ1434" s="15">
        <v>7.355E7</v>
      </c>
      <c r="CA1434" s="15">
        <v>6.042E7</v>
      </c>
      <c r="CB1434" s="15">
        <v>1.8773E8</v>
      </c>
      <c r="CC1434" s="15">
        <v>1.8748E8</v>
      </c>
      <c r="CD1434" s="15">
        <v>1.8154E8</v>
      </c>
      <c r="CE1434" s="15">
        <v>1.8062E8</v>
      </c>
      <c r="CF1434" s="15">
        <v>2.1126E8</v>
      </c>
      <c r="CG1434" s="15">
        <v>1.463E7</v>
      </c>
      <c r="CH1434" s="15">
        <v>1.416E7</v>
      </c>
      <c r="CI1434" s="15">
        <v>1.359E7</v>
      </c>
      <c r="CJ1434" s="15">
        <v>1.004E7</v>
      </c>
      <c r="CK1434" s="15">
        <v>1.154E7</v>
      </c>
      <c r="CL1434" s="15">
        <v>3.6967E8</v>
      </c>
      <c r="CM1434" s="15">
        <v>3.4171E8</v>
      </c>
      <c r="CN1434" s="15">
        <v>3.281E8</v>
      </c>
      <c r="CO1434" s="15">
        <v>3.227E8</v>
      </c>
      <c r="CP1434" s="15">
        <v>3.4555E8</v>
      </c>
      <c r="CQ1434" s="15">
        <v>1.656E7</v>
      </c>
      <c r="CR1434" s="15">
        <v>1.361E7</v>
      </c>
      <c r="CS1434" s="15">
        <v>1.337E7</v>
      </c>
      <c r="CT1434" s="15">
        <v>1.183E7</v>
      </c>
      <c r="CU1434" s="15">
        <v>1.314E7</v>
      </c>
      <c r="CV1434" s="15">
        <v>5.581E7</v>
      </c>
      <c r="CW1434" s="15">
        <v>4080000.0</v>
      </c>
      <c r="CX1434" s="15">
        <v>3000000.0</v>
      </c>
      <c r="CY1434" s="15">
        <v>3910000.0</v>
      </c>
      <c r="CZ1434" s="15">
        <v>3460000.0</v>
      </c>
      <c r="DA1434" s="15">
        <v>7860000.0</v>
      </c>
      <c r="DB1434" s="15">
        <v>5.581E7</v>
      </c>
      <c r="DC1434" s="15">
        <v>3.529E7</v>
      </c>
      <c r="DD1434" s="15">
        <v>4.336E7</v>
      </c>
      <c r="DE1434" s="15">
        <v>3.661E7</v>
      </c>
      <c r="DF1434" s="15">
        <v>2.1252E8</v>
      </c>
      <c r="DG1434" s="15">
        <v>1.6803E8</v>
      </c>
      <c r="DH1434" s="15">
        <v>1.7999E8</v>
      </c>
      <c r="DI1434" s="15">
        <v>1.8899E8</v>
      </c>
      <c r="DJ1434" s="15">
        <v>2.0613E8</v>
      </c>
      <c r="DK1434" s="15">
        <v>2.475E7</v>
      </c>
      <c r="DL1434" s="15">
        <v>2.449E7</v>
      </c>
      <c r="DM1434" s="15">
        <v>1.987E7</v>
      </c>
      <c r="DN1434" s="15">
        <v>1.664E7</v>
      </c>
      <c r="DO1434" s="15">
        <v>1.529E7</v>
      </c>
      <c r="DP1434" s="15">
        <v>1.272E7</v>
      </c>
      <c r="DQ1434" s="15">
        <v>1.242E7</v>
      </c>
      <c r="DR1434" s="15">
        <v>1.153E7</v>
      </c>
      <c r="DS1434" s="15">
        <v>1.172E7</v>
      </c>
      <c r="DT1434" s="15">
        <v>1.237E7</v>
      </c>
      <c r="DU1434" s="16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1.6148E8</v>
      </c>
      <c r="EA1434" s="15">
        <v>1.704E8</v>
      </c>
      <c r="EB1434" s="15">
        <v>1.4376E8</v>
      </c>
      <c r="EC1434" s="15">
        <v>1.2724E8</v>
      </c>
      <c r="ED1434" s="15">
        <v>1.3116E8</v>
      </c>
      <c r="EE1434" s="17">
        <v>0.344</v>
      </c>
      <c r="EF1434" s="17">
        <v>0.338</v>
      </c>
      <c r="EG1434" s="17">
        <v>-0.611</v>
      </c>
      <c r="EH1434" s="17">
        <v>-0.66</v>
      </c>
    </row>
    <row r="1435">
      <c r="A1435" s="9">
        <f t="shared" si="2"/>
        <v>1433</v>
      </c>
      <c r="B1435" s="22" t="s">
        <v>1570</v>
      </c>
      <c r="C1435" s="11">
        <v>1800.0</v>
      </c>
      <c r="D1435" s="12"/>
      <c r="E1435" s="11">
        <v>2220.0</v>
      </c>
      <c r="F1435" s="11">
        <v>3360.0</v>
      </c>
      <c r="G1435" s="11">
        <v>865.0</v>
      </c>
      <c r="H1435" s="11">
        <v>548.0</v>
      </c>
      <c r="I1435" s="11">
        <v>955.0</v>
      </c>
      <c r="J1435" s="11">
        <v>-6890.0</v>
      </c>
      <c r="K1435" s="11">
        <v>-1150.0</v>
      </c>
      <c r="L1435" s="11">
        <v>-4330.0</v>
      </c>
      <c r="M1435" s="11">
        <v>-3120.0</v>
      </c>
      <c r="N1435" s="11">
        <v>-3660.0</v>
      </c>
      <c r="O1435" s="11">
        <v>39220.0</v>
      </c>
      <c r="P1435" s="11">
        <v>58980.0</v>
      </c>
      <c r="Q1435" s="11">
        <v>32950.0</v>
      </c>
      <c r="R1435" s="11">
        <v>21730.0</v>
      </c>
      <c r="S1435" s="11">
        <v>7300.0</v>
      </c>
      <c r="T1435" s="11">
        <v>26330.0</v>
      </c>
      <c r="U1435" s="11">
        <v>38470.0</v>
      </c>
      <c r="V1435" s="11">
        <v>20920.0</v>
      </c>
      <c r="W1435" s="11">
        <v>9970.0</v>
      </c>
      <c r="X1435" s="11">
        <v>618.0</v>
      </c>
      <c r="Y1435" s="11">
        <v>-52400.0</v>
      </c>
      <c r="Z1435" s="11">
        <v>-60410.0</v>
      </c>
      <c r="AA1435" s="12"/>
      <c r="AB1435" s="12"/>
      <c r="AC1435" s="11">
        <v>-12320.0</v>
      </c>
      <c r="AD1435" s="11">
        <v>-54810.0</v>
      </c>
      <c r="AE1435" s="11">
        <v>-63600.0</v>
      </c>
      <c r="AF1435" s="11">
        <v>-39430.0</v>
      </c>
      <c r="AG1435" s="11">
        <v>-24990.0</v>
      </c>
      <c r="AH1435" s="11">
        <v>-14880.0</v>
      </c>
      <c r="AI1435" s="11">
        <v>-44900.0</v>
      </c>
      <c r="AJ1435" s="11">
        <v>-59590.0</v>
      </c>
      <c r="AK1435" s="11">
        <v>-36550.0</v>
      </c>
      <c r="AL1435" s="11">
        <v>-24240.0</v>
      </c>
      <c r="AM1435" s="11">
        <v>-9820.0</v>
      </c>
      <c r="AN1435" s="11">
        <v>-54810.0</v>
      </c>
      <c r="AO1435" s="11">
        <v>-63600.0</v>
      </c>
      <c r="AP1435" s="11">
        <v>-39000.0</v>
      </c>
      <c r="AQ1435" s="11">
        <v>-23210.0</v>
      </c>
      <c r="AR1435" s="11">
        <v>-14760.0</v>
      </c>
      <c r="AS1435" s="11">
        <v>-48710.0</v>
      </c>
      <c r="AT1435" s="11">
        <v>-45530.0</v>
      </c>
      <c r="AU1435" s="11">
        <v>-31380.0</v>
      </c>
      <c r="AV1435" s="11">
        <v>-18520.0</v>
      </c>
      <c r="AW1435" s="11">
        <v>-9050.0</v>
      </c>
      <c r="AX1435" s="11">
        <v>-3670.0</v>
      </c>
      <c r="AY1435" s="11">
        <v>-5990.0</v>
      </c>
      <c r="AZ1435" s="11">
        <v>-640.0</v>
      </c>
      <c r="BA1435" s="11">
        <v>-585.0</v>
      </c>
      <c r="BB1435" s="11">
        <v>-549.0</v>
      </c>
      <c r="BC1435" s="12"/>
      <c r="BD1435" s="12"/>
      <c r="BE1435" s="12"/>
      <c r="BF1435" s="12"/>
      <c r="BG1435" s="12"/>
      <c r="BH1435" s="11">
        <v>44210.0</v>
      </c>
      <c r="BI1435" s="11">
        <v>59270.0</v>
      </c>
      <c r="BJ1435" s="11">
        <v>67690.0</v>
      </c>
      <c r="BK1435" s="11">
        <v>32280.0</v>
      </c>
      <c r="BL1435" s="11">
        <v>12480.0</v>
      </c>
      <c r="BM1435" s="11">
        <v>201.0</v>
      </c>
      <c r="BN1435" s="11">
        <v>56.0</v>
      </c>
      <c r="BO1435" s="11">
        <v>143.0</v>
      </c>
      <c r="BP1435" s="11">
        <v>10.0</v>
      </c>
      <c r="BQ1435" s="11">
        <v>260.0</v>
      </c>
      <c r="BR1435" s="11">
        <v>1080.0</v>
      </c>
      <c r="BS1435" s="11">
        <v>911.0</v>
      </c>
      <c r="BT1435" s="11">
        <v>788.0</v>
      </c>
      <c r="BU1435" s="11">
        <v>830.0</v>
      </c>
      <c r="BV1435" s="11">
        <v>1320.0</v>
      </c>
      <c r="BW1435" s="11">
        <v>46790.0</v>
      </c>
      <c r="BX1435" s="11">
        <v>61730.0</v>
      </c>
      <c r="BY1435" s="11">
        <v>70430.0</v>
      </c>
      <c r="BZ1435" s="11">
        <v>34360.0</v>
      </c>
      <c r="CA1435" s="11">
        <v>14520.0</v>
      </c>
      <c r="CB1435" s="11">
        <v>11650.0</v>
      </c>
      <c r="CC1435" s="11">
        <v>8530.0</v>
      </c>
      <c r="CD1435" s="11">
        <v>2250.0</v>
      </c>
      <c r="CE1435" s="11">
        <v>1850.0</v>
      </c>
      <c r="CF1435" s="11">
        <v>1750.0</v>
      </c>
      <c r="CG1435" s="11">
        <v>2210.0</v>
      </c>
      <c r="CH1435" s="11">
        <v>8270.0</v>
      </c>
      <c r="CI1435" s="11">
        <v>8970.0</v>
      </c>
      <c r="CJ1435" s="11">
        <v>8390.0</v>
      </c>
      <c r="CK1435" s="12"/>
      <c r="CL1435" s="11">
        <v>122200.0</v>
      </c>
      <c r="CM1435" s="11">
        <v>137610.0</v>
      </c>
      <c r="CN1435" s="11">
        <v>145660.0</v>
      </c>
      <c r="CO1435" s="11">
        <v>104750.0</v>
      </c>
      <c r="CP1435" s="11">
        <v>29550.0</v>
      </c>
      <c r="CQ1435" s="11">
        <v>1130.0</v>
      </c>
      <c r="CR1435" s="11">
        <v>6060.0</v>
      </c>
      <c r="CS1435" s="11">
        <v>1810.0</v>
      </c>
      <c r="CT1435" s="11">
        <v>2020.0</v>
      </c>
      <c r="CU1435" s="11">
        <v>408.0</v>
      </c>
      <c r="CV1435" s="11">
        <v>29760.0</v>
      </c>
      <c r="CW1435" s="11">
        <v>642.0</v>
      </c>
      <c r="CX1435" s="12"/>
      <c r="CY1435" s="12"/>
      <c r="CZ1435" s="12"/>
      <c r="DA1435" s="12"/>
      <c r="DB1435" s="11">
        <v>29760.0</v>
      </c>
      <c r="DC1435" s="11">
        <v>23380.0</v>
      </c>
      <c r="DD1435" s="11">
        <v>13240.0</v>
      </c>
      <c r="DE1435" s="11">
        <v>7610.0</v>
      </c>
      <c r="DF1435" s="11">
        <v>33950.0</v>
      </c>
      <c r="DG1435" s="11">
        <v>39470.0</v>
      </c>
      <c r="DH1435" s="11">
        <v>25870.0</v>
      </c>
      <c r="DI1435" s="11">
        <v>21020.0</v>
      </c>
      <c r="DJ1435" s="11">
        <v>4560.0</v>
      </c>
      <c r="DK1435" s="12"/>
      <c r="DL1435" s="12"/>
      <c r="DM1435" s="12"/>
      <c r="DN1435" s="12"/>
      <c r="DO1435" s="12"/>
      <c r="DP1435" s="11">
        <v>817.0</v>
      </c>
      <c r="DQ1435" s="11">
        <v>12930.0</v>
      </c>
      <c r="DR1435" s="11">
        <v>11540.0</v>
      </c>
      <c r="DS1435" s="11">
        <v>8610.0</v>
      </c>
      <c r="DT1435" s="12"/>
      <c r="DU1435" s="12"/>
      <c r="DV1435" s="12"/>
      <c r="DW1435" s="13"/>
      <c r="DX1435" s="12"/>
      <c r="DY1435" s="12"/>
      <c r="DZ1435" s="11">
        <v>88260.0</v>
      </c>
      <c r="EA1435" s="11">
        <v>98130.0</v>
      </c>
      <c r="EB1435" s="11">
        <v>119790.0</v>
      </c>
      <c r="EC1435" s="11">
        <v>83730.0</v>
      </c>
      <c r="ED1435" s="11">
        <v>24990.0</v>
      </c>
      <c r="EE1435" s="23"/>
      <c r="EF1435" s="14">
        <v>0.0</v>
      </c>
      <c r="EG1435" s="14">
        <v>-0.368</v>
      </c>
      <c r="EH1435" s="14">
        <v>-0.19</v>
      </c>
    </row>
    <row r="1436">
      <c r="A1436" s="9">
        <f t="shared" si="2"/>
        <v>1434</v>
      </c>
      <c r="B1436" s="22" t="s">
        <v>1571</v>
      </c>
      <c r="C1436" s="11">
        <v>159710.0</v>
      </c>
      <c r="D1436" s="11">
        <v>118310.0</v>
      </c>
      <c r="E1436" s="11">
        <v>117850.0</v>
      </c>
      <c r="F1436" s="11">
        <v>90860.0</v>
      </c>
      <c r="G1436" s="11">
        <v>63920.0</v>
      </c>
      <c r="H1436" s="11">
        <v>54380.0</v>
      </c>
      <c r="I1436" s="11">
        <v>51170.0</v>
      </c>
      <c r="J1436" s="11">
        <v>80280.0</v>
      </c>
      <c r="K1436" s="11">
        <v>58700.0</v>
      </c>
      <c r="L1436" s="11">
        <v>33570.0</v>
      </c>
      <c r="M1436" s="11">
        <v>26080.0</v>
      </c>
      <c r="N1436" s="11">
        <v>24700.0</v>
      </c>
      <c r="O1436" s="11">
        <v>91530.0</v>
      </c>
      <c r="P1436" s="11">
        <v>62610.0</v>
      </c>
      <c r="Q1436" s="11">
        <v>48550.0</v>
      </c>
      <c r="R1436" s="11">
        <v>42380.0</v>
      </c>
      <c r="S1436" s="11">
        <v>41370.0</v>
      </c>
      <c r="T1436" s="11">
        <v>30390.0</v>
      </c>
      <c r="U1436" s="11">
        <v>13600.0</v>
      </c>
      <c r="V1436" s="11">
        <v>12940.0</v>
      </c>
      <c r="W1436" s="11">
        <v>15000.0</v>
      </c>
      <c r="X1436" s="11">
        <v>18890.0</v>
      </c>
      <c r="Y1436" s="12"/>
      <c r="Z1436" s="11">
        <v>-7270.0</v>
      </c>
      <c r="AA1436" s="11">
        <v>-16100.0</v>
      </c>
      <c r="AB1436" s="11">
        <v>-19250.0</v>
      </c>
      <c r="AC1436" s="11">
        <v>-16350.0</v>
      </c>
      <c r="AD1436" s="11">
        <v>-9670.0</v>
      </c>
      <c r="AE1436" s="11">
        <v>-8140.0</v>
      </c>
      <c r="AF1436" s="11">
        <v>-17290.0</v>
      </c>
      <c r="AG1436" s="11">
        <v>-19570.0</v>
      </c>
      <c r="AH1436" s="11">
        <v>-16340.0</v>
      </c>
      <c r="AI1436" s="11">
        <v>-6720.0</v>
      </c>
      <c r="AJ1436" s="11">
        <v>-2480.0</v>
      </c>
      <c r="AK1436" s="11">
        <v>-13370.0</v>
      </c>
      <c r="AL1436" s="11">
        <v>-14420.0</v>
      </c>
      <c r="AM1436" s="11">
        <v>-15080.0</v>
      </c>
      <c r="AN1436" s="11">
        <v>-9670.0</v>
      </c>
      <c r="AO1436" s="11">
        <v>-8140.0</v>
      </c>
      <c r="AP1436" s="11">
        <v>-17290.0</v>
      </c>
      <c r="AQ1436" s="11">
        <v>-19570.0</v>
      </c>
      <c r="AR1436" s="11">
        <v>-16340.0</v>
      </c>
      <c r="AS1436" s="11">
        <v>-4670.0</v>
      </c>
      <c r="AT1436" s="11">
        <v>-412.0</v>
      </c>
      <c r="AU1436" s="11">
        <v>-13180.0</v>
      </c>
      <c r="AV1436" s="11">
        <v>-19890.0</v>
      </c>
      <c r="AW1436" s="11">
        <v>-13350.0</v>
      </c>
      <c r="AX1436" s="11">
        <v>-2620.0</v>
      </c>
      <c r="AY1436" s="11">
        <v>-2680.0</v>
      </c>
      <c r="AZ1436" s="11">
        <v>-1510.0</v>
      </c>
      <c r="BA1436" s="11">
        <v>-1420.0</v>
      </c>
      <c r="BB1436" s="11">
        <v>-2430.0</v>
      </c>
      <c r="BC1436" s="12"/>
      <c r="BD1436" s="12"/>
      <c r="BE1436" s="12"/>
      <c r="BF1436" s="12"/>
      <c r="BG1436" s="12"/>
      <c r="BH1436" s="11">
        <v>69720.0</v>
      </c>
      <c r="BI1436" s="11">
        <v>82920.0</v>
      </c>
      <c r="BJ1436" s="11">
        <v>26860.0</v>
      </c>
      <c r="BK1436" s="11">
        <v>22980.0</v>
      </c>
      <c r="BL1436" s="11">
        <v>14580.0</v>
      </c>
      <c r="BM1436" s="11">
        <v>32170.0</v>
      </c>
      <c r="BN1436" s="11">
        <v>23450.0</v>
      </c>
      <c r="BO1436" s="11">
        <v>18270.0</v>
      </c>
      <c r="BP1436" s="11">
        <v>17090.0</v>
      </c>
      <c r="BQ1436" s="11">
        <v>10920.0</v>
      </c>
      <c r="BR1436" s="11">
        <v>6820.0</v>
      </c>
      <c r="BS1436" s="11">
        <v>3560.0</v>
      </c>
      <c r="BT1436" s="11">
        <v>3790.0</v>
      </c>
      <c r="BU1436" s="11">
        <v>3490.0</v>
      </c>
      <c r="BV1436" s="11">
        <v>1380.0</v>
      </c>
      <c r="BW1436" s="11">
        <v>111660.0</v>
      </c>
      <c r="BX1436" s="11">
        <v>112780.0</v>
      </c>
      <c r="BY1436" s="11">
        <v>50510.0</v>
      </c>
      <c r="BZ1436" s="11">
        <v>44720.0</v>
      </c>
      <c r="CA1436" s="11">
        <v>27340.0</v>
      </c>
      <c r="CB1436" s="11">
        <v>32250.0</v>
      </c>
      <c r="CC1436" s="11">
        <v>5910.0</v>
      </c>
      <c r="CD1436" s="11">
        <v>4070.0</v>
      </c>
      <c r="CE1436" s="11">
        <v>3880.0</v>
      </c>
      <c r="CF1436" s="11">
        <v>4050.0</v>
      </c>
      <c r="CG1436" s="12"/>
      <c r="CH1436" s="12"/>
      <c r="CI1436" s="12"/>
      <c r="CJ1436" s="12"/>
      <c r="CK1436" s="12"/>
      <c r="CL1436" s="11">
        <v>153240.0</v>
      </c>
      <c r="CM1436" s="11">
        <v>118690.0</v>
      </c>
      <c r="CN1436" s="11">
        <v>54580.0</v>
      </c>
      <c r="CO1436" s="11">
        <v>48600.0</v>
      </c>
      <c r="CP1436" s="11">
        <v>34310.0</v>
      </c>
      <c r="CQ1436" s="11">
        <v>6350.0</v>
      </c>
      <c r="CR1436" s="11">
        <v>7110.0</v>
      </c>
      <c r="CS1436" s="11">
        <v>5550.0</v>
      </c>
      <c r="CT1436" s="11">
        <v>6540.0</v>
      </c>
      <c r="CU1436" s="11">
        <v>7590.0</v>
      </c>
      <c r="CV1436" s="11">
        <v>19800.0</v>
      </c>
      <c r="CW1436" s="11">
        <v>5460.0</v>
      </c>
      <c r="CX1436" s="12"/>
      <c r="CY1436" s="12"/>
      <c r="CZ1436" s="12"/>
      <c r="DA1436" s="12"/>
      <c r="DB1436" s="11">
        <v>19800.0</v>
      </c>
      <c r="DC1436" s="11">
        <v>14790.0</v>
      </c>
      <c r="DD1436" s="11">
        <v>13090.0</v>
      </c>
      <c r="DE1436" s="11">
        <v>12850.0</v>
      </c>
      <c r="DF1436" s="11">
        <v>42150.0</v>
      </c>
      <c r="DG1436" s="11">
        <v>16460.0</v>
      </c>
      <c r="DH1436" s="11">
        <v>32040.0</v>
      </c>
      <c r="DI1436" s="11">
        <v>23890.0</v>
      </c>
      <c r="DJ1436" s="11">
        <v>12180.0</v>
      </c>
      <c r="DK1436" s="11">
        <v>9340.0</v>
      </c>
      <c r="DL1436" s="12"/>
      <c r="DM1436" s="12"/>
      <c r="DN1436" s="12"/>
      <c r="DO1436" s="12"/>
      <c r="DP1436" s="11">
        <v>22350.0</v>
      </c>
      <c r="DQ1436" s="12"/>
      <c r="DR1436" s="11">
        <v>16890.0</v>
      </c>
      <c r="DS1436" s="11">
        <v>9350.0</v>
      </c>
      <c r="DT1436" s="11">
        <v>71.0</v>
      </c>
      <c r="DU1436" s="13"/>
      <c r="DV1436" s="12"/>
      <c r="DW1436" s="12"/>
      <c r="DX1436" s="11">
        <v>38390.0</v>
      </c>
      <c r="DY1436" s="11">
        <v>41540.0</v>
      </c>
      <c r="DZ1436" s="11">
        <v>111090.0</v>
      </c>
      <c r="EA1436" s="11">
        <v>102230.0</v>
      </c>
      <c r="EB1436" s="11">
        <v>22540.0</v>
      </c>
      <c r="EC1436" s="11">
        <v>24710.0</v>
      </c>
      <c r="ED1436" s="11">
        <v>22130.0</v>
      </c>
      <c r="EE1436" s="14">
        <v>0.06</v>
      </c>
      <c r="EF1436" s="14">
        <v>0.343</v>
      </c>
      <c r="EG1436" s="14">
        <v>0.143</v>
      </c>
      <c r="EH1436" s="14">
        <v>1.098</v>
      </c>
    </row>
    <row r="1437">
      <c r="A1437" s="9">
        <f t="shared" si="2"/>
        <v>1435</v>
      </c>
      <c r="B1437" s="22" t="s">
        <v>1572</v>
      </c>
      <c r="C1437" s="11">
        <v>9200.0</v>
      </c>
      <c r="D1437" s="12"/>
      <c r="E1437" s="11">
        <v>523.0</v>
      </c>
      <c r="F1437" s="11">
        <v>724.0</v>
      </c>
      <c r="G1437" s="11">
        <v>90.0</v>
      </c>
      <c r="H1437" s="11">
        <v>316.0</v>
      </c>
      <c r="I1437" s="12"/>
      <c r="J1437" s="11">
        <v>75.0</v>
      </c>
      <c r="K1437" s="11">
        <v>-309.0</v>
      </c>
      <c r="L1437" s="11">
        <v>-276.0</v>
      </c>
      <c r="M1437" s="11">
        <v>23.0</v>
      </c>
      <c r="N1437" s="12"/>
      <c r="O1437" s="11">
        <v>32090.0</v>
      </c>
      <c r="P1437" s="11">
        <v>26970.0</v>
      </c>
      <c r="Q1437" s="11">
        <v>20830.0</v>
      </c>
      <c r="R1437" s="11">
        <v>20280.0</v>
      </c>
      <c r="S1437" s="12"/>
      <c r="T1437" s="11">
        <v>25420.0</v>
      </c>
      <c r="U1437" s="11">
        <v>22350.0</v>
      </c>
      <c r="V1437" s="11">
        <v>16550.0</v>
      </c>
      <c r="W1437" s="11">
        <v>16030.0</v>
      </c>
      <c r="X1437" s="12"/>
      <c r="Y1437" s="12"/>
      <c r="Z1437" s="11">
        <v>-29290.0</v>
      </c>
      <c r="AA1437" s="11">
        <v>-17360.0</v>
      </c>
      <c r="AB1437" s="11">
        <v>-10950.0</v>
      </c>
      <c r="AC1437" s="12"/>
      <c r="AD1437" s="11">
        <v>-31860.0</v>
      </c>
      <c r="AE1437" s="11">
        <v>-29520.0</v>
      </c>
      <c r="AF1437" s="11">
        <v>-18760.0</v>
      </c>
      <c r="AG1437" s="11">
        <v>-13940.0</v>
      </c>
      <c r="AH1437" s="12"/>
      <c r="AI1437" s="11">
        <v>-31770.0</v>
      </c>
      <c r="AJ1437" s="11">
        <v>-27060.0</v>
      </c>
      <c r="AK1437" s="11">
        <v>-20900.0</v>
      </c>
      <c r="AL1437" s="11">
        <v>-20080.0</v>
      </c>
      <c r="AM1437" s="12"/>
      <c r="AN1437" s="11">
        <v>-31860.0</v>
      </c>
      <c r="AO1437" s="11">
        <v>-29520.0</v>
      </c>
      <c r="AP1437" s="11">
        <v>-18720.0</v>
      </c>
      <c r="AQ1437" s="11">
        <v>-13940.0</v>
      </c>
      <c r="AR1437" s="12"/>
      <c r="AS1437" s="11">
        <v>-30720.0</v>
      </c>
      <c r="AT1437" s="11">
        <v>-25280.0</v>
      </c>
      <c r="AU1437" s="11">
        <v>-21390.0</v>
      </c>
      <c r="AV1437" s="11">
        <v>-19720.0</v>
      </c>
      <c r="AW1437" s="12"/>
      <c r="AX1437" s="11">
        <v>-78.0</v>
      </c>
      <c r="AY1437" s="11">
        <v>-235.0</v>
      </c>
      <c r="AZ1437" s="11">
        <v>-68.0</v>
      </c>
      <c r="BA1437" s="11">
        <v>-793.0</v>
      </c>
      <c r="BB1437" s="12"/>
      <c r="BC1437" s="12"/>
      <c r="BD1437" s="12"/>
      <c r="BE1437" s="12"/>
      <c r="BF1437" s="12"/>
      <c r="BG1437" s="12"/>
      <c r="BH1437" s="11">
        <v>2780.0</v>
      </c>
      <c r="BI1437" s="11">
        <v>19720.0</v>
      </c>
      <c r="BJ1437" s="11">
        <v>4180.0</v>
      </c>
      <c r="BK1437" s="11">
        <v>1660.0</v>
      </c>
      <c r="BL1437" s="12"/>
      <c r="BM1437" s="11">
        <v>898.0</v>
      </c>
      <c r="BN1437" s="11">
        <v>639.0</v>
      </c>
      <c r="BO1437" s="11">
        <v>117.0</v>
      </c>
      <c r="BP1437" s="11">
        <v>104.0</v>
      </c>
      <c r="BQ1437" s="12"/>
      <c r="BR1437" s="12"/>
      <c r="BS1437" s="12"/>
      <c r="BT1437" s="12"/>
      <c r="BU1437" s="12"/>
      <c r="BV1437" s="12"/>
      <c r="BW1437" s="11">
        <v>4010.0</v>
      </c>
      <c r="BX1437" s="11">
        <v>21420.0</v>
      </c>
      <c r="BY1437" s="11">
        <v>4970.0</v>
      </c>
      <c r="BZ1437" s="11">
        <v>2110.0</v>
      </c>
      <c r="CA1437" s="12"/>
      <c r="CB1437" s="11">
        <v>594.0</v>
      </c>
      <c r="CC1437" s="11">
        <v>604.0</v>
      </c>
      <c r="CD1437" s="11">
        <v>601.0</v>
      </c>
      <c r="CE1437" s="11">
        <v>730.0</v>
      </c>
      <c r="CF1437" s="12"/>
      <c r="CG1437" s="12"/>
      <c r="CH1437" s="12"/>
      <c r="CI1437" s="12"/>
      <c r="CJ1437" s="12"/>
      <c r="CK1437" s="12"/>
      <c r="CL1437" s="11">
        <v>4600.0</v>
      </c>
      <c r="CM1437" s="11">
        <v>22030.0</v>
      </c>
      <c r="CN1437" s="11">
        <v>5580.0</v>
      </c>
      <c r="CO1437" s="11">
        <v>2840.0</v>
      </c>
      <c r="CP1437" s="12"/>
      <c r="CQ1437" s="11">
        <v>3210.0</v>
      </c>
      <c r="CR1437" s="11">
        <v>2320.0</v>
      </c>
      <c r="CS1437" s="11">
        <v>1910.0</v>
      </c>
      <c r="CT1437" s="11">
        <v>2460.0</v>
      </c>
      <c r="CU1437" s="12"/>
      <c r="CV1437" s="11">
        <v>6880.0</v>
      </c>
      <c r="CW1437" s="12"/>
      <c r="CX1437" s="12"/>
      <c r="CY1437" s="12"/>
      <c r="CZ1437" s="12"/>
      <c r="DA1437" s="12"/>
      <c r="DB1437" s="11">
        <v>6880.0</v>
      </c>
      <c r="DC1437" s="11">
        <v>6690.0</v>
      </c>
      <c r="DD1437" s="11">
        <v>4170.0</v>
      </c>
      <c r="DE1437" s="11">
        <v>4440.0</v>
      </c>
      <c r="DF1437" s="11">
        <v>6880.0</v>
      </c>
      <c r="DG1437" s="11">
        <v>6690.0</v>
      </c>
      <c r="DH1437" s="11">
        <v>7350.0</v>
      </c>
      <c r="DI1437" s="11">
        <v>6170.0</v>
      </c>
      <c r="DJ1437" s="12"/>
      <c r="DK1437" s="12"/>
      <c r="DL1437" s="12"/>
      <c r="DM1437" s="12"/>
      <c r="DN1437" s="12"/>
      <c r="DO1437" s="12"/>
      <c r="DP1437" s="12"/>
      <c r="DQ1437" s="12"/>
      <c r="DR1437" s="11">
        <v>2810.0</v>
      </c>
      <c r="DS1437" s="11">
        <v>1040.0</v>
      </c>
      <c r="DT1437" s="12"/>
      <c r="DU1437" s="13"/>
      <c r="DV1437" s="12"/>
      <c r="DW1437" s="11">
        <v>119400.0</v>
      </c>
      <c r="DX1437" s="11">
        <v>111420.0</v>
      </c>
      <c r="DY1437" s="13"/>
      <c r="DZ1437" s="11">
        <v>-26240.0</v>
      </c>
      <c r="EA1437" s="11">
        <v>-8620.0</v>
      </c>
      <c r="EB1437" s="11">
        <v>-13740.0</v>
      </c>
      <c r="EC1437" s="11">
        <v>-3330.0</v>
      </c>
      <c r="ED1437" s="12"/>
      <c r="EE1437" s="23"/>
      <c r="EF1437" s="23"/>
      <c r="EG1437" s="14">
        <v>0.235</v>
      </c>
      <c r="EH1437" s="14">
        <v>0.283</v>
      </c>
    </row>
    <row r="1438">
      <c r="A1438" s="9">
        <f t="shared" si="2"/>
        <v>1436</v>
      </c>
      <c r="B1438" s="10" t="s">
        <v>1573</v>
      </c>
      <c r="C1438" s="11">
        <v>159600.0</v>
      </c>
      <c r="D1438" s="11">
        <v>107280.0</v>
      </c>
      <c r="E1438" s="11">
        <v>120370.0</v>
      </c>
      <c r="F1438" s="11">
        <v>92010.0</v>
      </c>
      <c r="G1438" s="11">
        <v>71950.0</v>
      </c>
      <c r="H1438" s="11">
        <v>65090.0</v>
      </c>
      <c r="I1438" s="11">
        <v>49500.0</v>
      </c>
      <c r="J1438" s="11">
        <v>80750.0</v>
      </c>
      <c r="K1438" s="11">
        <v>55810.0</v>
      </c>
      <c r="L1438" s="11">
        <v>40580.0</v>
      </c>
      <c r="M1438" s="11">
        <v>38560.0</v>
      </c>
      <c r="N1438" s="11">
        <v>27210.0</v>
      </c>
      <c r="O1438" s="11">
        <v>95880.0</v>
      </c>
      <c r="P1438" s="11">
        <v>78040.0</v>
      </c>
      <c r="Q1438" s="11">
        <v>67120.0</v>
      </c>
      <c r="R1438" s="11">
        <v>67360.0</v>
      </c>
      <c r="S1438" s="11">
        <v>60670.0</v>
      </c>
      <c r="T1438" s="11">
        <v>14560.0</v>
      </c>
      <c r="U1438" s="11">
        <v>14420.0</v>
      </c>
      <c r="V1438" s="11">
        <v>13430.0</v>
      </c>
      <c r="W1438" s="11">
        <v>15320.0</v>
      </c>
      <c r="X1438" s="11">
        <v>12800.0</v>
      </c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3"/>
      <c r="BD1438" s="13"/>
      <c r="BE1438" s="13"/>
      <c r="BF1438" s="13"/>
      <c r="BG1438" s="13"/>
      <c r="BH1438" s="11">
        <v>159320.0</v>
      </c>
      <c r="BI1438" s="11">
        <v>78000.0</v>
      </c>
      <c r="BJ1438" s="11">
        <v>33890.0</v>
      </c>
      <c r="BK1438" s="11">
        <v>59340.0</v>
      </c>
      <c r="BL1438" s="11">
        <v>39200.0</v>
      </c>
      <c r="BM1438" s="11">
        <v>19330.0</v>
      </c>
      <c r="BN1438" s="11">
        <v>13170.0</v>
      </c>
      <c r="BO1438" s="11">
        <v>12720.0</v>
      </c>
      <c r="BP1438" s="11">
        <v>8960.0</v>
      </c>
      <c r="BQ1438" s="11">
        <v>3500.0</v>
      </c>
      <c r="BR1438" s="11">
        <v>6810.0</v>
      </c>
      <c r="BS1438" s="11">
        <v>3400.0</v>
      </c>
      <c r="BT1438" s="11">
        <v>5320.0</v>
      </c>
      <c r="BU1438" s="11">
        <v>3480.0</v>
      </c>
      <c r="BV1438" s="11">
        <v>3770.0</v>
      </c>
      <c r="BW1438" s="11">
        <v>187690.0</v>
      </c>
      <c r="BX1438" s="11">
        <v>96950.0</v>
      </c>
      <c r="BY1438" s="11">
        <v>53930.0</v>
      </c>
      <c r="BZ1438" s="11">
        <v>73630.0</v>
      </c>
      <c r="CA1438" s="11">
        <v>47910.0</v>
      </c>
      <c r="CB1438" s="11">
        <v>17740.0</v>
      </c>
      <c r="CC1438" s="11">
        <v>8940.0</v>
      </c>
      <c r="CD1438" s="11">
        <v>9690.0</v>
      </c>
      <c r="CE1438" s="11">
        <v>11480.0</v>
      </c>
      <c r="CF1438" s="11">
        <v>10310.0</v>
      </c>
      <c r="CG1438" s="11">
        <v>2730.0</v>
      </c>
      <c r="CH1438" s="11">
        <v>1060.0</v>
      </c>
      <c r="CI1438" s="11">
        <v>1060.0</v>
      </c>
      <c r="CJ1438" s="11">
        <v>1060.0</v>
      </c>
      <c r="CK1438" s="11">
        <v>1060.0</v>
      </c>
      <c r="CL1438" s="11">
        <v>275210.0</v>
      </c>
      <c r="CM1438" s="11">
        <v>120640.0</v>
      </c>
      <c r="CN1438" s="11">
        <v>78670.0</v>
      </c>
      <c r="CO1438" s="11">
        <v>101030.0</v>
      </c>
      <c r="CP1438" s="11">
        <v>75250.0</v>
      </c>
      <c r="CQ1438" s="11">
        <v>2330.0</v>
      </c>
      <c r="CR1438" s="11">
        <v>2520.0</v>
      </c>
      <c r="CS1438" s="11">
        <v>3850.0</v>
      </c>
      <c r="CT1438" s="11">
        <v>2420.0</v>
      </c>
      <c r="CU1438" s="11">
        <v>5090.0</v>
      </c>
      <c r="CV1438" s="11">
        <v>17470.0</v>
      </c>
      <c r="CW1438" s="11">
        <v>1410.0</v>
      </c>
      <c r="CX1438" s="13"/>
      <c r="CY1438" s="12"/>
      <c r="CZ1438" s="12"/>
      <c r="DA1438" s="12"/>
      <c r="DB1438" s="11">
        <v>17470.0</v>
      </c>
      <c r="DC1438" s="11">
        <v>13060.0</v>
      </c>
      <c r="DD1438" s="11">
        <v>12030.0</v>
      </c>
      <c r="DE1438" s="11">
        <v>11530.0</v>
      </c>
      <c r="DF1438" s="11">
        <v>35760.0</v>
      </c>
      <c r="DG1438" s="11">
        <v>40880.0</v>
      </c>
      <c r="DH1438" s="11">
        <v>41440.0</v>
      </c>
      <c r="DI1438" s="11">
        <v>41450.0</v>
      </c>
      <c r="DJ1438" s="11">
        <v>24000.0</v>
      </c>
      <c r="DK1438" s="11">
        <v>603.0</v>
      </c>
      <c r="DL1438" s="11">
        <v>603.0</v>
      </c>
      <c r="DM1438" s="11">
        <v>603.0</v>
      </c>
      <c r="DN1438" s="11">
        <v>603.0</v>
      </c>
      <c r="DO1438" s="11">
        <v>603.0</v>
      </c>
      <c r="DP1438" s="11">
        <v>12200.0</v>
      </c>
      <c r="DQ1438" s="11">
        <v>23930.0</v>
      </c>
      <c r="DR1438" s="11">
        <v>25250.0</v>
      </c>
      <c r="DS1438" s="11">
        <v>25520.0</v>
      </c>
      <c r="DT1438" s="11">
        <v>4990.0</v>
      </c>
      <c r="DU1438" s="13"/>
      <c r="DV1438" s="12"/>
      <c r="DW1438" s="12"/>
      <c r="DX1438" s="13"/>
      <c r="DY1438" s="13"/>
      <c r="DZ1438" s="11">
        <v>239460.0</v>
      </c>
      <c r="EA1438" s="11">
        <v>79760.0</v>
      </c>
      <c r="EB1438" s="11">
        <v>37230.0</v>
      </c>
      <c r="EC1438" s="11">
        <v>59580.0</v>
      </c>
      <c r="ED1438" s="11">
        <v>51250.0</v>
      </c>
      <c r="EE1438" s="14">
        <v>0.467</v>
      </c>
      <c r="EF1438" s="14">
        <v>0.17</v>
      </c>
      <c r="EG1438" s="14">
        <v>-0.2</v>
      </c>
      <c r="EH1438" s="14">
        <v>-0.032</v>
      </c>
    </row>
    <row r="1439">
      <c r="A1439" s="9">
        <f t="shared" si="2"/>
        <v>1437</v>
      </c>
      <c r="B1439" s="25" t="s">
        <v>1574</v>
      </c>
      <c r="C1439" s="15">
        <v>492590.0</v>
      </c>
      <c r="D1439" s="15">
        <v>429000.0</v>
      </c>
      <c r="E1439" s="15">
        <v>419350.0</v>
      </c>
      <c r="F1439" s="15">
        <v>542080.0</v>
      </c>
      <c r="G1439" s="15">
        <v>475690.0</v>
      </c>
      <c r="H1439" s="15">
        <v>332450.0</v>
      </c>
      <c r="I1439" s="15">
        <v>477040.0</v>
      </c>
      <c r="J1439" s="15">
        <v>141110.0</v>
      </c>
      <c r="K1439" s="15">
        <v>161370.0</v>
      </c>
      <c r="L1439" s="15">
        <v>140750.0</v>
      </c>
      <c r="M1439" s="15">
        <v>113640.0</v>
      </c>
      <c r="N1439" s="15">
        <v>149610.0</v>
      </c>
      <c r="O1439" s="15">
        <v>170310.0</v>
      </c>
      <c r="P1439" s="15">
        <v>189820.0</v>
      </c>
      <c r="Q1439" s="15">
        <v>182240.0</v>
      </c>
      <c r="R1439" s="15">
        <v>158660.0</v>
      </c>
      <c r="S1439" s="15">
        <v>168730.0</v>
      </c>
      <c r="T1439" s="15">
        <v>90560.0</v>
      </c>
      <c r="U1439" s="15">
        <v>97760.0</v>
      </c>
      <c r="V1439" s="15">
        <v>81990.0</v>
      </c>
      <c r="W1439" s="15">
        <v>81020.0</v>
      </c>
      <c r="X1439" s="15">
        <v>78540.0</v>
      </c>
      <c r="Y1439" s="15">
        <v>-60590.0</v>
      </c>
      <c r="Z1439" s="15">
        <v>-414810.0</v>
      </c>
      <c r="AA1439" s="15">
        <v>-30780.0</v>
      </c>
      <c r="AB1439" s="15">
        <v>-119960.0</v>
      </c>
      <c r="AC1439" s="15">
        <v>-23930.0</v>
      </c>
      <c r="AD1439" s="15">
        <v>-77960.0</v>
      </c>
      <c r="AE1439" s="15">
        <v>-433830.0</v>
      </c>
      <c r="AF1439" s="15">
        <v>-88990.0</v>
      </c>
      <c r="AG1439" s="15">
        <v>-119440.0</v>
      </c>
      <c r="AH1439" s="15">
        <v>-22650.0</v>
      </c>
      <c r="AI1439" s="15">
        <v>5200.0</v>
      </c>
      <c r="AJ1439" s="15">
        <v>21550.0</v>
      </c>
      <c r="AK1439" s="15">
        <v>8610.0</v>
      </c>
      <c r="AL1439" s="15">
        <v>-12370.0</v>
      </c>
      <c r="AM1439" s="15">
        <v>20730.0</v>
      </c>
      <c r="AN1439" s="15">
        <v>-78730.0</v>
      </c>
      <c r="AO1439" s="15">
        <v>-407090.0</v>
      </c>
      <c r="AP1439" s="15">
        <v>-51400.0</v>
      </c>
      <c r="AQ1439" s="15">
        <v>-122210.0</v>
      </c>
      <c r="AR1439" s="15">
        <v>-31980.0</v>
      </c>
      <c r="AS1439" s="15">
        <v>-7420.0</v>
      </c>
      <c r="AT1439" s="15">
        <v>-37740.0</v>
      </c>
      <c r="AU1439" s="15">
        <v>34990.0</v>
      </c>
      <c r="AV1439" s="15">
        <v>-23840.0</v>
      </c>
      <c r="AW1439" s="15">
        <v>15790.0</v>
      </c>
      <c r="AX1439" s="15">
        <v>-10870.0</v>
      </c>
      <c r="AY1439" s="15">
        <v>-12650.0</v>
      </c>
      <c r="AZ1439" s="15">
        <v>-24270.0</v>
      </c>
      <c r="BA1439" s="15">
        <v>-11480.0</v>
      </c>
      <c r="BB1439" s="15">
        <v>-13890.0</v>
      </c>
      <c r="BC1439" s="15">
        <v>0.0</v>
      </c>
      <c r="BD1439" s="15">
        <v>0.0</v>
      </c>
      <c r="BE1439" s="15">
        <v>0.0</v>
      </c>
      <c r="BF1439" s="15">
        <v>0.0</v>
      </c>
      <c r="BG1439" s="15">
        <v>0.0</v>
      </c>
      <c r="BH1439" s="15">
        <v>245200.0</v>
      </c>
      <c r="BI1439" s="15">
        <v>261270.0</v>
      </c>
      <c r="BJ1439" s="15">
        <v>328360.0</v>
      </c>
      <c r="BK1439" s="15">
        <v>344230.0</v>
      </c>
      <c r="BL1439" s="15">
        <v>385280.0</v>
      </c>
      <c r="BM1439" s="15">
        <v>71020.0</v>
      </c>
      <c r="BN1439" s="15">
        <v>77210.0</v>
      </c>
      <c r="BO1439" s="15">
        <v>99030.0</v>
      </c>
      <c r="BP1439" s="15">
        <v>58020.0</v>
      </c>
      <c r="BQ1439" s="15">
        <v>49520.0</v>
      </c>
      <c r="BR1439" s="15">
        <v>138970.0</v>
      </c>
      <c r="BS1439" s="15">
        <v>169110.0</v>
      </c>
      <c r="BT1439" s="15">
        <v>127870.0</v>
      </c>
      <c r="BU1439" s="15">
        <v>84860.0</v>
      </c>
      <c r="BV1439" s="15">
        <v>92070.0</v>
      </c>
      <c r="BW1439" s="15">
        <v>475430.0</v>
      </c>
      <c r="BX1439" s="15">
        <v>517010.0</v>
      </c>
      <c r="BY1439" s="15">
        <v>581090.0</v>
      </c>
      <c r="BZ1439" s="15">
        <v>495350.0</v>
      </c>
      <c r="CA1439" s="15">
        <v>540040.0</v>
      </c>
      <c r="CB1439" s="15">
        <v>90160.0</v>
      </c>
      <c r="CC1439" s="15">
        <v>80280.0</v>
      </c>
      <c r="CD1439" s="15">
        <v>85060.0</v>
      </c>
      <c r="CE1439" s="15">
        <v>60650.0</v>
      </c>
      <c r="CF1439" s="15">
        <v>79590.0</v>
      </c>
      <c r="CG1439" s="15">
        <v>181940.0</v>
      </c>
      <c r="CH1439" s="15">
        <v>184300.0</v>
      </c>
      <c r="CI1439" s="15">
        <v>307130.0</v>
      </c>
      <c r="CJ1439" s="15">
        <v>114910.0</v>
      </c>
      <c r="CK1439" s="15">
        <v>114910.0</v>
      </c>
      <c r="CL1439" s="15">
        <v>818090.0</v>
      </c>
      <c r="CM1439" s="15">
        <v>900820.0</v>
      </c>
      <c r="CN1439" s="15">
        <v>1390000.0</v>
      </c>
      <c r="CO1439" s="15">
        <v>758530.0</v>
      </c>
      <c r="CP1439" s="15">
        <v>890790.0</v>
      </c>
      <c r="CQ1439" s="15">
        <v>21280.0</v>
      </c>
      <c r="CR1439" s="15">
        <v>39610.0</v>
      </c>
      <c r="CS1439" s="15">
        <v>50320.0</v>
      </c>
      <c r="CT1439" s="15">
        <v>22610.0</v>
      </c>
      <c r="CU1439" s="15">
        <v>30070.0</v>
      </c>
      <c r="CV1439" s="15">
        <v>118220.0</v>
      </c>
      <c r="CW1439" s="15">
        <v>4200.0</v>
      </c>
      <c r="CX1439" s="15">
        <v>0.0</v>
      </c>
      <c r="CY1439" s="16">
        <v>0.0</v>
      </c>
      <c r="CZ1439" s="16">
        <v>0.0</v>
      </c>
      <c r="DA1439" s="15">
        <v>0.0</v>
      </c>
      <c r="DB1439" s="15">
        <v>118220.0</v>
      </c>
      <c r="DC1439" s="15">
        <v>160050.0</v>
      </c>
      <c r="DD1439" s="15">
        <v>224260.0</v>
      </c>
      <c r="DE1439" s="15">
        <v>143510.0</v>
      </c>
      <c r="DF1439" s="15">
        <v>443580.0</v>
      </c>
      <c r="DG1439" s="15">
        <v>463040.0</v>
      </c>
      <c r="DH1439" s="15">
        <v>547380.0</v>
      </c>
      <c r="DI1439" s="15">
        <v>163940.0</v>
      </c>
      <c r="DJ1439" s="15">
        <v>176170.0</v>
      </c>
      <c r="DK1439" s="15">
        <v>0.0</v>
      </c>
      <c r="DL1439" s="15">
        <v>21000.0</v>
      </c>
      <c r="DM1439" s="15">
        <v>21000.0</v>
      </c>
      <c r="DN1439" s="15">
        <v>21000.0</v>
      </c>
      <c r="DO1439" s="15">
        <v>21000.0</v>
      </c>
      <c r="DP1439" s="15">
        <v>310370.0</v>
      </c>
      <c r="DQ1439" s="15">
        <v>287390.0</v>
      </c>
      <c r="DR1439" s="15">
        <v>275630.0</v>
      </c>
      <c r="DS1439" s="15">
        <v>0.0</v>
      </c>
      <c r="DT1439" s="15">
        <v>1190.0</v>
      </c>
      <c r="DU1439" s="16">
        <v>0.0</v>
      </c>
      <c r="DV1439" s="15">
        <v>0.0</v>
      </c>
      <c r="DW1439" s="15">
        <v>0.0</v>
      </c>
      <c r="DX1439" s="15">
        <v>0.0</v>
      </c>
      <c r="DY1439" s="15">
        <v>0.0</v>
      </c>
      <c r="DZ1439" s="15">
        <v>374510.0</v>
      </c>
      <c r="EA1439" s="15">
        <v>437780.0</v>
      </c>
      <c r="EB1439" s="15">
        <v>840090.0</v>
      </c>
      <c r="EC1439" s="15">
        <v>594600.0</v>
      </c>
      <c r="ED1439" s="15">
        <v>714620.0</v>
      </c>
      <c r="EE1439" s="17">
        <v>0.022</v>
      </c>
      <c r="EF1439" s="17">
        <v>0.027</v>
      </c>
      <c r="EG1439" s="17">
        <v>2.667</v>
      </c>
      <c r="EH1439" s="17">
        <v>2.344</v>
      </c>
    </row>
    <row r="1440">
      <c r="A1440" s="9">
        <f t="shared" si="2"/>
        <v>1438</v>
      </c>
      <c r="B1440" s="22" t="s">
        <v>1575</v>
      </c>
      <c r="C1440" s="11">
        <v>48120.0</v>
      </c>
      <c r="D1440" s="11">
        <v>41440.0</v>
      </c>
      <c r="E1440" s="11">
        <v>31800.0</v>
      </c>
      <c r="F1440" s="11">
        <v>15860.0</v>
      </c>
      <c r="G1440" s="11">
        <v>13660.0</v>
      </c>
      <c r="H1440" s="11">
        <v>22130.0</v>
      </c>
      <c r="I1440" s="11">
        <v>32600.0</v>
      </c>
      <c r="J1440" s="11">
        <v>21350.0</v>
      </c>
      <c r="K1440" s="11">
        <v>8510.0</v>
      </c>
      <c r="L1440" s="11">
        <v>6870.0</v>
      </c>
      <c r="M1440" s="11">
        <v>13360.0</v>
      </c>
      <c r="N1440" s="11">
        <v>18970.0</v>
      </c>
      <c r="O1440" s="11">
        <v>27780.0</v>
      </c>
      <c r="P1440" s="11">
        <v>25390.0</v>
      </c>
      <c r="Q1440" s="11">
        <v>14430.0</v>
      </c>
      <c r="R1440" s="11">
        <v>8850.0</v>
      </c>
      <c r="S1440" s="11">
        <v>12350.0</v>
      </c>
      <c r="T1440" s="11">
        <v>13740.0</v>
      </c>
      <c r="U1440" s="11">
        <v>10850.0</v>
      </c>
      <c r="V1440" s="11">
        <v>3080.0</v>
      </c>
      <c r="W1440" s="11">
        <v>99.0</v>
      </c>
      <c r="X1440" s="11">
        <v>220.0</v>
      </c>
      <c r="Y1440" s="11">
        <v>-7630.0</v>
      </c>
      <c r="Z1440" s="11">
        <v>-15990.0</v>
      </c>
      <c r="AA1440" s="11">
        <v>-936.0</v>
      </c>
      <c r="AB1440" s="11">
        <v>3020.0</v>
      </c>
      <c r="AC1440" s="12"/>
      <c r="AD1440" s="11">
        <v>-12320.0</v>
      </c>
      <c r="AE1440" s="11">
        <v>-23070.0</v>
      </c>
      <c r="AF1440" s="11">
        <v>-8600.0</v>
      </c>
      <c r="AG1440" s="11">
        <v>2810.0</v>
      </c>
      <c r="AH1440" s="11">
        <v>6690.0</v>
      </c>
      <c r="AI1440" s="11">
        <v>-5960.0</v>
      </c>
      <c r="AJ1440" s="11">
        <v>-16430.0</v>
      </c>
      <c r="AK1440" s="11">
        <v>-7080.0</v>
      </c>
      <c r="AL1440" s="11">
        <v>4920.0</v>
      </c>
      <c r="AM1440" s="11">
        <v>7110.0</v>
      </c>
      <c r="AN1440" s="11">
        <v>-12020.0</v>
      </c>
      <c r="AO1440" s="11">
        <v>-23940.0</v>
      </c>
      <c r="AP1440" s="11">
        <v>-6610.0</v>
      </c>
      <c r="AQ1440" s="11">
        <v>345.0</v>
      </c>
      <c r="AR1440" s="11">
        <v>4350.0</v>
      </c>
      <c r="AS1440" s="11">
        <v>-5490.0</v>
      </c>
      <c r="AT1440" s="11">
        <v>-11550.0</v>
      </c>
      <c r="AU1440" s="11">
        <v>983.0</v>
      </c>
      <c r="AV1440" s="11">
        <v>-1710.0</v>
      </c>
      <c r="AW1440" s="11">
        <v>-1550.0</v>
      </c>
      <c r="AX1440" s="11">
        <v>-109.0</v>
      </c>
      <c r="AY1440" s="11">
        <v>-51.0</v>
      </c>
      <c r="AZ1440" s="11">
        <v>-133.0</v>
      </c>
      <c r="BA1440" s="11">
        <v>-6.0</v>
      </c>
      <c r="BB1440" s="11">
        <v>-135.0</v>
      </c>
      <c r="BC1440" s="12"/>
      <c r="BD1440" s="12"/>
      <c r="BE1440" s="12"/>
      <c r="BF1440" s="12"/>
      <c r="BG1440" s="24">
        <v>-5.0</v>
      </c>
      <c r="BH1440" s="11">
        <v>6300.0</v>
      </c>
      <c r="BI1440" s="11">
        <v>3760.0</v>
      </c>
      <c r="BJ1440" s="11">
        <v>3280.0</v>
      </c>
      <c r="BK1440" s="11">
        <v>2390.0</v>
      </c>
      <c r="BL1440" s="11">
        <v>4110.0</v>
      </c>
      <c r="BM1440" s="11">
        <v>5020.0</v>
      </c>
      <c r="BN1440" s="11">
        <v>3970.0</v>
      </c>
      <c r="BO1440" s="11">
        <v>3420.0</v>
      </c>
      <c r="BP1440" s="11">
        <v>10780.0</v>
      </c>
      <c r="BQ1440" s="11">
        <v>14110.0</v>
      </c>
      <c r="BR1440" s="11">
        <v>3650.0</v>
      </c>
      <c r="BS1440" s="11">
        <v>2300.0</v>
      </c>
      <c r="BT1440" s="11">
        <v>2770.0</v>
      </c>
      <c r="BU1440" s="11">
        <v>2490.0</v>
      </c>
      <c r="BV1440" s="11">
        <v>1750.0</v>
      </c>
      <c r="BW1440" s="11">
        <v>16810.0</v>
      </c>
      <c r="BX1440" s="11">
        <v>11180.0</v>
      </c>
      <c r="BY1440" s="11">
        <v>10300.0</v>
      </c>
      <c r="BZ1440" s="11">
        <v>18310.0</v>
      </c>
      <c r="CA1440" s="11">
        <v>21590.0</v>
      </c>
      <c r="CB1440" s="11">
        <v>352.0</v>
      </c>
      <c r="CC1440" s="11">
        <v>405.0</v>
      </c>
      <c r="CD1440" s="11">
        <v>556.0</v>
      </c>
      <c r="CE1440" s="11">
        <v>825.0</v>
      </c>
      <c r="CF1440" s="11">
        <v>1240.0</v>
      </c>
      <c r="CG1440" s="11">
        <v>6880.0</v>
      </c>
      <c r="CH1440" s="11">
        <v>6880.0</v>
      </c>
      <c r="CI1440" s="11">
        <v>6880.0</v>
      </c>
      <c r="CJ1440" s="12"/>
      <c r="CK1440" s="12"/>
      <c r="CL1440" s="11">
        <v>53630.0</v>
      </c>
      <c r="CM1440" s="11">
        <v>48450.0</v>
      </c>
      <c r="CN1440" s="11">
        <v>55340.0</v>
      </c>
      <c r="CO1440" s="11">
        <v>38620.0</v>
      </c>
      <c r="CP1440" s="11">
        <v>37470.0</v>
      </c>
      <c r="CQ1440" s="11">
        <v>3120.0</v>
      </c>
      <c r="CR1440" s="11">
        <v>3230.0</v>
      </c>
      <c r="CS1440" s="11">
        <v>2690.0</v>
      </c>
      <c r="CT1440" s="11">
        <v>701.0</v>
      </c>
      <c r="CU1440" s="11">
        <v>1080.0</v>
      </c>
      <c r="CV1440" s="11">
        <v>14020.0</v>
      </c>
      <c r="CW1440" s="12"/>
      <c r="CX1440" s="12"/>
      <c r="CY1440" s="12"/>
      <c r="CZ1440" s="12"/>
      <c r="DA1440" s="12"/>
      <c r="DB1440" s="11">
        <v>14020.0</v>
      </c>
      <c r="DC1440" s="11">
        <v>13550.0</v>
      </c>
      <c r="DD1440" s="11">
        <v>5490.0</v>
      </c>
      <c r="DE1440" s="11">
        <v>3350.0</v>
      </c>
      <c r="DF1440" s="11">
        <v>21300.0</v>
      </c>
      <c r="DG1440" s="11">
        <v>18970.0</v>
      </c>
      <c r="DH1440" s="11">
        <v>6880.0</v>
      </c>
      <c r="DI1440" s="11">
        <v>4690.0</v>
      </c>
      <c r="DJ1440" s="11">
        <v>4340.0</v>
      </c>
      <c r="DK1440" s="12"/>
      <c r="DL1440" s="12"/>
      <c r="DM1440" s="12"/>
      <c r="DN1440" s="12"/>
      <c r="DO1440" s="12"/>
      <c r="DP1440" s="11">
        <v>6730.0</v>
      </c>
      <c r="DQ1440" s="11">
        <v>4460.0</v>
      </c>
      <c r="DR1440" s="12"/>
      <c r="DS1440" s="12"/>
      <c r="DT1440" s="12"/>
      <c r="DU1440" s="13"/>
      <c r="DV1440" s="12"/>
      <c r="DW1440" s="12"/>
      <c r="DX1440" s="13"/>
      <c r="DY1440" s="13"/>
      <c r="DZ1440" s="11">
        <v>32330.0</v>
      </c>
      <c r="EA1440" s="11">
        <v>29480.0</v>
      </c>
      <c r="EB1440" s="11">
        <v>48450.0</v>
      </c>
      <c r="EC1440" s="11">
        <v>33930.0</v>
      </c>
      <c r="ED1440" s="11">
        <v>33130.0</v>
      </c>
      <c r="EE1440" s="14">
        <v>0.008</v>
      </c>
      <c r="EF1440" s="14">
        <v>0.17</v>
      </c>
      <c r="EG1440" s="14">
        <v>-0.667</v>
      </c>
      <c r="EH1440" s="14">
        <v>-0.354</v>
      </c>
    </row>
    <row r="1441">
      <c r="A1441" s="9">
        <f t="shared" si="2"/>
        <v>1439</v>
      </c>
      <c r="B1441" s="25" t="s">
        <v>1576</v>
      </c>
      <c r="C1441" s="15">
        <v>1.058E7</v>
      </c>
      <c r="D1441" s="15">
        <v>8810000.0</v>
      </c>
      <c r="E1441" s="15">
        <v>1.051E7</v>
      </c>
      <c r="F1441" s="15">
        <v>1.027E7</v>
      </c>
      <c r="G1441" s="15">
        <v>1.216E7</v>
      </c>
      <c r="H1441" s="15">
        <v>1.208E7</v>
      </c>
      <c r="I1441" s="15">
        <v>1.269E7</v>
      </c>
      <c r="J1441" s="15">
        <v>5740000.0</v>
      </c>
      <c r="K1441" s="15">
        <v>5640000.0</v>
      </c>
      <c r="L1441" s="15">
        <v>6180000.0</v>
      </c>
      <c r="M1441" s="15">
        <v>5830000.0</v>
      </c>
      <c r="N1441" s="15">
        <v>6330000.0</v>
      </c>
      <c r="O1441" s="15">
        <v>4540000.0</v>
      </c>
      <c r="P1441" s="15">
        <v>4370000.0</v>
      </c>
      <c r="Q1441" s="15">
        <v>4900000.0</v>
      </c>
      <c r="R1441" s="15">
        <v>4200000.0</v>
      </c>
      <c r="S1441" s="15">
        <v>4010000.0</v>
      </c>
      <c r="T1441" s="15"/>
      <c r="U1441" s="15"/>
      <c r="V1441" s="15"/>
      <c r="W1441" s="15"/>
      <c r="X1441" s="15"/>
      <c r="Y1441" s="15">
        <v>786650.0</v>
      </c>
      <c r="Z1441" s="15">
        <v>-63100.0</v>
      </c>
      <c r="AA1441" s="15">
        <v>1280000.0</v>
      </c>
      <c r="AB1441" s="15">
        <v>-135990.0</v>
      </c>
      <c r="AC1441" s="15">
        <v>-1370.0</v>
      </c>
      <c r="AD1441" s="15">
        <v>727210.0</v>
      </c>
      <c r="AE1441" s="15">
        <v>1040000.0</v>
      </c>
      <c r="AF1441" s="15">
        <v>1180000.0</v>
      </c>
      <c r="AG1441" s="15">
        <v>1420000.0</v>
      </c>
      <c r="AH1441" s="15">
        <v>1710000.0</v>
      </c>
      <c r="AI1441" s="15">
        <v>1860000.0</v>
      </c>
      <c r="AJ1441" s="15">
        <v>1530000.0</v>
      </c>
      <c r="AK1441" s="15">
        <v>1570000.0</v>
      </c>
      <c r="AL1441" s="15">
        <v>1900000.0</v>
      </c>
      <c r="AM1441" s="15">
        <v>2590000.0</v>
      </c>
      <c r="AN1441" s="15">
        <v>629150.0</v>
      </c>
      <c r="AO1441" s="15">
        <v>870430.0</v>
      </c>
      <c r="AP1441" s="15">
        <v>1040000.0</v>
      </c>
      <c r="AQ1441" s="15">
        <v>1170000.0</v>
      </c>
      <c r="AR1441" s="15">
        <v>1320000.0</v>
      </c>
      <c r="AS1441" s="15">
        <v>874530.0</v>
      </c>
      <c r="AT1441" s="15">
        <v>1660000.0</v>
      </c>
      <c r="AU1441" s="15">
        <v>-243220.0</v>
      </c>
      <c r="AV1441" s="15">
        <v>1470000.0</v>
      </c>
      <c r="AW1441" s="15">
        <v>1200000.0</v>
      </c>
      <c r="AX1441" s="15">
        <v>-333840.0</v>
      </c>
      <c r="AY1441" s="15">
        <v>-269000.0</v>
      </c>
      <c r="AZ1441" s="15">
        <v>-73660.0</v>
      </c>
      <c r="BA1441" s="15">
        <v>-220070.0</v>
      </c>
      <c r="BB1441" s="15">
        <v>-317780.0</v>
      </c>
      <c r="BC1441" s="15">
        <v>-748660.0</v>
      </c>
      <c r="BD1441" s="15">
        <v>-767060.0</v>
      </c>
      <c r="BE1441" s="15">
        <v>-181370.0</v>
      </c>
      <c r="BF1441" s="15">
        <v>-635990.0</v>
      </c>
      <c r="BG1441" s="15">
        <v>-565280.0</v>
      </c>
      <c r="BH1441" s="15">
        <v>1370000.0</v>
      </c>
      <c r="BI1441" s="15">
        <v>402230.0</v>
      </c>
      <c r="BJ1441" s="15">
        <v>680760.0</v>
      </c>
      <c r="BK1441" s="15">
        <v>1230000.0</v>
      </c>
      <c r="BL1441" s="15">
        <v>944420.0</v>
      </c>
      <c r="BM1441" s="15">
        <v>1310000.0</v>
      </c>
      <c r="BN1441" s="15">
        <v>1380000.0</v>
      </c>
      <c r="BO1441" s="15">
        <v>1410000.0</v>
      </c>
      <c r="BP1441" s="15">
        <v>1200000.0</v>
      </c>
      <c r="BQ1441" s="15">
        <v>1290000.0</v>
      </c>
      <c r="BR1441" s="15">
        <v>1290000.0</v>
      </c>
      <c r="BS1441" s="15">
        <v>1170000.0</v>
      </c>
      <c r="BT1441" s="15">
        <v>1860000.0</v>
      </c>
      <c r="BU1441" s="15">
        <v>1570000.0</v>
      </c>
      <c r="BV1441" s="15">
        <v>1560000.0</v>
      </c>
      <c r="BW1441" s="15">
        <v>5030000.0</v>
      </c>
      <c r="BX1441" s="15">
        <v>4670000.0</v>
      </c>
      <c r="BY1441" s="15">
        <v>4680000.0</v>
      </c>
      <c r="BZ1441" s="15">
        <v>4290000.0</v>
      </c>
      <c r="CA1441" s="15">
        <v>4160000.0</v>
      </c>
      <c r="CB1441" s="15">
        <v>2230000.0</v>
      </c>
      <c r="CC1441" s="15">
        <v>876090.0</v>
      </c>
      <c r="CD1441" s="15">
        <v>1010000.0</v>
      </c>
      <c r="CE1441" s="15">
        <v>939650.0</v>
      </c>
      <c r="CF1441" s="15">
        <v>945490.0</v>
      </c>
      <c r="CG1441" s="15">
        <v>1160000.0</v>
      </c>
      <c r="CH1441" s="15">
        <v>1490000.0</v>
      </c>
      <c r="CI1441" s="15">
        <v>1690000.0</v>
      </c>
      <c r="CJ1441" s="15">
        <v>1740000.0</v>
      </c>
      <c r="CK1441" s="15">
        <v>1790000.0</v>
      </c>
      <c r="CL1441" s="15">
        <v>1.113E7</v>
      </c>
      <c r="CM1441" s="15">
        <v>1.036E7</v>
      </c>
      <c r="CN1441" s="15">
        <v>1.031E7</v>
      </c>
      <c r="CO1441" s="15">
        <v>9740000.0</v>
      </c>
      <c r="CP1441" s="15">
        <v>9640000.0</v>
      </c>
      <c r="CQ1441" s="15">
        <v>407020.0</v>
      </c>
      <c r="CR1441" s="15">
        <v>489600.0</v>
      </c>
      <c r="CS1441" s="15">
        <v>583000.0</v>
      </c>
      <c r="CT1441" s="15">
        <v>664640.0</v>
      </c>
      <c r="CU1441" s="15">
        <v>680610.0</v>
      </c>
      <c r="CV1441" s="15">
        <v>3020000.0</v>
      </c>
      <c r="CW1441" s="15">
        <v>1580000.0</v>
      </c>
      <c r="CX1441" s="15">
        <v>659060.0</v>
      </c>
      <c r="CY1441" s="15">
        <v>1530000.0</v>
      </c>
      <c r="CZ1441" s="15">
        <v>26030.0</v>
      </c>
      <c r="DA1441" s="15">
        <v>449590.0</v>
      </c>
      <c r="DB1441" s="15">
        <v>3020000.0</v>
      </c>
      <c r="DC1441" s="15">
        <v>2660000.0</v>
      </c>
      <c r="DD1441" s="15">
        <v>3140000.0</v>
      </c>
      <c r="DE1441" s="15">
        <v>1790000.0</v>
      </c>
      <c r="DF1441" s="15">
        <v>7780000.0</v>
      </c>
      <c r="DG1441" s="15">
        <v>6060000.0</v>
      </c>
      <c r="DH1441" s="15">
        <v>6620000.0</v>
      </c>
      <c r="DI1441" s="15">
        <v>4800000.0</v>
      </c>
      <c r="DJ1441" s="15">
        <v>4250000.0</v>
      </c>
      <c r="DK1441" s="15">
        <v>163970.0</v>
      </c>
      <c r="DL1441" s="15">
        <v>190750.0</v>
      </c>
      <c r="DM1441" s="15"/>
      <c r="DN1441" s="15">
        <v>224400.0</v>
      </c>
      <c r="DO1441" s="15">
        <v>228980.0</v>
      </c>
      <c r="DP1441" s="15">
        <v>3630000.0</v>
      </c>
      <c r="DQ1441" s="15">
        <v>2120000.0</v>
      </c>
      <c r="DR1441" s="15">
        <v>2210000.0</v>
      </c>
      <c r="DS1441" s="15">
        <v>2040000.0</v>
      </c>
      <c r="DT1441" s="15">
        <v>1400000.0</v>
      </c>
      <c r="DU1441" s="13"/>
      <c r="DV1441" s="12"/>
      <c r="DW1441" s="12"/>
      <c r="DX1441" s="13"/>
      <c r="DY1441" s="13"/>
      <c r="DZ1441" s="15">
        <v>3360000.0</v>
      </c>
      <c r="EA1441" s="15">
        <v>4300000.0</v>
      </c>
      <c r="EB1441" s="15">
        <v>3690000.0</v>
      </c>
      <c r="EC1441" s="15">
        <v>4940000.0</v>
      </c>
      <c r="ED1441" s="15">
        <v>5380000.0</v>
      </c>
      <c r="EE1441" s="17">
        <v>0.062</v>
      </c>
      <c r="EF1441" s="17">
        <v>0.231</v>
      </c>
      <c r="EG1441" s="17">
        <v>0.149</v>
      </c>
      <c r="EH1441" s="17">
        <v>-0.04</v>
      </c>
    </row>
    <row r="1442">
      <c r="A1442" s="9">
        <f t="shared" si="2"/>
        <v>1440</v>
      </c>
      <c r="B1442" s="25" t="s">
        <v>1577</v>
      </c>
      <c r="C1442" s="15">
        <v>1740000.0</v>
      </c>
      <c r="D1442" s="15">
        <v>1710000.0</v>
      </c>
      <c r="E1442" s="15">
        <v>1900000.0</v>
      </c>
      <c r="F1442" s="15">
        <v>1870000.0</v>
      </c>
      <c r="G1442" s="15">
        <v>1810000.0</v>
      </c>
      <c r="H1442" s="15">
        <v>1690000.0</v>
      </c>
      <c r="I1442" s="15">
        <v>1660000.0</v>
      </c>
      <c r="J1442" s="15">
        <v>602130.0</v>
      </c>
      <c r="K1442" s="15">
        <v>577780.0</v>
      </c>
      <c r="L1442" s="15">
        <v>579430.0</v>
      </c>
      <c r="M1442" s="15">
        <v>593610.0</v>
      </c>
      <c r="N1442" s="15">
        <v>547550.0</v>
      </c>
      <c r="O1442" s="15">
        <v>363630.0</v>
      </c>
      <c r="P1442" s="15">
        <v>355510.0</v>
      </c>
      <c r="Q1442" s="15">
        <v>337190.0</v>
      </c>
      <c r="R1442" s="15">
        <v>340570.0</v>
      </c>
      <c r="S1442" s="15">
        <v>320300.0</v>
      </c>
      <c r="T1442" s="15"/>
      <c r="U1442" s="15"/>
      <c r="V1442" s="15"/>
      <c r="W1442" s="15"/>
      <c r="X1442" s="15"/>
      <c r="Y1442" s="15">
        <v>253240.0</v>
      </c>
      <c r="Z1442" s="15">
        <v>263890.0</v>
      </c>
      <c r="AA1442" s="15">
        <v>-5770.0</v>
      </c>
      <c r="AB1442" s="15">
        <v>258120.0</v>
      </c>
      <c r="AC1442" s="15">
        <v>-16760.0</v>
      </c>
      <c r="AD1442" s="15">
        <v>133830.0</v>
      </c>
      <c r="AE1442" s="15">
        <v>79560.0</v>
      </c>
      <c r="AF1442" s="15">
        <v>89170.0</v>
      </c>
      <c r="AG1442" s="15">
        <v>126430.0</v>
      </c>
      <c r="AH1442" s="15">
        <v>107710.0</v>
      </c>
      <c r="AI1442" s="15">
        <v>283960.0</v>
      </c>
      <c r="AJ1442" s="15">
        <v>240580.0</v>
      </c>
      <c r="AK1442" s="15">
        <v>260590.0</v>
      </c>
      <c r="AL1442" s="15">
        <v>275280.0</v>
      </c>
      <c r="AM1442" s="15">
        <v>252750.0</v>
      </c>
      <c r="AN1442" s="15">
        <v>93510.0</v>
      </c>
      <c r="AO1442" s="15">
        <v>51090.0</v>
      </c>
      <c r="AP1442" s="15">
        <v>78500.0</v>
      </c>
      <c r="AQ1442" s="15">
        <v>68890.0</v>
      </c>
      <c r="AR1442" s="15">
        <v>57450.0</v>
      </c>
      <c r="AS1442" s="15">
        <v>165370.0</v>
      </c>
      <c r="AT1442" s="15">
        <v>236070.0</v>
      </c>
      <c r="AU1442" s="15">
        <v>193300.0</v>
      </c>
      <c r="AV1442" s="15">
        <v>130840.0</v>
      </c>
      <c r="AW1442" s="15">
        <v>162040.0</v>
      </c>
      <c r="AX1442" s="15">
        <v>-12580.0</v>
      </c>
      <c r="AY1442" s="15">
        <v>-17680.0</v>
      </c>
      <c r="AZ1442" s="15">
        <v>-19870.0</v>
      </c>
      <c r="BA1442" s="15">
        <v>-26690.0</v>
      </c>
      <c r="BB1442" s="15">
        <v>-10980.0</v>
      </c>
      <c r="BC1442" s="15">
        <v>-238250.0</v>
      </c>
      <c r="BD1442" s="15">
        <v>-225370.0</v>
      </c>
      <c r="BE1442" s="15">
        <v>-211490.0</v>
      </c>
      <c r="BF1442" s="15">
        <v>-198950.0</v>
      </c>
      <c r="BG1442" s="15">
        <v>-188150.0</v>
      </c>
      <c r="BH1442" s="15">
        <v>505410.0</v>
      </c>
      <c r="BI1442" s="15">
        <v>720630.0</v>
      </c>
      <c r="BJ1442" s="15">
        <v>462100.0</v>
      </c>
      <c r="BK1442" s="15">
        <v>557760.0</v>
      </c>
      <c r="BL1442" s="15">
        <v>431540.0</v>
      </c>
      <c r="BM1442" s="15">
        <v>45730.0</v>
      </c>
      <c r="BN1442" s="15">
        <v>34250.0</v>
      </c>
      <c r="BO1442" s="15">
        <v>40700.0</v>
      </c>
      <c r="BP1442" s="15">
        <v>34910.0</v>
      </c>
      <c r="BQ1442" s="15">
        <v>26730.0</v>
      </c>
      <c r="BR1442" s="15">
        <v>98760.0</v>
      </c>
      <c r="BS1442" s="15">
        <v>91000.0</v>
      </c>
      <c r="BT1442" s="15">
        <v>89790.0</v>
      </c>
      <c r="BU1442" s="15">
        <v>89830.0</v>
      </c>
      <c r="BV1442" s="15">
        <v>86520.0</v>
      </c>
      <c r="BW1442" s="15">
        <v>681610.0</v>
      </c>
      <c r="BX1442" s="15">
        <v>862960.0</v>
      </c>
      <c r="BY1442" s="15">
        <v>613710.0</v>
      </c>
      <c r="BZ1442" s="15">
        <v>705460.0</v>
      </c>
      <c r="CA1442" s="15">
        <v>583740.0</v>
      </c>
      <c r="CB1442" s="15">
        <v>231740.0</v>
      </c>
      <c r="CC1442" s="15">
        <v>86740.0</v>
      </c>
      <c r="CD1442" s="15">
        <v>85520.0</v>
      </c>
      <c r="CE1442" s="15">
        <v>80450.0</v>
      </c>
      <c r="CF1442" s="15">
        <v>75630.0</v>
      </c>
      <c r="CG1442" s="15">
        <v>78010.0</v>
      </c>
      <c r="CH1442" s="15">
        <v>77570.0</v>
      </c>
      <c r="CI1442" s="15">
        <v>77060.0</v>
      </c>
      <c r="CJ1442" s="15">
        <v>70820.0</v>
      </c>
      <c r="CK1442" s="15"/>
      <c r="CL1442" s="15">
        <v>1550000.0</v>
      </c>
      <c r="CM1442" s="15">
        <v>1550000.0</v>
      </c>
      <c r="CN1442" s="15">
        <v>1330000.0</v>
      </c>
      <c r="CO1442" s="15">
        <v>1400000.0</v>
      </c>
      <c r="CP1442" s="15">
        <v>1280000.0</v>
      </c>
      <c r="CQ1442" s="15">
        <v>10220.0</v>
      </c>
      <c r="CR1442" s="15">
        <v>13140.0</v>
      </c>
      <c r="CS1442" s="15">
        <v>18550.0</v>
      </c>
      <c r="CT1442" s="15">
        <v>10570.0</v>
      </c>
      <c r="CU1442" s="15">
        <v>19640.0</v>
      </c>
      <c r="CV1442" s="15">
        <v>461130.0</v>
      </c>
      <c r="CW1442" s="15">
        <v>18290.0</v>
      </c>
      <c r="CX1442" s="15"/>
      <c r="CY1442" s="15"/>
      <c r="CZ1442" s="15"/>
      <c r="DA1442" s="15"/>
      <c r="DB1442" s="15">
        <v>461130.0</v>
      </c>
      <c r="DC1442" s="15">
        <v>484920.0</v>
      </c>
      <c r="DD1442" s="15">
        <v>204640.0</v>
      </c>
      <c r="DE1442" s="15">
        <v>196150.0</v>
      </c>
      <c r="DF1442" s="15">
        <v>2240000.0</v>
      </c>
      <c r="DG1442" s="15">
        <v>2100000.0</v>
      </c>
      <c r="DH1442" s="15">
        <v>1660000.0</v>
      </c>
      <c r="DI1442" s="15">
        <v>1660000.0</v>
      </c>
      <c r="DJ1442" s="15">
        <v>1400000.0</v>
      </c>
      <c r="DK1442" s="15">
        <v>231510.0</v>
      </c>
      <c r="DL1442" s="15">
        <v>239890.0</v>
      </c>
      <c r="DM1442" s="15">
        <v>296860.0</v>
      </c>
      <c r="DN1442" s="15">
        <v>302080.0</v>
      </c>
      <c r="DO1442" s="15">
        <v>315520.0</v>
      </c>
      <c r="DP1442" s="15">
        <v>1550000.0</v>
      </c>
      <c r="DQ1442" s="15">
        <v>1390000.0</v>
      </c>
      <c r="DR1442" s="15">
        <v>1190000.0</v>
      </c>
      <c r="DS1442" s="15">
        <v>1130000.0</v>
      </c>
      <c r="DT1442" s="15">
        <v>856110.0</v>
      </c>
      <c r="DU1442" s="13"/>
      <c r="DV1442" s="12"/>
      <c r="DW1442" s="12"/>
      <c r="DX1442" s="13"/>
      <c r="DY1442" s="15"/>
      <c r="DZ1442" s="15">
        <v>-685460.0</v>
      </c>
      <c r="EA1442" s="15">
        <v>-548060.0</v>
      </c>
      <c r="EB1442" s="15">
        <v>-413920.0</v>
      </c>
      <c r="EC1442" s="15">
        <v>-332000.0</v>
      </c>
      <c r="ED1442" s="15">
        <v>-206050.0</v>
      </c>
      <c r="EE1442" s="17">
        <v>0.0</v>
      </c>
      <c r="EF1442" s="17">
        <v>0.0</v>
      </c>
      <c r="EG1442" s="17">
        <v>0.545</v>
      </c>
      <c r="EH1442" s="17">
        <v>0.242</v>
      </c>
    </row>
    <row r="1443">
      <c r="A1443" s="9">
        <f t="shared" si="2"/>
        <v>1441</v>
      </c>
      <c r="B1443" s="25" t="s">
        <v>1578</v>
      </c>
      <c r="C1443" s="15">
        <v>1920000.0</v>
      </c>
      <c r="D1443" s="15">
        <v>1900000.0</v>
      </c>
      <c r="E1443" s="15">
        <v>1900000.0</v>
      </c>
      <c r="F1443" s="15">
        <v>1820000.0</v>
      </c>
      <c r="G1443" s="15">
        <v>1880000.0</v>
      </c>
      <c r="H1443" s="15">
        <v>1520000.0</v>
      </c>
      <c r="I1443" s="15">
        <v>1530000.0</v>
      </c>
      <c r="J1443" s="15">
        <v>434600.0</v>
      </c>
      <c r="K1443" s="15">
        <v>609200.0</v>
      </c>
      <c r="L1443" s="15">
        <v>612900.0</v>
      </c>
      <c r="M1443" s="15">
        <v>300200.0</v>
      </c>
      <c r="N1443" s="15">
        <v>233700.0</v>
      </c>
      <c r="O1443" s="15">
        <v>293900.0</v>
      </c>
      <c r="P1443" s="15">
        <v>306900.0</v>
      </c>
      <c r="Q1443" s="15">
        <v>258500.0</v>
      </c>
      <c r="R1443" s="15">
        <v>230500.0</v>
      </c>
      <c r="S1443" s="15">
        <v>258800.0</v>
      </c>
      <c r="T1443" s="15">
        <v>19000.0</v>
      </c>
      <c r="U1443" s="15">
        <v>16000.0</v>
      </c>
      <c r="V1443" s="15">
        <v>19000.0</v>
      </c>
      <c r="W1443" s="15">
        <v>13000.0</v>
      </c>
      <c r="X1443" s="15">
        <v>16000.0</v>
      </c>
      <c r="Y1443" s="15">
        <v>138000.0</v>
      </c>
      <c r="Z1443" s="15">
        <v>242800.0</v>
      </c>
      <c r="AA1443" s="15">
        <v>-5700.0</v>
      </c>
      <c r="AB1443" s="15">
        <v>200.0</v>
      </c>
      <c r="AC1443" s="15">
        <v>-43100.0</v>
      </c>
      <c r="AD1443" s="15">
        <v>104700.0</v>
      </c>
      <c r="AE1443" s="15">
        <v>236200.0</v>
      </c>
      <c r="AF1443" s="15">
        <v>291800.0</v>
      </c>
      <c r="AG1443" s="15">
        <v>39600.0</v>
      </c>
      <c r="AH1443" s="15">
        <v>-73800.0</v>
      </c>
      <c r="AI1443" s="15">
        <v>197200.0</v>
      </c>
      <c r="AJ1443" s="15">
        <v>357600.0</v>
      </c>
      <c r="AK1443" s="15">
        <v>409300.0</v>
      </c>
      <c r="AL1443" s="15">
        <v>131300.0</v>
      </c>
      <c r="AM1443" s="15">
        <v>46800.0</v>
      </c>
      <c r="AN1443" s="15">
        <v>49200.0</v>
      </c>
      <c r="AO1443" s="15">
        <v>228100.0</v>
      </c>
      <c r="AP1443" s="15">
        <v>316700.0</v>
      </c>
      <c r="AQ1443" s="15">
        <v>8100.0</v>
      </c>
      <c r="AR1443" s="15">
        <v>-133600.0</v>
      </c>
      <c r="AS1443" s="15">
        <v>177200.0</v>
      </c>
      <c r="AT1443" s="15">
        <v>165500.0</v>
      </c>
      <c r="AU1443" s="15">
        <v>250300.0</v>
      </c>
      <c r="AV1443" s="15">
        <v>79800.0</v>
      </c>
      <c r="AW1443" s="15">
        <v>22500.0</v>
      </c>
      <c r="AX1443" s="15">
        <v>-59900.0</v>
      </c>
      <c r="AY1443" s="15">
        <v>-61400.0</v>
      </c>
      <c r="AZ1443" s="15">
        <v>-73500.0</v>
      </c>
      <c r="BA1443" s="15">
        <v>-60400.0</v>
      </c>
      <c r="BB1443" s="15">
        <v>-55900.0</v>
      </c>
      <c r="BC1443" s="15">
        <v>-27100.0</v>
      </c>
      <c r="BD1443" s="15">
        <v>-27100.0</v>
      </c>
      <c r="BE1443" s="15">
        <v>-27200.0</v>
      </c>
      <c r="BF1443" s="15">
        <v>-27100.0</v>
      </c>
      <c r="BG1443" s="15">
        <v>-27100.0</v>
      </c>
      <c r="BH1443" s="15">
        <v>552900.0</v>
      </c>
      <c r="BI1443" s="15">
        <v>517300.0</v>
      </c>
      <c r="BJ1443" s="15">
        <v>454800.0</v>
      </c>
      <c r="BK1443" s="15">
        <v>176600.0</v>
      </c>
      <c r="BL1443" s="15">
        <v>211500.0</v>
      </c>
      <c r="BM1443" s="15">
        <v>329200.0</v>
      </c>
      <c r="BN1443" s="15">
        <v>352600.0</v>
      </c>
      <c r="BO1443" s="15">
        <v>365800.0</v>
      </c>
      <c r="BP1443" s="15">
        <v>258500.0</v>
      </c>
      <c r="BQ1443" s="15">
        <v>246600.0</v>
      </c>
      <c r="BR1443" s="15">
        <v>522100.0</v>
      </c>
      <c r="BS1443" s="15">
        <v>515800.0</v>
      </c>
      <c r="BT1443" s="15">
        <v>414900.0</v>
      </c>
      <c r="BU1443" s="15">
        <v>370100.0</v>
      </c>
      <c r="BV1443" s="15">
        <v>415100.0</v>
      </c>
      <c r="BW1443" s="15">
        <v>1430000.0</v>
      </c>
      <c r="BX1443" s="15">
        <v>1410000.0</v>
      </c>
      <c r="BY1443" s="15">
        <v>1260000.0</v>
      </c>
      <c r="BZ1443" s="15">
        <v>837400.0</v>
      </c>
      <c r="CA1443" s="15">
        <v>896200.0</v>
      </c>
      <c r="CB1443" s="15">
        <v>717300.0</v>
      </c>
      <c r="CC1443" s="15">
        <v>692700.0</v>
      </c>
      <c r="CD1443" s="15">
        <v>715300.0</v>
      </c>
      <c r="CE1443" s="15">
        <v>654100.0</v>
      </c>
      <c r="CF1443" s="15">
        <v>822900.0</v>
      </c>
      <c r="CG1443" s="15">
        <v>379700.0</v>
      </c>
      <c r="CH1443" s="15">
        <v>379700.0</v>
      </c>
      <c r="CI1443" s="15">
        <v>379700.0</v>
      </c>
      <c r="CJ1443" s="15">
        <v>379700.0</v>
      </c>
      <c r="CK1443" s="15">
        <v>379700.0</v>
      </c>
      <c r="CL1443" s="15">
        <v>2790000.0</v>
      </c>
      <c r="CM1443" s="15">
        <v>2710000.0</v>
      </c>
      <c r="CN1443" s="15">
        <v>2910000.0</v>
      </c>
      <c r="CO1443" s="15">
        <v>2440000.0</v>
      </c>
      <c r="CP1443" s="15">
        <v>2540000.0</v>
      </c>
      <c r="CQ1443" s="15">
        <v>165100.0</v>
      </c>
      <c r="CR1443" s="15">
        <v>138200.0</v>
      </c>
      <c r="CS1443" s="15">
        <v>132300.0</v>
      </c>
      <c r="CT1443" s="15">
        <v>113000.0</v>
      </c>
      <c r="CU1443" s="15">
        <v>150300.0</v>
      </c>
      <c r="CV1443" s="15">
        <v>322500.0</v>
      </c>
      <c r="CW1443" s="15">
        <v>6200.0</v>
      </c>
      <c r="CX1443" s="15"/>
      <c r="CY1443" s="15"/>
      <c r="CZ1443" s="15"/>
      <c r="DA1443" s="15"/>
      <c r="DB1443" s="15">
        <v>322500.0</v>
      </c>
      <c r="DC1443" s="15">
        <v>351000.0</v>
      </c>
      <c r="DD1443" s="15">
        <v>331100.0</v>
      </c>
      <c r="DE1443" s="15">
        <v>294100.0</v>
      </c>
      <c r="DF1443" s="15">
        <v>1810000.0</v>
      </c>
      <c r="DG1443" s="15">
        <v>1720000.0</v>
      </c>
      <c r="DH1443" s="15">
        <v>2140000.0</v>
      </c>
      <c r="DI1443" s="15">
        <v>2000000.0</v>
      </c>
      <c r="DJ1443" s="15">
        <v>2010000.0</v>
      </c>
      <c r="DK1443" s="15">
        <v>129400.0</v>
      </c>
      <c r="DL1443" s="15">
        <v>95000.0</v>
      </c>
      <c r="DM1443" s="15">
        <v>352100.0</v>
      </c>
      <c r="DN1443" s="15">
        <v>335000.0</v>
      </c>
      <c r="DO1443" s="15">
        <v>357400.0</v>
      </c>
      <c r="DP1443" s="15">
        <v>811600.0</v>
      </c>
      <c r="DQ1443" s="15">
        <v>797500.0</v>
      </c>
      <c r="DR1443" s="15">
        <v>1040000.0</v>
      </c>
      <c r="DS1443" s="15">
        <v>889300.0</v>
      </c>
      <c r="DT1443" s="15">
        <v>951000.0</v>
      </c>
      <c r="DU1443" s="15">
        <v>667300.0</v>
      </c>
      <c r="DV1443" s="15">
        <v>667300.0</v>
      </c>
      <c r="DW1443" s="15">
        <v>667300.0</v>
      </c>
      <c r="DX1443" s="15">
        <v>667300.0</v>
      </c>
      <c r="DY1443" s="15">
        <v>667300.0</v>
      </c>
      <c r="DZ1443" s="15">
        <v>640000.0</v>
      </c>
      <c r="EA1443" s="15">
        <v>635400.0</v>
      </c>
      <c r="EB1443" s="15">
        <v>424400.0</v>
      </c>
      <c r="EC1443" s="15">
        <v>200900.0</v>
      </c>
      <c r="ED1443" s="15">
        <v>268700.0</v>
      </c>
      <c r="EE1443" s="30">
        <v>0.0</v>
      </c>
      <c r="EF1443" s="30">
        <v>0.0</v>
      </c>
      <c r="EG1443" s="30">
        <v>0.167</v>
      </c>
      <c r="EH1443" s="30">
        <v>-0.38</v>
      </c>
    </row>
    <row r="1444">
      <c r="A1444" s="9">
        <f t="shared" si="2"/>
        <v>1442</v>
      </c>
      <c r="B1444" s="10" t="s">
        <v>1579</v>
      </c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3"/>
      <c r="CY1444" s="13"/>
      <c r="CZ1444" s="13"/>
      <c r="DA1444" s="12"/>
      <c r="DB1444" s="12"/>
      <c r="DC1444" s="12"/>
      <c r="DD1444" s="12"/>
      <c r="DE1444" s="12"/>
      <c r="DF1444" s="12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3"/>
      <c r="DV1444" s="12"/>
      <c r="DW1444" s="12"/>
      <c r="DX1444" s="13"/>
      <c r="DY1444" s="13"/>
      <c r="DZ1444" s="12"/>
      <c r="EA1444" s="12"/>
      <c r="EB1444" s="12"/>
      <c r="EC1444" s="12"/>
      <c r="ED1444" s="12"/>
      <c r="EE1444" s="23"/>
      <c r="EF1444" s="23"/>
      <c r="EG1444" s="23"/>
      <c r="EH1444" s="23"/>
    </row>
    <row r="1445">
      <c r="A1445" s="9">
        <f t="shared" si="2"/>
        <v>1443</v>
      </c>
      <c r="B1445" s="22" t="s">
        <v>1580</v>
      </c>
      <c r="C1445" s="11">
        <v>89250.0</v>
      </c>
      <c r="D1445" s="11">
        <v>14580.0</v>
      </c>
      <c r="E1445" s="11">
        <v>50000.0</v>
      </c>
      <c r="F1445" s="12"/>
      <c r="G1445" s="12"/>
      <c r="H1445" s="12"/>
      <c r="I1445" s="12"/>
      <c r="J1445" s="12"/>
      <c r="K1445" s="11">
        <v>-18.0</v>
      </c>
      <c r="L1445" s="12"/>
      <c r="M1445" s="12"/>
      <c r="N1445" s="12"/>
      <c r="O1445" s="11">
        <v>139510.0</v>
      </c>
      <c r="P1445" s="11">
        <v>48960.0</v>
      </c>
      <c r="Q1445" s="12"/>
      <c r="R1445" s="12"/>
      <c r="S1445" s="12"/>
      <c r="T1445" s="11">
        <v>104460.0</v>
      </c>
      <c r="U1445" s="11">
        <v>42400.0</v>
      </c>
      <c r="V1445" s="12"/>
      <c r="W1445" s="12"/>
      <c r="X1445" s="12"/>
      <c r="Y1445" s="12"/>
      <c r="Z1445" s="11">
        <v>-192310.0</v>
      </c>
      <c r="AA1445" s="12"/>
      <c r="AB1445" s="12"/>
      <c r="AC1445" s="12"/>
      <c r="AD1445" s="11">
        <v>-86430.0</v>
      </c>
      <c r="AE1445" s="11">
        <v>-190270.0</v>
      </c>
      <c r="AF1445" s="12"/>
      <c r="AG1445" s="12"/>
      <c r="AH1445" s="12"/>
      <c r="AI1445" s="11">
        <v>-89510.0</v>
      </c>
      <c r="AJ1445" s="11">
        <v>-48960.0</v>
      </c>
      <c r="AK1445" s="12"/>
      <c r="AL1445" s="12"/>
      <c r="AM1445" s="12"/>
      <c r="AN1445" s="11">
        <v>-86430.0</v>
      </c>
      <c r="AO1445" s="11">
        <v>-190270.0</v>
      </c>
      <c r="AP1445" s="12"/>
      <c r="AQ1445" s="12"/>
      <c r="AR1445" s="12"/>
      <c r="AS1445" s="11">
        <v>-105050.0</v>
      </c>
      <c r="AT1445" s="11">
        <v>-29530.0</v>
      </c>
      <c r="AU1445" s="12"/>
      <c r="AV1445" s="12"/>
      <c r="AW1445" s="12"/>
      <c r="AX1445" s="11">
        <v>-1100.0</v>
      </c>
      <c r="AY1445" s="11">
        <v>-491.0</v>
      </c>
      <c r="AZ1445" s="12"/>
      <c r="BA1445" s="12"/>
      <c r="BB1445" s="12"/>
      <c r="BC1445" s="12"/>
      <c r="BD1445" s="12"/>
      <c r="BE1445" s="12"/>
      <c r="BF1445" s="12"/>
      <c r="BG1445" s="12"/>
      <c r="BH1445" s="11">
        <v>314800.0</v>
      </c>
      <c r="BI1445" s="11">
        <v>126900.0</v>
      </c>
      <c r="BJ1445" s="12"/>
      <c r="BK1445" s="12"/>
      <c r="BL1445" s="12"/>
      <c r="BM1445" s="11">
        <v>30000.0</v>
      </c>
      <c r="BN1445" s="11">
        <v>12000.0</v>
      </c>
      <c r="BO1445" s="12"/>
      <c r="BP1445" s="12"/>
      <c r="BQ1445" s="12"/>
      <c r="BR1445" s="12"/>
      <c r="BS1445" s="12"/>
      <c r="BT1445" s="12"/>
      <c r="BU1445" s="12"/>
      <c r="BV1445" s="12"/>
      <c r="BW1445" s="11">
        <v>351040.0</v>
      </c>
      <c r="BX1445" s="11">
        <v>139350.0</v>
      </c>
      <c r="BY1445" s="12"/>
      <c r="BZ1445" s="12"/>
      <c r="CA1445" s="12"/>
      <c r="CB1445" s="11">
        <v>1500.0</v>
      </c>
      <c r="CC1445" s="11">
        <v>473.0</v>
      </c>
      <c r="CD1445" s="12"/>
      <c r="CE1445" s="12"/>
      <c r="CF1445" s="12"/>
      <c r="CG1445" s="12"/>
      <c r="CH1445" s="12"/>
      <c r="CI1445" s="12"/>
      <c r="CJ1445" s="12"/>
      <c r="CK1445" s="12"/>
      <c r="CL1445" s="11">
        <v>384050.0</v>
      </c>
      <c r="CM1445" s="11">
        <v>139830.0</v>
      </c>
      <c r="CN1445" s="12"/>
      <c r="CO1445" s="12"/>
      <c r="CP1445" s="12"/>
      <c r="CQ1445" s="11">
        <v>7460.0</v>
      </c>
      <c r="CR1445" s="11">
        <v>1140.0</v>
      </c>
      <c r="CS1445" s="12"/>
      <c r="CT1445" s="12"/>
      <c r="CU1445" s="12"/>
      <c r="CV1445" s="11">
        <v>29540.0</v>
      </c>
      <c r="CW1445" s="12"/>
      <c r="CX1445" s="12"/>
      <c r="CY1445" s="12"/>
      <c r="CZ1445" s="12"/>
      <c r="DA1445" s="12"/>
      <c r="DB1445" s="11">
        <v>29540.0</v>
      </c>
      <c r="DC1445" s="11">
        <v>15970.0</v>
      </c>
      <c r="DD1445" s="12"/>
      <c r="DE1445" s="12"/>
      <c r="DF1445" s="11">
        <v>29540.0</v>
      </c>
      <c r="DG1445" s="11">
        <v>328220.0</v>
      </c>
      <c r="DH1445" s="12"/>
      <c r="DI1445" s="12"/>
      <c r="DJ1445" s="12"/>
      <c r="DK1445" s="11">
        <v>31420.0</v>
      </c>
      <c r="DL1445" s="12"/>
      <c r="DM1445" s="12"/>
      <c r="DN1445" s="12"/>
      <c r="DO1445" s="12"/>
      <c r="DP1445" s="12"/>
      <c r="DQ1445" s="11">
        <v>312250.0</v>
      </c>
      <c r="DR1445" s="12"/>
      <c r="DS1445" s="12"/>
      <c r="DT1445" s="12"/>
      <c r="DU1445" s="13"/>
      <c r="DV1445" s="12"/>
      <c r="DW1445" s="12"/>
      <c r="DX1445" s="13"/>
      <c r="DY1445" s="13"/>
      <c r="DZ1445" s="11">
        <v>354510.0</v>
      </c>
      <c r="EA1445" s="11">
        <v>-188390.0</v>
      </c>
      <c r="EB1445" s="12"/>
      <c r="EC1445" s="12"/>
      <c r="ED1445" s="12"/>
      <c r="EE1445" s="14">
        <v>1.325</v>
      </c>
      <c r="EF1445" s="14">
        <v>0.791</v>
      </c>
      <c r="EG1445" s="14">
        <v>0.321</v>
      </c>
      <c r="EH1445" s="14">
        <v>-5.959</v>
      </c>
    </row>
    <row r="1446">
      <c r="A1446" s="9">
        <f t="shared" si="2"/>
        <v>1444</v>
      </c>
      <c r="B1446" s="22" t="s">
        <v>1581</v>
      </c>
      <c r="C1446" s="11">
        <v>55400.0</v>
      </c>
      <c r="D1446" s="11">
        <v>125290.0</v>
      </c>
      <c r="E1446" s="11">
        <v>8090.0</v>
      </c>
      <c r="F1446" s="11">
        <v>10670.0</v>
      </c>
      <c r="G1446" s="11">
        <v>2710.0</v>
      </c>
      <c r="H1446" s="12"/>
      <c r="I1446" s="12"/>
      <c r="J1446" s="12"/>
      <c r="K1446" s="12"/>
      <c r="L1446" s="12"/>
      <c r="M1446" s="12"/>
      <c r="N1446" s="12"/>
      <c r="O1446" s="11">
        <v>177070.0</v>
      </c>
      <c r="P1446" s="11">
        <v>126600.0</v>
      </c>
      <c r="Q1446" s="11">
        <v>83070.0</v>
      </c>
      <c r="R1446" s="12"/>
      <c r="S1446" s="12"/>
      <c r="T1446" s="11">
        <v>139480.0</v>
      </c>
      <c r="U1446" s="11">
        <v>97470.0</v>
      </c>
      <c r="V1446" s="11">
        <v>62080.0</v>
      </c>
      <c r="W1446" s="12"/>
      <c r="X1446" s="12"/>
      <c r="Y1446" s="11">
        <v>-182730.0</v>
      </c>
      <c r="Z1446" s="12"/>
      <c r="AA1446" s="11">
        <v>-81500.0</v>
      </c>
      <c r="AB1446" s="12"/>
      <c r="AC1446" s="12"/>
      <c r="AD1446" s="11">
        <v>-174530.0</v>
      </c>
      <c r="AE1446" s="11">
        <v>-116360.0</v>
      </c>
      <c r="AF1446" s="11">
        <v>-80780.0</v>
      </c>
      <c r="AG1446" s="12"/>
      <c r="AH1446" s="12"/>
      <c r="AI1446" s="11">
        <v>-168980.0</v>
      </c>
      <c r="AJ1446" s="11">
        <v>-115940.0</v>
      </c>
      <c r="AK1446" s="11">
        <v>-80370.0</v>
      </c>
      <c r="AL1446" s="12"/>
      <c r="AM1446" s="12"/>
      <c r="AN1446" s="11">
        <v>-174680.0</v>
      </c>
      <c r="AO1446" s="11">
        <v>-115880.0</v>
      </c>
      <c r="AP1446" s="11">
        <v>-69850.0</v>
      </c>
      <c r="AQ1446" s="12"/>
      <c r="AR1446" s="12"/>
      <c r="AS1446" s="11">
        <v>-129630.0</v>
      </c>
      <c r="AT1446" s="11">
        <v>-94100.0</v>
      </c>
      <c r="AU1446" s="11">
        <v>-66380.0</v>
      </c>
      <c r="AV1446" s="12"/>
      <c r="AW1446" s="12"/>
      <c r="AX1446" s="11">
        <v>-8940.0</v>
      </c>
      <c r="AY1446" s="11">
        <v>-9940.0</v>
      </c>
      <c r="AZ1446" s="11">
        <v>-2740.0</v>
      </c>
      <c r="BA1446" s="12"/>
      <c r="BB1446" s="12"/>
      <c r="BC1446" s="12"/>
      <c r="BD1446" s="12"/>
      <c r="BE1446" s="12"/>
      <c r="BF1446" s="12"/>
      <c r="BG1446" s="12"/>
      <c r="BH1446" s="11">
        <v>389620.0</v>
      </c>
      <c r="BI1446" s="11">
        <v>109200.0</v>
      </c>
      <c r="BJ1446" s="11">
        <v>187920.0</v>
      </c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1">
        <v>403000.0</v>
      </c>
      <c r="BX1446" s="11">
        <v>117780.0</v>
      </c>
      <c r="BY1446" s="11">
        <v>192350.0</v>
      </c>
      <c r="BZ1446" s="12"/>
      <c r="CA1446" s="12"/>
      <c r="CB1446" s="11">
        <v>16310.0</v>
      </c>
      <c r="CC1446" s="11">
        <v>12290.0</v>
      </c>
      <c r="CD1446" s="11">
        <v>5140.0</v>
      </c>
      <c r="CE1446" s="12"/>
      <c r="CF1446" s="12"/>
      <c r="CG1446" s="11">
        <v>16940.0</v>
      </c>
      <c r="CH1446" s="11">
        <v>16940.0</v>
      </c>
      <c r="CI1446" s="11">
        <v>16940.0</v>
      </c>
      <c r="CJ1446" s="12"/>
      <c r="CK1446" s="12"/>
      <c r="CL1446" s="11">
        <v>512070.0</v>
      </c>
      <c r="CM1446" s="11">
        <v>191600.0</v>
      </c>
      <c r="CN1446" s="11">
        <v>251570.0</v>
      </c>
      <c r="CO1446" s="12"/>
      <c r="CP1446" s="12"/>
      <c r="CQ1446" s="11">
        <v>5880.0</v>
      </c>
      <c r="CR1446" s="11">
        <v>6470.0</v>
      </c>
      <c r="CS1446" s="11">
        <v>4900.0</v>
      </c>
      <c r="CT1446" s="12"/>
      <c r="CU1446" s="12"/>
      <c r="CV1446" s="11">
        <v>59210.0</v>
      </c>
      <c r="CW1446" s="12"/>
      <c r="CX1446" s="12"/>
      <c r="CY1446" s="12"/>
      <c r="CZ1446" s="12"/>
      <c r="DA1446" s="12"/>
      <c r="DB1446" s="11">
        <v>59210.0</v>
      </c>
      <c r="DC1446" s="11">
        <v>39910.0</v>
      </c>
      <c r="DD1446" s="11">
        <v>12440.0</v>
      </c>
      <c r="DE1446" s="12"/>
      <c r="DF1446" s="11">
        <v>88130.0</v>
      </c>
      <c r="DG1446" s="11">
        <v>61640.0</v>
      </c>
      <c r="DH1446" s="11">
        <v>27960.0</v>
      </c>
      <c r="DI1446" s="12"/>
      <c r="DJ1446" s="12"/>
      <c r="DK1446" s="11">
        <v>38190.0</v>
      </c>
      <c r="DL1446" s="11">
        <v>7670.0</v>
      </c>
      <c r="DM1446" s="11">
        <v>1000.0</v>
      </c>
      <c r="DN1446" s="12"/>
      <c r="DO1446" s="12"/>
      <c r="DP1446" s="11">
        <v>900.0</v>
      </c>
      <c r="DQ1446" s="12"/>
      <c r="DR1446" s="12"/>
      <c r="DS1446" s="12"/>
      <c r="DT1446" s="12"/>
      <c r="DU1446" s="13"/>
      <c r="DV1446" s="11">
        <v>309140.0</v>
      </c>
      <c r="DW1446" s="11">
        <v>292530.0</v>
      </c>
      <c r="DX1446" s="13"/>
      <c r="DY1446" s="13"/>
      <c r="DZ1446" s="11">
        <v>423940.0</v>
      </c>
      <c r="EA1446" s="11">
        <v>129960.0</v>
      </c>
      <c r="EB1446" s="11">
        <v>223610.0</v>
      </c>
      <c r="EC1446" s="12"/>
      <c r="ED1446" s="12"/>
      <c r="EE1446" s="14">
        <v>1.092</v>
      </c>
      <c r="EF1446" s="23"/>
      <c r="EG1446" s="14">
        <v>0.565</v>
      </c>
      <c r="EH1446" s="14">
        <v>-0.011</v>
      </c>
    </row>
    <row r="1447">
      <c r="A1447" s="9">
        <f t="shared" si="2"/>
        <v>1445</v>
      </c>
      <c r="B1447" s="22" t="s">
        <v>1582</v>
      </c>
      <c r="C1447" s="11">
        <v>436270.0</v>
      </c>
      <c r="D1447" s="11">
        <v>278330.0</v>
      </c>
      <c r="E1447" s="11">
        <v>8010000.0</v>
      </c>
      <c r="F1447" s="11">
        <v>6370000.0</v>
      </c>
      <c r="G1447" s="12"/>
      <c r="H1447" s="12"/>
      <c r="I1447" s="12"/>
      <c r="J1447" s="11">
        <v>1630000.0</v>
      </c>
      <c r="K1447" s="11">
        <v>2230000.0</v>
      </c>
      <c r="L1447" s="12"/>
      <c r="M1447" s="12"/>
      <c r="N1447" s="12"/>
      <c r="O1447" s="11">
        <v>966690.0</v>
      </c>
      <c r="P1447" s="11">
        <v>624710.0</v>
      </c>
      <c r="Q1447" s="11">
        <v>61680.0</v>
      </c>
      <c r="R1447" s="12"/>
      <c r="S1447" s="12"/>
      <c r="T1447" s="12"/>
      <c r="U1447" s="12"/>
      <c r="V1447" s="12"/>
      <c r="W1447" s="12"/>
      <c r="X1447" s="12"/>
      <c r="Y1447" s="11">
        <v>349790.0</v>
      </c>
      <c r="Z1447" s="11">
        <v>616610.0</v>
      </c>
      <c r="AA1447" s="11">
        <v>-42780.0</v>
      </c>
      <c r="AB1447" s="12"/>
      <c r="AC1447" s="12"/>
      <c r="AD1447" s="11">
        <v>-317500.0</v>
      </c>
      <c r="AE1447" s="11">
        <v>337980.0</v>
      </c>
      <c r="AF1447" s="11">
        <v>-95600.0</v>
      </c>
      <c r="AG1447" s="12"/>
      <c r="AH1447" s="12"/>
      <c r="AI1447" s="11">
        <v>3270000.0</v>
      </c>
      <c r="AJ1447" s="11">
        <v>2760000.0</v>
      </c>
      <c r="AK1447" s="11">
        <v>-61680.0</v>
      </c>
      <c r="AL1447" s="12"/>
      <c r="AM1447" s="12"/>
      <c r="AN1447" s="11">
        <v>-630010.0</v>
      </c>
      <c r="AO1447" s="11">
        <v>-574230.0</v>
      </c>
      <c r="AP1447" s="11">
        <v>-96320.0</v>
      </c>
      <c r="AQ1447" s="12"/>
      <c r="AR1447" s="12"/>
      <c r="AS1447" s="11">
        <v>2030000.0</v>
      </c>
      <c r="AT1447" s="11">
        <v>2310000.0</v>
      </c>
      <c r="AU1447" s="11">
        <v>6400.0</v>
      </c>
      <c r="AV1447" s="12"/>
      <c r="AW1447" s="12"/>
      <c r="AX1447" s="11">
        <v>-4710000.0</v>
      </c>
      <c r="AY1447" s="11">
        <v>-2870000.0</v>
      </c>
      <c r="AZ1447" s="12"/>
      <c r="BA1447" s="12"/>
      <c r="BB1447" s="12"/>
      <c r="BC1447" s="12"/>
      <c r="BD1447" s="12"/>
      <c r="BE1447" s="12"/>
      <c r="BF1447" s="12"/>
      <c r="BG1447" s="12"/>
      <c r="BH1447" s="11">
        <v>4910000.0</v>
      </c>
      <c r="BI1447" s="11">
        <v>1590000.0</v>
      </c>
      <c r="BJ1447" s="11">
        <v>52170.0</v>
      </c>
      <c r="BK1447" s="12"/>
      <c r="BL1447" s="12"/>
      <c r="BM1447" s="11">
        <v>1730000.0</v>
      </c>
      <c r="BN1447" s="11">
        <v>1680000.0</v>
      </c>
      <c r="BO1447" s="12"/>
      <c r="BP1447" s="12"/>
      <c r="BQ1447" s="12"/>
      <c r="BR1447" s="11">
        <v>360800.0</v>
      </c>
      <c r="BS1447" s="11">
        <v>358170.0</v>
      </c>
      <c r="BT1447" s="12"/>
      <c r="BU1447" s="12"/>
      <c r="BV1447" s="12"/>
      <c r="BW1447" s="11">
        <v>7040000.0</v>
      </c>
      <c r="BX1447" s="11">
        <v>3650000.0</v>
      </c>
      <c r="BY1447" s="11">
        <v>52170.0</v>
      </c>
      <c r="BZ1447" s="12"/>
      <c r="CA1447" s="12"/>
      <c r="CB1447" s="11">
        <v>1.763E7</v>
      </c>
      <c r="CC1447" s="11">
        <v>1.616E7</v>
      </c>
      <c r="CD1447" s="12"/>
      <c r="CE1447" s="12"/>
      <c r="CF1447" s="12"/>
      <c r="CG1447" s="11">
        <v>537890.0</v>
      </c>
      <c r="CH1447" s="11">
        <v>560960.0</v>
      </c>
      <c r="CI1447" s="12"/>
      <c r="CJ1447" s="12"/>
      <c r="CK1447" s="12"/>
      <c r="CL1447" s="11">
        <v>2.616E7</v>
      </c>
      <c r="CM1447" s="11">
        <v>2.155E7</v>
      </c>
      <c r="CN1447" s="11">
        <v>1.282E7</v>
      </c>
      <c r="CO1447" s="12"/>
      <c r="CP1447" s="12"/>
      <c r="CQ1447" s="11">
        <v>1120000.0</v>
      </c>
      <c r="CR1447" s="11">
        <v>1450000.0</v>
      </c>
      <c r="CS1447" s="11">
        <v>5400.0</v>
      </c>
      <c r="CT1447" s="12"/>
      <c r="CU1447" s="12"/>
      <c r="CV1447" s="11">
        <v>3650000.0</v>
      </c>
      <c r="CW1447" s="12"/>
      <c r="CX1447" s="12"/>
      <c r="CY1447" s="12"/>
      <c r="CZ1447" s="12"/>
      <c r="DA1447" s="12"/>
      <c r="DB1447" s="11">
        <v>3650000.0</v>
      </c>
      <c r="DC1447" s="11">
        <v>2640000.0</v>
      </c>
      <c r="DD1447" s="11">
        <v>5600.0</v>
      </c>
      <c r="DE1447" s="12"/>
      <c r="DF1447" s="11">
        <v>1.476E7</v>
      </c>
      <c r="DG1447" s="11">
        <v>1.21E7</v>
      </c>
      <c r="DH1447" s="11">
        <v>1.263E7</v>
      </c>
      <c r="DI1447" s="12"/>
      <c r="DJ1447" s="12"/>
      <c r="DK1447" s="12"/>
      <c r="DL1447" s="12"/>
      <c r="DM1447" s="11">
        <v>1.277E7</v>
      </c>
      <c r="DN1447" s="12"/>
      <c r="DO1447" s="12"/>
      <c r="DP1447" s="11">
        <v>7520000.0</v>
      </c>
      <c r="DQ1447" s="11">
        <v>5800000.0</v>
      </c>
      <c r="DR1447" s="11">
        <v>1.256E7</v>
      </c>
      <c r="DS1447" s="12"/>
      <c r="DT1447" s="12"/>
      <c r="DU1447" s="13"/>
      <c r="DV1447" s="12"/>
      <c r="DW1447" s="12"/>
      <c r="DX1447" s="13"/>
      <c r="DY1447" s="13"/>
      <c r="DZ1447" s="11">
        <v>1.14E7</v>
      </c>
      <c r="EA1447" s="11">
        <v>9450000.0</v>
      </c>
      <c r="EB1447" s="11">
        <v>191170.0</v>
      </c>
      <c r="EC1447" s="12"/>
      <c r="ED1447" s="12"/>
      <c r="EE1447" s="14">
        <v>0.165</v>
      </c>
      <c r="EF1447" s="14">
        <v>0.173</v>
      </c>
      <c r="EG1447" s="14">
        <v>-1.368</v>
      </c>
      <c r="EH1447" s="14">
        <v>-0.727</v>
      </c>
    </row>
    <row r="1448">
      <c r="A1448" s="9">
        <f t="shared" si="2"/>
        <v>1446</v>
      </c>
      <c r="B1448" s="22" t="s">
        <v>1583</v>
      </c>
      <c r="C1448" s="11">
        <v>261590.0</v>
      </c>
      <c r="D1448" s="11">
        <v>248960.0</v>
      </c>
      <c r="E1448" s="11">
        <v>201010.0</v>
      </c>
      <c r="F1448" s="11">
        <v>213570.0</v>
      </c>
      <c r="G1448" s="11">
        <v>200770.0</v>
      </c>
      <c r="H1448" s="11">
        <v>196080.0</v>
      </c>
      <c r="I1448" s="11">
        <v>194830.0</v>
      </c>
      <c r="J1448" s="11">
        <v>118330.0</v>
      </c>
      <c r="K1448" s="11">
        <v>130460.0</v>
      </c>
      <c r="L1448" s="11">
        <v>124290.0</v>
      </c>
      <c r="M1448" s="11">
        <v>127790.0</v>
      </c>
      <c r="N1448" s="11">
        <v>121880.0</v>
      </c>
      <c r="O1448" s="11">
        <v>79400.0</v>
      </c>
      <c r="P1448" s="11">
        <v>85830.0</v>
      </c>
      <c r="Q1448" s="11">
        <v>79520.0</v>
      </c>
      <c r="R1448" s="11">
        <v>74250.0</v>
      </c>
      <c r="S1448" s="11">
        <v>65820.0</v>
      </c>
      <c r="T1448" s="11">
        <v>17950.0</v>
      </c>
      <c r="U1448" s="11">
        <v>16870.0</v>
      </c>
      <c r="V1448" s="11">
        <v>16040.0</v>
      </c>
      <c r="W1448" s="11">
        <v>13820.0</v>
      </c>
      <c r="X1448" s="11">
        <v>12610.0</v>
      </c>
      <c r="Y1448" s="11">
        <v>32700.0</v>
      </c>
      <c r="Z1448" s="11">
        <v>31580.0</v>
      </c>
      <c r="AA1448" s="11">
        <v>-7390.0</v>
      </c>
      <c r="AB1448" s="11">
        <v>-2160.0</v>
      </c>
      <c r="AC1448" s="12"/>
      <c r="AD1448" s="11">
        <v>31560.0</v>
      </c>
      <c r="AE1448" s="11">
        <v>30380.0</v>
      </c>
      <c r="AF1448" s="11">
        <v>36430.0</v>
      </c>
      <c r="AG1448" s="11">
        <v>50640.0</v>
      </c>
      <c r="AH1448" s="11">
        <v>55060.0</v>
      </c>
      <c r="AI1448" s="11">
        <v>48890.0</v>
      </c>
      <c r="AJ1448" s="11">
        <v>53320.0</v>
      </c>
      <c r="AK1448" s="11">
        <v>53860.0</v>
      </c>
      <c r="AL1448" s="11">
        <v>61250.0</v>
      </c>
      <c r="AM1448" s="11">
        <v>62670.0</v>
      </c>
      <c r="AN1448" s="11">
        <v>24380.0</v>
      </c>
      <c r="AO1448" s="11">
        <v>23850.0</v>
      </c>
      <c r="AP1448" s="11">
        <v>21560.0</v>
      </c>
      <c r="AQ1448" s="11">
        <v>32230.0</v>
      </c>
      <c r="AR1448" s="11">
        <v>35540.0</v>
      </c>
      <c r="AS1448" s="11">
        <v>35830.0</v>
      </c>
      <c r="AT1448" s="11">
        <v>34780.0</v>
      </c>
      <c r="AU1448" s="11">
        <v>41360.0</v>
      </c>
      <c r="AV1448" s="11">
        <v>37220.0</v>
      </c>
      <c r="AW1448" s="11">
        <v>42810.0</v>
      </c>
      <c r="AX1448" s="11">
        <v>-3800.0</v>
      </c>
      <c r="AY1448" s="11">
        <v>-4200.0</v>
      </c>
      <c r="AZ1448" s="11">
        <v>-4470.0</v>
      </c>
      <c r="BA1448" s="11">
        <v>-4000.0</v>
      </c>
      <c r="BB1448" s="11">
        <v>-4760.0</v>
      </c>
      <c r="BC1448" s="11">
        <v>-10610.0</v>
      </c>
      <c r="BD1448" s="11">
        <v>-21170.0</v>
      </c>
      <c r="BE1448" s="11">
        <v>-24270.0</v>
      </c>
      <c r="BF1448" s="11">
        <v>-33650.0</v>
      </c>
      <c r="BG1448" s="11">
        <v>-33360.0</v>
      </c>
      <c r="BH1448" s="11">
        <v>62400.0</v>
      </c>
      <c r="BI1448" s="11">
        <v>59760.0</v>
      </c>
      <c r="BJ1448" s="11">
        <v>57070.0</v>
      </c>
      <c r="BK1448" s="11">
        <v>47230.0</v>
      </c>
      <c r="BL1448" s="11">
        <v>49970.0</v>
      </c>
      <c r="BM1448" s="11">
        <v>35610.0</v>
      </c>
      <c r="BN1448" s="11">
        <v>32340.0</v>
      </c>
      <c r="BO1448" s="11">
        <v>29110.0</v>
      </c>
      <c r="BP1448" s="11">
        <v>27100.0</v>
      </c>
      <c r="BQ1448" s="11">
        <v>26250.0</v>
      </c>
      <c r="BR1448" s="11">
        <v>39620.0</v>
      </c>
      <c r="BS1448" s="11">
        <v>41990.0</v>
      </c>
      <c r="BT1448" s="11">
        <v>41490.0</v>
      </c>
      <c r="BU1448" s="11">
        <v>45060.0</v>
      </c>
      <c r="BV1448" s="11">
        <v>35820.0</v>
      </c>
      <c r="BW1448" s="11">
        <v>144760.0</v>
      </c>
      <c r="BX1448" s="11">
        <v>139050.0</v>
      </c>
      <c r="BY1448" s="11">
        <v>133880.0</v>
      </c>
      <c r="BZ1448" s="11">
        <v>126790.0</v>
      </c>
      <c r="CA1448" s="11">
        <v>122850.0</v>
      </c>
      <c r="CB1448" s="11">
        <v>30570.0</v>
      </c>
      <c r="CC1448" s="11">
        <v>30000.0</v>
      </c>
      <c r="CD1448" s="11">
        <v>30510.0</v>
      </c>
      <c r="CE1448" s="11">
        <v>30450.0</v>
      </c>
      <c r="CF1448" s="11">
        <v>27490.0</v>
      </c>
      <c r="CG1448" s="11">
        <v>89240.0</v>
      </c>
      <c r="CH1448" s="11">
        <v>54640.0</v>
      </c>
      <c r="CI1448" s="11">
        <v>54930.0</v>
      </c>
      <c r="CJ1448" s="11">
        <v>61980.0</v>
      </c>
      <c r="CK1448" s="11">
        <v>22350.0</v>
      </c>
      <c r="CL1448" s="11">
        <v>325480.0</v>
      </c>
      <c r="CM1448" s="11">
        <v>251380.0</v>
      </c>
      <c r="CN1448" s="11">
        <v>249780.0</v>
      </c>
      <c r="CO1448" s="11">
        <v>252030.0</v>
      </c>
      <c r="CP1448" s="11">
        <v>183280.0</v>
      </c>
      <c r="CQ1448" s="11">
        <v>7240.0</v>
      </c>
      <c r="CR1448" s="11">
        <v>6260.0</v>
      </c>
      <c r="CS1448" s="11">
        <v>7720.0</v>
      </c>
      <c r="CT1448" s="11">
        <v>7630.0</v>
      </c>
      <c r="CU1448" s="11">
        <v>6650.0</v>
      </c>
      <c r="CV1448" s="11">
        <v>20910.0</v>
      </c>
      <c r="CW1448" s="12"/>
      <c r="CX1448" s="12"/>
      <c r="CY1448" s="12"/>
      <c r="CZ1448" s="12"/>
      <c r="DA1448" s="12"/>
      <c r="DB1448" s="11">
        <v>20910.0</v>
      </c>
      <c r="DC1448" s="11">
        <v>24170.0</v>
      </c>
      <c r="DD1448" s="11">
        <v>22890.0</v>
      </c>
      <c r="DE1448" s="11">
        <v>22570.0</v>
      </c>
      <c r="DF1448" s="11">
        <v>134510.0</v>
      </c>
      <c r="DG1448" s="11">
        <v>75960.0</v>
      </c>
      <c r="DH1448" s="11">
        <v>80190.0</v>
      </c>
      <c r="DI1448" s="11">
        <v>85560.0</v>
      </c>
      <c r="DJ1448" s="11">
        <v>17410.0</v>
      </c>
      <c r="DK1448" s="12"/>
      <c r="DL1448" s="11">
        <v>2720.0</v>
      </c>
      <c r="DM1448" s="11">
        <v>1820.0</v>
      </c>
      <c r="DN1448" s="11">
        <v>1000.0</v>
      </c>
      <c r="DO1448" s="11">
        <v>1000.0</v>
      </c>
      <c r="DP1448" s="11">
        <v>75820.0</v>
      </c>
      <c r="DQ1448" s="11">
        <v>44930.0</v>
      </c>
      <c r="DR1448" s="11">
        <v>50150.0</v>
      </c>
      <c r="DS1448" s="11">
        <v>54610.0</v>
      </c>
      <c r="DT1448" s="12"/>
      <c r="DU1448" s="13"/>
      <c r="DV1448" s="13"/>
      <c r="DW1448" s="13"/>
      <c r="DX1448" s="13"/>
      <c r="DY1448" s="13"/>
      <c r="DZ1448" s="11">
        <v>190970.0</v>
      </c>
      <c r="EA1448" s="11">
        <v>175420.0</v>
      </c>
      <c r="EB1448" s="11">
        <v>169590.0</v>
      </c>
      <c r="EC1448" s="11">
        <v>166470.0</v>
      </c>
      <c r="ED1448" s="11">
        <v>165870.0</v>
      </c>
      <c r="EE1448" s="14">
        <v>0.002</v>
      </c>
      <c r="EF1448" s="14">
        <v>0.065</v>
      </c>
      <c r="EG1448" s="14">
        <v>1.391</v>
      </c>
      <c r="EH1448" s="14">
        <v>1.094</v>
      </c>
    </row>
    <row r="1449">
      <c r="A1449" s="9">
        <f t="shared" si="2"/>
        <v>1447</v>
      </c>
      <c r="B1449" s="22" t="s">
        <v>1584</v>
      </c>
      <c r="C1449" s="12"/>
      <c r="D1449" s="12"/>
      <c r="E1449" s="12"/>
      <c r="F1449" s="12"/>
      <c r="G1449" s="12"/>
      <c r="H1449" s="12"/>
      <c r="I1449" s="12"/>
      <c r="J1449" s="11">
        <v>-260.0</v>
      </c>
      <c r="K1449" s="12"/>
      <c r="L1449" s="12"/>
      <c r="M1449" s="12"/>
      <c r="N1449" s="12"/>
      <c r="O1449" s="11">
        <v>32430.0</v>
      </c>
      <c r="P1449" s="11">
        <v>26160.0</v>
      </c>
      <c r="Q1449" s="11">
        <v>19070.0</v>
      </c>
      <c r="R1449" s="11">
        <v>13850.0</v>
      </c>
      <c r="S1449" s="11">
        <v>12000.0</v>
      </c>
      <c r="T1449" s="11">
        <v>23560.0</v>
      </c>
      <c r="U1449" s="11">
        <v>19040.0</v>
      </c>
      <c r="V1449" s="11">
        <v>13740.0</v>
      </c>
      <c r="W1449" s="11">
        <v>9000.0</v>
      </c>
      <c r="X1449" s="11">
        <v>6970.0</v>
      </c>
      <c r="Y1449" s="12"/>
      <c r="Z1449" s="11">
        <v>-24760.0</v>
      </c>
      <c r="AA1449" s="11">
        <v>-18730.0</v>
      </c>
      <c r="AB1449" s="11">
        <v>-12780.0</v>
      </c>
      <c r="AC1449" s="11">
        <v>-22420.0</v>
      </c>
      <c r="AD1449" s="11">
        <v>-25780.0</v>
      </c>
      <c r="AE1449" s="11">
        <v>-22060.0</v>
      </c>
      <c r="AF1449" s="11">
        <v>-20580.0</v>
      </c>
      <c r="AG1449" s="11">
        <v>-14730.0</v>
      </c>
      <c r="AH1449" s="11">
        <v>-23400.0</v>
      </c>
      <c r="AI1449" s="11">
        <v>-32430.0</v>
      </c>
      <c r="AJ1449" s="11">
        <v>-26160.0</v>
      </c>
      <c r="AK1449" s="11">
        <v>-19070.0</v>
      </c>
      <c r="AL1449" s="11">
        <v>-13850.0</v>
      </c>
      <c r="AM1449" s="11">
        <v>-12000.0</v>
      </c>
      <c r="AN1449" s="11">
        <v>-25780.0</v>
      </c>
      <c r="AO1449" s="11">
        <v>-22060.0</v>
      </c>
      <c r="AP1449" s="11">
        <v>-20580.0</v>
      </c>
      <c r="AQ1449" s="11">
        <v>-14730.0</v>
      </c>
      <c r="AR1449" s="11">
        <v>-23400.0</v>
      </c>
      <c r="AS1449" s="11">
        <v>-24480.0</v>
      </c>
      <c r="AT1449" s="11">
        <v>-18760.0</v>
      </c>
      <c r="AU1449" s="11">
        <v>-14760.0</v>
      </c>
      <c r="AV1449" s="11">
        <v>-11070.0</v>
      </c>
      <c r="AW1449" s="11">
        <v>-8730.0</v>
      </c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1">
        <v>275640.0</v>
      </c>
      <c r="BI1449" s="11">
        <v>301520.0</v>
      </c>
      <c r="BJ1449" s="11">
        <v>20580.0</v>
      </c>
      <c r="BK1449" s="11">
        <v>13150.0</v>
      </c>
      <c r="BL1449" s="11">
        <v>14100.0</v>
      </c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1">
        <v>283500.0</v>
      </c>
      <c r="BX1449" s="11">
        <v>302130.0</v>
      </c>
      <c r="BY1449" s="11">
        <v>21850.0</v>
      </c>
      <c r="BZ1449" s="11">
        <v>13970.0</v>
      </c>
      <c r="CA1449" s="11">
        <v>15200.0</v>
      </c>
      <c r="CB1449" s="11">
        <v>598.0</v>
      </c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1">
        <v>284260.0</v>
      </c>
      <c r="CM1449" s="11">
        <v>302310.0</v>
      </c>
      <c r="CN1449" s="11">
        <v>22120.0</v>
      </c>
      <c r="CO1449" s="11">
        <v>14540.0</v>
      </c>
      <c r="CP1449" s="11">
        <v>15440.0</v>
      </c>
      <c r="CQ1449" s="11">
        <v>2430.0</v>
      </c>
      <c r="CR1449" s="11">
        <v>959.0</v>
      </c>
      <c r="CS1449" s="11">
        <v>1530.0</v>
      </c>
      <c r="CT1449" s="11">
        <v>1200.0</v>
      </c>
      <c r="CU1449" s="12"/>
      <c r="CV1449" s="11">
        <v>6780.0</v>
      </c>
      <c r="CW1449" s="11">
        <v>302.0</v>
      </c>
      <c r="CX1449" s="12"/>
      <c r="CY1449" s="12"/>
      <c r="CZ1449" s="12"/>
      <c r="DA1449" s="12"/>
      <c r="DB1449" s="11">
        <v>6780.0</v>
      </c>
      <c r="DC1449" s="11">
        <v>4550.0</v>
      </c>
      <c r="DD1449" s="11">
        <v>8660.0</v>
      </c>
      <c r="DE1449" s="11">
        <v>6480.0</v>
      </c>
      <c r="DF1449" s="11">
        <v>7140.0</v>
      </c>
      <c r="DG1449" s="11">
        <v>4560.0</v>
      </c>
      <c r="DH1449" s="11">
        <v>8660.0</v>
      </c>
      <c r="DI1449" s="11">
        <v>6490.0</v>
      </c>
      <c r="DJ1449" s="11">
        <v>6710.0</v>
      </c>
      <c r="DK1449" s="12"/>
      <c r="DL1449" s="12"/>
      <c r="DM1449" s="12"/>
      <c r="DN1449" s="12"/>
      <c r="DO1449" s="12"/>
      <c r="DP1449" s="11">
        <v>360.0</v>
      </c>
      <c r="DQ1449" s="12"/>
      <c r="DR1449" s="12"/>
      <c r="DS1449" s="12"/>
      <c r="DT1449" s="11">
        <v>2150.0</v>
      </c>
      <c r="DU1449" s="13"/>
      <c r="DV1449" s="12"/>
      <c r="DW1449" s="12"/>
      <c r="DX1449" s="13"/>
      <c r="DY1449" s="13"/>
      <c r="DZ1449" s="11">
        <v>277120.0</v>
      </c>
      <c r="EA1449" s="11">
        <v>297750.0</v>
      </c>
      <c r="EB1449" s="11">
        <v>13460.0</v>
      </c>
      <c r="EC1449" s="11">
        <v>8040.0</v>
      </c>
      <c r="ED1449" s="11">
        <v>8720.0</v>
      </c>
      <c r="EE1449" s="23"/>
      <c r="EF1449" s="23"/>
      <c r="EG1449" s="14">
        <v>0.071</v>
      </c>
      <c r="EH1449" s="14">
        <v>0.151</v>
      </c>
    </row>
    <row r="1450">
      <c r="A1450" s="9">
        <f t="shared" si="2"/>
        <v>1448</v>
      </c>
      <c r="B1450" s="10" t="s">
        <v>1585</v>
      </c>
      <c r="C1450" s="11">
        <v>1410000.0</v>
      </c>
      <c r="D1450" s="11">
        <v>894180.0</v>
      </c>
      <c r="E1450" s="11">
        <v>3.483E7</v>
      </c>
      <c r="F1450" s="11">
        <v>2.731E7</v>
      </c>
      <c r="G1450" s="11">
        <v>2.479E7</v>
      </c>
      <c r="H1450" s="11">
        <v>2.351E7</v>
      </c>
      <c r="I1450" s="11">
        <v>1.818E7</v>
      </c>
      <c r="J1450" s="11">
        <v>6660000.0</v>
      </c>
      <c r="K1450" s="11">
        <v>2470000.0</v>
      </c>
      <c r="L1450" s="11">
        <v>2640000.0</v>
      </c>
      <c r="M1450" s="11">
        <v>4240000.0</v>
      </c>
      <c r="N1450" s="11">
        <v>3850000.0</v>
      </c>
      <c r="O1450" s="11">
        <v>2560000.0</v>
      </c>
      <c r="P1450" s="11">
        <v>2560000.0</v>
      </c>
      <c r="Q1450" s="11">
        <v>2770000.0</v>
      </c>
      <c r="R1450" s="11">
        <v>1990000.0</v>
      </c>
      <c r="S1450" s="11">
        <v>1500000.0</v>
      </c>
      <c r="T1450" s="12"/>
      <c r="U1450" s="12"/>
      <c r="V1450" s="12"/>
      <c r="W1450" s="12"/>
      <c r="X1450" s="12"/>
      <c r="Y1450" s="11">
        <v>4030000.0</v>
      </c>
      <c r="Z1450" s="12"/>
      <c r="AA1450" s="11"/>
      <c r="AB1450" s="12"/>
      <c r="AC1450" s="12"/>
      <c r="AD1450" s="11">
        <v>3730000.0</v>
      </c>
      <c r="AE1450" s="11">
        <v>-1290000.0</v>
      </c>
      <c r="AF1450" s="11">
        <v>-812960.0</v>
      </c>
      <c r="AG1450" s="11">
        <v>4980000.0</v>
      </c>
      <c r="AH1450" s="11">
        <v>3500000.0</v>
      </c>
      <c r="AI1450" s="11">
        <v>9480000.0</v>
      </c>
      <c r="AJ1450" s="11">
        <v>4460000.0</v>
      </c>
      <c r="AK1450" s="11">
        <v>448490.0</v>
      </c>
      <c r="AL1450" s="11">
        <v>2790000.0</v>
      </c>
      <c r="AM1450" s="11">
        <v>2770000.0</v>
      </c>
      <c r="AN1450" s="11">
        <v>2640000.0</v>
      </c>
      <c r="AO1450" s="11">
        <v>-942880.0</v>
      </c>
      <c r="AP1450" s="11">
        <v>-651790.0</v>
      </c>
      <c r="AQ1450" s="11">
        <v>3520000.0</v>
      </c>
      <c r="AR1450" s="11">
        <v>2460000.0</v>
      </c>
      <c r="AS1450" s="11">
        <v>9230000.0</v>
      </c>
      <c r="AT1450" s="11">
        <v>6070000.0</v>
      </c>
      <c r="AU1450" s="11">
        <v>880480.0</v>
      </c>
      <c r="AV1450" s="11">
        <v>2760000.0</v>
      </c>
      <c r="AW1450" s="11">
        <v>4190000.0</v>
      </c>
      <c r="AX1450" s="11">
        <v>-3560000.0</v>
      </c>
      <c r="AY1450" s="11">
        <v>-2810000.0</v>
      </c>
      <c r="AZ1450" s="11">
        <v>-2650000.0</v>
      </c>
      <c r="BA1450" s="11">
        <v>-2260000.0</v>
      </c>
      <c r="BB1450" s="11">
        <v>-1460000.0</v>
      </c>
      <c r="BC1450" s="12"/>
      <c r="BD1450" s="12"/>
      <c r="BE1450" s="12"/>
      <c r="BF1450" s="12"/>
      <c r="BG1450" s="12"/>
      <c r="BH1450" s="11">
        <v>7980000.0</v>
      </c>
      <c r="BI1450" s="11">
        <v>5860000.0</v>
      </c>
      <c r="BJ1450" s="11">
        <v>6950000.0</v>
      </c>
      <c r="BK1450" s="11">
        <v>8770000.0</v>
      </c>
      <c r="BL1450" s="11">
        <v>6030000.0</v>
      </c>
      <c r="BM1450" s="11">
        <v>2320000.0</v>
      </c>
      <c r="BN1450" s="11">
        <v>1470000.0</v>
      </c>
      <c r="BO1450" s="11">
        <v>1450000.0</v>
      </c>
      <c r="BP1450" s="11">
        <v>962720.0</v>
      </c>
      <c r="BQ1450" s="11">
        <v>529510.0</v>
      </c>
      <c r="BR1450" s="11">
        <v>794810.0</v>
      </c>
      <c r="BS1450" s="11">
        <v>562890.0</v>
      </c>
      <c r="BT1450" s="11">
        <v>641110.0</v>
      </c>
      <c r="BU1450" s="11">
        <v>948990.0</v>
      </c>
      <c r="BV1450" s="11">
        <v>243810.0</v>
      </c>
      <c r="BW1450" s="11">
        <v>1.212E7</v>
      </c>
      <c r="BX1450" s="11">
        <v>8920000.0</v>
      </c>
      <c r="BY1450" s="11">
        <v>1.131E7</v>
      </c>
      <c r="BZ1450" s="11">
        <v>1.155E7</v>
      </c>
      <c r="CA1450" s="11">
        <v>7240000.0</v>
      </c>
      <c r="CB1450" s="11">
        <v>4.151E7</v>
      </c>
      <c r="CC1450" s="11">
        <v>3.766E7</v>
      </c>
      <c r="CD1450" s="11">
        <v>4380000.0</v>
      </c>
      <c r="CE1450" s="11">
        <v>2530000.0</v>
      </c>
      <c r="CF1450" s="11">
        <v>2550000.0</v>
      </c>
      <c r="CG1450" s="11"/>
      <c r="CH1450" s="11"/>
      <c r="CI1450" s="11"/>
      <c r="CJ1450" s="11"/>
      <c r="CK1450" s="11"/>
      <c r="CL1450" s="11">
        <v>6.33E7</v>
      </c>
      <c r="CM1450" s="11">
        <v>5.672E7</v>
      </c>
      <c r="CN1450" s="11">
        <v>2.267E7</v>
      </c>
      <c r="CO1450" s="11">
        <v>2.178E7</v>
      </c>
      <c r="CP1450" s="11">
        <v>1.526E7</v>
      </c>
      <c r="CQ1450" s="11">
        <v>1660000.0</v>
      </c>
      <c r="CR1450" s="11">
        <v>1100000.0</v>
      </c>
      <c r="CS1450" s="11">
        <v>1120000.0</v>
      </c>
      <c r="CT1450" s="11">
        <v>892430.0</v>
      </c>
      <c r="CU1450" s="11">
        <v>785550.0</v>
      </c>
      <c r="CV1450" s="11">
        <v>1.732E7</v>
      </c>
      <c r="CW1450" s="11"/>
      <c r="CX1450" s="12"/>
      <c r="CY1450" s="12"/>
      <c r="CZ1450" s="12"/>
      <c r="DA1450" s="12"/>
      <c r="DB1450" s="11">
        <v>1.732E7</v>
      </c>
      <c r="DC1450" s="11">
        <v>1.408E7</v>
      </c>
      <c r="DD1450" s="11">
        <v>9500000.0</v>
      </c>
      <c r="DE1450" s="11">
        <v>7890000.0</v>
      </c>
      <c r="DF1450" s="11">
        <v>5.777E7</v>
      </c>
      <c r="DG1450" s="11">
        <v>5.402E7</v>
      </c>
      <c r="DH1450" s="11">
        <v>1.263E7</v>
      </c>
      <c r="DI1450" s="11">
        <v>1.099E7</v>
      </c>
      <c r="DJ1450" s="11">
        <v>8440000.0</v>
      </c>
      <c r="DK1450" s="11">
        <v>2700.0</v>
      </c>
      <c r="DL1450" s="11"/>
      <c r="DM1450" s="11"/>
      <c r="DN1450" s="11">
        <v>6870000.0</v>
      </c>
      <c r="DO1450" s="11">
        <v>4770000.0</v>
      </c>
      <c r="DP1450" s="11">
        <v>3.869E7</v>
      </c>
      <c r="DQ1450" s="11">
        <v>3.69E7</v>
      </c>
      <c r="DR1450" s="11">
        <v>1080000.0</v>
      </c>
      <c r="DS1450" s="11">
        <v>943050.0</v>
      </c>
      <c r="DT1450" s="11">
        <v>219820.0</v>
      </c>
      <c r="DU1450" s="13"/>
      <c r="DV1450" s="12"/>
      <c r="DW1450" s="12"/>
      <c r="DX1450" s="12"/>
      <c r="DY1450" s="12"/>
      <c r="DZ1450" s="11">
        <v>5530000.0</v>
      </c>
      <c r="EA1450" s="11">
        <v>2710000.0</v>
      </c>
      <c r="EB1450" s="11">
        <v>1.003E7</v>
      </c>
      <c r="EC1450" s="11">
        <v>1.079E7</v>
      </c>
      <c r="ED1450" s="11">
        <v>6820000.0</v>
      </c>
      <c r="EE1450" s="14">
        <v>0.206</v>
      </c>
      <c r="EF1450" s="14">
        <v>0.22</v>
      </c>
      <c r="EG1450" s="14">
        <v>0.123</v>
      </c>
      <c r="EH1450" s="14">
        <v>-0.491</v>
      </c>
    </row>
    <row r="1451">
      <c r="A1451" s="9">
        <f t="shared" si="2"/>
        <v>1449</v>
      </c>
      <c r="B1451" s="10" t="s">
        <v>1586</v>
      </c>
      <c r="C1451" s="12">
        <v>5020000.0</v>
      </c>
      <c r="D1451" s="12">
        <v>4880000.0</v>
      </c>
      <c r="E1451" s="11">
        <v>4930000.0</v>
      </c>
      <c r="F1451" s="11">
        <v>4380000.0</v>
      </c>
      <c r="G1451" s="11">
        <v>3890000.0</v>
      </c>
      <c r="H1451" s="11">
        <v>3590000.0</v>
      </c>
      <c r="I1451" s="11">
        <v>3420000.0</v>
      </c>
      <c r="J1451" s="11">
        <v>1260000.0</v>
      </c>
      <c r="K1451" s="11">
        <v>1100000.0</v>
      </c>
      <c r="L1451" s="11">
        <v>993510.0</v>
      </c>
      <c r="M1451" s="11">
        <v>1000000.0</v>
      </c>
      <c r="N1451" s="11">
        <v>857530.0</v>
      </c>
      <c r="O1451" s="11">
        <v>370550.0</v>
      </c>
      <c r="P1451" s="11">
        <v>333370.0</v>
      </c>
      <c r="Q1451" s="11">
        <v>324970.0</v>
      </c>
      <c r="R1451" s="11">
        <v>314990.0</v>
      </c>
      <c r="S1451" s="11">
        <v>285440.0</v>
      </c>
      <c r="T1451" s="12"/>
      <c r="U1451" s="12"/>
      <c r="V1451" s="12"/>
      <c r="W1451" s="12"/>
      <c r="X1451" s="12"/>
      <c r="Y1451" s="11">
        <v>878850.0</v>
      </c>
      <c r="Z1451" s="11">
        <v>748160.0</v>
      </c>
      <c r="AA1451" s="11">
        <v>-20600.0</v>
      </c>
      <c r="AB1451" s="11">
        <v>691310.0</v>
      </c>
      <c r="AC1451" s="11">
        <v>560510.0</v>
      </c>
      <c r="AD1451" s="11">
        <v>757700.0</v>
      </c>
      <c r="AE1451" s="11">
        <v>623290.0</v>
      </c>
      <c r="AF1451" s="11">
        <v>361320.0</v>
      </c>
      <c r="AG1451" s="11">
        <v>547260.0</v>
      </c>
      <c r="AH1451" s="11">
        <v>327860.0</v>
      </c>
      <c r="AI1451" s="11">
        <v>1300000.0</v>
      </c>
      <c r="AJ1451" s="11">
        <v>1110000.0</v>
      </c>
      <c r="AK1451" s="11">
        <v>974510.0</v>
      </c>
      <c r="AL1451" s="11">
        <v>970770.0</v>
      </c>
      <c r="AM1451" s="11">
        <v>846910.0</v>
      </c>
      <c r="AN1451" s="11">
        <v>622500.0</v>
      </c>
      <c r="AO1451" s="11">
        <v>517840.0</v>
      </c>
      <c r="AP1451" s="11">
        <v>593390.0</v>
      </c>
      <c r="AQ1451" s="11">
        <v>422410.0</v>
      </c>
      <c r="AR1451" s="11">
        <v>232910.0</v>
      </c>
      <c r="AS1451" s="11">
        <v>984120.0</v>
      </c>
      <c r="AT1451" s="11">
        <v>832780.0</v>
      </c>
      <c r="AU1451" s="11">
        <v>644680.0</v>
      </c>
      <c r="AV1451" s="11">
        <v>644590.0</v>
      </c>
      <c r="AW1451" s="11">
        <v>503380.0</v>
      </c>
      <c r="AX1451" s="11">
        <v>-384090.0</v>
      </c>
      <c r="AY1451" s="11">
        <v>-469090.0</v>
      </c>
      <c r="AZ1451" s="11">
        <v>-459570.0</v>
      </c>
      <c r="BA1451" s="11">
        <v>-350150.0</v>
      </c>
      <c r="BB1451" s="11">
        <v>-289260.0</v>
      </c>
      <c r="BC1451" s="24">
        <v>-163970.0</v>
      </c>
      <c r="BD1451" s="24">
        <v>-148110.0</v>
      </c>
      <c r="BE1451" s="24">
        <v>-132340.0</v>
      </c>
      <c r="BF1451" s="24">
        <v>-106330.0</v>
      </c>
      <c r="BG1451" s="24">
        <v>-53210.0</v>
      </c>
      <c r="BH1451" s="11">
        <v>274510.0</v>
      </c>
      <c r="BI1451" s="11">
        <v>44400.0</v>
      </c>
      <c r="BJ1451" s="11">
        <v>146650.0</v>
      </c>
      <c r="BK1451" s="11">
        <v>268020.0</v>
      </c>
      <c r="BL1451" s="11">
        <v>285210.0</v>
      </c>
      <c r="BM1451" s="11">
        <v>570420.0</v>
      </c>
      <c r="BN1451" s="11">
        <v>540780.0</v>
      </c>
      <c r="BO1451" s="11">
        <v>588340.0</v>
      </c>
      <c r="BP1451" s="11">
        <v>491820.0</v>
      </c>
      <c r="BQ1451" s="11">
        <v>418020.0</v>
      </c>
      <c r="BR1451" s="11">
        <v>458310.0</v>
      </c>
      <c r="BS1451" s="11">
        <v>429330.0</v>
      </c>
      <c r="BT1451" s="11">
        <v>384340.0</v>
      </c>
      <c r="BU1451" s="11">
        <v>345620.0</v>
      </c>
      <c r="BV1451" s="11">
        <v>347070.0</v>
      </c>
      <c r="BW1451" s="11">
        <v>1380000.0</v>
      </c>
      <c r="BX1451" s="11">
        <v>1080000.0</v>
      </c>
      <c r="BY1451" s="11">
        <v>1180000.0</v>
      </c>
      <c r="BZ1451" s="11">
        <v>1140000.0</v>
      </c>
      <c r="CA1451" s="11">
        <v>1080000.0</v>
      </c>
      <c r="CB1451" s="11">
        <v>4720000.0</v>
      </c>
      <c r="CC1451" s="11">
        <v>4240000.0</v>
      </c>
      <c r="CD1451" s="11">
        <v>3920000.0</v>
      </c>
      <c r="CE1451" s="11">
        <v>3260000.0</v>
      </c>
      <c r="CF1451" s="11">
        <v>3160000.0</v>
      </c>
      <c r="CG1451" s="11">
        <v>3170000.0</v>
      </c>
      <c r="CH1451" s="11">
        <v>3170000.0</v>
      </c>
      <c r="CI1451" s="11">
        <v>3120000.0</v>
      </c>
      <c r="CJ1451" s="11">
        <v>3090000.0</v>
      </c>
      <c r="CK1451" s="11">
        <v>3090000.0</v>
      </c>
      <c r="CL1451" s="11">
        <v>1.088E7</v>
      </c>
      <c r="CM1451" s="11">
        <v>1.005E7</v>
      </c>
      <c r="CN1451" s="11">
        <v>9770000.0</v>
      </c>
      <c r="CO1451" s="11">
        <v>8800000.0</v>
      </c>
      <c r="CP1451" s="11">
        <v>8640000.0</v>
      </c>
      <c r="CQ1451" s="11">
        <v>265160.0</v>
      </c>
      <c r="CR1451" s="11">
        <v>216470.0</v>
      </c>
      <c r="CS1451" s="11">
        <v>197340.0</v>
      </c>
      <c r="CT1451" s="11">
        <v>145040.0</v>
      </c>
      <c r="CU1451" s="11">
        <v>175730.0</v>
      </c>
      <c r="CV1451" s="11">
        <v>535560.0</v>
      </c>
      <c r="CW1451" s="11">
        <v>29970.0</v>
      </c>
      <c r="CX1451" s="24">
        <v>133000.0</v>
      </c>
      <c r="CY1451" s="13"/>
      <c r="CZ1451" s="13"/>
      <c r="DA1451" s="12"/>
      <c r="DB1451" s="11">
        <v>535560.0</v>
      </c>
      <c r="DC1451" s="11">
        <v>602550.0</v>
      </c>
      <c r="DD1451" s="11">
        <v>442870.0</v>
      </c>
      <c r="DE1451" s="11">
        <v>372240.0</v>
      </c>
      <c r="DF1451" s="11">
        <v>5260000.0</v>
      </c>
      <c r="DG1451" s="11">
        <v>4840000.0</v>
      </c>
      <c r="DH1451" s="11">
        <v>4800000.0</v>
      </c>
      <c r="DI1451" s="11">
        <v>4220000.0</v>
      </c>
      <c r="DJ1451" s="11">
        <v>4190000.0</v>
      </c>
      <c r="DK1451" s="11">
        <v>60710.0</v>
      </c>
      <c r="DL1451" s="11">
        <v>44620.0</v>
      </c>
      <c r="DM1451" s="11">
        <v>35120.0</v>
      </c>
      <c r="DN1451" s="11">
        <v>39230.0</v>
      </c>
      <c r="DO1451" s="24">
        <v>40560.0</v>
      </c>
      <c r="DP1451" s="11">
        <v>3170000.0</v>
      </c>
      <c r="DQ1451" s="11">
        <v>2780000.0</v>
      </c>
      <c r="DR1451" s="11">
        <v>2810000.0</v>
      </c>
      <c r="DS1451" s="11">
        <v>1980000.0</v>
      </c>
      <c r="DT1451" s="11">
        <v>1980000.0</v>
      </c>
      <c r="DU1451" s="13"/>
      <c r="DV1451" s="12"/>
      <c r="DW1451" s="12"/>
      <c r="DX1451" s="13"/>
      <c r="DY1451" s="13"/>
      <c r="DZ1451" s="11">
        <v>5620000.0</v>
      </c>
      <c r="EA1451" s="11">
        <v>5200000.0</v>
      </c>
      <c r="EB1451" s="11">
        <v>4970000.0</v>
      </c>
      <c r="EC1451" s="11">
        <v>4570000.0</v>
      </c>
      <c r="ED1451" s="11">
        <v>4450000.0</v>
      </c>
      <c r="EE1451" s="23">
        <v>0.12295082</v>
      </c>
      <c r="EF1451" s="23">
        <v>0.139442231</v>
      </c>
      <c r="EG1451" s="14">
        <v>0.093</v>
      </c>
      <c r="EH1451" s="23">
        <v>0.00275</v>
      </c>
    </row>
    <row r="1452">
      <c r="A1452" s="9">
        <f t="shared" si="2"/>
        <v>1450</v>
      </c>
      <c r="B1452" s="10" t="s">
        <v>1587</v>
      </c>
      <c r="C1452" s="15">
        <v>308900.0</v>
      </c>
      <c r="D1452" s="15">
        <v>261500.0</v>
      </c>
      <c r="E1452" s="15">
        <v>375190.0</v>
      </c>
      <c r="F1452" s="15">
        <v>361680.0</v>
      </c>
      <c r="G1452" s="15">
        <v>272580.0</v>
      </c>
      <c r="H1452" s="15">
        <v>268200.0</v>
      </c>
      <c r="I1452" s="15">
        <v>302460.0</v>
      </c>
      <c r="J1452" s="15">
        <v>168950.0</v>
      </c>
      <c r="K1452" s="15">
        <v>158270.0</v>
      </c>
      <c r="L1452" s="15">
        <v>121190.0</v>
      </c>
      <c r="M1452" s="15">
        <v>122220.0</v>
      </c>
      <c r="N1452" s="15">
        <v>131920.0</v>
      </c>
      <c r="O1452" s="15">
        <v>165460.0</v>
      </c>
      <c r="P1452" s="15">
        <v>151230.0</v>
      </c>
      <c r="Q1452" s="15">
        <v>134400.0</v>
      </c>
      <c r="R1452" s="15">
        <v>131750.0</v>
      </c>
      <c r="S1452" s="15">
        <v>112800.0</v>
      </c>
      <c r="T1452" s="12"/>
      <c r="U1452" s="12"/>
      <c r="V1452" s="12"/>
      <c r="W1452" s="12"/>
      <c r="X1452" s="12"/>
      <c r="Y1452" s="15">
        <v>-20390.0</v>
      </c>
      <c r="Z1452" s="15">
        <v>-1680.0</v>
      </c>
      <c r="AA1452" s="15">
        <v>-18320.0</v>
      </c>
      <c r="AB1452" s="15">
        <v>-64670.0</v>
      </c>
      <c r="AC1452" s="15">
        <v>15730.0</v>
      </c>
      <c r="AD1452" s="15">
        <v>30490.0</v>
      </c>
      <c r="AE1452" s="15">
        <v>-1800.0</v>
      </c>
      <c r="AF1452" s="15">
        <v>58030.0</v>
      </c>
      <c r="AG1452" s="15">
        <v>-68930.0</v>
      </c>
      <c r="AH1452" s="15">
        <v>8310.0</v>
      </c>
      <c r="AI1452" s="15">
        <v>12970.0</v>
      </c>
      <c r="AJ1452" s="15">
        <v>18180.0</v>
      </c>
      <c r="AK1452" s="15">
        <v>-3110.0</v>
      </c>
      <c r="AL1452" s="15">
        <v>-845.0</v>
      </c>
      <c r="AM1452" s="15">
        <v>27470.0</v>
      </c>
      <c r="AN1452" s="15">
        <v>30400.0</v>
      </c>
      <c r="AO1452" s="15">
        <v>-1960.0</v>
      </c>
      <c r="AP1452" s="15">
        <v>58600.0</v>
      </c>
      <c r="AQ1452" s="15">
        <v>-162660.0</v>
      </c>
      <c r="AR1452" s="15">
        <v>5100.0</v>
      </c>
      <c r="AS1452" s="15">
        <v>16820.0</v>
      </c>
      <c r="AT1452" s="15">
        <v>2620.0</v>
      </c>
      <c r="AU1452" s="15">
        <v>-40390.0</v>
      </c>
      <c r="AV1452" s="15">
        <v>-29660.0</v>
      </c>
      <c r="AW1452" s="15">
        <v>51630.0</v>
      </c>
      <c r="AX1452" s="15">
        <v>-4520.0</v>
      </c>
      <c r="AY1452" s="15">
        <v>-3700.0</v>
      </c>
      <c r="AZ1452" s="15">
        <v>-3380.0</v>
      </c>
      <c r="BA1452" s="15">
        <v>-14290.0</v>
      </c>
      <c r="BB1452" s="15">
        <v>-17590.0</v>
      </c>
      <c r="BC1452" s="12"/>
      <c r="BD1452" s="12"/>
      <c r="BE1452" s="12"/>
      <c r="BF1452" s="12"/>
      <c r="BG1452" s="12"/>
      <c r="BH1452" s="15">
        <v>466.0</v>
      </c>
      <c r="BI1452" s="15">
        <v>209.0</v>
      </c>
      <c r="BJ1452" s="15">
        <v>5370.0</v>
      </c>
      <c r="BK1452" s="15">
        <v>20980.0</v>
      </c>
      <c r="BL1452" s="15">
        <v>6230.0</v>
      </c>
      <c r="BM1452" s="15">
        <v>40660.0</v>
      </c>
      <c r="BN1452" s="15">
        <v>38040.0</v>
      </c>
      <c r="BO1452" s="15">
        <v>20760.0</v>
      </c>
      <c r="BP1452" s="15">
        <v>10340.0</v>
      </c>
      <c r="BQ1452" s="15">
        <v>9400.0</v>
      </c>
      <c r="BR1452" s="15">
        <v>66390.0</v>
      </c>
      <c r="BS1452" s="15">
        <v>71630.0</v>
      </c>
      <c r="BT1452" s="15">
        <v>48920.0</v>
      </c>
      <c r="BU1452" s="15">
        <v>38530.0</v>
      </c>
      <c r="BV1452" s="15">
        <v>36580.0</v>
      </c>
      <c r="BW1452" s="15">
        <v>114240.0</v>
      </c>
      <c r="BX1452" s="15">
        <v>119520.0</v>
      </c>
      <c r="BY1452" s="15">
        <v>81570.0</v>
      </c>
      <c r="BZ1452" s="15">
        <v>74610.0</v>
      </c>
      <c r="CA1452" s="15">
        <v>60230.0</v>
      </c>
      <c r="CB1452" s="15">
        <v>119910.0</v>
      </c>
      <c r="CC1452" s="15">
        <v>29320.0</v>
      </c>
      <c r="CD1452" s="15">
        <v>31610.0</v>
      </c>
      <c r="CE1452" s="15">
        <v>42950.0</v>
      </c>
      <c r="CF1452" s="15">
        <v>37770.0</v>
      </c>
      <c r="CG1452" s="15">
        <v>41440.0</v>
      </c>
      <c r="CH1452" s="15">
        <v>43560.0</v>
      </c>
      <c r="CI1452" s="15">
        <v>41440.0</v>
      </c>
      <c r="CJ1452" s="15">
        <v>41440.0</v>
      </c>
      <c r="CK1452" s="15">
        <v>63750.0</v>
      </c>
      <c r="CL1452" s="15">
        <v>388230.0</v>
      </c>
      <c r="CM1452" s="15">
        <v>302420.0</v>
      </c>
      <c r="CN1452" s="15">
        <v>234530.0</v>
      </c>
      <c r="CO1452" s="15">
        <v>239480.0</v>
      </c>
      <c r="CP1452" s="15">
        <v>363570.0</v>
      </c>
      <c r="CQ1452" s="15">
        <v>43080.0</v>
      </c>
      <c r="CR1452" s="15">
        <v>40260.0</v>
      </c>
      <c r="CS1452" s="15">
        <v>22560.0</v>
      </c>
      <c r="CT1452" s="15">
        <v>37020.0</v>
      </c>
      <c r="CU1452" s="15">
        <v>28720.0</v>
      </c>
      <c r="CV1452" s="15">
        <v>90280.0</v>
      </c>
      <c r="CW1452" s="15">
        <v>20640.0</v>
      </c>
      <c r="CX1452" s="15">
        <v>17650.0</v>
      </c>
      <c r="CY1452" s="13"/>
      <c r="CZ1452" s="13"/>
      <c r="DA1452" s="12"/>
      <c r="DB1452" s="15">
        <v>90280.0</v>
      </c>
      <c r="DC1452" s="15">
        <v>79220.0</v>
      </c>
      <c r="DD1452" s="15">
        <v>45180.0</v>
      </c>
      <c r="DE1452" s="15">
        <v>50440.0</v>
      </c>
      <c r="DF1452" s="15">
        <v>257450.0</v>
      </c>
      <c r="DG1452" s="15">
        <v>203180.0</v>
      </c>
      <c r="DH1452" s="15">
        <v>159770.0</v>
      </c>
      <c r="DI1452" s="15">
        <v>253460.0</v>
      </c>
      <c r="DJ1452" s="15">
        <v>285070.0</v>
      </c>
      <c r="DK1452" s="12"/>
      <c r="DL1452" s="12"/>
      <c r="DM1452" s="12"/>
      <c r="DN1452" s="12"/>
      <c r="DO1452" s="12"/>
      <c r="DP1452" s="15">
        <v>138890.0</v>
      </c>
      <c r="DQ1452" s="15">
        <v>42340.0</v>
      </c>
      <c r="DR1452" s="15">
        <v>40680.0</v>
      </c>
      <c r="DS1452" s="15">
        <v>48300.0</v>
      </c>
      <c r="DT1452" s="15">
        <v>57620.0</v>
      </c>
      <c r="DU1452" s="13"/>
      <c r="DV1452" s="12"/>
      <c r="DW1452" s="12"/>
      <c r="DX1452" s="12"/>
      <c r="DY1452" s="12"/>
      <c r="DZ1452" s="15">
        <v>130780.0</v>
      </c>
      <c r="EA1452" s="15">
        <v>99250.0</v>
      </c>
      <c r="EB1452" s="15">
        <v>74770.0</v>
      </c>
      <c r="EC1452" s="15">
        <v>-13980.0</v>
      </c>
      <c r="ED1452" s="15">
        <v>78500.0</v>
      </c>
      <c r="EE1452" s="17">
        <v>0.0</v>
      </c>
      <c r="EF1452" s="17">
        <v>0.0</v>
      </c>
      <c r="EG1452" s="23"/>
      <c r="EH1452" s="23"/>
    </row>
    <row r="1453">
      <c r="A1453" s="9">
        <f t="shared" si="2"/>
        <v>1451</v>
      </c>
      <c r="B1453" s="22" t="s">
        <v>1588</v>
      </c>
      <c r="C1453" s="11">
        <v>257300.0</v>
      </c>
      <c r="D1453" s="11">
        <v>251050.0</v>
      </c>
      <c r="E1453" s="11">
        <v>227190.0</v>
      </c>
      <c r="F1453" s="11">
        <v>193120.0</v>
      </c>
      <c r="G1453" s="11">
        <v>165080.0</v>
      </c>
      <c r="H1453" s="11">
        <v>146020.0</v>
      </c>
      <c r="I1453" s="11">
        <v>109930.0</v>
      </c>
      <c r="J1453" s="11">
        <v>201200.0</v>
      </c>
      <c r="K1453" s="11">
        <v>171080.0</v>
      </c>
      <c r="L1453" s="11">
        <v>145490.0</v>
      </c>
      <c r="M1453" s="11">
        <v>110370.0</v>
      </c>
      <c r="N1453" s="11">
        <v>73490.0</v>
      </c>
      <c r="O1453" s="11">
        <v>178390.0</v>
      </c>
      <c r="P1453" s="11">
        <v>149350.0</v>
      </c>
      <c r="Q1453" s="11">
        <v>162390.0</v>
      </c>
      <c r="R1453" s="11">
        <v>128940.0</v>
      </c>
      <c r="S1453" s="11">
        <v>113680.0</v>
      </c>
      <c r="T1453" s="11">
        <v>48650.0</v>
      </c>
      <c r="U1453" s="11">
        <v>43590.0</v>
      </c>
      <c r="V1453" s="11">
        <v>38550.0</v>
      </c>
      <c r="W1453" s="11">
        <v>29160.0</v>
      </c>
      <c r="X1453" s="11">
        <v>29150.0</v>
      </c>
      <c r="Y1453" s="12"/>
      <c r="Z1453" s="12"/>
      <c r="AA1453" s="12"/>
      <c r="AB1453" s="12"/>
      <c r="AC1453" s="12"/>
      <c r="AD1453" s="11">
        <v>29030.0</v>
      </c>
      <c r="AE1453" s="11">
        <v>25350.0</v>
      </c>
      <c r="AF1453" s="11">
        <v>-15430.0</v>
      </c>
      <c r="AG1453" s="11">
        <v>-17910.0</v>
      </c>
      <c r="AH1453" s="11">
        <v>-39870.0</v>
      </c>
      <c r="AI1453" s="11">
        <v>25700.0</v>
      </c>
      <c r="AJ1453" s="11">
        <v>24690.0</v>
      </c>
      <c r="AK1453" s="11">
        <v>-13920.0</v>
      </c>
      <c r="AL1453" s="11">
        <v>-6700.0</v>
      </c>
      <c r="AM1453" s="11">
        <v>-26630.0</v>
      </c>
      <c r="AN1453" s="11">
        <v>115550.0</v>
      </c>
      <c r="AO1453" s="11">
        <v>25210.0</v>
      </c>
      <c r="AP1453" s="11">
        <v>-15570.0</v>
      </c>
      <c r="AQ1453" s="11">
        <v>-18010.0</v>
      </c>
      <c r="AR1453" s="11">
        <v>-39870.0</v>
      </c>
      <c r="AS1453" s="11">
        <v>45950.0</v>
      </c>
      <c r="AT1453" s="11">
        <v>29990.0</v>
      </c>
      <c r="AU1453" s="11">
        <v>-1980.0</v>
      </c>
      <c r="AV1453" s="11">
        <v>-8100.0</v>
      </c>
      <c r="AW1453" s="11">
        <v>12450.0</v>
      </c>
      <c r="AX1453" s="11">
        <v>-1020.0</v>
      </c>
      <c r="AY1453" s="11">
        <v>-25370.0</v>
      </c>
      <c r="AZ1453" s="11">
        <v>-1660.0</v>
      </c>
      <c r="BA1453" s="11">
        <v>-1410.0</v>
      </c>
      <c r="BB1453" s="11">
        <v>-2530.0</v>
      </c>
      <c r="BC1453" s="12"/>
      <c r="BD1453" s="12"/>
      <c r="BE1453" s="12"/>
      <c r="BF1453" s="12"/>
      <c r="BG1453" s="12"/>
      <c r="BH1453" s="11">
        <v>312130.0</v>
      </c>
      <c r="BI1453" s="11">
        <v>257460.0</v>
      </c>
      <c r="BJ1453" s="11">
        <v>143410.0</v>
      </c>
      <c r="BK1453" s="11">
        <v>141340.0</v>
      </c>
      <c r="BL1453" s="11">
        <v>143180.0</v>
      </c>
      <c r="BM1453" s="11">
        <v>26370.0</v>
      </c>
      <c r="BN1453" s="11">
        <v>28780.0</v>
      </c>
      <c r="BO1453" s="11">
        <v>17600.0</v>
      </c>
      <c r="BP1453" s="11">
        <v>20270.0</v>
      </c>
      <c r="BQ1453" s="11">
        <v>16330.0</v>
      </c>
      <c r="BR1453" s="11">
        <v>1140.0</v>
      </c>
      <c r="BS1453" s="11">
        <v>994.0</v>
      </c>
      <c r="BT1453" s="11">
        <v>840.0</v>
      </c>
      <c r="BU1453" s="11">
        <v>779.0</v>
      </c>
      <c r="BV1453" s="11">
        <v>1290.0</v>
      </c>
      <c r="BW1453" s="11">
        <v>354140.0</v>
      </c>
      <c r="BX1453" s="11">
        <v>299130.0</v>
      </c>
      <c r="BY1453" s="11">
        <v>169860.0</v>
      </c>
      <c r="BZ1453" s="11">
        <v>174180.0</v>
      </c>
      <c r="CA1453" s="11">
        <v>166550.0</v>
      </c>
      <c r="CB1453" s="11">
        <v>15040.0</v>
      </c>
      <c r="CC1453" s="11">
        <v>4420.0</v>
      </c>
      <c r="CD1453" s="11">
        <v>5310.0</v>
      </c>
      <c r="CE1453" s="11">
        <v>5020.0</v>
      </c>
      <c r="CF1453" s="11">
        <v>4570.0</v>
      </c>
      <c r="CG1453" s="12"/>
      <c r="CH1453" s="12"/>
      <c r="CI1453" s="12"/>
      <c r="CJ1453" s="12"/>
      <c r="CK1453" s="12"/>
      <c r="CL1453" s="11">
        <v>483750.0</v>
      </c>
      <c r="CM1453" s="11">
        <v>332130.0</v>
      </c>
      <c r="CN1453" s="11">
        <v>205430.0</v>
      </c>
      <c r="CO1453" s="11">
        <v>210370.0</v>
      </c>
      <c r="CP1453" s="11">
        <v>213050.0</v>
      </c>
      <c r="CQ1453" s="11">
        <v>5900.0</v>
      </c>
      <c r="CR1453" s="11">
        <v>5170.0</v>
      </c>
      <c r="CS1453" s="11">
        <v>4390.0</v>
      </c>
      <c r="CT1453" s="11">
        <v>4560.0</v>
      </c>
      <c r="CU1453" s="11">
        <v>5330.0</v>
      </c>
      <c r="CV1453" s="11">
        <v>59510.0</v>
      </c>
      <c r="CW1453" s="11">
        <v>2150.0</v>
      </c>
      <c r="CX1453" s="12"/>
      <c r="CY1453" s="12"/>
      <c r="CZ1453" s="12"/>
      <c r="DA1453" s="12"/>
      <c r="DB1453" s="11">
        <v>59510.0</v>
      </c>
      <c r="DC1453" s="11">
        <v>53020.0</v>
      </c>
      <c r="DD1453" s="11">
        <v>70360.0</v>
      </c>
      <c r="DE1453" s="11">
        <v>50320.0</v>
      </c>
      <c r="DF1453" s="11">
        <v>72800.0</v>
      </c>
      <c r="DG1453" s="11">
        <v>56710.0</v>
      </c>
      <c r="DH1453" s="11">
        <v>74040.0</v>
      </c>
      <c r="DI1453" s="11">
        <v>79040.0</v>
      </c>
      <c r="DJ1453" s="11">
        <v>80020.0</v>
      </c>
      <c r="DK1453" s="11">
        <v>578.0</v>
      </c>
      <c r="DL1453" s="11">
        <v>600.0</v>
      </c>
      <c r="DM1453" s="12"/>
      <c r="DN1453" s="24">
        <v>800.0</v>
      </c>
      <c r="DO1453" s="12"/>
      <c r="DP1453" s="11">
        <v>12460.0</v>
      </c>
      <c r="DQ1453" s="12"/>
      <c r="DR1453" s="12"/>
      <c r="DS1453" s="12"/>
      <c r="DT1453" s="12"/>
      <c r="DU1453" s="13"/>
      <c r="DV1453" s="12"/>
      <c r="DW1453" s="12"/>
      <c r="DX1453" s="13"/>
      <c r="DY1453" s="13"/>
      <c r="DZ1453" s="11">
        <v>410950.0</v>
      </c>
      <c r="EA1453" s="11">
        <v>275420.0</v>
      </c>
      <c r="EB1453" s="11">
        <v>131390.0</v>
      </c>
      <c r="EC1453" s="11">
        <v>131330.0</v>
      </c>
      <c r="ED1453" s="11">
        <v>133030.0</v>
      </c>
      <c r="EE1453" s="14">
        <v>0.01</v>
      </c>
      <c r="EF1453" s="14">
        <v>0.113</v>
      </c>
      <c r="EG1453" s="14">
        <v>3.0</v>
      </c>
      <c r="EH1453" s="23"/>
    </row>
    <row r="1454">
      <c r="A1454" s="9">
        <f t="shared" si="2"/>
        <v>1452</v>
      </c>
      <c r="B1454" s="25" t="s">
        <v>1589</v>
      </c>
      <c r="C1454" s="15">
        <v>1990000.0</v>
      </c>
      <c r="D1454" s="15">
        <v>1890000.0</v>
      </c>
      <c r="E1454" s="15">
        <v>2130000.0</v>
      </c>
      <c r="F1454" s="15">
        <v>2270000.0</v>
      </c>
      <c r="G1454" s="15">
        <v>2210000.0</v>
      </c>
      <c r="H1454" s="15">
        <v>2140000.0</v>
      </c>
      <c r="I1454" s="15">
        <v>2330000.0</v>
      </c>
      <c r="J1454" s="15">
        <v>238000.0</v>
      </c>
      <c r="K1454" s="15">
        <v>354000.0</v>
      </c>
      <c r="L1454" s="15">
        <v>299000.0</v>
      </c>
      <c r="M1454" s="15">
        <v>152000.0</v>
      </c>
      <c r="N1454" s="15">
        <v>138000.0</v>
      </c>
      <c r="O1454" s="15">
        <v>182000.0</v>
      </c>
      <c r="P1454" s="15">
        <v>212000.0</v>
      </c>
      <c r="Q1454" s="15">
        <v>216000.0</v>
      </c>
      <c r="R1454" s="15">
        <v>225000.0</v>
      </c>
      <c r="S1454" s="15">
        <v>271000.0</v>
      </c>
      <c r="T1454" s="15">
        <v>15000.0</v>
      </c>
      <c r="U1454" s="15">
        <v>17000.0</v>
      </c>
      <c r="V1454" s="15">
        <v>16000.0</v>
      </c>
      <c r="W1454" s="15">
        <v>15000.0</v>
      </c>
      <c r="X1454" s="15">
        <v>21000.0</v>
      </c>
      <c r="Y1454" s="15">
        <v>23000.0</v>
      </c>
      <c r="Z1454" s="15">
        <v>-125000.0</v>
      </c>
      <c r="AA1454" s="15">
        <v>114000.0</v>
      </c>
      <c r="AB1454" s="15">
        <v>-35000.0</v>
      </c>
      <c r="AC1454" s="15">
        <v>-356000.0</v>
      </c>
      <c r="AD1454" s="15">
        <v>-20000.0</v>
      </c>
      <c r="AE1454" s="15">
        <v>-165000.0</v>
      </c>
      <c r="AF1454" s="15">
        <v>186000.0</v>
      </c>
      <c r="AG1454" s="15">
        <v>-108000.0</v>
      </c>
      <c r="AH1454" s="15">
        <v>-383000.0</v>
      </c>
      <c r="AI1454" s="15">
        <v>166000.0</v>
      </c>
      <c r="AJ1454" s="15">
        <v>274000.0</v>
      </c>
      <c r="AK1454" s="15">
        <v>210000.0</v>
      </c>
      <c r="AL1454" s="15">
        <v>41000.0</v>
      </c>
      <c r="AM1454" s="15">
        <v>-26000.0</v>
      </c>
      <c r="AN1454" s="15">
        <v>-175000.0</v>
      </c>
      <c r="AO1454" s="15">
        <v>-163000.0</v>
      </c>
      <c r="AP1454" s="15">
        <v>126000.0</v>
      </c>
      <c r="AQ1454" s="15">
        <v>-95000.0</v>
      </c>
      <c r="AR1454" s="15">
        <v>-359000.0</v>
      </c>
      <c r="AS1454" s="15">
        <v>33000.0</v>
      </c>
      <c r="AT1454" s="15">
        <v>282000.0</v>
      </c>
      <c r="AU1454" s="15">
        <v>338000.0</v>
      </c>
      <c r="AV1454" s="15">
        <v>97000.0</v>
      </c>
      <c r="AW1454" s="15">
        <v>-63000.0</v>
      </c>
      <c r="AX1454" s="15">
        <v>-152000.0</v>
      </c>
      <c r="AY1454" s="15">
        <v>-326000.0</v>
      </c>
      <c r="AZ1454" s="15">
        <v>-197000.0</v>
      </c>
      <c r="BA1454" s="15">
        <v>-103000.0</v>
      </c>
      <c r="BB1454" s="15">
        <v>-211000.0</v>
      </c>
      <c r="BC1454" s="12"/>
      <c r="BD1454" s="12"/>
      <c r="BE1454" s="12"/>
      <c r="BF1454" s="12"/>
      <c r="BG1454" s="12"/>
      <c r="BH1454" s="15">
        <v>55000.0</v>
      </c>
      <c r="BI1454" s="15">
        <v>165000.0</v>
      </c>
      <c r="BJ1454" s="15">
        <v>238000.0</v>
      </c>
      <c r="BK1454" s="15">
        <v>29000.0</v>
      </c>
      <c r="BL1454" s="15">
        <v>22000.0</v>
      </c>
      <c r="BM1454" s="15">
        <v>321000.0</v>
      </c>
      <c r="BN1454" s="15">
        <v>351000.0</v>
      </c>
      <c r="BO1454" s="15">
        <v>392000.0</v>
      </c>
      <c r="BP1454" s="15">
        <v>490000.0</v>
      </c>
      <c r="BQ1454" s="15">
        <v>724000.0</v>
      </c>
      <c r="BR1454" s="15">
        <v>513000.0</v>
      </c>
      <c r="BS1454" s="15">
        <v>538000.0</v>
      </c>
      <c r="BT1454" s="15">
        <v>454000.0</v>
      </c>
      <c r="BU1454" s="15">
        <v>426000.0</v>
      </c>
      <c r="BV1454" s="15">
        <v>571000.0</v>
      </c>
      <c r="BW1454" s="15">
        <v>977000.0</v>
      </c>
      <c r="BX1454" s="15">
        <v>1130000.0</v>
      </c>
      <c r="BY1454" s="15">
        <v>1170000.0</v>
      </c>
      <c r="BZ1454" s="15">
        <v>1100000.0</v>
      </c>
      <c r="CA1454" s="15">
        <v>1430000.0</v>
      </c>
      <c r="CB1454" s="15">
        <v>1030000.0</v>
      </c>
      <c r="CC1454" s="15">
        <v>994000.0</v>
      </c>
      <c r="CD1454" s="15">
        <v>1370000.0</v>
      </c>
      <c r="CE1454" s="15">
        <v>1180000.0</v>
      </c>
      <c r="CF1454" s="15">
        <v>1330000.0</v>
      </c>
      <c r="CG1454" s="12"/>
      <c r="CH1454" s="12"/>
      <c r="CI1454" s="12"/>
      <c r="CJ1454" s="12"/>
      <c r="CK1454" s="15">
        <v>2000.0</v>
      </c>
      <c r="CL1454" s="15">
        <v>2270000.0</v>
      </c>
      <c r="CM1454" s="15">
        <v>2490000.0</v>
      </c>
      <c r="CN1454" s="15">
        <v>2850000.0</v>
      </c>
      <c r="CO1454" s="15">
        <v>2660000.0</v>
      </c>
      <c r="CP1454" s="15">
        <v>3410000.0</v>
      </c>
      <c r="CQ1454" s="15">
        <v>334000.0</v>
      </c>
      <c r="CR1454" s="15">
        <v>382000.0</v>
      </c>
      <c r="CS1454" s="15">
        <v>385000.0</v>
      </c>
      <c r="CT1454" s="15">
        <v>992000.0</v>
      </c>
      <c r="CU1454" s="15">
        <v>940000.0</v>
      </c>
      <c r="CV1454" s="15">
        <v>488000.0</v>
      </c>
      <c r="CW1454" s="15">
        <v>8000.0</v>
      </c>
      <c r="CX1454" s="13"/>
      <c r="CY1454" s="13"/>
      <c r="CZ1454" s="13"/>
      <c r="DA1454" s="15">
        <v>9000.0</v>
      </c>
      <c r="DB1454" s="15">
        <v>488000.0</v>
      </c>
      <c r="DC1454" s="15">
        <v>543000.0</v>
      </c>
      <c r="DD1454" s="15">
        <v>659000.0</v>
      </c>
      <c r="DE1454" s="15">
        <v>1180000.0</v>
      </c>
      <c r="DF1454" s="15">
        <v>1590000.0</v>
      </c>
      <c r="DG1454" s="15">
        <v>1630000.0</v>
      </c>
      <c r="DH1454" s="15">
        <v>1740000.0</v>
      </c>
      <c r="DI1454" s="15">
        <v>2480000.0</v>
      </c>
      <c r="DJ1454" s="15">
        <v>2690000.0</v>
      </c>
      <c r="DK1454" s="15">
        <v>92000.0</v>
      </c>
      <c r="DL1454" s="15">
        <v>83000.0</v>
      </c>
      <c r="DM1454" s="15">
        <v>86000.0</v>
      </c>
      <c r="DN1454" s="15">
        <v>142000.0</v>
      </c>
      <c r="DO1454" s="12"/>
      <c r="DP1454" s="15">
        <v>774000.0</v>
      </c>
      <c r="DQ1454" s="15">
        <v>740000.0</v>
      </c>
      <c r="DR1454" s="15">
        <v>743000.0</v>
      </c>
      <c r="DS1454" s="15">
        <v>895000.0</v>
      </c>
      <c r="DT1454" s="15">
        <v>1040000.0</v>
      </c>
      <c r="DU1454" s="13"/>
      <c r="DV1454" s="12"/>
      <c r="DW1454" s="12"/>
      <c r="DX1454" s="13"/>
      <c r="DY1454" s="13"/>
      <c r="DZ1454" s="15">
        <v>666000.0</v>
      </c>
      <c r="EA1454" s="15">
        <v>847000.0</v>
      </c>
      <c r="EB1454" s="15">
        <v>1100000.0</v>
      </c>
      <c r="EC1454" s="15">
        <v>165000.0</v>
      </c>
      <c r="ED1454" s="15">
        <v>711000.0</v>
      </c>
      <c r="EE1454" s="17">
        <v>0.069</v>
      </c>
      <c r="EF1454" s="17">
        <v>0.101</v>
      </c>
      <c r="EG1454" s="17">
        <v>12.0</v>
      </c>
      <c r="EH1454" s="17">
        <v>3.393</v>
      </c>
    </row>
    <row r="1455">
      <c r="A1455" s="9">
        <f t="shared" si="2"/>
        <v>1453</v>
      </c>
      <c r="B1455" s="25" t="s">
        <v>1590</v>
      </c>
      <c r="C1455" s="15"/>
      <c r="D1455" s="15">
        <v>460000.0</v>
      </c>
      <c r="E1455" s="15">
        <v>394890.0</v>
      </c>
      <c r="F1455" s="15">
        <v>446820.0</v>
      </c>
      <c r="G1455" s="15">
        <v>507090.0</v>
      </c>
      <c r="H1455" s="15">
        <v>514530.0</v>
      </c>
      <c r="I1455" s="15">
        <v>680750.0</v>
      </c>
      <c r="J1455" s="15">
        <v>95490.0</v>
      </c>
      <c r="K1455" s="15">
        <v>106210.0</v>
      </c>
      <c r="L1455" s="15">
        <v>117110.0</v>
      </c>
      <c r="M1455" s="15">
        <v>127130.0</v>
      </c>
      <c r="N1455" s="15">
        <v>181180.0</v>
      </c>
      <c r="O1455" s="15">
        <v>115150.0</v>
      </c>
      <c r="P1455" s="15">
        <v>117020.0</v>
      </c>
      <c r="Q1455" s="15">
        <v>135910.0</v>
      </c>
      <c r="R1455" s="15">
        <v>135880.0</v>
      </c>
      <c r="S1455" s="15">
        <v>186350.0</v>
      </c>
      <c r="T1455" s="15">
        <v>7750.0</v>
      </c>
      <c r="U1455" s="15">
        <v>9170.0</v>
      </c>
      <c r="V1455" s="15">
        <v>10950.0</v>
      </c>
      <c r="W1455" s="15">
        <v>13200.0</v>
      </c>
      <c r="X1455" s="15">
        <v>26460.0</v>
      </c>
      <c r="Y1455" s="15">
        <v>-49880.0</v>
      </c>
      <c r="Z1455" s="15">
        <v>-61120.0</v>
      </c>
      <c r="AA1455" s="15">
        <v>-18850.0</v>
      </c>
      <c r="AB1455" s="15">
        <v>130.0</v>
      </c>
      <c r="AC1455" s="15">
        <v>-9780.0</v>
      </c>
      <c r="AD1455" s="15">
        <v>-40940.0</v>
      </c>
      <c r="AE1455" s="15">
        <v>-58960.0</v>
      </c>
      <c r="AF1455" s="15">
        <v>-24100.0</v>
      </c>
      <c r="AG1455" s="15">
        <v>-8930.0</v>
      </c>
      <c r="AH1455" s="15">
        <v>-7800.0</v>
      </c>
      <c r="AI1455" s="15">
        <v>-7300.0</v>
      </c>
      <c r="AJ1455" s="15">
        <v>1540.0</v>
      </c>
      <c r="AK1455" s="15">
        <v>-6630.0</v>
      </c>
      <c r="AL1455" s="15">
        <v>3630.0</v>
      </c>
      <c r="AM1455" s="15">
        <v>10670.0</v>
      </c>
      <c r="AN1455" s="15">
        <v>-26440.0</v>
      </c>
      <c r="AO1455" s="15">
        <v>-46090.0</v>
      </c>
      <c r="AP1455" s="15">
        <v>686.0</v>
      </c>
      <c r="AQ1455" s="15">
        <v>-1640.0</v>
      </c>
      <c r="AR1455" s="15">
        <v>-2680.0</v>
      </c>
      <c r="AS1455" s="15">
        <v>-1590.0</v>
      </c>
      <c r="AT1455" s="15">
        <v>21800.0</v>
      </c>
      <c r="AU1455" s="15">
        <v>-26010.0</v>
      </c>
      <c r="AV1455" s="15">
        <v>-1610.0</v>
      </c>
      <c r="AW1455" s="15">
        <v>26930.0</v>
      </c>
      <c r="AX1455" s="15">
        <v>-2910.0</v>
      </c>
      <c r="AY1455" s="15">
        <v>-4760.0</v>
      </c>
      <c r="AZ1455" s="15">
        <v>-6240.0</v>
      </c>
      <c r="BA1455" s="15">
        <v>-12180.0</v>
      </c>
      <c r="BB1455" s="15">
        <v>-19640.0</v>
      </c>
      <c r="BC1455" s="13"/>
      <c r="BD1455" s="13"/>
      <c r="BE1455" s="13"/>
      <c r="BF1455" s="13"/>
      <c r="BG1455" s="13"/>
      <c r="BH1455" s="15">
        <v>37430.0</v>
      </c>
      <c r="BI1455" s="15">
        <v>58240.0</v>
      </c>
      <c r="BJ1455" s="15">
        <v>51740.0</v>
      </c>
      <c r="BK1455" s="15">
        <v>8450.0</v>
      </c>
      <c r="BL1455" s="15">
        <v>12760.0</v>
      </c>
      <c r="BM1455" s="15">
        <v>70400.0</v>
      </c>
      <c r="BN1455" s="15">
        <v>75320.0</v>
      </c>
      <c r="BO1455" s="15">
        <v>82120.0</v>
      </c>
      <c r="BP1455" s="15">
        <v>92900.0</v>
      </c>
      <c r="BQ1455" s="15">
        <v>91000.0</v>
      </c>
      <c r="BR1455" s="15">
        <v>99110.0</v>
      </c>
      <c r="BS1455" s="15">
        <v>102380.0</v>
      </c>
      <c r="BT1455" s="15">
        <v>117990.0</v>
      </c>
      <c r="BU1455" s="15">
        <v>153050.0</v>
      </c>
      <c r="BV1455" s="15">
        <v>144030.0</v>
      </c>
      <c r="BW1455" s="15">
        <v>217820.0</v>
      </c>
      <c r="BX1455" s="15">
        <v>246390.0</v>
      </c>
      <c r="BY1455" s="15">
        <v>265860.0</v>
      </c>
      <c r="BZ1455" s="15">
        <v>273350.0</v>
      </c>
      <c r="CA1455" s="15">
        <v>264050.0</v>
      </c>
      <c r="CB1455" s="15">
        <v>54570.0</v>
      </c>
      <c r="CC1455" s="15">
        <v>60490.0</v>
      </c>
      <c r="CD1455" s="15">
        <v>65260.0</v>
      </c>
      <c r="CE1455" s="15">
        <v>81600.0</v>
      </c>
      <c r="CF1455" s="15">
        <v>79420.0</v>
      </c>
      <c r="CG1455" s="15">
        <v>55000.0</v>
      </c>
      <c r="CH1455" s="15">
        <v>54790.0</v>
      </c>
      <c r="CI1455" s="15">
        <v>54790.0</v>
      </c>
      <c r="CJ1455" s="15">
        <v>103210.0</v>
      </c>
      <c r="CK1455" s="15">
        <v>104350.0</v>
      </c>
      <c r="CL1455" s="15">
        <v>441570.0</v>
      </c>
      <c r="CM1455" s="15">
        <v>508810.0</v>
      </c>
      <c r="CN1455" s="15">
        <v>575640.0</v>
      </c>
      <c r="CO1455" s="15">
        <v>668490.0</v>
      </c>
      <c r="CP1455" s="15">
        <v>667190.0</v>
      </c>
      <c r="CQ1455" s="15">
        <v>22100.0</v>
      </c>
      <c r="CR1455" s="15">
        <v>31140.0</v>
      </c>
      <c r="CS1455" s="15">
        <v>34700.0</v>
      </c>
      <c r="CT1455" s="15">
        <v>61140.0</v>
      </c>
      <c r="CU1455" s="15">
        <v>55790.0</v>
      </c>
      <c r="CV1455" s="15">
        <v>71020.0</v>
      </c>
      <c r="CW1455" s="15">
        <v>784.0</v>
      </c>
      <c r="CX1455" s="15"/>
      <c r="CY1455" s="15"/>
      <c r="CZ1455" s="15"/>
      <c r="DA1455" s="15"/>
      <c r="DB1455" s="15">
        <v>71020.0</v>
      </c>
      <c r="DC1455" s="15">
        <v>95220.0</v>
      </c>
      <c r="DD1455" s="15">
        <v>95390.0</v>
      </c>
      <c r="DE1455" s="15">
        <v>130070.0</v>
      </c>
      <c r="DF1455" s="15">
        <v>90860.0</v>
      </c>
      <c r="DG1455" s="15">
        <v>113710.0</v>
      </c>
      <c r="DH1455" s="15">
        <v>125530.0</v>
      </c>
      <c r="DI1455" s="15">
        <v>277170.0</v>
      </c>
      <c r="DJ1455" s="15">
        <v>271300.0</v>
      </c>
      <c r="DK1455" s="15">
        <v>24210.0</v>
      </c>
      <c r="DL1455" s="15">
        <v>24740.0</v>
      </c>
      <c r="DM1455" s="15">
        <v>26020.0</v>
      </c>
      <c r="DN1455" s="15">
        <v>32310.0</v>
      </c>
      <c r="DO1455" s="15">
        <v>32160.0</v>
      </c>
      <c r="DP1455" s="15">
        <v>9210.0</v>
      </c>
      <c r="DQ1455" s="15">
        <v>6290.0</v>
      </c>
      <c r="DR1455" s="15">
        <v>9180.0</v>
      </c>
      <c r="DS1455" s="15">
        <v>99150.0</v>
      </c>
      <c r="DT1455" s="15">
        <v>89550.0</v>
      </c>
      <c r="DU1455" s="13"/>
      <c r="DV1455" s="12"/>
      <c r="DW1455" s="12"/>
      <c r="DX1455" s="13"/>
      <c r="DY1455" s="13"/>
      <c r="DZ1455" s="15">
        <v>378660.0</v>
      </c>
      <c r="EA1455" s="15">
        <v>407670.0</v>
      </c>
      <c r="EB1455" s="15">
        <v>455950.0</v>
      </c>
      <c r="EC1455" s="15">
        <v>390010.0</v>
      </c>
      <c r="ED1455" s="15">
        <v>387370.0</v>
      </c>
      <c r="EE1455" s="17">
        <v>0.0</v>
      </c>
      <c r="EF1455" s="17"/>
      <c r="EG1455" s="23" t="s">
        <v>155</v>
      </c>
      <c r="EH1455" s="17"/>
    </row>
    <row r="1456">
      <c r="A1456" s="9">
        <f t="shared" si="2"/>
        <v>1454</v>
      </c>
      <c r="B1456" s="25" t="s">
        <v>1591</v>
      </c>
      <c r="C1456" s="15">
        <v>543120.0</v>
      </c>
      <c r="D1456" s="15">
        <v>457550.0</v>
      </c>
      <c r="E1456" s="15">
        <v>495210.0</v>
      </c>
      <c r="F1456" s="15">
        <v>416100.0</v>
      </c>
      <c r="G1456" s="15">
        <v>454650.0</v>
      </c>
      <c r="H1456" s="15">
        <v>485940.0</v>
      </c>
      <c r="I1456" s="15">
        <v>502600.0</v>
      </c>
      <c r="J1456" s="15">
        <v>280080.0</v>
      </c>
      <c r="K1456" s="15">
        <v>238590.0</v>
      </c>
      <c r="L1456" s="15">
        <v>254010.0</v>
      </c>
      <c r="M1456" s="15">
        <v>276050.0</v>
      </c>
      <c r="N1456" s="15">
        <v>284620.0</v>
      </c>
      <c r="O1456" s="15">
        <v>247030.0</v>
      </c>
      <c r="P1456" s="15">
        <v>211980.0</v>
      </c>
      <c r="Q1456" s="15">
        <v>233510.0</v>
      </c>
      <c r="R1456" s="15">
        <v>236450.0</v>
      </c>
      <c r="S1456" s="15">
        <v>231540.0</v>
      </c>
      <c r="T1456" s="15"/>
      <c r="U1456" s="15"/>
      <c r="V1456" s="12"/>
      <c r="W1456" s="12"/>
      <c r="X1456" s="15"/>
      <c r="Y1456" s="15">
        <v>18380.0</v>
      </c>
      <c r="Z1456" s="12"/>
      <c r="AA1456" s="15">
        <v>14200.0</v>
      </c>
      <c r="AB1456" s="15">
        <v>26890.0</v>
      </c>
      <c r="AC1456" s="15">
        <v>44350.0</v>
      </c>
      <c r="AD1456" s="15">
        <v>20560.0</v>
      </c>
      <c r="AE1456" s="15">
        <v>28230.0</v>
      </c>
      <c r="AF1456" s="15">
        <v>15390.0</v>
      </c>
      <c r="AG1456" s="15">
        <v>28040.0</v>
      </c>
      <c r="AH1456" s="15">
        <v>46460.0</v>
      </c>
      <c r="AI1456" s="15">
        <v>78830.0</v>
      </c>
      <c r="AJ1456" s="15">
        <v>43140.0</v>
      </c>
      <c r="AK1456" s="15">
        <v>40070.0</v>
      </c>
      <c r="AL1456" s="15">
        <v>59110.0</v>
      </c>
      <c r="AM1456" s="15">
        <v>72460.0</v>
      </c>
      <c r="AN1456" s="15">
        <v>16050.0</v>
      </c>
      <c r="AO1456" s="15">
        <v>20760.0</v>
      </c>
      <c r="AP1456" s="15">
        <v>7020.0</v>
      </c>
      <c r="AQ1456" s="15">
        <v>19760.0</v>
      </c>
      <c r="AR1456" s="15">
        <v>27560.0</v>
      </c>
      <c r="AS1456" s="15">
        <v>45930.0</v>
      </c>
      <c r="AT1456" s="15">
        <v>43400.0</v>
      </c>
      <c r="AU1456" s="15">
        <v>42640.0</v>
      </c>
      <c r="AV1456" s="15">
        <v>65190.0</v>
      </c>
      <c r="AW1456" s="15">
        <v>43270.0</v>
      </c>
      <c r="AX1456" s="15">
        <v>-13320.0</v>
      </c>
      <c r="AY1456" s="15">
        <v>-8150.0</v>
      </c>
      <c r="AZ1456" s="15">
        <v>-11820.0</v>
      </c>
      <c r="BA1456" s="15">
        <v>-20780.0</v>
      </c>
      <c r="BB1456" s="15">
        <v>-26320.0</v>
      </c>
      <c r="BC1456" s="13"/>
      <c r="BD1456" s="13"/>
      <c r="BE1456" s="13"/>
      <c r="BF1456" s="13"/>
      <c r="BG1456" s="13"/>
      <c r="BH1456" s="15">
        <v>58890.0</v>
      </c>
      <c r="BI1456" s="15">
        <v>132870.0</v>
      </c>
      <c r="BJ1456" s="15">
        <v>122900.0</v>
      </c>
      <c r="BK1456" s="15">
        <v>116530.0</v>
      </c>
      <c r="BL1456" s="15">
        <v>97680.0</v>
      </c>
      <c r="BM1456" s="15">
        <v>25330.0</v>
      </c>
      <c r="BN1456" s="15">
        <v>16410.0</v>
      </c>
      <c r="BO1456" s="15">
        <v>19960.0</v>
      </c>
      <c r="BP1456" s="15">
        <v>26530.0</v>
      </c>
      <c r="BQ1456" s="15">
        <v>32080.0</v>
      </c>
      <c r="BR1456" s="15">
        <v>123610.0</v>
      </c>
      <c r="BS1456" s="15">
        <v>91580.0</v>
      </c>
      <c r="BT1456" s="15">
        <v>87840.0</v>
      </c>
      <c r="BU1456" s="15">
        <v>102280.0</v>
      </c>
      <c r="BV1456" s="15">
        <v>113590.0</v>
      </c>
      <c r="BW1456" s="15">
        <v>218790.0</v>
      </c>
      <c r="BX1456" s="15">
        <v>252470.0</v>
      </c>
      <c r="BY1456" s="15">
        <v>242020.0</v>
      </c>
      <c r="BZ1456" s="15">
        <v>255580.0</v>
      </c>
      <c r="CA1456" s="15">
        <v>253640.0</v>
      </c>
      <c r="CB1456" s="15">
        <v>187820.0</v>
      </c>
      <c r="CC1456" s="15">
        <v>77950.0</v>
      </c>
      <c r="CD1456" s="15">
        <v>86460.0</v>
      </c>
      <c r="CE1456" s="15">
        <v>101580.0</v>
      </c>
      <c r="CF1456" s="15">
        <v>113710.0</v>
      </c>
      <c r="CG1456" s="15">
        <v>44250.0</v>
      </c>
      <c r="CH1456" s="15"/>
      <c r="CI1456" s="15"/>
      <c r="CJ1456" s="15"/>
      <c r="CK1456" s="15"/>
      <c r="CL1456" s="15">
        <v>569840.0</v>
      </c>
      <c r="CM1456" s="15">
        <v>368250.0</v>
      </c>
      <c r="CN1456" s="15">
        <v>350670.0</v>
      </c>
      <c r="CO1456" s="15">
        <v>373510.0</v>
      </c>
      <c r="CP1456" s="15">
        <v>395960.0</v>
      </c>
      <c r="CQ1456" s="15">
        <v>20240.0</v>
      </c>
      <c r="CR1456" s="15">
        <v>14600.0</v>
      </c>
      <c r="CS1456" s="15">
        <v>13500.0</v>
      </c>
      <c r="CT1456" s="15">
        <v>32620.0</v>
      </c>
      <c r="CU1456" s="15">
        <v>24610.0</v>
      </c>
      <c r="CV1456" s="15">
        <v>87410.0</v>
      </c>
      <c r="CW1456" s="15">
        <v>21350.0</v>
      </c>
      <c r="CX1456" s="15"/>
      <c r="CY1456" s="15"/>
      <c r="CZ1456" s="15"/>
      <c r="DA1456" s="15"/>
      <c r="DB1456" s="15">
        <v>87410.0</v>
      </c>
      <c r="DC1456" s="15">
        <v>43560.0</v>
      </c>
      <c r="DD1456" s="15">
        <v>40270.0</v>
      </c>
      <c r="DE1456" s="15">
        <v>62510.0</v>
      </c>
      <c r="DF1456" s="15">
        <v>236020.0</v>
      </c>
      <c r="DG1456" s="15">
        <v>73550.0</v>
      </c>
      <c r="DH1456" s="15">
        <v>65390.0</v>
      </c>
      <c r="DI1456" s="15">
        <v>89720.0</v>
      </c>
      <c r="DJ1456" s="15">
        <v>110700.0</v>
      </c>
      <c r="DK1456" s="15">
        <v>14910.0</v>
      </c>
      <c r="DL1456" s="15">
        <v>23740.0</v>
      </c>
      <c r="DM1456" s="15">
        <v>15520.0</v>
      </c>
      <c r="DN1456" s="12"/>
      <c r="DO1456" s="15"/>
      <c r="DP1456" s="15">
        <v>113780.0</v>
      </c>
      <c r="DQ1456" s="15"/>
      <c r="DR1456" s="15"/>
      <c r="DS1456" s="15"/>
      <c r="DT1456" s="15"/>
      <c r="DU1456" s="13"/>
      <c r="DV1456" s="12"/>
      <c r="DW1456" s="12"/>
      <c r="DX1456" s="13"/>
      <c r="DY1456" s="13"/>
      <c r="DZ1456" s="15">
        <v>303770.0</v>
      </c>
      <c r="EA1456" s="15">
        <v>294700.0</v>
      </c>
      <c r="EB1456" s="15">
        <v>285280.0</v>
      </c>
      <c r="EC1456" s="15">
        <v>283790.0</v>
      </c>
      <c r="ED1456" s="15">
        <v>285260.0</v>
      </c>
      <c r="EE1456" s="17">
        <v>0.026</v>
      </c>
      <c r="EF1456" s="17">
        <v>0.216</v>
      </c>
      <c r="EG1456" s="17">
        <v>-0.148</v>
      </c>
      <c r="EH1456" s="17">
        <v>-0.076</v>
      </c>
    </row>
    <row r="1457">
      <c r="A1457" s="9">
        <f t="shared" si="2"/>
        <v>1455</v>
      </c>
      <c r="B1457" s="22" t="s">
        <v>1592</v>
      </c>
      <c r="C1457" s="11">
        <v>9060.0</v>
      </c>
      <c r="D1457" s="12"/>
      <c r="E1457" s="12"/>
      <c r="F1457" s="12"/>
      <c r="G1457" s="12"/>
      <c r="H1457" s="12"/>
      <c r="I1457" s="12"/>
      <c r="J1457" s="11">
        <v>-257.0</v>
      </c>
      <c r="K1457" s="11">
        <v>-20.0</v>
      </c>
      <c r="L1457" s="12"/>
      <c r="M1457" s="12"/>
      <c r="N1457" s="12"/>
      <c r="O1457" s="11">
        <v>29820.0</v>
      </c>
      <c r="P1457" s="11">
        <v>21860.0</v>
      </c>
      <c r="Q1457" s="11">
        <v>4460.0</v>
      </c>
      <c r="R1457" s="11">
        <v>1910.0</v>
      </c>
      <c r="S1457" s="12"/>
      <c r="T1457" s="11">
        <v>15440.0</v>
      </c>
      <c r="U1457" s="11">
        <v>12830.0</v>
      </c>
      <c r="V1457" s="11">
        <v>3730.0</v>
      </c>
      <c r="W1457" s="11">
        <v>1710.0</v>
      </c>
      <c r="X1457" s="12"/>
      <c r="Y1457" s="12"/>
      <c r="Z1457" s="12"/>
      <c r="AA1457" s="12"/>
      <c r="AB1457" s="12"/>
      <c r="AC1457" s="12"/>
      <c r="AD1457" s="11">
        <v>-28210.0</v>
      </c>
      <c r="AE1457" s="11">
        <v>-20650.0</v>
      </c>
      <c r="AF1457" s="11">
        <v>-4460.0</v>
      </c>
      <c r="AG1457" s="11">
        <v>-1910.0</v>
      </c>
      <c r="AH1457" s="12"/>
      <c r="AI1457" s="11">
        <v>-29820.0</v>
      </c>
      <c r="AJ1457" s="11">
        <v>-21860.0</v>
      </c>
      <c r="AK1457" s="12"/>
      <c r="AL1457" s="12"/>
      <c r="AM1457" s="12"/>
      <c r="AN1457" s="11">
        <v>-28210.0</v>
      </c>
      <c r="AO1457" s="11">
        <v>-20650.0</v>
      </c>
      <c r="AP1457" s="11">
        <v>-4460.0</v>
      </c>
      <c r="AQ1457" s="11">
        <v>-1910.0</v>
      </c>
      <c r="AR1457" s="12"/>
      <c r="AS1457" s="11">
        <v>-27290.0</v>
      </c>
      <c r="AT1457" s="11">
        <v>-17870.0</v>
      </c>
      <c r="AU1457" s="11">
        <v>-4580.0</v>
      </c>
      <c r="AV1457" s="11">
        <v>-1610.0</v>
      </c>
      <c r="AW1457" s="12"/>
      <c r="AX1457" s="11">
        <v>-682.0</v>
      </c>
      <c r="AY1457" s="11">
        <v>-275.0</v>
      </c>
      <c r="AZ1457" s="12"/>
      <c r="BA1457" s="12"/>
      <c r="BB1457" s="12"/>
      <c r="BC1457" s="12"/>
      <c r="BD1457" s="12"/>
      <c r="BE1457" s="12"/>
      <c r="BF1457" s="12"/>
      <c r="BG1457" s="12"/>
      <c r="BH1457" s="11">
        <v>62020.0</v>
      </c>
      <c r="BI1457" s="11">
        <v>89810.0</v>
      </c>
      <c r="BJ1457" s="11">
        <v>8660.0</v>
      </c>
      <c r="BK1457" s="11">
        <v>527.0</v>
      </c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1">
        <v>64980.0</v>
      </c>
      <c r="BX1457" s="11">
        <v>91150.0</v>
      </c>
      <c r="BY1457" s="11">
        <v>9080.0</v>
      </c>
      <c r="BZ1457" s="11">
        <v>544.0</v>
      </c>
      <c r="CA1457" s="12"/>
      <c r="CB1457" s="11">
        <v>2200.0</v>
      </c>
      <c r="CC1457" s="11">
        <v>255.0</v>
      </c>
      <c r="CD1457" s="12"/>
      <c r="CE1457" s="12"/>
      <c r="CF1457" s="12"/>
      <c r="CG1457" s="12"/>
      <c r="CH1457" s="12"/>
      <c r="CI1457" s="12"/>
      <c r="CJ1457" s="12"/>
      <c r="CK1457" s="12"/>
      <c r="CL1457" s="11">
        <v>68830.0</v>
      </c>
      <c r="CM1457" s="11">
        <v>91910.0</v>
      </c>
      <c r="CN1457" s="11">
        <v>9080.0</v>
      </c>
      <c r="CO1457" s="11">
        <v>544.0</v>
      </c>
      <c r="CP1457" s="12"/>
      <c r="CQ1457" s="11">
        <v>1190.0</v>
      </c>
      <c r="CR1457" s="11">
        <v>960.0</v>
      </c>
      <c r="CS1457" s="11">
        <v>167.0</v>
      </c>
      <c r="CT1457" s="11">
        <v>103.0</v>
      </c>
      <c r="CU1457" s="12"/>
      <c r="CV1457" s="11">
        <v>3350.0</v>
      </c>
      <c r="CW1457" s="11">
        <v>130.0</v>
      </c>
      <c r="CX1457" s="12"/>
      <c r="CY1457" s="12"/>
      <c r="CZ1457" s="12"/>
      <c r="DA1457" s="12"/>
      <c r="DB1457" s="11">
        <v>3350.0</v>
      </c>
      <c r="DC1457" s="11">
        <v>2480.0</v>
      </c>
      <c r="DD1457" s="11">
        <v>616.0</v>
      </c>
      <c r="DE1457" s="11">
        <v>419.0</v>
      </c>
      <c r="DF1457" s="11">
        <v>3410.0</v>
      </c>
      <c r="DG1457" s="11">
        <v>2480.0</v>
      </c>
      <c r="DH1457" s="11">
        <v>616.0</v>
      </c>
      <c r="DI1457" s="11">
        <v>419.0</v>
      </c>
      <c r="DJ1457" s="12"/>
      <c r="DK1457" s="12"/>
      <c r="DL1457" s="12"/>
      <c r="DM1457" s="12"/>
      <c r="DN1457" s="12"/>
      <c r="DO1457" s="12"/>
      <c r="DP1457" s="11">
        <v>58.0</v>
      </c>
      <c r="DQ1457" s="12"/>
      <c r="DR1457" s="12"/>
      <c r="DS1457" s="12"/>
      <c r="DT1457" s="12"/>
      <c r="DU1457" s="13"/>
      <c r="DV1457" s="12"/>
      <c r="DW1457" s="11">
        <v>15510.0</v>
      </c>
      <c r="DX1457" s="11">
        <v>2790.0</v>
      </c>
      <c r="DY1457" s="13"/>
      <c r="DZ1457" s="11">
        <v>65430.0</v>
      </c>
      <c r="EA1457" s="11">
        <v>89430.0</v>
      </c>
      <c r="EB1457" s="11">
        <v>8470.0</v>
      </c>
      <c r="EC1457" s="11">
        <v>125.0</v>
      </c>
      <c r="ED1457" s="12"/>
      <c r="EE1457" s="23"/>
      <c r="EF1457" s="14">
        <v>1.822</v>
      </c>
      <c r="EG1457" s="14">
        <v>0.156</v>
      </c>
      <c r="EH1457" s="14">
        <v>0.043</v>
      </c>
    </row>
    <row r="1458">
      <c r="A1458" s="9">
        <f t="shared" si="2"/>
        <v>1456</v>
      </c>
      <c r="B1458" s="22" t="s">
        <v>1593</v>
      </c>
      <c r="C1458" s="12"/>
      <c r="D1458" s="12"/>
      <c r="E1458" s="12"/>
      <c r="F1458" s="12"/>
      <c r="G1458" s="12"/>
      <c r="H1458" s="12"/>
      <c r="I1458" s="12"/>
      <c r="J1458" s="11">
        <v>-504.0</v>
      </c>
      <c r="K1458" s="11">
        <v>-98.0</v>
      </c>
      <c r="L1458" s="11">
        <v>-123.0</v>
      </c>
      <c r="M1458" s="11">
        <v>-62.0</v>
      </c>
      <c r="N1458" s="11">
        <v>-53.0</v>
      </c>
      <c r="O1458" s="11">
        <v>40230.0</v>
      </c>
      <c r="P1458" s="11">
        <v>25500.0</v>
      </c>
      <c r="Q1458" s="11">
        <v>29630.0</v>
      </c>
      <c r="R1458" s="12"/>
      <c r="S1458" s="12"/>
      <c r="T1458" s="11">
        <v>33370.0</v>
      </c>
      <c r="U1458" s="11">
        <v>19210.0</v>
      </c>
      <c r="V1458" s="11">
        <v>23610.0</v>
      </c>
      <c r="W1458" s="11">
        <v>4470.0</v>
      </c>
      <c r="X1458" s="11">
        <v>7090.0</v>
      </c>
      <c r="Y1458" s="11">
        <v>-39260.0</v>
      </c>
      <c r="Z1458" s="11">
        <v>-1330.0</v>
      </c>
      <c r="AA1458" s="11">
        <v>-23200.0</v>
      </c>
      <c r="AB1458" s="12"/>
      <c r="AC1458" s="12"/>
      <c r="AD1458" s="11">
        <v>-39210.0</v>
      </c>
      <c r="AE1458" s="11">
        <v>-24130.0</v>
      </c>
      <c r="AF1458" s="11">
        <v>-25200.0</v>
      </c>
      <c r="AG1458" s="11">
        <v>-5970.0</v>
      </c>
      <c r="AH1458" s="11">
        <v>-9000.0</v>
      </c>
      <c r="AI1458" s="11">
        <v>-40230.0</v>
      </c>
      <c r="AJ1458" s="11">
        <v>-25500.0</v>
      </c>
      <c r="AK1458" s="11">
        <v>-29630.0</v>
      </c>
      <c r="AL1458" s="12"/>
      <c r="AM1458" s="12"/>
      <c r="AN1458" s="11">
        <v>-31940.0</v>
      </c>
      <c r="AO1458" s="11">
        <v>-19900.0</v>
      </c>
      <c r="AP1458" s="11">
        <v>-20500.0</v>
      </c>
      <c r="AQ1458" s="12"/>
      <c r="AR1458" s="12"/>
      <c r="AS1458" s="11">
        <v>-32930.0</v>
      </c>
      <c r="AT1458" s="11">
        <v>-17230.0</v>
      </c>
      <c r="AU1458" s="11">
        <v>-20570.0</v>
      </c>
      <c r="AV1458" s="12"/>
      <c r="AW1458" s="12"/>
      <c r="AX1458" s="11">
        <v>-282.0</v>
      </c>
      <c r="AY1458" s="11">
        <v>-268.0</v>
      </c>
      <c r="AZ1458" s="11">
        <v>-217.0</v>
      </c>
      <c r="BA1458" s="12"/>
      <c r="BB1458" s="12"/>
      <c r="BC1458" s="12"/>
      <c r="BD1458" s="12"/>
      <c r="BE1458" s="12"/>
      <c r="BF1458" s="12"/>
      <c r="BG1458" s="12"/>
      <c r="BH1458" s="11">
        <v>30760.0</v>
      </c>
      <c r="BI1458" s="11">
        <v>64700.0</v>
      </c>
      <c r="BJ1458" s="11">
        <v>80260.0</v>
      </c>
      <c r="BK1458" s="11">
        <v>39790.0</v>
      </c>
      <c r="BL1458" s="11">
        <v>3520.0</v>
      </c>
      <c r="BM1458" s="11">
        <v>7400.0</v>
      </c>
      <c r="BN1458" s="11">
        <v>4500.0</v>
      </c>
      <c r="BO1458" s="11">
        <v>5010.0</v>
      </c>
      <c r="BP1458" s="11">
        <v>1070.0</v>
      </c>
      <c r="BQ1458" s="11">
        <v>1850.0</v>
      </c>
      <c r="BR1458" s="12"/>
      <c r="BS1458" s="12"/>
      <c r="BT1458" s="12"/>
      <c r="BU1458" s="12"/>
      <c r="BV1458" s="12"/>
      <c r="BW1458" s="11">
        <v>40920.0</v>
      </c>
      <c r="BX1458" s="11">
        <v>71670.0</v>
      </c>
      <c r="BY1458" s="11">
        <v>87080.0</v>
      </c>
      <c r="BZ1458" s="11">
        <v>43810.0</v>
      </c>
      <c r="CA1458" s="11">
        <v>5570.0</v>
      </c>
      <c r="CB1458" s="11">
        <v>1010.0</v>
      </c>
      <c r="CC1458" s="11">
        <v>21.0</v>
      </c>
      <c r="CD1458" s="11">
        <v>16.0</v>
      </c>
      <c r="CE1458" s="11">
        <v>14.0</v>
      </c>
      <c r="CF1458" s="11">
        <v>13.0</v>
      </c>
      <c r="CG1458" s="11">
        <v>441.0</v>
      </c>
      <c r="CH1458" s="11">
        <v>441.0</v>
      </c>
      <c r="CI1458" s="11">
        <v>441.0</v>
      </c>
      <c r="CJ1458" s="12"/>
      <c r="CK1458" s="11">
        <v>441.0</v>
      </c>
      <c r="CL1458" s="11">
        <v>45140.0</v>
      </c>
      <c r="CM1458" s="11">
        <v>74750.0</v>
      </c>
      <c r="CN1458" s="11">
        <v>89500.0</v>
      </c>
      <c r="CO1458" s="11">
        <v>46140.0</v>
      </c>
      <c r="CP1458" s="11">
        <v>7840.0</v>
      </c>
      <c r="CQ1458" s="12"/>
      <c r="CR1458" s="12"/>
      <c r="CS1458" s="12"/>
      <c r="CT1458" s="12"/>
      <c r="CU1458" s="12"/>
      <c r="CV1458" s="11">
        <v>9620.0</v>
      </c>
      <c r="CW1458" s="12"/>
      <c r="CX1458" s="12"/>
      <c r="CY1458" s="12"/>
      <c r="CZ1458" s="12"/>
      <c r="DA1458" s="12"/>
      <c r="DB1458" s="11">
        <v>9620.0</v>
      </c>
      <c r="DC1458" s="11">
        <v>10230.0</v>
      </c>
      <c r="DD1458" s="11">
        <v>8600.0</v>
      </c>
      <c r="DE1458" s="11">
        <v>10870.0</v>
      </c>
      <c r="DF1458" s="11">
        <v>11270.0</v>
      </c>
      <c r="DG1458" s="11">
        <v>11330.0</v>
      </c>
      <c r="DH1458" s="11">
        <v>9620.0</v>
      </c>
      <c r="DI1458" s="12"/>
      <c r="DJ1458" s="12"/>
      <c r="DK1458" s="12"/>
      <c r="DL1458" s="12"/>
      <c r="DM1458" s="12"/>
      <c r="DN1458" s="12"/>
      <c r="DO1458" s="12"/>
      <c r="DP1458" s="11">
        <v>491.0</v>
      </c>
      <c r="DQ1458" s="12"/>
      <c r="DR1458" s="12"/>
      <c r="DS1458" s="12"/>
      <c r="DT1458" s="12"/>
      <c r="DU1458" s="13"/>
      <c r="DV1458" s="12"/>
      <c r="DW1458" s="12"/>
      <c r="DX1458" s="13"/>
      <c r="DY1458" s="13"/>
      <c r="DZ1458" s="11">
        <v>33870.0</v>
      </c>
      <c r="EA1458" s="11">
        <v>63420.0</v>
      </c>
      <c r="EB1458" s="11">
        <v>79880.0</v>
      </c>
      <c r="EC1458" s="11">
        <v>34470.0</v>
      </c>
      <c r="ED1458" s="11">
        <v>5430.0</v>
      </c>
      <c r="EE1458" s="23"/>
      <c r="EF1458" s="23"/>
      <c r="EG1458" s="14">
        <v>-0.404</v>
      </c>
      <c r="EH1458" s="14">
        <v>-0.185</v>
      </c>
    </row>
    <row r="1459">
      <c r="A1459" s="9">
        <f t="shared" si="2"/>
        <v>1457</v>
      </c>
      <c r="B1459" s="22" t="s">
        <v>1594</v>
      </c>
      <c r="C1459" s="11">
        <v>6790000.0</v>
      </c>
      <c r="D1459" s="11">
        <v>5980000.0</v>
      </c>
      <c r="E1459" s="11">
        <v>4130000.0</v>
      </c>
      <c r="F1459" s="11">
        <v>3050000.0</v>
      </c>
      <c r="G1459" s="11">
        <v>2490000.0</v>
      </c>
      <c r="H1459" s="11">
        <v>1700000.0</v>
      </c>
      <c r="I1459" s="11">
        <v>1030000.0</v>
      </c>
      <c r="J1459" s="11">
        <v>3580000.0</v>
      </c>
      <c r="K1459" s="11">
        <v>2640000.0</v>
      </c>
      <c r="L1459" s="11">
        <v>2210000.0</v>
      </c>
      <c r="M1459" s="11">
        <v>1490000.0</v>
      </c>
      <c r="N1459" s="11">
        <v>907820.0</v>
      </c>
      <c r="O1459" s="11">
        <v>2410000.0</v>
      </c>
      <c r="P1459" s="11">
        <v>1970000.0</v>
      </c>
      <c r="Q1459" s="11">
        <v>1820000.0</v>
      </c>
      <c r="R1459" s="11">
        <v>1480000.0</v>
      </c>
      <c r="S1459" s="11">
        <v>1370000.0</v>
      </c>
      <c r="T1459" s="11">
        <v>1750000.0</v>
      </c>
      <c r="U1459" s="11">
        <v>1420000.0</v>
      </c>
      <c r="V1459" s="11">
        <v>1320000.0</v>
      </c>
      <c r="W1459" s="11">
        <v>1050000.0</v>
      </c>
      <c r="X1459" s="11">
        <v>995920.0</v>
      </c>
      <c r="Y1459" s="11">
        <v>1290000.0</v>
      </c>
      <c r="Z1459" s="11">
        <v>637030.0</v>
      </c>
      <c r="AA1459" s="11">
        <v>109140.0</v>
      </c>
      <c r="AB1459" s="11">
        <v>9940.0</v>
      </c>
      <c r="AC1459" s="11">
        <v>-2210.0</v>
      </c>
      <c r="AD1459" s="11">
        <v>1390000.0</v>
      </c>
      <c r="AE1459" s="11">
        <v>600240.0</v>
      </c>
      <c r="AF1459" s="11">
        <v>-15690.0</v>
      </c>
      <c r="AG1459" s="11">
        <v>-67370.0</v>
      </c>
      <c r="AH1459" s="11">
        <v>-557800.0</v>
      </c>
      <c r="AI1459" s="11">
        <v>1280000.0</v>
      </c>
      <c r="AJ1459" s="11">
        <v>737640.0</v>
      </c>
      <c r="AK1459" s="11">
        <v>459330.0</v>
      </c>
      <c r="AL1459" s="11">
        <v>72600.0</v>
      </c>
      <c r="AM1459" s="11">
        <v>-402330.0</v>
      </c>
      <c r="AN1459" s="11">
        <v>1180000.0</v>
      </c>
      <c r="AO1459" s="11">
        <v>2100000.0</v>
      </c>
      <c r="AP1459" s="11">
        <v>263190.0</v>
      </c>
      <c r="AQ1459" s="11">
        <v>-112050.0</v>
      </c>
      <c r="AR1459" s="11">
        <v>-556330.0</v>
      </c>
      <c r="AS1459" s="11">
        <v>1570000.0</v>
      </c>
      <c r="AT1459" s="11">
        <v>1270000.0</v>
      </c>
      <c r="AU1459" s="11">
        <v>844940.0</v>
      </c>
      <c r="AV1459" s="11">
        <v>236100.0</v>
      </c>
      <c r="AW1459" s="11">
        <v>-365430.0</v>
      </c>
      <c r="AX1459" s="11">
        <v>-75450.0</v>
      </c>
      <c r="AY1459" s="11">
        <v>-95520.0</v>
      </c>
      <c r="AZ1459" s="11">
        <v>-259420.0</v>
      </c>
      <c r="BA1459" s="11">
        <v>-56570.0</v>
      </c>
      <c r="BB1459" s="11">
        <v>-45300.0</v>
      </c>
      <c r="BC1459" s="12"/>
      <c r="BD1459" s="12"/>
      <c r="BE1459" s="12"/>
      <c r="BF1459" s="12"/>
      <c r="BG1459" s="12"/>
      <c r="BH1459" s="11">
        <v>3820000.0</v>
      </c>
      <c r="BI1459" s="11">
        <v>3170000.0</v>
      </c>
      <c r="BJ1459" s="11">
        <v>2090000.0</v>
      </c>
      <c r="BK1459" s="11">
        <v>1500000.0</v>
      </c>
      <c r="BL1459" s="11">
        <v>1130000.0</v>
      </c>
      <c r="BM1459" s="11">
        <v>633520.0</v>
      </c>
      <c r="BN1459" s="11">
        <v>414870.0</v>
      </c>
      <c r="BO1459" s="11">
        <v>346650.0</v>
      </c>
      <c r="BP1459" s="11">
        <v>204300.0</v>
      </c>
      <c r="BQ1459" s="11">
        <v>188520.0</v>
      </c>
      <c r="BR1459" s="11">
        <v>167500.0</v>
      </c>
      <c r="BS1459" s="11">
        <v>124360.0</v>
      </c>
      <c r="BT1459" s="11">
        <v>111830.0</v>
      </c>
      <c r="BU1459" s="11">
        <v>77600.0</v>
      </c>
      <c r="BV1459" s="11">
        <v>57210.0</v>
      </c>
      <c r="BW1459" s="11">
        <v>4820000.0</v>
      </c>
      <c r="BX1459" s="11">
        <v>3840000.0</v>
      </c>
      <c r="BY1459" s="11">
        <v>2650000.0</v>
      </c>
      <c r="BZ1459" s="11">
        <v>1830000.0</v>
      </c>
      <c r="CA1459" s="11">
        <v>1410000.0</v>
      </c>
      <c r="CB1459" s="11">
        <v>833280.0</v>
      </c>
      <c r="CC1459" s="11">
        <v>812010.0</v>
      </c>
      <c r="CD1459" s="11">
        <v>789440.0</v>
      </c>
      <c r="CE1459" s="11">
        <v>698360.0</v>
      </c>
      <c r="CF1459" s="11">
        <v>697720.0</v>
      </c>
      <c r="CG1459" s="11">
        <v>1000000.0</v>
      </c>
      <c r="CH1459" s="11">
        <v>50380.0</v>
      </c>
      <c r="CI1459" s="11">
        <v>50380.0</v>
      </c>
      <c r="CJ1459" s="11">
        <v>50380.0</v>
      </c>
      <c r="CK1459" s="11">
        <v>50380.0</v>
      </c>
      <c r="CL1459" s="11">
        <v>8320000.0</v>
      </c>
      <c r="CM1459" s="11">
        <v>6250000.0</v>
      </c>
      <c r="CN1459" s="11">
        <v>3550000.0</v>
      </c>
      <c r="CO1459" s="11">
        <v>2900000.0</v>
      </c>
      <c r="CP1459" s="11">
        <v>2500000.0</v>
      </c>
      <c r="CQ1459" s="11">
        <v>87610.0</v>
      </c>
      <c r="CR1459" s="11">
        <v>110990.0</v>
      </c>
      <c r="CS1459" s="11">
        <v>73990.0</v>
      </c>
      <c r="CT1459" s="11">
        <v>61450.0</v>
      </c>
      <c r="CU1459" s="11">
        <v>74940.0</v>
      </c>
      <c r="CV1459" s="11">
        <v>1330000.0</v>
      </c>
      <c r="CW1459" s="11">
        <v>11500.0</v>
      </c>
      <c r="CX1459" s="12"/>
      <c r="CY1459" s="12"/>
      <c r="CZ1459" s="11">
        <v>300000.0</v>
      </c>
      <c r="DA1459" s="12"/>
      <c r="DB1459" s="11">
        <v>1330000.0</v>
      </c>
      <c r="DC1459" s="11">
        <v>1120000.0</v>
      </c>
      <c r="DD1459" s="11">
        <v>807260.0</v>
      </c>
      <c r="DE1459" s="11">
        <v>792540.0</v>
      </c>
      <c r="DF1459" s="11">
        <v>2230000.0</v>
      </c>
      <c r="DG1459" s="11">
        <v>1810000.0</v>
      </c>
      <c r="DH1459" s="11">
        <v>1500000.0</v>
      </c>
      <c r="DI1459" s="11">
        <v>1560000.0</v>
      </c>
      <c r="DJ1459" s="11">
        <v>1400000.0</v>
      </c>
      <c r="DK1459" s="11">
        <v>44160.0</v>
      </c>
      <c r="DL1459" s="12"/>
      <c r="DM1459" s="11">
        <v>20450.0</v>
      </c>
      <c r="DN1459" s="11">
        <v>20330.0</v>
      </c>
      <c r="DO1459" s="11">
        <v>22080.0</v>
      </c>
      <c r="DP1459" s="11">
        <v>622870.0</v>
      </c>
      <c r="DQ1459" s="11">
        <v>581550.0</v>
      </c>
      <c r="DR1459" s="11">
        <v>583900.0</v>
      </c>
      <c r="DS1459" s="11">
        <v>521340.0</v>
      </c>
      <c r="DT1459" s="11">
        <v>739400.0</v>
      </c>
      <c r="DU1459" s="13"/>
      <c r="DV1459" s="12"/>
      <c r="DW1459" s="12"/>
      <c r="DX1459" s="13"/>
      <c r="DY1459" s="13"/>
      <c r="DZ1459" s="11">
        <v>6090000.0</v>
      </c>
      <c r="EA1459" s="11">
        <v>4440000.0</v>
      </c>
      <c r="EB1459" s="11">
        <v>2030000.0</v>
      </c>
      <c r="EC1459" s="11">
        <v>1160000.0</v>
      </c>
      <c r="ED1459" s="11">
        <v>939970.0</v>
      </c>
      <c r="EE1459" s="14">
        <v>0.055</v>
      </c>
      <c r="EF1459" s="14">
        <v>0.236</v>
      </c>
      <c r="EG1459" s="14">
        <v>0.261</v>
      </c>
      <c r="EH1459" s="14">
        <v>0.282</v>
      </c>
    </row>
    <row r="1460">
      <c r="A1460" s="9">
        <f t="shared" si="2"/>
        <v>1458</v>
      </c>
      <c r="B1460" s="10" t="s">
        <v>1595</v>
      </c>
      <c r="C1460" s="15">
        <v>2630000.0</v>
      </c>
      <c r="D1460" s="15">
        <v>2330000.0</v>
      </c>
      <c r="E1460" s="15">
        <v>2310000.0</v>
      </c>
      <c r="F1460" s="15">
        <v>2070000.0</v>
      </c>
      <c r="G1460" s="15">
        <v>1590000.0</v>
      </c>
      <c r="H1460" s="15">
        <v>1530000.0</v>
      </c>
      <c r="I1460" s="15">
        <v>1400000.0</v>
      </c>
      <c r="J1460" s="15">
        <v>691940.0</v>
      </c>
      <c r="K1460" s="15">
        <v>520880.0</v>
      </c>
      <c r="L1460" s="15">
        <v>461580.0</v>
      </c>
      <c r="M1460" s="15">
        <v>472770.0</v>
      </c>
      <c r="N1460" s="15">
        <v>396450.0</v>
      </c>
      <c r="O1460" s="15">
        <v>653520.0</v>
      </c>
      <c r="P1460" s="15">
        <v>589000.0</v>
      </c>
      <c r="Q1460" s="15">
        <v>553770.0</v>
      </c>
      <c r="R1460" s="15">
        <v>463120.0</v>
      </c>
      <c r="S1460" s="15">
        <v>375530.0</v>
      </c>
      <c r="T1460" s="15">
        <v>130430.0</v>
      </c>
      <c r="U1460" s="15">
        <v>123040.0</v>
      </c>
      <c r="V1460" s="15">
        <v>168350.0</v>
      </c>
      <c r="W1460" s="15">
        <v>129650.0</v>
      </c>
      <c r="X1460" s="15">
        <v>77180.0</v>
      </c>
      <c r="Y1460" s="15">
        <v>0.0</v>
      </c>
      <c r="Z1460" s="15">
        <v>-60620.0</v>
      </c>
      <c r="AA1460" s="15">
        <v>-102400.0</v>
      </c>
      <c r="AB1460" s="15">
        <v>36460.0</v>
      </c>
      <c r="AC1460" s="15">
        <v>20200.0</v>
      </c>
      <c r="AD1460" s="15">
        <v>1430.0</v>
      </c>
      <c r="AE1460" s="15">
        <v>-110480.0</v>
      </c>
      <c r="AF1460" s="15">
        <v>-105470.0</v>
      </c>
      <c r="AG1460" s="15">
        <v>25380.0</v>
      </c>
      <c r="AH1460" s="15">
        <v>17600.0</v>
      </c>
      <c r="AI1460" s="15">
        <v>380600.0</v>
      </c>
      <c r="AJ1460" s="15">
        <v>250490.0</v>
      </c>
      <c r="AK1460" s="15">
        <v>163470.0</v>
      </c>
      <c r="AL1460" s="15">
        <v>255580.0</v>
      </c>
      <c r="AM1460" s="15">
        <v>263000.0</v>
      </c>
      <c r="AN1460" s="15">
        <v>0.0</v>
      </c>
      <c r="AO1460" s="15">
        <v>-67620.0</v>
      </c>
      <c r="AP1460" s="15">
        <v>-67310.0</v>
      </c>
      <c r="AQ1460" s="15">
        <v>23770.0</v>
      </c>
      <c r="AR1460" s="15">
        <v>21740.0</v>
      </c>
      <c r="AS1460" s="15">
        <v>436940.0</v>
      </c>
      <c r="AT1460" s="15">
        <v>327550.0</v>
      </c>
      <c r="AU1460" s="15">
        <v>358630.0</v>
      </c>
      <c r="AV1460" s="15">
        <v>411300.0</v>
      </c>
      <c r="AW1460" s="15">
        <v>296940.0</v>
      </c>
      <c r="AX1460" s="15">
        <v>-761080.0</v>
      </c>
      <c r="AY1460" s="15">
        <v>-686820.0</v>
      </c>
      <c r="AZ1460" s="15">
        <v>-584490.0</v>
      </c>
      <c r="BA1460" s="15">
        <v>-585660.0</v>
      </c>
      <c r="BB1460" s="15">
        <v>-450630.0</v>
      </c>
      <c r="BC1460" s="16">
        <v>0.0</v>
      </c>
      <c r="BD1460" s="16">
        <v>0.0</v>
      </c>
      <c r="BE1460" s="16">
        <v>0.0</v>
      </c>
      <c r="BF1460" s="16">
        <v>0.0</v>
      </c>
      <c r="BG1460" s="16">
        <v>0.0</v>
      </c>
      <c r="BH1460" s="15">
        <v>304310.0</v>
      </c>
      <c r="BI1460" s="15">
        <v>261700.0</v>
      </c>
      <c r="BJ1460" s="15">
        <v>71450.0</v>
      </c>
      <c r="BK1460" s="15">
        <v>130100.0</v>
      </c>
      <c r="BL1460" s="15">
        <v>42090.0</v>
      </c>
      <c r="BM1460" s="15">
        <v>330700.0</v>
      </c>
      <c r="BN1460" s="15">
        <v>300310.0</v>
      </c>
      <c r="BO1460" s="15">
        <v>267670.0</v>
      </c>
      <c r="BP1460" s="15">
        <v>263720.0</v>
      </c>
      <c r="BQ1460" s="15">
        <v>286720.0</v>
      </c>
      <c r="BR1460" s="15">
        <v>294420.0</v>
      </c>
      <c r="BS1460" s="15">
        <v>234520.0</v>
      </c>
      <c r="BT1460" s="15">
        <v>196310.0</v>
      </c>
      <c r="BU1460" s="15">
        <v>163200.0</v>
      </c>
      <c r="BV1460" s="15">
        <v>145160.0</v>
      </c>
      <c r="BW1460" s="15">
        <v>1020000.0</v>
      </c>
      <c r="BX1460" s="15">
        <v>887170.0</v>
      </c>
      <c r="BY1460" s="15">
        <v>612550.0</v>
      </c>
      <c r="BZ1460" s="15">
        <v>614860.0</v>
      </c>
      <c r="CA1460" s="15">
        <v>521560.0</v>
      </c>
      <c r="CB1460" s="15">
        <v>2900000.0</v>
      </c>
      <c r="CC1460" s="15">
        <v>2130000.0</v>
      </c>
      <c r="CD1460" s="15">
        <v>1960000.0</v>
      </c>
      <c r="CE1460" s="15">
        <v>1650000.0</v>
      </c>
      <c r="CF1460" s="15">
        <v>1390000.0</v>
      </c>
      <c r="CG1460" s="15">
        <v>121200.0</v>
      </c>
      <c r="CH1460" s="15">
        <v>121720.0</v>
      </c>
      <c r="CI1460" s="15">
        <v>121090.0</v>
      </c>
      <c r="CJ1460" s="15">
        <v>119880.0</v>
      </c>
      <c r="CK1460" s="15">
        <v>117040.0</v>
      </c>
      <c r="CL1460" s="15">
        <v>4880000.0</v>
      </c>
      <c r="CM1460" s="15">
        <v>3920000.0</v>
      </c>
      <c r="CN1460" s="15">
        <v>3410000.0</v>
      </c>
      <c r="CO1460" s="15">
        <v>2950000.0</v>
      </c>
      <c r="CP1460" s="15">
        <v>2400000.0</v>
      </c>
      <c r="CQ1460" s="15">
        <v>183600.0</v>
      </c>
      <c r="CR1460" s="15">
        <v>157280.0</v>
      </c>
      <c r="CS1460" s="15">
        <v>157480.0</v>
      </c>
      <c r="CT1460" s="15">
        <v>100270.0</v>
      </c>
      <c r="CU1460" s="15">
        <v>95650.0</v>
      </c>
      <c r="CV1460" s="15">
        <v>604580.0</v>
      </c>
      <c r="CW1460" s="15">
        <v>42150.0</v>
      </c>
      <c r="CX1460" s="16">
        <v>0.0</v>
      </c>
      <c r="CY1460" s="15">
        <v>0.0</v>
      </c>
      <c r="CZ1460" s="16">
        <v>0.0</v>
      </c>
      <c r="DA1460" s="15">
        <v>0.0</v>
      </c>
      <c r="DB1460" s="15">
        <v>604580.0</v>
      </c>
      <c r="DC1460" s="15">
        <v>485480.0</v>
      </c>
      <c r="DD1460" s="15">
        <v>466460.0</v>
      </c>
      <c r="DE1460" s="15">
        <v>325520.0</v>
      </c>
      <c r="DF1460" s="15">
        <v>2830000.0</v>
      </c>
      <c r="DG1460" s="15">
        <v>2000000.0</v>
      </c>
      <c r="DH1460" s="15">
        <v>1570000.0</v>
      </c>
      <c r="DI1460" s="15">
        <v>1220000.0</v>
      </c>
      <c r="DJ1460" s="15">
        <v>1260000.0</v>
      </c>
      <c r="DK1460" s="15">
        <v>160200.0</v>
      </c>
      <c r="DL1460" s="15">
        <v>160710.0</v>
      </c>
      <c r="DM1460" s="15">
        <v>163840.0</v>
      </c>
      <c r="DN1460" s="15">
        <v>141890.0</v>
      </c>
      <c r="DO1460" s="15">
        <v>0.0</v>
      </c>
      <c r="DP1460" s="15">
        <v>2110000.0</v>
      </c>
      <c r="DQ1460" s="15">
        <v>1390000.0</v>
      </c>
      <c r="DR1460" s="15">
        <v>978410.0</v>
      </c>
      <c r="DS1460" s="15">
        <v>848480.0</v>
      </c>
      <c r="DT1460" s="15">
        <v>945530.0</v>
      </c>
      <c r="DU1460" s="16">
        <v>0.0</v>
      </c>
      <c r="DV1460" s="15">
        <v>0.0</v>
      </c>
      <c r="DW1460" s="15">
        <v>0.0</v>
      </c>
      <c r="DX1460" s="16">
        <v>0.0</v>
      </c>
      <c r="DY1460" s="16">
        <v>0.0</v>
      </c>
      <c r="DZ1460" s="15">
        <v>2030000.0</v>
      </c>
      <c r="EA1460" s="15">
        <v>1910000.0</v>
      </c>
      <c r="EB1460" s="15">
        <v>1840000.0</v>
      </c>
      <c r="EC1460" s="15">
        <v>1730000.0</v>
      </c>
      <c r="ED1460" s="15">
        <v>1130000.0</v>
      </c>
      <c r="EE1460" s="17">
        <v>0.073</v>
      </c>
      <c r="EF1460" s="17">
        <v>0.125</v>
      </c>
      <c r="EG1460" s="17">
        <v>4.0</v>
      </c>
      <c r="EH1460" s="17">
        <v>4.196</v>
      </c>
    </row>
    <row r="1461">
      <c r="A1461" s="9">
        <f t="shared" si="2"/>
        <v>1459</v>
      </c>
      <c r="B1461" s="10" t="s">
        <v>1596</v>
      </c>
      <c r="C1461" s="15">
        <v>2560000.0</v>
      </c>
      <c r="D1461" s="15">
        <v>2360000.0</v>
      </c>
      <c r="E1461" s="15">
        <v>2670000.0</v>
      </c>
      <c r="F1461" s="15">
        <v>3030000.0</v>
      </c>
      <c r="G1461" s="15">
        <v>2600000.0</v>
      </c>
      <c r="H1461" s="15">
        <v>2320000.0</v>
      </c>
      <c r="I1461" s="15">
        <v>2300000.0</v>
      </c>
      <c r="J1461" s="15">
        <v>662720.0</v>
      </c>
      <c r="K1461" s="15">
        <v>876720.0</v>
      </c>
      <c r="L1461" s="15">
        <v>688850.0</v>
      </c>
      <c r="M1461" s="15">
        <v>554940.0</v>
      </c>
      <c r="N1461" s="15">
        <v>520390.0</v>
      </c>
      <c r="O1461" s="15">
        <v>376310.0</v>
      </c>
      <c r="P1461" s="15">
        <v>393810.0</v>
      </c>
      <c r="Q1461" s="15">
        <v>353830.0</v>
      </c>
      <c r="R1461" s="15">
        <v>357200.0</v>
      </c>
      <c r="S1461" s="15">
        <v>339800.0</v>
      </c>
      <c r="T1461" s="15">
        <v>69830.0</v>
      </c>
      <c r="U1461" s="15">
        <v>72890.0</v>
      </c>
      <c r="V1461" s="15">
        <v>67150.0</v>
      </c>
      <c r="W1461" s="15">
        <v>66840.0</v>
      </c>
      <c r="X1461" s="15">
        <v>64190.0</v>
      </c>
      <c r="Y1461" s="15">
        <v>260240.0</v>
      </c>
      <c r="Z1461" s="15">
        <v>-26580.0</v>
      </c>
      <c r="AA1461" s="15">
        <v>-11270.0</v>
      </c>
      <c r="AB1461" s="15">
        <v>-7350.0</v>
      </c>
      <c r="AC1461" s="15">
        <v>93040.0</v>
      </c>
      <c r="AD1461" s="15">
        <v>226300.0</v>
      </c>
      <c r="AE1461" s="15">
        <v>416780.0</v>
      </c>
      <c r="AF1461" s="15">
        <v>279360.0</v>
      </c>
      <c r="AG1461" s="15">
        <v>94220.0</v>
      </c>
      <c r="AH1461" s="15">
        <v>74740.0</v>
      </c>
      <c r="AI1461" s="15">
        <v>450870.0</v>
      </c>
      <c r="AJ1461" s="15">
        <v>644770.0</v>
      </c>
      <c r="AK1461" s="15">
        <v>498160.0</v>
      </c>
      <c r="AL1461" s="15">
        <v>277780.0</v>
      </c>
      <c r="AM1461" s="15">
        <v>356760.0</v>
      </c>
      <c r="AN1461" s="15">
        <v>163940.0</v>
      </c>
      <c r="AO1461" s="15">
        <v>345760.0</v>
      </c>
      <c r="AP1461" s="15">
        <v>-20340.0</v>
      </c>
      <c r="AQ1461" s="15">
        <v>48790.0</v>
      </c>
      <c r="AR1461" s="15">
        <v>-108510.0</v>
      </c>
      <c r="AS1461" s="15">
        <v>296440.0</v>
      </c>
      <c r="AT1461" s="15">
        <v>258510.0</v>
      </c>
      <c r="AU1461" s="15">
        <v>368780.0</v>
      </c>
      <c r="AV1461" s="15">
        <v>295970.0</v>
      </c>
      <c r="AW1461" s="15">
        <v>241640.0</v>
      </c>
      <c r="AX1461" s="15">
        <v>-156640.0</v>
      </c>
      <c r="AY1461" s="15">
        <v>-229900.0</v>
      </c>
      <c r="AZ1461" s="15">
        <v>-170430.0</v>
      </c>
      <c r="BA1461" s="15">
        <v>-134640.0</v>
      </c>
      <c r="BB1461" s="15">
        <v>-147140.0</v>
      </c>
      <c r="BC1461" s="15">
        <v>-53440.0</v>
      </c>
      <c r="BD1461" s="15">
        <v>-46510.0</v>
      </c>
      <c r="BE1461" s="15">
        <v>-37050.0</v>
      </c>
      <c r="BF1461" s="15">
        <v>-36730.0</v>
      </c>
      <c r="BG1461" s="15">
        <v>-35420.0</v>
      </c>
      <c r="BH1461" s="15">
        <v>802960.0</v>
      </c>
      <c r="BI1461" s="15">
        <v>764320.0</v>
      </c>
      <c r="BJ1461" s="15">
        <v>1300000.0</v>
      </c>
      <c r="BK1461" s="15">
        <v>1100000.0</v>
      </c>
      <c r="BL1461" s="15">
        <v>1090000.0</v>
      </c>
      <c r="BM1461" s="15">
        <v>328190.0</v>
      </c>
      <c r="BN1461" s="15">
        <v>397020.0</v>
      </c>
      <c r="BO1461" s="15">
        <v>340030.0</v>
      </c>
      <c r="BP1461" s="15">
        <v>274030.0</v>
      </c>
      <c r="BQ1461" s="15">
        <v>272560.0</v>
      </c>
      <c r="BR1461" s="15">
        <v>431680.0</v>
      </c>
      <c r="BS1461" s="15">
        <v>479660.0</v>
      </c>
      <c r="BT1461" s="15">
        <v>429660.0</v>
      </c>
      <c r="BU1461" s="15">
        <v>381250.0</v>
      </c>
      <c r="BV1461" s="15">
        <v>420570.0</v>
      </c>
      <c r="BW1461" s="15">
        <v>1700000.0</v>
      </c>
      <c r="BX1461" s="15">
        <v>1780000.0</v>
      </c>
      <c r="BY1461" s="15">
        <v>2200000.0</v>
      </c>
      <c r="BZ1461" s="15">
        <v>1860000.0</v>
      </c>
      <c r="CA1461" s="15">
        <v>1890000.0</v>
      </c>
      <c r="CB1461" s="15">
        <v>1040000.0</v>
      </c>
      <c r="CC1461" s="15">
        <v>969000.0</v>
      </c>
      <c r="CD1461" s="15">
        <v>905760.0</v>
      </c>
      <c r="CE1461" s="15">
        <v>848870.0</v>
      </c>
      <c r="CF1461" s="15">
        <v>865300.0</v>
      </c>
      <c r="CG1461" s="15">
        <v>150640.0</v>
      </c>
      <c r="CH1461" s="15">
        <v>147480.0</v>
      </c>
      <c r="CI1461" s="15">
        <v>142740.0</v>
      </c>
      <c r="CJ1461" s="15">
        <v>141410.0</v>
      </c>
      <c r="CK1461" s="15">
        <v>138240.0</v>
      </c>
      <c r="CL1461" s="15">
        <v>3120000.0</v>
      </c>
      <c r="CM1461" s="15">
        <v>3110000.0</v>
      </c>
      <c r="CN1461" s="15">
        <v>3460000.0</v>
      </c>
      <c r="CO1461" s="15">
        <v>3080000.0</v>
      </c>
      <c r="CP1461" s="15">
        <v>3150000.0</v>
      </c>
      <c r="CQ1461" s="15">
        <v>173920.0</v>
      </c>
      <c r="CR1461" s="15">
        <v>218320.0</v>
      </c>
      <c r="CS1461" s="15">
        <v>222370.0</v>
      </c>
      <c r="CT1461" s="15">
        <v>174110.0</v>
      </c>
      <c r="CU1461" s="15">
        <v>157210.0</v>
      </c>
      <c r="CV1461" s="15">
        <v>520430.0</v>
      </c>
      <c r="CW1461" s="15">
        <v>20220.0</v>
      </c>
      <c r="CX1461" s="15">
        <v>0.0</v>
      </c>
      <c r="CY1461" s="16">
        <v>0.0</v>
      </c>
      <c r="CZ1461" s="16">
        <v>0.0</v>
      </c>
      <c r="DA1461" s="15">
        <v>0.0</v>
      </c>
      <c r="DB1461" s="15">
        <v>520430.0</v>
      </c>
      <c r="DC1461" s="15">
        <v>644110.0</v>
      </c>
      <c r="DD1461" s="15">
        <v>562540.0</v>
      </c>
      <c r="DE1461" s="15">
        <v>456850.0</v>
      </c>
      <c r="DF1461" s="15">
        <v>1630000.0</v>
      </c>
      <c r="DG1461" s="15">
        <v>1720000.0</v>
      </c>
      <c r="DH1461" s="15">
        <v>1780000.0</v>
      </c>
      <c r="DI1461" s="15">
        <v>1420000.0</v>
      </c>
      <c r="DJ1461" s="15">
        <v>1520000.0</v>
      </c>
      <c r="DK1461" s="15">
        <v>10260.0</v>
      </c>
      <c r="DL1461" s="15">
        <v>11050.0</v>
      </c>
      <c r="DM1461" s="15">
        <v>9440.0</v>
      </c>
      <c r="DN1461" s="15">
        <v>10210.0</v>
      </c>
      <c r="DO1461" s="15">
        <v>11630.0</v>
      </c>
      <c r="DP1461" s="15">
        <v>577830.0</v>
      </c>
      <c r="DQ1461" s="15">
        <v>494510.0</v>
      </c>
      <c r="DR1461" s="15">
        <v>370470.0</v>
      </c>
      <c r="DS1461" s="15">
        <v>357020.0</v>
      </c>
      <c r="DT1461" s="15">
        <v>436740.0</v>
      </c>
      <c r="DU1461" s="16">
        <v>0.0</v>
      </c>
      <c r="DV1461" s="15">
        <v>2020.0</v>
      </c>
      <c r="DW1461" s="15">
        <v>252070.0</v>
      </c>
      <c r="DX1461" s="15">
        <v>88660.0</v>
      </c>
      <c r="DY1461" s="15">
        <v>0.0</v>
      </c>
      <c r="DZ1461" s="15">
        <v>1490000.0</v>
      </c>
      <c r="EA1461" s="15">
        <v>1380000.0</v>
      </c>
      <c r="EB1461" s="15">
        <v>1680000.0</v>
      </c>
      <c r="EC1461" s="15">
        <v>1650000.0</v>
      </c>
      <c r="ED1461" s="15">
        <v>1620000.0</v>
      </c>
      <c r="EE1461" s="17">
        <v>0.025</v>
      </c>
      <c r="EF1461" s="17">
        <v>0.07</v>
      </c>
      <c r="EG1461" s="17">
        <v>0.5</v>
      </c>
      <c r="EH1461" s="17">
        <v>0.095</v>
      </c>
    </row>
    <row r="1462">
      <c r="A1462" s="9">
        <f t="shared" si="2"/>
        <v>1460</v>
      </c>
      <c r="B1462" s="10" t="s">
        <v>1597</v>
      </c>
      <c r="C1462" s="12"/>
      <c r="D1462" s="12"/>
      <c r="E1462" s="15">
        <v>4.4345E8</v>
      </c>
      <c r="F1462" s="15">
        <v>5.3172E8</v>
      </c>
      <c r="G1462" s="15">
        <v>3.4889E8</v>
      </c>
      <c r="H1462" s="15">
        <v>2.5269E8</v>
      </c>
      <c r="I1462" s="15">
        <v>6.1997E8</v>
      </c>
      <c r="J1462" s="15">
        <v>6.41E7</v>
      </c>
      <c r="K1462" s="15">
        <v>5.661E7</v>
      </c>
      <c r="L1462" s="15">
        <v>4.44E7</v>
      </c>
      <c r="M1462" s="15">
        <v>5.068E7</v>
      </c>
      <c r="N1462" s="15">
        <v>1.3135E8</v>
      </c>
      <c r="O1462" s="15">
        <v>2.649E7</v>
      </c>
      <c r="P1462" s="15">
        <v>1.592E7</v>
      </c>
      <c r="Q1462" s="15">
        <v>-4560000.0</v>
      </c>
      <c r="R1462" s="15">
        <v>2.3E7</v>
      </c>
      <c r="S1462" s="15">
        <v>2.331E7</v>
      </c>
      <c r="T1462" s="12"/>
      <c r="U1462" s="12"/>
      <c r="V1462" s="12"/>
      <c r="W1462" s="12"/>
      <c r="X1462" s="12"/>
      <c r="Y1462" s="12"/>
      <c r="Z1462" s="12"/>
      <c r="AA1462" s="15">
        <v>3.414E7</v>
      </c>
      <c r="AB1462" s="15">
        <v>691750.0</v>
      </c>
      <c r="AC1462" s="15">
        <v>7.208E7</v>
      </c>
      <c r="AD1462" s="15">
        <v>3.029E7</v>
      </c>
      <c r="AE1462" s="15">
        <v>3.011E7</v>
      </c>
      <c r="AF1462" s="15">
        <v>3.344E7</v>
      </c>
      <c r="AG1462" s="15">
        <v>3.051E7</v>
      </c>
      <c r="AH1462" s="15">
        <v>5.784E7</v>
      </c>
      <c r="AI1462" s="15">
        <v>5.971E7</v>
      </c>
      <c r="AJ1462" s="15">
        <v>5.604E7</v>
      </c>
      <c r="AK1462" s="15">
        <v>4.009E7</v>
      </c>
      <c r="AL1462" s="15">
        <v>2.731E7</v>
      </c>
      <c r="AM1462" s="15">
        <v>8.0E7</v>
      </c>
      <c r="AN1462" s="15">
        <v>2.371E7</v>
      </c>
      <c r="AO1462" s="15">
        <v>2.31E7</v>
      </c>
      <c r="AP1462" s="15">
        <v>3.101E7</v>
      </c>
      <c r="AQ1462" s="15">
        <v>2.723E7</v>
      </c>
      <c r="AR1462" s="15">
        <v>3.001E7</v>
      </c>
      <c r="AS1462" s="15">
        <v>1270000.0</v>
      </c>
      <c r="AT1462" s="15">
        <v>7870000.0</v>
      </c>
      <c r="AU1462" s="15">
        <v>-9.822E7</v>
      </c>
      <c r="AV1462" s="15">
        <v>-2.077E7</v>
      </c>
      <c r="AW1462" s="15">
        <v>1.89E8</v>
      </c>
      <c r="AX1462" s="15">
        <v>-4.323E7</v>
      </c>
      <c r="AY1462" s="15">
        <v>-3.613E7</v>
      </c>
      <c r="AZ1462" s="15">
        <v>-3540000.0</v>
      </c>
      <c r="BA1462" s="15">
        <v>-6260000.0</v>
      </c>
      <c r="BB1462" s="15">
        <v>-1.226E7</v>
      </c>
      <c r="BC1462" s="15">
        <v>-2.034E7</v>
      </c>
      <c r="BD1462" s="15">
        <v>-3.304E7</v>
      </c>
      <c r="BE1462" s="15">
        <v>-1.923E7</v>
      </c>
      <c r="BF1462" s="15">
        <v>-1.926E7</v>
      </c>
      <c r="BG1462" s="15">
        <v>-1.26E7</v>
      </c>
      <c r="BH1462" s="15">
        <v>3.083E7</v>
      </c>
      <c r="BI1462" s="15">
        <v>5.76E7</v>
      </c>
      <c r="BJ1462" s="15">
        <v>8.27E7</v>
      </c>
      <c r="BK1462" s="15">
        <v>8.871E7</v>
      </c>
      <c r="BL1462" s="15">
        <v>1.2528E8</v>
      </c>
      <c r="BM1462" s="15">
        <v>2.2264E8</v>
      </c>
      <c r="BN1462" s="15">
        <v>1.8703E8</v>
      </c>
      <c r="BO1462" s="15">
        <v>9.926E7</v>
      </c>
      <c r="BP1462" s="15">
        <v>3.781E7</v>
      </c>
      <c r="BQ1462" s="15">
        <v>5.202E7</v>
      </c>
      <c r="BR1462" s="15">
        <v>1.062E7</v>
      </c>
      <c r="BS1462" s="15">
        <v>6.068E7</v>
      </c>
      <c r="BT1462" s="15">
        <v>1.429E7</v>
      </c>
      <c r="BU1462" s="15">
        <v>2.268E7</v>
      </c>
      <c r="BV1462" s="15">
        <v>2.04E7</v>
      </c>
      <c r="BW1462" s="15">
        <v>2.8205E8</v>
      </c>
      <c r="BX1462" s="15">
        <v>3.2654E8</v>
      </c>
      <c r="BY1462" s="15">
        <v>2.5893E8</v>
      </c>
      <c r="BZ1462" s="15">
        <v>2.2808E8</v>
      </c>
      <c r="CA1462" s="15">
        <v>2.7896E8</v>
      </c>
      <c r="CB1462" s="15">
        <v>2.06E8</v>
      </c>
      <c r="CC1462" s="15">
        <v>2.7397E8</v>
      </c>
      <c r="CD1462" s="15">
        <v>2.1036E8</v>
      </c>
      <c r="CE1462" s="15">
        <v>8.912E7</v>
      </c>
      <c r="CF1462" s="15">
        <v>4.615E7</v>
      </c>
      <c r="CG1462" s="15">
        <v>2440000.0</v>
      </c>
      <c r="CH1462" s="15">
        <v>2830000.0</v>
      </c>
      <c r="CI1462" s="15">
        <v>3220000.0</v>
      </c>
      <c r="CJ1462" s="15">
        <v>9880000.0</v>
      </c>
      <c r="CK1462" s="15">
        <v>9410000.0</v>
      </c>
      <c r="CL1462" s="15">
        <v>6.7669E8</v>
      </c>
      <c r="CM1462" s="15">
        <v>7.0241E8</v>
      </c>
      <c r="CN1462" s="15">
        <v>5.752E8</v>
      </c>
      <c r="CO1462" s="15">
        <v>4.0066E8</v>
      </c>
      <c r="CP1462" s="15">
        <v>4.1182E8</v>
      </c>
      <c r="CQ1462" s="15">
        <v>1.4002E8</v>
      </c>
      <c r="CR1462" s="15">
        <v>1.4998E8</v>
      </c>
      <c r="CS1462" s="15">
        <v>5.913E7</v>
      </c>
      <c r="CT1462" s="15">
        <v>4.779E7</v>
      </c>
      <c r="CU1462" s="15">
        <v>3.118E7</v>
      </c>
      <c r="CV1462" s="15">
        <v>2.2571E8</v>
      </c>
      <c r="CW1462" s="15">
        <v>1.069E7</v>
      </c>
      <c r="CX1462" s="15">
        <v>1.031E7</v>
      </c>
      <c r="CY1462" s="15">
        <v>2.782E7</v>
      </c>
      <c r="CZ1462" s="15">
        <v>1.782E7</v>
      </c>
      <c r="DA1462" s="15">
        <v>1.361E7</v>
      </c>
      <c r="DB1462" s="15">
        <v>2.2571E8</v>
      </c>
      <c r="DC1462" s="15">
        <v>2.8817E8</v>
      </c>
      <c r="DD1462" s="15">
        <v>2.0574E8</v>
      </c>
      <c r="DE1462" s="15">
        <v>1.4939E8</v>
      </c>
      <c r="DF1462" s="15">
        <v>4.6782E8</v>
      </c>
      <c r="DG1462" s="15">
        <v>4.9408E8</v>
      </c>
      <c r="DH1462" s="15">
        <v>3.5123E8</v>
      </c>
      <c r="DI1462" s="15">
        <v>1.9358E8</v>
      </c>
      <c r="DJ1462" s="15">
        <v>2.198E8</v>
      </c>
      <c r="DK1462" s="15">
        <v>1.6376E8</v>
      </c>
      <c r="DL1462" s="15">
        <v>7.6E7</v>
      </c>
      <c r="DM1462" s="15">
        <v>7.959E7</v>
      </c>
      <c r="DN1462" s="15">
        <v>7.12E7</v>
      </c>
      <c r="DO1462" s="15">
        <v>7.481E7</v>
      </c>
      <c r="DP1462" s="15">
        <v>2.102E8</v>
      </c>
      <c r="DQ1462" s="15">
        <v>1.7616E8</v>
      </c>
      <c r="DR1462" s="15">
        <v>1.2246E8</v>
      </c>
      <c r="DS1462" s="15">
        <v>7090000.0</v>
      </c>
      <c r="DT1462" s="12"/>
      <c r="DU1462" s="13"/>
      <c r="DV1462" s="12"/>
      <c r="DW1462" s="12"/>
      <c r="DX1462" s="12"/>
      <c r="DY1462" s="12"/>
      <c r="DZ1462" s="15">
        <v>2.0262E8</v>
      </c>
      <c r="EA1462" s="15">
        <v>2.0137E8</v>
      </c>
      <c r="EB1462" s="15">
        <v>2.1609E8</v>
      </c>
      <c r="EC1462" s="15">
        <v>2.0047E8</v>
      </c>
      <c r="ED1462" s="15">
        <v>1.9149E8</v>
      </c>
      <c r="EE1462" s="23"/>
      <c r="EF1462" s="23"/>
      <c r="EG1462" s="23"/>
      <c r="EH1462" s="23"/>
    </row>
    <row r="1463">
      <c r="A1463" s="9">
        <f t="shared" si="2"/>
        <v>1461</v>
      </c>
      <c r="B1463" s="22" t="s">
        <v>1598</v>
      </c>
      <c r="C1463" s="11">
        <v>17380.0</v>
      </c>
      <c r="D1463" s="11">
        <v>37760.0</v>
      </c>
      <c r="E1463" s="11">
        <v>17460.0</v>
      </c>
      <c r="F1463" s="11">
        <v>26720.0</v>
      </c>
      <c r="G1463" s="12"/>
      <c r="H1463" s="12"/>
      <c r="I1463" s="12"/>
      <c r="J1463" s="11">
        <v>14220.0</v>
      </c>
      <c r="K1463" s="11">
        <v>25130.0</v>
      </c>
      <c r="L1463" s="11">
        <v>-556.0</v>
      </c>
      <c r="M1463" s="11">
        <v>-670.0</v>
      </c>
      <c r="N1463" s="11">
        <v>-754.0</v>
      </c>
      <c r="O1463" s="11">
        <v>146560.0</v>
      </c>
      <c r="P1463" s="11">
        <v>119920.0</v>
      </c>
      <c r="Q1463" s="11">
        <v>67250.0</v>
      </c>
      <c r="R1463" s="11">
        <v>36330.0</v>
      </c>
      <c r="S1463" s="11">
        <v>57450.0</v>
      </c>
      <c r="T1463" s="11">
        <v>45780.0</v>
      </c>
      <c r="U1463" s="11">
        <v>43650.0</v>
      </c>
      <c r="V1463" s="11">
        <v>46420.0</v>
      </c>
      <c r="W1463" s="11">
        <v>19780.0</v>
      </c>
      <c r="X1463" s="11">
        <v>40570.0</v>
      </c>
      <c r="Y1463" s="12"/>
      <c r="Z1463" s="12"/>
      <c r="AA1463" s="12"/>
      <c r="AB1463" s="12"/>
      <c r="AC1463" s="12"/>
      <c r="AD1463" s="11">
        <v>-149210.0</v>
      </c>
      <c r="AE1463" s="11">
        <v>-72430.0</v>
      </c>
      <c r="AF1463" s="11">
        <v>-67800.0</v>
      </c>
      <c r="AG1463" s="11">
        <v>-36440.0</v>
      </c>
      <c r="AH1463" s="11">
        <v>-57870.0</v>
      </c>
      <c r="AI1463" s="11">
        <v>-130340.0</v>
      </c>
      <c r="AJ1463" s="11">
        <v>-93360.0</v>
      </c>
      <c r="AK1463" s="11">
        <v>-67250.0</v>
      </c>
      <c r="AL1463" s="11">
        <v>-36330.0</v>
      </c>
      <c r="AM1463" s="11">
        <v>-57450.0</v>
      </c>
      <c r="AN1463" s="11">
        <v>-149210.0</v>
      </c>
      <c r="AO1463" s="11">
        <v>-72430.0</v>
      </c>
      <c r="AP1463" s="11">
        <v>-67800.0</v>
      </c>
      <c r="AQ1463" s="11">
        <v>-36440.0</v>
      </c>
      <c r="AR1463" s="11">
        <v>-57870.0</v>
      </c>
      <c r="AS1463" s="11">
        <v>-138960.0</v>
      </c>
      <c r="AT1463" s="11">
        <v>-74520.0</v>
      </c>
      <c r="AU1463" s="11">
        <v>-57310.0</v>
      </c>
      <c r="AV1463" s="11">
        <v>-29480.0</v>
      </c>
      <c r="AW1463" s="11">
        <v>-45560.0</v>
      </c>
      <c r="AX1463" s="11">
        <v>-7.0</v>
      </c>
      <c r="AY1463" s="11">
        <v>-23510.0</v>
      </c>
      <c r="AZ1463" s="12"/>
      <c r="BA1463" s="11">
        <v>-39.0</v>
      </c>
      <c r="BB1463" s="11">
        <v>-211.0</v>
      </c>
      <c r="BC1463" s="12"/>
      <c r="BD1463" s="12"/>
      <c r="BE1463" s="12"/>
      <c r="BF1463" s="12"/>
      <c r="BG1463" s="12"/>
      <c r="BH1463" s="11">
        <v>75510.0</v>
      </c>
      <c r="BI1463" s="11">
        <v>250390.0</v>
      </c>
      <c r="BJ1463" s="11">
        <v>86830.0</v>
      </c>
      <c r="BK1463" s="11">
        <v>80900.0</v>
      </c>
      <c r="BL1463" s="11">
        <v>110260.0</v>
      </c>
      <c r="BM1463" s="11">
        <v>2520.0</v>
      </c>
      <c r="BN1463" s="11">
        <v>306.0</v>
      </c>
      <c r="BO1463" s="12"/>
      <c r="BP1463" s="11">
        <v>204.0</v>
      </c>
      <c r="BQ1463" s="11">
        <v>154.0</v>
      </c>
      <c r="BR1463" s="11">
        <v>3100.0</v>
      </c>
      <c r="BS1463" s="11">
        <v>327.0</v>
      </c>
      <c r="BT1463" s="12"/>
      <c r="BU1463" s="12"/>
      <c r="BV1463" s="12"/>
      <c r="BW1463" s="11">
        <v>84960.0</v>
      </c>
      <c r="BX1463" s="11">
        <v>253260.0</v>
      </c>
      <c r="BY1463" s="11">
        <v>87790.0</v>
      </c>
      <c r="BZ1463" s="11">
        <v>81300.0</v>
      </c>
      <c r="CA1463" s="11">
        <v>110840.0</v>
      </c>
      <c r="CB1463" s="11">
        <v>4020.0</v>
      </c>
      <c r="CC1463" s="11">
        <v>1370.0</v>
      </c>
      <c r="CD1463" s="11">
        <v>861.0</v>
      </c>
      <c r="CE1463" s="11">
        <v>1420.0</v>
      </c>
      <c r="CF1463" s="11">
        <v>2050.0</v>
      </c>
      <c r="CG1463" s="12"/>
      <c r="CH1463" s="12"/>
      <c r="CI1463" s="12"/>
      <c r="CJ1463" s="12"/>
      <c r="CK1463" s="12"/>
      <c r="CL1463" s="11">
        <v>145050.0</v>
      </c>
      <c r="CM1463" s="11">
        <v>277240.0</v>
      </c>
      <c r="CN1463" s="11">
        <v>89790.0</v>
      </c>
      <c r="CO1463" s="11">
        <v>83630.0</v>
      </c>
      <c r="CP1463" s="11">
        <v>113090.0</v>
      </c>
      <c r="CQ1463" s="11">
        <v>9660.0</v>
      </c>
      <c r="CR1463" s="11">
        <v>10250.0</v>
      </c>
      <c r="CS1463" s="11">
        <v>9190.0</v>
      </c>
      <c r="CT1463" s="12"/>
      <c r="CU1463" s="11">
        <v>3940.0</v>
      </c>
      <c r="CV1463" s="11">
        <v>29890.0</v>
      </c>
      <c r="CW1463" s="11">
        <v>420.0</v>
      </c>
      <c r="CX1463" s="12"/>
      <c r="CY1463" s="12"/>
      <c r="CZ1463" s="12"/>
      <c r="DA1463" s="12"/>
      <c r="DB1463" s="11">
        <v>29890.0</v>
      </c>
      <c r="DC1463" s="11">
        <v>37080.0</v>
      </c>
      <c r="DD1463" s="11">
        <v>17130.0</v>
      </c>
      <c r="DE1463" s="11">
        <v>10990.0</v>
      </c>
      <c r="DF1463" s="11">
        <v>137870.0</v>
      </c>
      <c r="DG1463" s="11">
        <v>152940.0</v>
      </c>
      <c r="DH1463" s="11">
        <v>32110.0</v>
      </c>
      <c r="DI1463" s="11">
        <v>11330.0</v>
      </c>
      <c r="DJ1463" s="11">
        <v>10630.0</v>
      </c>
      <c r="DK1463" s="11">
        <v>35040.0</v>
      </c>
      <c r="DL1463" s="12"/>
      <c r="DM1463" s="12"/>
      <c r="DN1463" s="12"/>
      <c r="DO1463" s="12"/>
      <c r="DP1463" s="11">
        <v>107110.0</v>
      </c>
      <c r="DQ1463" s="11">
        <v>114740.0</v>
      </c>
      <c r="DR1463" s="11">
        <v>14830.0</v>
      </c>
      <c r="DS1463" s="12"/>
      <c r="DT1463" s="12"/>
      <c r="DU1463" s="13"/>
      <c r="DV1463" s="12"/>
      <c r="DW1463" s="12"/>
      <c r="DX1463" s="13"/>
      <c r="DY1463" s="13"/>
      <c r="DZ1463" s="11">
        <v>7170.0</v>
      </c>
      <c r="EA1463" s="11">
        <v>124300.0</v>
      </c>
      <c r="EB1463" s="11">
        <v>57680.0</v>
      </c>
      <c r="EC1463" s="11">
        <v>72300.0</v>
      </c>
      <c r="ED1463" s="11">
        <v>102470.0</v>
      </c>
      <c r="EE1463" s="14">
        <v>1.725</v>
      </c>
      <c r="EF1463" s="23"/>
      <c r="EG1463" s="14">
        <v>0.067</v>
      </c>
      <c r="EH1463" s="14">
        <v>-0.137</v>
      </c>
    </row>
    <row r="1464">
      <c r="A1464" s="9">
        <f t="shared" si="2"/>
        <v>1462</v>
      </c>
      <c r="B1464" s="25" t="s">
        <v>1599</v>
      </c>
      <c r="C1464" s="15">
        <v>1880000.0</v>
      </c>
      <c r="D1464" s="15">
        <v>1900000.0</v>
      </c>
      <c r="E1464" s="15">
        <v>1760000.0</v>
      </c>
      <c r="F1464" s="15">
        <v>2060000.0</v>
      </c>
      <c r="G1464" s="15">
        <v>2310000.0</v>
      </c>
      <c r="H1464" s="15">
        <v>2550000.0</v>
      </c>
      <c r="I1464" s="15">
        <v>2270000.0</v>
      </c>
      <c r="J1464" s="15">
        <v>358770.0</v>
      </c>
      <c r="K1464" s="15">
        <v>415690.0</v>
      </c>
      <c r="L1464" s="15">
        <v>520960.0</v>
      </c>
      <c r="M1464" s="15">
        <v>669190.0</v>
      </c>
      <c r="N1464" s="15">
        <v>619650.0</v>
      </c>
      <c r="O1464" s="15">
        <v>325550.0</v>
      </c>
      <c r="P1464" s="15">
        <v>404790.0</v>
      </c>
      <c r="Q1464" s="15">
        <v>453090.0</v>
      </c>
      <c r="R1464" s="15">
        <v>457040.0</v>
      </c>
      <c r="S1464" s="15">
        <v>356690.0</v>
      </c>
      <c r="T1464" s="15">
        <v>23000.0</v>
      </c>
      <c r="U1464" s="15">
        <v>27740.0</v>
      </c>
      <c r="V1464" s="15">
        <v>29660.0</v>
      </c>
      <c r="W1464" s="15">
        <v>32770.0</v>
      </c>
      <c r="X1464" s="15">
        <v>12510.0</v>
      </c>
      <c r="Y1464" s="15">
        <v>-122370.0</v>
      </c>
      <c r="Z1464" s="15">
        <v>-525730.0</v>
      </c>
      <c r="AA1464" s="15">
        <v>-84580.0</v>
      </c>
      <c r="AB1464" s="15">
        <v>-207020.0</v>
      </c>
      <c r="AC1464" s="12"/>
      <c r="AD1464" s="15">
        <v>-171030.0</v>
      </c>
      <c r="AE1464" s="15">
        <v>-674270.0</v>
      </c>
      <c r="AF1464" s="15">
        <v>-133790.0</v>
      </c>
      <c r="AG1464" s="15">
        <v>-250690.0</v>
      </c>
      <c r="AH1464" s="15">
        <v>238410.0</v>
      </c>
      <c r="AI1464" s="15">
        <v>101070.0</v>
      </c>
      <c r="AJ1464" s="15">
        <v>88400.0</v>
      </c>
      <c r="AK1464" s="15">
        <v>157630.0</v>
      </c>
      <c r="AL1464" s="15">
        <v>305930.0</v>
      </c>
      <c r="AM1464" s="15">
        <v>335580.0</v>
      </c>
      <c r="AN1464" s="15">
        <v>-155080.0</v>
      </c>
      <c r="AO1464" s="15">
        <v>-648440.0</v>
      </c>
      <c r="AP1464" s="15">
        <v>-60230.0</v>
      </c>
      <c r="AQ1464" s="15">
        <v>-274450.0</v>
      </c>
      <c r="AR1464" s="15">
        <v>147040.0</v>
      </c>
      <c r="AS1464" s="15">
        <v>76750.0</v>
      </c>
      <c r="AT1464" s="15">
        <v>97480.0</v>
      </c>
      <c r="AU1464" s="15">
        <v>252360.0</v>
      </c>
      <c r="AV1464" s="15">
        <v>154690.0</v>
      </c>
      <c r="AW1464" s="15">
        <v>198000.0</v>
      </c>
      <c r="AX1464" s="15">
        <v>-23770.0</v>
      </c>
      <c r="AY1464" s="15">
        <v>-42240.0</v>
      </c>
      <c r="AZ1464" s="15">
        <v>-66630.0</v>
      </c>
      <c r="BA1464" s="15">
        <v>-90670.0</v>
      </c>
      <c r="BB1464" s="15">
        <v>-41530.0</v>
      </c>
      <c r="BC1464" s="13"/>
      <c r="BD1464" s="13"/>
      <c r="BE1464" s="13"/>
      <c r="BF1464" s="13"/>
      <c r="BG1464" s="13"/>
      <c r="BH1464" s="15">
        <v>31380.0</v>
      </c>
      <c r="BI1464" s="15">
        <v>21940.0</v>
      </c>
      <c r="BJ1464" s="15">
        <v>22870.0</v>
      </c>
      <c r="BK1464" s="15">
        <v>45080.0</v>
      </c>
      <c r="BL1464" s="15">
        <v>151690.0</v>
      </c>
      <c r="BM1464" s="15">
        <v>321140.0</v>
      </c>
      <c r="BN1464" s="15">
        <v>344250.0</v>
      </c>
      <c r="BO1464" s="15">
        <v>425140.0</v>
      </c>
      <c r="BP1464" s="15">
        <v>476370.0</v>
      </c>
      <c r="BQ1464" s="15">
        <v>428400.0</v>
      </c>
      <c r="BR1464" s="15">
        <v>331290.0</v>
      </c>
      <c r="BS1464" s="15">
        <v>344490.0</v>
      </c>
      <c r="BT1464" s="15">
        <v>382280.0</v>
      </c>
      <c r="BU1464" s="15">
        <v>562800.0</v>
      </c>
      <c r="BV1464" s="15">
        <v>440240.0</v>
      </c>
      <c r="BW1464" s="15">
        <v>709010.0</v>
      </c>
      <c r="BX1464" s="15">
        <v>939460.0</v>
      </c>
      <c r="BY1464" s="15">
        <v>1060000.0</v>
      </c>
      <c r="BZ1464" s="15">
        <v>1110000.0</v>
      </c>
      <c r="CA1464" s="15">
        <v>1050000.0</v>
      </c>
      <c r="CB1464" s="15">
        <v>253760.0</v>
      </c>
      <c r="CC1464" s="15">
        <v>215590.0</v>
      </c>
      <c r="CD1464" s="15">
        <v>277210.0</v>
      </c>
      <c r="CE1464" s="15">
        <v>272350.0</v>
      </c>
      <c r="CF1464" s="15">
        <v>203490.0</v>
      </c>
      <c r="CG1464" s="15">
        <v>83170.0</v>
      </c>
      <c r="CH1464" s="15">
        <v>204500.0</v>
      </c>
      <c r="CI1464" s="15">
        <v>657540.0</v>
      </c>
      <c r="CJ1464" s="15">
        <v>857630.0</v>
      </c>
      <c r="CK1464" s="15">
        <v>1020000.0</v>
      </c>
      <c r="CL1464" s="15">
        <v>1390000.0</v>
      </c>
      <c r="CM1464" s="15">
        <v>1740000.0</v>
      </c>
      <c r="CN1464" s="15">
        <v>2610000.0</v>
      </c>
      <c r="CO1464" s="15">
        <v>3060000.0</v>
      </c>
      <c r="CP1464" s="15">
        <v>2940000.0</v>
      </c>
      <c r="CQ1464" s="15">
        <v>90000.0</v>
      </c>
      <c r="CR1464" s="15">
        <v>99280.0</v>
      </c>
      <c r="CS1464" s="15">
        <v>114550.0</v>
      </c>
      <c r="CT1464" s="15">
        <v>127720.0</v>
      </c>
      <c r="CU1464" s="15">
        <v>147740.0</v>
      </c>
      <c r="CV1464" s="15">
        <v>246700.0</v>
      </c>
      <c r="CW1464" s="15">
        <v>10780.0</v>
      </c>
      <c r="CX1464" s="12"/>
      <c r="CY1464" s="12"/>
      <c r="CZ1464" s="12"/>
      <c r="DA1464" s="12"/>
      <c r="DB1464" s="15">
        <v>246700.0</v>
      </c>
      <c r="DC1464" s="15">
        <v>317200.0</v>
      </c>
      <c r="DD1464" s="15">
        <v>345220.0</v>
      </c>
      <c r="DE1464" s="15">
        <v>346390.0</v>
      </c>
      <c r="DF1464" s="15">
        <v>948780.0</v>
      </c>
      <c r="DG1464" s="15">
        <v>1130000.0</v>
      </c>
      <c r="DH1464" s="15">
        <v>1400000.0</v>
      </c>
      <c r="DI1464" s="15">
        <v>1810000.0</v>
      </c>
      <c r="DJ1464" s="15">
        <v>1280000.0</v>
      </c>
      <c r="DK1464" s="12"/>
      <c r="DL1464" s="12"/>
      <c r="DM1464" s="12"/>
      <c r="DN1464" s="12"/>
      <c r="DO1464" s="12"/>
      <c r="DP1464" s="15">
        <v>585540.0</v>
      </c>
      <c r="DQ1464" s="15">
        <v>684670.0</v>
      </c>
      <c r="DR1464" s="15">
        <v>883400.0</v>
      </c>
      <c r="DS1464" s="15">
        <v>1090000.0</v>
      </c>
      <c r="DT1464" s="15">
        <v>652790.0</v>
      </c>
      <c r="DU1464" s="13"/>
      <c r="DV1464" s="12"/>
      <c r="DW1464" s="12"/>
      <c r="DX1464" s="12"/>
      <c r="DY1464" s="13"/>
      <c r="DZ1464" s="15">
        <v>442510.0</v>
      </c>
      <c r="EA1464" s="15">
        <v>609040.0</v>
      </c>
      <c r="EB1464" s="15">
        <v>1220000.0</v>
      </c>
      <c r="EC1464" s="15">
        <v>1250000.0</v>
      </c>
      <c r="ED1464" s="15">
        <v>1660000.0</v>
      </c>
      <c r="EE1464" s="17">
        <v>0.047</v>
      </c>
      <c r="EF1464" s="17">
        <v>0.032</v>
      </c>
      <c r="EG1464" s="23" t="s">
        <v>155</v>
      </c>
      <c r="EH1464" s="23"/>
    </row>
    <row r="1465">
      <c r="A1465" s="9">
        <f t="shared" si="2"/>
        <v>1463</v>
      </c>
      <c r="B1465" s="10" t="s">
        <v>1600</v>
      </c>
      <c r="C1465" s="11">
        <v>3820000.0</v>
      </c>
      <c r="D1465" s="11">
        <v>3820000.0</v>
      </c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3"/>
      <c r="BD1465" s="13"/>
      <c r="BE1465" s="13"/>
      <c r="BF1465" s="13"/>
      <c r="BG1465" s="13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3"/>
      <c r="CY1465" s="13"/>
      <c r="CZ1465" s="13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3"/>
      <c r="DV1465" s="12"/>
      <c r="DW1465" s="12"/>
      <c r="DX1465" s="13"/>
      <c r="DY1465" s="13"/>
      <c r="DZ1465" s="12"/>
      <c r="EA1465" s="12"/>
      <c r="EB1465" s="12"/>
      <c r="EC1465" s="12"/>
      <c r="ED1465" s="12"/>
      <c r="EE1465" s="14">
        <v>0.073</v>
      </c>
      <c r="EF1465" s="14">
        <v>0.134</v>
      </c>
      <c r="EG1465" s="14">
        <v>4.727</v>
      </c>
      <c r="EH1465" s="14">
        <v>1.092</v>
      </c>
    </row>
    <row r="1466">
      <c r="A1466" s="9">
        <f t="shared" si="2"/>
        <v>1464</v>
      </c>
      <c r="B1466" s="22" t="s">
        <v>1601</v>
      </c>
      <c r="C1466" s="11">
        <v>2500.0</v>
      </c>
      <c r="D1466" s="12"/>
      <c r="E1466" s="11">
        <v>2760.0</v>
      </c>
      <c r="F1466" s="11">
        <v>12430.0</v>
      </c>
      <c r="G1466" s="11">
        <v>291.0</v>
      </c>
      <c r="H1466" s="11">
        <v>634.0</v>
      </c>
      <c r="I1466" s="11">
        <v>519.0</v>
      </c>
      <c r="J1466" s="12"/>
      <c r="K1466" s="12"/>
      <c r="L1466" s="12"/>
      <c r="M1466" s="12"/>
      <c r="N1466" s="12"/>
      <c r="O1466" s="11">
        <v>23620.0</v>
      </c>
      <c r="P1466" s="11">
        <v>32040.0</v>
      </c>
      <c r="Q1466" s="11">
        <v>50780.0</v>
      </c>
      <c r="R1466" s="11">
        <v>55390.0</v>
      </c>
      <c r="S1466" s="11">
        <v>38160.0</v>
      </c>
      <c r="T1466" s="11">
        <v>15080.0</v>
      </c>
      <c r="U1466" s="11">
        <v>23040.0</v>
      </c>
      <c r="V1466" s="11">
        <v>39640.0</v>
      </c>
      <c r="W1466" s="11">
        <v>45750.0</v>
      </c>
      <c r="X1466" s="11">
        <v>29580.0</v>
      </c>
      <c r="Y1466" s="11">
        <v>-20070.0</v>
      </c>
      <c r="Z1466" s="11">
        <v>-20460.0</v>
      </c>
      <c r="AA1466" s="12"/>
      <c r="AB1466" s="12"/>
      <c r="AC1466" s="11">
        <v>-38840.0</v>
      </c>
      <c r="AD1466" s="11">
        <v>-21840.0</v>
      </c>
      <c r="AE1466" s="11">
        <v>-23650.0</v>
      </c>
      <c r="AF1466" s="11">
        <v>-53850.0</v>
      </c>
      <c r="AG1466" s="11">
        <v>-55350.0</v>
      </c>
      <c r="AH1466" s="11">
        <v>-41110.0</v>
      </c>
      <c r="AI1466" s="11">
        <v>-20850.0</v>
      </c>
      <c r="AJ1466" s="11">
        <v>-19610.0</v>
      </c>
      <c r="AK1466" s="11">
        <v>-50490.0</v>
      </c>
      <c r="AL1466" s="11">
        <v>-54760.0</v>
      </c>
      <c r="AM1466" s="11">
        <v>-37640.0</v>
      </c>
      <c r="AN1466" s="11">
        <v>-17910.0</v>
      </c>
      <c r="AO1466" s="11">
        <v>-8650.0</v>
      </c>
      <c r="AP1466" s="11">
        <v>-16140.0</v>
      </c>
      <c r="AQ1466" s="11">
        <v>-16350.0</v>
      </c>
      <c r="AR1466" s="11">
        <v>-27500.0</v>
      </c>
      <c r="AS1466" s="11">
        <v>-23020.0</v>
      </c>
      <c r="AT1466" s="11">
        <v>-26860.0</v>
      </c>
      <c r="AU1466" s="11">
        <v>-44560.0</v>
      </c>
      <c r="AV1466" s="11">
        <v>-48210.0</v>
      </c>
      <c r="AW1466" s="11">
        <v>-36950.0</v>
      </c>
      <c r="AX1466" s="11">
        <v>-70.0</v>
      </c>
      <c r="AY1466" s="11">
        <v>-5.0</v>
      </c>
      <c r="AZ1466" s="11">
        <v>-57.0</v>
      </c>
      <c r="BA1466" s="11">
        <v>-87.0</v>
      </c>
      <c r="BB1466" s="11">
        <v>-104.0</v>
      </c>
      <c r="BC1466" s="12"/>
      <c r="BD1466" s="12"/>
      <c r="BE1466" s="12"/>
      <c r="BF1466" s="12"/>
      <c r="BG1466" s="12"/>
      <c r="BH1466" s="11">
        <v>1780.0</v>
      </c>
      <c r="BI1466" s="11">
        <v>1680.0</v>
      </c>
      <c r="BJ1466" s="11">
        <v>11920.0</v>
      </c>
      <c r="BK1466" s="11">
        <v>51510.0</v>
      </c>
      <c r="BL1466" s="11">
        <v>88000.0</v>
      </c>
      <c r="BM1466" s="11">
        <v>5.0</v>
      </c>
      <c r="BN1466" s="12"/>
      <c r="BO1466" s="11">
        <v>8000.0</v>
      </c>
      <c r="BP1466" s="12"/>
      <c r="BQ1466" s="11">
        <v>69.0</v>
      </c>
      <c r="BR1466" s="12"/>
      <c r="BS1466" s="12"/>
      <c r="BT1466" s="12"/>
      <c r="BU1466" s="12"/>
      <c r="BV1466" s="12"/>
      <c r="BW1466" s="11">
        <v>2840.0</v>
      </c>
      <c r="BX1466" s="11">
        <v>3470.0</v>
      </c>
      <c r="BY1466" s="11">
        <v>20360.0</v>
      </c>
      <c r="BZ1466" s="11">
        <v>52120.0</v>
      </c>
      <c r="CA1466" s="11">
        <v>89190.0</v>
      </c>
      <c r="CB1466" s="11">
        <v>1000.0</v>
      </c>
      <c r="CC1466" s="11">
        <v>70.0</v>
      </c>
      <c r="CD1466" s="11">
        <v>283.0</v>
      </c>
      <c r="CE1466" s="11">
        <v>444.0</v>
      </c>
      <c r="CF1466" s="11">
        <v>624.0</v>
      </c>
      <c r="CG1466" s="12"/>
      <c r="CH1466" s="12"/>
      <c r="CI1466" s="12"/>
      <c r="CJ1466" s="12"/>
      <c r="CK1466" s="12"/>
      <c r="CL1466" s="11">
        <v>9270.0</v>
      </c>
      <c r="CM1466" s="11">
        <v>8560.0</v>
      </c>
      <c r="CN1466" s="11">
        <v>27920.0</v>
      </c>
      <c r="CO1466" s="11">
        <v>54500.0</v>
      </c>
      <c r="CP1466" s="11">
        <v>91530.0</v>
      </c>
      <c r="CQ1466" s="11">
        <v>2230.0</v>
      </c>
      <c r="CR1466" s="11">
        <v>7700.0</v>
      </c>
      <c r="CS1466" s="11">
        <v>2270.0</v>
      </c>
      <c r="CT1466" s="11">
        <v>3060.0</v>
      </c>
      <c r="CU1466" s="11">
        <v>4140.0</v>
      </c>
      <c r="CV1466" s="11">
        <v>13380.0</v>
      </c>
      <c r="CW1466" s="11">
        <v>110.0</v>
      </c>
      <c r="CX1466" s="12"/>
      <c r="CY1466" s="12"/>
      <c r="CZ1466" s="12"/>
      <c r="DA1466" s="12"/>
      <c r="DB1466" s="11">
        <v>13380.0</v>
      </c>
      <c r="DC1466" s="11">
        <v>18840.0</v>
      </c>
      <c r="DD1466" s="11">
        <v>26930.0</v>
      </c>
      <c r="DE1466" s="11">
        <v>11430.0</v>
      </c>
      <c r="DF1466" s="11">
        <v>18110.0</v>
      </c>
      <c r="DG1466" s="11">
        <v>28930.0</v>
      </c>
      <c r="DH1466" s="11">
        <v>47520.0</v>
      </c>
      <c r="DI1466" s="11">
        <v>22930.0</v>
      </c>
      <c r="DJ1466" s="11">
        <v>7970.0</v>
      </c>
      <c r="DK1466" s="11">
        <v>4980.0</v>
      </c>
      <c r="DL1466" s="11">
        <v>4980.0</v>
      </c>
      <c r="DM1466" s="11">
        <v>4980.0</v>
      </c>
      <c r="DN1466" s="12"/>
      <c r="DO1466" s="12"/>
      <c r="DP1466" s="11">
        <v>831.0</v>
      </c>
      <c r="DQ1466" s="11">
        <v>6330.0</v>
      </c>
      <c r="DR1466" s="11">
        <v>15320.0</v>
      </c>
      <c r="DS1466" s="11">
        <v>11060.0</v>
      </c>
      <c r="DT1466" s="12"/>
      <c r="DU1466" s="13"/>
      <c r="DV1466" s="12"/>
      <c r="DW1466" s="12"/>
      <c r="DX1466" s="13"/>
      <c r="DY1466" s="13"/>
      <c r="DZ1466" s="11">
        <v>-49020.0</v>
      </c>
      <c r="EA1466" s="11">
        <v>-82850.0</v>
      </c>
      <c r="EB1466" s="11">
        <v>-151050.0</v>
      </c>
      <c r="EC1466" s="11">
        <v>-90950.0</v>
      </c>
      <c r="ED1466" s="11">
        <v>-77970.0</v>
      </c>
      <c r="EE1466" s="23"/>
      <c r="EF1466" s="23"/>
      <c r="EG1466" s="14">
        <v>0.222</v>
      </c>
      <c r="EH1466" s="14">
        <v>-0.101</v>
      </c>
    </row>
    <row r="1467">
      <c r="A1467" s="9">
        <f t="shared" si="2"/>
        <v>1465</v>
      </c>
      <c r="B1467" s="25" t="s">
        <v>1602</v>
      </c>
      <c r="C1467" s="15">
        <v>18240.0</v>
      </c>
      <c r="D1467" s="15">
        <v>11580.0</v>
      </c>
      <c r="E1467" s="15">
        <v>6670.0</v>
      </c>
      <c r="F1467" s="15">
        <v>8090.0</v>
      </c>
      <c r="G1467" s="15">
        <v>5540.0</v>
      </c>
      <c r="H1467" s="15">
        <v>2130.0</v>
      </c>
      <c r="I1467" s="15">
        <v>2750.0</v>
      </c>
      <c r="J1467" s="15">
        <v>-6850.0</v>
      </c>
      <c r="K1467" s="15">
        <v>299.0</v>
      </c>
      <c r="L1467" s="15">
        <v>-1390.0</v>
      </c>
      <c r="M1467" s="15">
        <v>-1850.0</v>
      </c>
      <c r="N1467" s="15">
        <v>185.0</v>
      </c>
      <c r="O1467" s="15">
        <v>19720.0</v>
      </c>
      <c r="P1467" s="15">
        <v>22170.0</v>
      </c>
      <c r="Q1467" s="15">
        <v>16530.0</v>
      </c>
      <c r="R1467" s="15">
        <v>15460.0</v>
      </c>
      <c r="S1467" s="15">
        <v>11510.0</v>
      </c>
      <c r="T1467" s="15">
        <v>8900.0</v>
      </c>
      <c r="U1467" s="15">
        <v>10380.0</v>
      </c>
      <c r="V1467" s="15">
        <v>6710.0</v>
      </c>
      <c r="W1467" s="15">
        <v>6950.0</v>
      </c>
      <c r="X1467" s="15">
        <v>3600.0</v>
      </c>
      <c r="Y1467" s="12"/>
      <c r="Z1467" s="15">
        <v>-21870.0</v>
      </c>
      <c r="AA1467" s="15">
        <v>-19330.0</v>
      </c>
      <c r="AB1467" s="15">
        <v>-18500.0</v>
      </c>
      <c r="AC1467" s="15">
        <v>-12440.0</v>
      </c>
      <c r="AD1467" s="15">
        <v>-26480.0</v>
      </c>
      <c r="AE1467" s="15">
        <v>-21880.0</v>
      </c>
      <c r="AF1467" s="15">
        <v>-19630.0</v>
      </c>
      <c r="AG1467" s="15">
        <v>-19250.0</v>
      </c>
      <c r="AH1467" s="15">
        <v>-13430.0</v>
      </c>
      <c r="AI1467" s="15">
        <v>-23900.0</v>
      </c>
      <c r="AJ1467" s="15">
        <v>-20090.0</v>
      </c>
      <c r="AK1467" s="15">
        <v>-18140.0</v>
      </c>
      <c r="AL1467" s="15">
        <v>-17460.0</v>
      </c>
      <c r="AM1467" s="15">
        <v>-10660.0</v>
      </c>
      <c r="AN1467" s="15">
        <v>-26480.0</v>
      </c>
      <c r="AO1467" s="15">
        <v>-21880.0</v>
      </c>
      <c r="AP1467" s="15">
        <v>-19630.0</v>
      </c>
      <c r="AQ1467" s="15">
        <v>-19250.0</v>
      </c>
      <c r="AR1467" s="15">
        <v>-13430.0</v>
      </c>
      <c r="AS1467" s="15">
        <v>-22360.0</v>
      </c>
      <c r="AT1467" s="15">
        <v>-22540.0</v>
      </c>
      <c r="AU1467" s="15">
        <v>-16470.0</v>
      </c>
      <c r="AV1467" s="15">
        <v>-14400.0</v>
      </c>
      <c r="AW1467" s="15">
        <v>-11670.0</v>
      </c>
      <c r="AX1467" s="15">
        <v>-2910.0</v>
      </c>
      <c r="AY1467" s="15">
        <v>-3150.0</v>
      </c>
      <c r="AZ1467" s="15">
        <v>-2690.0</v>
      </c>
      <c r="BA1467" s="15">
        <v>-2190.0</v>
      </c>
      <c r="BB1467" s="15">
        <v>-2080.0</v>
      </c>
      <c r="BC1467" s="13"/>
      <c r="BD1467" s="13"/>
      <c r="BE1467" s="13"/>
      <c r="BF1467" s="13"/>
      <c r="BG1467" s="13"/>
      <c r="BH1467" s="15">
        <v>10610.0</v>
      </c>
      <c r="BI1467" s="15">
        <v>17260.0</v>
      </c>
      <c r="BJ1467" s="15">
        <v>14890.0</v>
      </c>
      <c r="BK1467" s="15">
        <v>14530.0</v>
      </c>
      <c r="BL1467" s="15">
        <v>11880.0</v>
      </c>
      <c r="BM1467" s="15">
        <v>1620.0</v>
      </c>
      <c r="BN1467" s="15">
        <v>772.0</v>
      </c>
      <c r="BO1467" s="15">
        <v>1470.0</v>
      </c>
      <c r="BP1467" s="15">
        <v>103.0</v>
      </c>
      <c r="BQ1467" s="15">
        <v>326.0</v>
      </c>
      <c r="BR1467" s="15">
        <v>5950.0</v>
      </c>
      <c r="BS1467" s="15">
        <v>8040.0</v>
      </c>
      <c r="BT1467" s="15">
        <v>4010.0</v>
      </c>
      <c r="BU1467" s="15">
        <v>2800.0</v>
      </c>
      <c r="BV1467" s="15">
        <v>3720.0</v>
      </c>
      <c r="BW1467" s="15">
        <v>19070.0</v>
      </c>
      <c r="BX1467" s="15">
        <v>27380.0</v>
      </c>
      <c r="BY1467" s="15">
        <v>21240.0</v>
      </c>
      <c r="BZ1467" s="15">
        <v>18230.0</v>
      </c>
      <c r="CA1467" s="15">
        <v>16530.0</v>
      </c>
      <c r="CB1467" s="15">
        <v>6420.0</v>
      </c>
      <c r="CC1467" s="15">
        <v>4290.0</v>
      </c>
      <c r="CD1467" s="15">
        <v>4120.0</v>
      </c>
      <c r="CE1467" s="15">
        <v>3360.0</v>
      </c>
      <c r="CF1467" s="15">
        <v>2020.0</v>
      </c>
      <c r="CG1467" s="15"/>
      <c r="CH1467" s="15"/>
      <c r="CI1467" s="15"/>
      <c r="CJ1467" s="15"/>
      <c r="CK1467" s="15"/>
      <c r="CL1467" s="15">
        <v>28450.0</v>
      </c>
      <c r="CM1467" s="15">
        <v>35130.0</v>
      </c>
      <c r="CN1467" s="15">
        <v>26830.0</v>
      </c>
      <c r="CO1467" s="15">
        <v>22350.0</v>
      </c>
      <c r="CP1467" s="15">
        <v>19560.0</v>
      </c>
      <c r="CQ1467" s="15">
        <v>1060.0</v>
      </c>
      <c r="CR1467" s="15">
        <v>2670.0</v>
      </c>
      <c r="CS1467" s="15">
        <v>3730.0</v>
      </c>
      <c r="CT1467" s="15">
        <v>1090.0</v>
      </c>
      <c r="CU1467" s="15">
        <v>907.0</v>
      </c>
      <c r="CV1467" s="15">
        <v>2630.0</v>
      </c>
      <c r="CW1467" s="15">
        <v>525.0</v>
      </c>
      <c r="CX1467" s="15"/>
      <c r="CY1467" s="15"/>
      <c r="CZ1467" s="15"/>
      <c r="DA1467" s="15"/>
      <c r="DB1467" s="15">
        <v>2630.0</v>
      </c>
      <c r="DC1467" s="15">
        <v>4680.0</v>
      </c>
      <c r="DD1467" s="15">
        <v>5440.0</v>
      </c>
      <c r="DE1467" s="15">
        <v>4420.0</v>
      </c>
      <c r="DF1467" s="15">
        <v>4210.0</v>
      </c>
      <c r="DG1467" s="15">
        <v>4680.0</v>
      </c>
      <c r="DH1467" s="15">
        <v>5450.0</v>
      </c>
      <c r="DI1467" s="15">
        <v>4620.0</v>
      </c>
      <c r="DJ1467" s="15">
        <v>3470.0</v>
      </c>
      <c r="DK1467" s="15">
        <v>250.0</v>
      </c>
      <c r="DL1467" s="15">
        <v>250.0</v>
      </c>
      <c r="DM1467" s="15"/>
      <c r="DN1467" s="15"/>
      <c r="DO1467" s="15"/>
      <c r="DP1467" s="15">
        <v>1570.0</v>
      </c>
      <c r="DQ1467" s="15"/>
      <c r="DR1467" s="15"/>
      <c r="DS1467" s="15"/>
      <c r="DT1467" s="15">
        <v>1230.0</v>
      </c>
      <c r="DU1467" s="13">
        <v>0.0</v>
      </c>
      <c r="DV1467" s="12">
        <v>0.0</v>
      </c>
      <c r="DW1467" s="15">
        <v>0.0</v>
      </c>
      <c r="DX1467" s="15">
        <v>0.0</v>
      </c>
      <c r="DY1467" s="13">
        <v>0.0</v>
      </c>
      <c r="DZ1467" s="15">
        <v>24240.0</v>
      </c>
      <c r="EA1467" s="15">
        <v>30460.0</v>
      </c>
      <c r="EB1467" s="15">
        <v>21380.0</v>
      </c>
      <c r="EC1467" s="15">
        <v>17720.0</v>
      </c>
      <c r="ED1467" s="15">
        <v>16090.0</v>
      </c>
      <c r="EE1467" s="17">
        <v>0.159</v>
      </c>
      <c r="EF1467" s="17">
        <v>0.537</v>
      </c>
      <c r="EG1467" s="17">
        <v>0.133</v>
      </c>
      <c r="EH1467" s="17">
        <v>-0.063</v>
      </c>
    </row>
    <row r="1468">
      <c r="A1468" s="9">
        <f t="shared" si="2"/>
        <v>1466</v>
      </c>
      <c r="B1468" s="10" t="s">
        <v>1603</v>
      </c>
      <c r="C1468" s="15">
        <v>1310000.0</v>
      </c>
      <c r="D1468" s="15">
        <v>791700.0</v>
      </c>
      <c r="E1468" s="15">
        <v>1370000.0</v>
      </c>
      <c r="F1468" s="15">
        <v>1300000.0</v>
      </c>
      <c r="G1468" s="15">
        <v>1310000.0</v>
      </c>
      <c r="H1468" s="15">
        <v>1200000.0</v>
      </c>
      <c r="I1468" s="15">
        <v>1090000.0</v>
      </c>
      <c r="J1468" s="15">
        <v>90470.0</v>
      </c>
      <c r="K1468" s="15">
        <v>88010.0</v>
      </c>
      <c r="L1468" s="15">
        <v>96270.0</v>
      </c>
      <c r="M1468" s="15">
        <v>85790.0</v>
      </c>
      <c r="N1468" s="15">
        <v>54580.0</v>
      </c>
      <c r="O1468" s="15">
        <v>9970.0</v>
      </c>
      <c r="P1468" s="15">
        <v>10890.0</v>
      </c>
      <c r="Q1468" s="15">
        <v>12300.0</v>
      </c>
      <c r="R1468" s="15">
        <v>9320.0</v>
      </c>
      <c r="S1468" s="15">
        <v>8920.0</v>
      </c>
      <c r="T1468" s="15">
        <v>0.0</v>
      </c>
      <c r="U1468" s="15">
        <v>0.0</v>
      </c>
      <c r="V1468" s="15">
        <v>0.0</v>
      </c>
      <c r="W1468" s="15">
        <v>0.0</v>
      </c>
      <c r="X1468" s="15">
        <v>0.0</v>
      </c>
      <c r="Y1468" s="15">
        <v>41530.0</v>
      </c>
      <c r="Z1468" s="15">
        <v>76040.0</v>
      </c>
      <c r="AA1468" s="15">
        <v>30390.0</v>
      </c>
      <c r="AB1468" s="15">
        <v>69460.0</v>
      </c>
      <c r="AC1468" s="15">
        <v>-3850.0</v>
      </c>
      <c r="AD1468" s="15">
        <v>26110.0</v>
      </c>
      <c r="AE1468" s="15">
        <v>65010.0</v>
      </c>
      <c r="AF1468" s="15">
        <v>104350.0</v>
      </c>
      <c r="AG1468" s="15">
        <v>64730.0</v>
      </c>
      <c r="AH1468" s="15">
        <v>37940.0</v>
      </c>
      <c r="AI1468" s="15">
        <v>139470.0</v>
      </c>
      <c r="AJ1468" s="15">
        <v>133960.0</v>
      </c>
      <c r="AK1468" s="15">
        <v>139090.0</v>
      </c>
      <c r="AL1468" s="15">
        <v>119210.0</v>
      </c>
      <c r="AM1468" s="15">
        <v>80960.0</v>
      </c>
      <c r="AN1468" s="15">
        <v>20650.0</v>
      </c>
      <c r="AO1468" s="15">
        <v>46980.0</v>
      </c>
      <c r="AP1468" s="15">
        <v>57280.0</v>
      </c>
      <c r="AQ1468" s="15">
        <v>42380.0</v>
      </c>
      <c r="AR1468" s="15">
        <v>26620.0</v>
      </c>
      <c r="AS1468" s="15">
        <v>108140.0</v>
      </c>
      <c r="AT1468" s="15">
        <v>90600.0</v>
      </c>
      <c r="AU1468" s="15">
        <v>112220.0</v>
      </c>
      <c r="AV1468" s="15">
        <v>100320.0</v>
      </c>
      <c r="AW1468" s="15">
        <v>60280.0</v>
      </c>
      <c r="AX1468" s="15">
        <v>-76150.0</v>
      </c>
      <c r="AY1468" s="15">
        <v>-83350.0</v>
      </c>
      <c r="AZ1468" s="15">
        <v>-56620.0</v>
      </c>
      <c r="BA1468" s="15">
        <v>-49820.0</v>
      </c>
      <c r="BB1468" s="15">
        <v>-29840.0</v>
      </c>
      <c r="BC1468" s="15">
        <v>-8090.0</v>
      </c>
      <c r="BD1468" s="15">
        <v>-8150.0</v>
      </c>
      <c r="BE1468" s="15">
        <v>-8160.0</v>
      </c>
      <c r="BF1468" s="15">
        <v>-8110.0</v>
      </c>
      <c r="BG1468" s="15">
        <v>-8040.0</v>
      </c>
      <c r="BH1468" s="15">
        <v>62000.0</v>
      </c>
      <c r="BI1468" s="15">
        <v>44890.0</v>
      </c>
      <c r="BJ1468" s="15">
        <v>53720.0</v>
      </c>
      <c r="BK1468" s="15">
        <v>20900.0</v>
      </c>
      <c r="BL1468" s="15">
        <v>56530.0</v>
      </c>
      <c r="BM1468" s="15">
        <v>139500.0</v>
      </c>
      <c r="BN1468" s="15">
        <v>119820.0</v>
      </c>
      <c r="BO1468" s="15">
        <v>109050.0</v>
      </c>
      <c r="BP1468" s="15">
        <v>108260.0</v>
      </c>
      <c r="BQ1468" s="15">
        <v>98440.0</v>
      </c>
      <c r="BR1468" s="15">
        <v>17270.0</v>
      </c>
      <c r="BS1468" s="15">
        <v>16630.0</v>
      </c>
      <c r="BT1468" s="15">
        <v>17550.0</v>
      </c>
      <c r="BU1468" s="15">
        <v>31420.0</v>
      </c>
      <c r="BV1468" s="15">
        <v>27530.0</v>
      </c>
      <c r="BW1468" s="15">
        <v>236370.0</v>
      </c>
      <c r="BX1468" s="15">
        <v>195940.0</v>
      </c>
      <c r="BY1468" s="15">
        <v>195830.0</v>
      </c>
      <c r="BZ1468" s="15">
        <v>175420.0</v>
      </c>
      <c r="CA1468" s="15">
        <v>195170.0</v>
      </c>
      <c r="CB1468" s="15">
        <v>604220.0</v>
      </c>
      <c r="CC1468" s="15">
        <v>333850.0</v>
      </c>
      <c r="CD1468" s="15">
        <v>305570.0</v>
      </c>
      <c r="CE1468" s="15">
        <v>279860.0</v>
      </c>
      <c r="CF1468" s="15">
        <v>189240.0</v>
      </c>
      <c r="CG1468" s="15">
        <v>287980.0</v>
      </c>
      <c r="CH1468" s="15">
        <v>261330.0</v>
      </c>
      <c r="CI1468" s="15">
        <v>270550.0</v>
      </c>
      <c r="CJ1468" s="15">
        <v>254020.0</v>
      </c>
      <c r="CK1468" s="15">
        <v>185220.0</v>
      </c>
      <c r="CL1468" s="15">
        <v>1320000.0</v>
      </c>
      <c r="CM1468" s="15">
        <v>922540.0</v>
      </c>
      <c r="CN1468" s="15">
        <v>919900.0</v>
      </c>
      <c r="CO1468" s="15">
        <v>869820.0</v>
      </c>
      <c r="CP1468" s="15">
        <v>690720.0</v>
      </c>
      <c r="CQ1468" s="15">
        <v>86660.0</v>
      </c>
      <c r="CR1468" s="15">
        <v>71930.0</v>
      </c>
      <c r="CS1468" s="15">
        <v>77380.0</v>
      </c>
      <c r="CT1468" s="15">
        <v>67600.0</v>
      </c>
      <c r="CU1468" s="15">
        <v>65500.0</v>
      </c>
      <c r="CV1468" s="15">
        <v>548790.0</v>
      </c>
      <c r="CW1468" s="15">
        <v>22180.0</v>
      </c>
      <c r="CX1468" s="15">
        <v>0.0</v>
      </c>
      <c r="CY1468" s="15">
        <v>0.0</v>
      </c>
      <c r="CZ1468" s="15">
        <v>0.0</v>
      </c>
      <c r="DA1468" s="15">
        <v>0.0</v>
      </c>
      <c r="DB1468" s="15">
        <v>548790.0</v>
      </c>
      <c r="DC1468" s="15">
        <v>389750.0</v>
      </c>
      <c r="DD1468" s="15">
        <v>332730.0</v>
      </c>
      <c r="DE1468" s="15">
        <v>345590.0</v>
      </c>
      <c r="DF1468" s="15">
        <v>765290.0</v>
      </c>
      <c r="DG1468" s="15">
        <v>466080.0</v>
      </c>
      <c r="DH1468" s="15">
        <v>470310.0</v>
      </c>
      <c r="DI1468" s="15">
        <v>499180.0</v>
      </c>
      <c r="DJ1468" s="15">
        <v>355390.0</v>
      </c>
      <c r="DK1468" s="15">
        <v>3110.0</v>
      </c>
      <c r="DL1468" s="15">
        <v>2520.0</v>
      </c>
      <c r="DM1468" s="15">
        <v>2640.0</v>
      </c>
      <c r="DN1468" s="15">
        <v>2060.0</v>
      </c>
      <c r="DO1468" s="15">
        <v>2190.0</v>
      </c>
      <c r="DP1468" s="15">
        <v>106550.0</v>
      </c>
      <c r="DQ1468" s="15">
        <v>0.0</v>
      </c>
      <c r="DR1468" s="15">
        <v>56590.0</v>
      </c>
      <c r="DS1468" s="15">
        <v>74240.0</v>
      </c>
      <c r="DT1468" s="15">
        <v>92850.0</v>
      </c>
      <c r="DU1468" s="16">
        <v>0.0</v>
      </c>
      <c r="DV1468" s="15">
        <v>0.0</v>
      </c>
      <c r="DW1468" s="15">
        <v>0.0</v>
      </c>
      <c r="DX1468" s="16">
        <v>0.0</v>
      </c>
      <c r="DY1468" s="15">
        <v>0.0</v>
      </c>
      <c r="DZ1468" s="15">
        <v>467500.0</v>
      </c>
      <c r="EA1468" s="15">
        <v>436210.0</v>
      </c>
      <c r="EB1468" s="15">
        <v>429130.0</v>
      </c>
      <c r="EC1468" s="15">
        <v>357360.0</v>
      </c>
      <c r="ED1468" s="15">
        <v>322580.0</v>
      </c>
      <c r="EE1468" s="17">
        <v>0.232</v>
      </c>
      <c r="EF1468" s="17">
        <v>0.206</v>
      </c>
      <c r="EG1468" s="17">
        <v>0.25</v>
      </c>
      <c r="EH1468" s="17">
        <v>0.283</v>
      </c>
    </row>
    <row r="1469">
      <c r="A1469" s="9">
        <f t="shared" si="2"/>
        <v>1467</v>
      </c>
      <c r="B1469" s="25" t="s">
        <v>1604</v>
      </c>
      <c r="C1469" s="15">
        <v>2480000.0</v>
      </c>
      <c r="D1469" s="15">
        <v>2310000.0</v>
      </c>
      <c r="E1469" s="15">
        <v>2390000.0</v>
      </c>
      <c r="F1469" s="15">
        <v>2290000.0</v>
      </c>
      <c r="G1469" s="15">
        <v>2080000.0</v>
      </c>
      <c r="H1469" s="15">
        <v>1930000.0</v>
      </c>
      <c r="I1469" s="15">
        <v>1970000.0</v>
      </c>
      <c r="J1469" s="15">
        <v>810000.0</v>
      </c>
      <c r="K1469" s="15">
        <v>806000.0</v>
      </c>
      <c r="L1469" s="15">
        <v>776000.0</v>
      </c>
      <c r="M1469" s="15">
        <v>783000.0</v>
      </c>
      <c r="N1469" s="15">
        <v>684700.0</v>
      </c>
      <c r="O1469" s="15">
        <v>435000.0</v>
      </c>
      <c r="P1469" s="15">
        <v>430000.0</v>
      </c>
      <c r="Q1469" s="15">
        <v>258000.0</v>
      </c>
      <c r="R1469" s="15">
        <v>331000.0</v>
      </c>
      <c r="S1469" s="15">
        <v>369500.0</v>
      </c>
      <c r="T1469" s="15">
        <v>13000.0</v>
      </c>
      <c r="U1469" s="15">
        <v>14000.0</v>
      </c>
      <c r="V1469" s="15">
        <v>13000.0</v>
      </c>
      <c r="W1469" s="15">
        <v>13000.0</v>
      </c>
      <c r="X1469" s="15">
        <v>11400.0</v>
      </c>
      <c r="Y1469" s="15">
        <v>358000.0</v>
      </c>
      <c r="Z1469" s="15">
        <v>362000.0</v>
      </c>
      <c r="AA1469" s="15">
        <v>-11000.0</v>
      </c>
      <c r="AB1469" s="15">
        <v>445000.0</v>
      </c>
      <c r="AC1469" s="15">
        <v>302300.0</v>
      </c>
      <c r="AD1469" s="15">
        <v>265000.0</v>
      </c>
      <c r="AE1469" s="15">
        <v>332000.0</v>
      </c>
      <c r="AF1469" s="15">
        <v>490000.0</v>
      </c>
      <c r="AG1469" s="15">
        <v>421000.0</v>
      </c>
      <c r="AH1469" s="15">
        <v>296800.0</v>
      </c>
      <c r="AI1469" s="15">
        <v>436000.0</v>
      </c>
      <c r="AJ1469" s="15">
        <v>430000.0</v>
      </c>
      <c r="AK1469" s="15">
        <v>560000.0</v>
      </c>
      <c r="AL1469" s="15">
        <v>490000.0</v>
      </c>
      <c r="AM1469" s="15">
        <v>353200.0</v>
      </c>
      <c r="AN1469" s="15">
        <v>208000.0</v>
      </c>
      <c r="AO1469" s="15">
        <v>166000.0</v>
      </c>
      <c r="AP1469" s="15">
        <v>304000.0</v>
      </c>
      <c r="AQ1469" s="15">
        <v>273000.0</v>
      </c>
      <c r="AR1469" s="15">
        <v>196100.0</v>
      </c>
      <c r="AS1469" s="15">
        <v>325000.0</v>
      </c>
      <c r="AT1469" s="15">
        <v>320000.0</v>
      </c>
      <c r="AU1469" s="15">
        <v>-130000.0</v>
      </c>
      <c r="AV1469" s="15">
        <v>311000.0</v>
      </c>
      <c r="AW1469" s="15">
        <v>329800.0</v>
      </c>
      <c r="AX1469" s="15">
        <v>-108000.0</v>
      </c>
      <c r="AY1469" s="15">
        <v>-93000.0</v>
      </c>
      <c r="AZ1469" s="15">
        <v>-68000.0</v>
      </c>
      <c r="BA1469" s="15">
        <v>-66000.0</v>
      </c>
      <c r="BB1469" s="15">
        <v>-45000.0</v>
      </c>
      <c r="BC1469" s="15">
        <v>-80000.0</v>
      </c>
      <c r="BD1469" s="15">
        <v>-58000.0</v>
      </c>
      <c r="BE1469" s="15">
        <v>-40000.0</v>
      </c>
      <c r="BF1469" s="13"/>
      <c r="BG1469" s="13"/>
      <c r="BH1469" s="15">
        <v>159000.0</v>
      </c>
      <c r="BI1469" s="15">
        <v>96000.0</v>
      </c>
      <c r="BJ1469" s="15">
        <v>201000.0</v>
      </c>
      <c r="BK1469" s="15">
        <v>172000.0</v>
      </c>
      <c r="BL1469" s="15"/>
      <c r="BM1469" s="15">
        <v>401000.0</v>
      </c>
      <c r="BN1469" s="15">
        <v>409000.0</v>
      </c>
      <c r="BO1469" s="15">
        <v>385000.0</v>
      </c>
      <c r="BP1469" s="15">
        <v>363000.0</v>
      </c>
      <c r="BQ1469" s="15">
        <v>334600.0</v>
      </c>
      <c r="BR1469" s="15">
        <v>194000.0</v>
      </c>
      <c r="BS1469" s="15">
        <v>176000.0</v>
      </c>
      <c r="BT1469" s="15">
        <v>175000.0</v>
      </c>
      <c r="BU1469" s="15">
        <v>139000.0</v>
      </c>
      <c r="BV1469" s="15">
        <v>125600.0</v>
      </c>
      <c r="BW1469" s="15">
        <v>797000.0</v>
      </c>
      <c r="BX1469" s="15">
        <v>725000.0</v>
      </c>
      <c r="BY1469" s="15">
        <v>790000.0</v>
      </c>
      <c r="BZ1469" s="15">
        <v>730000.0</v>
      </c>
      <c r="CA1469" s="15">
        <v>477300.0</v>
      </c>
      <c r="CB1469" s="15">
        <v>498000.0</v>
      </c>
      <c r="CC1469" s="15">
        <v>420000.0</v>
      </c>
      <c r="CD1469" s="15">
        <v>391000.0</v>
      </c>
      <c r="CE1469" s="15">
        <v>324000.0</v>
      </c>
      <c r="CF1469" s="15">
        <v>253500.0</v>
      </c>
      <c r="CG1469" s="15">
        <v>430000.0</v>
      </c>
      <c r="CH1469" s="15">
        <v>381000.0</v>
      </c>
      <c r="CI1469" s="15">
        <v>330000.0</v>
      </c>
      <c r="CJ1469" s="15">
        <v>264000.0</v>
      </c>
      <c r="CK1469" s="15">
        <v>169400.0</v>
      </c>
      <c r="CL1469" s="15">
        <v>2060000.0</v>
      </c>
      <c r="CM1469" s="15">
        <v>1850000.0</v>
      </c>
      <c r="CN1469" s="15">
        <v>1920000.0</v>
      </c>
      <c r="CO1469" s="15">
        <v>1830000.0</v>
      </c>
      <c r="CP1469" s="15">
        <v>977900.0</v>
      </c>
      <c r="CQ1469" s="15">
        <v>171000.0</v>
      </c>
      <c r="CR1469" s="15">
        <v>178000.0</v>
      </c>
      <c r="CS1469" s="15">
        <v>192000.0</v>
      </c>
      <c r="CT1469" s="15">
        <v>177000.0</v>
      </c>
      <c r="CU1469" s="15">
        <v>173300.0</v>
      </c>
      <c r="CV1469" s="15">
        <v>423000.0</v>
      </c>
      <c r="CW1469" s="15"/>
      <c r="CX1469" s="15"/>
      <c r="CY1469" s="15">
        <v>75000.0</v>
      </c>
      <c r="CZ1469" s="15"/>
      <c r="DA1469" s="15"/>
      <c r="DB1469" s="15">
        <v>423000.0</v>
      </c>
      <c r="DC1469" s="15">
        <v>411000.0</v>
      </c>
      <c r="DD1469" s="15">
        <v>478000.0</v>
      </c>
      <c r="DE1469" s="15">
        <v>400000.0</v>
      </c>
      <c r="DF1469" s="15">
        <v>2320000.0</v>
      </c>
      <c r="DG1469" s="15">
        <v>2210000.0</v>
      </c>
      <c r="DH1469" s="15">
        <v>2030000.0</v>
      </c>
      <c r="DI1469" s="15">
        <v>2160000.0</v>
      </c>
      <c r="DJ1469" s="15">
        <v>360800.0</v>
      </c>
      <c r="DK1469" s="15">
        <v>34000.0</v>
      </c>
      <c r="DL1469" s="15">
        <v>31000.0</v>
      </c>
      <c r="DM1469" s="15">
        <v>30000.0</v>
      </c>
      <c r="DN1469" s="15">
        <v>26000.0</v>
      </c>
      <c r="DO1469" s="15">
        <v>28900.0</v>
      </c>
      <c r="DP1469" s="15">
        <v>1380000.0</v>
      </c>
      <c r="DQ1469" s="15">
        <v>1340000.0</v>
      </c>
      <c r="DR1469" s="15">
        <v>1090000.0</v>
      </c>
      <c r="DS1469" s="15">
        <v>730000.0</v>
      </c>
      <c r="DT1469" s="15">
        <v>4200.0</v>
      </c>
      <c r="DU1469" s="13"/>
      <c r="DV1469" s="12"/>
      <c r="DW1469" s="12"/>
      <c r="DX1469" s="13"/>
      <c r="DY1469" s="13"/>
      <c r="DZ1469" s="15">
        <v>-258000.0</v>
      </c>
      <c r="EA1469" s="15">
        <v>-358000.0</v>
      </c>
      <c r="EB1469" s="15">
        <v>-117000.0</v>
      </c>
      <c r="EC1469" s="15">
        <v>-330000.0</v>
      </c>
      <c r="ED1469" s="15">
        <v>617100.0</v>
      </c>
      <c r="EE1469" s="17">
        <v>0.026</v>
      </c>
      <c r="EF1469" s="17">
        <v>0.093</v>
      </c>
      <c r="EG1469" s="17">
        <v>0.167</v>
      </c>
      <c r="EH1469" s="17">
        <v>0.15</v>
      </c>
    </row>
    <row r="1470">
      <c r="A1470" s="9">
        <f t="shared" si="2"/>
        <v>1468</v>
      </c>
      <c r="B1470" s="22" t="s">
        <v>1605</v>
      </c>
      <c r="C1470" s="11">
        <v>40730.0</v>
      </c>
      <c r="D1470" s="11">
        <v>7410.0</v>
      </c>
      <c r="E1470" s="11">
        <v>9860.0</v>
      </c>
      <c r="F1470" s="11">
        <v>4160.0</v>
      </c>
      <c r="G1470" s="11">
        <v>8900.0</v>
      </c>
      <c r="H1470" s="11">
        <v>9300.0</v>
      </c>
      <c r="I1470" s="11">
        <v>24600.0</v>
      </c>
      <c r="J1470" s="12"/>
      <c r="K1470" s="12"/>
      <c r="L1470" s="12"/>
      <c r="M1470" s="11">
        <v>9200.0</v>
      </c>
      <c r="N1470" s="11">
        <v>21000.0</v>
      </c>
      <c r="O1470" s="11">
        <v>17130.0</v>
      </c>
      <c r="P1470" s="11">
        <v>20250.0</v>
      </c>
      <c r="Q1470" s="11">
        <v>36200.0</v>
      </c>
      <c r="R1470" s="11">
        <v>34200.0</v>
      </c>
      <c r="S1470" s="11">
        <v>29200.0</v>
      </c>
      <c r="T1470" s="11">
        <v>14540.0</v>
      </c>
      <c r="U1470" s="11">
        <v>17280.0</v>
      </c>
      <c r="V1470" s="11">
        <v>28300.0</v>
      </c>
      <c r="W1470" s="11">
        <v>26300.0</v>
      </c>
      <c r="X1470" s="11">
        <v>19800.0</v>
      </c>
      <c r="Y1470" s="11">
        <v>-15890.0</v>
      </c>
      <c r="Z1470" s="11">
        <v>-21760.0</v>
      </c>
      <c r="AA1470" s="12"/>
      <c r="AB1470" s="12"/>
      <c r="AC1470" s="11">
        <v>-25800.0</v>
      </c>
      <c r="AD1470" s="11">
        <v>-18160.0</v>
      </c>
      <c r="AE1470" s="11">
        <v>-17900.0</v>
      </c>
      <c r="AF1470" s="11">
        <v>-29100.0</v>
      </c>
      <c r="AG1470" s="11">
        <v>-25400.0</v>
      </c>
      <c r="AH1470" s="11">
        <v>-19200.0</v>
      </c>
      <c r="AI1470" s="11">
        <v>-7270.0</v>
      </c>
      <c r="AJ1470" s="11">
        <v>-16090.0</v>
      </c>
      <c r="AK1470" s="11">
        <v>-27300.0</v>
      </c>
      <c r="AL1470" s="11">
        <v>-24900.0</v>
      </c>
      <c r="AM1470" s="11">
        <v>-7100.0</v>
      </c>
      <c r="AN1470" s="11">
        <v>-18650.0</v>
      </c>
      <c r="AO1470" s="11">
        <v>-18010.0</v>
      </c>
      <c r="AP1470" s="11">
        <v>-29400.0</v>
      </c>
      <c r="AQ1470" s="11">
        <v>-25400.0</v>
      </c>
      <c r="AR1470" s="11">
        <v>-19100.0</v>
      </c>
      <c r="AS1470" s="11">
        <v>-13090.0</v>
      </c>
      <c r="AT1470" s="11">
        <v>-14550.0</v>
      </c>
      <c r="AU1470" s="11">
        <v>-30000.0</v>
      </c>
      <c r="AV1470" s="11">
        <v>-14100.0</v>
      </c>
      <c r="AW1470" s="11">
        <v>-9600.0</v>
      </c>
      <c r="AX1470" s="11">
        <v>-850.0</v>
      </c>
      <c r="AY1470" s="11">
        <v>-707.0</v>
      </c>
      <c r="AZ1470" s="12"/>
      <c r="BA1470" s="11">
        <v>-200.0</v>
      </c>
      <c r="BB1470" s="11">
        <v>-100.0</v>
      </c>
      <c r="BC1470" s="12"/>
      <c r="BD1470" s="12"/>
      <c r="BE1470" s="12"/>
      <c r="BF1470" s="12"/>
      <c r="BG1470" s="12"/>
      <c r="BH1470" s="11">
        <v>13530.0</v>
      </c>
      <c r="BI1470" s="11">
        <v>11510.0</v>
      </c>
      <c r="BJ1470" s="11">
        <v>38600.0</v>
      </c>
      <c r="BK1470" s="11">
        <v>69000.0</v>
      </c>
      <c r="BL1470" s="11">
        <v>57600.0</v>
      </c>
      <c r="BM1470" s="11">
        <v>3620.0</v>
      </c>
      <c r="BN1470" s="11">
        <v>1800.0</v>
      </c>
      <c r="BO1470" s="11">
        <v>600.0</v>
      </c>
      <c r="BP1470" s="11">
        <v>700.0</v>
      </c>
      <c r="BQ1470" s="11">
        <v>12600.0</v>
      </c>
      <c r="BR1470" s="12"/>
      <c r="BS1470" s="12"/>
      <c r="BT1470" s="12"/>
      <c r="BU1470" s="12"/>
      <c r="BV1470" s="12"/>
      <c r="BW1470" s="11">
        <v>17600.0</v>
      </c>
      <c r="BX1470" s="11">
        <v>14650.0</v>
      </c>
      <c r="BY1470" s="11">
        <v>39900.0</v>
      </c>
      <c r="BZ1470" s="11">
        <v>72400.0</v>
      </c>
      <c r="CA1470" s="11">
        <v>70800.0</v>
      </c>
      <c r="CB1470" s="11">
        <v>2200.0</v>
      </c>
      <c r="CC1470" s="11">
        <v>1070.0</v>
      </c>
      <c r="CD1470" s="11">
        <v>200.0</v>
      </c>
      <c r="CE1470" s="11">
        <v>300.0</v>
      </c>
      <c r="CF1470" s="11">
        <v>200.0</v>
      </c>
      <c r="CG1470" s="12"/>
      <c r="CH1470" s="12"/>
      <c r="CI1470" s="12"/>
      <c r="CJ1470" s="12"/>
      <c r="CK1470" s="12"/>
      <c r="CL1470" s="11">
        <v>37030.0</v>
      </c>
      <c r="CM1470" s="11">
        <v>35230.0</v>
      </c>
      <c r="CN1470" s="11">
        <v>40100.0</v>
      </c>
      <c r="CO1470" s="11">
        <v>72700.0</v>
      </c>
      <c r="CP1470" s="11">
        <v>79400.0</v>
      </c>
      <c r="CQ1470" s="11">
        <v>852.0</v>
      </c>
      <c r="CR1470" s="11">
        <v>962.0</v>
      </c>
      <c r="CS1470" s="11">
        <v>1400.0</v>
      </c>
      <c r="CT1470" s="11">
        <v>3900.0</v>
      </c>
      <c r="CU1470" s="11">
        <v>2900.0</v>
      </c>
      <c r="CV1470" s="11">
        <v>9170.0</v>
      </c>
      <c r="CW1470" s="11">
        <v>841.0</v>
      </c>
      <c r="CX1470" s="12"/>
      <c r="CY1470" s="12"/>
      <c r="CZ1470" s="12"/>
      <c r="DA1470" s="12"/>
      <c r="DB1470" s="11">
        <v>9170.0</v>
      </c>
      <c r="DC1470" s="11">
        <v>7480.0</v>
      </c>
      <c r="DD1470" s="11">
        <v>5900.0</v>
      </c>
      <c r="DE1470" s="11">
        <v>9200.0</v>
      </c>
      <c r="DF1470" s="11">
        <v>24080.0</v>
      </c>
      <c r="DG1470" s="11">
        <v>23990.0</v>
      </c>
      <c r="DH1470" s="11">
        <v>21400.0</v>
      </c>
      <c r="DI1470" s="11">
        <v>26500.0</v>
      </c>
      <c r="DJ1470" s="11">
        <v>9900.0</v>
      </c>
      <c r="DK1470" s="12"/>
      <c r="DL1470" s="12"/>
      <c r="DM1470" s="12"/>
      <c r="DN1470" s="12"/>
      <c r="DO1470" s="11">
        <v>7900.0</v>
      </c>
      <c r="DP1470" s="11">
        <v>14890.0</v>
      </c>
      <c r="DQ1470" s="11">
        <v>16360.0</v>
      </c>
      <c r="DR1470" s="11">
        <v>100.0</v>
      </c>
      <c r="DS1470" s="11">
        <v>300.0</v>
      </c>
      <c r="DT1470" s="11">
        <v>800.0</v>
      </c>
      <c r="DU1470" s="13"/>
      <c r="DV1470" s="12"/>
      <c r="DW1470" s="12"/>
      <c r="DX1470" s="13"/>
      <c r="DY1470" s="13"/>
      <c r="DZ1470" s="11">
        <v>12950.0</v>
      </c>
      <c r="EA1470" s="11">
        <v>11240.0</v>
      </c>
      <c r="EB1470" s="11">
        <v>18700.0</v>
      </c>
      <c r="EC1470" s="11">
        <v>46200.0</v>
      </c>
      <c r="ED1470" s="11">
        <v>69500.0</v>
      </c>
      <c r="EE1470" s="14">
        <v>1.468</v>
      </c>
      <c r="EF1470" s="23"/>
      <c r="EG1470" s="14">
        <v>-1.0</v>
      </c>
      <c r="EH1470" s="14">
        <v>-0.104</v>
      </c>
    </row>
    <row r="1471">
      <c r="A1471" s="9">
        <f t="shared" si="2"/>
        <v>1469</v>
      </c>
      <c r="B1471" s="22" t="s">
        <v>1606</v>
      </c>
      <c r="C1471" s="11">
        <v>76920.0</v>
      </c>
      <c r="D1471" s="11">
        <v>99760.0</v>
      </c>
      <c r="E1471" s="11">
        <v>104390.0</v>
      </c>
      <c r="F1471" s="11">
        <v>7620.0</v>
      </c>
      <c r="G1471" s="11">
        <v>10140.0</v>
      </c>
      <c r="H1471" s="11">
        <v>14220.0</v>
      </c>
      <c r="I1471" s="11">
        <v>17330.0</v>
      </c>
      <c r="J1471" s="12"/>
      <c r="K1471" s="12"/>
      <c r="L1471" s="12"/>
      <c r="M1471" s="12"/>
      <c r="N1471" s="12"/>
      <c r="O1471" s="11">
        <v>153310.0</v>
      </c>
      <c r="P1471" s="11">
        <v>96600.0</v>
      </c>
      <c r="Q1471" s="11">
        <v>80400.0</v>
      </c>
      <c r="R1471" s="11">
        <v>54910.0</v>
      </c>
      <c r="S1471" s="11">
        <v>36990.0</v>
      </c>
      <c r="T1471" s="11">
        <v>119740.0</v>
      </c>
      <c r="U1471" s="11">
        <v>64910.0</v>
      </c>
      <c r="V1471" s="11">
        <v>62260.0</v>
      </c>
      <c r="W1471" s="11">
        <v>42250.0</v>
      </c>
      <c r="X1471" s="11">
        <v>27680.0</v>
      </c>
      <c r="Y1471" s="12"/>
      <c r="Z1471" s="12"/>
      <c r="AA1471" s="12"/>
      <c r="AB1471" s="12"/>
      <c r="AC1471" s="11">
        <v>-30000.0</v>
      </c>
      <c r="AD1471" s="11">
        <v>-43600.0</v>
      </c>
      <c r="AE1471" s="11">
        <v>-88470.0</v>
      </c>
      <c r="AF1471" s="11">
        <v>-70700.0</v>
      </c>
      <c r="AG1471" s="11">
        <v>-40140.0</v>
      </c>
      <c r="AH1471" s="11">
        <v>-29670.0</v>
      </c>
      <c r="AI1471" s="11">
        <v>-48910.0</v>
      </c>
      <c r="AJ1471" s="11">
        <v>-88980.0</v>
      </c>
      <c r="AK1471" s="11">
        <v>-70270.0</v>
      </c>
      <c r="AL1471" s="11">
        <v>-40690.0</v>
      </c>
      <c r="AM1471" s="11">
        <v>-19650.0</v>
      </c>
      <c r="AN1471" s="11">
        <v>-43600.0</v>
      </c>
      <c r="AO1471" s="11">
        <v>-88290.0</v>
      </c>
      <c r="AP1471" s="11">
        <v>-70700.0</v>
      </c>
      <c r="AQ1471" s="11">
        <v>-40190.0</v>
      </c>
      <c r="AR1471" s="11">
        <v>-29670.0</v>
      </c>
      <c r="AS1471" s="11">
        <v>51170.0</v>
      </c>
      <c r="AT1471" s="11">
        <v>-15890.0</v>
      </c>
      <c r="AU1471" s="11">
        <v>-61350.0</v>
      </c>
      <c r="AV1471" s="11">
        <v>-42480.0</v>
      </c>
      <c r="AW1471" s="11">
        <v>41300.0</v>
      </c>
      <c r="AX1471" s="11">
        <v>-7720.0</v>
      </c>
      <c r="AY1471" s="11">
        <v>-4310.0</v>
      </c>
      <c r="AZ1471" s="11">
        <v>-3990.0</v>
      </c>
      <c r="BA1471" s="11">
        <v>-5030.0</v>
      </c>
      <c r="BB1471" s="11">
        <v>-1030.0</v>
      </c>
      <c r="BC1471" s="12"/>
      <c r="BD1471" s="12"/>
      <c r="BE1471" s="12"/>
      <c r="BF1471" s="12"/>
      <c r="BG1471" s="12"/>
      <c r="BH1471" s="11">
        <v>281530.0</v>
      </c>
      <c r="BI1471" s="11">
        <v>155810.0</v>
      </c>
      <c r="BJ1471" s="11">
        <v>169050.0</v>
      </c>
      <c r="BK1471" s="11">
        <v>174420.0</v>
      </c>
      <c r="BL1471" s="11">
        <v>194340.0</v>
      </c>
      <c r="BM1471" s="11">
        <v>18700.0</v>
      </c>
      <c r="BN1471" s="11">
        <v>201.0</v>
      </c>
      <c r="BO1471" s="11">
        <v>1450.0</v>
      </c>
      <c r="BP1471" s="11">
        <v>2300.0</v>
      </c>
      <c r="BQ1471" s="11">
        <v>411.0</v>
      </c>
      <c r="BR1471" s="12"/>
      <c r="BS1471" s="12"/>
      <c r="BT1471" s="12"/>
      <c r="BU1471" s="12"/>
      <c r="BV1471" s="12"/>
      <c r="BW1471" s="11">
        <v>304660.0</v>
      </c>
      <c r="BX1471" s="11">
        <v>162480.0</v>
      </c>
      <c r="BY1471" s="11">
        <v>171790.0</v>
      </c>
      <c r="BZ1471" s="11">
        <v>178790.0</v>
      </c>
      <c r="CA1471" s="11">
        <v>195890.0</v>
      </c>
      <c r="CB1471" s="11">
        <v>46460.0</v>
      </c>
      <c r="CC1471" s="11">
        <v>12770.0</v>
      </c>
      <c r="CD1471" s="11">
        <v>10280.0</v>
      </c>
      <c r="CE1471" s="11">
        <v>7890.0</v>
      </c>
      <c r="CF1471" s="11">
        <v>3230.0</v>
      </c>
      <c r="CG1471" s="12"/>
      <c r="CH1471" s="12"/>
      <c r="CI1471" s="12"/>
      <c r="CJ1471" s="12"/>
      <c r="CK1471" s="12"/>
      <c r="CL1471" s="11">
        <v>354760.0</v>
      </c>
      <c r="CM1471" s="11">
        <v>177030.0</v>
      </c>
      <c r="CN1471" s="11">
        <v>184480.0</v>
      </c>
      <c r="CO1471" s="11">
        <v>189570.0</v>
      </c>
      <c r="CP1471" s="11">
        <v>229460.0</v>
      </c>
      <c r="CQ1471" s="11">
        <v>4070.0</v>
      </c>
      <c r="CR1471" s="11">
        <v>1040.0</v>
      </c>
      <c r="CS1471" s="11">
        <v>1020.0</v>
      </c>
      <c r="CT1471" s="11">
        <v>550.0</v>
      </c>
      <c r="CU1471" s="11">
        <v>612.0</v>
      </c>
      <c r="CV1471" s="11">
        <v>76010.0</v>
      </c>
      <c r="CW1471" s="11">
        <v>3190.0</v>
      </c>
      <c r="CX1471" s="12"/>
      <c r="CY1471" s="12"/>
      <c r="CZ1471" s="12"/>
      <c r="DA1471" s="12"/>
      <c r="DB1471" s="11">
        <v>76010.0</v>
      </c>
      <c r="DC1471" s="11">
        <v>31670.0</v>
      </c>
      <c r="DD1471" s="11">
        <v>15900.0</v>
      </c>
      <c r="DE1471" s="11">
        <v>13800.0</v>
      </c>
      <c r="DF1471" s="11">
        <v>255250.0</v>
      </c>
      <c r="DG1471" s="11">
        <v>130580.0</v>
      </c>
      <c r="DH1471" s="11">
        <v>50430.0</v>
      </c>
      <c r="DI1471" s="11">
        <v>53640.0</v>
      </c>
      <c r="DJ1471" s="11">
        <v>60380.0</v>
      </c>
      <c r="DK1471" s="11">
        <v>2660.0</v>
      </c>
      <c r="DL1471" s="11">
        <v>1360.0</v>
      </c>
      <c r="DM1471" s="11">
        <v>1800.0</v>
      </c>
      <c r="DN1471" s="11">
        <v>2060.0</v>
      </c>
      <c r="DO1471" s="11">
        <v>30320.0</v>
      </c>
      <c r="DP1471" s="11">
        <v>30980.0</v>
      </c>
      <c r="DQ1471" s="12"/>
      <c r="DR1471" s="12"/>
      <c r="DS1471" s="12"/>
      <c r="DT1471" s="12"/>
      <c r="DU1471" s="13"/>
      <c r="DV1471" s="12"/>
      <c r="DW1471" s="12"/>
      <c r="DX1471" s="13"/>
      <c r="DY1471" s="13"/>
      <c r="DZ1471" s="11">
        <v>99510.0</v>
      </c>
      <c r="EA1471" s="11">
        <v>46450.0</v>
      </c>
      <c r="EB1471" s="11">
        <v>134050.0</v>
      </c>
      <c r="EC1471" s="11">
        <v>135920.0</v>
      </c>
      <c r="ED1471" s="11">
        <v>169070.0</v>
      </c>
      <c r="EE1471" s="14">
        <v>1.332</v>
      </c>
      <c r="EF1471" s="14">
        <v>0.673</v>
      </c>
      <c r="EG1471" s="14">
        <v>0.681</v>
      </c>
      <c r="EH1471" s="14">
        <v>0.472</v>
      </c>
    </row>
    <row r="1472">
      <c r="A1472" s="9">
        <f t="shared" si="2"/>
        <v>1470</v>
      </c>
      <c r="B1472" s="10" t="s">
        <v>1607</v>
      </c>
      <c r="C1472" s="11">
        <v>1.4342E8</v>
      </c>
      <c r="D1472" s="11">
        <v>1.3923E8</v>
      </c>
      <c r="E1472" s="11">
        <v>1.3687E8</v>
      </c>
      <c r="F1472" s="11">
        <v>1.3154E8</v>
      </c>
      <c r="G1472" s="11">
        <v>1.1821E8</v>
      </c>
      <c r="H1472" s="11">
        <v>1.1735E8</v>
      </c>
      <c r="I1472" s="11">
        <v>1.0344E8</v>
      </c>
      <c r="J1472" s="11">
        <v>2.804E7</v>
      </c>
      <c r="K1472" s="11">
        <v>2.902E7</v>
      </c>
      <c r="L1472" s="11">
        <v>2.751E7</v>
      </c>
      <c r="M1472" s="11">
        <v>2.816E7</v>
      </c>
      <c r="N1472" s="11">
        <v>2.518E7</v>
      </c>
      <c r="O1472" s="11">
        <v>2.291E7</v>
      </c>
      <c r="P1472" s="11">
        <v>2.288E7</v>
      </c>
      <c r="Q1472" s="11">
        <v>2.125E7</v>
      </c>
      <c r="R1472" s="11">
        <v>2.179E7</v>
      </c>
      <c r="S1472" s="11">
        <v>2.026E7</v>
      </c>
      <c r="T1472" s="12"/>
      <c r="U1472" s="12"/>
      <c r="V1472" s="12"/>
      <c r="W1472" s="12"/>
      <c r="X1472" s="12"/>
      <c r="Y1472" s="11">
        <v>4820000.0</v>
      </c>
      <c r="Z1472" s="12"/>
      <c r="AA1472" s="11">
        <v>5370000.0</v>
      </c>
      <c r="AB1472" s="11">
        <v>5410000.0</v>
      </c>
      <c r="AC1472" s="11">
        <v>5580000.0</v>
      </c>
      <c r="AD1472" s="11">
        <v>4530000.0</v>
      </c>
      <c r="AE1472" s="11">
        <v>5980000.0</v>
      </c>
      <c r="AF1472" s="11">
        <v>4850000.0</v>
      </c>
      <c r="AG1472" s="11">
        <v>5140000.0</v>
      </c>
      <c r="AH1472" s="11">
        <v>5310000.0</v>
      </c>
      <c r="AI1472" s="11">
        <v>7170000.0</v>
      </c>
      <c r="AJ1472" s="11">
        <v>7910000.0</v>
      </c>
      <c r="AK1472" s="11">
        <v>7910000.0</v>
      </c>
      <c r="AL1472" s="11">
        <v>8090000.0</v>
      </c>
      <c r="AM1472" s="11">
        <v>6660000.0</v>
      </c>
      <c r="AN1472" s="11">
        <v>3980000.0</v>
      </c>
      <c r="AO1472" s="11">
        <v>5020000.0</v>
      </c>
      <c r="AP1472" s="11">
        <v>4080000.0</v>
      </c>
      <c r="AQ1472" s="11">
        <v>4170000.0</v>
      </c>
      <c r="AR1472" s="11">
        <v>4220000.0</v>
      </c>
      <c r="AS1472" s="11">
        <v>5590000.0</v>
      </c>
      <c r="AT1472" s="11">
        <v>8260000.0</v>
      </c>
      <c r="AU1472" s="11">
        <v>7250000.0</v>
      </c>
      <c r="AV1472" s="11">
        <v>7850000.0</v>
      </c>
      <c r="AW1472" s="11">
        <v>5660000.0</v>
      </c>
      <c r="AX1472" s="12"/>
      <c r="AY1472" s="12"/>
      <c r="AZ1472" s="12"/>
      <c r="BA1472" s="12"/>
      <c r="BB1472" s="12"/>
      <c r="BC1472" s="13"/>
      <c r="BD1472" s="13"/>
      <c r="BE1472" s="13"/>
      <c r="BF1472" s="13"/>
      <c r="BG1472" s="13"/>
      <c r="BH1472" s="11">
        <v>1210000.0</v>
      </c>
      <c r="BI1472" s="11">
        <v>975000.0</v>
      </c>
      <c r="BJ1472" s="11">
        <v>3500000.0</v>
      </c>
      <c r="BK1472" s="11">
        <v>1.002E7</v>
      </c>
      <c r="BL1472" s="11">
        <v>3040000.0</v>
      </c>
      <c r="BM1472" s="11">
        <v>7230000.0</v>
      </c>
      <c r="BN1472" s="11">
        <v>6570000.0</v>
      </c>
      <c r="BO1472" s="11">
        <v>6530000.0</v>
      </c>
      <c r="BP1472" s="11">
        <v>6260000.0</v>
      </c>
      <c r="BQ1472" s="11">
        <v>6850000.0</v>
      </c>
      <c r="BR1472" s="11">
        <v>9330000.0</v>
      </c>
      <c r="BS1472" s="11">
        <v>9570000.0</v>
      </c>
      <c r="BT1472" s="11">
        <v>8900000.0</v>
      </c>
      <c r="BU1472" s="11">
        <v>8960000.0</v>
      </c>
      <c r="BV1472" s="11">
        <v>8680000.0</v>
      </c>
      <c r="BW1472" s="11">
        <v>1.87E7</v>
      </c>
      <c r="BX1472" s="11">
        <v>1.785E7</v>
      </c>
      <c r="BY1472" s="11">
        <v>1.975E7</v>
      </c>
      <c r="BZ1472" s="11">
        <v>2.588E7</v>
      </c>
      <c r="CA1472" s="11">
        <v>1.966E7</v>
      </c>
      <c r="CB1472" s="11">
        <v>1.348E7</v>
      </c>
      <c r="CC1472" s="11">
        <v>1.391E7</v>
      </c>
      <c r="CD1472" s="11">
        <v>1.364E7</v>
      </c>
      <c r="CE1472" s="11">
        <v>1.434E7</v>
      </c>
      <c r="CF1472" s="11">
        <v>1.507E7</v>
      </c>
      <c r="CG1472" s="11">
        <v>1.656E7</v>
      </c>
      <c r="CH1472" s="11">
        <v>1.691E7</v>
      </c>
      <c r="CI1472" s="11">
        <v>1.563E7</v>
      </c>
      <c r="CJ1472" s="11">
        <v>1.553E7</v>
      </c>
      <c r="CK1472" s="11">
        <v>1.637E7</v>
      </c>
      <c r="CL1472" s="11">
        <v>6.76E7</v>
      </c>
      <c r="CM1472" s="11">
        <v>6.812E7</v>
      </c>
      <c r="CN1472" s="11">
        <v>6.601E7</v>
      </c>
      <c r="CO1472" s="11">
        <v>7.269E7</v>
      </c>
      <c r="CP1472" s="11">
        <v>6.878E7</v>
      </c>
      <c r="CQ1472" s="11">
        <v>1.434E7</v>
      </c>
      <c r="CR1472" s="11">
        <v>1.357E7</v>
      </c>
      <c r="CS1472" s="11">
        <v>1.249E7</v>
      </c>
      <c r="CT1472" s="11">
        <v>1.1E7</v>
      </c>
      <c r="CU1472" s="11">
        <v>1.009E7</v>
      </c>
      <c r="CV1472" s="11">
        <v>2.577E7</v>
      </c>
      <c r="CW1472" s="11">
        <v>4490000.0</v>
      </c>
      <c r="CX1472" s="11">
        <v>1720000.0</v>
      </c>
      <c r="CY1472" s="11">
        <v>251000.0</v>
      </c>
      <c r="CZ1472" s="11">
        <v>260000.0</v>
      </c>
      <c r="DA1472" s="11">
        <v>1070000.0</v>
      </c>
      <c r="DB1472" s="11">
        <v>2.577E7</v>
      </c>
      <c r="DC1472" s="11">
        <v>2.167E7</v>
      </c>
      <c r="DD1472" s="11">
        <v>1.855E7</v>
      </c>
      <c r="DE1472" s="11">
        <v>1.701E7</v>
      </c>
      <c r="DF1472" s="11">
        <v>4.345E7</v>
      </c>
      <c r="DG1472" s="11">
        <v>4.144E7</v>
      </c>
      <c r="DH1472" s="11">
        <v>3.774E7</v>
      </c>
      <c r="DI1472" s="11">
        <v>4.241E7</v>
      </c>
      <c r="DJ1472" s="11">
        <v>3.748E7</v>
      </c>
      <c r="DK1472" s="11">
        <v>6850000.0</v>
      </c>
      <c r="DL1472" s="11">
        <v>6610000.0</v>
      </c>
      <c r="DM1472" s="11">
        <v>6320000.0</v>
      </c>
      <c r="DN1472" s="11">
        <v>6170000.0</v>
      </c>
      <c r="DO1472" s="11">
        <v>4530000.0</v>
      </c>
      <c r="DP1472" s="11">
        <v>1.213E7</v>
      </c>
      <c r="DQ1472" s="11">
        <v>1.243E7</v>
      </c>
      <c r="DR1472" s="11">
        <v>1.268E7</v>
      </c>
      <c r="DS1472" s="11">
        <v>1.871E7</v>
      </c>
      <c r="DT1472" s="11">
        <v>1.332E7</v>
      </c>
      <c r="DU1472" s="13"/>
      <c r="DV1472" s="12"/>
      <c r="DW1472" s="12"/>
      <c r="DX1472" s="13"/>
      <c r="DY1472" s="13"/>
      <c r="DZ1472" s="11">
        <v>2.351E7</v>
      </c>
      <c r="EA1472" s="11">
        <v>2.601E7</v>
      </c>
      <c r="EB1472" s="11">
        <v>2.747E7</v>
      </c>
      <c r="EC1472" s="11">
        <v>2.988E7</v>
      </c>
      <c r="ED1472" s="11">
        <v>3.086E7</v>
      </c>
      <c r="EE1472" s="14">
        <v>0.019</v>
      </c>
      <c r="EF1472" s="14">
        <v>0.049</v>
      </c>
      <c r="EG1472" s="14">
        <v>-0.291</v>
      </c>
      <c r="EH1472" s="14">
        <v>-0.066</v>
      </c>
    </row>
    <row r="1473">
      <c r="A1473" s="9">
        <f t="shared" si="2"/>
        <v>1471</v>
      </c>
      <c r="B1473" s="25" t="s">
        <v>1608</v>
      </c>
      <c r="C1473" s="15">
        <v>422150.0</v>
      </c>
      <c r="D1473" s="15">
        <v>399350.0</v>
      </c>
      <c r="E1473" s="15">
        <v>423350.0</v>
      </c>
      <c r="F1473" s="15">
        <v>408520.0</v>
      </c>
      <c r="G1473" s="15">
        <v>380510.0</v>
      </c>
      <c r="H1473" s="15">
        <v>380670.0</v>
      </c>
      <c r="I1473" s="15">
        <v>378150.0</v>
      </c>
      <c r="J1473" s="15">
        <v>229630.0</v>
      </c>
      <c r="K1473" s="15">
        <v>222310.0</v>
      </c>
      <c r="L1473" s="15">
        <v>211010.0</v>
      </c>
      <c r="M1473" s="15">
        <v>211390.0</v>
      </c>
      <c r="N1473" s="15">
        <v>197140.0</v>
      </c>
      <c r="O1473" s="15">
        <v>147250.0</v>
      </c>
      <c r="P1473" s="15">
        <v>143710.0</v>
      </c>
      <c r="Q1473" s="15">
        <v>141600.0</v>
      </c>
      <c r="R1473" s="15">
        <v>140050.0</v>
      </c>
      <c r="S1473" s="15">
        <v>131750.0</v>
      </c>
      <c r="T1473" s="15">
        <v>6500.0</v>
      </c>
      <c r="U1473" s="15">
        <v>7000.0</v>
      </c>
      <c r="V1473" s="15">
        <v>8400.0</v>
      </c>
      <c r="W1473" s="15">
        <v>7700.0</v>
      </c>
      <c r="X1473" s="15">
        <v>9000.0</v>
      </c>
      <c r="Y1473" s="12"/>
      <c r="Z1473" s="12"/>
      <c r="AA1473" s="15">
        <v>68810.0</v>
      </c>
      <c r="AB1473" s="15"/>
      <c r="AC1473" s="15"/>
      <c r="AD1473" s="15">
        <v>80770.0</v>
      </c>
      <c r="AE1473" s="15">
        <v>75180.0</v>
      </c>
      <c r="AF1473" s="15">
        <v>74620.0</v>
      </c>
      <c r="AG1473" s="15">
        <v>72790.0</v>
      </c>
      <c r="AH1473" s="15">
        <v>63110.0</v>
      </c>
      <c r="AI1473" s="15">
        <v>89980.0</v>
      </c>
      <c r="AJ1473" s="15">
        <v>86400.0</v>
      </c>
      <c r="AK1473" s="15">
        <v>76180.0</v>
      </c>
      <c r="AL1473" s="15">
        <v>77810.0</v>
      </c>
      <c r="AM1473" s="15">
        <v>71850.0</v>
      </c>
      <c r="AN1473" s="15">
        <v>55580.0</v>
      </c>
      <c r="AO1473" s="15">
        <v>64790.0</v>
      </c>
      <c r="AP1473" s="15">
        <v>52610.0</v>
      </c>
      <c r="AQ1473" s="15">
        <v>52290.0</v>
      </c>
      <c r="AR1473" s="15">
        <v>44540.0</v>
      </c>
      <c r="AS1473" s="15">
        <v>62850.0</v>
      </c>
      <c r="AT1473" s="15">
        <v>64820.0</v>
      </c>
      <c r="AU1473" s="15">
        <v>52340.0</v>
      </c>
      <c r="AV1473" s="15">
        <v>60600.0</v>
      </c>
      <c r="AW1473" s="15">
        <v>55060.0</v>
      </c>
      <c r="AX1473" s="15">
        <v>-13280.0</v>
      </c>
      <c r="AY1473" s="15">
        <v>-12530.0</v>
      </c>
      <c r="AZ1473" s="15">
        <v>-20150.0</v>
      </c>
      <c r="BA1473" s="15">
        <v>-4350.0</v>
      </c>
      <c r="BB1473" s="15">
        <v>-5780.0</v>
      </c>
      <c r="BC1473" s="15">
        <v>-32890.0</v>
      </c>
      <c r="BD1473" s="15">
        <v>-29590.0</v>
      </c>
      <c r="BE1473" s="15">
        <v>-26810.0</v>
      </c>
      <c r="BF1473" s="15">
        <v>-23670.0</v>
      </c>
      <c r="BG1473" s="15">
        <v>-21720.0</v>
      </c>
      <c r="BH1473" s="15">
        <v>27230.0</v>
      </c>
      <c r="BI1473" s="15">
        <v>49090.0</v>
      </c>
      <c r="BJ1473" s="15">
        <v>117250.0</v>
      </c>
      <c r="BK1473" s="15">
        <v>108520.0</v>
      </c>
      <c r="BL1473" s="15">
        <v>102500.0</v>
      </c>
      <c r="BM1473" s="15">
        <v>72860.0</v>
      </c>
      <c r="BN1473" s="15">
        <v>69030.0</v>
      </c>
      <c r="BO1473" s="15">
        <v>64260.0</v>
      </c>
      <c r="BP1473" s="15">
        <v>64680.0</v>
      </c>
      <c r="BQ1473" s="15">
        <v>58750.0</v>
      </c>
      <c r="BR1473" s="15">
        <v>40680.0</v>
      </c>
      <c r="BS1473" s="15">
        <v>36540.0</v>
      </c>
      <c r="BT1473" s="15">
        <v>35340.0</v>
      </c>
      <c r="BU1473" s="15">
        <v>31790.0</v>
      </c>
      <c r="BV1473" s="15">
        <v>32050.0</v>
      </c>
      <c r="BW1473" s="15">
        <v>148000.0</v>
      </c>
      <c r="BX1473" s="15">
        <v>167980.0</v>
      </c>
      <c r="BY1473" s="15">
        <v>224850.0</v>
      </c>
      <c r="BZ1473" s="15">
        <v>209470.0</v>
      </c>
      <c r="CA1473" s="15">
        <v>205250.0</v>
      </c>
      <c r="CB1473" s="15">
        <v>45080.0</v>
      </c>
      <c r="CC1473" s="15">
        <v>36360.0</v>
      </c>
      <c r="CD1473" s="15">
        <v>29440.0</v>
      </c>
      <c r="CE1473" s="15">
        <v>11550.0</v>
      </c>
      <c r="CF1473" s="15">
        <v>11380.0</v>
      </c>
      <c r="CG1473" s="15">
        <v>95350.0</v>
      </c>
      <c r="CH1473" s="15">
        <v>95620.0</v>
      </c>
      <c r="CI1473" s="15">
        <v>95600.0</v>
      </c>
      <c r="CJ1473" s="15">
        <v>95650.0</v>
      </c>
      <c r="CK1473" s="15">
        <v>96410.0</v>
      </c>
      <c r="CL1473" s="15">
        <v>302660.0</v>
      </c>
      <c r="CM1473" s="15">
        <v>317060.0</v>
      </c>
      <c r="CN1473" s="15">
        <v>369720.0</v>
      </c>
      <c r="CO1473" s="15">
        <v>339670.0</v>
      </c>
      <c r="CP1473" s="15">
        <v>339260.0</v>
      </c>
      <c r="CQ1473" s="15">
        <v>18730.0</v>
      </c>
      <c r="CR1473" s="15">
        <v>19120.0</v>
      </c>
      <c r="CS1473" s="15">
        <v>20900.0</v>
      </c>
      <c r="CT1473" s="15">
        <v>18690.0</v>
      </c>
      <c r="CU1473" s="15">
        <v>17130.0</v>
      </c>
      <c r="CV1473" s="15">
        <v>74590.0</v>
      </c>
      <c r="CW1473" s="15"/>
      <c r="CX1473" s="13"/>
      <c r="CY1473" s="13"/>
      <c r="CZ1473" s="13"/>
      <c r="DA1473" s="12"/>
      <c r="DB1473" s="15">
        <v>74590.0</v>
      </c>
      <c r="DC1473" s="15">
        <v>85900.0</v>
      </c>
      <c r="DD1473" s="15">
        <v>75420.0</v>
      </c>
      <c r="DE1473" s="15">
        <v>58690.0</v>
      </c>
      <c r="DF1473" s="15">
        <v>157190.0</v>
      </c>
      <c r="DG1473" s="15">
        <v>161570.0</v>
      </c>
      <c r="DH1473" s="15">
        <v>230330.0</v>
      </c>
      <c r="DI1473" s="15">
        <v>199270.0</v>
      </c>
      <c r="DJ1473" s="15">
        <v>181400.0</v>
      </c>
      <c r="DK1473" s="12"/>
      <c r="DL1473" s="12"/>
      <c r="DM1473" s="15"/>
      <c r="DN1473" s="15"/>
      <c r="DO1473" s="15"/>
      <c r="DP1473" s="15">
        <v>60220.0</v>
      </c>
      <c r="DQ1473" s="15">
        <v>62800.0</v>
      </c>
      <c r="DR1473" s="15">
        <v>134000.0</v>
      </c>
      <c r="DS1473" s="15">
        <v>122000.0</v>
      </c>
      <c r="DT1473" s="15">
        <v>108000.0</v>
      </c>
      <c r="DU1473" s="13"/>
      <c r="DV1473" s="12"/>
      <c r="DW1473" s="12"/>
      <c r="DX1473" s="13"/>
      <c r="DY1473" s="13"/>
      <c r="DZ1473" s="15">
        <v>145480.0</v>
      </c>
      <c r="EA1473" s="15">
        <v>155490.0</v>
      </c>
      <c r="EB1473" s="15">
        <v>139390.0</v>
      </c>
      <c r="EC1473" s="15">
        <v>140400.0</v>
      </c>
      <c r="ED1473" s="15">
        <v>157860.0</v>
      </c>
      <c r="EE1473" s="23"/>
      <c r="EF1473" s="23"/>
      <c r="EG1473" s="23">
        <v>-0.009</v>
      </c>
      <c r="EH1473" s="23">
        <v>0.204</v>
      </c>
    </row>
    <row r="1474">
      <c r="A1474" s="9">
        <f t="shared" si="2"/>
        <v>1472</v>
      </c>
      <c r="B1474" s="10" t="s">
        <v>1609</v>
      </c>
      <c r="C1474" s="11">
        <v>4950000.0</v>
      </c>
      <c r="D1474" s="11">
        <v>4880000.0</v>
      </c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3"/>
      <c r="BD1474" s="13"/>
      <c r="BE1474" s="13"/>
      <c r="BF1474" s="13"/>
      <c r="BG1474" s="13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3"/>
      <c r="CY1474" s="13"/>
      <c r="CZ1474" s="13"/>
      <c r="DA1474" s="12"/>
      <c r="DB1474" s="12"/>
      <c r="DC1474" s="12"/>
      <c r="DD1474" s="12"/>
      <c r="DE1474" s="12"/>
      <c r="DF1474" s="12"/>
      <c r="DG1474" s="12"/>
      <c r="DH1474" s="12"/>
      <c r="DI1474" s="12"/>
      <c r="DJ1474" s="12"/>
      <c r="DK1474" s="12"/>
      <c r="DL1474" s="12"/>
      <c r="DM1474" s="12"/>
      <c r="DN1474" s="12"/>
      <c r="DO1474" s="13"/>
      <c r="DP1474" s="12"/>
      <c r="DQ1474" s="12"/>
      <c r="DR1474" s="12"/>
      <c r="DS1474" s="12"/>
      <c r="DT1474" s="12"/>
      <c r="DU1474" s="13"/>
      <c r="DV1474" s="12"/>
      <c r="DW1474" s="12"/>
      <c r="DX1474" s="13"/>
      <c r="DY1474" s="13"/>
      <c r="DZ1474" s="12"/>
      <c r="EA1474" s="12"/>
      <c r="EB1474" s="12"/>
      <c r="EC1474" s="12"/>
      <c r="ED1474" s="12"/>
      <c r="EE1474" s="14">
        <v>0.045</v>
      </c>
      <c r="EF1474" s="14">
        <v>0.125</v>
      </c>
      <c r="EG1474" s="14">
        <v>1.027</v>
      </c>
      <c r="EH1474" s="14">
        <v>0.906</v>
      </c>
    </row>
    <row r="1475">
      <c r="A1475" s="9">
        <f t="shared" si="2"/>
        <v>1473</v>
      </c>
      <c r="B1475" s="10" t="s">
        <v>1610</v>
      </c>
      <c r="C1475" s="15">
        <v>1760000.0</v>
      </c>
      <c r="D1475" s="15">
        <v>1720000.0</v>
      </c>
      <c r="E1475" s="15">
        <v>1710000.0</v>
      </c>
      <c r="F1475" s="15">
        <v>1590000.0</v>
      </c>
      <c r="G1475" s="15">
        <v>1220000.0</v>
      </c>
      <c r="H1475" s="15">
        <v>1440000.0</v>
      </c>
      <c r="I1475" s="15">
        <v>1870000.0</v>
      </c>
      <c r="J1475" s="15">
        <v>474050.0</v>
      </c>
      <c r="K1475" s="15">
        <v>474300.0</v>
      </c>
      <c r="L1475" s="15">
        <v>475450.0</v>
      </c>
      <c r="M1475" s="15">
        <v>502850.0</v>
      </c>
      <c r="N1475" s="15">
        <v>549780.0</v>
      </c>
      <c r="O1475" s="15">
        <v>200210.0</v>
      </c>
      <c r="P1475" s="15">
        <v>217490.0</v>
      </c>
      <c r="Q1475" s="15">
        <v>203590.0</v>
      </c>
      <c r="R1475" s="15">
        <v>245870.0</v>
      </c>
      <c r="S1475" s="15">
        <v>256550.0</v>
      </c>
      <c r="T1475" s="15"/>
      <c r="U1475" s="15"/>
      <c r="V1475" s="15"/>
      <c r="W1475" s="15"/>
      <c r="X1475" s="15"/>
      <c r="Y1475" s="15">
        <v>241880.0</v>
      </c>
      <c r="Z1475" s="15">
        <v>230770.0</v>
      </c>
      <c r="AA1475" s="15">
        <v>-25270.0</v>
      </c>
      <c r="AB1475" s="15">
        <v>228060.0</v>
      </c>
      <c r="AC1475" s="15">
        <v>230410.0</v>
      </c>
      <c r="AD1475" s="15">
        <v>171480.0</v>
      </c>
      <c r="AE1475" s="15">
        <v>574920.0</v>
      </c>
      <c r="AF1475" s="15">
        <v>101020.0</v>
      </c>
      <c r="AG1475" s="15">
        <v>201690.0</v>
      </c>
      <c r="AH1475" s="15">
        <v>234130.0</v>
      </c>
      <c r="AI1475" s="15">
        <v>405540.0</v>
      </c>
      <c r="AJ1475" s="15">
        <v>385690.0</v>
      </c>
      <c r="AK1475" s="15">
        <v>397540.0</v>
      </c>
      <c r="AL1475" s="15">
        <v>377090.0</v>
      </c>
      <c r="AM1475" s="15">
        <v>429670.0</v>
      </c>
      <c r="AN1475" s="15">
        <v>136940.0</v>
      </c>
      <c r="AO1475" s="15">
        <v>460120.0</v>
      </c>
      <c r="AP1475" s="15">
        <v>194030.0</v>
      </c>
      <c r="AQ1475" s="15">
        <v>129620.0</v>
      </c>
      <c r="AR1475" s="15">
        <v>139980.0</v>
      </c>
      <c r="AS1475" s="15">
        <v>288930.0</v>
      </c>
      <c r="AT1475" s="15">
        <v>224230.0</v>
      </c>
      <c r="AU1475" s="15">
        <v>238790.0</v>
      </c>
      <c r="AV1475" s="15">
        <v>179200.0</v>
      </c>
      <c r="AW1475" s="15">
        <v>236120.0</v>
      </c>
      <c r="AX1475" s="15">
        <v>-74450.0</v>
      </c>
      <c r="AY1475" s="15">
        <v>-69860.0</v>
      </c>
      <c r="AZ1475" s="15">
        <v>-81710.0</v>
      </c>
      <c r="BA1475" s="15">
        <v>-150020.0</v>
      </c>
      <c r="BB1475" s="15">
        <v>-251620.0</v>
      </c>
      <c r="BC1475" s="13">
        <v>-96360.0</v>
      </c>
      <c r="BD1475" s="13">
        <v>-80530.0</v>
      </c>
      <c r="BE1475" s="13">
        <v>-68320.0</v>
      </c>
      <c r="BF1475" s="13">
        <v>-63830.0</v>
      </c>
      <c r="BG1475" s="13">
        <v>-71850.0</v>
      </c>
      <c r="BH1475" s="15">
        <v>358710.0</v>
      </c>
      <c r="BI1475" s="15">
        <v>537770.0</v>
      </c>
      <c r="BJ1475" s="15">
        <v>266680.0</v>
      </c>
      <c r="BK1475" s="15">
        <v>331610.0</v>
      </c>
      <c r="BL1475" s="15">
        <v>437480.0</v>
      </c>
      <c r="BM1475" s="15">
        <v>171860.0</v>
      </c>
      <c r="BN1475" s="15">
        <v>109810.0</v>
      </c>
      <c r="BO1475" s="15">
        <v>114390.0</v>
      </c>
      <c r="BP1475" s="15">
        <v>98830.0</v>
      </c>
      <c r="BQ1475" s="15">
        <v>104850.0</v>
      </c>
      <c r="BR1475" s="15">
        <v>3890.0</v>
      </c>
      <c r="BS1475" s="15">
        <v>3690.0</v>
      </c>
      <c r="BT1475" s="15">
        <v>3160.0</v>
      </c>
      <c r="BU1475" s="15">
        <v>2850.0</v>
      </c>
      <c r="BV1475" s="15">
        <v>4310.0</v>
      </c>
      <c r="BW1475" s="15">
        <v>554050.0</v>
      </c>
      <c r="BX1475" s="15">
        <v>665720.0</v>
      </c>
      <c r="BY1475" s="15">
        <v>404350.0</v>
      </c>
      <c r="BZ1475" s="15">
        <v>452530.0</v>
      </c>
      <c r="CA1475" s="15">
        <v>616570.0</v>
      </c>
      <c r="CB1475" s="15">
        <v>2030000.0</v>
      </c>
      <c r="CC1475" s="15">
        <v>1210000.0</v>
      </c>
      <c r="CD1475" s="15">
        <v>1260000.0</v>
      </c>
      <c r="CE1475" s="15">
        <v>1190000.0</v>
      </c>
      <c r="CF1475" s="15">
        <v>1230000.0</v>
      </c>
      <c r="CG1475" s="15">
        <v>755910.0</v>
      </c>
      <c r="CH1475" s="15">
        <v>747880.0</v>
      </c>
      <c r="CI1475" s="15">
        <v>743330.0</v>
      </c>
      <c r="CJ1475" s="15">
        <v>741410.0</v>
      </c>
      <c r="CK1475" s="15">
        <v>770780.0</v>
      </c>
      <c r="CL1475" s="15">
        <v>5440000.0</v>
      </c>
      <c r="CM1475" s="15">
        <v>4420000.0</v>
      </c>
      <c r="CN1475" s="15">
        <v>4200000.0</v>
      </c>
      <c r="CO1475" s="15">
        <v>4100000.0</v>
      </c>
      <c r="CP1475" s="15">
        <v>4110000.0</v>
      </c>
      <c r="CQ1475" s="15">
        <v>89450.0</v>
      </c>
      <c r="CR1475" s="15">
        <v>21740.0</v>
      </c>
      <c r="CS1475" s="15">
        <v>22760.0</v>
      </c>
      <c r="CT1475" s="15">
        <v>27640.0</v>
      </c>
      <c r="CU1475" s="15">
        <v>53680.0</v>
      </c>
      <c r="CV1475" s="15">
        <v>349700.0</v>
      </c>
      <c r="CW1475" s="15">
        <v>43780.0</v>
      </c>
      <c r="CX1475" s="13"/>
      <c r="CY1475" s="13"/>
      <c r="CZ1475" s="13"/>
      <c r="DA1475" s="12"/>
      <c r="DB1475" s="15">
        <v>349700.0</v>
      </c>
      <c r="DC1475" s="15">
        <v>284190.0</v>
      </c>
      <c r="DD1475" s="15">
        <v>227160.0</v>
      </c>
      <c r="DE1475" s="15">
        <v>230080.0</v>
      </c>
      <c r="DF1475" s="15">
        <v>4920000.0</v>
      </c>
      <c r="DG1475" s="15">
        <v>3770000.0</v>
      </c>
      <c r="DH1475" s="15">
        <v>3630000.0</v>
      </c>
      <c r="DI1475" s="15">
        <v>3570000.0</v>
      </c>
      <c r="DJ1475" s="15">
        <v>3360000.0</v>
      </c>
      <c r="DK1475" s="15">
        <v>302560.0</v>
      </c>
      <c r="DL1475" s="15">
        <v>274140.0</v>
      </c>
      <c r="DM1475" s="15">
        <v>285260.0</v>
      </c>
      <c r="DN1475" s="15">
        <v>57720.0</v>
      </c>
      <c r="DO1475" s="15">
        <v>59560.0</v>
      </c>
      <c r="DP1475" s="15">
        <v>3640000.0</v>
      </c>
      <c r="DQ1475" s="15">
        <v>2750000.0</v>
      </c>
      <c r="DR1475" s="15">
        <v>2720000.0</v>
      </c>
      <c r="DS1475" s="15">
        <v>2490000.0</v>
      </c>
      <c r="DT1475" s="15">
        <v>2400000.0</v>
      </c>
      <c r="DU1475" s="13"/>
      <c r="DV1475" s="12"/>
      <c r="DW1475" s="12"/>
      <c r="DX1475" s="13"/>
      <c r="DY1475" s="13"/>
      <c r="DZ1475" s="15">
        <v>516360.0</v>
      </c>
      <c r="EA1475" s="15">
        <v>648450.0</v>
      </c>
      <c r="EB1475" s="15">
        <v>573200.0</v>
      </c>
      <c r="EC1475" s="15">
        <v>527740.0</v>
      </c>
      <c r="ED1475" s="15">
        <v>752910.0</v>
      </c>
      <c r="EE1475" s="23">
        <v>0.052325581</v>
      </c>
      <c r="EF1475" s="23">
        <v>0.079545455</v>
      </c>
      <c r="EG1475" s="17">
        <v>-0.1</v>
      </c>
      <c r="EH1475" s="23">
        <v>0.0565</v>
      </c>
    </row>
    <row r="1476">
      <c r="A1476" s="9">
        <f t="shared" si="2"/>
        <v>1474</v>
      </c>
      <c r="B1476" s="10" t="s">
        <v>1611</v>
      </c>
      <c r="C1476" s="11">
        <v>2540000.0</v>
      </c>
      <c r="D1476" s="11">
        <v>2380000.0</v>
      </c>
      <c r="E1476" s="11">
        <v>2460000.0</v>
      </c>
      <c r="F1476" s="11">
        <v>2460000.0</v>
      </c>
      <c r="G1476" s="11">
        <v>2120000.0</v>
      </c>
      <c r="H1476" s="11">
        <v>2010000.0</v>
      </c>
      <c r="I1476" s="11">
        <v>2090000.0</v>
      </c>
      <c r="J1476" s="11">
        <v>338500.0</v>
      </c>
      <c r="K1476" s="11">
        <v>319930.0</v>
      </c>
      <c r="L1476" s="11">
        <v>264980.0</v>
      </c>
      <c r="M1476" s="11">
        <v>240550.0</v>
      </c>
      <c r="N1476" s="11">
        <v>304240.0</v>
      </c>
      <c r="O1476" s="11">
        <v>35360.0</v>
      </c>
      <c r="P1476" s="11">
        <v>34590.0</v>
      </c>
      <c r="Q1476" s="11">
        <v>16290.0</v>
      </c>
      <c r="R1476" s="11">
        <v>15860.0</v>
      </c>
      <c r="S1476" s="11">
        <v>15810.0</v>
      </c>
      <c r="T1476" s="12"/>
      <c r="U1476" s="12"/>
      <c r="V1476" s="12"/>
      <c r="W1476" s="12"/>
      <c r="X1476" s="12"/>
      <c r="Y1476" s="12"/>
      <c r="Z1476" s="12"/>
      <c r="AA1476" s="11"/>
      <c r="AB1476" s="12"/>
      <c r="AC1476" s="12"/>
      <c r="AD1476" s="11">
        <v>221910.0</v>
      </c>
      <c r="AE1476" s="11">
        <v>223880.0</v>
      </c>
      <c r="AF1476" s="11">
        <v>144560.0</v>
      </c>
      <c r="AG1476" s="11">
        <v>127460.0</v>
      </c>
      <c r="AH1476" s="11">
        <v>201160.0</v>
      </c>
      <c r="AI1476" s="11">
        <v>453400.0</v>
      </c>
      <c r="AJ1476" s="11">
        <v>429470.0</v>
      </c>
      <c r="AK1476" s="11">
        <v>361460.0</v>
      </c>
      <c r="AL1476" s="11">
        <v>335800.0</v>
      </c>
      <c r="AM1476" s="11">
        <v>392690.0</v>
      </c>
      <c r="AN1476" s="11">
        <v>166940.0</v>
      </c>
      <c r="AO1476" s="11">
        <v>168150.0</v>
      </c>
      <c r="AP1476" s="11">
        <v>202890.0</v>
      </c>
      <c r="AQ1476" s="11">
        <v>79130.0</v>
      </c>
      <c r="AR1476" s="11">
        <v>123710.0</v>
      </c>
      <c r="AS1476" s="11">
        <v>426640.0</v>
      </c>
      <c r="AT1476" s="11">
        <v>418160.0</v>
      </c>
      <c r="AU1476" s="11">
        <v>281840.0</v>
      </c>
      <c r="AV1476" s="11">
        <v>312400.0</v>
      </c>
      <c r="AW1476" s="11">
        <v>370390.0</v>
      </c>
      <c r="AX1476" s="11">
        <v>-420750.0</v>
      </c>
      <c r="AY1476" s="11">
        <v>-519870.0</v>
      </c>
      <c r="AZ1476" s="11">
        <v>-316340.0</v>
      </c>
      <c r="BA1476" s="11">
        <v>-537840.0</v>
      </c>
      <c r="BB1476" s="11">
        <v>-454100.0</v>
      </c>
      <c r="BC1476" s="11">
        <v>-286190.0</v>
      </c>
      <c r="BD1476" s="11">
        <v>-23010.0</v>
      </c>
      <c r="BE1476" s="11">
        <v>-18780.0</v>
      </c>
      <c r="BF1476" s="11">
        <v>-17290.0</v>
      </c>
      <c r="BG1476" s="11">
        <v>-15120.0</v>
      </c>
      <c r="BH1476" s="11">
        <v>33440.0</v>
      </c>
      <c r="BI1476" s="11">
        <v>33930.0</v>
      </c>
      <c r="BJ1476" s="11">
        <v>13630.0</v>
      </c>
      <c r="BK1476" s="11">
        <v>16960.0</v>
      </c>
      <c r="BL1476" s="11">
        <v>31830.0</v>
      </c>
      <c r="BM1476" s="11">
        <v>386660.0</v>
      </c>
      <c r="BN1476" s="11">
        <v>379440.0</v>
      </c>
      <c r="BO1476" s="11">
        <v>342980.0</v>
      </c>
      <c r="BP1476" s="11">
        <v>312630.0</v>
      </c>
      <c r="BQ1476" s="11">
        <v>299910.0</v>
      </c>
      <c r="BR1476" s="11">
        <v>9240.0</v>
      </c>
      <c r="BS1476" s="11">
        <v>10060.0</v>
      </c>
      <c r="BT1476" s="11">
        <v>11690.0</v>
      </c>
      <c r="BU1476" s="11">
        <v>12770.0</v>
      </c>
      <c r="BV1476" s="11">
        <v>16420.0</v>
      </c>
      <c r="BW1476" s="11">
        <v>466330.0</v>
      </c>
      <c r="BX1476" s="11">
        <v>456660.0</v>
      </c>
      <c r="BY1476" s="11">
        <v>400230.0</v>
      </c>
      <c r="BZ1476" s="11">
        <v>373130.0</v>
      </c>
      <c r="CA1476" s="11">
        <v>379500.0</v>
      </c>
      <c r="CB1476" s="11">
        <v>1540000.0</v>
      </c>
      <c r="CC1476" s="11">
        <v>1490000.0</v>
      </c>
      <c r="CD1476" s="11">
        <v>1350000.0</v>
      </c>
      <c r="CE1476" s="11">
        <v>1360000.0</v>
      </c>
      <c r="CF1476" s="11">
        <v>1150000.0</v>
      </c>
      <c r="CG1476" s="11"/>
      <c r="CH1476" s="11"/>
      <c r="CI1476" s="11"/>
      <c r="CJ1476" s="11"/>
      <c r="CK1476" s="11"/>
      <c r="CL1476" s="11">
        <v>2140000.0</v>
      </c>
      <c r="CM1476" s="11">
        <v>2080000.0</v>
      </c>
      <c r="CN1476" s="11">
        <v>1810000.0</v>
      </c>
      <c r="CO1476" s="11">
        <v>1790000.0</v>
      </c>
      <c r="CP1476" s="11">
        <v>1590000.0</v>
      </c>
      <c r="CQ1476" s="11">
        <v>94630.0</v>
      </c>
      <c r="CR1476" s="11">
        <v>97780.0</v>
      </c>
      <c r="CS1476" s="11">
        <v>73800.0</v>
      </c>
      <c r="CT1476" s="11">
        <v>66620.0</v>
      </c>
      <c r="CU1476" s="11">
        <v>70640.0</v>
      </c>
      <c r="CV1476" s="11">
        <v>308840.0</v>
      </c>
      <c r="CW1476" s="11">
        <v>3580.0</v>
      </c>
      <c r="CX1476" s="12"/>
      <c r="CY1476" s="11">
        <v>21540.0</v>
      </c>
      <c r="CZ1476" s="12"/>
      <c r="DA1476" s="12"/>
      <c r="DB1476" s="11">
        <v>308840.0</v>
      </c>
      <c r="DC1476" s="11">
        <v>310360.0</v>
      </c>
      <c r="DD1476" s="11">
        <v>232180.0</v>
      </c>
      <c r="DE1476" s="11">
        <v>214860.0</v>
      </c>
      <c r="DF1476" s="11">
        <v>1030000.0</v>
      </c>
      <c r="DG1476" s="11">
        <v>818750.0</v>
      </c>
      <c r="DH1476" s="11">
        <v>623210.0</v>
      </c>
      <c r="DI1476" s="11">
        <v>798220.0</v>
      </c>
      <c r="DJ1476" s="11">
        <v>649990.0</v>
      </c>
      <c r="DK1476" s="12"/>
      <c r="DL1476" s="11"/>
      <c r="DM1476" s="11"/>
      <c r="DN1476" s="11"/>
      <c r="DO1476" s="12"/>
      <c r="DP1476" s="11">
        <v>233150.0</v>
      </c>
      <c r="DQ1476" s="11">
        <v>50000.0</v>
      </c>
      <c r="DR1476" s="11">
        <v>75000.0</v>
      </c>
      <c r="DS1476" s="11">
        <v>160000.0</v>
      </c>
      <c r="DT1476" s="11">
        <v>75000.0</v>
      </c>
      <c r="DU1476" s="13"/>
      <c r="DV1476" s="12"/>
      <c r="DW1476" s="12"/>
      <c r="DX1476" s="12"/>
      <c r="DY1476" s="12"/>
      <c r="DZ1476" s="11">
        <v>1110000.0</v>
      </c>
      <c r="EA1476" s="11">
        <v>1260000.0</v>
      </c>
      <c r="EB1476" s="11">
        <v>1180000.0</v>
      </c>
      <c r="EC1476" s="11">
        <v>994790.0</v>
      </c>
      <c r="ED1476" s="11">
        <v>935650.0</v>
      </c>
      <c r="EE1476" s="14">
        <v>0.05</v>
      </c>
      <c r="EF1476" s="14">
        <v>0.075</v>
      </c>
      <c r="EG1476" s="14">
        <v>0.55</v>
      </c>
      <c r="EH1476" s="14">
        <v>0.199</v>
      </c>
    </row>
    <row r="1477">
      <c r="A1477" s="9">
        <f t="shared" si="2"/>
        <v>1475</v>
      </c>
      <c r="B1477" s="25" t="s">
        <v>1612</v>
      </c>
      <c r="C1477" s="15">
        <v>297040.0</v>
      </c>
      <c r="D1477" s="15">
        <v>283750.0</v>
      </c>
      <c r="E1477" s="15">
        <v>304010.0</v>
      </c>
      <c r="F1477" s="15">
        <v>298380.0</v>
      </c>
      <c r="G1477" s="15">
        <v>283750.0</v>
      </c>
      <c r="H1477" s="15">
        <v>296930.0</v>
      </c>
      <c r="I1477" s="15">
        <v>320620.0</v>
      </c>
      <c r="J1477" s="15">
        <v>123960.0</v>
      </c>
      <c r="K1477" s="15">
        <v>116370.0</v>
      </c>
      <c r="L1477" s="15">
        <v>106740.0</v>
      </c>
      <c r="M1477" s="15">
        <v>108370.0</v>
      </c>
      <c r="N1477" s="15">
        <v>118000.0</v>
      </c>
      <c r="O1477" s="15">
        <v>96660.0</v>
      </c>
      <c r="P1477" s="15">
        <v>90660.0</v>
      </c>
      <c r="Q1477" s="15">
        <v>83330.0</v>
      </c>
      <c r="R1477" s="15">
        <v>85250.0</v>
      </c>
      <c r="S1477" s="15">
        <v>88670.0</v>
      </c>
      <c r="T1477" s="15"/>
      <c r="U1477" s="15"/>
      <c r="V1477" s="15"/>
      <c r="W1477" s="15"/>
      <c r="X1477" s="15"/>
      <c r="Y1477" s="15">
        <v>27040.0</v>
      </c>
      <c r="Z1477" s="15">
        <v>25460.0</v>
      </c>
      <c r="AA1477" s="15"/>
      <c r="AB1477" s="15">
        <v>21240.0</v>
      </c>
      <c r="AC1477" s="15">
        <v>29790.0</v>
      </c>
      <c r="AD1477" s="15">
        <v>27080.0</v>
      </c>
      <c r="AE1477" s="15">
        <v>25760.0</v>
      </c>
      <c r="AF1477" s="15">
        <v>23920.0</v>
      </c>
      <c r="AG1477" s="15">
        <v>22080.0</v>
      </c>
      <c r="AH1477" s="15">
        <v>29120.0</v>
      </c>
      <c r="AI1477" s="15">
        <v>30820.0</v>
      </c>
      <c r="AJ1477" s="15">
        <v>29740.0</v>
      </c>
      <c r="AK1477" s="15">
        <v>27720.0</v>
      </c>
      <c r="AL1477" s="15">
        <v>27180.0</v>
      </c>
      <c r="AM1477" s="15">
        <v>33370.0</v>
      </c>
      <c r="AN1477" s="15">
        <v>20880.0</v>
      </c>
      <c r="AO1477" s="15">
        <v>20480.0</v>
      </c>
      <c r="AP1477" s="15">
        <v>16490.0</v>
      </c>
      <c r="AQ1477" s="15">
        <v>16470.0</v>
      </c>
      <c r="AR1477" s="15">
        <v>18210.0</v>
      </c>
      <c r="AS1477" s="15">
        <v>9390.0</v>
      </c>
      <c r="AT1477" s="15">
        <v>13050.0</v>
      </c>
      <c r="AU1477" s="15">
        <v>33520.0</v>
      </c>
      <c r="AV1477" s="15">
        <v>46870.0</v>
      </c>
      <c r="AW1477" s="15">
        <v>-5730.0</v>
      </c>
      <c r="AX1477" s="15">
        <v>-7390.0</v>
      </c>
      <c r="AY1477" s="15">
        <v>-1410.0</v>
      </c>
      <c r="AZ1477" s="15">
        <v>-1580.0</v>
      </c>
      <c r="BA1477" s="15">
        <v>-5990.0</v>
      </c>
      <c r="BB1477" s="15">
        <v>-2480.0</v>
      </c>
      <c r="BC1477" s="15">
        <v>-9410.0</v>
      </c>
      <c r="BD1477" s="15">
        <v>-9210.0</v>
      </c>
      <c r="BE1477" s="15">
        <v>-8880.0</v>
      </c>
      <c r="BF1477" s="15">
        <v>-8720.0</v>
      </c>
      <c r="BG1477" s="15">
        <v>-8450.0</v>
      </c>
      <c r="BH1477" s="15">
        <v>15700.0</v>
      </c>
      <c r="BI1477" s="15">
        <v>24500.0</v>
      </c>
      <c r="BJ1477" s="15">
        <v>29420.0</v>
      </c>
      <c r="BK1477" s="15">
        <v>18310.0</v>
      </c>
      <c r="BL1477" s="15">
        <v>22450.0</v>
      </c>
      <c r="BM1477" s="15">
        <v>51530.0</v>
      </c>
      <c r="BN1477" s="15">
        <v>51530.0</v>
      </c>
      <c r="BO1477" s="15">
        <v>50120.0</v>
      </c>
      <c r="BP1477" s="15">
        <v>51520.0</v>
      </c>
      <c r="BQ1477" s="15">
        <v>54010.0</v>
      </c>
      <c r="BR1477" s="15">
        <v>86710.0</v>
      </c>
      <c r="BS1477" s="15">
        <v>72680.0</v>
      </c>
      <c r="BT1477" s="15">
        <v>60270.0</v>
      </c>
      <c r="BU1477" s="15">
        <v>69900.0</v>
      </c>
      <c r="BV1477" s="15">
        <v>97180.0</v>
      </c>
      <c r="BW1477" s="15">
        <v>160000.0</v>
      </c>
      <c r="BX1477" s="15">
        <v>154100.0</v>
      </c>
      <c r="BY1477" s="15">
        <v>145580.0</v>
      </c>
      <c r="BZ1477" s="15">
        <v>145930.0</v>
      </c>
      <c r="CA1477" s="15">
        <v>179480.0</v>
      </c>
      <c r="CB1477" s="15">
        <v>50970.0</v>
      </c>
      <c r="CC1477" s="15">
        <v>28710.0</v>
      </c>
      <c r="CD1477" s="15">
        <v>31640.0</v>
      </c>
      <c r="CE1477" s="15">
        <v>33720.0</v>
      </c>
      <c r="CF1477" s="15">
        <v>31830.0</v>
      </c>
      <c r="CG1477" s="15">
        <v>11110.0</v>
      </c>
      <c r="CH1477" s="15">
        <v>11110.0</v>
      </c>
      <c r="CI1477" s="15">
        <v>11110.0</v>
      </c>
      <c r="CJ1477" s="15">
        <v>11110.0</v>
      </c>
      <c r="CK1477" s="15">
        <v>11110.0</v>
      </c>
      <c r="CL1477" s="15">
        <v>296920.0</v>
      </c>
      <c r="CM1477" s="15">
        <v>270040.0</v>
      </c>
      <c r="CN1477" s="15">
        <v>262830.0</v>
      </c>
      <c r="CO1477" s="15">
        <v>268240.0</v>
      </c>
      <c r="CP1477" s="15">
        <v>299000.0</v>
      </c>
      <c r="CQ1477" s="15">
        <v>12460.0</v>
      </c>
      <c r="CR1477" s="15">
        <v>12760.0</v>
      </c>
      <c r="CS1477" s="15">
        <v>8910.0</v>
      </c>
      <c r="CT1477" s="15">
        <v>11940.0</v>
      </c>
      <c r="CU1477" s="15">
        <v>13340.0</v>
      </c>
      <c r="CV1477" s="15">
        <v>41880.0</v>
      </c>
      <c r="CW1477" s="15">
        <v>13550.0</v>
      </c>
      <c r="CX1477" s="15">
        <v>5840.0</v>
      </c>
      <c r="CY1477" s="15"/>
      <c r="CZ1477" s="15">
        <v>4270.0</v>
      </c>
      <c r="DA1477" s="15">
        <v>26650.0</v>
      </c>
      <c r="DB1477" s="15">
        <v>41880.0</v>
      </c>
      <c r="DC1477" s="15">
        <v>36130.0</v>
      </c>
      <c r="DD1477" s="15">
        <v>25160.0</v>
      </c>
      <c r="DE1477" s="15">
        <v>28970.0</v>
      </c>
      <c r="DF1477" s="15">
        <v>86920.0</v>
      </c>
      <c r="DG1477" s="15">
        <v>64460.0</v>
      </c>
      <c r="DH1477" s="15">
        <v>57170.0</v>
      </c>
      <c r="DI1477" s="15">
        <v>59960.0</v>
      </c>
      <c r="DJ1477" s="15">
        <v>94270.0</v>
      </c>
      <c r="DK1477" s="15">
        <v>18000.0</v>
      </c>
      <c r="DL1477" s="15">
        <v>20850.0</v>
      </c>
      <c r="DM1477" s="15">
        <v>20070.0</v>
      </c>
      <c r="DN1477" s="15">
        <v>23360.0</v>
      </c>
      <c r="DO1477" s="15">
        <v>22970.0</v>
      </c>
      <c r="DP1477" s="15">
        <v>14110.0</v>
      </c>
      <c r="DQ1477" s="15"/>
      <c r="DR1477" s="15"/>
      <c r="DS1477" s="15"/>
      <c r="DT1477" s="15"/>
      <c r="DU1477" s="13"/>
      <c r="DV1477" s="12"/>
      <c r="DW1477" s="12"/>
      <c r="DX1477" s="13"/>
      <c r="DY1477" s="13"/>
      <c r="DZ1477" s="15">
        <v>209990.0</v>
      </c>
      <c r="EA1477" s="15">
        <v>205580.0</v>
      </c>
      <c r="EB1477" s="15">
        <v>198540.0</v>
      </c>
      <c r="EC1477" s="15">
        <v>201590.0</v>
      </c>
      <c r="ED1477" s="15">
        <v>198380.0</v>
      </c>
      <c r="EE1477" s="17">
        <v>0.0</v>
      </c>
      <c r="EF1477" s="17">
        <v>0.0</v>
      </c>
      <c r="EG1477" s="17">
        <v>-0.16</v>
      </c>
      <c r="EH1477" s="17">
        <v>-0.074</v>
      </c>
    </row>
    <row r="1478">
      <c r="A1478" s="9">
        <f t="shared" si="2"/>
        <v>1476</v>
      </c>
      <c r="B1478" s="25" t="s">
        <v>1613</v>
      </c>
      <c r="C1478" s="15">
        <v>2810000.0</v>
      </c>
      <c r="D1478" s="15">
        <v>2330000.0</v>
      </c>
      <c r="E1478" s="15">
        <v>1990000.0</v>
      </c>
      <c r="F1478" s="15">
        <v>2020000.0</v>
      </c>
      <c r="G1478" s="15">
        <v>1550000.0</v>
      </c>
      <c r="H1478" s="15">
        <v>975230.0</v>
      </c>
      <c r="I1478" s="15">
        <v>976510.0</v>
      </c>
      <c r="J1478" s="15">
        <v>299290.0</v>
      </c>
      <c r="K1478" s="15">
        <v>290510.0</v>
      </c>
      <c r="L1478" s="15">
        <v>229550.0</v>
      </c>
      <c r="M1478" s="15">
        <v>133150.0</v>
      </c>
      <c r="N1478" s="15">
        <v>108780.0</v>
      </c>
      <c r="O1478" s="15">
        <v>142080.0</v>
      </c>
      <c r="P1478" s="15">
        <v>127940.0</v>
      </c>
      <c r="Q1478" s="15">
        <v>91020.0</v>
      </c>
      <c r="R1478" s="15">
        <v>47510.0</v>
      </c>
      <c r="S1478" s="15">
        <v>48900.0</v>
      </c>
      <c r="T1478" s="15"/>
      <c r="U1478" s="15"/>
      <c r="V1478" s="15"/>
      <c r="W1478" s="15">
        <v>4000.0</v>
      </c>
      <c r="X1478" s="15">
        <v>3900.0</v>
      </c>
      <c r="Y1478" s="15">
        <v>155270.0</v>
      </c>
      <c r="Z1478" s="15">
        <v>160390.0</v>
      </c>
      <c r="AA1478" s="15">
        <v>125110.0</v>
      </c>
      <c r="AB1478" s="15">
        <v>65740.0</v>
      </c>
      <c r="AC1478" s="15">
        <v>59420.0</v>
      </c>
      <c r="AD1478" s="15">
        <v>138910.0</v>
      </c>
      <c r="AE1478" s="15">
        <v>142640.0</v>
      </c>
      <c r="AF1478" s="15">
        <v>108600.0</v>
      </c>
      <c r="AG1478" s="15">
        <v>66200.0</v>
      </c>
      <c r="AH1478" s="15">
        <v>59530.0</v>
      </c>
      <c r="AI1478" s="15">
        <v>180530.0</v>
      </c>
      <c r="AJ1478" s="15">
        <v>181750.0</v>
      </c>
      <c r="AK1478" s="15">
        <v>138880.0</v>
      </c>
      <c r="AL1478" s="15">
        <v>74890.0</v>
      </c>
      <c r="AM1478" s="15">
        <v>64390.0</v>
      </c>
      <c r="AN1478" s="15">
        <v>111800.0</v>
      </c>
      <c r="AO1478" s="15">
        <v>102360.0</v>
      </c>
      <c r="AP1478" s="15">
        <v>71330.0</v>
      </c>
      <c r="AQ1478" s="15">
        <v>45500.0</v>
      </c>
      <c r="AR1478" s="15">
        <v>41210.0</v>
      </c>
      <c r="AS1478" s="15">
        <v>133750.0</v>
      </c>
      <c r="AT1478" s="15">
        <v>83350.0</v>
      </c>
      <c r="AU1478" s="15">
        <v>97130.0</v>
      </c>
      <c r="AV1478" s="15">
        <v>52750.0</v>
      </c>
      <c r="AW1478" s="15">
        <v>45180.0</v>
      </c>
      <c r="AX1478" s="15">
        <v>-40860.0</v>
      </c>
      <c r="AY1478" s="15">
        <v>-28670.0</v>
      </c>
      <c r="AZ1478" s="15">
        <v>-13990.0</v>
      </c>
      <c r="BA1478" s="15">
        <v>-24550.0</v>
      </c>
      <c r="BB1478" s="15">
        <v>-16570.0</v>
      </c>
      <c r="BC1478" s="15">
        <v>-13670.0</v>
      </c>
      <c r="BD1478" s="15">
        <v>-12740.0</v>
      </c>
      <c r="BE1478" s="15">
        <v>-12740.0</v>
      </c>
      <c r="BF1478" s="15">
        <v>-10890.0</v>
      </c>
      <c r="BG1478" s="15">
        <v>-9770.0</v>
      </c>
      <c r="BH1478" s="15">
        <v>37430.0</v>
      </c>
      <c r="BI1478" s="15">
        <v>2340.0</v>
      </c>
      <c r="BJ1478" s="15">
        <v>35950.0</v>
      </c>
      <c r="BK1478" s="15">
        <v>85580.0</v>
      </c>
      <c r="BL1478" s="15">
        <v>70240.0</v>
      </c>
      <c r="BM1478" s="15">
        <v>158050.0</v>
      </c>
      <c r="BN1478" s="15">
        <v>164590.0</v>
      </c>
      <c r="BO1478" s="15">
        <v>124540.0</v>
      </c>
      <c r="BP1478" s="15">
        <v>66180.0</v>
      </c>
      <c r="BQ1478" s="15">
        <v>66940.0</v>
      </c>
      <c r="BR1478" s="15">
        <v>201130.0</v>
      </c>
      <c r="BS1478" s="15">
        <v>195130.0</v>
      </c>
      <c r="BT1478" s="15">
        <v>142270.0</v>
      </c>
      <c r="BU1478" s="15">
        <v>122520.0</v>
      </c>
      <c r="BV1478" s="15">
        <v>112170.0</v>
      </c>
      <c r="BW1478" s="15">
        <v>410660.0</v>
      </c>
      <c r="BX1478" s="15">
        <v>371940.0</v>
      </c>
      <c r="BY1478" s="15">
        <v>314140.0</v>
      </c>
      <c r="BZ1478" s="15">
        <v>280590.0</v>
      </c>
      <c r="CA1478" s="15">
        <v>266220.0</v>
      </c>
      <c r="CB1478" s="15">
        <v>127570.0</v>
      </c>
      <c r="CC1478" s="15">
        <v>101190.0</v>
      </c>
      <c r="CD1478" s="15">
        <v>71560.0</v>
      </c>
      <c r="CE1478" s="15">
        <v>55930.0</v>
      </c>
      <c r="CF1478" s="15">
        <v>37250.0</v>
      </c>
      <c r="CG1478" s="15">
        <v>274930.0</v>
      </c>
      <c r="CH1478" s="15">
        <v>274370.0</v>
      </c>
      <c r="CI1478" s="15">
        <v>242730.0</v>
      </c>
      <c r="CJ1478" s="15">
        <v>1230.0</v>
      </c>
      <c r="CK1478" s="15">
        <v>1230.0</v>
      </c>
      <c r="CL1478" s="15">
        <v>1130000.0</v>
      </c>
      <c r="CM1478" s="15">
        <v>1050000.0</v>
      </c>
      <c r="CN1478" s="15">
        <v>918150.0</v>
      </c>
      <c r="CO1478" s="15">
        <v>396300.0</v>
      </c>
      <c r="CP1478" s="15">
        <v>362170.0</v>
      </c>
      <c r="CQ1478" s="15">
        <v>81640.0</v>
      </c>
      <c r="CR1478" s="15">
        <v>81040.0</v>
      </c>
      <c r="CS1478" s="15">
        <v>79190.0</v>
      </c>
      <c r="CT1478" s="15">
        <v>44130.0</v>
      </c>
      <c r="CU1478" s="15">
        <v>33160.0</v>
      </c>
      <c r="CV1478" s="15">
        <v>197740.0</v>
      </c>
      <c r="CW1478" s="15"/>
      <c r="CX1478" s="15"/>
      <c r="CY1478" s="15"/>
      <c r="CZ1478" s="15"/>
      <c r="DA1478" s="15"/>
      <c r="DB1478" s="15">
        <v>197740.0</v>
      </c>
      <c r="DC1478" s="15">
        <v>204190.0</v>
      </c>
      <c r="DD1478" s="15">
        <v>167160.0</v>
      </c>
      <c r="DE1478" s="15">
        <v>92950.0</v>
      </c>
      <c r="DF1478" s="15">
        <v>497140.0</v>
      </c>
      <c r="DG1478" s="15">
        <v>517360.0</v>
      </c>
      <c r="DH1478" s="15">
        <v>476470.0</v>
      </c>
      <c r="DI1478" s="15">
        <v>127940.0</v>
      </c>
      <c r="DJ1478" s="15">
        <v>141210.0</v>
      </c>
      <c r="DK1478" s="15">
        <v>26850.0</v>
      </c>
      <c r="DL1478" s="15">
        <v>2000.0</v>
      </c>
      <c r="DM1478" s="15"/>
      <c r="DN1478" s="12"/>
      <c r="DO1478" s="15"/>
      <c r="DP1478" s="15">
        <v>245400.0</v>
      </c>
      <c r="DQ1478" s="15">
        <v>291440.0</v>
      </c>
      <c r="DR1478" s="15">
        <v>271730.0</v>
      </c>
      <c r="DS1478" s="15"/>
      <c r="DT1478" s="15"/>
      <c r="DU1478" s="13"/>
      <c r="DV1478" s="12"/>
      <c r="DW1478" s="12"/>
      <c r="DX1478" s="13"/>
      <c r="DY1478" s="13"/>
      <c r="DZ1478" s="15">
        <v>632210.0</v>
      </c>
      <c r="EA1478" s="15">
        <v>534450.0</v>
      </c>
      <c r="EB1478" s="15">
        <v>441670.0</v>
      </c>
      <c r="EC1478" s="15">
        <v>268360.0</v>
      </c>
      <c r="ED1478" s="15">
        <v>220960.0</v>
      </c>
      <c r="EE1478" s="17">
        <v>0.043</v>
      </c>
      <c r="EF1478" s="17">
        <v>0.125</v>
      </c>
      <c r="EG1478" s="17">
        <v>0.409</v>
      </c>
      <c r="EH1478" s="17">
        <v>0.18</v>
      </c>
    </row>
    <row r="1479">
      <c r="A1479" s="9">
        <f t="shared" si="2"/>
        <v>1477</v>
      </c>
      <c r="B1479" s="25" t="s">
        <v>1614</v>
      </c>
      <c r="C1479" s="12">
        <v>1770000.0</v>
      </c>
      <c r="D1479" s="12">
        <v>1370000.0</v>
      </c>
      <c r="E1479" s="12">
        <v>2050000.0</v>
      </c>
      <c r="F1479" s="12">
        <v>1870000.0</v>
      </c>
      <c r="G1479" s="12">
        <v>1280000.0</v>
      </c>
      <c r="H1479" s="12">
        <v>1310000.0</v>
      </c>
      <c r="I1479" s="12">
        <v>1300000.0</v>
      </c>
      <c r="J1479" s="12">
        <v>594000.0</v>
      </c>
      <c r="K1479" s="12">
        <v>515000.0</v>
      </c>
      <c r="L1479" s="12">
        <v>385000.0</v>
      </c>
      <c r="M1479" s="12">
        <v>374000.0</v>
      </c>
      <c r="N1479" s="12">
        <v>353000.0</v>
      </c>
      <c r="O1479" s="12">
        <v>130000.0</v>
      </c>
      <c r="P1479" s="12">
        <v>119000.0</v>
      </c>
      <c r="Q1479" s="12">
        <v>88000.0</v>
      </c>
      <c r="R1479" s="12">
        <v>83000.0</v>
      </c>
      <c r="S1479" s="12">
        <v>90000.0</v>
      </c>
      <c r="T1479" s="12"/>
      <c r="U1479" s="12"/>
      <c r="V1479" s="12"/>
      <c r="W1479" s="12"/>
      <c r="X1479" s="12"/>
      <c r="Y1479" s="12">
        <v>307000.0</v>
      </c>
      <c r="Z1479" s="12">
        <v>283000.0</v>
      </c>
      <c r="AA1479" s="12">
        <v>-48000.0</v>
      </c>
      <c r="AB1479" s="12">
        <v>288000.0</v>
      </c>
      <c r="AC1479" s="12">
        <v>250000.0</v>
      </c>
      <c r="AD1479" s="12">
        <v>207000.0</v>
      </c>
      <c r="AE1479" s="12">
        <v>223000.0</v>
      </c>
      <c r="AF1479" s="12">
        <v>243000.0</v>
      </c>
      <c r="AG1479" s="12">
        <v>287000.0</v>
      </c>
      <c r="AH1479" s="12">
        <v>249000.0</v>
      </c>
      <c r="AI1479" s="12">
        <v>573000.0</v>
      </c>
      <c r="AJ1479" s="12">
        <v>495000.0</v>
      </c>
      <c r="AK1479" s="12">
        <v>372000.0</v>
      </c>
      <c r="AL1479" s="12">
        <v>364000.0</v>
      </c>
      <c r="AM1479" s="12">
        <v>330000.0</v>
      </c>
      <c r="AN1479" s="12">
        <v>157000.0</v>
      </c>
      <c r="AO1479" s="12">
        <v>162000.0</v>
      </c>
      <c r="AP1479" s="12">
        <v>230000.0</v>
      </c>
      <c r="AQ1479" s="12">
        <v>172000.0</v>
      </c>
      <c r="AR1479" s="12">
        <v>149000.0</v>
      </c>
      <c r="AS1479" s="12">
        <v>100000.0</v>
      </c>
      <c r="AT1479" s="12">
        <v>231000.0</v>
      </c>
      <c r="AU1479" s="12">
        <v>278000.0</v>
      </c>
      <c r="AV1479" s="12">
        <v>270000.0</v>
      </c>
      <c r="AW1479" s="12">
        <v>287000.0</v>
      </c>
      <c r="AX1479" s="12">
        <v>-50000.0</v>
      </c>
      <c r="AY1479" s="12">
        <v>-73000.0</v>
      </c>
      <c r="AZ1479" s="12">
        <v>-46000.0</v>
      </c>
      <c r="BA1479" s="12">
        <v>-42000.0</v>
      </c>
      <c r="BB1479" s="12">
        <v>-51000.0</v>
      </c>
      <c r="BC1479" s="12">
        <v>-112000.0</v>
      </c>
      <c r="BD1479" s="12">
        <v>-77000.0</v>
      </c>
      <c r="BE1479" s="13"/>
      <c r="BF1479" s="13"/>
      <c r="BG1479" s="13"/>
      <c r="BH1479" s="12">
        <v>94000.0</v>
      </c>
      <c r="BI1479" s="12">
        <v>366000.0</v>
      </c>
      <c r="BJ1479" s="12">
        <v>57000.0</v>
      </c>
      <c r="BK1479" s="12">
        <v>28000.0</v>
      </c>
      <c r="BL1479" s="12">
        <v>38000.0</v>
      </c>
      <c r="BM1479" s="12">
        <v>307000.0</v>
      </c>
      <c r="BN1479" s="12">
        <v>315000.0</v>
      </c>
      <c r="BO1479" s="12">
        <v>194000.0</v>
      </c>
      <c r="BP1479" s="12">
        <v>184000.0</v>
      </c>
      <c r="BQ1479" s="12">
        <v>185000.0</v>
      </c>
      <c r="BR1479" s="12"/>
      <c r="BS1479" s="12"/>
      <c r="BT1479" s="12"/>
      <c r="BU1479" s="12"/>
      <c r="BV1479" s="12"/>
      <c r="BW1479" s="12">
        <v>491000.0</v>
      </c>
      <c r="BX1479" s="12">
        <v>851000.0</v>
      </c>
      <c r="BY1479" s="12">
        <v>334000.0</v>
      </c>
      <c r="BZ1479" s="12">
        <v>255000.0</v>
      </c>
      <c r="CA1479" s="12">
        <v>271000.0</v>
      </c>
      <c r="CB1479" s="12">
        <v>336000.0</v>
      </c>
      <c r="CC1479" s="12">
        <v>326000.0</v>
      </c>
      <c r="CD1479" s="12">
        <v>250000.0</v>
      </c>
      <c r="CE1479" s="12">
        <v>277000.0</v>
      </c>
      <c r="CF1479" s="12">
        <v>293000.0</v>
      </c>
      <c r="CG1479" s="12">
        <v>1540000.0</v>
      </c>
      <c r="CH1479" s="12">
        <v>1550000.0</v>
      </c>
      <c r="CI1479" s="12">
        <v>423000.0</v>
      </c>
      <c r="CJ1479" s="12">
        <v>377000.0</v>
      </c>
      <c r="CK1479" s="12">
        <v>329000.0</v>
      </c>
      <c r="CL1479" s="12">
        <v>4530000.0</v>
      </c>
      <c r="CM1479" s="12">
        <v>4980000.0</v>
      </c>
      <c r="CN1479" s="12">
        <v>2140000.0</v>
      </c>
      <c r="CO1479" s="12">
        <v>1980000.0</v>
      </c>
      <c r="CP1479" s="12">
        <v>1960000.0</v>
      </c>
      <c r="CQ1479" s="12">
        <v>30000.0</v>
      </c>
      <c r="CR1479" s="12">
        <v>61000.0</v>
      </c>
      <c r="CS1479" s="12">
        <v>38000.0</v>
      </c>
      <c r="CT1479" s="12">
        <v>27000.0</v>
      </c>
      <c r="CU1479" s="12">
        <v>24000.0</v>
      </c>
      <c r="CV1479" s="12">
        <v>462000.0</v>
      </c>
      <c r="CW1479" s="12">
        <v>15000.0</v>
      </c>
      <c r="CX1479" s="12">
        <v>11000.0</v>
      </c>
      <c r="CY1479" s="13"/>
      <c r="CZ1479" s="13"/>
      <c r="DA1479" s="12"/>
      <c r="DB1479" s="12">
        <v>462000.0</v>
      </c>
      <c r="DC1479" s="12">
        <v>693000.0</v>
      </c>
      <c r="DD1479" s="12">
        <v>411000.0</v>
      </c>
      <c r="DE1479" s="12">
        <v>372000.0</v>
      </c>
      <c r="DF1479" s="12">
        <v>3320000.0</v>
      </c>
      <c r="DG1479" s="12">
        <v>3560000.0</v>
      </c>
      <c r="DH1479" s="12">
        <v>875000.0</v>
      </c>
      <c r="DI1479" s="12">
        <v>872000.0</v>
      </c>
      <c r="DJ1479" s="12">
        <v>780000.0</v>
      </c>
      <c r="DK1479" s="12"/>
      <c r="DL1479" s="12"/>
      <c r="DM1479" s="12"/>
      <c r="DN1479" s="12"/>
      <c r="DO1479" s="12"/>
      <c r="DP1479" s="12">
        <v>2130000.0</v>
      </c>
      <c r="DQ1479" s="12">
        <v>2120000.0</v>
      </c>
      <c r="DR1479" s="12">
        <v>81000.0</v>
      </c>
      <c r="DS1479" s="12">
        <v>71000.0</v>
      </c>
      <c r="DT1479" s="12"/>
      <c r="DU1479" s="13"/>
      <c r="DV1479" s="12"/>
      <c r="DW1479" s="12"/>
      <c r="DX1479" s="13"/>
      <c r="DY1479" s="13"/>
      <c r="DZ1479" s="12">
        <v>1210000.0</v>
      </c>
      <c r="EA1479" s="12">
        <v>1420000.0</v>
      </c>
      <c r="EB1479" s="12">
        <v>1260000.0</v>
      </c>
      <c r="EC1479" s="12">
        <v>1110000.0</v>
      </c>
      <c r="ED1479" s="12">
        <v>1180000.0</v>
      </c>
      <c r="EE1479" s="17"/>
      <c r="EF1479" s="17"/>
      <c r="EG1479" s="17">
        <v>3.0</v>
      </c>
      <c r="EH1479" s="17">
        <v>0.872</v>
      </c>
    </row>
    <row r="1480">
      <c r="A1480" s="9">
        <f t="shared" si="2"/>
        <v>1478</v>
      </c>
      <c r="B1480" s="25" t="s">
        <v>1615</v>
      </c>
      <c r="C1480" s="15">
        <v>1.89E7</v>
      </c>
      <c r="D1480" s="15">
        <v>1.791E7</v>
      </c>
      <c r="E1480" s="15">
        <v>2.042E7</v>
      </c>
      <c r="F1480" s="15">
        <v>2.104E7</v>
      </c>
      <c r="G1480" s="15">
        <v>2.125E7</v>
      </c>
      <c r="H1480" s="15">
        <v>2.072E7</v>
      </c>
      <c r="I1480" s="15">
        <v>2.089E7</v>
      </c>
      <c r="J1480" s="15">
        <v>3270000.0</v>
      </c>
      <c r="K1480" s="15">
        <v>3350000.0</v>
      </c>
      <c r="L1480" s="15">
        <v>3600000.0</v>
      </c>
      <c r="M1480" s="15">
        <v>3580000.0</v>
      </c>
      <c r="N1480" s="15">
        <v>3620000.0</v>
      </c>
      <c r="O1480" s="15">
        <v>2160000.0</v>
      </c>
      <c r="P1480" s="15">
        <v>2190000.0</v>
      </c>
      <c r="Q1480" s="15">
        <v>2110000.0</v>
      </c>
      <c r="R1480" s="15">
        <v>2080000.0</v>
      </c>
      <c r="S1480" s="15">
        <v>2130000.0</v>
      </c>
      <c r="T1480" s="15">
        <v>541000.0</v>
      </c>
      <c r="U1480" s="15">
        <v>572000.0</v>
      </c>
      <c r="V1480" s="15">
        <v>596000.0</v>
      </c>
      <c r="W1480" s="15">
        <v>604000.0</v>
      </c>
      <c r="X1480" s="15">
        <v>579000.0</v>
      </c>
      <c r="Y1480" s="15">
        <v>957000.0</v>
      </c>
      <c r="Z1480" s="15">
        <v>270000.0</v>
      </c>
      <c r="AA1480" s="15">
        <v>1180000.0</v>
      </c>
      <c r="AB1480" s="15">
        <v>1340000.0</v>
      </c>
      <c r="AC1480" s="15">
        <v>1320000.0</v>
      </c>
      <c r="AD1480" s="15">
        <v>1550000.0</v>
      </c>
      <c r="AE1480" s="15">
        <v>-21000.0</v>
      </c>
      <c r="AF1480" s="15">
        <v>887000.0</v>
      </c>
      <c r="AG1480" s="15">
        <v>1110000.0</v>
      </c>
      <c r="AH1480" s="15">
        <v>1030000.0</v>
      </c>
      <c r="AI1480" s="15">
        <v>1700000.0</v>
      </c>
      <c r="AJ1480" s="15">
        <v>1810000.0</v>
      </c>
      <c r="AK1480" s="15">
        <v>2140000.0</v>
      </c>
      <c r="AL1480" s="15">
        <v>2150000.0</v>
      </c>
      <c r="AM1480" s="15">
        <v>2160000.0</v>
      </c>
      <c r="AN1480" s="15">
        <v>1180000.0</v>
      </c>
      <c r="AO1480" s="15">
        <v>-183000.0</v>
      </c>
      <c r="AP1480" s="15">
        <v>350000.0</v>
      </c>
      <c r="AQ1480" s="15">
        <v>888000.0</v>
      </c>
      <c r="AR1480" s="15">
        <v>783000.0</v>
      </c>
      <c r="AS1480" s="15">
        <v>1230000.0</v>
      </c>
      <c r="AT1480" s="15">
        <v>1230000.0</v>
      </c>
      <c r="AU1480" s="15">
        <v>1260000.0</v>
      </c>
      <c r="AV1480" s="15">
        <v>1200000.0</v>
      </c>
      <c r="AW1480" s="15">
        <v>1230000.0</v>
      </c>
      <c r="AX1480" s="15">
        <v>-532000.0</v>
      </c>
      <c r="AY1480" s="15">
        <v>-590000.0</v>
      </c>
      <c r="AZ1480" s="15">
        <v>-684000.0</v>
      </c>
      <c r="BA1480" s="15">
        <v>-660000.0</v>
      </c>
      <c r="BB1480" s="15">
        <v>-689000.0</v>
      </c>
      <c r="BC1480" s="15">
        <v>-305000.0</v>
      </c>
      <c r="BD1480" s="15">
        <v>-306000.0</v>
      </c>
      <c r="BE1480" s="15">
        <v>-312000.0</v>
      </c>
      <c r="BF1480" s="15">
        <v>-294000.0</v>
      </c>
      <c r="BG1480" s="15">
        <v>-269000.0</v>
      </c>
      <c r="BH1480" s="15">
        <v>1950000.0</v>
      </c>
      <c r="BI1480" s="15">
        <v>1540000.0</v>
      </c>
      <c r="BJ1480" s="15">
        <v>1240000.0</v>
      </c>
      <c r="BK1480" s="15">
        <v>1130000.0</v>
      </c>
      <c r="BL1480" s="15">
        <v>820000.0</v>
      </c>
      <c r="BM1480" s="15">
        <v>2200000.0</v>
      </c>
      <c r="BN1480" s="15">
        <v>2210000.0</v>
      </c>
      <c r="BO1480" s="15">
        <v>2670000.0</v>
      </c>
      <c r="BP1480" s="15">
        <v>2710000.0</v>
      </c>
      <c r="BQ1480" s="15">
        <v>2530000.0</v>
      </c>
      <c r="BR1480" s="15">
        <v>2440000.0</v>
      </c>
      <c r="BS1480" s="15">
        <v>2530000.0</v>
      </c>
      <c r="BT1480" s="15">
        <v>2990000.0</v>
      </c>
      <c r="BU1480" s="15">
        <v>2620000.0</v>
      </c>
      <c r="BV1480" s="15">
        <v>2620000.0</v>
      </c>
      <c r="BW1480" s="15">
        <v>7400000.0</v>
      </c>
      <c r="BX1480" s="15">
        <v>7900000.0</v>
      </c>
      <c r="BY1480" s="15">
        <v>7930000.0</v>
      </c>
      <c r="BZ1480" s="15">
        <v>7340000.0</v>
      </c>
      <c r="CA1480" s="15">
        <v>7330000.0</v>
      </c>
      <c r="CB1480" s="15">
        <v>4220000.0</v>
      </c>
      <c r="CC1480" s="15">
        <v>3410000.0</v>
      </c>
      <c r="CD1480" s="15">
        <v>4030000.0</v>
      </c>
      <c r="CE1480" s="15">
        <v>3810000.0</v>
      </c>
      <c r="CF1480" s="15">
        <v>3770000.0</v>
      </c>
      <c r="CG1480" s="15">
        <v>2440000.0</v>
      </c>
      <c r="CH1480" s="15">
        <v>2450000.0</v>
      </c>
      <c r="CI1480" s="15">
        <v>3120000.0</v>
      </c>
      <c r="CJ1480" s="15">
        <v>2960000.0</v>
      </c>
      <c r="CK1480" s="15">
        <v>3010000.0</v>
      </c>
      <c r="CL1480" s="15">
        <v>1.888E7</v>
      </c>
      <c r="CM1480" s="15">
        <v>1.835E7</v>
      </c>
      <c r="CN1480" s="15">
        <v>2.004E7</v>
      </c>
      <c r="CO1480" s="15">
        <v>1.915E7</v>
      </c>
      <c r="CP1480" s="15">
        <v>1.901E7</v>
      </c>
      <c r="CQ1480" s="15">
        <v>4550000.0</v>
      </c>
      <c r="CR1480" s="15">
        <v>4490000.0</v>
      </c>
      <c r="CS1480" s="15">
        <v>4800000.0</v>
      </c>
      <c r="CT1480" s="15">
        <v>4420000.0</v>
      </c>
      <c r="CU1480" s="15">
        <v>4400000.0</v>
      </c>
      <c r="CV1480" s="15">
        <v>8370000.0</v>
      </c>
      <c r="CW1480" s="15">
        <v>294000.0</v>
      </c>
      <c r="CX1480" s="15">
        <v>1030000.0</v>
      </c>
      <c r="CY1480" s="15">
        <v>450000.0</v>
      </c>
      <c r="CZ1480" s="15">
        <v>34000.0</v>
      </c>
      <c r="DA1480" s="15">
        <v>20000.0</v>
      </c>
      <c r="DB1480" s="15">
        <v>8370000.0</v>
      </c>
      <c r="DC1480" s="15">
        <v>9680000.0</v>
      </c>
      <c r="DD1480" s="15">
        <v>8510000.0</v>
      </c>
      <c r="DE1480" s="15">
        <v>7660000.0</v>
      </c>
      <c r="DF1480" s="15">
        <v>1.476E7</v>
      </c>
      <c r="DG1480" s="15">
        <v>1.514E7</v>
      </c>
      <c r="DH1480" s="15">
        <v>1.491E7</v>
      </c>
      <c r="DI1480" s="15">
        <v>1.343E7</v>
      </c>
      <c r="DJ1480" s="15">
        <v>1.334E7</v>
      </c>
      <c r="DK1480" s="15">
        <v>89000.0</v>
      </c>
      <c r="DL1480" s="15">
        <v>17000.0</v>
      </c>
      <c r="DM1480" s="15">
        <v>102000.0</v>
      </c>
      <c r="DN1480" s="15">
        <v>134000.0</v>
      </c>
      <c r="DO1480" s="15">
        <v>143000.0</v>
      </c>
      <c r="DP1480" s="15">
        <v>4920000.0</v>
      </c>
      <c r="DQ1480" s="15">
        <v>4050000.0</v>
      </c>
      <c r="DR1480" s="15">
        <v>4390000.0</v>
      </c>
      <c r="DS1480" s="15">
        <v>3880000.0</v>
      </c>
      <c r="DT1480" s="15">
        <v>3470000.0</v>
      </c>
      <c r="DU1480" s="13"/>
      <c r="DV1480" s="12"/>
      <c r="DW1480" s="12"/>
      <c r="DX1480" s="13"/>
      <c r="DY1480" s="13"/>
      <c r="DZ1480" s="15">
        <v>3200000.0</v>
      </c>
      <c r="EA1480" s="15">
        <v>2290000.0</v>
      </c>
      <c r="EB1480" s="15">
        <v>4200000.0</v>
      </c>
      <c r="EC1480" s="15">
        <v>4770000.0</v>
      </c>
      <c r="ED1480" s="15">
        <v>4740000.0</v>
      </c>
      <c r="EE1480" s="17">
        <v>0.05</v>
      </c>
      <c r="EF1480" s="17">
        <v>0.134</v>
      </c>
      <c r="EG1480" s="17">
        <v>1.15</v>
      </c>
      <c r="EH1480" s="17">
        <v>0.365</v>
      </c>
    </row>
    <row r="1481">
      <c r="A1481" s="9">
        <f t="shared" si="2"/>
        <v>1479</v>
      </c>
      <c r="B1481" s="10" t="s">
        <v>1616</v>
      </c>
      <c r="C1481" s="15"/>
      <c r="D1481" s="15"/>
      <c r="E1481" s="15">
        <v>111040.0</v>
      </c>
      <c r="F1481" s="15">
        <v>94080.0</v>
      </c>
      <c r="G1481" s="15">
        <v>86730.0</v>
      </c>
      <c r="H1481" s="15">
        <v>76640.0</v>
      </c>
      <c r="I1481" s="15">
        <v>80440.0</v>
      </c>
      <c r="J1481" s="15">
        <v>34060.0</v>
      </c>
      <c r="K1481" s="15">
        <v>26940.0</v>
      </c>
      <c r="L1481" s="15">
        <v>20280.0</v>
      </c>
      <c r="M1481" s="15">
        <v>19580.0</v>
      </c>
      <c r="N1481" s="15">
        <v>18930.0</v>
      </c>
      <c r="O1481" s="15">
        <v>20790.0</v>
      </c>
      <c r="P1481" s="15">
        <v>16450.0</v>
      </c>
      <c r="Q1481" s="15">
        <v>15850.0</v>
      </c>
      <c r="R1481" s="15">
        <v>13680.0</v>
      </c>
      <c r="S1481" s="15">
        <v>17680.0</v>
      </c>
      <c r="T1481" s="15"/>
      <c r="U1481" s="15"/>
      <c r="V1481" s="15"/>
      <c r="W1481" s="15"/>
      <c r="X1481" s="15"/>
      <c r="Y1481" s="15">
        <v>17600.0</v>
      </c>
      <c r="Z1481" s="15">
        <v>6680.0</v>
      </c>
      <c r="AA1481" s="15">
        <v>6590.0</v>
      </c>
      <c r="AB1481" s="15">
        <v>6400.0</v>
      </c>
      <c r="AC1481" s="15">
        <v>1800.0</v>
      </c>
      <c r="AD1481" s="15">
        <v>18310.0</v>
      </c>
      <c r="AE1481" s="15">
        <v>9130.0</v>
      </c>
      <c r="AF1481" s="15">
        <v>8600.0</v>
      </c>
      <c r="AG1481" s="15">
        <v>4210.0</v>
      </c>
      <c r="AH1481" s="15">
        <v>2420.0</v>
      </c>
      <c r="AI1481" s="15">
        <v>14630.0</v>
      </c>
      <c r="AJ1481" s="15">
        <v>11510.0</v>
      </c>
      <c r="AK1481" s="15">
        <v>5460.0</v>
      </c>
      <c r="AL1481" s="15">
        <v>6880.0</v>
      </c>
      <c r="AM1481" s="15">
        <v>2200.0</v>
      </c>
      <c r="AN1481" s="15">
        <v>14460.0</v>
      </c>
      <c r="AO1481" s="15">
        <v>6940.0</v>
      </c>
      <c r="AP1481" s="15">
        <v>6960.0</v>
      </c>
      <c r="AQ1481" s="15">
        <v>2830.0</v>
      </c>
      <c r="AR1481" s="15">
        <v>1760.0</v>
      </c>
      <c r="AS1481" s="15">
        <v>-720.178</v>
      </c>
      <c r="AT1481" s="15">
        <v>7520.0</v>
      </c>
      <c r="AU1481" s="15">
        <v>4010.0</v>
      </c>
      <c r="AV1481" s="15">
        <v>4520.0</v>
      </c>
      <c r="AW1481" s="15">
        <v>3690.0</v>
      </c>
      <c r="AX1481" s="15">
        <v>-502.665</v>
      </c>
      <c r="AY1481" s="15">
        <v>-596.062</v>
      </c>
      <c r="AZ1481" s="15">
        <v>-736.73</v>
      </c>
      <c r="BA1481" s="15">
        <v>-498.858</v>
      </c>
      <c r="BB1481" s="15">
        <v>-770.613</v>
      </c>
      <c r="BC1481" s="13"/>
      <c r="BD1481" s="13"/>
      <c r="BE1481" s="13"/>
      <c r="BF1481" s="13">
        <v>-5010.0</v>
      </c>
      <c r="BG1481" s="13"/>
      <c r="BH1481" s="15">
        <v>76260.0</v>
      </c>
      <c r="BI1481" s="15">
        <v>72840.0</v>
      </c>
      <c r="BJ1481" s="15">
        <v>73910.0</v>
      </c>
      <c r="BK1481" s="15">
        <v>60930.0</v>
      </c>
      <c r="BL1481" s="15">
        <v>62890.0</v>
      </c>
      <c r="BM1481" s="15">
        <v>44100.0</v>
      </c>
      <c r="BN1481" s="15">
        <v>26990.0</v>
      </c>
      <c r="BO1481" s="15">
        <v>28130.0</v>
      </c>
      <c r="BP1481" s="15">
        <v>22840.0</v>
      </c>
      <c r="BQ1481" s="15">
        <v>22420.0</v>
      </c>
      <c r="BR1481" s="15">
        <v>21060.0</v>
      </c>
      <c r="BS1481" s="15">
        <v>13470.0</v>
      </c>
      <c r="BT1481" s="15">
        <v>11590.0</v>
      </c>
      <c r="BU1481" s="15">
        <v>11400.0</v>
      </c>
      <c r="BV1481" s="15">
        <v>9940.0</v>
      </c>
      <c r="BW1481" s="15">
        <v>143310.0</v>
      </c>
      <c r="BX1481" s="15">
        <v>113500.0</v>
      </c>
      <c r="BY1481" s="15">
        <v>113830.0</v>
      </c>
      <c r="BZ1481" s="15">
        <v>95320.0</v>
      </c>
      <c r="CA1481" s="15">
        <v>95320.0</v>
      </c>
      <c r="CB1481" s="15">
        <v>11980.0</v>
      </c>
      <c r="CC1481" s="15">
        <v>10540.0</v>
      </c>
      <c r="CD1481" s="15">
        <v>11870.0</v>
      </c>
      <c r="CE1481" s="15">
        <v>10980.0</v>
      </c>
      <c r="CF1481" s="15">
        <v>11350.0</v>
      </c>
      <c r="CG1481" s="15">
        <v>10.423</v>
      </c>
      <c r="CH1481" s="15">
        <v>9.634</v>
      </c>
      <c r="CI1481" s="15">
        <v>10.37</v>
      </c>
      <c r="CJ1481" s="15">
        <v>9.354</v>
      </c>
      <c r="CK1481" s="15">
        <v>9.252</v>
      </c>
      <c r="CL1481" s="15">
        <v>155540.0</v>
      </c>
      <c r="CM1481" s="15">
        <v>124820.0</v>
      </c>
      <c r="CN1481" s="15">
        <v>125850.0</v>
      </c>
      <c r="CO1481" s="15">
        <v>106910.0</v>
      </c>
      <c r="CP1481" s="15">
        <v>107650.0</v>
      </c>
      <c r="CQ1481" s="15">
        <v>7140.0</v>
      </c>
      <c r="CR1481" s="15">
        <v>4350.0</v>
      </c>
      <c r="CS1481" s="15">
        <v>3690.0</v>
      </c>
      <c r="CT1481" s="15">
        <v>3850.0</v>
      </c>
      <c r="CU1481" s="15">
        <v>3310.0</v>
      </c>
      <c r="CV1481" s="15">
        <v>12210.0</v>
      </c>
      <c r="CW1481" s="15"/>
      <c r="CX1481" s="13"/>
      <c r="CY1481" s="13"/>
      <c r="CZ1481" s="13"/>
      <c r="DA1481" s="12">
        <v>4.112</v>
      </c>
      <c r="DB1481" s="15">
        <v>12210.0</v>
      </c>
      <c r="DC1481" s="15">
        <v>6610.0</v>
      </c>
      <c r="DD1481" s="15">
        <v>5820.0</v>
      </c>
      <c r="DE1481" s="15">
        <v>5100.0</v>
      </c>
      <c r="DF1481" s="15">
        <v>13280.0</v>
      </c>
      <c r="DG1481" s="15">
        <v>6830.0</v>
      </c>
      <c r="DH1481" s="15">
        <v>6150.0</v>
      </c>
      <c r="DI1481" s="15">
        <v>5320.0</v>
      </c>
      <c r="DJ1481" s="15">
        <v>4920.0</v>
      </c>
      <c r="DK1481" s="12"/>
      <c r="DL1481" s="12"/>
      <c r="DM1481" s="15"/>
      <c r="DN1481" s="15"/>
      <c r="DO1481" s="15"/>
      <c r="DP1481" s="15">
        <v>640.417</v>
      </c>
      <c r="DQ1481" s="15"/>
      <c r="DR1481" s="12"/>
      <c r="DS1481" s="12"/>
      <c r="DT1481" s="12"/>
      <c r="DU1481" s="13"/>
      <c r="DV1481" s="12"/>
      <c r="DW1481" s="12"/>
      <c r="DX1481" s="13"/>
      <c r="DY1481" s="13"/>
      <c r="DZ1481" s="15">
        <v>142260.0</v>
      </c>
      <c r="EA1481" s="15">
        <v>117980.0</v>
      </c>
      <c r="EB1481" s="15">
        <v>119710.0</v>
      </c>
      <c r="EC1481" s="15">
        <v>101600.0</v>
      </c>
      <c r="ED1481" s="15">
        <v>102730.0</v>
      </c>
      <c r="EE1481" s="17"/>
      <c r="EF1481" s="17"/>
      <c r="EG1481" s="23" t="s">
        <v>155</v>
      </c>
      <c r="EH1481" s="17"/>
    </row>
    <row r="1482">
      <c r="A1482" s="9">
        <f t="shared" si="2"/>
        <v>1480</v>
      </c>
      <c r="B1482" s="10" t="s">
        <v>1617</v>
      </c>
      <c r="C1482" s="12"/>
      <c r="D1482" s="12"/>
      <c r="E1482" s="15">
        <v>73300.0</v>
      </c>
      <c r="F1482" s="15">
        <v>72510.0</v>
      </c>
      <c r="G1482" s="15">
        <v>69760.0</v>
      </c>
      <c r="H1482" s="15">
        <v>66580.0</v>
      </c>
      <c r="I1482" s="15">
        <v>69450.0</v>
      </c>
      <c r="J1482" s="15">
        <v>68800.0</v>
      </c>
      <c r="K1482" s="15">
        <v>67840.0</v>
      </c>
      <c r="L1482" s="15">
        <v>64060.0</v>
      </c>
      <c r="M1482" s="15">
        <v>62160.0</v>
      </c>
      <c r="N1482" s="15">
        <v>61040.0</v>
      </c>
      <c r="O1482" s="15">
        <v>25750.0</v>
      </c>
      <c r="P1482" s="15">
        <v>26080.0</v>
      </c>
      <c r="Q1482" s="15">
        <v>25250.0</v>
      </c>
      <c r="R1482" s="15">
        <v>23850.0</v>
      </c>
      <c r="S1482" s="15">
        <v>23940.0</v>
      </c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5">
        <v>41470.0</v>
      </c>
      <c r="AE1482" s="15">
        <v>39280.0</v>
      </c>
      <c r="AF1482" s="15">
        <v>36450.0</v>
      </c>
      <c r="AG1482" s="15">
        <v>35950.0</v>
      </c>
      <c r="AH1482" s="15">
        <v>35220.0</v>
      </c>
      <c r="AI1482" s="15">
        <v>43880.0</v>
      </c>
      <c r="AJ1482" s="15">
        <v>42080.0</v>
      </c>
      <c r="AK1482" s="15">
        <v>39160.0</v>
      </c>
      <c r="AL1482" s="15">
        <v>38720.0</v>
      </c>
      <c r="AM1482" s="15">
        <v>37520.0</v>
      </c>
      <c r="AN1482" s="15">
        <v>32150.0</v>
      </c>
      <c r="AO1482" s="15">
        <v>30130.0</v>
      </c>
      <c r="AP1482" s="15">
        <v>24580.0</v>
      </c>
      <c r="AQ1482" s="15">
        <v>22220.0</v>
      </c>
      <c r="AR1482" s="15">
        <v>21800.0</v>
      </c>
      <c r="AS1482" s="15">
        <v>50650.0</v>
      </c>
      <c r="AT1482" s="15">
        <v>34940.0</v>
      </c>
      <c r="AU1482" s="15">
        <v>25210.0</v>
      </c>
      <c r="AV1482" s="15">
        <v>25680.0</v>
      </c>
      <c r="AW1482" s="15">
        <v>22320.0</v>
      </c>
      <c r="AX1482" s="15">
        <v>-9180.0</v>
      </c>
      <c r="AY1482" s="15">
        <v>-23800.0</v>
      </c>
      <c r="AZ1482" s="15">
        <v>-25480.0</v>
      </c>
      <c r="BA1482" s="15">
        <v>-26280.0</v>
      </c>
      <c r="BB1482" s="15">
        <v>-22330.0</v>
      </c>
      <c r="BC1482" s="15">
        <v>-3450.0</v>
      </c>
      <c r="BD1482" s="15">
        <v>-2170.0</v>
      </c>
      <c r="BE1482" s="15">
        <v>-1770.0</v>
      </c>
      <c r="BF1482" s="15">
        <v>-1530.0</v>
      </c>
      <c r="BG1482" s="15">
        <v>-1230.0</v>
      </c>
      <c r="BH1482" s="15">
        <v>25180.0</v>
      </c>
      <c r="BI1482" s="15">
        <v>2580.0</v>
      </c>
      <c r="BJ1482" s="15">
        <v>1160.0</v>
      </c>
      <c r="BK1482" s="15">
        <v>1490.0</v>
      </c>
      <c r="BL1482" s="15">
        <v>1260.0</v>
      </c>
      <c r="BM1482" s="15">
        <v>14970.0</v>
      </c>
      <c r="BN1482" s="15">
        <v>20670.0</v>
      </c>
      <c r="BO1482" s="15">
        <v>19290.0</v>
      </c>
      <c r="BP1482" s="15">
        <v>20160.0</v>
      </c>
      <c r="BQ1482" s="15">
        <v>4710.0</v>
      </c>
      <c r="BR1482" s="15">
        <v>86.0</v>
      </c>
      <c r="BS1482" s="15">
        <v>108.0</v>
      </c>
      <c r="BT1482" s="15">
        <v>97.0</v>
      </c>
      <c r="BU1482" s="15">
        <v>88.0</v>
      </c>
      <c r="BV1482" s="15">
        <v>45.0</v>
      </c>
      <c r="BW1482" s="15">
        <v>41200.0</v>
      </c>
      <c r="BX1482" s="15">
        <v>24250.0</v>
      </c>
      <c r="BY1482" s="15">
        <v>21450.0</v>
      </c>
      <c r="BZ1482" s="15">
        <v>22790.0</v>
      </c>
      <c r="CA1482" s="15">
        <v>24430.0</v>
      </c>
      <c r="CB1482" s="15">
        <v>6370.0</v>
      </c>
      <c r="CC1482" s="15">
        <v>866.0</v>
      </c>
      <c r="CD1482" s="15">
        <v>487.0</v>
      </c>
      <c r="CE1482" s="15">
        <v>770.0</v>
      </c>
      <c r="CF1482" s="15">
        <v>1120.0</v>
      </c>
      <c r="CG1482" s="15">
        <v>608.0</v>
      </c>
      <c r="CH1482" s="15">
        <v>608.0</v>
      </c>
      <c r="CI1482" s="15">
        <v>608.0</v>
      </c>
      <c r="CJ1482" s="15">
        <v>608.0</v>
      </c>
      <c r="CK1482" s="15">
        <v>608.0</v>
      </c>
      <c r="CL1482" s="15">
        <v>61840.0</v>
      </c>
      <c r="CM1482" s="15">
        <v>52350.0</v>
      </c>
      <c r="CN1482" s="15">
        <v>54370.0</v>
      </c>
      <c r="CO1482" s="15">
        <v>54280.0</v>
      </c>
      <c r="CP1482" s="15">
        <v>52320.0</v>
      </c>
      <c r="CQ1482" s="15">
        <v>1020.0</v>
      </c>
      <c r="CR1482" s="15">
        <v>1350.0</v>
      </c>
      <c r="CS1482" s="15">
        <v>2070.0</v>
      </c>
      <c r="CT1482" s="15">
        <v>1690.0</v>
      </c>
      <c r="CU1482" s="15">
        <v>1640.0</v>
      </c>
      <c r="CV1482" s="15">
        <v>11930.0</v>
      </c>
      <c r="CW1482" s="15">
        <v>400.0</v>
      </c>
      <c r="CX1482" s="12"/>
      <c r="CY1482" s="13"/>
      <c r="CZ1482" s="13"/>
      <c r="DA1482" s="12"/>
      <c r="DB1482" s="15">
        <v>11930.0</v>
      </c>
      <c r="DC1482" s="15">
        <v>12480.0</v>
      </c>
      <c r="DD1482" s="15">
        <v>9430.0</v>
      </c>
      <c r="DE1482" s="15">
        <v>7360.0</v>
      </c>
      <c r="DF1482" s="15">
        <v>49390.0</v>
      </c>
      <c r="DG1482" s="15">
        <v>57160.0</v>
      </c>
      <c r="DH1482" s="15">
        <v>90080.0</v>
      </c>
      <c r="DI1482" s="15">
        <v>62130.0</v>
      </c>
      <c r="DJ1482" s="15">
        <v>82990.0</v>
      </c>
      <c r="DK1482" s="12"/>
      <c r="DL1482" s="12"/>
      <c r="DM1482" s="12"/>
      <c r="DN1482" s="12"/>
      <c r="DO1482" s="12"/>
      <c r="DP1482" s="15">
        <v>28550.0</v>
      </c>
      <c r="DQ1482" s="15">
        <v>28330.0</v>
      </c>
      <c r="DR1482" s="15">
        <v>65360.0</v>
      </c>
      <c r="DS1482" s="15">
        <v>43330.0</v>
      </c>
      <c r="DT1482" s="15">
        <v>64320.0</v>
      </c>
      <c r="DU1482" s="13"/>
      <c r="DV1482" s="12"/>
      <c r="DW1482" s="12"/>
      <c r="DX1482" s="12"/>
      <c r="DY1482" s="12"/>
      <c r="DZ1482" s="15">
        <v>12450.0</v>
      </c>
      <c r="EA1482" s="15">
        <v>-4810.0</v>
      </c>
      <c r="EB1482" s="15">
        <v>-35710.0</v>
      </c>
      <c r="EC1482" s="15">
        <v>-7850.0</v>
      </c>
      <c r="ED1482" s="15">
        <v>-30670.0</v>
      </c>
      <c r="EE1482" s="23"/>
      <c r="EF1482" s="23"/>
      <c r="EG1482" s="23"/>
      <c r="EH1482" s="23"/>
    </row>
    <row r="1483">
      <c r="A1483" s="9">
        <f t="shared" si="2"/>
        <v>1481</v>
      </c>
      <c r="B1483" s="10" t="s">
        <v>1618</v>
      </c>
      <c r="C1483" s="15">
        <v>272110.0</v>
      </c>
      <c r="D1483" s="15">
        <v>245870.0</v>
      </c>
      <c r="E1483" s="15">
        <v>199680.0</v>
      </c>
      <c r="F1483" s="15">
        <v>153180.0</v>
      </c>
      <c r="G1483" s="15">
        <v>133320.0</v>
      </c>
      <c r="H1483" s="15">
        <v>91360.0</v>
      </c>
      <c r="I1483" s="15">
        <v>77970.0</v>
      </c>
      <c r="J1483" s="15">
        <v>153090.0</v>
      </c>
      <c r="K1483" s="15">
        <v>116810.0</v>
      </c>
      <c r="L1483" s="15">
        <v>101200.0</v>
      </c>
      <c r="M1483" s="15">
        <v>63040.0</v>
      </c>
      <c r="N1483" s="15">
        <v>53070.0</v>
      </c>
      <c r="O1483" s="15">
        <v>110190.0</v>
      </c>
      <c r="P1483" s="15">
        <v>78280.0</v>
      </c>
      <c r="Q1483" s="15">
        <v>67330.0</v>
      </c>
      <c r="R1483" s="15">
        <v>33840.0</v>
      </c>
      <c r="S1483" s="15">
        <v>30050.0</v>
      </c>
      <c r="T1483" s="15"/>
      <c r="U1483" s="15"/>
      <c r="V1483" s="15"/>
      <c r="W1483" s="15"/>
      <c r="X1483" s="15"/>
      <c r="Y1483" s="12"/>
      <c r="Z1483" s="12"/>
      <c r="AA1483" s="12"/>
      <c r="AB1483" s="15"/>
      <c r="AC1483" s="15">
        <v>-3300.0</v>
      </c>
      <c r="AD1483" s="15">
        <v>25770.0</v>
      </c>
      <c r="AE1483" s="15">
        <v>26930.0</v>
      </c>
      <c r="AF1483" s="15">
        <v>28740.0</v>
      </c>
      <c r="AG1483" s="15">
        <v>24550.0</v>
      </c>
      <c r="AH1483" s="15">
        <v>15850.0</v>
      </c>
      <c r="AI1483" s="15">
        <v>48390.0</v>
      </c>
      <c r="AJ1483" s="15">
        <v>42840.0</v>
      </c>
      <c r="AK1483" s="15">
        <v>37250.0</v>
      </c>
      <c r="AL1483" s="15">
        <v>32210.0</v>
      </c>
      <c r="AM1483" s="15">
        <v>25700.0</v>
      </c>
      <c r="AN1483" s="15">
        <v>20480.0</v>
      </c>
      <c r="AO1483" s="15">
        <v>21720.0</v>
      </c>
      <c r="AP1483" s="15">
        <v>23940.0</v>
      </c>
      <c r="AQ1483" s="15">
        <v>15430.0</v>
      </c>
      <c r="AR1483" s="15">
        <v>10110.0</v>
      </c>
      <c r="AS1483" s="15">
        <v>38580.0</v>
      </c>
      <c r="AT1483" s="15">
        <v>38770.0</v>
      </c>
      <c r="AU1483" s="15">
        <v>27440.0</v>
      </c>
      <c r="AV1483" s="15">
        <v>22170.0</v>
      </c>
      <c r="AW1483" s="15">
        <v>13050.0</v>
      </c>
      <c r="AX1483" s="15">
        <v>-22490.0</v>
      </c>
      <c r="AY1483" s="15">
        <v>-3980.0</v>
      </c>
      <c r="AZ1483" s="15">
        <v>-2540.0</v>
      </c>
      <c r="BA1483" s="15">
        <v>-2060.0</v>
      </c>
      <c r="BB1483" s="15">
        <v>-1920.0</v>
      </c>
      <c r="BC1483" s="13">
        <v>-11740.0</v>
      </c>
      <c r="BD1483" s="13">
        <v>-190740.0</v>
      </c>
      <c r="BE1483" s="13">
        <v>-4070.0</v>
      </c>
      <c r="BF1483" s="13">
        <v>-83270.0</v>
      </c>
      <c r="BG1483" s="13">
        <v>-48000.0</v>
      </c>
      <c r="BH1483" s="15">
        <v>21180.0</v>
      </c>
      <c r="BI1483" s="15">
        <v>16960.0</v>
      </c>
      <c r="BJ1483" s="15">
        <v>4060.0</v>
      </c>
      <c r="BK1483" s="15">
        <v>6280.0</v>
      </c>
      <c r="BL1483" s="15">
        <v>14460.0</v>
      </c>
      <c r="BM1483" s="15">
        <v>5840.0</v>
      </c>
      <c r="BN1483" s="15">
        <v>5760.0</v>
      </c>
      <c r="BO1483" s="15">
        <v>7070.0</v>
      </c>
      <c r="BP1483" s="15">
        <v>3200.0</v>
      </c>
      <c r="BQ1483" s="15">
        <v>3400.0</v>
      </c>
      <c r="BR1483" s="15">
        <v>315.0</v>
      </c>
      <c r="BS1483" s="15">
        <v>299.0</v>
      </c>
      <c r="BT1483" s="15">
        <v>216.0</v>
      </c>
      <c r="BU1483" s="15">
        <v>226.0</v>
      </c>
      <c r="BV1483" s="15">
        <v>182.0</v>
      </c>
      <c r="BW1483" s="15">
        <v>30190.0</v>
      </c>
      <c r="BX1483" s="15">
        <v>29910.0</v>
      </c>
      <c r="BY1483" s="15">
        <v>15910.0</v>
      </c>
      <c r="BZ1483" s="15">
        <v>11120.0</v>
      </c>
      <c r="CA1483" s="15">
        <v>19620.0</v>
      </c>
      <c r="CB1483" s="15">
        <v>36080.0</v>
      </c>
      <c r="CC1483" s="15">
        <v>8340.0</v>
      </c>
      <c r="CD1483" s="15">
        <v>5830.0</v>
      </c>
      <c r="CE1483" s="15">
        <v>5000.0</v>
      </c>
      <c r="CF1483" s="15">
        <v>4590.0</v>
      </c>
      <c r="CG1483" s="15">
        <v>50190.0</v>
      </c>
      <c r="CH1483" s="15">
        <v>49660.0</v>
      </c>
      <c r="CI1483" s="15">
        <v>46560.0</v>
      </c>
      <c r="CJ1483" s="15">
        <v>45130.0</v>
      </c>
      <c r="CK1483" s="15">
        <v>45130.0</v>
      </c>
      <c r="CL1483" s="15">
        <v>173910.0</v>
      </c>
      <c r="CM1483" s="15">
        <v>150970.0</v>
      </c>
      <c r="CN1483" s="15">
        <v>131280.0</v>
      </c>
      <c r="CO1483" s="15">
        <v>111800.0</v>
      </c>
      <c r="CP1483" s="15">
        <v>120650.0</v>
      </c>
      <c r="CQ1483" s="15">
        <v>3350.0</v>
      </c>
      <c r="CR1483" s="15">
        <v>2750.0</v>
      </c>
      <c r="CS1483" s="15">
        <v>1750.0</v>
      </c>
      <c r="CT1483" s="15">
        <v>1460.0</v>
      </c>
      <c r="CU1483" s="15">
        <v>1250.0</v>
      </c>
      <c r="CV1483" s="15">
        <v>32930.0</v>
      </c>
      <c r="CW1483" s="15">
        <v>1810.0</v>
      </c>
      <c r="CX1483" s="13"/>
      <c r="CY1483" s="13"/>
      <c r="CZ1483" s="13"/>
      <c r="DA1483" s="12"/>
      <c r="DB1483" s="15">
        <v>32930.0</v>
      </c>
      <c r="DC1483" s="15">
        <v>26480.0</v>
      </c>
      <c r="DD1483" s="15">
        <v>19130.0</v>
      </c>
      <c r="DE1483" s="15">
        <v>16730.0</v>
      </c>
      <c r="DF1483" s="15">
        <v>383340.0</v>
      </c>
      <c r="DG1483" s="15">
        <v>366060.0</v>
      </c>
      <c r="DH1483" s="15">
        <v>177860.0</v>
      </c>
      <c r="DI1483" s="15">
        <v>186430.0</v>
      </c>
      <c r="DJ1483" s="15">
        <v>130320.0</v>
      </c>
      <c r="DK1483" s="12"/>
      <c r="DL1483" s="12"/>
      <c r="DM1483" s="12"/>
      <c r="DN1483" s="12"/>
      <c r="DO1483" s="15"/>
      <c r="DP1483" s="15">
        <v>315640.0</v>
      </c>
      <c r="DQ1483" s="15">
        <v>309370.0</v>
      </c>
      <c r="DR1483" s="15">
        <v>129840.0</v>
      </c>
      <c r="DS1483" s="15">
        <v>147220.0</v>
      </c>
      <c r="DT1483" s="15">
        <v>95010.0</v>
      </c>
      <c r="DU1483" s="13"/>
      <c r="DV1483" s="12"/>
      <c r="DW1483" s="12"/>
      <c r="DX1483" s="13"/>
      <c r="DY1483" s="13"/>
      <c r="DZ1483" s="15">
        <v>-209430.0</v>
      </c>
      <c r="EA1483" s="15">
        <v>-224830.0</v>
      </c>
      <c r="EB1483" s="15">
        <v>-58420.0</v>
      </c>
      <c r="EC1483" s="15">
        <v>-74630.0</v>
      </c>
      <c r="ED1483" s="15">
        <v>-9670.0</v>
      </c>
      <c r="EE1483" s="23">
        <v>0.126936999</v>
      </c>
      <c r="EF1483" s="23">
        <v>0.177979494</v>
      </c>
      <c r="EG1483" s="17">
        <v>0.345</v>
      </c>
      <c r="EH1483" s="23">
        <v>0.1175</v>
      </c>
    </row>
    <row r="1484">
      <c r="A1484" s="9">
        <f t="shared" si="2"/>
        <v>1482</v>
      </c>
      <c r="B1484" s="10" t="s">
        <v>1619</v>
      </c>
      <c r="C1484" s="12">
        <v>217070.0</v>
      </c>
      <c r="D1484" s="12">
        <v>194390.0</v>
      </c>
      <c r="E1484" s="11">
        <v>443100.0</v>
      </c>
      <c r="F1484" s="11">
        <v>272250.0</v>
      </c>
      <c r="G1484" s="11">
        <v>273350.0</v>
      </c>
      <c r="H1484" s="11">
        <v>208940.0</v>
      </c>
      <c r="I1484" s="11">
        <v>135100.0</v>
      </c>
      <c r="J1484" s="11">
        <v>119950.0</v>
      </c>
      <c r="K1484" s="11">
        <v>86910.0</v>
      </c>
      <c r="L1484" s="11">
        <v>72740.0</v>
      </c>
      <c r="M1484" s="11">
        <v>62460.0</v>
      </c>
      <c r="N1484" s="11">
        <v>50950.0</v>
      </c>
      <c r="O1484" s="11">
        <v>109580.0</v>
      </c>
      <c r="P1484" s="11">
        <v>74140.0</v>
      </c>
      <c r="Q1484" s="11">
        <v>58840.0</v>
      </c>
      <c r="R1484" s="11">
        <v>50850.0</v>
      </c>
      <c r="S1484" s="11">
        <v>43220.0</v>
      </c>
      <c r="T1484" s="12"/>
      <c r="U1484" s="12"/>
      <c r="V1484" s="12"/>
      <c r="W1484" s="12"/>
      <c r="X1484" s="12"/>
      <c r="Y1484" s="11">
        <v>9360.0</v>
      </c>
      <c r="Z1484" s="12"/>
      <c r="AA1484" s="11">
        <v>13700.0</v>
      </c>
      <c r="AB1484" s="11">
        <v>11540.0</v>
      </c>
      <c r="AC1484" s="11">
        <v>7530.0</v>
      </c>
      <c r="AD1484" s="11">
        <v>4660.0</v>
      </c>
      <c r="AE1484" s="11">
        <v>12160.0</v>
      </c>
      <c r="AF1484" s="11">
        <v>13690.0</v>
      </c>
      <c r="AG1484" s="11">
        <v>11370.0</v>
      </c>
      <c r="AH1484" s="11">
        <v>7340.0</v>
      </c>
      <c r="AI1484" s="11">
        <v>25840.0</v>
      </c>
      <c r="AJ1484" s="11">
        <v>18980.0</v>
      </c>
      <c r="AK1484" s="11">
        <v>17990.0</v>
      </c>
      <c r="AL1484" s="11">
        <v>14840.0</v>
      </c>
      <c r="AM1484" s="11">
        <v>9800.0</v>
      </c>
      <c r="AN1484" s="11">
        <v>4840.0</v>
      </c>
      <c r="AO1484" s="11">
        <v>10030.0</v>
      </c>
      <c r="AP1484" s="11">
        <v>12130.0</v>
      </c>
      <c r="AQ1484" s="11">
        <v>8300.0</v>
      </c>
      <c r="AR1484" s="11">
        <v>4260.0</v>
      </c>
      <c r="AS1484" s="11">
        <v>11620.0</v>
      </c>
      <c r="AT1484" s="11">
        <v>7570.0</v>
      </c>
      <c r="AU1484" s="11">
        <v>11070.0</v>
      </c>
      <c r="AV1484" s="11">
        <v>21600.0</v>
      </c>
      <c r="AW1484" s="11">
        <v>8100.0</v>
      </c>
      <c r="AX1484" s="11">
        <v>-6640.0</v>
      </c>
      <c r="AY1484" s="11">
        <v>-2110.0</v>
      </c>
      <c r="AZ1484" s="11">
        <v>-2180.0</v>
      </c>
      <c r="BA1484" s="11">
        <v>-1660.0</v>
      </c>
      <c r="BB1484" s="11">
        <v>-2480.0</v>
      </c>
      <c r="BC1484" s="13"/>
      <c r="BD1484" s="13"/>
      <c r="BE1484" s="13"/>
      <c r="BF1484" s="13"/>
      <c r="BG1484" s="13"/>
      <c r="BH1484" s="11">
        <v>5450.0</v>
      </c>
      <c r="BI1484" s="11">
        <v>15260.0</v>
      </c>
      <c r="BJ1484" s="11">
        <v>14420.0</v>
      </c>
      <c r="BK1484" s="11">
        <v>22670.0</v>
      </c>
      <c r="BL1484" s="11">
        <v>16490.0</v>
      </c>
      <c r="BM1484" s="11">
        <v>163770.0</v>
      </c>
      <c r="BN1484" s="11">
        <v>115090.0</v>
      </c>
      <c r="BO1484" s="11">
        <v>65010.0</v>
      </c>
      <c r="BP1484" s="11">
        <v>49970.0</v>
      </c>
      <c r="BQ1484" s="11">
        <v>31950.0</v>
      </c>
      <c r="BR1484" s="12"/>
      <c r="BS1484" s="12"/>
      <c r="BT1484" s="12"/>
      <c r="BU1484" s="12"/>
      <c r="BV1484" s="12"/>
      <c r="BW1484" s="11">
        <v>175470.0</v>
      </c>
      <c r="BX1484" s="11">
        <v>136090.0</v>
      </c>
      <c r="BY1484" s="11">
        <v>83190.0</v>
      </c>
      <c r="BZ1484" s="11">
        <v>75240.0</v>
      </c>
      <c r="CA1484" s="11">
        <v>50520.0</v>
      </c>
      <c r="CB1484" s="11">
        <v>34350.0</v>
      </c>
      <c r="CC1484" s="11">
        <v>8000.0</v>
      </c>
      <c r="CD1484" s="11">
        <v>5310.0</v>
      </c>
      <c r="CE1484" s="11">
        <v>4510.0</v>
      </c>
      <c r="CF1484" s="11">
        <v>3680.0</v>
      </c>
      <c r="CG1484" s="11">
        <v>127650.0</v>
      </c>
      <c r="CH1484" s="11">
        <v>97750.0</v>
      </c>
      <c r="CI1484" s="11">
        <v>38180.0</v>
      </c>
      <c r="CJ1484" s="11">
        <v>21950.0</v>
      </c>
      <c r="CK1484" s="11">
        <v>16100.0</v>
      </c>
      <c r="CL1484" s="11">
        <v>462220.0</v>
      </c>
      <c r="CM1484" s="11">
        <v>314980.0</v>
      </c>
      <c r="CN1484" s="11">
        <v>143390.0</v>
      </c>
      <c r="CO1484" s="11">
        <v>115090.0</v>
      </c>
      <c r="CP1484" s="11">
        <v>72350.0</v>
      </c>
      <c r="CQ1484" s="11">
        <v>34000.0</v>
      </c>
      <c r="CR1484" s="11">
        <v>36830.0</v>
      </c>
      <c r="CS1484" s="11">
        <v>20830.0</v>
      </c>
      <c r="CT1484" s="11">
        <v>17400.0</v>
      </c>
      <c r="CU1484" s="11">
        <v>5560.0</v>
      </c>
      <c r="CV1484" s="11">
        <v>131980.0</v>
      </c>
      <c r="CW1484" s="11">
        <v>5550.0</v>
      </c>
      <c r="CX1484" s="13"/>
      <c r="CY1484" s="13"/>
      <c r="CZ1484" s="13"/>
      <c r="DA1484" s="12"/>
      <c r="DB1484" s="11">
        <v>131980.0</v>
      </c>
      <c r="DC1484" s="11">
        <v>91310.0</v>
      </c>
      <c r="DD1484" s="11">
        <v>56360.0</v>
      </c>
      <c r="DE1484" s="11">
        <v>51050.0</v>
      </c>
      <c r="DF1484" s="11">
        <v>294940.0</v>
      </c>
      <c r="DG1484" s="11">
        <v>170690.0</v>
      </c>
      <c r="DH1484" s="11">
        <v>72730.0</v>
      </c>
      <c r="DI1484" s="11">
        <v>65170.0</v>
      </c>
      <c r="DJ1484" s="11">
        <v>34730.0</v>
      </c>
      <c r="DK1484" s="12"/>
      <c r="DL1484" s="12"/>
      <c r="DM1484" s="12"/>
      <c r="DN1484" s="12"/>
      <c r="DO1484" s="13"/>
      <c r="DP1484" s="11">
        <v>135230.0</v>
      </c>
      <c r="DQ1484" s="11">
        <v>62440.0</v>
      </c>
      <c r="DR1484" s="11">
        <v>2660.0</v>
      </c>
      <c r="DS1484" s="11">
        <v>2280.0</v>
      </c>
      <c r="DT1484" s="11">
        <v>1340.0</v>
      </c>
      <c r="DU1484" s="13"/>
      <c r="DV1484" s="12"/>
      <c r="DW1484" s="12"/>
      <c r="DX1484" s="13"/>
      <c r="DY1484" s="13"/>
      <c r="DZ1484" s="11">
        <v>167280.0</v>
      </c>
      <c r="EA1484" s="11">
        <v>144290.0</v>
      </c>
      <c r="EB1484" s="11">
        <v>70650.0</v>
      </c>
      <c r="EC1484" s="11">
        <v>49920.0</v>
      </c>
      <c r="ED1484" s="11">
        <v>37620.0</v>
      </c>
      <c r="EE1484" s="23">
        <v>0.197849684</v>
      </c>
      <c r="EF1484" s="23">
        <v>0.056571613</v>
      </c>
      <c r="EG1484" s="14">
        <v>-1.433</v>
      </c>
      <c r="EH1484" s="23">
        <v>-0.40975</v>
      </c>
    </row>
    <row r="1485">
      <c r="A1485" s="9">
        <f t="shared" si="2"/>
        <v>1483</v>
      </c>
      <c r="B1485" s="25" t="s">
        <v>1620</v>
      </c>
      <c r="C1485" s="15">
        <v>7610000.0</v>
      </c>
      <c r="D1485" s="15">
        <v>7180000.0</v>
      </c>
      <c r="E1485" s="15">
        <v>8120000.0</v>
      </c>
      <c r="F1485" s="15">
        <v>8640000.0</v>
      </c>
      <c r="G1485" s="15">
        <v>8040000.0</v>
      </c>
      <c r="H1485" s="15">
        <v>5080000.0</v>
      </c>
      <c r="I1485" s="15">
        <v>4460000.0</v>
      </c>
      <c r="J1485" s="15">
        <v>1150000.0</v>
      </c>
      <c r="K1485" s="15">
        <v>1890000.0</v>
      </c>
      <c r="L1485" s="15">
        <v>1650000.0</v>
      </c>
      <c r="M1485" s="15">
        <v>958200.0</v>
      </c>
      <c r="N1485" s="15">
        <v>1190000.0</v>
      </c>
      <c r="O1485" s="15">
        <v>458000.0</v>
      </c>
      <c r="P1485" s="15">
        <v>445000.0</v>
      </c>
      <c r="Q1485" s="15">
        <v>399000.0</v>
      </c>
      <c r="R1485" s="15">
        <v>295440.0</v>
      </c>
      <c r="S1485" s="15">
        <v>225360.0</v>
      </c>
      <c r="T1485" s="15"/>
      <c r="U1485" s="15"/>
      <c r="V1485" s="15"/>
      <c r="W1485" s="15"/>
      <c r="X1485" s="15"/>
      <c r="Y1485" s="15">
        <v>656000.0</v>
      </c>
      <c r="Z1485" s="15">
        <v>1410000.0</v>
      </c>
      <c r="AA1485" s="15">
        <v>-29000.0</v>
      </c>
      <c r="AB1485" s="15">
        <v>569000.0</v>
      </c>
      <c r="AC1485" s="15">
        <v>11920.0</v>
      </c>
      <c r="AD1485" s="15">
        <v>570000.0</v>
      </c>
      <c r="AE1485" s="15">
        <v>1330000.0</v>
      </c>
      <c r="AF1485" s="15">
        <v>1080000.0</v>
      </c>
      <c r="AG1485" s="15">
        <v>558380.0</v>
      </c>
      <c r="AH1485" s="15">
        <v>963440.0</v>
      </c>
      <c r="AI1485" s="15">
        <v>1410000.0</v>
      </c>
      <c r="AJ1485" s="15">
        <v>2080000.0</v>
      </c>
      <c r="AK1485" s="15">
        <v>1860000.0</v>
      </c>
      <c r="AL1485" s="15">
        <v>1040000.0</v>
      </c>
      <c r="AM1485" s="15">
        <v>1210000.0</v>
      </c>
      <c r="AN1485" s="15">
        <v>419000.0</v>
      </c>
      <c r="AO1485" s="15">
        <v>991000.0</v>
      </c>
      <c r="AP1485" s="15">
        <v>1300000.0</v>
      </c>
      <c r="AQ1485" s="15">
        <v>397080.0</v>
      </c>
      <c r="AR1485" s="15">
        <v>643190.0</v>
      </c>
      <c r="AS1485" s="15">
        <v>1300000.0</v>
      </c>
      <c r="AT1485" s="15">
        <v>1410000.0</v>
      </c>
      <c r="AU1485" s="15">
        <v>1520000.0</v>
      </c>
      <c r="AV1485" s="15">
        <v>833850.0</v>
      </c>
      <c r="AW1485" s="15">
        <v>1080000.0</v>
      </c>
      <c r="AX1485" s="15">
        <v>-787000.0</v>
      </c>
      <c r="AY1485" s="15">
        <v>-702000.0</v>
      </c>
      <c r="AZ1485" s="15">
        <v>-577000.0</v>
      </c>
      <c r="BA1485" s="15">
        <v>-628480.0</v>
      </c>
      <c r="BB1485" s="15">
        <v>-491430.0</v>
      </c>
      <c r="BC1485" s="15">
        <v>-132000.0</v>
      </c>
      <c r="BD1485" s="15">
        <v>-120000.0</v>
      </c>
      <c r="BE1485" s="15">
        <v>-103000.0</v>
      </c>
      <c r="BF1485" s="15">
        <v>-96560.0</v>
      </c>
      <c r="BG1485" s="15">
        <v>-91550.0</v>
      </c>
      <c r="BH1485" s="15">
        <v>728000.0</v>
      </c>
      <c r="BI1485" s="15">
        <v>753000.0</v>
      </c>
      <c r="BJ1485" s="15">
        <v>1530000.0</v>
      </c>
      <c r="BK1485" s="15">
        <v>619980.0</v>
      </c>
      <c r="BL1485" s="15">
        <v>1180000.0</v>
      </c>
      <c r="BM1485" s="15">
        <v>1040000.0</v>
      </c>
      <c r="BN1485" s="15">
        <v>1040000.0</v>
      </c>
      <c r="BO1485" s="15">
        <v>1000000.0</v>
      </c>
      <c r="BP1485" s="15">
        <v>938740.0</v>
      </c>
      <c r="BQ1485" s="15">
        <v>508530.0</v>
      </c>
      <c r="BR1485" s="15">
        <v>936000.0</v>
      </c>
      <c r="BS1485" s="15">
        <v>1010000.0</v>
      </c>
      <c r="BT1485" s="15">
        <v>900000.0</v>
      </c>
      <c r="BU1485" s="15">
        <v>801100.0</v>
      </c>
      <c r="BV1485" s="15">
        <v>434060.0</v>
      </c>
      <c r="BW1485" s="15">
        <v>2740000.0</v>
      </c>
      <c r="BX1485" s="15">
        <v>2840000.0</v>
      </c>
      <c r="BY1485" s="15">
        <v>3460000.0</v>
      </c>
      <c r="BZ1485" s="15">
        <v>2410000.0</v>
      </c>
      <c r="CA1485" s="15">
        <v>2180000.0</v>
      </c>
      <c r="CB1485" s="15">
        <v>7360000.0</v>
      </c>
      <c r="CC1485" s="15">
        <v>6600000.0</v>
      </c>
      <c r="CD1485" s="15">
        <v>6410000.0</v>
      </c>
      <c r="CE1485" s="15">
        <v>6420000.0</v>
      </c>
      <c r="CF1485" s="15">
        <v>3000000.0</v>
      </c>
      <c r="CG1485" s="15">
        <v>1070000.0</v>
      </c>
      <c r="CH1485" s="15">
        <v>1000000.0</v>
      </c>
      <c r="CI1485" s="15">
        <v>1010000.0</v>
      </c>
      <c r="CJ1485" s="15">
        <v>946550.0</v>
      </c>
      <c r="CK1485" s="15">
        <v>62020.0</v>
      </c>
      <c r="CL1485" s="15">
        <v>1.326E7</v>
      </c>
      <c r="CM1485" s="15">
        <v>1.16E7</v>
      </c>
      <c r="CN1485" s="15">
        <v>1.208E7</v>
      </c>
      <c r="CO1485" s="15">
        <v>1.089E7</v>
      </c>
      <c r="CP1485" s="15">
        <v>5570000.0</v>
      </c>
      <c r="CQ1485" s="15">
        <v>447000.0</v>
      </c>
      <c r="CR1485" s="15">
        <v>507000.0</v>
      </c>
      <c r="CS1485" s="15">
        <v>600000.0</v>
      </c>
      <c r="CT1485" s="15">
        <v>494740.0</v>
      </c>
      <c r="CU1485" s="15">
        <v>229220.0</v>
      </c>
      <c r="CV1485" s="15">
        <v>1240000.0</v>
      </c>
      <c r="CW1485" s="15">
        <v>119000.0</v>
      </c>
      <c r="CX1485" s="13"/>
      <c r="CY1485" s="13"/>
      <c r="CZ1485" s="15">
        <v>150860.0</v>
      </c>
      <c r="DA1485" s="15">
        <v>6110.0</v>
      </c>
      <c r="DB1485" s="15">
        <v>1240000.0</v>
      </c>
      <c r="DC1485" s="15">
        <v>1180000.0</v>
      </c>
      <c r="DD1485" s="15">
        <v>1970000.0</v>
      </c>
      <c r="DE1485" s="15">
        <v>1180000.0</v>
      </c>
      <c r="DF1485" s="15">
        <v>6860000.0</v>
      </c>
      <c r="DG1485" s="15">
        <v>5530000.0</v>
      </c>
      <c r="DH1485" s="15">
        <v>6710000.0</v>
      </c>
      <c r="DI1485" s="15">
        <v>7000000.0</v>
      </c>
      <c r="DJ1485" s="15">
        <v>2010000.0</v>
      </c>
      <c r="DK1485" s="15">
        <v>1130000.0</v>
      </c>
      <c r="DL1485" s="15">
        <v>22000.0</v>
      </c>
      <c r="DM1485" s="15">
        <v>23000.0</v>
      </c>
      <c r="DN1485" s="15">
        <v>156150.0</v>
      </c>
      <c r="DO1485" s="15">
        <v>108620.0</v>
      </c>
      <c r="DP1485" s="15">
        <v>3800000.0</v>
      </c>
      <c r="DQ1485" s="15">
        <v>2670000.0</v>
      </c>
      <c r="DR1485" s="15">
        <v>3130000.0</v>
      </c>
      <c r="DS1485" s="15">
        <v>3680000.0</v>
      </c>
      <c r="DT1485" s="15">
        <v>758150.0</v>
      </c>
      <c r="DU1485" s="13"/>
      <c r="DV1485" s="12"/>
      <c r="DW1485" s="12"/>
      <c r="DX1485" s="13"/>
      <c r="DY1485" s="13"/>
      <c r="DZ1485" s="15">
        <v>5860000.0</v>
      </c>
      <c r="EA1485" s="15">
        <v>5590000.0</v>
      </c>
      <c r="EB1485" s="15">
        <v>4870000.0</v>
      </c>
      <c r="EC1485" s="15">
        <v>3520000.0</v>
      </c>
      <c r="ED1485" s="15">
        <v>3270000.0</v>
      </c>
      <c r="EE1485" s="23"/>
      <c r="EF1485" s="23"/>
      <c r="EG1485" s="23">
        <v>0.14</v>
      </c>
      <c r="EH1485" s="23">
        <v>-0.047</v>
      </c>
    </row>
    <row r="1486">
      <c r="A1486" s="9">
        <f t="shared" si="2"/>
        <v>1484</v>
      </c>
      <c r="B1486" s="25" t="s">
        <v>1621</v>
      </c>
      <c r="C1486" s="15">
        <v>1200000.0</v>
      </c>
      <c r="D1486" s="15">
        <v>1140000.0</v>
      </c>
      <c r="E1486" s="15">
        <v>1090000.0</v>
      </c>
      <c r="F1486" s="15">
        <v>1290000.0</v>
      </c>
      <c r="G1486" s="15">
        <v>1170000.0</v>
      </c>
      <c r="H1486" s="15">
        <v>986740.0</v>
      </c>
      <c r="I1486" s="15">
        <v>1010000.0</v>
      </c>
      <c r="J1486" s="15">
        <v>381930.0</v>
      </c>
      <c r="K1486" s="15">
        <v>377160.0</v>
      </c>
      <c r="L1486" s="15">
        <v>403670.0</v>
      </c>
      <c r="M1486" s="15">
        <v>391330.0</v>
      </c>
      <c r="N1486" s="15">
        <v>382880.0</v>
      </c>
      <c r="O1486" s="15">
        <v>29280.0</v>
      </c>
      <c r="P1486" s="15">
        <v>27590.0</v>
      </c>
      <c r="Q1486" s="15">
        <v>29260.0</v>
      </c>
      <c r="R1486" s="15">
        <v>24890.0</v>
      </c>
      <c r="S1486" s="15">
        <v>23550.0</v>
      </c>
      <c r="T1486" s="15"/>
      <c r="U1486" s="15"/>
      <c r="V1486" s="15"/>
      <c r="W1486" s="15"/>
      <c r="X1486" s="15"/>
      <c r="Y1486" s="15">
        <v>350150.0</v>
      </c>
      <c r="Z1486" s="12"/>
      <c r="AA1486" s="12"/>
      <c r="AB1486" s="15"/>
      <c r="AC1486" s="15"/>
      <c r="AD1486" s="15">
        <v>333620.0</v>
      </c>
      <c r="AE1486" s="15">
        <v>330590.0</v>
      </c>
      <c r="AF1486" s="15">
        <v>354340.0</v>
      </c>
      <c r="AG1486" s="15">
        <v>354440.0</v>
      </c>
      <c r="AH1486" s="15">
        <v>354530.0</v>
      </c>
      <c r="AI1486" s="15">
        <v>459970.0</v>
      </c>
      <c r="AJ1486" s="15">
        <v>458410.0</v>
      </c>
      <c r="AK1486" s="15">
        <v>488390.0</v>
      </c>
      <c r="AL1486" s="15">
        <v>464650.0</v>
      </c>
      <c r="AM1486" s="15">
        <v>440540.0</v>
      </c>
      <c r="AN1486" s="15">
        <v>60980.0</v>
      </c>
      <c r="AO1486" s="15">
        <v>49350.0</v>
      </c>
      <c r="AP1486" s="15">
        <v>48670.0</v>
      </c>
      <c r="AQ1486" s="15">
        <v>40940.0</v>
      </c>
      <c r="AR1486" s="15">
        <v>39830.0</v>
      </c>
      <c r="AS1486" s="15">
        <v>450810.0</v>
      </c>
      <c r="AT1486" s="15">
        <v>436150.0</v>
      </c>
      <c r="AU1486" s="15">
        <v>537360.0</v>
      </c>
      <c r="AV1486" s="15">
        <v>287730.0</v>
      </c>
      <c r="AW1486" s="15">
        <v>452540.0</v>
      </c>
      <c r="AX1486" s="15">
        <v>-43710.0</v>
      </c>
      <c r="AY1486" s="15">
        <v>-39860.0</v>
      </c>
      <c r="AZ1486" s="15">
        <v>-68860.0</v>
      </c>
      <c r="BA1486" s="15">
        <v>-299640.0</v>
      </c>
      <c r="BB1486" s="15">
        <v>-231190.0</v>
      </c>
      <c r="BC1486" s="15">
        <v>-62080.0</v>
      </c>
      <c r="BD1486" s="15">
        <v>-53360.0</v>
      </c>
      <c r="BE1486" s="15">
        <v>-42120.0</v>
      </c>
      <c r="BF1486" s="15">
        <v>-34940.0</v>
      </c>
      <c r="BG1486" s="15">
        <v>-31070.0</v>
      </c>
      <c r="BH1486" s="15">
        <v>19920.0</v>
      </c>
      <c r="BI1486" s="15">
        <v>19740.0</v>
      </c>
      <c r="BJ1486" s="15">
        <v>27010.0</v>
      </c>
      <c r="BK1486" s="15">
        <v>88900.0</v>
      </c>
      <c r="BL1486" s="15">
        <v>169560.0</v>
      </c>
      <c r="BM1486" s="15">
        <v>214940.0</v>
      </c>
      <c r="BN1486" s="15">
        <v>222640.0</v>
      </c>
      <c r="BO1486" s="15">
        <v>198480.0</v>
      </c>
      <c r="BP1486" s="15">
        <v>139060.0</v>
      </c>
      <c r="BQ1486" s="15">
        <v>51580.0</v>
      </c>
      <c r="BR1486" s="15">
        <v>2480.0</v>
      </c>
      <c r="BS1486" s="15">
        <v>4390.0</v>
      </c>
      <c r="BT1486" s="15">
        <v>5590.0</v>
      </c>
      <c r="BU1486" s="15">
        <v>3930.0</v>
      </c>
      <c r="BV1486" s="15">
        <v>3880.0</v>
      </c>
      <c r="BW1486" s="15">
        <v>238410.0</v>
      </c>
      <c r="BX1486" s="15">
        <v>247140.0</v>
      </c>
      <c r="BY1486" s="15">
        <v>231390.0</v>
      </c>
      <c r="BZ1486" s="15">
        <v>232170.0</v>
      </c>
      <c r="CA1486" s="15">
        <v>225290.0</v>
      </c>
      <c r="CB1486" s="15">
        <v>1100000.0</v>
      </c>
      <c r="CC1486" s="15">
        <v>1150000.0</v>
      </c>
      <c r="CD1486" s="15">
        <v>1200000.0</v>
      </c>
      <c r="CE1486" s="15">
        <v>1220000.0</v>
      </c>
      <c r="CF1486" s="15">
        <v>1020000.0</v>
      </c>
      <c r="CG1486" s="15">
        <v>5810.0</v>
      </c>
      <c r="CH1486" s="15">
        <v>5810.0</v>
      </c>
      <c r="CI1486" s="15">
        <v>5810.0</v>
      </c>
      <c r="CJ1486" s="15">
        <v>5810.0</v>
      </c>
      <c r="CK1486" s="15">
        <v>5810.0</v>
      </c>
      <c r="CL1486" s="15">
        <v>1390000.0</v>
      </c>
      <c r="CM1486" s="15">
        <v>1460000.0</v>
      </c>
      <c r="CN1486" s="15">
        <v>1520000.0</v>
      </c>
      <c r="CO1486" s="15">
        <v>1560000.0</v>
      </c>
      <c r="CP1486" s="15">
        <v>1290000.0</v>
      </c>
      <c r="CQ1486" s="15">
        <v>21340.0</v>
      </c>
      <c r="CR1486" s="15">
        <v>32520.0</v>
      </c>
      <c r="CS1486" s="15">
        <v>24540.0</v>
      </c>
      <c r="CT1486" s="15">
        <v>22060.0</v>
      </c>
      <c r="CU1486" s="15">
        <v>34290.0</v>
      </c>
      <c r="CV1486" s="15">
        <v>38850.0</v>
      </c>
      <c r="CW1486" s="15"/>
      <c r="CX1486" s="15"/>
      <c r="CY1486" s="15"/>
      <c r="CZ1486" s="15"/>
      <c r="DA1486" s="15"/>
      <c r="DB1486" s="15">
        <v>38850.0</v>
      </c>
      <c r="DC1486" s="15">
        <v>48770.0</v>
      </c>
      <c r="DD1486" s="15">
        <v>40240.0</v>
      </c>
      <c r="DE1486" s="15">
        <v>37780.0</v>
      </c>
      <c r="DF1486" s="15">
        <v>441320.0</v>
      </c>
      <c r="DG1486" s="15">
        <v>528040.0</v>
      </c>
      <c r="DH1486" s="15">
        <v>516530.0</v>
      </c>
      <c r="DI1486" s="15">
        <v>634270.0</v>
      </c>
      <c r="DJ1486" s="15">
        <v>443180.0</v>
      </c>
      <c r="DK1486" s="15"/>
      <c r="DL1486" s="15"/>
      <c r="DM1486" s="15"/>
      <c r="DN1486" s="15"/>
      <c r="DO1486" s="15"/>
      <c r="DP1486" s="15">
        <v>399670.0</v>
      </c>
      <c r="DQ1486" s="15">
        <v>477610.0</v>
      </c>
      <c r="DR1486" s="15">
        <v>473960.0</v>
      </c>
      <c r="DS1486" s="15">
        <v>594630.0</v>
      </c>
      <c r="DT1486" s="15">
        <v>384010.0</v>
      </c>
      <c r="DU1486" s="13"/>
      <c r="DV1486" s="12"/>
      <c r="DW1486" s="12"/>
      <c r="DX1486" s="13"/>
      <c r="DY1486" s="13"/>
      <c r="DZ1486" s="15">
        <v>520090.0</v>
      </c>
      <c r="EA1486" s="15">
        <v>458380.0</v>
      </c>
      <c r="EB1486" s="15">
        <v>461770.0</v>
      </c>
      <c r="EC1486" s="15">
        <v>344910.0</v>
      </c>
      <c r="ED1486" s="15">
        <v>339130.0</v>
      </c>
      <c r="EE1486" s="23">
        <v>0.404</v>
      </c>
      <c r="EF1486" s="23">
        <v>0.475</v>
      </c>
      <c r="EG1486" s="23">
        <v>-0.02</v>
      </c>
      <c r="EH1486" s="23">
        <v>-0.054</v>
      </c>
    </row>
    <row r="1487">
      <c r="A1487" s="9">
        <f t="shared" si="2"/>
        <v>1485</v>
      </c>
      <c r="B1487" s="10" t="s">
        <v>1622</v>
      </c>
      <c r="C1487" s="15"/>
      <c r="D1487" s="15"/>
      <c r="E1487" s="15">
        <v>3540000.0</v>
      </c>
      <c r="F1487" s="15">
        <v>3510000.0</v>
      </c>
      <c r="G1487" s="15">
        <v>3470000.0</v>
      </c>
      <c r="H1487" s="15">
        <v>3140000.0</v>
      </c>
      <c r="I1487" s="15">
        <v>2880000.0</v>
      </c>
      <c r="J1487" s="15">
        <v>983390.0</v>
      </c>
      <c r="K1487" s="15">
        <v>973430.0</v>
      </c>
      <c r="L1487" s="15">
        <v>958210.0</v>
      </c>
      <c r="M1487" s="15">
        <v>795290.0</v>
      </c>
      <c r="N1487" s="15">
        <v>716620.0</v>
      </c>
      <c r="O1487" s="15">
        <v>768360.0</v>
      </c>
      <c r="P1487" s="15">
        <v>757840.0</v>
      </c>
      <c r="Q1487" s="15">
        <v>750680.0</v>
      </c>
      <c r="R1487" s="15">
        <v>696070.0</v>
      </c>
      <c r="S1487" s="15">
        <v>626590.0</v>
      </c>
      <c r="T1487" s="15"/>
      <c r="U1487" s="15"/>
      <c r="V1487" s="15"/>
      <c r="W1487" s="15"/>
      <c r="X1487" s="15"/>
      <c r="Y1487" s="15">
        <v>86610.0</v>
      </c>
      <c r="Z1487" s="15">
        <v>-54.0</v>
      </c>
      <c r="AA1487" s="15">
        <v>-40.0</v>
      </c>
      <c r="AB1487" s="15">
        <v>98330.0</v>
      </c>
      <c r="AC1487" s="15"/>
      <c r="AD1487" s="15">
        <v>88640.0</v>
      </c>
      <c r="AE1487" s="15">
        <v>82140.0</v>
      </c>
      <c r="AF1487" s="15">
        <v>79020.0</v>
      </c>
      <c r="AG1487" s="15">
        <v>124660.0</v>
      </c>
      <c r="AH1487" s="15">
        <v>92330.0</v>
      </c>
      <c r="AI1487" s="15">
        <v>178350.0</v>
      </c>
      <c r="AJ1487" s="15">
        <v>177160.0</v>
      </c>
      <c r="AK1487" s="15">
        <v>161840.0</v>
      </c>
      <c r="AL1487" s="15">
        <v>176080.0</v>
      </c>
      <c r="AM1487" s="15">
        <v>160140.0</v>
      </c>
      <c r="AN1487" s="15">
        <v>67980.0</v>
      </c>
      <c r="AO1487" s="15">
        <v>62740.0</v>
      </c>
      <c r="AP1487" s="15">
        <v>98410.0</v>
      </c>
      <c r="AQ1487" s="15">
        <v>87160.0</v>
      </c>
      <c r="AR1487" s="15">
        <v>59330.0</v>
      </c>
      <c r="AS1487" s="15">
        <v>171690.0</v>
      </c>
      <c r="AT1487" s="15">
        <v>148380.0</v>
      </c>
      <c r="AU1487" s="15">
        <v>160260.0</v>
      </c>
      <c r="AV1487" s="15">
        <v>151590.0</v>
      </c>
      <c r="AW1487" s="15">
        <v>136730.0</v>
      </c>
      <c r="AX1487" s="15">
        <v>-102950.0</v>
      </c>
      <c r="AY1487" s="15">
        <v>-99240.0</v>
      </c>
      <c r="AZ1487" s="15">
        <v>-99420.0</v>
      </c>
      <c r="BA1487" s="15">
        <v>-144710.0</v>
      </c>
      <c r="BB1487" s="15">
        <v>-92860.0</v>
      </c>
      <c r="BC1487" s="13">
        <v>-33350.0</v>
      </c>
      <c r="BD1487" s="13">
        <v>-32550.0</v>
      </c>
      <c r="BE1487" s="13">
        <v>-32280.0</v>
      </c>
      <c r="BF1487" s="13">
        <v>-32280.0</v>
      </c>
      <c r="BG1487" s="13">
        <v>-32280.0</v>
      </c>
      <c r="BH1487" s="15">
        <v>149340.0</v>
      </c>
      <c r="BI1487" s="15">
        <v>106790.0</v>
      </c>
      <c r="BJ1487" s="15">
        <v>126060.0</v>
      </c>
      <c r="BK1487" s="15">
        <v>92980.0</v>
      </c>
      <c r="BL1487" s="15">
        <v>118300.0</v>
      </c>
      <c r="BM1487" s="15">
        <v>55760.0</v>
      </c>
      <c r="BN1487" s="15">
        <v>57290.0</v>
      </c>
      <c r="BO1487" s="15">
        <v>58310.0</v>
      </c>
      <c r="BP1487" s="15">
        <v>97800.0</v>
      </c>
      <c r="BQ1487" s="15">
        <v>89750.0</v>
      </c>
      <c r="BR1487" s="15">
        <v>279810.0</v>
      </c>
      <c r="BS1487" s="15">
        <v>280760.0</v>
      </c>
      <c r="BT1487" s="15">
        <v>279510.0</v>
      </c>
      <c r="BU1487" s="15">
        <v>276780.0</v>
      </c>
      <c r="BV1487" s="15">
        <v>229400.0</v>
      </c>
      <c r="BW1487" s="15">
        <v>508290.0</v>
      </c>
      <c r="BX1487" s="15">
        <v>469120.0</v>
      </c>
      <c r="BY1487" s="15">
        <v>483310.0</v>
      </c>
      <c r="BZ1487" s="15">
        <v>483870.0</v>
      </c>
      <c r="CA1487" s="15">
        <v>454650.0</v>
      </c>
      <c r="CB1487" s="15">
        <v>1100000.0</v>
      </c>
      <c r="CC1487" s="15">
        <v>887610.0</v>
      </c>
      <c r="CD1487" s="15">
        <v>886240.0</v>
      </c>
      <c r="CE1487" s="15">
        <v>878200.0</v>
      </c>
      <c r="CF1487" s="15">
        <v>738990.0</v>
      </c>
      <c r="CG1487" s="15">
        <v>52330.0</v>
      </c>
      <c r="CH1487" s="15">
        <v>52330.0</v>
      </c>
      <c r="CI1487" s="15">
        <v>52330.0</v>
      </c>
      <c r="CJ1487" s="15">
        <v>52330.0</v>
      </c>
      <c r="CK1487" s="15">
        <v>35160.0</v>
      </c>
      <c r="CL1487" s="15">
        <v>1710000.0</v>
      </c>
      <c r="CM1487" s="15">
        <v>1430000.0</v>
      </c>
      <c r="CN1487" s="15">
        <v>1440000.0</v>
      </c>
      <c r="CO1487" s="15">
        <v>1430000.0</v>
      </c>
      <c r="CP1487" s="15">
        <v>1240000.0</v>
      </c>
      <c r="CQ1487" s="15">
        <v>180720.0</v>
      </c>
      <c r="CR1487" s="15">
        <v>191100.0</v>
      </c>
      <c r="CS1487" s="15">
        <v>216250.0</v>
      </c>
      <c r="CT1487" s="15">
        <v>199160.0</v>
      </c>
      <c r="CU1487" s="15">
        <v>160440.0</v>
      </c>
      <c r="CV1487" s="15">
        <v>291940.0</v>
      </c>
      <c r="CW1487" s="15">
        <v>39110.0</v>
      </c>
      <c r="CX1487" s="13"/>
      <c r="CY1487" s="13"/>
      <c r="CZ1487" s="13"/>
      <c r="DA1487" s="12"/>
      <c r="DB1487" s="15">
        <v>291940.0</v>
      </c>
      <c r="DC1487" s="15">
        <v>267210.0</v>
      </c>
      <c r="DD1487" s="15">
        <v>274340.0</v>
      </c>
      <c r="DE1487" s="15">
        <v>276170.0</v>
      </c>
      <c r="DF1487" s="15">
        <v>647090.0</v>
      </c>
      <c r="DG1487" s="15">
        <v>409110.0</v>
      </c>
      <c r="DH1487" s="15">
        <v>448900.0</v>
      </c>
      <c r="DI1487" s="15">
        <v>504580.0</v>
      </c>
      <c r="DJ1487" s="15">
        <v>364210.0</v>
      </c>
      <c r="DK1487" s="15"/>
      <c r="DL1487" s="12"/>
      <c r="DM1487" s="12"/>
      <c r="DN1487" s="12"/>
      <c r="DO1487" s="15"/>
      <c r="DP1487" s="15">
        <v>179650.0</v>
      </c>
      <c r="DQ1487" s="15"/>
      <c r="DR1487" s="12">
        <v>34990.0</v>
      </c>
      <c r="DS1487" s="12">
        <v>64480.0</v>
      </c>
      <c r="DT1487" s="12"/>
      <c r="DU1487" s="13"/>
      <c r="DV1487" s="12"/>
      <c r="DW1487" s="12"/>
      <c r="DX1487" s="13"/>
      <c r="DY1487" s="13"/>
      <c r="DZ1487" s="15">
        <v>1060000.0</v>
      </c>
      <c r="EA1487" s="15">
        <v>1020000.0</v>
      </c>
      <c r="EB1487" s="15">
        <v>992840.0</v>
      </c>
      <c r="EC1487" s="15">
        <v>926720.0</v>
      </c>
      <c r="ED1487" s="15">
        <v>871750.0</v>
      </c>
      <c r="EE1487" s="17"/>
      <c r="EF1487" s="17"/>
      <c r="EG1487" s="23" t="s">
        <v>155</v>
      </c>
      <c r="EH1487" s="17"/>
    </row>
    <row r="1488">
      <c r="A1488" s="9">
        <f t="shared" si="2"/>
        <v>1486</v>
      </c>
      <c r="B1488" s="10" t="s">
        <v>1623</v>
      </c>
      <c r="C1488" s="15">
        <v>5.5625E8</v>
      </c>
      <c r="D1488" s="15">
        <v>5.4707E8</v>
      </c>
      <c r="E1488" s="15">
        <v>5.2396E8</v>
      </c>
      <c r="F1488" s="15">
        <v>5.1441E8</v>
      </c>
      <c r="G1488" s="15">
        <v>4.9991E8</v>
      </c>
      <c r="H1488" s="15">
        <v>4.8514E8</v>
      </c>
      <c r="I1488" s="15">
        <v>4.8213E8</v>
      </c>
      <c r="J1488" s="15">
        <v>1.2936E8</v>
      </c>
      <c r="K1488" s="15">
        <v>1.291E8</v>
      </c>
      <c r="L1488" s="15">
        <v>1.2651E8</v>
      </c>
      <c r="M1488" s="15">
        <v>1.2389E8</v>
      </c>
      <c r="N1488" s="15">
        <v>1.2115E8</v>
      </c>
      <c r="O1488" s="15">
        <v>1.0789E8</v>
      </c>
      <c r="P1488" s="15">
        <v>1.0595E8</v>
      </c>
      <c r="Q1488" s="15">
        <v>1.0531E8</v>
      </c>
      <c r="R1488" s="15">
        <v>1.0185E8</v>
      </c>
      <c r="S1488" s="15">
        <v>9.704E7</v>
      </c>
      <c r="T1488" s="12"/>
      <c r="U1488" s="12"/>
      <c r="V1488" s="12"/>
      <c r="W1488" s="12"/>
      <c r="X1488" s="12"/>
      <c r="Y1488" s="15">
        <v>2.253E7</v>
      </c>
      <c r="Z1488" s="15">
        <v>1.359E7</v>
      </c>
      <c r="AA1488" s="15">
        <v>1.687E7</v>
      </c>
      <c r="AB1488" s="12"/>
      <c r="AC1488" s="12"/>
      <c r="AD1488" s="15">
        <v>2.012E7</v>
      </c>
      <c r="AE1488" s="15">
        <v>1.146E7</v>
      </c>
      <c r="AF1488" s="15">
        <v>1.512E7</v>
      </c>
      <c r="AG1488" s="15">
        <v>2.05E7</v>
      </c>
      <c r="AH1488" s="15">
        <v>2.164E7</v>
      </c>
      <c r="AI1488" s="15">
        <v>3.246E7</v>
      </c>
      <c r="AJ1488" s="15">
        <v>3.384E7</v>
      </c>
      <c r="AK1488" s="15">
        <v>3.173E7</v>
      </c>
      <c r="AL1488" s="15">
        <v>3.212E7</v>
      </c>
      <c r="AM1488" s="15">
        <v>3.356E7</v>
      </c>
      <c r="AN1488" s="15">
        <v>1.488E7</v>
      </c>
      <c r="AO1488" s="15">
        <v>6670000.0</v>
      </c>
      <c r="AP1488" s="15">
        <v>9860000.0</v>
      </c>
      <c r="AQ1488" s="15">
        <v>1.364E7</v>
      </c>
      <c r="AR1488" s="15">
        <v>1.469E7</v>
      </c>
      <c r="AS1488" s="15">
        <v>2.526E7</v>
      </c>
      <c r="AT1488" s="15">
        <v>2.775E7</v>
      </c>
      <c r="AU1488" s="15">
        <v>2.834E7</v>
      </c>
      <c r="AV1488" s="15">
        <v>3.153E7</v>
      </c>
      <c r="AW1488" s="15">
        <v>2.739E7</v>
      </c>
      <c r="AX1488" s="15">
        <v>-1.071E7</v>
      </c>
      <c r="AY1488" s="15">
        <v>-1.034E7</v>
      </c>
      <c r="AZ1488" s="15">
        <v>-1.005E7</v>
      </c>
      <c r="BA1488" s="15">
        <v>-1.062E7</v>
      </c>
      <c r="BB1488" s="15">
        <v>-1.148E7</v>
      </c>
      <c r="BC1488" s="15">
        <v>-6050000.0</v>
      </c>
      <c r="BD1488" s="15">
        <v>-6100000.0</v>
      </c>
      <c r="BE1488" s="15">
        <v>-6120000.0</v>
      </c>
      <c r="BF1488" s="15">
        <v>-6220000.0</v>
      </c>
      <c r="BG1488" s="15">
        <v>-6290000.0</v>
      </c>
      <c r="BH1488" s="15">
        <v>9470000.0</v>
      </c>
      <c r="BI1488" s="15">
        <v>7760000.0</v>
      </c>
      <c r="BJ1488" s="15">
        <v>6760000.0</v>
      </c>
      <c r="BK1488" s="15">
        <v>6870000.0</v>
      </c>
      <c r="BL1488" s="15">
        <v>8710000.0</v>
      </c>
      <c r="BM1488" s="15">
        <v>6280000.0</v>
      </c>
      <c r="BN1488" s="15">
        <v>6280000.0</v>
      </c>
      <c r="BO1488" s="15">
        <v>5610000.0</v>
      </c>
      <c r="BP1488" s="15">
        <v>5840000.0</v>
      </c>
      <c r="BQ1488" s="15">
        <v>5620000.0</v>
      </c>
      <c r="BR1488" s="15">
        <v>4.444E7</v>
      </c>
      <c r="BS1488" s="15">
        <v>4.427E7</v>
      </c>
      <c r="BT1488" s="15">
        <v>4.378E7</v>
      </c>
      <c r="BU1488" s="15">
        <v>4.305E7</v>
      </c>
      <c r="BV1488" s="15">
        <v>4.447E7</v>
      </c>
      <c r="BW1488" s="15">
        <v>6.181E7</v>
      </c>
      <c r="BX1488" s="15">
        <v>6.19E7</v>
      </c>
      <c r="BY1488" s="15">
        <v>5.966E7</v>
      </c>
      <c r="BZ1488" s="15">
        <v>5.769E7</v>
      </c>
      <c r="CA1488" s="15">
        <v>6.024E7</v>
      </c>
      <c r="CB1488" s="15">
        <v>1.2705E8</v>
      </c>
      <c r="CC1488" s="15">
        <v>1.114E8</v>
      </c>
      <c r="CD1488" s="15">
        <v>1.1482E8</v>
      </c>
      <c r="CE1488" s="15">
        <v>1.1418E8</v>
      </c>
      <c r="CF1488" s="15">
        <v>1.1652E8</v>
      </c>
      <c r="CG1488" s="15">
        <v>3.107E7</v>
      </c>
      <c r="CH1488" s="15">
        <v>3.118E7</v>
      </c>
      <c r="CI1488" s="15">
        <v>1.824E7</v>
      </c>
      <c r="CJ1488" s="15">
        <v>1.704E7</v>
      </c>
      <c r="CK1488" s="15">
        <v>1.67E7</v>
      </c>
      <c r="CL1488" s="15">
        <v>2.365E8</v>
      </c>
      <c r="CM1488" s="15">
        <v>2.193E8</v>
      </c>
      <c r="CN1488" s="15">
        <v>2.0452E8</v>
      </c>
      <c r="CO1488" s="15">
        <v>1.9883E8</v>
      </c>
      <c r="CP1488" s="15">
        <v>1.9958E8</v>
      </c>
      <c r="CQ1488" s="15">
        <v>4.697E7</v>
      </c>
      <c r="CR1488" s="15">
        <v>4.706E7</v>
      </c>
      <c r="CS1488" s="15">
        <v>4.609E7</v>
      </c>
      <c r="CT1488" s="15">
        <v>4.143E7</v>
      </c>
      <c r="CU1488" s="15">
        <v>3.849E7</v>
      </c>
      <c r="CV1488" s="15">
        <v>7.779E7</v>
      </c>
      <c r="CW1488" s="15">
        <v>2370000.0</v>
      </c>
      <c r="CX1488" s="15">
        <v>5230000.0</v>
      </c>
      <c r="CY1488" s="15">
        <v>5260000.0</v>
      </c>
      <c r="CZ1488" s="15">
        <v>1100000.0</v>
      </c>
      <c r="DA1488" s="15">
        <v>2710000.0</v>
      </c>
      <c r="DB1488" s="15">
        <v>7.779E7</v>
      </c>
      <c r="DC1488" s="15">
        <v>7.748E7</v>
      </c>
      <c r="DD1488" s="15">
        <v>7.852E7</v>
      </c>
      <c r="DE1488" s="15">
        <v>6.693E7</v>
      </c>
      <c r="DF1488" s="15">
        <v>1.5494E8</v>
      </c>
      <c r="DG1488" s="15">
        <v>1.3966E8</v>
      </c>
      <c r="DH1488" s="15">
        <v>1.237E8</v>
      </c>
      <c r="DI1488" s="15">
        <v>1.1829E8</v>
      </c>
      <c r="DJ1488" s="15">
        <v>1.1597E8</v>
      </c>
      <c r="DK1488" s="15">
        <v>5440000.0</v>
      </c>
      <c r="DL1488" s="12"/>
      <c r="DM1488" s="12"/>
      <c r="DN1488" s="12"/>
      <c r="DO1488" s="12"/>
      <c r="DP1488" s="15">
        <v>6.419E7</v>
      </c>
      <c r="DQ1488" s="15">
        <v>5.02E7</v>
      </c>
      <c r="DR1488" s="15">
        <v>3.683E7</v>
      </c>
      <c r="DS1488" s="15">
        <v>4.202E7</v>
      </c>
      <c r="DT1488" s="15">
        <v>4.403E7</v>
      </c>
      <c r="DU1488" s="13"/>
      <c r="DV1488" s="12"/>
      <c r="DW1488" s="12"/>
      <c r="DX1488" s="12"/>
      <c r="DY1488" s="12"/>
      <c r="DZ1488" s="15">
        <v>7.467E7</v>
      </c>
      <c r="EA1488" s="15">
        <v>7.25E7</v>
      </c>
      <c r="EB1488" s="15">
        <v>7.787E7</v>
      </c>
      <c r="EC1488" s="15">
        <v>7.78E7</v>
      </c>
      <c r="ED1488" s="15">
        <v>8.055E7</v>
      </c>
      <c r="EE1488" s="17">
        <v>0.021</v>
      </c>
      <c r="EF1488" s="17">
        <v>0.04</v>
      </c>
      <c r="EG1488" s="23"/>
      <c r="EH1488" s="23"/>
    </row>
    <row r="1489">
      <c r="A1489" s="9">
        <f t="shared" si="2"/>
        <v>1487</v>
      </c>
      <c r="B1489" s="10" t="s">
        <v>1624</v>
      </c>
      <c r="C1489" s="15">
        <v>3070000.0</v>
      </c>
      <c r="D1489" s="15">
        <v>2770000.0</v>
      </c>
      <c r="E1489" s="15">
        <v>3060000.0</v>
      </c>
      <c r="F1489" s="15">
        <v>3760000.0</v>
      </c>
      <c r="G1489" s="15">
        <v>3580000.0</v>
      </c>
      <c r="H1489" s="15">
        <v>3010000.0</v>
      </c>
      <c r="I1489" s="15">
        <v>2820000.0</v>
      </c>
      <c r="J1489" s="15">
        <v>443340.0</v>
      </c>
      <c r="K1489" s="15">
        <v>481320.0</v>
      </c>
      <c r="L1489" s="15">
        <v>542540.0</v>
      </c>
      <c r="M1489" s="15">
        <v>519750.0</v>
      </c>
      <c r="N1489" s="15">
        <v>481670.0</v>
      </c>
      <c r="O1489" s="15">
        <v>328110.0</v>
      </c>
      <c r="P1489" s="15">
        <v>338390.0</v>
      </c>
      <c r="Q1489" s="15">
        <v>365890.0</v>
      </c>
      <c r="R1489" s="15">
        <v>316370.0</v>
      </c>
      <c r="S1489" s="15">
        <v>297400.0</v>
      </c>
      <c r="T1489" s="15">
        <v>0.0</v>
      </c>
      <c r="U1489" s="15">
        <v>0.0</v>
      </c>
      <c r="V1489" s="15">
        <v>0.0</v>
      </c>
      <c r="W1489" s="15">
        <v>0.0</v>
      </c>
      <c r="X1489" s="15">
        <v>0.0</v>
      </c>
      <c r="Y1489" s="15">
        <v>18460.0</v>
      </c>
      <c r="Z1489" s="15">
        <v>137410.0</v>
      </c>
      <c r="AA1489" s="15">
        <v>127310.0</v>
      </c>
      <c r="AB1489" s="15">
        <v>200170.0</v>
      </c>
      <c r="AC1489" s="15">
        <v>-34340.0</v>
      </c>
      <c r="AD1489" s="15">
        <v>110790.0</v>
      </c>
      <c r="AE1489" s="15">
        <v>206460.0</v>
      </c>
      <c r="AF1489" s="15">
        <v>209070.0</v>
      </c>
      <c r="AG1489" s="15">
        <v>297130.0</v>
      </c>
      <c r="AH1489" s="15">
        <v>216620.0</v>
      </c>
      <c r="AI1489" s="15">
        <v>207910.0</v>
      </c>
      <c r="AJ1489" s="15">
        <v>238530.0</v>
      </c>
      <c r="AK1489" s="15">
        <v>280010.0</v>
      </c>
      <c r="AL1489" s="15">
        <v>290170.0</v>
      </c>
      <c r="AM1489" s="15">
        <v>268970.0</v>
      </c>
      <c r="AN1489" s="15">
        <v>78800.0</v>
      </c>
      <c r="AO1489" s="15">
        <v>153460.0</v>
      </c>
      <c r="AP1489" s="15">
        <v>194790.0</v>
      </c>
      <c r="AQ1489" s="15">
        <v>204520.0</v>
      </c>
      <c r="AR1489" s="15">
        <v>143720.0</v>
      </c>
      <c r="AS1489" s="15">
        <v>336730.0</v>
      </c>
      <c r="AT1489" s="15">
        <v>197860.0</v>
      </c>
      <c r="AU1489" s="15">
        <v>281350.0</v>
      </c>
      <c r="AV1489" s="15">
        <v>335670.0</v>
      </c>
      <c r="AW1489" s="15">
        <v>413380.0</v>
      </c>
      <c r="AX1489" s="15">
        <v>-95500.0</v>
      </c>
      <c r="AY1489" s="15">
        <v>-84500.0</v>
      </c>
      <c r="AZ1489" s="15">
        <v>-76090.0</v>
      </c>
      <c r="BA1489" s="15">
        <v>-68390.0</v>
      </c>
      <c r="BB1489" s="15">
        <v>-97040.0</v>
      </c>
      <c r="BC1489" s="15">
        <v>-53290.0</v>
      </c>
      <c r="BD1489" s="15">
        <v>-52330.0</v>
      </c>
      <c r="BE1489" s="15">
        <v>-51360.0</v>
      </c>
      <c r="BF1489" s="15">
        <v>-50720.0</v>
      </c>
      <c r="BG1489" s="15">
        <v>-47190.0</v>
      </c>
      <c r="BH1489" s="15">
        <v>147200.0</v>
      </c>
      <c r="BI1489" s="15">
        <v>92360.0</v>
      </c>
      <c r="BJ1489" s="15">
        <v>121970.0</v>
      </c>
      <c r="BK1489" s="15">
        <v>278080.0</v>
      </c>
      <c r="BL1489" s="15">
        <v>84190.0</v>
      </c>
      <c r="BM1489" s="15">
        <v>349410.0</v>
      </c>
      <c r="BN1489" s="15">
        <v>512840.0</v>
      </c>
      <c r="BO1489" s="15">
        <v>574340.0</v>
      </c>
      <c r="BP1489" s="15">
        <v>493890.0</v>
      </c>
      <c r="BQ1489" s="15">
        <v>450220.0</v>
      </c>
      <c r="BR1489" s="15">
        <v>405100.0</v>
      </c>
      <c r="BS1489" s="15">
        <v>484280.0</v>
      </c>
      <c r="BT1489" s="15">
        <v>454030.0</v>
      </c>
      <c r="BU1489" s="15">
        <v>353930.0</v>
      </c>
      <c r="BV1489" s="15">
        <v>319340.0</v>
      </c>
      <c r="BW1489" s="15">
        <v>983180.0</v>
      </c>
      <c r="BX1489" s="15">
        <v>1170000.0</v>
      </c>
      <c r="BY1489" s="15">
        <v>1240000.0</v>
      </c>
      <c r="BZ1489" s="15">
        <v>1190000.0</v>
      </c>
      <c r="CA1489" s="15">
        <v>915120.0</v>
      </c>
      <c r="CB1489" s="15">
        <v>604200.0</v>
      </c>
      <c r="CC1489" s="15">
        <v>578660.0</v>
      </c>
      <c r="CD1489" s="15">
        <v>584970.0</v>
      </c>
      <c r="CE1489" s="15">
        <v>570490.0</v>
      </c>
      <c r="CF1489" s="15">
        <v>582840.0</v>
      </c>
      <c r="CG1489" s="15">
        <v>321430.0</v>
      </c>
      <c r="CH1489" s="15">
        <v>334610.0</v>
      </c>
      <c r="CI1489" s="15">
        <v>345180.0</v>
      </c>
      <c r="CJ1489" s="15">
        <v>247670.0</v>
      </c>
      <c r="CK1489" s="15">
        <v>246070.0</v>
      </c>
      <c r="CL1489" s="15">
        <v>2330000.0</v>
      </c>
      <c r="CM1489" s="15">
        <v>2510000.0</v>
      </c>
      <c r="CN1489" s="15">
        <v>2620000.0</v>
      </c>
      <c r="CO1489" s="15">
        <v>2330000.0</v>
      </c>
      <c r="CP1489" s="15">
        <v>2060000.0</v>
      </c>
      <c r="CQ1489" s="15">
        <v>247020.0</v>
      </c>
      <c r="CR1489" s="15">
        <v>381550.0</v>
      </c>
      <c r="CS1489" s="15">
        <v>473490.0</v>
      </c>
      <c r="CT1489" s="15">
        <v>368070.0</v>
      </c>
      <c r="CU1489" s="15">
        <v>290430.0</v>
      </c>
      <c r="CV1489" s="15">
        <v>388240.0</v>
      </c>
      <c r="CW1489" s="15">
        <v>10850.0</v>
      </c>
      <c r="CX1489" s="16">
        <v>0.0</v>
      </c>
      <c r="CY1489" s="16">
        <v>0.0</v>
      </c>
      <c r="CZ1489" s="16">
        <v>0.0</v>
      </c>
      <c r="DA1489" s="15">
        <v>2650.0</v>
      </c>
      <c r="DB1489" s="15">
        <v>388240.0</v>
      </c>
      <c r="DC1489" s="15">
        <v>698020.0</v>
      </c>
      <c r="DD1489" s="15">
        <v>646900.0</v>
      </c>
      <c r="DE1489" s="15">
        <v>520780.0</v>
      </c>
      <c r="DF1489" s="15">
        <v>1370000.0</v>
      </c>
      <c r="DG1489" s="15">
        <v>1560000.0</v>
      </c>
      <c r="DH1489" s="15">
        <v>1590000.0</v>
      </c>
      <c r="DI1489" s="15">
        <v>1250000.0</v>
      </c>
      <c r="DJ1489" s="15">
        <v>1140000.0</v>
      </c>
      <c r="DK1489" s="15">
        <v>203330.0</v>
      </c>
      <c r="DL1489" s="15">
        <v>214990.0</v>
      </c>
      <c r="DM1489" s="15">
        <v>216010.0</v>
      </c>
      <c r="DN1489" s="15">
        <v>208590.0</v>
      </c>
      <c r="DO1489" s="15">
        <v>191830.0</v>
      </c>
      <c r="DP1489" s="15">
        <v>725280.0</v>
      </c>
      <c r="DQ1489" s="15">
        <v>598360.0</v>
      </c>
      <c r="DR1489" s="15">
        <v>748890.0</v>
      </c>
      <c r="DS1489" s="15">
        <v>571800.0</v>
      </c>
      <c r="DT1489" s="15">
        <v>577490.0</v>
      </c>
      <c r="DU1489" s="16">
        <v>0.0</v>
      </c>
      <c r="DV1489" s="15">
        <v>0.0</v>
      </c>
      <c r="DW1489" s="15">
        <v>0.0</v>
      </c>
      <c r="DX1489" s="15">
        <v>0.0</v>
      </c>
      <c r="DY1489" s="15">
        <v>0.0</v>
      </c>
      <c r="DZ1489" s="15">
        <v>820820.0</v>
      </c>
      <c r="EA1489" s="15">
        <v>831250.0</v>
      </c>
      <c r="EB1489" s="15">
        <v>918770.0</v>
      </c>
      <c r="EC1489" s="15">
        <v>951640.0</v>
      </c>
      <c r="ED1489" s="15">
        <v>793370.0</v>
      </c>
      <c r="EE1489" s="17">
        <v>0.101</v>
      </c>
      <c r="EF1489" s="17">
        <v>0.0</v>
      </c>
      <c r="EG1489" s="17">
        <v>0.96</v>
      </c>
      <c r="EH1489" s="17">
        <v>0.206</v>
      </c>
    </row>
    <row r="1490">
      <c r="A1490" s="9">
        <f t="shared" si="2"/>
        <v>1488</v>
      </c>
      <c r="B1490" s="10" t="s">
        <v>1625</v>
      </c>
      <c r="C1490" s="15">
        <v>1120000.0</v>
      </c>
      <c r="D1490" s="15">
        <v>999820.0</v>
      </c>
      <c r="E1490" s="15">
        <v>1140000.0</v>
      </c>
      <c r="F1490" s="15">
        <v>1030000.0</v>
      </c>
      <c r="G1490" s="15">
        <v>1090000.0</v>
      </c>
      <c r="H1490" s="15">
        <v>1180000.0</v>
      </c>
      <c r="I1490" s="15">
        <v>829910.0</v>
      </c>
      <c r="J1490" s="15">
        <v>456510.0</v>
      </c>
      <c r="K1490" s="15">
        <v>382200.0</v>
      </c>
      <c r="L1490" s="15">
        <v>436210.0</v>
      </c>
      <c r="M1490" s="15">
        <v>433870.0</v>
      </c>
      <c r="N1490" s="15">
        <v>331710.0</v>
      </c>
      <c r="O1490" s="15">
        <v>65890.0</v>
      </c>
      <c r="P1490" s="15">
        <v>62190.0</v>
      </c>
      <c r="Q1490" s="15">
        <v>40970.0</v>
      </c>
      <c r="R1490" s="15">
        <v>41750.0</v>
      </c>
      <c r="S1490" s="15">
        <v>40450.0</v>
      </c>
      <c r="T1490" s="15">
        <v>0.0</v>
      </c>
      <c r="U1490" s="15">
        <v>0.0</v>
      </c>
      <c r="V1490" s="15">
        <v>0.0</v>
      </c>
      <c r="W1490" s="15">
        <v>0.0</v>
      </c>
      <c r="X1490" s="15">
        <v>0.0</v>
      </c>
      <c r="Y1490" s="15">
        <v>166880.0</v>
      </c>
      <c r="Z1490" s="15">
        <v>316440.0</v>
      </c>
      <c r="AA1490" s="15">
        <v>-283000.0</v>
      </c>
      <c r="AB1490" s="15">
        <v>298050.0</v>
      </c>
      <c r="AC1490" s="15">
        <v>-202890.0</v>
      </c>
      <c r="AD1490" s="15">
        <v>102480.0</v>
      </c>
      <c r="AE1490" s="15">
        <v>574730.0</v>
      </c>
      <c r="AF1490" s="15">
        <v>73750.0</v>
      </c>
      <c r="AG1490" s="15">
        <v>256780.0</v>
      </c>
      <c r="AH1490" s="15">
        <v>-211650.0</v>
      </c>
      <c r="AI1490" s="15">
        <v>733930.0</v>
      </c>
      <c r="AJ1490" s="15">
        <v>648380.0</v>
      </c>
      <c r="AK1490" s="15">
        <v>737080.0</v>
      </c>
      <c r="AL1490" s="15">
        <v>802390.0</v>
      </c>
      <c r="AM1490" s="15">
        <v>546110.0</v>
      </c>
      <c r="AN1490" s="15">
        <v>114300.0</v>
      </c>
      <c r="AO1490" s="15">
        <v>553600.0</v>
      </c>
      <c r="AP1490" s="15">
        <v>74900.0</v>
      </c>
      <c r="AQ1490" s="15">
        <v>258540.0</v>
      </c>
      <c r="AR1490" s="15">
        <v>-207310.0</v>
      </c>
      <c r="AS1490" s="15">
        <v>665680.0</v>
      </c>
      <c r="AT1490" s="15">
        <v>618900.0</v>
      </c>
      <c r="AU1490" s="15">
        <v>699460.0</v>
      </c>
      <c r="AV1490" s="15">
        <v>774200.0</v>
      </c>
      <c r="AW1490" s="15">
        <v>540240.0</v>
      </c>
      <c r="AX1490" s="15">
        <v>0.0</v>
      </c>
      <c r="AY1490" s="15">
        <v>-1450000.0</v>
      </c>
      <c r="AZ1490" s="15">
        <v>0.0</v>
      </c>
      <c r="BA1490" s="15">
        <v>-1060000.0</v>
      </c>
      <c r="BB1490" s="15">
        <v>-2300000.0</v>
      </c>
      <c r="BC1490" s="15">
        <v>-172480.0</v>
      </c>
      <c r="BD1490" s="15">
        <v>-172280.0</v>
      </c>
      <c r="BE1490" s="15">
        <v>-158270.0</v>
      </c>
      <c r="BF1490" s="15">
        <v>-104280.0</v>
      </c>
      <c r="BG1490" s="15">
        <v>-87760.0</v>
      </c>
      <c r="BH1490" s="15">
        <v>134840.0</v>
      </c>
      <c r="BI1490" s="15">
        <v>103480.0</v>
      </c>
      <c r="BJ1490" s="15">
        <v>123440.0</v>
      </c>
      <c r="BK1490" s="15">
        <v>166690.0</v>
      </c>
      <c r="BL1490" s="15">
        <v>143490.0</v>
      </c>
      <c r="BM1490" s="15">
        <v>63790.0</v>
      </c>
      <c r="BN1490" s="15">
        <v>3270.0</v>
      </c>
      <c r="BO1490" s="15">
        <v>4000.0</v>
      </c>
      <c r="BP1490" s="15">
        <v>3110.0</v>
      </c>
      <c r="BQ1490" s="15">
        <v>1560.0</v>
      </c>
      <c r="BR1490" s="15">
        <v>0.0</v>
      </c>
      <c r="BS1490" s="15">
        <v>0.0</v>
      </c>
      <c r="BT1490" s="15">
        <v>0.0</v>
      </c>
      <c r="BU1490" s="15">
        <v>0.0</v>
      </c>
      <c r="BV1490" s="15">
        <v>0.0</v>
      </c>
      <c r="BW1490" s="15">
        <v>200670.0</v>
      </c>
      <c r="BX1490" s="15">
        <v>108860.0</v>
      </c>
      <c r="BY1490" s="15">
        <v>129570.0</v>
      </c>
      <c r="BZ1490" s="15">
        <v>171780.0</v>
      </c>
      <c r="CA1490" s="15">
        <v>147070.0</v>
      </c>
      <c r="CB1490" s="15">
        <v>7450000.0</v>
      </c>
      <c r="CC1490" s="15">
        <v>8410000.0</v>
      </c>
      <c r="CD1490" s="15">
        <v>6800000.0</v>
      </c>
      <c r="CE1490" s="15">
        <v>7940000.0</v>
      </c>
      <c r="CF1490" s="15">
        <v>7600000.0</v>
      </c>
      <c r="CG1490" s="15">
        <v>0.0</v>
      </c>
      <c r="CH1490" s="15">
        <v>0.0</v>
      </c>
      <c r="CI1490" s="15">
        <v>0.0</v>
      </c>
      <c r="CJ1490" s="15">
        <v>0.0</v>
      </c>
      <c r="CK1490" s="15">
        <v>0.0</v>
      </c>
      <c r="CL1490" s="15">
        <v>8160000.0</v>
      </c>
      <c r="CM1490" s="15">
        <v>8840000.0</v>
      </c>
      <c r="CN1490" s="15">
        <v>7130000.0</v>
      </c>
      <c r="CO1490" s="15">
        <v>8260000.0</v>
      </c>
      <c r="CP1490" s="15">
        <v>7830000.0</v>
      </c>
      <c r="CQ1490" s="15">
        <v>15290.0</v>
      </c>
      <c r="CR1490" s="15">
        <v>27160.0</v>
      </c>
      <c r="CS1490" s="15">
        <v>15180.0</v>
      </c>
      <c r="CT1490" s="15">
        <v>25250.0</v>
      </c>
      <c r="CU1490" s="15">
        <v>14810.0</v>
      </c>
      <c r="CV1490" s="15">
        <v>83900.0</v>
      </c>
      <c r="CW1490" s="15">
        <v>0.0</v>
      </c>
      <c r="CX1490" s="16">
        <v>0.0</v>
      </c>
      <c r="CY1490" s="16">
        <v>0.0</v>
      </c>
      <c r="CZ1490" s="16">
        <v>0.0</v>
      </c>
      <c r="DA1490" s="15">
        <v>0.0</v>
      </c>
      <c r="DB1490" s="15">
        <v>83900.0</v>
      </c>
      <c r="DC1490" s="15">
        <v>39390.0</v>
      </c>
      <c r="DD1490" s="15">
        <v>15210.0</v>
      </c>
      <c r="DE1490" s="15">
        <v>25560.0</v>
      </c>
      <c r="DF1490" s="15">
        <v>1260000.0</v>
      </c>
      <c r="DG1490" s="15">
        <v>1780000.0</v>
      </c>
      <c r="DH1490" s="15">
        <v>989340.0</v>
      </c>
      <c r="DI1490" s="15">
        <v>1630000.0</v>
      </c>
      <c r="DJ1490" s="15">
        <v>2060000.0</v>
      </c>
      <c r="DK1490" s="15">
        <v>443980.0</v>
      </c>
      <c r="DL1490" s="15">
        <v>269820.0</v>
      </c>
      <c r="DM1490" s="15">
        <v>150920.0</v>
      </c>
      <c r="DN1490" s="15">
        <v>113570.0</v>
      </c>
      <c r="DO1490" s="15">
        <v>27470.0</v>
      </c>
      <c r="DP1490" s="15">
        <v>1140000.0</v>
      </c>
      <c r="DQ1490" s="15">
        <v>1730000.0</v>
      </c>
      <c r="DR1490" s="15">
        <v>964770.0</v>
      </c>
      <c r="DS1490" s="15">
        <v>1600000.0</v>
      </c>
      <c r="DT1490" s="15">
        <v>2040000.0</v>
      </c>
      <c r="DU1490" s="16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6910000.0</v>
      </c>
      <c r="EA1490" s="15">
        <v>7060000.0</v>
      </c>
      <c r="EB1490" s="15">
        <v>6140000.0</v>
      </c>
      <c r="EC1490" s="15">
        <v>6620000.0</v>
      </c>
      <c r="ED1490" s="15">
        <v>5770000.0</v>
      </c>
      <c r="EE1490" s="17">
        <v>0.155</v>
      </c>
      <c r="EF1490" s="17">
        <v>0.329</v>
      </c>
      <c r="EG1490" s="17">
        <v>0.0</v>
      </c>
      <c r="EH1490" s="17">
        <v>-0.023</v>
      </c>
    </row>
    <row r="1491">
      <c r="A1491" s="9">
        <f t="shared" si="2"/>
        <v>1489</v>
      </c>
      <c r="B1491" s="10" t="s">
        <v>1626</v>
      </c>
      <c r="C1491" s="15">
        <v>6130000.0</v>
      </c>
      <c r="D1491" s="15">
        <v>5960000.0</v>
      </c>
      <c r="E1491" s="15">
        <v>5900000.0</v>
      </c>
      <c r="F1491" s="15">
        <v>5670000.0</v>
      </c>
      <c r="G1491" s="15">
        <v>5290000.0</v>
      </c>
      <c r="H1491" s="15">
        <v>5080000.0</v>
      </c>
      <c r="I1491" s="15">
        <v>4980000.0</v>
      </c>
      <c r="J1491" s="15">
        <v>2140000.0</v>
      </c>
      <c r="K1491" s="15">
        <v>2100000.0</v>
      </c>
      <c r="L1491" s="15">
        <v>1930000.0</v>
      </c>
      <c r="M1491" s="15">
        <v>1880000.0</v>
      </c>
      <c r="N1491" s="15">
        <v>1840000.0</v>
      </c>
      <c r="O1491" s="15">
        <v>1640000.0</v>
      </c>
      <c r="P1491" s="15">
        <v>1630000.0</v>
      </c>
      <c r="Q1491" s="15">
        <v>1460000.0</v>
      </c>
      <c r="R1491" s="15">
        <v>1390000.0</v>
      </c>
      <c r="S1491" s="15">
        <v>1350000.0</v>
      </c>
      <c r="T1491" s="12"/>
      <c r="U1491" s="12"/>
      <c r="V1491" s="12"/>
      <c r="W1491" s="12"/>
      <c r="X1491" s="12"/>
      <c r="Y1491" s="15">
        <v>465270.0</v>
      </c>
      <c r="Z1491" s="15">
        <v>435480.0</v>
      </c>
      <c r="AA1491" s="15">
        <v>453960.0</v>
      </c>
      <c r="AB1491" s="15">
        <v>472750.0</v>
      </c>
      <c r="AC1491" s="15">
        <v>487030.0</v>
      </c>
      <c r="AD1491" s="15">
        <v>457020.0</v>
      </c>
      <c r="AE1491" s="15">
        <v>429250.0</v>
      </c>
      <c r="AF1491" s="15">
        <v>452440.0</v>
      </c>
      <c r="AG1491" s="15">
        <v>471910.0</v>
      </c>
      <c r="AH1491" s="15">
        <v>488010.0</v>
      </c>
      <c r="AI1491" s="15">
        <v>902210.0</v>
      </c>
      <c r="AJ1491" s="15">
        <v>658660.0</v>
      </c>
      <c r="AK1491" s="15">
        <v>657010.0</v>
      </c>
      <c r="AL1491" s="15">
        <v>665680.0</v>
      </c>
      <c r="AM1491" s="15">
        <v>656890.0</v>
      </c>
      <c r="AN1491" s="15">
        <v>356060.0</v>
      </c>
      <c r="AO1491" s="15">
        <v>333680.0</v>
      </c>
      <c r="AP1491" s="15">
        <v>259550.0</v>
      </c>
      <c r="AQ1491" s="15">
        <v>305390.0</v>
      </c>
      <c r="AR1491" s="15">
        <v>310070.0</v>
      </c>
      <c r="AS1491" s="15">
        <v>833550.0</v>
      </c>
      <c r="AT1491" s="15">
        <v>585990.0</v>
      </c>
      <c r="AU1491" s="15">
        <v>499700.0</v>
      </c>
      <c r="AV1491" s="15">
        <v>524710.0</v>
      </c>
      <c r="AW1491" s="15">
        <v>544030.0</v>
      </c>
      <c r="AX1491" s="15">
        <v>-186280.0</v>
      </c>
      <c r="AY1491" s="15">
        <v>-190100.0</v>
      </c>
      <c r="AZ1491" s="15">
        <v>-189710.0</v>
      </c>
      <c r="BA1491" s="15">
        <v>-197410.0</v>
      </c>
      <c r="BB1491" s="15">
        <v>-202940.0</v>
      </c>
      <c r="BC1491" s="15">
        <v>-150640.0</v>
      </c>
      <c r="BD1491" s="15">
        <v>-140330.0</v>
      </c>
      <c r="BE1491" s="15">
        <v>-135010.0</v>
      </c>
      <c r="BF1491" s="15">
        <v>-133540.0</v>
      </c>
      <c r="BG1491" s="15">
        <v>-127640.0</v>
      </c>
      <c r="BH1491" s="15">
        <v>432160.0</v>
      </c>
      <c r="BI1491" s="15">
        <v>338950.0</v>
      </c>
      <c r="BJ1491" s="15">
        <v>390140.0</v>
      </c>
      <c r="BK1491" s="15">
        <v>213710.0</v>
      </c>
      <c r="BL1491" s="15">
        <v>193650.0</v>
      </c>
      <c r="BM1491" s="15">
        <v>111740.0</v>
      </c>
      <c r="BN1491" s="15">
        <v>107100.0</v>
      </c>
      <c r="BO1491" s="15">
        <v>90120.0</v>
      </c>
      <c r="BP1491" s="15">
        <v>88800.0</v>
      </c>
      <c r="BQ1491" s="15">
        <v>79300.0</v>
      </c>
      <c r="BR1491" s="15">
        <v>1100000.0</v>
      </c>
      <c r="BS1491" s="15">
        <v>1120000.0</v>
      </c>
      <c r="BT1491" s="15">
        <v>1060000.0</v>
      </c>
      <c r="BU1491" s="15">
        <v>977510.0</v>
      </c>
      <c r="BV1491" s="15">
        <v>978140.0</v>
      </c>
      <c r="BW1491" s="15">
        <v>1760000.0</v>
      </c>
      <c r="BX1491" s="15">
        <v>1690000.0</v>
      </c>
      <c r="BY1491" s="15">
        <v>1640000.0</v>
      </c>
      <c r="BZ1491" s="15">
        <v>1370000.0</v>
      </c>
      <c r="CA1491" s="15">
        <v>1340000.0</v>
      </c>
      <c r="CB1491" s="15">
        <v>2100000.0</v>
      </c>
      <c r="CC1491" s="15">
        <v>929640.0</v>
      </c>
      <c r="CD1491" s="15">
        <v>932280.0</v>
      </c>
      <c r="CE1491" s="15">
        <v>923280.0</v>
      </c>
      <c r="CF1491" s="15">
        <v>886810.0</v>
      </c>
      <c r="CG1491" s="15">
        <v>85340.0</v>
      </c>
      <c r="CH1491" s="15">
        <v>85380.0</v>
      </c>
      <c r="CI1491" s="15">
        <v>18840.0</v>
      </c>
      <c r="CJ1491" s="15">
        <v>18680.0</v>
      </c>
      <c r="CK1491" s="15">
        <v>18700.0</v>
      </c>
      <c r="CL1491" s="15">
        <v>4050000.0</v>
      </c>
      <c r="CM1491" s="15">
        <v>2810000.0</v>
      </c>
      <c r="CN1491" s="15">
        <v>2790000.0</v>
      </c>
      <c r="CO1491" s="15">
        <v>2480000.0</v>
      </c>
      <c r="CP1491" s="15">
        <v>2420000.0</v>
      </c>
      <c r="CQ1491" s="15">
        <v>521240.0</v>
      </c>
      <c r="CR1491" s="15">
        <v>526700.0</v>
      </c>
      <c r="CS1491" s="15">
        <v>459380.0</v>
      </c>
      <c r="CT1491" s="15">
        <v>453710.0</v>
      </c>
      <c r="CU1491" s="15">
        <v>447410.0</v>
      </c>
      <c r="CV1491" s="15">
        <v>1610000.0</v>
      </c>
      <c r="CW1491" s="15">
        <v>527740.0</v>
      </c>
      <c r="CX1491" s="12"/>
      <c r="CY1491" s="13"/>
      <c r="CZ1491" s="13"/>
      <c r="DA1491" s="12"/>
      <c r="DB1491" s="15">
        <v>1610000.0</v>
      </c>
      <c r="DC1491" s="15">
        <v>1070000.0</v>
      </c>
      <c r="DD1491" s="15">
        <v>1010000.0</v>
      </c>
      <c r="DE1491" s="15">
        <v>961260.0</v>
      </c>
      <c r="DF1491" s="15">
        <v>2820000.0</v>
      </c>
      <c r="DG1491" s="15">
        <v>1660000.0</v>
      </c>
      <c r="DH1491" s="15">
        <v>1580000.0</v>
      </c>
      <c r="DI1491" s="15">
        <v>1230000.0</v>
      </c>
      <c r="DJ1491" s="15">
        <v>1220000.0</v>
      </c>
      <c r="DK1491" s="12"/>
      <c r="DL1491" s="12"/>
      <c r="DM1491" s="12"/>
      <c r="DN1491" s="12"/>
      <c r="DO1491" s="12"/>
      <c r="DP1491" s="15">
        <v>1090000.0</v>
      </c>
      <c r="DQ1491" s="15">
        <v>299620.0</v>
      </c>
      <c r="DR1491" s="15">
        <v>299420.0</v>
      </c>
      <c r="DS1491" s="12"/>
      <c r="DT1491" s="12"/>
      <c r="DU1491" s="13"/>
      <c r="DV1491" s="12"/>
      <c r="DW1491" s="12"/>
      <c r="DX1491" s="12"/>
      <c r="DY1491" s="12"/>
      <c r="DZ1491" s="15">
        <v>1240000.0</v>
      </c>
      <c r="EA1491" s="15">
        <v>1160000.0</v>
      </c>
      <c r="EB1491" s="15">
        <v>1200000.0</v>
      </c>
      <c r="EC1491" s="15">
        <v>1250000.0</v>
      </c>
      <c r="ED1491" s="15">
        <v>1200000.0</v>
      </c>
      <c r="EE1491" s="17">
        <v>0.114</v>
      </c>
      <c r="EF1491" s="17">
        <v>0.147</v>
      </c>
      <c r="EG1491" s="23"/>
      <c r="EH1491" s="23"/>
    </row>
    <row r="1492">
      <c r="A1492" s="9">
        <f t="shared" si="2"/>
        <v>1490</v>
      </c>
      <c r="B1492" s="10" t="s">
        <v>1627</v>
      </c>
      <c r="C1492" s="12">
        <v>5080000.0</v>
      </c>
      <c r="D1492" s="12">
        <v>4860000.0</v>
      </c>
      <c r="E1492" s="11">
        <v>4770000.0</v>
      </c>
      <c r="F1492" s="11">
        <v>4550000.0</v>
      </c>
      <c r="G1492" s="11">
        <v>4340000.0</v>
      </c>
      <c r="H1492" s="11">
        <v>4220000.0</v>
      </c>
      <c r="I1492" s="11">
        <v>4110000.0</v>
      </c>
      <c r="J1492" s="11">
        <v>1130000.0</v>
      </c>
      <c r="K1492" s="11">
        <v>1100000.0</v>
      </c>
      <c r="L1492" s="11">
        <v>1040000.0</v>
      </c>
      <c r="M1492" s="11">
        <v>1010000.0</v>
      </c>
      <c r="N1492" s="11">
        <v>985510.0</v>
      </c>
      <c r="O1492" s="11">
        <v>775280.0</v>
      </c>
      <c r="P1492" s="11">
        <v>735490.0</v>
      </c>
      <c r="Q1492" s="11">
        <v>692810.0</v>
      </c>
      <c r="R1492" s="11">
        <v>668580.0</v>
      </c>
      <c r="S1492" s="11">
        <v>654040.0</v>
      </c>
      <c r="T1492" s="12"/>
      <c r="U1492" s="12"/>
      <c r="V1492" s="12"/>
      <c r="W1492" s="12"/>
      <c r="X1492" s="12"/>
      <c r="Y1492" s="11">
        <v>356150.0</v>
      </c>
      <c r="Z1492" s="11">
        <v>362590.0</v>
      </c>
      <c r="AA1492" s="11">
        <v>350480.0</v>
      </c>
      <c r="AB1492" s="11">
        <v>346070.0</v>
      </c>
      <c r="AC1492" s="11">
        <v>334020.0</v>
      </c>
      <c r="AD1492" s="11">
        <v>362850.0</v>
      </c>
      <c r="AE1492" s="11">
        <v>369340.0</v>
      </c>
      <c r="AF1492" s="11">
        <v>347510.0</v>
      </c>
      <c r="AG1492" s="11">
        <v>341920.0</v>
      </c>
      <c r="AH1492" s="11">
        <v>331200.0</v>
      </c>
      <c r="AI1492" s="11">
        <v>381200.0</v>
      </c>
      <c r="AJ1492" s="11">
        <v>384550.0</v>
      </c>
      <c r="AK1492" s="11">
        <v>373340.0</v>
      </c>
      <c r="AL1492" s="11">
        <v>366450.0</v>
      </c>
      <c r="AM1492" s="11">
        <v>350580.0</v>
      </c>
      <c r="AN1492" s="11">
        <v>225540.0</v>
      </c>
      <c r="AO1492" s="11">
        <v>223140.0</v>
      </c>
      <c r="AP1492" s="11">
        <v>190790.0</v>
      </c>
      <c r="AQ1492" s="11">
        <v>168000.0</v>
      </c>
      <c r="AR1492" s="11">
        <v>159300.0</v>
      </c>
      <c r="AS1492" s="11">
        <v>335770.0</v>
      </c>
      <c r="AT1492" s="11">
        <v>170560.0</v>
      </c>
      <c r="AU1492" s="11">
        <v>306520.0</v>
      </c>
      <c r="AV1492" s="11">
        <v>277760.0</v>
      </c>
      <c r="AW1492" s="11">
        <v>221380.0</v>
      </c>
      <c r="AX1492" s="11">
        <v>-17810.0</v>
      </c>
      <c r="AY1492" s="11">
        <v>-17150.0</v>
      </c>
      <c r="AZ1492" s="11">
        <v>-17880.0</v>
      </c>
      <c r="BA1492" s="11">
        <v>-43580.0</v>
      </c>
      <c r="BB1492" s="11">
        <v>-23700.0</v>
      </c>
      <c r="BC1492" s="24">
        <v>-241410.0</v>
      </c>
      <c r="BD1492" s="24">
        <v>-209220.0</v>
      </c>
      <c r="BE1492" s="24">
        <v>-164150.0</v>
      </c>
      <c r="BF1492" s="24">
        <v>-127600.0</v>
      </c>
      <c r="BG1492" s="24">
        <v>-98530.0</v>
      </c>
      <c r="BH1492" s="11">
        <v>74450.0</v>
      </c>
      <c r="BI1492" s="11">
        <v>82890.0</v>
      </c>
      <c r="BJ1492" s="11">
        <v>80500.0</v>
      </c>
      <c r="BK1492" s="11">
        <v>56010.0</v>
      </c>
      <c r="BL1492" s="11">
        <v>35230.0</v>
      </c>
      <c r="BM1492" s="11">
        <v>533810.0</v>
      </c>
      <c r="BN1492" s="11">
        <v>501910.0</v>
      </c>
      <c r="BO1492" s="11">
        <v>478130.0</v>
      </c>
      <c r="BP1492" s="11">
        <v>475970.0</v>
      </c>
      <c r="BQ1492" s="11">
        <v>451080.0</v>
      </c>
      <c r="BR1492" s="11">
        <v>920790.0</v>
      </c>
      <c r="BS1492" s="11">
        <v>837130.0</v>
      </c>
      <c r="BT1492" s="11">
        <v>761310.0</v>
      </c>
      <c r="BU1492" s="11">
        <v>685010.0</v>
      </c>
      <c r="BV1492" s="11">
        <v>673970.0</v>
      </c>
      <c r="BW1492" s="11">
        <v>1550000.0</v>
      </c>
      <c r="BX1492" s="11">
        <v>1440000.0</v>
      </c>
      <c r="BY1492" s="11">
        <v>1340000.0</v>
      </c>
      <c r="BZ1492" s="11">
        <v>1240000.0</v>
      </c>
      <c r="CA1492" s="11">
        <v>1180000.0</v>
      </c>
      <c r="CB1492" s="11">
        <v>321890.0</v>
      </c>
      <c r="CC1492" s="11">
        <v>91050.0</v>
      </c>
      <c r="CD1492" s="11">
        <v>91200.0</v>
      </c>
      <c r="CE1492" s="11">
        <v>90500.0</v>
      </c>
      <c r="CF1492" s="11">
        <v>62720.0</v>
      </c>
      <c r="CG1492" s="11">
        <v>411220.0</v>
      </c>
      <c r="CH1492" s="11">
        <v>392000.0</v>
      </c>
      <c r="CI1492" s="11">
        <v>382730.0</v>
      </c>
      <c r="CJ1492" s="11">
        <v>379740.0</v>
      </c>
      <c r="CK1492" s="11">
        <v>378310.0</v>
      </c>
      <c r="CL1492" s="11">
        <v>2590000.0</v>
      </c>
      <c r="CM1492" s="11">
        <v>2160000.0</v>
      </c>
      <c r="CN1492" s="11">
        <v>2050000.0</v>
      </c>
      <c r="CO1492" s="11">
        <v>1870000.0</v>
      </c>
      <c r="CP1492" s="11">
        <v>1790000.0</v>
      </c>
      <c r="CQ1492" s="11">
        <v>239670.0</v>
      </c>
      <c r="CR1492" s="11">
        <v>200230.0</v>
      </c>
      <c r="CS1492" s="11">
        <v>230480.0</v>
      </c>
      <c r="CT1492" s="11">
        <v>185480.0</v>
      </c>
      <c r="CU1492" s="11">
        <v>145160.0</v>
      </c>
      <c r="CV1492" s="11">
        <v>461720.0</v>
      </c>
      <c r="CW1492" s="11">
        <v>68200.0</v>
      </c>
      <c r="CX1492" s="13"/>
      <c r="CY1492" s="13"/>
      <c r="CZ1492" s="13"/>
      <c r="DA1492" s="12"/>
      <c r="DB1492" s="11">
        <v>461720.0</v>
      </c>
      <c r="DC1492" s="11">
        <v>357570.0</v>
      </c>
      <c r="DD1492" s="11">
        <v>416480.0</v>
      </c>
      <c r="DE1492" s="11">
        <v>314890.0</v>
      </c>
      <c r="DF1492" s="11">
        <v>874570.0</v>
      </c>
      <c r="DG1492" s="11">
        <v>559320.0</v>
      </c>
      <c r="DH1492" s="11">
        <v>495900.0</v>
      </c>
      <c r="DI1492" s="11">
        <v>622900.0</v>
      </c>
      <c r="DJ1492" s="11">
        <v>584720.0</v>
      </c>
      <c r="DK1492" s="11">
        <v>95240.0</v>
      </c>
      <c r="DL1492" s="11">
        <v>279.0</v>
      </c>
      <c r="DM1492" s="12"/>
      <c r="DN1492" s="12"/>
      <c r="DO1492" s="13"/>
      <c r="DP1492" s="11">
        <v>311980.0</v>
      </c>
      <c r="DQ1492" s="11">
        <v>135750.0</v>
      </c>
      <c r="DR1492" s="11">
        <v>22090.0</v>
      </c>
      <c r="DS1492" s="11">
        <v>235640.0</v>
      </c>
      <c r="DT1492" s="11">
        <v>245810.0</v>
      </c>
      <c r="DU1492" s="13"/>
      <c r="DV1492" s="12"/>
      <c r="DW1492" s="12"/>
      <c r="DX1492" s="13"/>
      <c r="DY1492" s="13"/>
      <c r="DZ1492" s="11">
        <v>1440000.0</v>
      </c>
      <c r="EA1492" s="11">
        <v>1350000.0</v>
      </c>
      <c r="EB1492" s="11">
        <v>1300000.0</v>
      </c>
      <c r="EC1492" s="11">
        <v>1010000.0</v>
      </c>
      <c r="ED1492" s="11">
        <v>957310.0</v>
      </c>
      <c r="EE1492" s="23">
        <v>0.106995885</v>
      </c>
      <c r="EF1492" s="23">
        <v>0.057086614</v>
      </c>
      <c r="EG1492" s="14">
        <v>0.202</v>
      </c>
      <c r="EH1492" s="23">
        <v>-0.0135</v>
      </c>
    </row>
    <row r="1493">
      <c r="A1493" s="9">
        <f t="shared" si="2"/>
        <v>1491</v>
      </c>
      <c r="B1493" s="22" t="s">
        <v>1628</v>
      </c>
      <c r="C1493" s="11">
        <v>59580.0</v>
      </c>
      <c r="D1493" s="11">
        <v>33050.0</v>
      </c>
      <c r="E1493" s="11">
        <v>15980.0</v>
      </c>
      <c r="F1493" s="11">
        <v>14410.0</v>
      </c>
      <c r="G1493" s="11">
        <v>3890.0</v>
      </c>
      <c r="H1493" s="11">
        <v>1490.0</v>
      </c>
      <c r="I1493" s="11">
        <v>152.0</v>
      </c>
      <c r="J1493" s="12"/>
      <c r="K1493" s="12"/>
      <c r="L1493" s="12"/>
      <c r="M1493" s="12"/>
      <c r="N1493" s="12"/>
      <c r="O1493" s="11">
        <v>215100.0</v>
      </c>
      <c r="P1493" s="11">
        <v>168360.0</v>
      </c>
      <c r="Q1493" s="11">
        <v>104130.0</v>
      </c>
      <c r="R1493" s="11">
        <v>56030.0</v>
      </c>
      <c r="S1493" s="11">
        <v>18860.0</v>
      </c>
      <c r="T1493" s="11">
        <v>175430.0</v>
      </c>
      <c r="U1493" s="11">
        <v>134430.0</v>
      </c>
      <c r="V1493" s="11">
        <v>79310.0</v>
      </c>
      <c r="W1493" s="11">
        <v>40820.0</v>
      </c>
      <c r="X1493" s="11">
        <v>9060.0</v>
      </c>
      <c r="Y1493" s="12"/>
      <c r="Z1493" s="12"/>
      <c r="AA1493" s="12"/>
      <c r="AB1493" s="12"/>
      <c r="AC1493" s="12"/>
      <c r="AD1493" s="11">
        <v>-193640.0</v>
      </c>
      <c r="AE1493" s="11">
        <v>-146580.0</v>
      </c>
      <c r="AF1493" s="11">
        <v>-101140.0</v>
      </c>
      <c r="AG1493" s="11">
        <v>-54790.0</v>
      </c>
      <c r="AH1493" s="11">
        <v>-19160.0</v>
      </c>
      <c r="AI1493" s="11">
        <v>-199120.0</v>
      </c>
      <c r="AJ1493" s="11">
        <v>-153940.0</v>
      </c>
      <c r="AK1493" s="11">
        <v>-100240.0</v>
      </c>
      <c r="AL1493" s="11">
        <v>-54540.0</v>
      </c>
      <c r="AM1493" s="11">
        <v>-18700.0</v>
      </c>
      <c r="AN1493" s="11">
        <v>-193640.0</v>
      </c>
      <c r="AO1493" s="11">
        <v>-146650.0</v>
      </c>
      <c r="AP1493" s="11">
        <v>-101980.0</v>
      </c>
      <c r="AQ1493" s="11">
        <v>-55400.0</v>
      </c>
      <c r="AR1493" s="11">
        <v>-19200.0</v>
      </c>
      <c r="AS1493" s="11">
        <v>-185420.0</v>
      </c>
      <c r="AT1493" s="11">
        <v>-22860.0</v>
      </c>
      <c r="AU1493" s="11">
        <v>-83670.0</v>
      </c>
      <c r="AV1493" s="11">
        <v>-31870.0</v>
      </c>
      <c r="AW1493" s="11">
        <v>-12530.0</v>
      </c>
      <c r="AX1493" s="11">
        <v>-3920.0</v>
      </c>
      <c r="AY1493" s="11">
        <v>-9940.0</v>
      </c>
      <c r="AZ1493" s="11">
        <v>-18890.0</v>
      </c>
      <c r="BA1493" s="11">
        <v>-5570.0</v>
      </c>
      <c r="BB1493" s="11">
        <v>-1860.0</v>
      </c>
      <c r="BC1493" s="12"/>
      <c r="BD1493" s="12"/>
      <c r="BE1493" s="12"/>
      <c r="BF1493" s="12"/>
      <c r="BG1493" s="12"/>
      <c r="BH1493" s="11">
        <v>147160.0</v>
      </c>
      <c r="BI1493" s="11">
        <v>174820.0</v>
      </c>
      <c r="BJ1493" s="11">
        <v>142500.0</v>
      </c>
      <c r="BK1493" s="11">
        <v>150290.0</v>
      </c>
      <c r="BL1493" s="11">
        <v>161220.0</v>
      </c>
      <c r="BM1493" s="11">
        <v>20000.0</v>
      </c>
      <c r="BN1493" s="11">
        <v>10000.0</v>
      </c>
      <c r="BO1493" s="11">
        <v>1000.0</v>
      </c>
      <c r="BP1493" s="12"/>
      <c r="BQ1493" s="12"/>
      <c r="BR1493" s="12"/>
      <c r="BS1493" s="12"/>
      <c r="BT1493" s="12"/>
      <c r="BU1493" s="12"/>
      <c r="BV1493" s="12"/>
      <c r="BW1493" s="11">
        <v>185480.0</v>
      </c>
      <c r="BX1493" s="11">
        <v>202270.0</v>
      </c>
      <c r="BY1493" s="11">
        <v>150490.0</v>
      </c>
      <c r="BZ1493" s="11">
        <v>151990.0</v>
      </c>
      <c r="CA1493" s="11">
        <v>161380.0</v>
      </c>
      <c r="CB1493" s="11">
        <v>54470.0</v>
      </c>
      <c r="CC1493" s="11">
        <v>39930.0</v>
      </c>
      <c r="CD1493" s="11">
        <v>27330.0</v>
      </c>
      <c r="CE1493" s="11">
        <v>8610.0</v>
      </c>
      <c r="CF1493" s="11">
        <v>2790.0</v>
      </c>
      <c r="CG1493" s="12"/>
      <c r="CH1493" s="12"/>
      <c r="CI1493" s="12"/>
      <c r="CJ1493" s="12"/>
      <c r="CK1493" s="12"/>
      <c r="CL1493" s="11">
        <v>284250.0</v>
      </c>
      <c r="CM1493" s="11">
        <v>295940.0</v>
      </c>
      <c r="CN1493" s="11">
        <v>181840.0</v>
      </c>
      <c r="CO1493" s="11">
        <v>164810.0</v>
      </c>
      <c r="CP1493" s="11">
        <v>165420.0</v>
      </c>
      <c r="CQ1493" s="11">
        <v>9070.0</v>
      </c>
      <c r="CR1493" s="11">
        <v>13090.0</v>
      </c>
      <c r="CS1493" s="11">
        <v>7600.0</v>
      </c>
      <c r="CT1493" s="11">
        <v>4940.0</v>
      </c>
      <c r="CU1493" s="11">
        <v>2810.0</v>
      </c>
      <c r="CV1493" s="11">
        <v>118150.0</v>
      </c>
      <c r="CW1493" s="11">
        <v>3240.0</v>
      </c>
      <c r="CX1493" s="12"/>
      <c r="CY1493" s="12"/>
      <c r="CZ1493" s="12"/>
      <c r="DA1493" s="12"/>
      <c r="DB1493" s="11">
        <v>118150.0</v>
      </c>
      <c r="DC1493" s="11">
        <v>130040.0</v>
      </c>
      <c r="DD1493" s="11">
        <v>18190.0</v>
      </c>
      <c r="DE1493" s="11">
        <v>12160.0</v>
      </c>
      <c r="DF1493" s="11">
        <v>212640.0</v>
      </c>
      <c r="DG1493" s="11">
        <v>214720.0</v>
      </c>
      <c r="DH1493" s="11">
        <v>34360.0</v>
      </c>
      <c r="DI1493" s="11">
        <v>22070.0</v>
      </c>
      <c r="DJ1493" s="11">
        <v>4060.0</v>
      </c>
      <c r="DK1493" s="11">
        <v>3650.0</v>
      </c>
      <c r="DL1493" s="11">
        <v>3630.0</v>
      </c>
      <c r="DM1493" s="11">
        <v>3610.0</v>
      </c>
      <c r="DN1493" s="11">
        <v>3600.0</v>
      </c>
      <c r="DO1493" s="11">
        <v>1060.0</v>
      </c>
      <c r="DP1493" s="11">
        <v>29300.0</v>
      </c>
      <c r="DQ1493" s="12"/>
      <c r="DR1493" s="12"/>
      <c r="DS1493" s="11">
        <v>16.0</v>
      </c>
      <c r="DT1493" s="11">
        <v>78.0</v>
      </c>
      <c r="DU1493" s="11">
        <v>7870.0</v>
      </c>
      <c r="DV1493" s="11">
        <v>7870.0</v>
      </c>
      <c r="DW1493" s="11">
        <v>7870.0</v>
      </c>
      <c r="DX1493" s="11">
        <v>7870.0</v>
      </c>
      <c r="DY1493" s="11">
        <v>7870.0</v>
      </c>
      <c r="DZ1493" s="11">
        <v>71610.0</v>
      </c>
      <c r="EA1493" s="11">
        <v>81220.0</v>
      </c>
      <c r="EB1493" s="11">
        <v>147480.0</v>
      </c>
      <c r="EC1493" s="11">
        <v>142740.0</v>
      </c>
      <c r="ED1493" s="11">
        <v>161370.0</v>
      </c>
      <c r="EE1493" s="14">
        <v>1.332</v>
      </c>
      <c r="EF1493" s="14">
        <v>1.61</v>
      </c>
      <c r="EG1493" s="14">
        <v>-0.186</v>
      </c>
      <c r="EH1493" s="14">
        <v>-0.149</v>
      </c>
    </row>
    <row r="1494">
      <c r="A1494" s="9">
        <f t="shared" si="2"/>
        <v>1492</v>
      </c>
      <c r="B1494" s="10" t="s">
        <v>1629</v>
      </c>
      <c r="C1494" s="11">
        <v>2420000.0</v>
      </c>
      <c r="D1494" s="11">
        <v>2480000.0</v>
      </c>
      <c r="E1494" s="11">
        <v>2900000.0</v>
      </c>
      <c r="F1494" s="11">
        <v>2330000.0</v>
      </c>
      <c r="G1494" s="11">
        <v>2100000.0</v>
      </c>
      <c r="H1494" s="11">
        <v>2020000.0</v>
      </c>
      <c r="I1494" s="11">
        <v>2040000.0</v>
      </c>
      <c r="J1494" s="11">
        <v>707540.0</v>
      </c>
      <c r="K1494" s="11">
        <v>603070.0</v>
      </c>
      <c r="L1494" s="11">
        <v>554580.0</v>
      </c>
      <c r="M1494" s="11">
        <v>533350.0</v>
      </c>
      <c r="N1494" s="11">
        <v>557070.0</v>
      </c>
      <c r="O1494" s="11">
        <v>405990.0</v>
      </c>
      <c r="P1494" s="11">
        <v>325960.0</v>
      </c>
      <c r="Q1494" s="11">
        <v>283870.0</v>
      </c>
      <c r="R1494" s="11">
        <v>279720.0</v>
      </c>
      <c r="S1494" s="11">
        <v>289760.0</v>
      </c>
      <c r="T1494" s="11">
        <v>159110.0</v>
      </c>
      <c r="U1494" s="11">
        <v>148280.0</v>
      </c>
      <c r="V1494" s="11">
        <v>126520.0</v>
      </c>
      <c r="W1494" s="11">
        <v>125070.0</v>
      </c>
      <c r="X1494" s="11">
        <v>134490.0</v>
      </c>
      <c r="Y1494" s="11">
        <v>306950.0</v>
      </c>
      <c r="Z1494" s="11">
        <v>-35400.0</v>
      </c>
      <c r="AA1494" s="11">
        <v>270780.0</v>
      </c>
      <c r="AB1494" s="11">
        <v>237510.0</v>
      </c>
      <c r="AC1494" s="11">
        <v>267210.0</v>
      </c>
      <c r="AD1494" s="11">
        <v>320610.0</v>
      </c>
      <c r="AE1494" s="11">
        <v>219580.0</v>
      </c>
      <c r="AF1494" s="11">
        <v>252750.0</v>
      </c>
      <c r="AG1494" s="11">
        <v>226490.0</v>
      </c>
      <c r="AH1494" s="11">
        <v>240950.0</v>
      </c>
      <c r="AI1494" s="11">
        <v>443560.0</v>
      </c>
      <c r="AJ1494" s="11">
        <v>393250.0</v>
      </c>
      <c r="AK1494" s="11">
        <v>351630.0</v>
      </c>
      <c r="AL1494" s="11">
        <v>322670.0</v>
      </c>
      <c r="AM1494" s="11">
        <v>342540.0</v>
      </c>
      <c r="AN1494" s="11">
        <v>259600.0</v>
      </c>
      <c r="AO1494" s="11">
        <v>180380.0</v>
      </c>
      <c r="AP1494" s="11">
        <v>200510.0</v>
      </c>
      <c r="AQ1494" s="11">
        <v>180840.0</v>
      </c>
      <c r="AR1494" s="11">
        <v>181450.0</v>
      </c>
      <c r="AS1494" s="11">
        <v>388370.0</v>
      </c>
      <c r="AT1494" s="11">
        <v>299290.0</v>
      </c>
      <c r="AU1494" s="11">
        <v>307540.0</v>
      </c>
      <c r="AV1494" s="11">
        <v>435380.0</v>
      </c>
      <c r="AW1494" s="11">
        <v>287430.0</v>
      </c>
      <c r="AX1494" s="11">
        <v>-99070.0</v>
      </c>
      <c r="AY1494" s="11">
        <v>-127140.0</v>
      </c>
      <c r="AZ1494" s="11">
        <v>-92340.0</v>
      </c>
      <c r="BA1494" s="11">
        <v>-175690.0</v>
      </c>
      <c r="BB1494" s="11">
        <v>-286610.0</v>
      </c>
      <c r="BC1494" s="11">
        <v>-39070.0</v>
      </c>
      <c r="BD1494" s="11">
        <v>-34000.0</v>
      </c>
      <c r="BE1494" s="11">
        <v>-29750.0</v>
      </c>
      <c r="BF1494" s="11">
        <v>-26610.0</v>
      </c>
      <c r="BG1494" s="11">
        <v>-24650.0</v>
      </c>
      <c r="BH1494" s="11">
        <v>99070.0</v>
      </c>
      <c r="BI1494" s="11">
        <v>83590.0</v>
      </c>
      <c r="BJ1494" s="11">
        <v>87550.0</v>
      </c>
      <c r="BK1494" s="11">
        <v>81090.0</v>
      </c>
      <c r="BL1494" s="11">
        <v>82200.0</v>
      </c>
      <c r="BM1494" s="11">
        <v>599630.0</v>
      </c>
      <c r="BN1494" s="11">
        <v>438400.0</v>
      </c>
      <c r="BO1494" s="11">
        <v>421560.0</v>
      </c>
      <c r="BP1494" s="11">
        <v>364130.0</v>
      </c>
      <c r="BQ1494" s="11">
        <v>344050.0</v>
      </c>
      <c r="BR1494" s="11">
        <v>516840.0</v>
      </c>
      <c r="BS1494" s="11">
        <v>549600.0</v>
      </c>
      <c r="BT1494" s="11">
        <v>473510.0</v>
      </c>
      <c r="BU1494" s="11">
        <v>461680.0</v>
      </c>
      <c r="BV1494" s="11">
        <v>447660.0</v>
      </c>
      <c r="BW1494" s="11">
        <v>1270000.0</v>
      </c>
      <c r="BX1494" s="11">
        <v>1110000.0</v>
      </c>
      <c r="BY1494" s="11">
        <v>1020000.0</v>
      </c>
      <c r="BZ1494" s="11">
        <v>944420.0</v>
      </c>
      <c r="CA1494" s="11">
        <v>947480.0</v>
      </c>
      <c r="CB1494" s="11">
        <v>1060000.0</v>
      </c>
      <c r="CC1494" s="11">
        <v>1060000.0</v>
      </c>
      <c r="CD1494" s="11">
        <v>922040.0</v>
      </c>
      <c r="CE1494" s="11">
        <v>876350.0</v>
      </c>
      <c r="CF1494" s="11">
        <v>756100.0</v>
      </c>
      <c r="CG1494" s="11">
        <v>797850.0</v>
      </c>
      <c r="CH1494" s="11">
        <v>813250.0</v>
      </c>
      <c r="CI1494" s="11">
        <v>556550.0</v>
      </c>
      <c r="CJ1494" s="11">
        <v>555680.0</v>
      </c>
      <c r="CK1494" s="11">
        <v>556980.0</v>
      </c>
      <c r="CL1494" s="11">
        <v>3960000.0</v>
      </c>
      <c r="CM1494" s="11">
        <v>3790000.0</v>
      </c>
      <c r="CN1494" s="11">
        <v>2760000.0</v>
      </c>
      <c r="CO1494" s="11">
        <v>2640000.0</v>
      </c>
      <c r="CP1494" s="11">
        <v>2540000.0</v>
      </c>
      <c r="CQ1494" s="11">
        <v>240460.0</v>
      </c>
      <c r="CR1494" s="11">
        <v>226290.0</v>
      </c>
      <c r="CS1494" s="11">
        <v>232790.0</v>
      </c>
      <c r="CT1494" s="11">
        <v>169440.0</v>
      </c>
      <c r="CU1494" s="11">
        <v>173290.0</v>
      </c>
      <c r="CV1494" s="11">
        <v>707440.0</v>
      </c>
      <c r="CW1494" s="11">
        <v>220000.0</v>
      </c>
      <c r="CX1494" s="11">
        <v>153640.0</v>
      </c>
      <c r="CY1494" s="12"/>
      <c r="CZ1494" s="12"/>
      <c r="DA1494" s="11">
        <v>2430.0</v>
      </c>
      <c r="DB1494" s="11">
        <v>707440.0</v>
      </c>
      <c r="DC1494" s="11">
        <v>591180.0</v>
      </c>
      <c r="DD1494" s="11">
        <v>427230.0</v>
      </c>
      <c r="DE1494" s="11">
        <v>480610.0</v>
      </c>
      <c r="DF1494" s="11">
        <v>2230000.0</v>
      </c>
      <c r="DG1494" s="11">
        <v>2250000.0</v>
      </c>
      <c r="DH1494" s="11">
        <v>1390000.0</v>
      </c>
      <c r="DI1494" s="11">
        <v>1430000.0</v>
      </c>
      <c r="DJ1494" s="11">
        <v>1390000.0</v>
      </c>
      <c r="DK1494" s="11">
        <v>28050.0</v>
      </c>
      <c r="DL1494" s="11">
        <v>29340.0</v>
      </c>
      <c r="DM1494" s="11">
        <v>22870.0</v>
      </c>
      <c r="DN1494" s="11">
        <v>12490.0</v>
      </c>
      <c r="DO1494" s="11">
        <v>9880.0</v>
      </c>
      <c r="DP1494" s="11">
        <v>864900.0</v>
      </c>
      <c r="DQ1494" s="11">
        <v>1090000.0</v>
      </c>
      <c r="DR1494" s="11">
        <v>580290.0</v>
      </c>
      <c r="DS1494" s="11">
        <v>577150.0</v>
      </c>
      <c r="DT1494" s="11">
        <v>850000.0</v>
      </c>
      <c r="DU1494" s="12"/>
      <c r="DV1494" s="12"/>
      <c r="DW1494" s="12"/>
      <c r="DX1494" s="12"/>
      <c r="DY1494" s="12"/>
      <c r="DZ1494" s="11">
        <v>1730000.0</v>
      </c>
      <c r="EA1494" s="11">
        <v>1540000.0</v>
      </c>
      <c r="EB1494" s="11">
        <v>1370000.0</v>
      </c>
      <c r="EC1494" s="11">
        <v>1210000.0</v>
      </c>
      <c r="ED1494" s="11">
        <v>1150000.0</v>
      </c>
      <c r="EE1494" s="14">
        <v>0.117</v>
      </c>
      <c r="EF1494" s="14">
        <v>0.198</v>
      </c>
      <c r="EG1494" s="14">
        <v>0.477</v>
      </c>
      <c r="EH1494" s="14">
        <v>0.163</v>
      </c>
    </row>
    <row r="1495">
      <c r="A1495" s="9">
        <f t="shared" si="2"/>
        <v>1493</v>
      </c>
      <c r="B1495" s="10" t="s">
        <v>1630</v>
      </c>
      <c r="C1495" s="15">
        <v>1170000.0</v>
      </c>
      <c r="D1495" s="15">
        <v>1040000.0</v>
      </c>
      <c r="E1495" s="15">
        <v>960440.0</v>
      </c>
      <c r="F1495" s="15">
        <v>930160.0</v>
      </c>
      <c r="G1495" s="15">
        <v>800960.0</v>
      </c>
      <c r="H1495" s="15">
        <v>729220.0</v>
      </c>
      <c r="I1495" s="15">
        <v>658770.0</v>
      </c>
      <c r="J1495" s="15">
        <v>290360.0</v>
      </c>
      <c r="K1495" s="15">
        <v>302470.0</v>
      </c>
      <c r="L1495" s="15">
        <v>241860.0</v>
      </c>
      <c r="M1495" s="15">
        <v>275600.0</v>
      </c>
      <c r="N1495" s="15">
        <v>239180.0</v>
      </c>
      <c r="O1495" s="15">
        <v>171610.0</v>
      </c>
      <c r="P1495" s="15">
        <v>181430.0</v>
      </c>
      <c r="Q1495" s="15">
        <v>160810.0</v>
      </c>
      <c r="R1495" s="15">
        <v>219130.0</v>
      </c>
      <c r="S1495" s="15">
        <v>192770.0</v>
      </c>
      <c r="T1495" s="15">
        <v>0.0</v>
      </c>
      <c r="U1495" s="15">
        <v>0.0</v>
      </c>
      <c r="V1495" s="15">
        <v>0.0</v>
      </c>
      <c r="W1495" s="15">
        <v>0.0</v>
      </c>
      <c r="X1495" s="15">
        <v>0.0</v>
      </c>
      <c r="Y1495" s="15">
        <v>119920.0</v>
      </c>
      <c r="Z1495" s="15">
        <v>117050.0</v>
      </c>
      <c r="AA1495" s="15">
        <v>-5470.0</v>
      </c>
      <c r="AB1495" s="15">
        <v>55640.0</v>
      </c>
      <c r="AC1495" s="15">
        <v>38790.0</v>
      </c>
      <c r="AD1495" s="15">
        <v>94680.0</v>
      </c>
      <c r="AE1495" s="15">
        <v>106040.0</v>
      </c>
      <c r="AF1495" s="15">
        <v>64060.0</v>
      </c>
      <c r="AG1495" s="15">
        <v>53210.0</v>
      </c>
      <c r="AH1495" s="15">
        <v>36230.0</v>
      </c>
      <c r="AI1495" s="15">
        <v>200730.0</v>
      </c>
      <c r="AJ1495" s="15">
        <v>186330.0</v>
      </c>
      <c r="AK1495" s="15">
        <v>146120.0</v>
      </c>
      <c r="AL1495" s="15">
        <v>118630.0</v>
      </c>
      <c r="AM1495" s="15">
        <v>107030.0</v>
      </c>
      <c r="AN1495" s="15">
        <v>77060.0</v>
      </c>
      <c r="AO1495" s="15">
        <v>99590.0</v>
      </c>
      <c r="AP1495" s="15">
        <v>32640.0</v>
      </c>
      <c r="AQ1495" s="15">
        <v>33840.0</v>
      </c>
      <c r="AR1495" s="15">
        <v>24140.0</v>
      </c>
      <c r="AS1495" s="15">
        <v>120980.0</v>
      </c>
      <c r="AT1495" s="15">
        <v>186720.0</v>
      </c>
      <c r="AU1495" s="15">
        <v>96590.0</v>
      </c>
      <c r="AV1495" s="15">
        <v>56620.0</v>
      </c>
      <c r="AW1495" s="15">
        <v>49550.0</v>
      </c>
      <c r="AX1495" s="15">
        <v>-69090.0</v>
      </c>
      <c r="AY1495" s="15">
        <v>-32280.0</v>
      </c>
      <c r="AZ1495" s="15">
        <v>-24710.0</v>
      </c>
      <c r="BA1495" s="15">
        <v>-29900.0</v>
      </c>
      <c r="BB1495" s="15">
        <v>-20010.0</v>
      </c>
      <c r="BC1495" s="15">
        <v>-37430.0</v>
      </c>
      <c r="BD1495" s="15">
        <v>-37240.0</v>
      </c>
      <c r="BE1495" s="15">
        <v>-36850.0</v>
      </c>
      <c r="BF1495" s="15">
        <v>-36560.0</v>
      </c>
      <c r="BG1495" s="15">
        <v>-36350.0</v>
      </c>
      <c r="BH1495" s="15">
        <v>250480.0</v>
      </c>
      <c r="BI1495" s="15">
        <v>359140.0</v>
      </c>
      <c r="BJ1495" s="15">
        <v>297440.0</v>
      </c>
      <c r="BK1495" s="15">
        <v>267140.0</v>
      </c>
      <c r="BL1495" s="15">
        <v>102380.0</v>
      </c>
      <c r="BM1495" s="15">
        <v>124770.0</v>
      </c>
      <c r="BN1495" s="15">
        <v>78930.0</v>
      </c>
      <c r="BO1495" s="15">
        <v>65250.0</v>
      </c>
      <c r="BP1495" s="15">
        <v>53160.0</v>
      </c>
      <c r="BQ1495" s="15">
        <v>58440.0</v>
      </c>
      <c r="BR1495" s="15">
        <v>8250.0</v>
      </c>
      <c r="BS1495" s="15">
        <v>7750.0</v>
      </c>
      <c r="BT1495" s="15">
        <v>8330.0</v>
      </c>
      <c r="BU1495" s="15">
        <v>6530.0</v>
      </c>
      <c r="BV1495" s="15">
        <v>6170.0</v>
      </c>
      <c r="BW1495" s="15">
        <v>404310.0</v>
      </c>
      <c r="BX1495" s="15">
        <v>474010.0</v>
      </c>
      <c r="BY1495" s="15">
        <v>390980.0</v>
      </c>
      <c r="BZ1495" s="15">
        <v>349310.0</v>
      </c>
      <c r="CA1495" s="15">
        <v>179760.0</v>
      </c>
      <c r="CB1495" s="15">
        <v>485500.0</v>
      </c>
      <c r="CC1495" s="15">
        <v>148090.0</v>
      </c>
      <c r="CD1495" s="15">
        <v>131330.0</v>
      </c>
      <c r="CE1495" s="15">
        <v>132630.0</v>
      </c>
      <c r="CF1495" s="15">
        <v>105220.0</v>
      </c>
      <c r="CG1495" s="15">
        <v>0.0</v>
      </c>
      <c r="CH1495" s="15">
        <v>0.0</v>
      </c>
      <c r="CI1495" s="15">
        <v>0.0</v>
      </c>
      <c r="CJ1495" s="15">
        <v>0.0</v>
      </c>
      <c r="CK1495" s="15">
        <v>0.0</v>
      </c>
      <c r="CL1495" s="15">
        <v>992230.0</v>
      </c>
      <c r="CM1495" s="15">
        <v>700300.0</v>
      </c>
      <c r="CN1495" s="15">
        <v>614510.0</v>
      </c>
      <c r="CO1495" s="15">
        <v>600900.0</v>
      </c>
      <c r="CP1495" s="15">
        <v>409150.0</v>
      </c>
      <c r="CQ1495" s="15">
        <v>9280.0</v>
      </c>
      <c r="CR1495" s="15">
        <v>12200.0</v>
      </c>
      <c r="CS1495" s="15">
        <v>12730.0</v>
      </c>
      <c r="CT1495" s="15">
        <v>10120.0</v>
      </c>
      <c r="CU1495" s="15">
        <v>8580.0</v>
      </c>
      <c r="CV1495" s="15">
        <v>344340.0</v>
      </c>
      <c r="CW1495" s="15">
        <v>6590.0</v>
      </c>
      <c r="CX1495" s="16">
        <v>0.0</v>
      </c>
      <c r="CY1495" s="16">
        <v>0.0</v>
      </c>
      <c r="CZ1495" s="15">
        <v>0.0</v>
      </c>
      <c r="DA1495" s="15">
        <v>0.0</v>
      </c>
      <c r="DB1495" s="15">
        <v>344340.0</v>
      </c>
      <c r="DC1495" s="15">
        <v>357540.0</v>
      </c>
      <c r="DD1495" s="15">
        <v>138190.0</v>
      </c>
      <c r="DE1495" s="15">
        <v>133130.0</v>
      </c>
      <c r="DF1495" s="15">
        <v>716910.0</v>
      </c>
      <c r="DG1495" s="15">
        <v>384060.0</v>
      </c>
      <c r="DH1495" s="15">
        <v>361550.0</v>
      </c>
      <c r="DI1495" s="15">
        <v>361160.0</v>
      </c>
      <c r="DJ1495" s="15">
        <v>199830.0</v>
      </c>
      <c r="DK1495" s="15">
        <v>28110.0</v>
      </c>
      <c r="DL1495" s="15">
        <v>30200.0</v>
      </c>
      <c r="DM1495" s="15">
        <v>27370.0</v>
      </c>
      <c r="DN1495" s="15">
        <v>24960.0</v>
      </c>
      <c r="DO1495" s="15">
        <v>22280.0</v>
      </c>
      <c r="DP1495" s="15">
        <v>372130.0</v>
      </c>
      <c r="DQ1495" s="15">
        <v>25700.0</v>
      </c>
      <c r="DR1495" s="15">
        <v>208860.0</v>
      </c>
      <c r="DS1495" s="15">
        <v>196600.0</v>
      </c>
      <c r="DT1495" s="15">
        <v>17140.0</v>
      </c>
      <c r="DU1495" s="16">
        <v>0.0</v>
      </c>
      <c r="DV1495" s="15">
        <v>0.0</v>
      </c>
      <c r="DW1495" s="15">
        <v>0.0</v>
      </c>
      <c r="DX1495" s="16">
        <v>0.0</v>
      </c>
      <c r="DY1495" s="16">
        <v>0.0</v>
      </c>
      <c r="DZ1495" s="15">
        <v>275330.0</v>
      </c>
      <c r="EA1495" s="15">
        <v>316240.0</v>
      </c>
      <c r="EB1495" s="15">
        <v>252960.0</v>
      </c>
      <c r="EC1495" s="15">
        <v>239740.0</v>
      </c>
      <c r="ED1495" s="15">
        <v>209320.0</v>
      </c>
      <c r="EE1495" s="17">
        <v>0.183</v>
      </c>
      <c r="EF1495" s="17">
        <v>0.256</v>
      </c>
      <c r="EG1495" s="17">
        <v>0.24</v>
      </c>
      <c r="EH1495" s="17">
        <v>1.015</v>
      </c>
    </row>
    <row r="1496">
      <c r="A1496" s="9">
        <f t="shared" si="2"/>
        <v>1494</v>
      </c>
      <c r="B1496" s="10" t="s">
        <v>1631</v>
      </c>
      <c r="C1496" s="12"/>
      <c r="D1496" s="12"/>
      <c r="E1496" s="12">
        <v>0.0</v>
      </c>
      <c r="F1496" s="12">
        <v>0.0</v>
      </c>
      <c r="G1496" s="12">
        <v>0.0</v>
      </c>
      <c r="H1496" s="12">
        <v>0.0</v>
      </c>
      <c r="I1496" s="12">
        <v>0.0</v>
      </c>
      <c r="J1496" s="12">
        <v>0.0</v>
      </c>
      <c r="K1496" s="12">
        <v>-4650.0</v>
      </c>
      <c r="L1496" s="12">
        <v>-5770.0</v>
      </c>
      <c r="M1496" s="12">
        <v>-3980.0</v>
      </c>
      <c r="N1496" s="12">
        <v>-5260.0</v>
      </c>
      <c r="O1496" s="12">
        <v>8940.0</v>
      </c>
      <c r="P1496" s="12">
        <v>7360.0</v>
      </c>
      <c r="Q1496" s="12">
        <v>6610.0</v>
      </c>
      <c r="R1496" s="12">
        <v>7650.0</v>
      </c>
      <c r="S1496" s="12">
        <v>7490.0</v>
      </c>
      <c r="T1496" s="12">
        <v>0.0</v>
      </c>
      <c r="U1496" s="12">
        <v>0.0</v>
      </c>
      <c r="V1496" s="12">
        <v>0.0</v>
      </c>
      <c r="W1496" s="12">
        <v>0.0</v>
      </c>
      <c r="X1496" s="12">
        <v>0.0</v>
      </c>
      <c r="Y1496" s="15">
        <v>-10920.0</v>
      </c>
      <c r="Z1496" s="15">
        <v>-36050.0</v>
      </c>
      <c r="AA1496" s="15">
        <v>-24860.0</v>
      </c>
      <c r="AB1496" s="12">
        <v>-16620.0</v>
      </c>
      <c r="AC1496" s="12">
        <v>-16750.0</v>
      </c>
      <c r="AD1496" s="15">
        <v>-10570.0</v>
      </c>
      <c r="AE1496" s="15">
        <v>-35680.0</v>
      </c>
      <c r="AF1496" s="15">
        <v>-19290.0</v>
      </c>
      <c r="AG1496" s="12">
        <v>-19610.0</v>
      </c>
      <c r="AH1496" s="12">
        <v>-15140.0</v>
      </c>
      <c r="AI1496" s="15">
        <v>-8940.0</v>
      </c>
      <c r="AJ1496" s="15">
        <v>-10900.0</v>
      </c>
      <c r="AK1496" s="15">
        <v>-11200.0</v>
      </c>
      <c r="AL1496" s="12">
        <v>-10900.0</v>
      </c>
      <c r="AM1496" s="12">
        <v>-11960.0</v>
      </c>
      <c r="AN1496" s="15">
        <v>-10570.0</v>
      </c>
      <c r="AO1496" s="15">
        <v>-35680.0</v>
      </c>
      <c r="AP1496" s="15">
        <v>-19290.0</v>
      </c>
      <c r="AQ1496" s="12">
        <v>-19610.0</v>
      </c>
      <c r="AR1496" s="12">
        <v>-15140.0</v>
      </c>
      <c r="AS1496" s="15">
        <v>-10050.0</v>
      </c>
      <c r="AT1496" s="15">
        <v>-11650.0</v>
      </c>
      <c r="AU1496" s="15">
        <v>-11600.0</v>
      </c>
      <c r="AV1496" s="12">
        <v>-12310.0</v>
      </c>
      <c r="AW1496" s="12">
        <v>-12020.0</v>
      </c>
      <c r="AX1496" s="15">
        <v>0.0</v>
      </c>
      <c r="AY1496" s="15">
        <v>0.0</v>
      </c>
      <c r="AZ1496" s="15">
        <v>0.0</v>
      </c>
      <c r="BA1496" s="12">
        <v>0.0</v>
      </c>
      <c r="BB1496" s="12">
        <v>0.0</v>
      </c>
      <c r="BC1496" s="12">
        <v>0.0</v>
      </c>
      <c r="BD1496" s="12">
        <v>0.0</v>
      </c>
      <c r="BE1496" s="12">
        <v>0.0</v>
      </c>
      <c r="BF1496" s="12">
        <v>0.0</v>
      </c>
      <c r="BG1496" s="12">
        <v>0.0</v>
      </c>
      <c r="BH1496" s="12">
        <v>1870.0</v>
      </c>
      <c r="BI1496" s="12">
        <v>1990.0</v>
      </c>
      <c r="BJ1496" s="12">
        <v>5420.0</v>
      </c>
      <c r="BK1496" s="12">
        <v>3310.0</v>
      </c>
      <c r="BL1496" s="12">
        <v>1090.0</v>
      </c>
      <c r="BM1496" s="12">
        <v>0.0</v>
      </c>
      <c r="BN1496" s="12">
        <v>1550.0</v>
      </c>
      <c r="BO1496" s="12">
        <v>1750.0</v>
      </c>
      <c r="BP1496" s="12">
        <v>0.0</v>
      </c>
      <c r="BQ1496" s="12">
        <v>0.0</v>
      </c>
      <c r="BR1496" s="12">
        <v>0.0</v>
      </c>
      <c r="BS1496" s="12">
        <v>0.0</v>
      </c>
      <c r="BT1496" s="12">
        <v>0.0</v>
      </c>
      <c r="BU1496" s="12">
        <v>0.0</v>
      </c>
      <c r="BV1496" s="12">
        <v>0.0</v>
      </c>
      <c r="BW1496" s="12">
        <v>2360.0</v>
      </c>
      <c r="BX1496" s="12">
        <v>4180.0</v>
      </c>
      <c r="BY1496" s="12">
        <v>7830.0</v>
      </c>
      <c r="BZ1496" s="12">
        <v>3910.0</v>
      </c>
      <c r="CA1496" s="12">
        <v>2010.0</v>
      </c>
      <c r="CB1496" s="12">
        <v>20820.0</v>
      </c>
      <c r="CC1496" s="12">
        <v>20550.0</v>
      </c>
      <c r="CD1496" s="12">
        <v>35410.0</v>
      </c>
      <c r="CE1496" s="12">
        <v>46920.0</v>
      </c>
      <c r="CF1496" s="12">
        <v>48810.0</v>
      </c>
      <c r="CG1496" s="12">
        <v>0.0</v>
      </c>
      <c r="CH1496" s="12">
        <v>0.0</v>
      </c>
      <c r="CI1496" s="12">
        <v>0.0</v>
      </c>
      <c r="CJ1496" s="12">
        <v>0.0</v>
      </c>
      <c r="CK1496" s="12">
        <v>0.0</v>
      </c>
      <c r="CL1496" s="12">
        <v>26980.0</v>
      </c>
      <c r="CM1496" s="12">
        <v>29960.0</v>
      </c>
      <c r="CN1496" s="12">
        <v>50240.0</v>
      </c>
      <c r="CO1496" s="12">
        <v>56910.0</v>
      </c>
      <c r="CP1496" s="12">
        <v>56970.0</v>
      </c>
      <c r="CQ1496" s="12">
        <v>0.0</v>
      </c>
      <c r="CR1496" s="12">
        <v>0.0</v>
      </c>
      <c r="CS1496" s="12">
        <v>0.0</v>
      </c>
      <c r="CT1496" s="12">
        <v>0.0</v>
      </c>
      <c r="CU1496" s="12">
        <v>0.0</v>
      </c>
      <c r="CV1496" s="12">
        <v>3670.0</v>
      </c>
      <c r="CW1496" s="12">
        <v>0.0</v>
      </c>
      <c r="CX1496" s="12">
        <v>0.0</v>
      </c>
      <c r="CY1496" s="12">
        <v>0.0</v>
      </c>
      <c r="CZ1496" s="12">
        <v>5430.0</v>
      </c>
      <c r="DA1496" s="12">
        <v>0.0</v>
      </c>
      <c r="DB1496" s="12">
        <v>3670.0</v>
      </c>
      <c r="DC1496" s="12">
        <v>3170.0</v>
      </c>
      <c r="DD1496" s="12">
        <v>3970.0</v>
      </c>
      <c r="DE1496" s="12">
        <v>8140.0</v>
      </c>
      <c r="DF1496" s="12">
        <v>9920.0</v>
      </c>
      <c r="DG1496" s="12">
        <v>9170.0</v>
      </c>
      <c r="DH1496" s="12">
        <v>9120.0</v>
      </c>
      <c r="DI1496" s="12">
        <v>13870.0</v>
      </c>
      <c r="DJ1496" s="12">
        <v>16490.0</v>
      </c>
      <c r="DK1496" s="12">
        <v>3800.0</v>
      </c>
      <c r="DL1496" s="12">
        <v>3730.0</v>
      </c>
      <c r="DM1496" s="12">
        <v>3670.0</v>
      </c>
      <c r="DN1496" s="12">
        <v>3960.0</v>
      </c>
      <c r="DO1496" s="12">
        <v>4030.0</v>
      </c>
      <c r="DP1496" s="12">
        <v>0.0</v>
      </c>
      <c r="DQ1496" s="12">
        <v>0.0</v>
      </c>
      <c r="DR1496" s="12">
        <v>0.0</v>
      </c>
      <c r="DS1496" s="12">
        <v>0.0</v>
      </c>
      <c r="DT1496" s="12">
        <v>0.0</v>
      </c>
      <c r="DU1496" s="12">
        <v>0.0</v>
      </c>
      <c r="DV1496" s="12">
        <v>0.0</v>
      </c>
      <c r="DW1496" s="12">
        <v>0.0</v>
      </c>
      <c r="DX1496" s="12">
        <v>0.0</v>
      </c>
      <c r="DY1496" s="12">
        <v>0.0</v>
      </c>
      <c r="DZ1496" s="15">
        <v>17060.0</v>
      </c>
      <c r="EA1496" s="12">
        <v>20790.0</v>
      </c>
      <c r="EB1496" s="12">
        <v>41120.0</v>
      </c>
      <c r="EC1496" s="12">
        <v>43050.0</v>
      </c>
      <c r="ED1496" s="12">
        <v>40480.0</v>
      </c>
      <c r="EE1496" s="31"/>
      <c r="EF1496" s="31"/>
      <c r="EG1496" s="31"/>
      <c r="EH1496" s="31"/>
    </row>
    <row r="1497">
      <c r="A1497" s="9">
        <f t="shared" si="2"/>
        <v>1495</v>
      </c>
      <c r="B1497" s="25" t="s">
        <v>1632</v>
      </c>
      <c r="C1497" s="15">
        <v>2180000.0</v>
      </c>
      <c r="D1497" s="15">
        <v>1790000.0</v>
      </c>
      <c r="E1497" s="15">
        <v>2270000.0</v>
      </c>
      <c r="F1497" s="15">
        <v>2240000.0</v>
      </c>
      <c r="G1497" s="15">
        <v>2350000.0</v>
      </c>
      <c r="H1497" s="15">
        <v>2490000.0</v>
      </c>
      <c r="I1497" s="15">
        <v>2690000.0</v>
      </c>
      <c r="J1497" s="15">
        <v>847200.0</v>
      </c>
      <c r="K1497" s="15">
        <v>906000.0</v>
      </c>
      <c r="L1497" s="15">
        <v>888100.0</v>
      </c>
      <c r="M1497" s="15">
        <v>960200.0</v>
      </c>
      <c r="N1497" s="15">
        <v>1040000.0</v>
      </c>
      <c r="O1497" s="15">
        <v>669300.0</v>
      </c>
      <c r="P1497" s="15">
        <v>654100.0</v>
      </c>
      <c r="Q1497" s="15">
        <v>706000.0</v>
      </c>
      <c r="R1497" s="15">
        <v>758000.0</v>
      </c>
      <c r="S1497" s="15">
        <v>816000.0</v>
      </c>
      <c r="T1497" s="15"/>
      <c r="U1497" s="15"/>
      <c r="V1497" s="12"/>
      <c r="W1497" s="12"/>
      <c r="X1497" s="12"/>
      <c r="Y1497" s="12"/>
      <c r="Z1497" s="15">
        <v>251300.0</v>
      </c>
      <c r="AA1497" s="15">
        <v>-150500.0</v>
      </c>
      <c r="AB1497" s="15">
        <v>133800.0</v>
      </c>
      <c r="AC1497" s="15">
        <v>-39200.0</v>
      </c>
      <c r="AD1497" s="15">
        <v>145900.0</v>
      </c>
      <c r="AE1497" s="15">
        <v>227400.0</v>
      </c>
      <c r="AF1497" s="15">
        <v>-10600.0</v>
      </c>
      <c r="AG1497" s="15">
        <v>110500.0</v>
      </c>
      <c r="AH1497" s="15">
        <v>164600.0</v>
      </c>
      <c r="AI1497" s="15">
        <v>287200.0</v>
      </c>
      <c r="AJ1497" s="15">
        <v>298700.0</v>
      </c>
      <c r="AK1497" s="15">
        <v>254600.0</v>
      </c>
      <c r="AL1497" s="15">
        <v>245700.0</v>
      </c>
      <c r="AM1497" s="15">
        <v>268400.0</v>
      </c>
      <c r="AN1497" s="15">
        <v>125900.0</v>
      </c>
      <c r="AO1497" s="15">
        <v>192600.0</v>
      </c>
      <c r="AP1497" s="15">
        <v>300.0</v>
      </c>
      <c r="AQ1497" s="15">
        <v>85600.0</v>
      </c>
      <c r="AR1497" s="15">
        <v>120000.0</v>
      </c>
      <c r="AS1497" s="15">
        <v>222600.0</v>
      </c>
      <c r="AT1497" s="15">
        <v>97500.0</v>
      </c>
      <c r="AU1497" s="15">
        <v>202700.0</v>
      </c>
      <c r="AV1497" s="15">
        <v>296300.0</v>
      </c>
      <c r="AW1497" s="15">
        <v>215500.0</v>
      </c>
      <c r="AX1497" s="15">
        <v>-34400.0</v>
      </c>
      <c r="AY1497" s="15">
        <v>-21700.0</v>
      </c>
      <c r="AZ1497" s="15">
        <v>-32400.0</v>
      </c>
      <c r="BA1497" s="15">
        <v>-55300.0</v>
      </c>
      <c r="BB1497" s="15">
        <v>-46400.0</v>
      </c>
      <c r="BC1497" s="15">
        <v>-33600.0</v>
      </c>
      <c r="BD1497" s="15">
        <v>-28600.0</v>
      </c>
      <c r="BE1497" s="15">
        <v>-23000.0</v>
      </c>
      <c r="BF1497" s="15">
        <v>-23500.0</v>
      </c>
      <c r="BG1497" s="15">
        <v>-24400.0</v>
      </c>
      <c r="BH1497" s="15">
        <v>180600.0</v>
      </c>
      <c r="BI1497" s="15">
        <v>143100.0</v>
      </c>
      <c r="BJ1497" s="15">
        <v>481000.0</v>
      </c>
      <c r="BK1497" s="15">
        <v>369800.0</v>
      </c>
      <c r="BL1497" s="15">
        <v>194100.0</v>
      </c>
      <c r="BM1497" s="15">
        <v>331200.0</v>
      </c>
      <c r="BN1497" s="15">
        <v>361200.0</v>
      </c>
      <c r="BO1497" s="15">
        <v>271300.0</v>
      </c>
      <c r="BP1497" s="15">
        <v>263300.0</v>
      </c>
      <c r="BQ1497" s="15">
        <v>298900.0</v>
      </c>
      <c r="BR1497" s="15">
        <v>348200.0</v>
      </c>
      <c r="BS1497" s="15">
        <v>317600.0</v>
      </c>
      <c r="BT1497" s="15">
        <v>276700.0</v>
      </c>
      <c r="BU1497" s="15">
        <v>348700.0</v>
      </c>
      <c r="BV1497" s="15">
        <v>466600.0</v>
      </c>
      <c r="BW1497" s="15">
        <v>967100.0</v>
      </c>
      <c r="BX1497" s="15">
        <v>867700.0</v>
      </c>
      <c r="BY1497" s="15">
        <v>1070000.0</v>
      </c>
      <c r="BZ1497" s="15">
        <v>1030000.0</v>
      </c>
      <c r="CA1497" s="15">
        <v>1010000.0</v>
      </c>
      <c r="CB1497" s="15">
        <v>301800.0</v>
      </c>
      <c r="CC1497" s="15">
        <v>130900.0</v>
      </c>
      <c r="CD1497" s="15">
        <v>136700.0</v>
      </c>
      <c r="CE1497" s="15">
        <v>146100.0</v>
      </c>
      <c r="CF1497" s="15">
        <v>131600.0</v>
      </c>
      <c r="CG1497" s="15">
        <v>438900.0</v>
      </c>
      <c r="CH1497" s="15">
        <v>424400.0</v>
      </c>
      <c r="CI1497" s="15">
        <v>429800.0</v>
      </c>
      <c r="CJ1497" s="15">
        <v>424300.0</v>
      </c>
      <c r="CK1497" s="15">
        <v>429100.0</v>
      </c>
      <c r="CL1497" s="15">
        <v>2480000.0</v>
      </c>
      <c r="CM1497" s="15">
        <v>2180000.0</v>
      </c>
      <c r="CN1497" s="15">
        <v>2400000.0</v>
      </c>
      <c r="CO1497" s="15">
        <v>2430000.0</v>
      </c>
      <c r="CP1497" s="15">
        <v>2430000.0</v>
      </c>
      <c r="CQ1497" s="15">
        <v>202100.0</v>
      </c>
      <c r="CR1497" s="15">
        <v>202300.0</v>
      </c>
      <c r="CS1497" s="15">
        <v>162300.0</v>
      </c>
      <c r="CT1497" s="15">
        <v>150800.0</v>
      </c>
      <c r="CU1497" s="15">
        <v>199700.0</v>
      </c>
      <c r="CV1497" s="15">
        <v>787400.0</v>
      </c>
      <c r="CW1497" s="15">
        <v>394100.0</v>
      </c>
      <c r="CX1497" s="15">
        <v>125000.0</v>
      </c>
      <c r="CY1497" s="15">
        <v>500.0</v>
      </c>
      <c r="CZ1497" s="15">
        <v>2900.0</v>
      </c>
      <c r="DA1497" s="15"/>
      <c r="DB1497" s="15">
        <v>787400.0</v>
      </c>
      <c r="DC1497" s="15">
        <v>473100.0</v>
      </c>
      <c r="DD1497" s="15">
        <v>362300.0</v>
      </c>
      <c r="DE1497" s="15">
        <v>333700.0</v>
      </c>
      <c r="DF1497" s="15">
        <v>1700000.0</v>
      </c>
      <c r="DG1497" s="15">
        <v>1190000.0</v>
      </c>
      <c r="DH1497" s="15">
        <v>1440000.0</v>
      </c>
      <c r="DI1497" s="15">
        <v>1460000.0</v>
      </c>
      <c r="DJ1497" s="15">
        <v>1460000.0</v>
      </c>
      <c r="DK1497" s="15"/>
      <c r="DL1497" s="15"/>
      <c r="DM1497" s="15"/>
      <c r="DN1497" s="15"/>
      <c r="DO1497" s="15"/>
      <c r="DP1497" s="15">
        <v>573100.0</v>
      </c>
      <c r="DQ1497" s="15">
        <v>438000.0</v>
      </c>
      <c r="DR1497" s="15">
        <v>744600.0</v>
      </c>
      <c r="DS1497" s="15">
        <v>780300.0</v>
      </c>
      <c r="DT1497" s="15">
        <v>792900.0</v>
      </c>
      <c r="DU1497" s="13"/>
      <c r="DV1497" s="12"/>
      <c r="DW1497" s="12"/>
      <c r="DX1497" s="13"/>
      <c r="DY1497" s="13"/>
      <c r="DZ1497" s="15">
        <v>766700.0</v>
      </c>
      <c r="EA1497" s="15">
        <v>986000.0</v>
      </c>
      <c r="EB1497" s="15">
        <v>949600.0</v>
      </c>
      <c r="EC1497" s="15">
        <v>966500.0</v>
      </c>
      <c r="ED1497" s="15">
        <v>963700.0</v>
      </c>
      <c r="EE1497" s="17">
        <v>0.089</v>
      </c>
      <c r="EF1497" s="17">
        <v>0.128</v>
      </c>
      <c r="EG1497" s="17">
        <v>1.692</v>
      </c>
      <c r="EH1497" s="17">
        <v>0.628</v>
      </c>
    </row>
    <row r="1498">
      <c r="A1498" s="9">
        <f t="shared" si="2"/>
        <v>1496</v>
      </c>
      <c r="B1498" s="10" t="s">
        <v>1633</v>
      </c>
      <c r="C1498" s="12"/>
      <c r="D1498" s="12"/>
      <c r="E1498" s="15">
        <v>490600.0</v>
      </c>
      <c r="F1498" s="15">
        <v>462660.0</v>
      </c>
      <c r="G1498" s="15">
        <v>390720.0</v>
      </c>
      <c r="H1498" s="15">
        <v>353730.0</v>
      </c>
      <c r="I1498" s="15">
        <v>377380.0</v>
      </c>
      <c r="J1498" s="15">
        <v>61950.0</v>
      </c>
      <c r="K1498" s="15">
        <v>61690.0</v>
      </c>
      <c r="L1498" s="15">
        <v>52880.0</v>
      </c>
      <c r="M1498" s="15">
        <v>50270.0</v>
      </c>
      <c r="N1498" s="15">
        <v>55500.0</v>
      </c>
      <c r="O1498" s="15">
        <v>54830.0</v>
      </c>
      <c r="P1498" s="15">
        <v>52340.0</v>
      </c>
      <c r="Q1498" s="15">
        <v>45410.0</v>
      </c>
      <c r="R1498" s="15">
        <v>43230.0</v>
      </c>
      <c r="S1498" s="15">
        <v>47270.0</v>
      </c>
      <c r="T1498" s="15">
        <v>0.0</v>
      </c>
      <c r="U1498" s="15">
        <v>0.0</v>
      </c>
      <c r="V1498" s="15">
        <v>0.0</v>
      </c>
      <c r="W1498" s="15">
        <v>0.0</v>
      </c>
      <c r="X1498" s="15">
        <v>0.0</v>
      </c>
      <c r="Y1498" s="15">
        <v>6820.0</v>
      </c>
      <c r="Z1498" s="15">
        <v>9140.0</v>
      </c>
      <c r="AA1498" s="15">
        <v>7370.0</v>
      </c>
      <c r="AB1498" s="15">
        <v>0.0</v>
      </c>
      <c r="AC1498" s="15">
        <v>7910.0</v>
      </c>
      <c r="AD1498" s="15">
        <v>7190.0</v>
      </c>
      <c r="AE1498" s="15">
        <v>9240.0</v>
      </c>
      <c r="AF1498" s="15">
        <v>7470.0</v>
      </c>
      <c r="AG1498" s="15">
        <v>7140.0</v>
      </c>
      <c r="AH1498" s="15">
        <v>8150.0</v>
      </c>
      <c r="AI1498" s="15">
        <v>10730.0</v>
      </c>
      <c r="AJ1498" s="15">
        <v>12520.0</v>
      </c>
      <c r="AK1498" s="15">
        <v>10130.0</v>
      </c>
      <c r="AL1498" s="15">
        <v>9510.0</v>
      </c>
      <c r="AM1498" s="15">
        <v>10910.0</v>
      </c>
      <c r="AN1498" s="15">
        <v>6130.0</v>
      </c>
      <c r="AO1498" s="15">
        <v>7710.0</v>
      </c>
      <c r="AP1498" s="15">
        <v>6310.0</v>
      </c>
      <c r="AQ1498" s="15">
        <v>5770.0</v>
      </c>
      <c r="AR1498" s="15">
        <v>6670.0</v>
      </c>
      <c r="AS1498" s="15">
        <v>13020.0</v>
      </c>
      <c r="AT1498" s="15">
        <v>1720.0</v>
      </c>
      <c r="AU1498" s="15">
        <v>4690.0</v>
      </c>
      <c r="AV1498" s="15">
        <v>7410.0</v>
      </c>
      <c r="AW1498" s="15">
        <v>6850.0</v>
      </c>
      <c r="AX1498" s="15">
        <v>-2410.0</v>
      </c>
      <c r="AY1498" s="15">
        <v>-2310.0</v>
      </c>
      <c r="AZ1498" s="15">
        <v>-2020.0</v>
      </c>
      <c r="BA1498" s="15">
        <v>-2140.0</v>
      </c>
      <c r="BB1498" s="15">
        <v>-1840.0</v>
      </c>
      <c r="BC1498" s="15">
        <v>-2680.0</v>
      </c>
      <c r="BD1498" s="15">
        <v>-2520.0</v>
      </c>
      <c r="BE1498" s="15">
        <v>-2380.0</v>
      </c>
      <c r="BF1498" s="15">
        <v>-2210.0</v>
      </c>
      <c r="BG1498" s="15">
        <v>-2020.0</v>
      </c>
      <c r="BH1498" s="15">
        <v>10610.0</v>
      </c>
      <c r="BI1498" s="15">
        <v>6680.0</v>
      </c>
      <c r="BJ1498" s="15">
        <v>8910.0</v>
      </c>
      <c r="BK1498" s="15">
        <v>10110.0</v>
      </c>
      <c r="BL1498" s="15">
        <v>9750.0</v>
      </c>
      <c r="BM1498" s="15">
        <v>68000.0</v>
      </c>
      <c r="BN1498" s="15">
        <v>73550.0</v>
      </c>
      <c r="BO1498" s="15">
        <v>65810.0</v>
      </c>
      <c r="BP1498" s="15">
        <v>53100.0</v>
      </c>
      <c r="BQ1498" s="15">
        <v>51410.0</v>
      </c>
      <c r="BR1498" s="15">
        <v>42240.0</v>
      </c>
      <c r="BS1498" s="15">
        <v>52250.0</v>
      </c>
      <c r="BT1498" s="15">
        <v>30060.0</v>
      </c>
      <c r="BU1498" s="15">
        <v>31340.0</v>
      </c>
      <c r="BV1498" s="15">
        <v>31690.0</v>
      </c>
      <c r="BW1498" s="15">
        <v>121150.0</v>
      </c>
      <c r="BX1498" s="15">
        <v>132650.0</v>
      </c>
      <c r="BY1498" s="15">
        <v>104780.0</v>
      </c>
      <c r="BZ1498" s="15">
        <v>94560.0</v>
      </c>
      <c r="CA1498" s="15">
        <v>92850.0</v>
      </c>
      <c r="CB1498" s="15">
        <v>23230.0</v>
      </c>
      <c r="CC1498" s="15">
        <v>21980.0</v>
      </c>
      <c r="CD1498" s="15">
        <v>18710.0</v>
      </c>
      <c r="CE1498" s="15">
        <v>20540.0</v>
      </c>
      <c r="CF1498" s="15">
        <v>19420.0</v>
      </c>
      <c r="CG1498" s="15">
        <v>14970.0</v>
      </c>
      <c r="CH1498" s="15">
        <v>14820.0</v>
      </c>
      <c r="CI1498" s="15">
        <v>14270.0</v>
      </c>
      <c r="CJ1498" s="15">
        <v>18150.0</v>
      </c>
      <c r="CK1498" s="15">
        <v>18160.0</v>
      </c>
      <c r="CL1498" s="15">
        <v>165150.0</v>
      </c>
      <c r="CM1498" s="15">
        <v>174770.0</v>
      </c>
      <c r="CN1498" s="15">
        <v>143660.0</v>
      </c>
      <c r="CO1498" s="15">
        <v>139180.0</v>
      </c>
      <c r="CP1498" s="15">
        <v>136610.0</v>
      </c>
      <c r="CQ1498" s="15">
        <v>57660.0</v>
      </c>
      <c r="CR1498" s="15">
        <v>68760.0</v>
      </c>
      <c r="CS1498" s="15">
        <v>48890.0</v>
      </c>
      <c r="CT1498" s="15">
        <v>39680.0</v>
      </c>
      <c r="CU1498" s="15">
        <v>39310.0</v>
      </c>
      <c r="CV1498" s="15">
        <v>66690.0</v>
      </c>
      <c r="CW1498" s="15">
        <v>2140.0</v>
      </c>
      <c r="CX1498" s="15">
        <v>2660.0</v>
      </c>
      <c r="CY1498" s="15">
        <v>1550.0</v>
      </c>
      <c r="CZ1498" s="15">
        <v>1590.0</v>
      </c>
      <c r="DA1498" s="15">
        <v>0.0</v>
      </c>
      <c r="DB1498" s="15">
        <v>66690.0</v>
      </c>
      <c r="DC1498" s="15">
        <v>79510.0</v>
      </c>
      <c r="DD1498" s="15">
        <v>56100.0</v>
      </c>
      <c r="DE1498" s="15">
        <v>48280.0</v>
      </c>
      <c r="DF1498" s="15">
        <v>70180.0</v>
      </c>
      <c r="DG1498" s="15">
        <v>83670.0</v>
      </c>
      <c r="DH1498" s="15">
        <v>58250.0</v>
      </c>
      <c r="DI1498" s="15">
        <v>52210.0</v>
      </c>
      <c r="DJ1498" s="15">
        <v>53730.0</v>
      </c>
      <c r="DK1498" s="15">
        <v>5550.0</v>
      </c>
      <c r="DL1498" s="15">
        <v>5240.0</v>
      </c>
      <c r="DM1498" s="15">
        <v>5820.0</v>
      </c>
      <c r="DN1498" s="15">
        <v>5830.0</v>
      </c>
      <c r="DO1498" s="15">
        <v>6050.0</v>
      </c>
      <c r="DP1498" s="15">
        <v>3080.0</v>
      </c>
      <c r="DQ1498" s="15">
        <v>3770.0</v>
      </c>
      <c r="DR1498" s="15">
        <v>1900.0</v>
      </c>
      <c r="DS1498" s="15">
        <v>3200.0</v>
      </c>
      <c r="DT1498" s="15">
        <v>3970.0</v>
      </c>
      <c r="DU1498" s="16">
        <v>0.0</v>
      </c>
      <c r="DV1498" s="15">
        <v>0.0</v>
      </c>
      <c r="DW1498" s="15">
        <v>0.0</v>
      </c>
      <c r="DX1498" s="16">
        <v>0.0</v>
      </c>
      <c r="DY1498" s="16">
        <v>0.0</v>
      </c>
      <c r="DZ1498" s="15">
        <v>94950.0</v>
      </c>
      <c r="EA1498" s="15">
        <v>91070.0</v>
      </c>
      <c r="EB1498" s="15">
        <v>85390.0</v>
      </c>
      <c r="EC1498" s="15">
        <v>86950.0</v>
      </c>
      <c r="ED1498" s="15">
        <v>82860.0</v>
      </c>
      <c r="EE1498" s="23"/>
      <c r="EF1498" s="23"/>
      <c r="EG1498" s="23"/>
      <c r="EH1498" s="23"/>
    </row>
    <row r="1499">
      <c r="A1499" s="9">
        <f t="shared" si="2"/>
        <v>1497</v>
      </c>
      <c r="B1499" s="10" t="s">
        <v>1634</v>
      </c>
      <c r="C1499" s="15">
        <v>5900000.0</v>
      </c>
      <c r="D1499" s="15">
        <v>3540000.0</v>
      </c>
      <c r="E1499" s="15">
        <v>6610000.0</v>
      </c>
      <c r="F1499" s="15">
        <v>6720000.0</v>
      </c>
      <c r="G1499" s="15">
        <v>6070000.0</v>
      </c>
      <c r="H1499" s="15">
        <v>4470000.0</v>
      </c>
      <c r="I1499" s="15">
        <v>4080000.0</v>
      </c>
      <c r="J1499" s="15">
        <v>1920000.0</v>
      </c>
      <c r="K1499" s="15">
        <v>2080000.0</v>
      </c>
      <c r="L1499" s="15">
        <v>1790000.0</v>
      </c>
      <c r="M1499" s="15">
        <v>1290000.0</v>
      </c>
      <c r="N1499" s="15">
        <v>1220000.0</v>
      </c>
      <c r="O1499" s="15">
        <v>918570.0</v>
      </c>
      <c r="P1499" s="15">
        <v>767940.0</v>
      </c>
      <c r="Q1499" s="15">
        <v>678770.0</v>
      </c>
      <c r="R1499" s="15">
        <v>556340.0</v>
      </c>
      <c r="S1499" s="15">
        <v>475910.0</v>
      </c>
      <c r="T1499" s="15">
        <v>0.0</v>
      </c>
      <c r="U1499" s="15">
        <v>0.0</v>
      </c>
      <c r="V1499" s="15">
        <v>0.0</v>
      </c>
      <c r="W1499" s="15">
        <v>0.0</v>
      </c>
      <c r="X1499" s="15">
        <v>0.0</v>
      </c>
      <c r="Y1499" s="15">
        <v>964650.0</v>
      </c>
      <c r="Z1499" s="15">
        <v>715290.0</v>
      </c>
      <c r="AA1499" s="15">
        <v>-116120.0</v>
      </c>
      <c r="AB1499" s="15">
        <v>741860.0</v>
      </c>
      <c r="AC1499" s="15">
        <v>-79260.0</v>
      </c>
      <c r="AD1499" s="15">
        <v>488220.0</v>
      </c>
      <c r="AE1499" s="15">
        <v>305740.0</v>
      </c>
      <c r="AF1499" s="15">
        <v>560270.0</v>
      </c>
      <c r="AG1499" s="15">
        <v>310600.0</v>
      </c>
      <c r="AH1499" s="15">
        <v>289250.0</v>
      </c>
      <c r="AI1499" s="15">
        <v>1610000.0</v>
      </c>
      <c r="AJ1499" s="15">
        <v>1800000.0</v>
      </c>
      <c r="AK1499" s="15">
        <v>1630000.0</v>
      </c>
      <c r="AL1499" s="15">
        <v>1080000.0</v>
      </c>
      <c r="AM1499" s="15">
        <v>1060000.0</v>
      </c>
      <c r="AN1499" s="15">
        <v>122990.0</v>
      </c>
      <c r="AO1499" s="15">
        <v>572430.0</v>
      </c>
      <c r="AP1499" s="15">
        <v>747180.0</v>
      </c>
      <c r="AQ1499" s="15">
        <v>241980.0</v>
      </c>
      <c r="AR1499" s="15">
        <v>195290.0</v>
      </c>
      <c r="AS1499" s="15">
        <v>901070.0</v>
      </c>
      <c r="AT1499" s="15">
        <v>961490.0</v>
      </c>
      <c r="AU1499" s="15">
        <v>1880000.0</v>
      </c>
      <c r="AV1499" s="15">
        <v>970550.0</v>
      </c>
      <c r="AW1499" s="15">
        <v>572810.0</v>
      </c>
      <c r="AX1499" s="15">
        <v>-1070000.0</v>
      </c>
      <c r="AY1499" s="15">
        <v>-1600000.0</v>
      </c>
      <c r="AZ1499" s="15">
        <v>-949050.0</v>
      </c>
      <c r="BA1499" s="15">
        <v>-1240000.0</v>
      </c>
      <c r="BB1499" s="15">
        <v>-1930000.0</v>
      </c>
      <c r="BC1499" s="15">
        <v>-566520.0</v>
      </c>
      <c r="BD1499" s="15">
        <v>-569780.0</v>
      </c>
      <c r="BE1499" s="15">
        <v>-320760.0</v>
      </c>
      <c r="BF1499" s="15">
        <v>-325220.0</v>
      </c>
      <c r="BG1499" s="15">
        <v>-499110.0</v>
      </c>
      <c r="BH1499" s="15">
        <v>2350000.0</v>
      </c>
      <c r="BI1499" s="15">
        <v>2220000.0</v>
      </c>
      <c r="BJ1499" s="15">
        <v>2970000.0</v>
      </c>
      <c r="BK1499" s="15">
        <v>2630000.0</v>
      </c>
      <c r="BL1499" s="15">
        <v>2200000.0</v>
      </c>
      <c r="BM1499" s="15">
        <v>346430.0</v>
      </c>
      <c r="BN1499" s="15">
        <v>276640.0</v>
      </c>
      <c r="BO1499" s="15">
        <v>224130.0</v>
      </c>
      <c r="BP1499" s="15">
        <v>218970.0</v>
      </c>
      <c r="BQ1499" s="15">
        <v>187890.0</v>
      </c>
      <c r="BR1499" s="15">
        <v>88520.0</v>
      </c>
      <c r="BS1499" s="15">
        <v>66630.0</v>
      </c>
      <c r="BT1499" s="15">
        <v>71640.0</v>
      </c>
      <c r="BU1499" s="15">
        <v>91540.0</v>
      </c>
      <c r="BV1499" s="15">
        <v>74490.0</v>
      </c>
      <c r="BW1499" s="15">
        <v>2860000.0</v>
      </c>
      <c r="BX1499" s="15">
        <v>2640000.0</v>
      </c>
      <c r="BY1499" s="15">
        <v>3420000.0</v>
      </c>
      <c r="BZ1499" s="15">
        <v>2990000.0</v>
      </c>
      <c r="CA1499" s="15">
        <v>2510000.0</v>
      </c>
      <c r="CB1499" s="15">
        <v>1.008E7</v>
      </c>
      <c r="CC1499" s="15">
        <v>9390000.0</v>
      </c>
      <c r="CD1499" s="15">
        <v>8500000.0</v>
      </c>
      <c r="CE1499" s="15">
        <v>8260000.0</v>
      </c>
      <c r="CF1499" s="15">
        <v>7480000.0</v>
      </c>
      <c r="CG1499" s="15">
        <v>0.0</v>
      </c>
      <c r="CH1499" s="15">
        <v>0.0</v>
      </c>
      <c r="CI1499" s="15">
        <v>0.0</v>
      </c>
      <c r="CJ1499" s="15">
        <v>0.0</v>
      </c>
      <c r="CK1499" s="15">
        <v>0.0</v>
      </c>
      <c r="CL1499" s="15">
        <v>1.392E7</v>
      </c>
      <c r="CM1499" s="15">
        <v>1.33E7</v>
      </c>
      <c r="CN1499" s="15">
        <v>1.282E7</v>
      </c>
      <c r="CO1499" s="15">
        <v>1.212E7</v>
      </c>
      <c r="CP1499" s="15">
        <v>1.061E7</v>
      </c>
      <c r="CQ1499" s="15">
        <v>262440.0</v>
      </c>
      <c r="CR1499" s="15">
        <v>321800.0</v>
      </c>
      <c r="CS1499" s="15">
        <v>285440.0</v>
      </c>
      <c r="CT1499" s="15">
        <v>298510.0</v>
      </c>
      <c r="CU1499" s="15">
        <v>267790.0</v>
      </c>
      <c r="CV1499" s="15">
        <v>1980000.0</v>
      </c>
      <c r="CW1499" s="15">
        <v>18890.0</v>
      </c>
      <c r="CX1499" s="15">
        <v>0.0</v>
      </c>
      <c r="CY1499" s="15">
        <v>0.0</v>
      </c>
      <c r="CZ1499" s="15">
        <v>0.0</v>
      </c>
      <c r="DA1499" s="15">
        <v>0.0</v>
      </c>
      <c r="DB1499" s="15">
        <v>1980000.0</v>
      </c>
      <c r="DC1499" s="15">
        <v>1880000.0</v>
      </c>
      <c r="DD1499" s="15">
        <v>1930000.0</v>
      </c>
      <c r="DE1499" s="15">
        <v>1420000.0</v>
      </c>
      <c r="DF1499" s="15">
        <v>1.238E7</v>
      </c>
      <c r="DG1499" s="15">
        <v>1.149E7</v>
      </c>
      <c r="DH1499" s="15">
        <v>1.174E7</v>
      </c>
      <c r="DI1499" s="15">
        <v>1.186E7</v>
      </c>
      <c r="DJ1499" s="15">
        <v>1.059E7</v>
      </c>
      <c r="DK1499" s="15">
        <v>6390.0</v>
      </c>
      <c r="DL1499" s="15">
        <v>4320.0</v>
      </c>
      <c r="DM1499" s="15">
        <v>162840.0</v>
      </c>
      <c r="DN1499" s="15">
        <v>320850.0</v>
      </c>
      <c r="DO1499" s="15">
        <v>139040.0</v>
      </c>
      <c r="DP1499" s="15">
        <v>1.026E7</v>
      </c>
      <c r="DQ1499" s="15">
        <v>9410000.0</v>
      </c>
      <c r="DR1499" s="15">
        <v>9570000.0</v>
      </c>
      <c r="DS1499" s="15">
        <v>1.013E7</v>
      </c>
      <c r="DT1499" s="15">
        <v>9150000.0</v>
      </c>
      <c r="DU1499" s="16">
        <v>0.0</v>
      </c>
      <c r="DV1499" s="15">
        <v>0.0</v>
      </c>
      <c r="DW1499" s="15">
        <v>0.0</v>
      </c>
      <c r="DX1499" s="16">
        <v>0.0</v>
      </c>
      <c r="DY1499" s="16">
        <v>0.0</v>
      </c>
      <c r="DZ1499" s="15">
        <v>1740000.0</v>
      </c>
      <c r="EA1499" s="15">
        <v>2030000.0</v>
      </c>
      <c r="EB1499" s="15">
        <v>947850.0</v>
      </c>
      <c r="EC1499" s="15">
        <v>157950.0</v>
      </c>
      <c r="ED1499" s="15">
        <v>-111980.0</v>
      </c>
      <c r="EE1499" s="17">
        <v>0.616</v>
      </c>
      <c r="EF1499" s="17">
        <v>0.58</v>
      </c>
      <c r="EG1499" s="17">
        <v>-3.214</v>
      </c>
      <c r="EH1499" s="17">
        <v>-1.02</v>
      </c>
    </row>
    <row r="1500">
      <c r="A1500" s="9">
        <f t="shared" si="2"/>
        <v>1498</v>
      </c>
      <c r="B1500" s="10" t="s">
        <v>1635</v>
      </c>
      <c r="C1500" s="15">
        <v>1.024E7</v>
      </c>
      <c r="D1500" s="15">
        <v>8930000.0</v>
      </c>
      <c r="E1500" s="15">
        <v>1.294E7</v>
      </c>
      <c r="F1500" s="15">
        <v>1.419E7</v>
      </c>
      <c r="G1500" s="15">
        <v>1.224E7</v>
      </c>
      <c r="H1500" s="15">
        <v>1.026E7</v>
      </c>
      <c r="I1500" s="15">
        <v>1.157E7</v>
      </c>
      <c r="J1500" s="15">
        <v>260000.0</v>
      </c>
      <c r="K1500" s="15">
        <v>1370000.0</v>
      </c>
      <c r="L1500" s="15">
        <v>884000.0</v>
      </c>
      <c r="M1500" s="15">
        <v>131000.0</v>
      </c>
      <c r="N1500" s="15">
        <v>-114000.0</v>
      </c>
      <c r="O1500" s="15">
        <v>289000.0</v>
      </c>
      <c r="P1500" s="15">
        <v>336000.0</v>
      </c>
      <c r="Q1500" s="15">
        <v>320000.0</v>
      </c>
      <c r="R1500" s="15">
        <v>255000.0</v>
      </c>
      <c r="S1500" s="15">
        <v>415000.0</v>
      </c>
      <c r="T1500" s="15">
        <v>0.0</v>
      </c>
      <c r="U1500" s="15">
        <v>0.0</v>
      </c>
      <c r="V1500" s="15">
        <v>0.0</v>
      </c>
      <c r="W1500" s="15">
        <v>0.0</v>
      </c>
      <c r="X1500" s="15">
        <v>0.0</v>
      </c>
      <c r="Y1500" s="15">
        <v>-287000.0</v>
      </c>
      <c r="Z1500" s="15">
        <v>963000.0</v>
      </c>
      <c r="AA1500" s="15">
        <v>-27000.0</v>
      </c>
      <c r="AB1500" s="15">
        <v>-275000.0</v>
      </c>
      <c r="AC1500" s="15">
        <v>-711000.0</v>
      </c>
      <c r="AD1500" s="15">
        <v>-452000.0</v>
      </c>
      <c r="AE1500" s="15">
        <v>812000.0</v>
      </c>
      <c r="AF1500" s="15">
        <v>301000.0</v>
      </c>
      <c r="AG1500" s="15">
        <v>-416000.0</v>
      </c>
      <c r="AH1500" s="15">
        <v>-1460000.0</v>
      </c>
      <c r="AI1500" s="15">
        <v>587000.0</v>
      </c>
      <c r="AJ1500" s="15">
        <v>1560000.0</v>
      </c>
      <c r="AK1500" s="15">
        <v>1070000.0</v>
      </c>
      <c r="AL1500" s="15">
        <v>383000.0</v>
      </c>
      <c r="AM1500" s="15">
        <v>18000.0</v>
      </c>
      <c r="AN1500" s="15">
        <v>-630000.0</v>
      </c>
      <c r="AO1500" s="15">
        <v>1120000.0</v>
      </c>
      <c r="AP1500" s="15">
        <v>387000.0</v>
      </c>
      <c r="AQ1500" s="15">
        <v>-440000.0</v>
      </c>
      <c r="AR1500" s="15">
        <v>-1640000.0</v>
      </c>
      <c r="AS1500" s="15">
        <v>682000.0</v>
      </c>
      <c r="AT1500" s="15">
        <v>938000.0</v>
      </c>
      <c r="AU1500" s="15">
        <v>826000.0</v>
      </c>
      <c r="AV1500" s="15">
        <v>727000.0</v>
      </c>
      <c r="AW1500" s="15">
        <v>359000.0</v>
      </c>
      <c r="AX1500" s="15">
        <v>-1250000.0</v>
      </c>
      <c r="AY1500" s="15">
        <v>-1000000.0</v>
      </c>
      <c r="AZ1500" s="15">
        <v>-505000.0</v>
      </c>
      <c r="BA1500" s="15">
        <v>-306000.0</v>
      </c>
      <c r="BB1500" s="15">
        <v>-500000.0</v>
      </c>
      <c r="BC1500" s="15">
        <v>-35000.0</v>
      </c>
      <c r="BD1500" s="15">
        <v>-36000.0</v>
      </c>
      <c r="BE1500" s="15">
        <v>-35000.0</v>
      </c>
      <c r="BF1500" s="15">
        <v>-31000.0</v>
      </c>
      <c r="BG1500" s="15">
        <v>-29000.0</v>
      </c>
      <c r="BH1500" s="15">
        <v>751000.0</v>
      </c>
      <c r="BI1500" s="15">
        <v>1000000.0</v>
      </c>
      <c r="BJ1500" s="15">
        <v>1560000.0</v>
      </c>
      <c r="BK1500" s="15">
        <v>1520000.0</v>
      </c>
      <c r="BL1500" s="15">
        <v>755000.0</v>
      </c>
      <c r="BM1500" s="15">
        <v>1180000.0</v>
      </c>
      <c r="BN1500" s="15">
        <v>1660000.0</v>
      </c>
      <c r="BO1500" s="15">
        <v>1380000.0</v>
      </c>
      <c r="BP1500" s="15">
        <v>1250000.0</v>
      </c>
      <c r="BQ1500" s="15">
        <v>1060000.0</v>
      </c>
      <c r="BR1500" s="15">
        <v>1790000.0</v>
      </c>
      <c r="BS1500" s="15">
        <v>2090000.0</v>
      </c>
      <c r="BT1500" s="15">
        <v>1740000.0</v>
      </c>
      <c r="BU1500" s="15">
        <v>1570000.0</v>
      </c>
      <c r="BV1500" s="15">
        <v>2070000.0</v>
      </c>
      <c r="BW1500" s="15">
        <v>3810000.0</v>
      </c>
      <c r="BX1500" s="15">
        <v>4830000.0</v>
      </c>
      <c r="BY1500" s="15">
        <v>4760000.0</v>
      </c>
      <c r="BZ1500" s="15">
        <v>4360000.0</v>
      </c>
      <c r="CA1500" s="15">
        <v>3920000.0</v>
      </c>
      <c r="CB1500" s="15">
        <v>5680000.0</v>
      </c>
      <c r="CC1500" s="15">
        <v>4870000.0</v>
      </c>
      <c r="CD1500" s="15">
        <v>4280000.0</v>
      </c>
      <c r="CE1500" s="15">
        <v>3980000.0</v>
      </c>
      <c r="CF1500" s="15">
        <v>4410000.0</v>
      </c>
      <c r="CG1500" s="15">
        <v>4000.0</v>
      </c>
      <c r="CH1500" s="15">
        <v>3000.0</v>
      </c>
      <c r="CI1500" s="15">
        <v>3000.0</v>
      </c>
      <c r="CJ1500" s="15">
        <v>0.0</v>
      </c>
      <c r="CK1500" s="15">
        <v>0.0</v>
      </c>
      <c r="CL1500" s="15">
        <v>1.161E7</v>
      </c>
      <c r="CM1500" s="15">
        <v>1.098E7</v>
      </c>
      <c r="CN1500" s="15">
        <v>9860000.0</v>
      </c>
      <c r="CO1500" s="15">
        <v>9160000.0</v>
      </c>
      <c r="CP1500" s="15">
        <v>9170000.0</v>
      </c>
      <c r="CQ1500" s="15">
        <v>1980000.0</v>
      </c>
      <c r="CR1500" s="15">
        <v>2490000.0</v>
      </c>
      <c r="CS1500" s="15">
        <v>2170000.0</v>
      </c>
      <c r="CT1500" s="15">
        <v>1600000.0</v>
      </c>
      <c r="CU1500" s="15">
        <v>1390000.0</v>
      </c>
      <c r="CV1500" s="15">
        <v>2630000.0</v>
      </c>
      <c r="CW1500" s="15">
        <v>74000.0</v>
      </c>
      <c r="CX1500" s="15">
        <v>65000.0</v>
      </c>
      <c r="CY1500" s="15">
        <v>3000.0</v>
      </c>
      <c r="CZ1500" s="15">
        <v>50000.0</v>
      </c>
      <c r="DA1500" s="15">
        <v>45000.0</v>
      </c>
      <c r="DB1500" s="15">
        <v>2630000.0</v>
      </c>
      <c r="DC1500" s="15">
        <v>3200000.0</v>
      </c>
      <c r="DD1500" s="15">
        <v>2770000.0</v>
      </c>
      <c r="DE1500" s="15">
        <v>2330000.0</v>
      </c>
      <c r="DF1500" s="15">
        <v>7520000.0</v>
      </c>
      <c r="DG1500" s="15">
        <v>6780000.0</v>
      </c>
      <c r="DH1500" s="15">
        <v>6540000.0</v>
      </c>
      <c r="DI1500" s="15">
        <v>6890000.0</v>
      </c>
      <c r="DJ1500" s="15">
        <v>6730000.0</v>
      </c>
      <c r="DK1500" s="15">
        <v>1460000.0</v>
      </c>
      <c r="DL1500" s="15">
        <v>526000.0</v>
      </c>
      <c r="DM1500" s="15">
        <v>498000.0</v>
      </c>
      <c r="DN1500" s="15">
        <v>543000.0</v>
      </c>
      <c r="DO1500" s="15">
        <v>544000.0</v>
      </c>
      <c r="DP1500" s="15">
        <v>3800000.0</v>
      </c>
      <c r="DQ1500" s="15">
        <v>2320000.0</v>
      </c>
      <c r="DR1500" s="15">
        <v>2700000.0</v>
      </c>
      <c r="DS1500" s="15">
        <v>2980000.0</v>
      </c>
      <c r="DT1500" s="15">
        <v>3090000.0</v>
      </c>
      <c r="DU1500" s="16">
        <v>0.0</v>
      </c>
      <c r="DV1500" s="15">
        <v>0.0</v>
      </c>
      <c r="DW1500" s="15">
        <v>0.0</v>
      </c>
      <c r="DX1500" s="15">
        <v>0.0</v>
      </c>
      <c r="DY1500" s="15">
        <v>0.0</v>
      </c>
      <c r="DZ1500" s="15">
        <v>4090000.0</v>
      </c>
      <c r="EA1500" s="15">
        <v>4200000.0</v>
      </c>
      <c r="EB1500" s="15">
        <v>3320000.0</v>
      </c>
      <c r="EC1500" s="15">
        <v>2270000.0</v>
      </c>
      <c r="ED1500" s="15">
        <v>2440000.0</v>
      </c>
      <c r="EE1500" s="17">
        <v>0.336</v>
      </c>
      <c r="EF1500" s="17">
        <v>0.336</v>
      </c>
      <c r="EG1500" s="17">
        <v>0.17</v>
      </c>
      <c r="EH1500" s="17">
        <v>0.256</v>
      </c>
    </row>
    <row r="1501">
      <c r="A1501" s="9">
        <f t="shared" si="2"/>
        <v>1499</v>
      </c>
      <c r="B1501" s="22" t="s">
        <v>1636</v>
      </c>
      <c r="C1501" s="11">
        <v>28000.0</v>
      </c>
      <c r="D1501" s="11">
        <v>28000.0</v>
      </c>
      <c r="E1501" s="12"/>
      <c r="F1501" s="12"/>
      <c r="G1501" s="12"/>
      <c r="H1501" s="12"/>
      <c r="I1501" s="12"/>
      <c r="J1501" s="11">
        <v>-2360.0</v>
      </c>
      <c r="K1501" s="11">
        <v>-2430.0</v>
      </c>
      <c r="L1501" s="11">
        <v>-1480.0</v>
      </c>
      <c r="M1501" s="11">
        <v>-698.0</v>
      </c>
      <c r="N1501" s="11">
        <v>-699.0</v>
      </c>
      <c r="O1501" s="11">
        <v>28870.0</v>
      </c>
      <c r="P1501" s="11">
        <v>18560.0</v>
      </c>
      <c r="Q1501" s="11">
        <v>32580.0</v>
      </c>
      <c r="R1501" s="11">
        <v>52070.0</v>
      </c>
      <c r="S1501" s="11">
        <v>36810.0</v>
      </c>
      <c r="T1501" s="11">
        <v>24090.0</v>
      </c>
      <c r="U1501" s="11">
        <v>15730.0</v>
      </c>
      <c r="V1501" s="11">
        <v>26420.0</v>
      </c>
      <c r="W1501" s="11">
        <v>42490.0</v>
      </c>
      <c r="X1501" s="11">
        <v>31310.0</v>
      </c>
      <c r="Y1501" s="12"/>
      <c r="Z1501" s="12"/>
      <c r="AA1501" s="12"/>
      <c r="AB1501" s="12"/>
      <c r="AC1501" s="12"/>
      <c r="AD1501" s="11">
        <v>718450.0</v>
      </c>
      <c r="AE1501" s="11">
        <v>-21140.0</v>
      </c>
      <c r="AF1501" s="11">
        <v>-33150.0</v>
      </c>
      <c r="AG1501" s="11">
        <v>-52760.0</v>
      </c>
      <c r="AH1501" s="11">
        <v>-37480.0</v>
      </c>
      <c r="AI1501" s="11">
        <v>-28870.0</v>
      </c>
      <c r="AJ1501" s="11">
        <v>-18560.0</v>
      </c>
      <c r="AK1501" s="11">
        <v>-32580.0</v>
      </c>
      <c r="AL1501" s="11">
        <v>-52070.0</v>
      </c>
      <c r="AM1501" s="11">
        <v>-36810.0</v>
      </c>
      <c r="AN1501" s="11">
        <v>668630.0</v>
      </c>
      <c r="AO1501" s="11">
        <v>-21140.0</v>
      </c>
      <c r="AP1501" s="11">
        <v>-33150.0</v>
      </c>
      <c r="AQ1501" s="11">
        <v>-52760.0</v>
      </c>
      <c r="AR1501" s="11">
        <v>-37480.0</v>
      </c>
      <c r="AS1501" s="11">
        <v>-18270.0</v>
      </c>
      <c r="AT1501" s="11">
        <v>-16540.0</v>
      </c>
      <c r="AU1501" s="11">
        <v>-33650.0</v>
      </c>
      <c r="AV1501" s="11">
        <v>-46020.0</v>
      </c>
      <c r="AW1501" s="11">
        <v>-33310.0</v>
      </c>
      <c r="AX1501" s="11">
        <v>-204.0</v>
      </c>
      <c r="AY1501" s="11">
        <v>-122.0</v>
      </c>
      <c r="AZ1501" s="11">
        <v>-1410.0</v>
      </c>
      <c r="BA1501" s="11">
        <v>-13910.0</v>
      </c>
      <c r="BB1501" s="11">
        <v>-10390.0</v>
      </c>
      <c r="BC1501" s="12"/>
      <c r="BD1501" s="12"/>
      <c r="BE1501" s="12"/>
      <c r="BF1501" s="12"/>
      <c r="BG1501" s="12"/>
      <c r="BH1501" s="11">
        <v>714590.0</v>
      </c>
      <c r="BI1501" s="11">
        <v>15820.0</v>
      </c>
      <c r="BJ1501" s="11">
        <v>31770.0</v>
      </c>
      <c r="BK1501" s="11">
        <v>34320.0</v>
      </c>
      <c r="BL1501" s="11">
        <v>91050.0</v>
      </c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1">
        <v>716260.0</v>
      </c>
      <c r="BX1501" s="11">
        <v>17020.0</v>
      </c>
      <c r="BY1501" s="11">
        <v>33330.0</v>
      </c>
      <c r="BZ1501" s="11">
        <v>36930.0</v>
      </c>
      <c r="CA1501" s="11">
        <v>93040.0</v>
      </c>
      <c r="CB1501" s="11">
        <v>25170.0</v>
      </c>
      <c r="CC1501" s="11">
        <v>27330.0</v>
      </c>
      <c r="CD1501" s="11">
        <v>29640.0</v>
      </c>
      <c r="CE1501" s="11">
        <v>30120.0</v>
      </c>
      <c r="CF1501" s="11">
        <v>16320.0</v>
      </c>
      <c r="CG1501" s="12"/>
      <c r="CH1501" s="12"/>
      <c r="CI1501" s="12"/>
      <c r="CJ1501" s="12"/>
      <c r="CK1501" s="12"/>
      <c r="CL1501" s="11">
        <v>817320.0</v>
      </c>
      <c r="CM1501" s="11">
        <v>44350.0</v>
      </c>
      <c r="CN1501" s="11">
        <v>62970.0</v>
      </c>
      <c r="CO1501" s="11">
        <v>67050.0</v>
      </c>
      <c r="CP1501" s="11">
        <v>109360.0</v>
      </c>
      <c r="CQ1501" s="11">
        <v>2150.0</v>
      </c>
      <c r="CR1501" s="11">
        <v>1650.0</v>
      </c>
      <c r="CS1501" s="11">
        <v>1730.0</v>
      </c>
      <c r="CT1501" s="12"/>
      <c r="CU1501" s="12"/>
      <c r="CV1501" s="11">
        <v>60190.0</v>
      </c>
      <c r="CW1501" s="12"/>
      <c r="CX1501" s="12"/>
      <c r="CY1501" s="12"/>
      <c r="CZ1501" s="12"/>
      <c r="DA1501" s="12"/>
      <c r="DB1501" s="11">
        <v>60190.0</v>
      </c>
      <c r="DC1501" s="11">
        <v>2940.0</v>
      </c>
      <c r="DD1501" s="11">
        <v>2790.0</v>
      </c>
      <c r="DE1501" s="11">
        <v>7960.0</v>
      </c>
      <c r="DF1501" s="11">
        <v>61690.0</v>
      </c>
      <c r="DG1501" s="11">
        <v>2950.0</v>
      </c>
      <c r="DH1501" s="11">
        <v>2810.0</v>
      </c>
      <c r="DI1501" s="11">
        <v>7990.0</v>
      </c>
      <c r="DJ1501" s="11">
        <v>6310.0</v>
      </c>
      <c r="DK1501" s="11">
        <v>75000.0</v>
      </c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3"/>
      <c r="DV1501" s="12"/>
      <c r="DW1501" s="12"/>
      <c r="DX1501" s="13"/>
      <c r="DY1501" s="13"/>
      <c r="DZ1501" s="11">
        <v>755630.0</v>
      </c>
      <c r="EA1501" s="11">
        <v>41400.0</v>
      </c>
      <c r="EB1501" s="11">
        <v>60160.0</v>
      </c>
      <c r="EC1501" s="11">
        <v>59060.0</v>
      </c>
      <c r="ED1501" s="11">
        <v>103050.0</v>
      </c>
      <c r="EE1501" s="14">
        <v>0.0</v>
      </c>
      <c r="EF1501" s="14">
        <v>0.0</v>
      </c>
      <c r="EG1501" s="14">
        <v>-1.0</v>
      </c>
      <c r="EH1501" s="14">
        <v>24.3</v>
      </c>
    </row>
    <row r="1502">
      <c r="A1502" s="9">
        <f t="shared" si="2"/>
        <v>1500</v>
      </c>
      <c r="B1502" s="22" t="s">
        <v>1637</v>
      </c>
      <c r="C1502" s="11">
        <v>19270.0</v>
      </c>
      <c r="D1502" s="11">
        <v>35110.0</v>
      </c>
      <c r="E1502" s="11">
        <v>6830.0</v>
      </c>
      <c r="F1502" s="12"/>
      <c r="G1502" s="11">
        <v>311.0</v>
      </c>
      <c r="H1502" s="11">
        <v>1800.0</v>
      </c>
      <c r="I1502" s="11">
        <v>15580.0</v>
      </c>
      <c r="J1502" s="12"/>
      <c r="K1502" s="11">
        <v>-586.0</v>
      </c>
      <c r="L1502" s="12"/>
      <c r="M1502" s="12"/>
      <c r="N1502" s="12"/>
      <c r="O1502" s="11">
        <v>49220.0</v>
      </c>
      <c r="P1502" s="11">
        <v>31450.0</v>
      </c>
      <c r="Q1502" s="11">
        <v>32240.0</v>
      </c>
      <c r="R1502" s="11">
        <v>25760.0</v>
      </c>
      <c r="S1502" s="11">
        <v>23900.0</v>
      </c>
      <c r="T1502" s="11">
        <v>38850.0</v>
      </c>
      <c r="U1502" s="11">
        <v>23630.0</v>
      </c>
      <c r="V1502" s="11">
        <v>25570.0</v>
      </c>
      <c r="W1502" s="11">
        <v>19830.0</v>
      </c>
      <c r="X1502" s="11">
        <v>15150.0</v>
      </c>
      <c r="Y1502" s="12"/>
      <c r="Z1502" s="11">
        <v>-1600.0</v>
      </c>
      <c r="AA1502" s="12"/>
      <c r="AB1502" s="12"/>
      <c r="AC1502" s="12"/>
      <c r="AD1502" s="11">
        <v>-41620.0</v>
      </c>
      <c r="AE1502" s="11">
        <v>-34520.0</v>
      </c>
      <c r="AF1502" s="11">
        <v>-30700.0</v>
      </c>
      <c r="AG1502" s="11">
        <v>-23000.0</v>
      </c>
      <c r="AH1502" s="11">
        <v>-15750.0</v>
      </c>
      <c r="AI1502" s="11">
        <v>-42390.0</v>
      </c>
      <c r="AJ1502" s="11">
        <v>-31450.0</v>
      </c>
      <c r="AK1502" s="11">
        <v>-31930.0</v>
      </c>
      <c r="AL1502" s="11">
        <v>-23950.0</v>
      </c>
      <c r="AM1502" s="11">
        <v>-8320.0</v>
      </c>
      <c r="AN1502" s="11">
        <v>-41600.0</v>
      </c>
      <c r="AO1502" s="11">
        <v>-34500.0</v>
      </c>
      <c r="AP1502" s="11">
        <v>-30700.0</v>
      </c>
      <c r="AQ1502" s="11">
        <v>-23000.0</v>
      </c>
      <c r="AR1502" s="11">
        <v>-15750.0</v>
      </c>
      <c r="AS1502" s="11">
        <v>-4630.0</v>
      </c>
      <c r="AT1502" s="11">
        <v>-34720.0</v>
      </c>
      <c r="AU1502" s="11">
        <v>-28730.0</v>
      </c>
      <c r="AV1502" s="11">
        <v>-19570.0</v>
      </c>
      <c r="AW1502" s="11">
        <v>-18100.0</v>
      </c>
      <c r="AX1502" s="11">
        <v>-1240.0</v>
      </c>
      <c r="AY1502" s="11">
        <v>-507.0</v>
      </c>
      <c r="AZ1502" s="11">
        <v>-315.0</v>
      </c>
      <c r="BA1502" s="11">
        <v>-279.0</v>
      </c>
      <c r="BB1502" s="11">
        <v>-551.0</v>
      </c>
      <c r="BC1502" s="12"/>
      <c r="BD1502" s="12"/>
      <c r="BE1502" s="12"/>
      <c r="BF1502" s="12"/>
      <c r="BG1502" s="12"/>
      <c r="BH1502" s="11">
        <v>141360.0</v>
      </c>
      <c r="BI1502" s="11">
        <v>119310.0</v>
      </c>
      <c r="BJ1502" s="11">
        <v>43670.0</v>
      </c>
      <c r="BK1502" s="11">
        <v>64150.0</v>
      </c>
      <c r="BL1502" s="11">
        <v>58650.0</v>
      </c>
      <c r="BM1502" s="11">
        <v>813.0</v>
      </c>
      <c r="BN1502" s="11">
        <v>151.0</v>
      </c>
      <c r="BO1502" s="11">
        <v>438.0</v>
      </c>
      <c r="BP1502" s="11">
        <v>200.0</v>
      </c>
      <c r="BQ1502" s="11">
        <v>315.0</v>
      </c>
      <c r="BR1502" s="12"/>
      <c r="BS1502" s="12"/>
      <c r="BT1502" s="12"/>
      <c r="BU1502" s="12"/>
      <c r="BV1502" s="12"/>
      <c r="BW1502" s="11">
        <v>144870.0</v>
      </c>
      <c r="BX1502" s="11">
        <v>121330.0</v>
      </c>
      <c r="BY1502" s="11">
        <v>44820.0</v>
      </c>
      <c r="BZ1502" s="11">
        <v>65680.0</v>
      </c>
      <c r="CA1502" s="11">
        <v>60870.0</v>
      </c>
      <c r="CB1502" s="11">
        <v>2590.0</v>
      </c>
      <c r="CC1502" s="11">
        <v>991.0</v>
      </c>
      <c r="CD1502" s="11">
        <v>1070.0</v>
      </c>
      <c r="CE1502" s="11">
        <v>1400.0</v>
      </c>
      <c r="CF1502" s="11">
        <v>1990.0</v>
      </c>
      <c r="CG1502" s="12"/>
      <c r="CH1502" s="12"/>
      <c r="CI1502" s="12"/>
      <c r="CJ1502" s="12"/>
      <c r="CK1502" s="12"/>
      <c r="CL1502" s="11">
        <v>147700.0</v>
      </c>
      <c r="CM1502" s="11">
        <v>122430.0</v>
      </c>
      <c r="CN1502" s="11">
        <v>46120.0</v>
      </c>
      <c r="CO1502" s="11">
        <v>67490.0</v>
      </c>
      <c r="CP1502" s="11">
        <v>63950.0</v>
      </c>
      <c r="CQ1502" s="11">
        <v>2470.0</v>
      </c>
      <c r="CR1502" s="11">
        <v>665.0</v>
      </c>
      <c r="CS1502" s="11">
        <v>1250.0</v>
      </c>
      <c r="CT1502" s="11">
        <v>1460.0</v>
      </c>
      <c r="CU1502" s="11">
        <v>1090.0</v>
      </c>
      <c r="CV1502" s="11">
        <v>43380.0</v>
      </c>
      <c r="CW1502" s="11">
        <v>168.0</v>
      </c>
      <c r="CX1502" s="12"/>
      <c r="CY1502" s="12"/>
      <c r="CZ1502" s="12"/>
      <c r="DA1502" s="12"/>
      <c r="DB1502" s="11">
        <v>43380.0</v>
      </c>
      <c r="DC1502" s="11">
        <v>4120.0</v>
      </c>
      <c r="DD1502" s="11">
        <v>4080.0</v>
      </c>
      <c r="DE1502" s="11">
        <v>3520.0</v>
      </c>
      <c r="DF1502" s="11">
        <v>55720.0</v>
      </c>
      <c r="DG1502" s="11">
        <v>19130.0</v>
      </c>
      <c r="DH1502" s="11">
        <v>10190.0</v>
      </c>
      <c r="DI1502" s="11">
        <v>3590.0</v>
      </c>
      <c r="DJ1502" s="11">
        <v>2920.0</v>
      </c>
      <c r="DK1502" s="12"/>
      <c r="DL1502" s="12"/>
      <c r="DM1502" s="12"/>
      <c r="DN1502" s="12"/>
      <c r="DO1502" s="12"/>
      <c r="DP1502" s="11">
        <v>11630.0</v>
      </c>
      <c r="DQ1502" s="11">
        <v>15010.0</v>
      </c>
      <c r="DR1502" s="11">
        <v>6100.0</v>
      </c>
      <c r="DS1502" s="12"/>
      <c r="DT1502" s="12"/>
      <c r="DU1502" s="11">
        <v>7730.0</v>
      </c>
      <c r="DV1502" s="11">
        <v>7730.0</v>
      </c>
      <c r="DW1502" s="12"/>
      <c r="DX1502" s="13"/>
      <c r="DY1502" s="13"/>
      <c r="DZ1502" s="11">
        <v>91980.0</v>
      </c>
      <c r="EA1502" s="11">
        <v>103300.0</v>
      </c>
      <c r="EB1502" s="11">
        <v>35930.0</v>
      </c>
      <c r="EC1502" s="11">
        <v>63900.0</v>
      </c>
      <c r="ED1502" s="11">
        <v>61030.0</v>
      </c>
      <c r="EE1502" s="23"/>
      <c r="EF1502" s="23"/>
      <c r="EG1502" s="14">
        <v>1.0</v>
      </c>
      <c r="EH1502" s="14">
        <v>0.437</v>
      </c>
    </row>
    <row r="1503">
      <c r="A1503" s="9">
        <f t="shared" si="2"/>
        <v>1501</v>
      </c>
      <c r="B1503" s="22" t="s">
        <v>1638</v>
      </c>
      <c r="C1503" s="11">
        <v>56960.0</v>
      </c>
      <c r="D1503" s="11">
        <v>14680.0</v>
      </c>
      <c r="E1503" s="11">
        <v>2720.0</v>
      </c>
      <c r="F1503" s="11">
        <v>2420.0</v>
      </c>
      <c r="G1503" s="11">
        <v>1560.0</v>
      </c>
      <c r="H1503" s="11">
        <v>1080.0</v>
      </c>
      <c r="I1503" s="12"/>
      <c r="J1503" s="11">
        <v>41.0</v>
      </c>
      <c r="K1503" s="11">
        <v>2100.0</v>
      </c>
      <c r="L1503" s="11">
        <v>1380.0</v>
      </c>
      <c r="M1503" s="11">
        <v>951.0</v>
      </c>
      <c r="N1503" s="12"/>
      <c r="O1503" s="11">
        <v>122420.0</v>
      </c>
      <c r="P1503" s="11">
        <v>61450.0</v>
      </c>
      <c r="Q1503" s="11">
        <v>28000.0</v>
      </c>
      <c r="R1503" s="11">
        <v>14180.0</v>
      </c>
      <c r="S1503" s="12"/>
      <c r="T1503" s="11">
        <v>60440.0</v>
      </c>
      <c r="U1503" s="11">
        <v>40650.0</v>
      </c>
      <c r="V1503" s="11">
        <v>20170.0</v>
      </c>
      <c r="W1503" s="11">
        <v>10240.0</v>
      </c>
      <c r="X1503" s="12"/>
      <c r="Y1503" s="11">
        <v>-121690.0</v>
      </c>
      <c r="Z1503" s="11">
        <v>196.0</v>
      </c>
      <c r="AA1503" s="11">
        <v>-26720.0</v>
      </c>
      <c r="AB1503" s="11">
        <v>-13210.0</v>
      </c>
      <c r="AC1503" s="12"/>
      <c r="AD1503" s="11">
        <v>-126040.0</v>
      </c>
      <c r="AE1503" s="11">
        <v>-60080.0</v>
      </c>
      <c r="AF1503" s="11">
        <v>-26550.0</v>
      </c>
      <c r="AG1503" s="11">
        <v>-13210.0</v>
      </c>
      <c r="AH1503" s="12"/>
      <c r="AI1503" s="11">
        <v>-121300.0</v>
      </c>
      <c r="AJ1503" s="11">
        <v>-59020.0</v>
      </c>
      <c r="AK1503" s="11">
        <v>-26450.0</v>
      </c>
      <c r="AL1503" s="11">
        <v>-13120.0</v>
      </c>
      <c r="AM1503" s="12"/>
      <c r="AN1503" s="11">
        <v>-125580.0</v>
      </c>
      <c r="AO1503" s="11">
        <v>-60080.0</v>
      </c>
      <c r="AP1503" s="11">
        <v>-26550.0</v>
      </c>
      <c r="AQ1503" s="11">
        <v>-13210.0</v>
      </c>
      <c r="AR1503" s="12"/>
      <c r="AS1503" s="11">
        <v>-104350.0</v>
      </c>
      <c r="AT1503" s="11">
        <v>-56280.0</v>
      </c>
      <c r="AU1503" s="11">
        <v>-24660.0</v>
      </c>
      <c r="AV1503" s="11">
        <v>-16090.0</v>
      </c>
      <c r="AW1503" s="12"/>
      <c r="AX1503" s="11">
        <v>-1110.0</v>
      </c>
      <c r="AY1503" s="11">
        <v>-1510.0</v>
      </c>
      <c r="AZ1503" s="11">
        <v>-700.0</v>
      </c>
      <c r="BA1503" s="11">
        <v>-35.0</v>
      </c>
      <c r="BB1503" s="12"/>
      <c r="BC1503" s="12"/>
      <c r="BD1503" s="12"/>
      <c r="BE1503" s="12"/>
      <c r="BF1503" s="12"/>
      <c r="BG1503" s="12"/>
      <c r="BH1503" s="11">
        <v>75550.0</v>
      </c>
      <c r="BI1503" s="11">
        <v>112630.0</v>
      </c>
      <c r="BJ1503" s="11">
        <v>42050.0</v>
      </c>
      <c r="BK1503" s="11">
        <v>32270.0</v>
      </c>
      <c r="BL1503" s="12"/>
      <c r="BM1503" s="11">
        <v>5640.0</v>
      </c>
      <c r="BN1503" s="11">
        <v>2870.0</v>
      </c>
      <c r="BO1503" s="11">
        <v>1200.0</v>
      </c>
      <c r="BP1503" s="11">
        <v>101.0</v>
      </c>
      <c r="BQ1503" s="12"/>
      <c r="BR1503" s="11">
        <v>2180.0</v>
      </c>
      <c r="BS1503" s="12"/>
      <c r="BT1503" s="12"/>
      <c r="BU1503" s="12"/>
      <c r="BV1503" s="12"/>
      <c r="BW1503" s="11">
        <v>87480.0</v>
      </c>
      <c r="BX1503" s="11">
        <v>117900.0</v>
      </c>
      <c r="BY1503" s="11">
        <v>44050.0</v>
      </c>
      <c r="BZ1503" s="11">
        <v>33170.0</v>
      </c>
      <c r="CA1503" s="12"/>
      <c r="CB1503" s="11">
        <v>7850.0</v>
      </c>
      <c r="CC1503" s="11">
        <v>2030.0</v>
      </c>
      <c r="CD1503" s="11">
        <v>788.0</v>
      </c>
      <c r="CE1503" s="11">
        <v>312.0</v>
      </c>
      <c r="CF1503" s="12"/>
      <c r="CG1503" s="12"/>
      <c r="CH1503" s="12"/>
      <c r="CI1503" s="12"/>
      <c r="CJ1503" s="12"/>
      <c r="CK1503" s="12"/>
      <c r="CL1503" s="11">
        <v>108990.0</v>
      </c>
      <c r="CM1503" s="11">
        <v>120030.0</v>
      </c>
      <c r="CN1503" s="11">
        <v>45000.0</v>
      </c>
      <c r="CO1503" s="11">
        <v>33530.0</v>
      </c>
      <c r="CP1503" s="12"/>
      <c r="CQ1503" s="11">
        <v>5600.0</v>
      </c>
      <c r="CR1503" s="11">
        <v>866.0</v>
      </c>
      <c r="CS1503" s="11">
        <v>1980.0</v>
      </c>
      <c r="CT1503" s="11">
        <v>1320.0</v>
      </c>
      <c r="CU1503" s="12"/>
      <c r="CV1503" s="11">
        <v>27340.0</v>
      </c>
      <c r="CW1503" s="12"/>
      <c r="CX1503" s="12"/>
      <c r="CY1503" s="12"/>
      <c r="CZ1503" s="12"/>
      <c r="DA1503" s="12"/>
      <c r="DB1503" s="11">
        <v>27340.0</v>
      </c>
      <c r="DC1503" s="11">
        <v>10170.0</v>
      </c>
      <c r="DD1503" s="11">
        <v>4860.0</v>
      </c>
      <c r="DE1503" s="11">
        <v>2530.0</v>
      </c>
      <c r="DF1503" s="11">
        <v>94550.0</v>
      </c>
      <c r="DG1503" s="11">
        <v>44620.0</v>
      </c>
      <c r="DH1503" s="11">
        <v>4950.0</v>
      </c>
      <c r="DI1503" s="11">
        <v>2570.0</v>
      </c>
      <c r="DJ1503" s="12"/>
      <c r="DK1503" s="11">
        <v>13230.0</v>
      </c>
      <c r="DL1503" s="12"/>
      <c r="DM1503" s="12"/>
      <c r="DN1503" s="12"/>
      <c r="DO1503" s="12"/>
      <c r="DP1503" s="11">
        <v>58310.0</v>
      </c>
      <c r="DQ1503" s="11">
        <v>31890.0</v>
      </c>
      <c r="DR1503" s="12"/>
      <c r="DS1503" s="12"/>
      <c r="DT1503" s="12"/>
      <c r="DU1503" s="13"/>
      <c r="DV1503" s="12"/>
      <c r="DW1503" s="11">
        <v>97880.0</v>
      </c>
      <c r="DX1503" s="11">
        <v>62900.0</v>
      </c>
      <c r="DY1503" s="13"/>
      <c r="DZ1503" s="11">
        <v>14440.0</v>
      </c>
      <c r="EA1503" s="11">
        <v>75410.0</v>
      </c>
      <c r="EB1503" s="11">
        <v>40050.0</v>
      </c>
      <c r="EC1503" s="11">
        <v>30960.0</v>
      </c>
      <c r="ED1503" s="12"/>
      <c r="EE1503" s="14">
        <v>0.347</v>
      </c>
      <c r="EF1503" s="14">
        <v>0.16</v>
      </c>
      <c r="EG1503" s="14">
        <v>0.137</v>
      </c>
      <c r="EH1503" s="14">
        <v>0.014</v>
      </c>
    </row>
    <row r="1504">
      <c r="A1504" s="9">
        <f t="shared" si="2"/>
        <v>1502</v>
      </c>
      <c r="B1504" s="22" t="s">
        <v>1639</v>
      </c>
      <c r="C1504" s="11">
        <v>58260.0</v>
      </c>
      <c r="D1504" s="11">
        <v>38290.0</v>
      </c>
      <c r="E1504" s="11">
        <v>40390.0</v>
      </c>
      <c r="F1504" s="11">
        <v>32440.0</v>
      </c>
      <c r="G1504" s="11">
        <v>26810.0</v>
      </c>
      <c r="H1504" s="11">
        <v>17950.0</v>
      </c>
      <c r="I1504" s="11">
        <v>11660.0</v>
      </c>
      <c r="J1504" s="11">
        <v>21580.0</v>
      </c>
      <c r="K1504" s="11">
        <v>16920.0</v>
      </c>
      <c r="L1504" s="11">
        <v>12480.0</v>
      </c>
      <c r="M1504" s="11">
        <v>8210.0</v>
      </c>
      <c r="N1504" s="11">
        <v>4560.0</v>
      </c>
      <c r="O1504" s="11">
        <v>30880.0</v>
      </c>
      <c r="P1504" s="11">
        <v>21800.0</v>
      </c>
      <c r="Q1504" s="11">
        <v>20370.0</v>
      </c>
      <c r="R1504" s="11">
        <v>18770.0</v>
      </c>
      <c r="S1504" s="11">
        <v>16350.0</v>
      </c>
      <c r="T1504" s="11">
        <v>2180.0</v>
      </c>
      <c r="U1504" s="11">
        <v>2130.0</v>
      </c>
      <c r="V1504" s="11">
        <v>1550.0</v>
      </c>
      <c r="W1504" s="11">
        <v>1370.0</v>
      </c>
      <c r="X1504" s="11">
        <v>1290.0</v>
      </c>
      <c r="Y1504" s="11">
        <v>-9030.0</v>
      </c>
      <c r="Z1504" s="11">
        <v>-5200.0</v>
      </c>
      <c r="AA1504" s="11">
        <v>-23280.0</v>
      </c>
      <c r="AB1504" s="11">
        <v>-14600.0</v>
      </c>
      <c r="AC1504" s="11">
        <v>-11560.0</v>
      </c>
      <c r="AD1504" s="11">
        <v>-12010.0</v>
      </c>
      <c r="AE1504" s="11">
        <v>-7950.0</v>
      </c>
      <c r="AF1504" s="11">
        <v>-26180.0</v>
      </c>
      <c r="AG1504" s="11">
        <v>-18930.0</v>
      </c>
      <c r="AH1504" s="11">
        <v>-14990.0</v>
      </c>
      <c r="AI1504" s="11">
        <v>-8710.0</v>
      </c>
      <c r="AJ1504" s="11">
        <v>-4150.0</v>
      </c>
      <c r="AK1504" s="11">
        <v>-7220.0</v>
      </c>
      <c r="AL1504" s="11">
        <v>-9690.0</v>
      </c>
      <c r="AM1504" s="11">
        <v>-11240.0</v>
      </c>
      <c r="AN1504" s="11">
        <v>-25640.0</v>
      </c>
      <c r="AO1504" s="11">
        <v>-9160.0</v>
      </c>
      <c r="AP1504" s="11">
        <v>-27420.0</v>
      </c>
      <c r="AQ1504" s="11">
        <v>-19180.0</v>
      </c>
      <c r="AR1504" s="11">
        <v>-14980.0</v>
      </c>
      <c r="AS1504" s="11">
        <v>-9710.0</v>
      </c>
      <c r="AT1504" s="11">
        <v>-9300.0</v>
      </c>
      <c r="AU1504" s="11">
        <v>-10970.0</v>
      </c>
      <c r="AV1504" s="11">
        <v>-11900.0</v>
      </c>
      <c r="AW1504" s="11">
        <v>-10770.0</v>
      </c>
      <c r="AX1504" s="11">
        <v>-403.0</v>
      </c>
      <c r="AY1504" s="11">
        <v>-199.0</v>
      </c>
      <c r="AZ1504" s="11">
        <v>-567.0</v>
      </c>
      <c r="BA1504" s="11">
        <v>-805.0</v>
      </c>
      <c r="BB1504" s="11">
        <v>-649.0</v>
      </c>
      <c r="BC1504" s="12"/>
      <c r="BD1504" s="12"/>
      <c r="BE1504" s="12"/>
      <c r="BF1504" s="12"/>
      <c r="BG1504" s="12"/>
      <c r="BH1504" s="11">
        <v>72080.0</v>
      </c>
      <c r="BI1504" s="11">
        <v>13160.0</v>
      </c>
      <c r="BJ1504" s="11">
        <v>11240.0</v>
      </c>
      <c r="BK1504" s="11">
        <v>2510.0</v>
      </c>
      <c r="BL1504" s="11">
        <v>4610.0</v>
      </c>
      <c r="BM1504" s="11">
        <v>5720.0</v>
      </c>
      <c r="BN1504" s="11">
        <v>5950.0</v>
      </c>
      <c r="BO1504" s="11">
        <v>604.0</v>
      </c>
      <c r="BP1504" s="12"/>
      <c r="BQ1504" s="12"/>
      <c r="BR1504" s="12"/>
      <c r="BS1504" s="12"/>
      <c r="BT1504" s="12"/>
      <c r="BU1504" s="12"/>
      <c r="BV1504" s="12"/>
      <c r="BW1504" s="11">
        <v>81250.0</v>
      </c>
      <c r="BX1504" s="11">
        <v>21310.0</v>
      </c>
      <c r="BY1504" s="11">
        <v>13260.0</v>
      </c>
      <c r="BZ1504" s="11">
        <v>3670.0</v>
      </c>
      <c r="CA1504" s="11">
        <v>5080.0</v>
      </c>
      <c r="CB1504" s="11">
        <v>1380.0</v>
      </c>
      <c r="CC1504" s="11">
        <v>1570.0</v>
      </c>
      <c r="CD1504" s="11">
        <v>1340.0</v>
      </c>
      <c r="CE1504" s="11">
        <v>1590.0</v>
      </c>
      <c r="CF1504" s="11">
        <v>1540.0</v>
      </c>
      <c r="CG1504" s="11">
        <v>5510.0</v>
      </c>
      <c r="CH1504" s="11">
        <v>5510.0</v>
      </c>
      <c r="CI1504" s="11">
        <v>5510.0</v>
      </c>
      <c r="CJ1504" s="11">
        <v>5510.0</v>
      </c>
      <c r="CK1504" s="11">
        <v>5510.0</v>
      </c>
      <c r="CL1504" s="11">
        <v>88310.0</v>
      </c>
      <c r="CM1504" s="11">
        <v>29310.0</v>
      </c>
      <c r="CN1504" s="11">
        <v>20780.0</v>
      </c>
      <c r="CO1504" s="11">
        <v>14630.0</v>
      </c>
      <c r="CP1504" s="11">
        <v>17150.0</v>
      </c>
      <c r="CQ1504" s="11">
        <v>1480.0</v>
      </c>
      <c r="CR1504" s="11">
        <v>1280.0</v>
      </c>
      <c r="CS1504" s="11">
        <v>1770.0</v>
      </c>
      <c r="CT1504" s="11">
        <v>2180.0</v>
      </c>
      <c r="CU1504" s="11">
        <v>1840.0</v>
      </c>
      <c r="CV1504" s="11">
        <v>5900.0</v>
      </c>
      <c r="CW1504" s="12"/>
      <c r="CX1504" s="11">
        <v>3750.0</v>
      </c>
      <c r="CY1504" s="12"/>
      <c r="CZ1504" s="11">
        <v>25860.0</v>
      </c>
      <c r="DA1504" s="11">
        <v>559.0</v>
      </c>
      <c r="DB1504" s="11">
        <v>5900.0</v>
      </c>
      <c r="DC1504" s="11">
        <v>8950.0</v>
      </c>
      <c r="DD1504" s="11">
        <v>4990.0</v>
      </c>
      <c r="DE1504" s="11">
        <v>34920.0</v>
      </c>
      <c r="DF1504" s="11">
        <v>32650.0</v>
      </c>
      <c r="DG1504" s="11">
        <v>36050.0</v>
      </c>
      <c r="DH1504" s="11">
        <v>25420.0</v>
      </c>
      <c r="DI1504" s="11">
        <v>36810.0</v>
      </c>
      <c r="DJ1504" s="11">
        <v>31210.0</v>
      </c>
      <c r="DK1504" s="11">
        <v>100.0</v>
      </c>
      <c r="DL1504" s="11">
        <v>100.0</v>
      </c>
      <c r="DM1504" s="11">
        <v>100.0</v>
      </c>
      <c r="DN1504" s="12"/>
      <c r="DO1504" s="12"/>
      <c r="DP1504" s="11">
        <v>25850.0</v>
      </c>
      <c r="DQ1504" s="11">
        <v>26120.0</v>
      </c>
      <c r="DR1504" s="11">
        <v>19710.0</v>
      </c>
      <c r="DS1504" s="11">
        <v>487.0</v>
      </c>
      <c r="DT1504" s="11">
        <v>1460.0</v>
      </c>
      <c r="DU1504" s="13"/>
      <c r="DV1504" s="11">
        <v>105230.0</v>
      </c>
      <c r="DW1504" s="11">
        <v>92050.0</v>
      </c>
      <c r="DX1504" s="11">
        <v>37350.0</v>
      </c>
      <c r="DY1504" s="11">
        <v>24620.0</v>
      </c>
      <c r="DZ1504" s="11">
        <v>55660.0</v>
      </c>
      <c r="EA1504" s="11">
        <v>-6730.0</v>
      </c>
      <c r="EB1504" s="11">
        <v>-4640.0</v>
      </c>
      <c r="EC1504" s="11">
        <v>-22180.0</v>
      </c>
      <c r="ED1504" s="11">
        <v>-14060.0</v>
      </c>
      <c r="EE1504" s="14">
        <v>0.057</v>
      </c>
      <c r="EF1504" s="14">
        <v>0.215</v>
      </c>
      <c r="EG1504" s="14">
        <v>0.645</v>
      </c>
      <c r="EH1504" s="14">
        <v>0.265</v>
      </c>
    </row>
    <row r="1505">
      <c r="A1505" s="9">
        <f t="shared" si="2"/>
        <v>1503</v>
      </c>
      <c r="B1505" s="10" t="s">
        <v>1640</v>
      </c>
      <c r="C1505" s="15">
        <v>3330000.0</v>
      </c>
      <c r="D1505" s="15">
        <v>2910000.0</v>
      </c>
      <c r="E1505" s="15">
        <v>3160000.0</v>
      </c>
      <c r="F1505" s="15">
        <v>3060000.0</v>
      </c>
      <c r="G1505" s="15">
        <v>2470000.0</v>
      </c>
      <c r="H1505" s="15">
        <v>2350000.0</v>
      </c>
      <c r="I1505" s="15">
        <v>2210000.0</v>
      </c>
      <c r="J1505" s="15">
        <v>2110000.0</v>
      </c>
      <c r="K1505" s="15">
        <v>2100000.0</v>
      </c>
      <c r="L1505" s="15">
        <v>1720000.0</v>
      </c>
      <c r="M1505" s="15">
        <v>1640000.0</v>
      </c>
      <c r="N1505" s="15">
        <v>1540000.0</v>
      </c>
      <c r="O1505" s="15">
        <v>1290000.0</v>
      </c>
      <c r="P1505" s="15">
        <v>1140000.0</v>
      </c>
      <c r="Q1505" s="15">
        <v>1000000.0</v>
      </c>
      <c r="R1505" s="15">
        <v>936590.0</v>
      </c>
      <c r="S1505" s="15">
        <v>865540.0</v>
      </c>
      <c r="T1505" s="15">
        <v>853590.0</v>
      </c>
      <c r="U1505" s="15">
        <v>743030.0</v>
      </c>
      <c r="V1505" s="15">
        <v>639750.0</v>
      </c>
      <c r="W1505" s="15">
        <v>601440.0</v>
      </c>
      <c r="X1505" s="15">
        <v>533890.0</v>
      </c>
      <c r="Y1505" s="15">
        <v>791880.0</v>
      </c>
      <c r="Z1505" s="15">
        <v>956800.0</v>
      </c>
      <c r="AA1505" s="15">
        <v>-33370.0</v>
      </c>
      <c r="AB1505" s="15">
        <v>699430.0</v>
      </c>
      <c r="AC1505" s="15">
        <v>0.0</v>
      </c>
      <c r="AD1505" s="15">
        <v>833980.0</v>
      </c>
      <c r="AE1505" s="15">
        <v>968330.0</v>
      </c>
      <c r="AF1505" s="15">
        <v>691380.0</v>
      </c>
      <c r="AG1505" s="15">
        <v>691080.0</v>
      </c>
      <c r="AH1505" s="15">
        <v>636830.0</v>
      </c>
      <c r="AI1505" s="15">
        <v>977780.0</v>
      </c>
      <c r="AJ1505" s="15">
        <v>1060000.0</v>
      </c>
      <c r="AK1505" s="15">
        <v>816130.0</v>
      </c>
      <c r="AL1505" s="15">
        <v>762020.0</v>
      </c>
      <c r="AM1505" s="15">
        <v>738320.0</v>
      </c>
      <c r="AN1505" s="15">
        <v>792720.0</v>
      </c>
      <c r="AO1505" s="15">
        <v>889750.0</v>
      </c>
      <c r="AP1505" s="15">
        <v>463980.0</v>
      </c>
      <c r="AQ1505" s="15">
        <v>622510.0</v>
      </c>
      <c r="AR1505" s="15">
        <v>550870.0</v>
      </c>
      <c r="AS1505" s="15">
        <v>1190000.0</v>
      </c>
      <c r="AT1505" s="15">
        <v>1090000.0</v>
      </c>
      <c r="AU1505" s="15">
        <v>820030.0</v>
      </c>
      <c r="AV1505" s="15">
        <v>934130.0</v>
      </c>
      <c r="AW1505" s="15">
        <v>746260.0</v>
      </c>
      <c r="AX1505" s="15">
        <v>-129290.0</v>
      </c>
      <c r="AY1505" s="15">
        <v>-89050.0</v>
      </c>
      <c r="AZ1505" s="15">
        <v>-49920.0</v>
      </c>
      <c r="BA1505" s="15">
        <v>-72050.0</v>
      </c>
      <c r="BB1505" s="15">
        <v>-34000.0</v>
      </c>
      <c r="BC1505" s="15">
        <v>-371790.0</v>
      </c>
      <c r="BD1505" s="15">
        <v>-364240.0</v>
      </c>
      <c r="BE1505" s="15">
        <v>-353050.0</v>
      </c>
      <c r="BF1505" s="15">
        <v>-332540.0</v>
      </c>
      <c r="BG1505" s="15">
        <v>-318990.0</v>
      </c>
      <c r="BH1505" s="15">
        <v>2270000.0</v>
      </c>
      <c r="BI1505" s="15">
        <v>3180000.0</v>
      </c>
      <c r="BJ1505" s="15">
        <v>3450000.0</v>
      </c>
      <c r="BK1505" s="15">
        <v>3320000.0</v>
      </c>
      <c r="BL1505" s="15">
        <v>3340000.0</v>
      </c>
      <c r="BM1505" s="15">
        <v>273030.0</v>
      </c>
      <c r="BN1505" s="15">
        <v>335170.0</v>
      </c>
      <c r="BO1505" s="15">
        <v>382250.0</v>
      </c>
      <c r="BP1505" s="15">
        <v>243920.0</v>
      </c>
      <c r="BQ1505" s="15">
        <v>307460.0</v>
      </c>
      <c r="BR1505" s="15">
        <v>304340.0</v>
      </c>
      <c r="BS1505" s="15">
        <v>315360.0</v>
      </c>
      <c r="BT1505" s="15">
        <v>236080.0</v>
      </c>
      <c r="BU1505" s="15">
        <v>227030.0</v>
      </c>
      <c r="BV1505" s="15">
        <v>178550.0</v>
      </c>
      <c r="BW1505" s="15">
        <v>2910000.0</v>
      </c>
      <c r="BX1505" s="15">
        <v>3890000.0</v>
      </c>
      <c r="BY1505" s="15">
        <v>4150000.0</v>
      </c>
      <c r="BZ1505" s="15">
        <v>3880000.0</v>
      </c>
      <c r="CA1505" s="15">
        <v>3920000.0</v>
      </c>
      <c r="CB1505" s="15">
        <v>430390.0</v>
      </c>
      <c r="CC1505" s="15">
        <v>328930.0</v>
      </c>
      <c r="CD1505" s="15">
        <v>304120.0</v>
      </c>
      <c r="CE1505" s="15">
        <v>303830.0</v>
      </c>
      <c r="CF1505" s="15">
        <v>283350.0</v>
      </c>
      <c r="CG1505" s="15">
        <v>619200.0</v>
      </c>
      <c r="CH1505" s="15">
        <v>340720.0</v>
      </c>
      <c r="CI1505" s="15">
        <v>162420.0</v>
      </c>
      <c r="CJ1505" s="15">
        <v>161290.0</v>
      </c>
      <c r="CK1505" s="15">
        <v>159300.0</v>
      </c>
      <c r="CL1505" s="15">
        <v>4690000.0</v>
      </c>
      <c r="CM1505" s="15">
        <v>5150000.0</v>
      </c>
      <c r="CN1505" s="15">
        <v>5060000.0</v>
      </c>
      <c r="CO1505" s="15">
        <v>4740000.0</v>
      </c>
      <c r="CP1505" s="15">
        <v>4820000.0</v>
      </c>
      <c r="CQ1505" s="15">
        <v>102130.0</v>
      </c>
      <c r="CR1505" s="15">
        <v>117490.0</v>
      </c>
      <c r="CS1505" s="15">
        <v>99000.0</v>
      </c>
      <c r="CT1505" s="15">
        <v>108290.0</v>
      </c>
      <c r="CU1505" s="15">
        <v>101530.0</v>
      </c>
      <c r="CV1505" s="15">
        <v>1090000.0</v>
      </c>
      <c r="CW1505" s="15">
        <v>11110.0</v>
      </c>
      <c r="CX1505" s="15">
        <v>0.0</v>
      </c>
      <c r="CY1505" s="16">
        <v>0.0</v>
      </c>
      <c r="CZ1505" s="16">
        <v>0.0</v>
      </c>
      <c r="DA1505" s="15">
        <v>0.0</v>
      </c>
      <c r="DB1505" s="15">
        <v>1090000.0</v>
      </c>
      <c r="DC1505" s="15">
        <v>475040.0</v>
      </c>
      <c r="DD1505" s="15">
        <v>911950.0</v>
      </c>
      <c r="DE1505" s="15">
        <v>897200.0</v>
      </c>
      <c r="DF1505" s="15">
        <v>2380000.0</v>
      </c>
      <c r="DG1505" s="15">
        <v>2290000.0</v>
      </c>
      <c r="DH1505" s="15">
        <v>2700000.0</v>
      </c>
      <c r="DI1505" s="15">
        <v>2230000.0</v>
      </c>
      <c r="DJ1505" s="15">
        <v>2230000.0</v>
      </c>
      <c r="DK1505" s="15">
        <v>101030.0</v>
      </c>
      <c r="DL1505" s="15">
        <v>53430.0</v>
      </c>
      <c r="DM1505" s="15">
        <v>97900.0</v>
      </c>
      <c r="DN1505" s="15">
        <v>116290.0</v>
      </c>
      <c r="DO1505" s="15">
        <v>220810.0</v>
      </c>
      <c r="DP1505" s="15">
        <v>796070.0</v>
      </c>
      <c r="DQ1505" s="15">
        <v>1230000.0</v>
      </c>
      <c r="DR1505" s="15">
        <v>1210000.0</v>
      </c>
      <c r="DS1505" s="15">
        <v>996650.0</v>
      </c>
      <c r="DT1505" s="15">
        <v>1010000.0</v>
      </c>
      <c r="DU1505" s="16">
        <v>0.0</v>
      </c>
      <c r="DV1505" s="15">
        <v>0.0</v>
      </c>
      <c r="DW1505" s="15">
        <v>0.0</v>
      </c>
      <c r="DX1505" s="15">
        <v>0.0</v>
      </c>
      <c r="DY1505" s="15">
        <v>0.0</v>
      </c>
      <c r="DZ1505" s="15">
        <v>2320000.0</v>
      </c>
      <c r="EA1505" s="15">
        <v>2860000.0</v>
      </c>
      <c r="EB1505" s="15">
        <v>2360000.0</v>
      </c>
      <c r="EC1505" s="15">
        <v>2510000.0</v>
      </c>
      <c r="ED1505" s="15">
        <v>2590000.0</v>
      </c>
      <c r="EE1505" s="17">
        <v>0.124</v>
      </c>
      <c r="EF1505" s="17">
        <v>0.222</v>
      </c>
      <c r="EG1505" s="17">
        <v>0.087</v>
      </c>
      <c r="EH1505" s="17">
        <v>0.043</v>
      </c>
    </row>
    <row r="1506">
      <c r="A1506" s="9">
        <f t="shared" si="2"/>
        <v>1504</v>
      </c>
      <c r="B1506" s="22" t="s">
        <v>1641</v>
      </c>
      <c r="C1506" s="11">
        <v>142500.0</v>
      </c>
      <c r="D1506" s="11">
        <v>101640.0</v>
      </c>
      <c r="E1506" s="11">
        <v>73990.0</v>
      </c>
      <c r="F1506" s="11">
        <v>13990.0</v>
      </c>
      <c r="G1506" s="11">
        <v>13480.0</v>
      </c>
      <c r="H1506" s="11">
        <v>27770.0</v>
      </c>
      <c r="I1506" s="11">
        <v>18100.0</v>
      </c>
      <c r="J1506" s="12"/>
      <c r="K1506" s="12"/>
      <c r="L1506" s="12"/>
      <c r="M1506" s="12"/>
      <c r="N1506" s="12"/>
      <c r="O1506" s="11">
        <v>206500.0</v>
      </c>
      <c r="P1506" s="11">
        <v>134660.0</v>
      </c>
      <c r="Q1506" s="11">
        <v>120640.0</v>
      </c>
      <c r="R1506" s="11">
        <v>92200.0</v>
      </c>
      <c r="S1506" s="11">
        <v>77800.0</v>
      </c>
      <c r="T1506" s="11">
        <v>150010.0</v>
      </c>
      <c r="U1506" s="11">
        <v>103900.0</v>
      </c>
      <c r="V1506" s="11">
        <v>89730.0</v>
      </c>
      <c r="W1506" s="11">
        <v>68580.0</v>
      </c>
      <c r="X1506" s="11">
        <v>58400.0</v>
      </c>
      <c r="Y1506" s="11">
        <v>-136810.0</v>
      </c>
      <c r="Z1506" s="11">
        <v>-124470.0</v>
      </c>
      <c r="AA1506" s="11">
        <v>-110980.0</v>
      </c>
      <c r="AB1506" s="11">
        <v>-58840.0</v>
      </c>
      <c r="AC1506" s="11">
        <v>-64410.0</v>
      </c>
      <c r="AD1506" s="11">
        <v>-124920.0</v>
      </c>
      <c r="AE1506" s="11">
        <v>-118900.0</v>
      </c>
      <c r="AF1506" s="11">
        <v>-108420.0</v>
      </c>
      <c r="AG1506" s="11">
        <v>-56990.0</v>
      </c>
      <c r="AH1506" s="11">
        <v>-63890.0</v>
      </c>
      <c r="AI1506" s="11">
        <v>-132500.0</v>
      </c>
      <c r="AJ1506" s="11">
        <v>-120670.0</v>
      </c>
      <c r="AK1506" s="11">
        <v>-107160.0</v>
      </c>
      <c r="AL1506" s="11">
        <v>-64430.0</v>
      </c>
      <c r="AM1506" s="11">
        <v>-59700.0</v>
      </c>
      <c r="AN1506" s="11">
        <v>-124860.0</v>
      </c>
      <c r="AO1506" s="11">
        <v>-118870.0</v>
      </c>
      <c r="AP1506" s="11">
        <v>-108450.0</v>
      </c>
      <c r="AQ1506" s="11">
        <v>-57010.0</v>
      </c>
      <c r="AR1506" s="11">
        <v>-63890.0</v>
      </c>
      <c r="AS1506" s="11">
        <v>-88470.0</v>
      </c>
      <c r="AT1506" s="11">
        <v>-94710.0</v>
      </c>
      <c r="AU1506" s="11">
        <v>-76540.0</v>
      </c>
      <c r="AV1506" s="11">
        <v>-44550.0</v>
      </c>
      <c r="AW1506" s="11">
        <v>-44210.0</v>
      </c>
      <c r="AX1506" s="11">
        <v>-3290.0</v>
      </c>
      <c r="AY1506" s="11">
        <v>-2590.0</v>
      </c>
      <c r="AZ1506" s="11">
        <v>-4400.0</v>
      </c>
      <c r="BA1506" s="11">
        <v>-3380.0</v>
      </c>
      <c r="BB1506" s="11">
        <v>-959.0</v>
      </c>
      <c r="BC1506" s="12"/>
      <c r="BD1506" s="12"/>
      <c r="BE1506" s="12"/>
      <c r="BF1506" s="12"/>
      <c r="BG1506" s="12"/>
      <c r="BH1506" s="11">
        <v>431370.0</v>
      </c>
      <c r="BI1506" s="11">
        <v>291310.0</v>
      </c>
      <c r="BJ1506" s="11">
        <v>277230.0</v>
      </c>
      <c r="BK1506" s="11">
        <v>139690.0</v>
      </c>
      <c r="BL1506" s="11">
        <v>104850.0</v>
      </c>
      <c r="BM1506" s="11">
        <v>8550.0</v>
      </c>
      <c r="BN1506" s="11">
        <v>7040.0</v>
      </c>
      <c r="BO1506" s="11">
        <v>3570.0</v>
      </c>
      <c r="BP1506" s="11">
        <v>3230.0</v>
      </c>
      <c r="BQ1506" s="11">
        <v>3630.0</v>
      </c>
      <c r="BR1506" s="12"/>
      <c r="BS1506" s="12"/>
      <c r="BT1506" s="12"/>
      <c r="BU1506" s="12"/>
      <c r="BV1506" s="12"/>
      <c r="BW1506" s="11">
        <v>449920.0</v>
      </c>
      <c r="BX1506" s="11">
        <v>306010.0</v>
      </c>
      <c r="BY1506" s="11">
        <v>285240.0</v>
      </c>
      <c r="BZ1506" s="11">
        <v>146790.0</v>
      </c>
      <c r="CA1506" s="11">
        <v>110930.0</v>
      </c>
      <c r="CB1506" s="11">
        <v>30720.0</v>
      </c>
      <c r="CC1506" s="11">
        <v>7110.0</v>
      </c>
      <c r="CD1506" s="11">
        <v>6970.0</v>
      </c>
      <c r="CE1506" s="11">
        <v>5200.0</v>
      </c>
      <c r="CF1506" s="11">
        <v>3110.0</v>
      </c>
      <c r="CG1506" s="12"/>
      <c r="CH1506" s="12"/>
      <c r="CI1506" s="12"/>
      <c r="CJ1506" s="12"/>
      <c r="CK1506" s="12"/>
      <c r="CL1506" s="11">
        <v>504910.0</v>
      </c>
      <c r="CM1506" s="11">
        <v>314820.0</v>
      </c>
      <c r="CN1506" s="11">
        <v>389180.0</v>
      </c>
      <c r="CO1506" s="11">
        <v>247650.0</v>
      </c>
      <c r="CP1506" s="11">
        <v>146340.0</v>
      </c>
      <c r="CQ1506" s="11">
        <v>2300.0</v>
      </c>
      <c r="CR1506" s="11">
        <v>419.0</v>
      </c>
      <c r="CS1506" s="11">
        <v>1090.0</v>
      </c>
      <c r="CT1506" s="11">
        <v>1590.0</v>
      </c>
      <c r="CU1506" s="11">
        <v>875.0</v>
      </c>
      <c r="CV1506" s="11">
        <v>33370.0</v>
      </c>
      <c r="CW1506" s="11">
        <v>6180.0</v>
      </c>
      <c r="CX1506" s="12"/>
      <c r="CY1506" s="12"/>
      <c r="CZ1506" s="12"/>
      <c r="DA1506" s="12"/>
      <c r="DB1506" s="11">
        <v>33370.0</v>
      </c>
      <c r="DC1506" s="11">
        <v>18910.0</v>
      </c>
      <c r="DD1506" s="11">
        <v>16750.0</v>
      </c>
      <c r="DE1506" s="11">
        <v>16150.0</v>
      </c>
      <c r="DF1506" s="11">
        <v>55430.0</v>
      </c>
      <c r="DG1506" s="11">
        <v>22780.0</v>
      </c>
      <c r="DH1506" s="11">
        <v>23960.0</v>
      </c>
      <c r="DI1506" s="11">
        <v>22050.0</v>
      </c>
      <c r="DJ1506" s="11">
        <v>19890.0</v>
      </c>
      <c r="DK1506" s="11">
        <v>22480.0</v>
      </c>
      <c r="DL1506" s="11">
        <v>1600.0</v>
      </c>
      <c r="DM1506" s="11">
        <v>96860.0</v>
      </c>
      <c r="DN1506" s="11">
        <v>95640.0</v>
      </c>
      <c r="DO1506" s="11">
        <v>31930.0</v>
      </c>
      <c r="DP1506" s="11">
        <v>20200.0</v>
      </c>
      <c r="DQ1506" s="12"/>
      <c r="DR1506" s="12"/>
      <c r="DS1506" s="12"/>
      <c r="DT1506" s="12"/>
      <c r="DU1506" s="13"/>
      <c r="DV1506" s="12"/>
      <c r="DW1506" s="12"/>
      <c r="DX1506" s="13"/>
      <c r="DY1506" s="13"/>
      <c r="DZ1506" s="11">
        <v>449480.0</v>
      </c>
      <c r="EA1506" s="11">
        <v>292040.0</v>
      </c>
      <c r="EB1506" s="11">
        <v>365220.0</v>
      </c>
      <c r="EC1506" s="11">
        <v>225600.0</v>
      </c>
      <c r="ED1506" s="11">
        <v>109260.0</v>
      </c>
      <c r="EE1506" s="14">
        <v>0.475</v>
      </c>
      <c r="EF1506" s="14">
        <v>0.741</v>
      </c>
      <c r="EG1506" s="14">
        <v>0.404</v>
      </c>
      <c r="EH1506" s="14">
        <v>-0.067</v>
      </c>
    </row>
    <row r="1507">
      <c r="A1507" s="9">
        <f t="shared" si="2"/>
        <v>1505</v>
      </c>
      <c r="B1507" s="22" t="s">
        <v>1642</v>
      </c>
      <c r="C1507" s="11">
        <v>104780.0</v>
      </c>
      <c r="D1507" s="11">
        <v>93190.0</v>
      </c>
      <c r="E1507" s="11">
        <v>156700.0</v>
      </c>
      <c r="F1507" s="11">
        <v>40600.0</v>
      </c>
      <c r="G1507" s="11">
        <v>46150.0</v>
      </c>
      <c r="H1507" s="11">
        <v>87520.0</v>
      </c>
      <c r="I1507" s="11">
        <v>27760.0</v>
      </c>
      <c r="J1507" s="12"/>
      <c r="K1507" s="12"/>
      <c r="L1507" s="12"/>
      <c r="M1507" s="12"/>
      <c r="N1507" s="12"/>
      <c r="O1507" s="11">
        <v>138380.0</v>
      </c>
      <c r="P1507" s="11">
        <v>116720.0</v>
      </c>
      <c r="Q1507" s="11">
        <v>87240.0</v>
      </c>
      <c r="R1507" s="11">
        <v>63510.0</v>
      </c>
      <c r="S1507" s="11">
        <v>43740.0</v>
      </c>
      <c r="T1507" s="11">
        <v>118590.0</v>
      </c>
      <c r="U1507" s="11">
        <v>97500.0</v>
      </c>
      <c r="V1507" s="11">
        <v>71770.0</v>
      </c>
      <c r="W1507" s="11">
        <v>51870.0</v>
      </c>
      <c r="X1507" s="11">
        <v>34140.0</v>
      </c>
      <c r="Y1507" s="11">
        <v>13820.0</v>
      </c>
      <c r="Z1507" s="12"/>
      <c r="AA1507" s="12"/>
      <c r="AB1507" s="12"/>
      <c r="AC1507" s="11">
        <v>-18340.0</v>
      </c>
      <c r="AD1507" s="11">
        <v>27190.0</v>
      </c>
      <c r="AE1507" s="11">
        <v>-70410.0</v>
      </c>
      <c r="AF1507" s="11">
        <v>-38950.0</v>
      </c>
      <c r="AG1507" s="11">
        <v>24620.0</v>
      </c>
      <c r="AH1507" s="11">
        <v>-17590.0</v>
      </c>
      <c r="AI1507" s="11">
        <v>18320.0</v>
      </c>
      <c r="AJ1507" s="11">
        <v>-76120.0</v>
      </c>
      <c r="AK1507" s="11">
        <v>-41090.0</v>
      </c>
      <c r="AL1507" s="11">
        <v>24010.0</v>
      </c>
      <c r="AM1507" s="11">
        <v>-15980.0</v>
      </c>
      <c r="AN1507" s="11">
        <v>26880.0</v>
      </c>
      <c r="AO1507" s="11">
        <v>-70410.0</v>
      </c>
      <c r="AP1507" s="11">
        <v>-38490.0</v>
      </c>
      <c r="AQ1507" s="11">
        <v>23630.0</v>
      </c>
      <c r="AR1507" s="11">
        <v>-17590.0</v>
      </c>
      <c r="AS1507" s="11">
        <v>64370.0</v>
      </c>
      <c r="AT1507" s="11">
        <v>-79760.0</v>
      </c>
      <c r="AU1507" s="11">
        <v>-33600.0</v>
      </c>
      <c r="AV1507" s="11">
        <v>94620.0</v>
      </c>
      <c r="AW1507" s="11">
        <v>26670.0</v>
      </c>
      <c r="AX1507" s="11">
        <v>-11040.0</v>
      </c>
      <c r="AY1507" s="11">
        <v>-9150.0</v>
      </c>
      <c r="AZ1507" s="11">
        <v>-7280.0</v>
      </c>
      <c r="BA1507" s="11">
        <v>-3010.0</v>
      </c>
      <c r="BB1507" s="11">
        <v>-3680.0</v>
      </c>
      <c r="BC1507" s="12"/>
      <c r="BD1507" s="12"/>
      <c r="BE1507" s="12"/>
      <c r="BF1507" s="12"/>
      <c r="BG1507" s="12"/>
      <c r="BH1507" s="11">
        <v>527080.0</v>
      </c>
      <c r="BI1507" s="11">
        <v>292060.0</v>
      </c>
      <c r="BJ1507" s="11">
        <v>222430.0</v>
      </c>
      <c r="BK1507" s="11">
        <v>128740.0</v>
      </c>
      <c r="BL1507" s="11">
        <v>96430.0</v>
      </c>
      <c r="BM1507" s="11">
        <v>24780.0</v>
      </c>
      <c r="BN1507" s="11">
        <v>13290.0</v>
      </c>
      <c r="BO1507" s="11">
        <v>2840.0</v>
      </c>
      <c r="BP1507" s="11">
        <v>10020.0</v>
      </c>
      <c r="BQ1507" s="11">
        <v>44.0</v>
      </c>
      <c r="BR1507" s="12"/>
      <c r="BS1507" s="12"/>
      <c r="BT1507" s="12"/>
      <c r="BU1507" s="12"/>
      <c r="BV1507" s="12"/>
      <c r="BW1507" s="11">
        <v>558410.0</v>
      </c>
      <c r="BX1507" s="11">
        <v>315730.0</v>
      </c>
      <c r="BY1507" s="11">
        <v>230880.0</v>
      </c>
      <c r="BZ1507" s="11">
        <v>141650.0</v>
      </c>
      <c r="CA1507" s="11">
        <v>97680.0</v>
      </c>
      <c r="CB1507" s="11">
        <v>25190.0</v>
      </c>
      <c r="CC1507" s="11">
        <v>11810.0</v>
      </c>
      <c r="CD1507" s="11">
        <v>7090.0</v>
      </c>
      <c r="CE1507" s="11">
        <v>3110.0</v>
      </c>
      <c r="CF1507" s="11">
        <v>2310.0</v>
      </c>
      <c r="CG1507" s="12"/>
      <c r="CH1507" s="12"/>
      <c r="CI1507" s="12"/>
      <c r="CJ1507" s="12"/>
      <c r="CK1507" s="12"/>
      <c r="CL1507" s="11">
        <v>670250.0</v>
      </c>
      <c r="CM1507" s="11">
        <v>576730.0</v>
      </c>
      <c r="CN1507" s="11">
        <v>390200.0</v>
      </c>
      <c r="CO1507" s="11">
        <v>428560.0</v>
      </c>
      <c r="CP1507" s="11">
        <v>206910.0</v>
      </c>
      <c r="CQ1507" s="11">
        <v>10190.0</v>
      </c>
      <c r="CR1507" s="11">
        <v>3800.0</v>
      </c>
      <c r="CS1507" s="11">
        <v>6870.0</v>
      </c>
      <c r="CT1507" s="11">
        <v>3880.0</v>
      </c>
      <c r="CU1507" s="11">
        <v>6400.0</v>
      </c>
      <c r="CV1507" s="11">
        <v>66560.0</v>
      </c>
      <c r="CW1507" s="11">
        <v>2170.0</v>
      </c>
      <c r="CX1507" s="12"/>
      <c r="CY1507" s="12"/>
      <c r="CZ1507" s="12"/>
      <c r="DA1507" s="12"/>
      <c r="DB1507" s="11">
        <v>66560.0</v>
      </c>
      <c r="DC1507" s="11">
        <v>53850.0</v>
      </c>
      <c r="DD1507" s="11">
        <v>72650.0</v>
      </c>
      <c r="DE1507" s="11">
        <v>106290.0</v>
      </c>
      <c r="DF1507" s="11">
        <v>77050.0</v>
      </c>
      <c r="DG1507" s="11">
        <v>55050.0</v>
      </c>
      <c r="DH1507" s="11">
        <v>73740.0</v>
      </c>
      <c r="DI1507" s="11">
        <v>114610.0</v>
      </c>
      <c r="DJ1507" s="11">
        <v>44480.0</v>
      </c>
      <c r="DK1507" s="11">
        <v>71530.0</v>
      </c>
      <c r="DL1507" s="11">
        <v>236110.0</v>
      </c>
      <c r="DM1507" s="11">
        <v>139200.0</v>
      </c>
      <c r="DN1507" s="11">
        <v>273340.0</v>
      </c>
      <c r="DO1507" s="11">
        <v>96890.0</v>
      </c>
      <c r="DP1507" s="11">
        <v>8570.0</v>
      </c>
      <c r="DQ1507" s="12"/>
      <c r="DR1507" s="12"/>
      <c r="DS1507" s="12"/>
      <c r="DT1507" s="12"/>
      <c r="DU1507" s="13"/>
      <c r="DV1507" s="12"/>
      <c r="DW1507" s="12"/>
      <c r="DX1507" s="13"/>
      <c r="DY1507" s="13"/>
      <c r="DZ1507" s="11">
        <v>593200.0</v>
      </c>
      <c r="EA1507" s="11">
        <v>521680.0</v>
      </c>
      <c r="EB1507" s="11">
        <v>316460.0</v>
      </c>
      <c r="EC1507" s="11">
        <v>313950.0</v>
      </c>
      <c r="ED1507" s="11">
        <v>162430.0</v>
      </c>
      <c r="EE1507" s="14">
        <v>0.23</v>
      </c>
      <c r="EF1507" s="14">
        <v>2.105</v>
      </c>
      <c r="EG1507" s="14">
        <v>-0.22</v>
      </c>
      <c r="EH1507" s="14">
        <v>0.235</v>
      </c>
    </row>
    <row r="1508">
      <c r="A1508" s="9">
        <f t="shared" si="2"/>
        <v>1506</v>
      </c>
      <c r="B1508" s="22" t="s">
        <v>1643</v>
      </c>
      <c r="C1508" s="11">
        <v>14180.0</v>
      </c>
      <c r="D1508" s="11">
        <v>7220.0</v>
      </c>
      <c r="E1508" s="11">
        <v>18370.0</v>
      </c>
      <c r="F1508" s="11">
        <v>5300.0</v>
      </c>
      <c r="G1508" s="11">
        <v>52690.0</v>
      </c>
      <c r="H1508" s="11">
        <v>5560.0</v>
      </c>
      <c r="I1508" s="11">
        <v>55450.0</v>
      </c>
      <c r="J1508" s="12"/>
      <c r="K1508" s="12"/>
      <c r="L1508" s="12"/>
      <c r="M1508" s="12"/>
      <c r="N1508" s="12"/>
      <c r="O1508" s="11">
        <v>20340.0</v>
      </c>
      <c r="P1508" s="11">
        <v>20220.0</v>
      </c>
      <c r="Q1508" s="11">
        <v>31910.0</v>
      </c>
      <c r="R1508" s="11">
        <v>61790.0</v>
      </c>
      <c r="S1508" s="11">
        <v>89940.0</v>
      </c>
      <c r="T1508" s="11">
        <v>1250.0</v>
      </c>
      <c r="U1508" s="11">
        <v>1680.0</v>
      </c>
      <c r="V1508" s="11">
        <v>7880.0</v>
      </c>
      <c r="W1508" s="11">
        <v>44230.0</v>
      </c>
      <c r="X1508" s="11">
        <v>70850.0</v>
      </c>
      <c r="Y1508" s="11">
        <v>-3960.0</v>
      </c>
      <c r="Z1508" s="11">
        <v>-17420.0</v>
      </c>
      <c r="AA1508" s="11">
        <v>-4100.0</v>
      </c>
      <c r="AB1508" s="11">
        <v>-51270.0</v>
      </c>
      <c r="AC1508" s="11">
        <v>-22350.0</v>
      </c>
      <c r="AD1508" s="11">
        <v>-1980.0</v>
      </c>
      <c r="AE1508" s="11">
        <v>-13440.0</v>
      </c>
      <c r="AF1508" s="11">
        <v>16260.0</v>
      </c>
      <c r="AG1508" s="11">
        <v>-53530.0</v>
      </c>
      <c r="AH1508" s="11">
        <v>-20610.0</v>
      </c>
      <c r="AI1508" s="11">
        <v>-1970.0</v>
      </c>
      <c r="AJ1508" s="11">
        <v>-14920.0</v>
      </c>
      <c r="AK1508" s="11">
        <v>20780.0</v>
      </c>
      <c r="AL1508" s="11">
        <v>-56220.0</v>
      </c>
      <c r="AM1508" s="11">
        <v>-34490.0</v>
      </c>
      <c r="AN1508" s="11">
        <v>-1980.0</v>
      </c>
      <c r="AO1508" s="11">
        <v>-13340.0</v>
      </c>
      <c r="AP1508" s="11">
        <v>11320.0</v>
      </c>
      <c r="AQ1508" s="11">
        <v>-53530.0</v>
      </c>
      <c r="AR1508" s="11">
        <v>-20610.0</v>
      </c>
      <c r="AS1508" s="11">
        <v>1920.0</v>
      </c>
      <c r="AT1508" s="11">
        <v>-12640.0</v>
      </c>
      <c r="AU1508" s="11">
        <v>2690.0</v>
      </c>
      <c r="AV1508" s="11">
        <v>-33690.0</v>
      </c>
      <c r="AW1508" s="11">
        <v>-30890.0</v>
      </c>
      <c r="AX1508" s="11">
        <v>-19300.0</v>
      </c>
      <c r="AY1508" s="11">
        <v>-6.0</v>
      </c>
      <c r="AZ1508" s="11">
        <v>-8.0</v>
      </c>
      <c r="BA1508" s="11">
        <v>-59.0</v>
      </c>
      <c r="BB1508" s="11">
        <v>-430.0</v>
      </c>
      <c r="BC1508" s="12"/>
      <c r="BD1508" s="12"/>
      <c r="BE1508" s="12"/>
      <c r="BF1508" s="12"/>
      <c r="BG1508" s="12"/>
      <c r="BH1508" s="11">
        <v>56690.0</v>
      </c>
      <c r="BI1508" s="11">
        <v>45780.0</v>
      </c>
      <c r="BJ1508" s="11">
        <v>43470.0</v>
      </c>
      <c r="BK1508" s="11">
        <v>25740.0</v>
      </c>
      <c r="BL1508" s="11">
        <v>66260.0</v>
      </c>
      <c r="BM1508" s="11">
        <v>2930.0</v>
      </c>
      <c r="BN1508" s="11">
        <v>1470.0</v>
      </c>
      <c r="BO1508" s="11">
        <v>397.0</v>
      </c>
      <c r="BP1508" s="11">
        <v>566.0</v>
      </c>
      <c r="BQ1508" s="11">
        <v>4070.0</v>
      </c>
      <c r="BR1508" s="12"/>
      <c r="BS1508" s="12"/>
      <c r="BT1508" s="12"/>
      <c r="BU1508" s="12"/>
      <c r="BV1508" s="12"/>
      <c r="BW1508" s="11">
        <v>59970.0</v>
      </c>
      <c r="BX1508" s="11">
        <v>47630.0</v>
      </c>
      <c r="BY1508" s="11">
        <v>44200.0</v>
      </c>
      <c r="BZ1508" s="11">
        <v>27160.0</v>
      </c>
      <c r="CA1508" s="11">
        <v>72220.0</v>
      </c>
      <c r="CB1508" s="11">
        <v>544.0</v>
      </c>
      <c r="CC1508" s="11">
        <v>59.0</v>
      </c>
      <c r="CD1508" s="11">
        <v>83.0</v>
      </c>
      <c r="CE1508" s="11">
        <v>1040.0</v>
      </c>
      <c r="CF1508" s="11">
        <v>2000.0</v>
      </c>
      <c r="CG1508" s="12"/>
      <c r="CH1508" s="12"/>
      <c r="CI1508" s="12"/>
      <c r="CJ1508" s="12"/>
      <c r="CK1508" s="12"/>
      <c r="CL1508" s="11">
        <v>95720.0</v>
      </c>
      <c r="CM1508" s="11">
        <v>63790.0</v>
      </c>
      <c r="CN1508" s="11">
        <v>44940.0</v>
      </c>
      <c r="CO1508" s="11">
        <v>28680.0</v>
      </c>
      <c r="CP1508" s="11">
        <v>74880.0</v>
      </c>
      <c r="CQ1508" s="11">
        <v>614.0</v>
      </c>
      <c r="CR1508" s="11">
        <v>1240.0</v>
      </c>
      <c r="CS1508" s="11">
        <v>1680.0</v>
      </c>
      <c r="CT1508" s="11">
        <v>5690.0</v>
      </c>
      <c r="CU1508" s="11">
        <v>6830.0</v>
      </c>
      <c r="CV1508" s="11">
        <v>8880.0</v>
      </c>
      <c r="CW1508" s="11">
        <v>163.0</v>
      </c>
      <c r="CX1508" s="12"/>
      <c r="CY1508" s="12"/>
      <c r="CZ1508" s="12"/>
      <c r="DA1508" s="12"/>
      <c r="DB1508" s="11">
        <v>8880.0</v>
      </c>
      <c r="DC1508" s="11">
        <v>5700.0</v>
      </c>
      <c r="DD1508" s="11">
        <v>7420.0</v>
      </c>
      <c r="DE1508" s="11">
        <v>32510.0</v>
      </c>
      <c r="DF1508" s="11">
        <v>51740.0</v>
      </c>
      <c r="DG1508" s="11">
        <v>45000.0</v>
      </c>
      <c r="DH1508" s="11">
        <v>39150.0</v>
      </c>
      <c r="DI1508" s="11">
        <v>75890.0</v>
      </c>
      <c r="DJ1508" s="11">
        <v>77190.0</v>
      </c>
      <c r="DK1508" s="11">
        <v>681.0</v>
      </c>
      <c r="DL1508" s="11">
        <v>392.0</v>
      </c>
      <c r="DM1508" s="12"/>
      <c r="DN1508" s="12"/>
      <c r="DO1508" s="12"/>
      <c r="DP1508" s="11">
        <v>27500.0</v>
      </c>
      <c r="DQ1508" s="11">
        <v>21690.0</v>
      </c>
      <c r="DR1508" s="11">
        <v>14570.0</v>
      </c>
      <c r="DS1508" s="11">
        <v>25380.0</v>
      </c>
      <c r="DT1508" s="11">
        <v>42930.0</v>
      </c>
      <c r="DU1508" s="13"/>
      <c r="DV1508" s="12"/>
      <c r="DW1508" s="12"/>
      <c r="DX1508" s="13"/>
      <c r="DY1508" s="13"/>
      <c r="DZ1508" s="11">
        <v>43990.0</v>
      </c>
      <c r="EA1508" s="11">
        <v>18790.0</v>
      </c>
      <c r="EB1508" s="11">
        <v>5790.0</v>
      </c>
      <c r="EC1508" s="11">
        <v>-47210.0</v>
      </c>
      <c r="ED1508" s="11">
        <v>-2310.0</v>
      </c>
      <c r="EE1508" s="14">
        <v>0.274</v>
      </c>
      <c r="EF1508" s="14">
        <v>0.869</v>
      </c>
      <c r="EG1508" s="14">
        <v>0.132</v>
      </c>
      <c r="EH1508" s="14">
        <v>-0.332</v>
      </c>
    </row>
    <row r="1509">
      <c r="A1509" s="9">
        <f t="shared" si="2"/>
        <v>1507</v>
      </c>
      <c r="B1509" s="10" t="s">
        <v>1644</v>
      </c>
      <c r="C1509" s="15">
        <v>1070000.0</v>
      </c>
      <c r="D1509" s="15">
        <v>772000.0</v>
      </c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3"/>
      <c r="CZ1509" s="13"/>
      <c r="DA1509" s="12"/>
      <c r="DB1509" s="12"/>
      <c r="DC1509" s="12"/>
      <c r="DD1509" s="12"/>
      <c r="DE1509" s="12"/>
      <c r="DF1509" s="12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3"/>
      <c r="DV1509" s="12"/>
      <c r="DW1509" s="12"/>
      <c r="DX1509" s="12"/>
      <c r="DY1509" s="12"/>
      <c r="DZ1509" s="12"/>
      <c r="EA1509" s="12"/>
      <c r="EB1509" s="12"/>
      <c r="EC1509" s="12"/>
      <c r="ED1509" s="12"/>
      <c r="EE1509" s="17">
        <v>0.005</v>
      </c>
      <c r="EF1509" s="17">
        <v>0.103</v>
      </c>
      <c r="EG1509" s="17">
        <v>0.203</v>
      </c>
      <c r="EH1509" s="17">
        <v>0.179</v>
      </c>
    </row>
    <row r="1510">
      <c r="A1510" s="9">
        <f t="shared" si="2"/>
        <v>1508</v>
      </c>
      <c r="B1510" s="10" t="s">
        <v>1645</v>
      </c>
      <c r="C1510" s="12"/>
      <c r="D1510" s="12"/>
      <c r="E1510" s="12">
        <v>0.0</v>
      </c>
      <c r="F1510" s="12">
        <v>0.0</v>
      </c>
      <c r="G1510" s="12">
        <v>0.0</v>
      </c>
      <c r="H1510" s="12">
        <v>0.0</v>
      </c>
      <c r="I1510" s="12">
        <v>0.0</v>
      </c>
      <c r="J1510" s="12">
        <v>0.0</v>
      </c>
      <c r="K1510" s="12">
        <v>0.0</v>
      </c>
      <c r="L1510" s="12">
        <v>0.0</v>
      </c>
      <c r="M1510" s="12">
        <v>0.0</v>
      </c>
      <c r="N1510" s="12">
        <v>0.0</v>
      </c>
      <c r="O1510" s="12">
        <v>3140.0</v>
      </c>
      <c r="P1510" s="12">
        <v>3210.0</v>
      </c>
      <c r="Q1510" s="12">
        <v>1900.0</v>
      </c>
      <c r="R1510" s="12">
        <v>2790.0</v>
      </c>
      <c r="S1510" s="12">
        <v>2050.0</v>
      </c>
      <c r="T1510" s="12">
        <v>0.0</v>
      </c>
      <c r="U1510" s="12">
        <v>0.0</v>
      </c>
      <c r="V1510" s="12">
        <v>0.0</v>
      </c>
      <c r="W1510" s="12">
        <v>0.0</v>
      </c>
      <c r="X1510" s="12">
        <v>0.0</v>
      </c>
      <c r="Y1510" s="15">
        <v>-3560.0</v>
      </c>
      <c r="Z1510" s="15">
        <v>-3790.0</v>
      </c>
      <c r="AA1510" s="15">
        <v>0.0</v>
      </c>
      <c r="AB1510" s="12">
        <v>-2130.0</v>
      </c>
      <c r="AC1510" s="12">
        <v>-1930.0</v>
      </c>
      <c r="AD1510" s="15">
        <v>-3290.0</v>
      </c>
      <c r="AE1510" s="15">
        <v>-3600.0</v>
      </c>
      <c r="AF1510" s="15">
        <v>0.0</v>
      </c>
      <c r="AG1510" s="12">
        <v>-2060.0</v>
      </c>
      <c r="AH1510" s="12">
        <v>-2880.0</v>
      </c>
      <c r="AI1510" s="15">
        <v>-2740.0</v>
      </c>
      <c r="AJ1510" s="15">
        <v>-2710.0</v>
      </c>
      <c r="AK1510" s="15">
        <v>-1900.0</v>
      </c>
      <c r="AL1510" s="12">
        <v>-2790.0</v>
      </c>
      <c r="AM1510" s="12">
        <v>-2050.0</v>
      </c>
      <c r="AN1510" s="15">
        <v>-3290.0</v>
      </c>
      <c r="AO1510" s="15">
        <v>-3600.0</v>
      </c>
      <c r="AP1510" s="15">
        <v>0.0</v>
      </c>
      <c r="AQ1510" s="12">
        <v>-1710.0</v>
      </c>
      <c r="AR1510" s="12">
        <v>-3440.0</v>
      </c>
      <c r="AS1510" s="15">
        <v>-2640.0</v>
      </c>
      <c r="AT1510" s="15">
        <v>-1360.0</v>
      </c>
      <c r="AU1510" s="15">
        <v>-1660.0</v>
      </c>
      <c r="AV1510" s="12">
        <v>-1840.0</v>
      </c>
      <c r="AW1510" s="12">
        <v>-1720.0</v>
      </c>
      <c r="AX1510" s="15">
        <v>0.0</v>
      </c>
      <c r="AY1510" s="15">
        <v>0.0</v>
      </c>
      <c r="AZ1510" s="15">
        <v>0.0</v>
      </c>
      <c r="BA1510" s="12">
        <v>0.0</v>
      </c>
      <c r="BB1510" s="12">
        <v>0.0</v>
      </c>
      <c r="BC1510" s="12">
        <v>0.0</v>
      </c>
      <c r="BD1510" s="12">
        <v>0.0</v>
      </c>
      <c r="BE1510" s="12">
        <v>0.0</v>
      </c>
      <c r="BF1510" s="12">
        <v>0.0</v>
      </c>
      <c r="BG1510" s="12">
        <v>0.0</v>
      </c>
      <c r="BH1510" s="12">
        <v>8440.0</v>
      </c>
      <c r="BI1510" s="12">
        <v>11930.0</v>
      </c>
      <c r="BJ1510" s="12">
        <v>14500.0</v>
      </c>
      <c r="BK1510" s="12">
        <v>16710.0</v>
      </c>
      <c r="BL1510" s="12">
        <v>17920.0</v>
      </c>
      <c r="BM1510" s="12">
        <v>0.0</v>
      </c>
      <c r="BN1510" s="12">
        <v>0.0</v>
      </c>
      <c r="BO1510" s="12">
        <v>0.0</v>
      </c>
      <c r="BP1510" s="12">
        <v>0.0</v>
      </c>
      <c r="BQ1510" s="12">
        <v>0.0</v>
      </c>
      <c r="BR1510" s="12">
        <v>0.0</v>
      </c>
      <c r="BS1510" s="12">
        <v>0.0</v>
      </c>
      <c r="BT1510" s="12">
        <v>0.0</v>
      </c>
      <c r="BU1510" s="12">
        <v>0.0</v>
      </c>
      <c r="BV1510" s="12">
        <v>0.0</v>
      </c>
      <c r="BW1510" s="12">
        <v>8760.0</v>
      </c>
      <c r="BX1510" s="12">
        <v>12140.0</v>
      </c>
      <c r="BY1510" s="12">
        <v>14610.0</v>
      </c>
      <c r="BZ1510" s="12">
        <v>16800.0</v>
      </c>
      <c r="CA1510" s="12">
        <v>17990.0</v>
      </c>
      <c r="CB1510" s="12">
        <v>15750.0</v>
      </c>
      <c r="CC1510" s="12">
        <v>15760.0</v>
      </c>
      <c r="CD1510" s="12">
        <v>15780.0</v>
      </c>
      <c r="CE1510" s="12">
        <v>0.0</v>
      </c>
      <c r="CF1510" s="12">
        <v>0.0</v>
      </c>
      <c r="CG1510" s="12">
        <v>0.0</v>
      </c>
      <c r="CH1510" s="12">
        <v>0.0</v>
      </c>
      <c r="CI1510" s="12">
        <v>0.0</v>
      </c>
      <c r="CJ1510" s="12">
        <v>0.0</v>
      </c>
      <c r="CK1510" s="12">
        <v>0.0</v>
      </c>
      <c r="CL1510" s="12">
        <v>24530.0</v>
      </c>
      <c r="CM1510" s="12">
        <v>27900.0</v>
      </c>
      <c r="CN1510" s="12">
        <v>30400.0</v>
      </c>
      <c r="CO1510" s="12">
        <v>17610.0</v>
      </c>
      <c r="CP1510" s="12">
        <v>18050.0</v>
      </c>
      <c r="CQ1510" s="12">
        <v>0.0</v>
      </c>
      <c r="CR1510" s="12">
        <v>0.0</v>
      </c>
      <c r="CS1510" s="12">
        <v>0.0</v>
      </c>
      <c r="CT1510" s="12">
        <v>0.0</v>
      </c>
      <c r="CU1510" s="12">
        <v>0.0</v>
      </c>
      <c r="CV1510" s="12">
        <v>0.0</v>
      </c>
      <c r="CW1510" s="12">
        <v>0.0</v>
      </c>
      <c r="CX1510" s="12">
        <v>0.0</v>
      </c>
      <c r="CY1510" s="12">
        <v>0.0</v>
      </c>
      <c r="CZ1510" s="12">
        <v>0.0</v>
      </c>
      <c r="DA1510" s="12">
        <v>0.0</v>
      </c>
      <c r="DB1510" s="12">
        <v>0.0</v>
      </c>
      <c r="DC1510" s="12">
        <v>0.0</v>
      </c>
      <c r="DD1510" s="12">
        <v>0.0</v>
      </c>
      <c r="DE1510" s="12">
        <v>0.0</v>
      </c>
      <c r="DF1510" s="12">
        <v>0.0</v>
      </c>
      <c r="DG1510" s="12">
        <v>0.0</v>
      </c>
      <c r="DH1510" s="12">
        <v>0.0</v>
      </c>
      <c r="DI1510" s="12">
        <v>0.0</v>
      </c>
      <c r="DJ1510" s="12">
        <v>0.0</v>
      </c>
      <c r="DK1510" s="12">
        <v>0.0</v>
      </c>
      <c r="DL1510" s="12">
        <v>0.0</v>
      </c>
      <c r="DM1510" s="12">
        <v>0.0</v>
      </c>
      <c r="DN1510" s="12">
        <v>0.0</v>
      </c>
      <c r="DO1510" s="12">
        <v>0.0</v>
      </c>
      <c r="DP1510" s="12">
        <v>0.0</v>
      </c>
      <c r="DQ1510" s="12">
        <v>0.0</v>
      </c>
      <c r="DR1510" s="12">
        <v>0.0</v>
      </c>
      <c r="DS1510" s="12">
        <v>0.0</v>
      </c>
      <c r="DT1510" s="12">
        <v>0.0</v>
      </c>
      <c r="DU1510" s="12">
        <v>0.0</v>
      </c>
      <c r="DV1510" s="12">
        <v>0.0</v>
      </c>
      <c r="DW1510" s="12">
        <v>0.0</v>
      </c>
      <c r="DX1510" s="12">
        <v>0.0</v>
      </c>
      <c r="DY1510" s="12">
        <v>0.0</v>
      </c>
      <c r="DZ1510" s="15">
        <v>24130.0</v>
      </c>
      <c r="EA1510" s="12">
        <v>27090.0</v>
      </c>
      <c r="EB1510" s="12">
        <v>30130.0</v>
      </c>
      <c r="EC1510" s="12">
        <v>17490.0</v>
      </c>
      <c r="ED1510" s="12">
        <v>17880.0</v>
      </c>
      <c r="EE1510" s="31"/>
      <c r="EF1510" s="31"/>
      <c r="EG1510" s="31"/>
      <c r="EH1510" s="31"/>
    </row>
    <row r="1511">
      <c r="A1511" s="9">
        <f t="shared" si="2"/>
        <v>1509</v>
      </c>
      <c r="B1511" s="10" t="s">
        <v>1646</v>
      </c>
      <c r="C1511" s="11">
        <v>1.643E7</v>
      </c>
      <c r="D1511" s="11">
        <v>1.527E7</v>
      </c>
      <c r="E1511" s="11">
        <v>1.665E7</v>
      </c>
      <c r="F1511" s="11">
        <v>1.728E7</v>
      </c>
      <c r="G1511" s="11">
        <v>1.538E7</v>
      </c>
      <c r="H1511" s="11">
        <v>1.462E7</v>
      </c>
      <c r="I1511" s="11">
        <v>7620000.0</v>
      </c>
      <c r="J1511" s="11">
        <v>2510000.0</v>
      </c>
      <c r="K1511" s="11">
        <v>2380000.0</v>
      </c>
      <c r="L1511" s="11">
        <v>2120000.0</v>
      </c>
      <c r="M1511" s="11">
        <v>1960000.0</v>
      </c>
      <c r="N1511" s="11">
        <v>924000.0</v>
      </c>
      <c r="O1511" s="11">
        <v>1640000.0</v>
      </c>
      <c r="P1511" s="11">
        <v>1660000.0</v>
      </c>
      <c r="Q1511" s="11">
        <v>1460000.0</v>
      </c>
      <c r="R1511" s="11">
        <v>1450000.0</v>
      </c>
      <c r="S1511" s="11">
        <v>814900.0</v>
      </c>
      <c r="T1511" s="12"/>
      <c r="U1511" s="12"/>
      <c r="V1511" s="12"/>
      <c r="W1511" s="12"/>
      <c r="X1511" s="12"/>
      <c r="Y1511" s="11">
        <v>807000.0</v>
      </c>
      <c r="Z1511" s="11">
        <v>697000.0</v>
      </c>
      <c r="AA1511" s="11">
        <v>-183300.0</v>
      </c>
      <c r="AB1511" s="11">
        <v>458100.0</v>
      </c>
      <c r="AC1511" s="11">
        <v>-28600.0</v>
      </c>
      <c r="AD1511" s="11">
        <v>569000.0</v>
      </c>
      <c r="AE1511" s="11">
        <v>566000.0</v>
      </c>
      <c r="AF1511" s="11">
        <v>260700.0</v>
      </c>
      <c r="AG1511" s="11">
        <v>106800.0</v>
      </c>
      <c r="AH1511" s="11">
        <v>-282500.0</v>
      </c>
      <c r="AI1511" s="11">
        <v>1600000.0</v>
      </c>
      <c r="AJ1511" s="11">
        <v>1430000.0</v>
      </c>
      <c r="AK1511" s="11">
        <v>1310000.0</v>
      </c>
      <c r="AL1511" s="11">
        <v>1160000.0</v>
      </c>
      <c r="AM1511" s="11">
        <v>472900.0</v>
      </c>
      <c r="AN1511" s="11">
        <v>382000.0</v>
      </c>
      <c r="AO1511" s="11">
        <v>393000.0</v>
      </c>
      <c r="AP1511" s="11">
        <v>315300.0</v>
      </c>
      <c r="AQ1511" s="11">
        <v>66000.0</v>
      </c>
      <c r="AR1511" s="11">
        <v>-243100.0</v>
      </c>
      <c r="AS1511" s="11">
        <v>791000.0</v>
      </c>
      <c r="AT1511" s="11">
        <v>1100000.0</v>
      </c>
      <c r="AU1511" s="11">
        <v>798600.0</v>
      </c>
      <c r="AV1511" s="11">
        <v>625400.0</v>
      </c>
      <c r="AW1511" s="11">
        <v>90800.0</v>
      </c>
      <c r="AX1511" s="11">
        <v>-601000.0</v>
      </c>
      <c r="AY1511" s="11">
        <v>-551000.0</v>
      </c>
      <c r="AZ1511" s="11">
        <v>-503800.0</v>
      </c>
      <c r="BA1511" s="11">
        <v>-483400.0</v>
      </c>
      <c r="BB1511" s="11">
        <v>-249000.0</v>
      </c>
      <c r="BC1511" s="11">
        <v>-8000.0</v>
      </c>
      <c r="BD1511" s="11">
        <v>-8000.0</v>
      </c>
      <c r="BE1511" s="11">
        <v>-6600.0</v>
      </c>
      <c r="BF1511" s="11">
        <v>-5400.0</v>
      </c>
      <c r="BG1511" s="11">
        <v>-2800.0</v>
      </c>
      <c r="BH1511" s="11">
        <v>377000.0</v>
      </c>
      <c r="BI1511" s="11">
        <v>502000.0</v>
      </c>
      <c r="BJ1511" s="11">
        <v>396900.0</v>
      </c>
      <c r="BK1511" s="11">
        <v>392200.0</v>
      </c>
      <c r="BL1511" s="11">
        <v>289800.0</v>
      </c>
      <c r="BM1511" s="11">
        <v>2500000.0</v>
      </c>
      <c r="BN1511" s="11">
        <v>2600000.0</v>
      </c>
      <c r="BO1511" s="11">
        <v>2730000.0</v>
      </c>
      <c r="BP1511" s="11">
        <v>2400000.0</v>
      </c>
      <c r="BQ1511" s="11">
        <v>2430000.0</v>
      </c>
      <c r="BR1511" s="12"/>
      <c r="BS1511" s="12"/>
      <c r="BT1511" s="12"/>
      <c r="BU1511" s="11">
        <v>40100.0</v>
      </c>
      <c r="BV1511" s="11">
        <v>48900.0</v>
      </c>
      <c r="BW1511" s="11">
        <v>3340000.0</v>
      </c>
      <c r="BX1511" s="11">
        <v>3690000.0</v>
      </c>
      <c r="BY1511" s="11">
        <v>3590000.0</v>
      </c>
      <c r="BZ1511" s="11">
        <v>3070000.0</v>
      </c>
      <c r="CA1511" s="11">
        <v>2960000.0</v>
      </c>
      <c r="CB1511" s="11">
        <v>4950000.0</v>
      </c>
      <c r="CC1511" s="11">
        <v>2610000.0</v>
      </c>
      <c r="CD1511" s="11">
        <v>2660000.0</v>
      </c>
      <c r="CE1511" s="11">
        <v>2540000.0</v>
      </c>
      <c r="CF1511" s="11">
        <v>2850000.0</v>
      </c>
      <c r="CG1511" s="11">
        <v>4450000.0</v>
      </c>
      <c r="CH1511" s="11">
        <v>4470000.0</v>
      </c>
      <c r="CI1511" s="11">
        <v>4560000.0</v>
      </c>
      <c r="CJ1511" s="11">
        <v>4330000.0</v>
      </c>
      <c r="CK1511" s="11">
        <v>4610000.0</v>
      </c>
      <c r="CL1511" s="11">
        <v>1.413E7</v>
      </c>
      <c r="CM1511" s="11">
        <v>1.227E7</v>
      </c>
      <c r="CN1511" s="11">
        <v>1.26E7</v>
      </c>
      <c r="CO1511" s="11">
        <v>1.17E7</v>
      </c>
      <c r="CP1511" s="11">
        <v>1.264E7</v>
      </c>
      <c r="CQ1511" s="11">
        <v>1160000.0</v>
      </c>
      <c r="CR1511" s="11">
        <v>1260000.0</v>
      </c>
      <c r="CS1511" s="11">
        <v>1250000.0</v>
      </c>
      <c r="CT1511" s="11">
        <v>1060000.0</v>
      </c>
      <c r="CU1511" s="11">
        <v>1060000.0</v>
      </c>
      <c r="CV1511" s="11">
        <v>3260000.0</v>
      </c>
      <c r="CW1511" s="11">
        <v>468000.0</v>
      </c>
      <c r="CX1511" s="12"/>
      <c r="CY1511" s="12"/>
      <c r="CZ1511" s="11">
        <v>11000.0</v>
      </c>
      <c r="DA1511" s="11">
        <v>29500.0</v>
      </c>
      <c r="DB1511" s="11">
        <v>3260000.0</v>
      </c>
      <c r="DC1511" s="11">
        <v>3310000.0</v>
      </c>
      <c r="DD1511" s="11">
        <v>3000000.0</v>
      </c>
      <c r="DE1511" s="11">
        <v>2730000.0</v>
      </c>
      <c r="DF1511" s="11">
        <v>1.123E7</v>
      </c>
      <c r="DG1511" s="11">
        <v>8300000.0</v>
      </c>
      <c r="DH1511" s="11">
        <v>8590000.0</v>
      </c>
      <c r="DI1511" s="11">
        <v>8660000.0</v>
      </c>
      <c r="DJ1511" s="11">
        <v>9580000.0</v>
      </c>
      <c r="DK1511" s="11">
        <v>10000.0</v>
      </c>
      <c r="DL1511" s="11"/>
      <c r="DM1511" s="11"/>
      <c r="DN1511" s="11"/>
      <c r="DO1511" s="12"/>
      <c r="DP1511" s="11">
        <v>6960000.0</v>
      </c>
      <c r="DQ1511" s="11">
        <v>3900000.0</v>
      </c>
      <c r="DR1511" s="11">
        <v>4420000.0</v>
      </c>
      <c r="DS1511" s="11">
        <v>4730000.0</v>
      </c>
      <c r="DT1511" s="11">
        <v>5270000.0</v>
      </c>
      <c r="DU1511" s="11">
        <v>41000.0</v>
      </c>
      <c r="DV1511" s="11">
        <v>41000.0</v>
      </c>
      <c r="DW1511" s="11">
        <v>41200.0</v>
      </c>
      <c r="DX1511" s="11">
        <v>41600.0</v>
      </c>
      <c r="DY1511" s="11">
        <v>42000.0</v>
      </c>
      <c r="DZ1511" s="11">
        <v>2740000.0</v>
      </c>
      <c r="EA1511" s="11">
        <v>3580000.0</v>
      </c>
      <c r="EB1511" s="11">
        <v>3600000.0</v>
      </c>
      <c r="EC1511" s="11">
        <v>2700000.0</v>
      </c>
      <c r="ED1511" s="11">
        <v>2720000.0</v>
      </c>
      <c r="EE1511" s="14">
        <v>0.032</v>
      </c>
      <c r="EF1511" s="14">
        <v>0.102</v>
      </c>
      <c r="EG1511" s="14">
        <v>0.171</v>
      </c>
      <c r="EH1511" s="14">
        <v>0.094</v>
      </c>
    </row>
    <row r="1512">
      <c r="A1512" s="9">
        <f t="shared" si="2"/>
        <v>1510</v>
      </c>
      <c r="B1512" s="22" t="s">
        <v>1647</v>
      </c>
      <c r="C1512" s="12"/>
      <c r="D1512" s="12"/>
      <c r="E1512" s="12"/>
      <c r="F1512" s="12"/>
      <c r="G1512" s="12"/>
      <c r="H1512" s="12"/>
      <c r="I1512" s="12"/>
      <c r="J1512" s="12"/>
      <c r="K1512" s="12"/>
      <c r="L1512" s="11">
        <v>-4.0</v>
      </c>
      <c r="M1512" s="11">
        <v>-12.0</v>
      </c>
      <c r="N1512" s="11">
        <v>-27.0</v>
      </c>
      <c r="O1512" s="11">
        <v>3000.0</v>
      </c>
      <c r="P1512" s="11">
        <v>2850.0</v>
      </c>
      <c r="Q1512" s="11">
        <v>4450.0</v>
      </c>
      <c r="R1512" s="11">
        <v>6560.0</v>
      </c>
      <c r="S1512" s="11">
        <v>7730.0</v>
      </c>
      <c r="T1512" s="11">
        <v>125.0</v>
      </c>
      <c r="U1512" s="11">
        <v>137.0</v>
      </c>
      <c r="V1512" s="11">
        <v>155.0</v>
      </c>
      <c r="W1512" s="11">
        <v>1700.0</v>
      </c>
      <c r="X1512" s="11">
        <v>2250.0</v>
      </c>
      <c r="Y1512" s="11">
        <v>-5050.0</v>
      </c>
      <c r="Z1512" s="11">
        <v>10550.0</v>
      </c>
      <c r="AA1512" s="11">
        <v>-1700.0</v>
      </c>
      <c r="AB1512" s="11">
        <v>-9830.0</v>
      </c>
      <c r="AC1512" s="11">
        <v>-13990.0</v>
      </c>
      <c r="AD1512" s="11">
        <v>-4800.0</v>
      </c>
      <c r="AE1512" s="11">
        <v>10740.0</v>
      </c>
      <c r="AF1512" s="11">
        <v>-2810.0</v>
      </c>
      <c r="AG1512" s="11">
        <v>-9770.0</v>
      </c>
      <c r="AH1512" s="11">
        <v>-14070.0</v>
      </c>
      <c r="AI1512" s="12"/>
      <c r="AJ1512" s="12"/>
      <c r="AK1512" s="11">
        <v>-4450.0</v>
      </c>
      <c r="AL1512" s="11">
        <v>-6560.0</v>
      </c>
      <c r="AM1512" s="11">
        <v>-7730.0</v>
      </c>
      <c r="AN1512" s="11">
        <v>-4800.0</v>
      </c>
      <c r="AO1512" s="11">
        <v>10740.0</v>
      </c>
      <c r="AP1512" s="11">
        <v>-2810.0</v>
      </c>
      <c r="AQ1512" s="11">
        <v>-9770.0</v>
      </c>
      <c r="AR1512" s="11">
        <v>-14070.0</v>
      </c>
      <c r="AS1512" s="11">
        <v>-2900.0</v>
      </c>
      <c r="AT1512" s="11">
        <v>-2670.0</v>
      </c>
      <c r="AU1512" s="11">
        <v>-4030.0</v>
      </c>
      <c r="AV1512" s="11">
        <v>-6650.0</v>
      </c>
      <c r="AW1512" s="11">
        <v>-7230.0</v>
      </c>
      <c r="AX1512" s="11">
        <v>-7.0</v>
      </c>
      <c r="AY1512" s="12"/>
      <c r="AZ1512" s="12"/>
      <c r="BA1512" s="11">
        <v>-253.0</v>
      </c>
      <c r="BB1512" s="11">
        <v>-256.0</v>
      </c>
      <c r="BC1512" s="12"/>
      <c r="BD1512" s="12"/>
      <c r="BE1512" s="12"/>
      <c r="BF1512" s="12"/>
      <c r="BG1512" s="12"/>
      <c r="BH1512" s="11">
        <v>23240.0</v>
      </c>
      <c r="BI1512" s="11">
        <v>30350.0</v>
      </c>
      <c r="BJ1512" s="11">
        <v>21160.0</v>
      </c>
      <c r="BK1512" s="11">
        <v>9360.0</v>
      </c>
      <c r="BL1512" s="11">
        <v>15830.0</v>
      </c>
      <c r="BM1512" s="12"/>
      <c r="BN1512" s="11">
        <v>82.0</v>
      </c>
      <c r="BO1512" s="11">
        <v>94.0</v>
      </c>
      <c r="BP1512" s="11">
        <v>735.0</v>
      </c>
      <c r="BQ1512" s="11">
        <v>533.0</v>
      </c>
      <c r="BR1512" s="12"/>
      <c r="BS1512" s="12"/>
      <c r="BT1512" s="12"/>
      <c r="BU1512" s="12"/>
      <c r="BV1512" s="12"/>
      <c r="BW1512" s="11">
        <v>23590.0</v>
      </c>
      <c r="BX1512" s="11">
        <v>30620.0</v>
      </c>
      <c r="BY1512" s="11">
        <v>21550.0</v>
      </c>
      <c r="BZ1512" s="11">
        <v>10600.0</v>
      </c>
      <c r="CA1512" s="11">
        <v>16600.0</v>
      </c>
      <c r="CB1512" s="11">
        <v>7.0</v>
      </c>
      <c r="CC1512" s="12"/>
      <c r="CD1512" s="12"/>
      <c r="CE1512" s="11">
        <v>38.0</v>
      </c>
      <c r="CF1512" s="11">
        <v>43.0</v>
      </c>
      <c r="CG1512" s="12"/>
      <c r="CH1512" s="12"/>
      <c r="CI1512" s="12"/>
      <c r="CJ1512" s="12"/>
      <c r="CK1512" s="12"/>
      <c r="CL1512" s="11">
        <v>24910.0</v>
      </c>
      <c r="CM1512" s="11">
        <v>32040.0</v>
      </c>
      <c r="CN1512" s="11">
        <v>22860.0</v>
      </c>
      <c r="CO1512" s="11">
        <v>11610.0</v>
      </c>
      <c r="CP1512" s="11">
        <v>20710.0</v>
      </c>
      <c r="CQ1512" s="11">
        <v>3.0</v>
      </c>
      <c r="CR1512" s="11">
        <v>30.0</v>
      </c>
      <c r="CS1512" s="11">
        <v>14.0</v>
      </c>
      <c r="CT1512" s="11">
        <v>65.0</v>
      </c>
      <c r="CU1512" s="11">
        <v>459.0</v>
      </c>
      <c r="CV1512" s="11">
        <v>801.0</v>
      </c>
      <c r="CW1512" s="12"/>
      <c r="CX1512" s="12"/>
      <c r="CY1512" s="12"/>
      <c r="CZ1512" s="12"/>
      <c r="DA1512" s="12"/>
      <c r="DB1512" s="11">
        <v>801.0</v>
      </c>
      <c r="DC1512" s="11">
        <v>945.0</v>
      </c>
      <c r="DD1512" s="11">
        <v>1040.0</v>
      </c>
      <c r="DE1512" s="11">
        <v>1270.0</v>
      </c>
      <c r="DF1512" s="11">
        <v>801.0</v>
      </c>
      <c r="DG1512" s="11">
        <v>945.0</v>
      </c>
      <c r="DH1512" s="11">
        <v>10300.0</v>
      </c>
      <c r="DI1512" s="11">
        <v>1270.0</v>
      </c>
      <c r="DJ1512" s="11">
        <v>1700.0</v>
      </c>
      <c r="DK1512" s="12"/>
      <c r="DL1512" s="12"/>
      <c r="DM1512" s="12"/>
      <c r="DN1512" s="12"/>
      <c r="DO1512" s="11">
        <v>39.0</v>
      </c>
      <c r="DP1512" s="12"/>
      <c r="DQ1512" s="12"/>
      <c r="DR1512" s="12"/>
      <c r="DS1512" s="12"/>
      <c r="DT1512" s="12"/>
      <c r="DU1512" s="13"/>
      <c r="DV1512" s="13"/>
      <c r="DW1512" s="13"/>
      <c r="DX1512" s="13"/>
      <c r="DY1512" s="13"/>
      <c r="DZ1512" s="11">
        <v>24110.0</v>
      </c>
      <c r="EA1512" s="11">
        <v>31100.0</v>
      </c>
      <c r="EB1512" s="11">
        <v>12560.0</v>
      </c>
      <c r="EC1512" s="11">
        <v>10340.0</v>
      </c>
      <c r="ED1512" s="11">
        <v>19020.0</v>
      </c>
      <c r="EE1512" s="23"/>
      <c r="EF1512" s="23"/>
      <c r="EG1512" s="23" t="s">
        <v>155</v>
      </c>
      <c r="EH1512" s="23"/>
    </row>
    <row r="1513">
      <c r="A1513" s="9">
        <f t="shared" si="2"/>
        <v>1511</v>
      </c>
      <c r="B1513" s="10" t="s">
        <v>1648</v>
      </c>
      <c r="C1513" s="12"/>
      <c r="D1513" s="12"/>
      <c r="E1513" s="11">
        <v>4.1096E8</v>
      </c>
      <c r="F1513" s="11">
        <v>4.7464E8</v>
      </c>
      <c r="G1513" s="11">
        <v>4.8929E8</v>
      </c>
      <c r="H1513" s="11">
        <v>3.9488E8</v>
      </c>
      <c r="I1513" s="11">
        <v>4.1126E8</v>
      </c>
      <c r="J1513" s="11">
        <v>1.1607E8</v>
      </c>
      <c r="K1513" s="11">
        <v>1.4792E8</v>
      </c>
      <c r="L1513" s="11">
        <v>1.6075E8</v>
      </c>
      <c r="M1513" s="11">
        <v>1.1733E8</v>
      </c>
      <c r="N1513" s="11">
        <v>1.2699E8</v>
      </c>
      <c r="O1513" s="11">
        <v>9.28E7</v>
      </c>
      <c r="P1513" s="11">
        <v>9.806E7</v>
      </c>
      <c r="Q1513" s="11">
        <v>1.0132E8</v>
      </c>
      <c r="R1513" s="11">
        <v>8.692E7</v>
      </c>
      <c r="S1513" s="11">
        <v>9.026E7</v>
      </c>
      <c r="T1513" s="11">
        <v>1.9E7</v>
      </c>
      <c r="U1513" s="12"/>
      <c r="V1513" s="11">
        <v>2.081E7</v>
      </c>
      <c r="W1513" s="11">
        <v>1.798E7</v>
      </c>
      <c r="X1513" s="11">
        <v>1.682E7</v>
      </c>
      <c r="Y1513" s="11">
        <v>2.321E7</v>
      </c>
      <c r="Z1513" s="11">
        <v>760000.0</v>
      </c>
      <c r="AA1513" s="11">
        <v>5.631E7</v>
      </c>
      <c r="AB1513" s="11">
        <v>2.905E7</v>
      </c>
      <c r="AC1513" s="11">
        <v>3.656E7</v>
      </c>
      <c r="AD1513" s="11">
        <v>2.464E7</v>
      </c>
      <c r="AE1513" s="11">
        <v>5.505E7</v>
      </c>
      <c r="AF1513" s="11">
        <v>5.858E7</v>
      </c>
      <c r="AG1513" s="11">
        <v>2.991E7</v>
      </c>
      <c r="AH1513" s="11">
        <v>3.52E7</v>
      </c>
      <c r="AI1513" s="11">
        <v>4.009E7</v>
      </c>
      <c r="AJ1513" s="11">
        <v>6.696E7</v>
      </c>
      <c r="AK1513" s="11">
        <v>7.448E7</v>
      </c>
      <c r="AL1513" s="11">
        <v>4.366E7</v>
      </c>
      <c r="AM1513" s="11">
        <v>5.103E7</v>
      </c>
      <c r="AN1513" s="11">
        <v>1.557E7</v>
      </c>
      <c r="AO1513" s="11">
        <v>4.252E7</v>
      </c>
      <c r="AP1513" s="11">
        <v>4.352E7</v>
      </c>
      <c r="AQ1513" s="11">
        <v>2.04E7</v>
      </c>
      <c r="AR1513" s="11">
        <v>2.237E7</v>
      </c>
      <c r="AS1513" s="11">
        <v>2.148E7</v>
      </c>
      <c r="AT1513" s="11">
        <v>3.435E7</v>
      </c>
      <c r="AU1513" s="11">
        <v>4.605E7</v>
      </c>
      <c r="AV1513" s="11">
        <v>3.375E7</v>
      </c>
      <c r="AW1513" s="11">
        <v>3.195E7</v>
      </c>
      <c r="AX1513" s="11">
        <v>-2.233E7</v>
      </c>
      <c r="AY1513" s="11">
        <v>-2.306E7</v>
      </c>
      <c r="AZ1513" s="11">
        <v>-1.775E7</v>
      </c>
      <c r="BA1513" s="11">
        <v>-1.515E7</v>
      </c>
      <c r="BB1513" s="11">
        <v>-2.065E7</v>
      </c>
      <c r="BC1513" s="11">
        <v>-1.365E7</v>
      </c>
      <c r="BD1513" s="11">
        <v>-1.218E7</v>
      </c>
      <c r="BE1513" s="11">
        <v>-8000000.0</v>
      </c>
      <c r="BF1513" s="11">
        <v>-5330000.0</v>
      </c>
      <c r="BG1513" s="11">
        <v>-5770000.0</v>
      </c>
      <c r="BH1513" s="11">
        <v>4.031E7</v>
      </c>
      <c r="BI1513" s="11">
        <v>3.929E7</v>
      </c>
      <c r="BJ1513" s="11">
        <v>4.228E7</v>
      </c>
      <c r="BK1513" s="11">
        <v>2.979E7</v>
      </c>
      <c r="BL1513" s="11">
        <v>3.171E7</v>
      </c>
      <c r="BM1513" s="11">
        <v>1.1789E8</v>
      </c>
      <c r="BN1513" s="11">
        <v>1.2472E8</v>
      </c>
      <c r="BO1513" s="11">
        <v>1.3934E8</v>
      </c>
      <c r="BP1513" s="11">
        <v>1.2937E8</v>
      </c>
      <c r="BQ1513" s="11">
        <v>1.1783E8</v>
      </c>
      <c r="BR1513" s="11">
        <v>1.0198E8</v>
      </c>
      <c r="BS1513" s="11">
        <v>1.117E8</v>
      </c>
      <c r="BT1513" s="11">
        <v>1.0005E8</v>
      </c>
      <c r="BU1513" s="11">
        <v>7.989E7</v>
      </c>
      <c r="BV1513" s="11">
        <v>7.759E7</v>
      </c>
      <c r="BW1513" s="11">
        <v>2.8121E8</v>
      </c>
      <c r="BX1513" s="11">
        <v>2.9741E8</v>
      </c>
      <c r="BY1513" s="11">
        <v>3.05E8</v>
      </c>
      <c r="BZ1513" s="11">
        <v>2.603E8</v>
      </c>
      <c r="CA1513" s="11">
        <v>2.4866E8</v>
      </c>
      <c r="CB1513" s="11">
        <v>9.127E7</v>
      </c>
      <c r="CC1513" s="11">
        <v>8.895E7</v>
      </c>
      <c r="CD1513" s="11">
        <v>6.796E7</v>
      </c>
      <c r="CE1513" s="11">
        <v>6.116E7</v>
      </c>
      <c r="CF1513" s="11">
        <v>6.1E7</v>
      </c>
      <c r="CG1513" s="11">
        <v>6400000.0</v>
      </c>
      <c r="CH1513" s="11">
        <v>5710000.0</v>
      </c>
      <c r="CI1513" s="11">
        <v>2930000.0</v>
      </c>
      <c r="CJ1513" s="11">
        <v>4050000.0</v>
      </c>
      <c r="CK1513" s="11">
        <v>5040000.0</v>
      </c>
      <c r="CL1513" s="11">
        <v>4.5013E8</v>
      </c>
      <c r="CM1513" s="11">
        <v>4.6397E8</v>
      </c>
      <c r="CN1513" s="11">
        <v>4.4125E8</v>
      </c>
      <c r="CO1513" s="11">
        <v>3.8751E8</v>
      </c>
      <c r="CP1513" s="11">
        <v>3.7353E8</v>
      </c>
      <c r="CQ1513" s="11">
        <v>5.473E7</v>
      </c>
      <c r="CR1513" s="11">
        <v>7.182E7</v>
      </c>
      <c r="CS1513" s="11">
        <v>8.48E7</v>
      </c>
      <c r="CT1513" s="11">
        <v>6.997E7</v>
      </c>
      <c r="CU1513" s="11">
        <v>6.267E7</v>
      </c>
      <c r="CV1513" s="11">
        <v>1.3855E8</v>
      </c>
      <c r="CW1513" s="11">
        <v>2.852E7</v>
      </c>
      <c r="CX1513" s="11">
        <v>2.647E7</v>
      </c>
      <c r="CY1513" s="11">
        <v>1.046E7</v>
      </c>
      <c r="CZ1513" s="11">
        <v>1.416E7</v>
      </c>
      <c r="DA1513" s="11">
        <v>2.156E7</v>
      </c>
      <c r="DB1513" s="11">
        <v>1.3855E8</v>
      </c>
      <c r="DC1513" s="11">
        <v>1.5969E8</v>
      </c>
      <c r="DD1513" s="11">
        <v>1.6167E8</v>
      </c>
      <c r="DE1513" s="11">
        <v>1.4164E8</v>
      </c>
      <c r="DF1513" s="11">
        <v>2.1896E8</v>
      </c>
      <c r="DG1513" s="11">
        <v>2.1704E8</v>
      </c>
      <c r="DH1513" s="11">
        <v>2.0262E8</v>
      </c>
      <c r="DI1513" s="11">
        <v>1.8681E8</v>
      </c>
      <c r="DJ1513" s="11">
        <v>1.8963E8</v>
      </c>
      <c r="DK1513" s="11">
        <v>8080000.0</v>
      </c>
      <c r="DL1513" s="11">
        <v>8050000.0</v>
      </c>
      <c r="DM1513" s="11">
        <v>3.79E7</v>
      </c>
      <c r="DN1513" s="11">
        <v>3.182E7</v>
      </c>
      <c r="DO1513" s="11">
        <v>2.505E7</v>
      </c>
      <c r="DP1513" s="11">
        <v>4.371E7</v>
      </c>
      <c r="DQ1513" s="11">
        <v>2.32E7</v>
      </c>
      <c r="DR1513" s="11">
        <v>9650000.0</v>
      </c>
      <c r="DS1513" s="11">
        <v>1.194E7</v>
      </c>
      <c r="DT1513" s="11">
        <v>2.042E7</v>
      </c>
      <c r="DU1513" s="13"/>
      <c r="DV1513" s="13"/>
      <c r="DW1513" s="13"/>
      <c r="DX1513" s="13"/>
      <c r="DY1513" s="12"/>
      <c r="DZ1513" s="11">
        <v>2.2836E8</v>
      </c>
      <c r="EA1513" s="11">
        <v>2.4397E8</v>
      </c>
      <c r="EB1513" s="11">
        <v>2.3587E8</v>
      </c>
      <c r="EC1513" s="11">
        <v>1.9851E8</v>
      </c>
      <c r="ED1513" s="11">
        <v>1.8128E8</v>
      </c>
      <c r="EE1513" s="23"/>
      <c r="EF1513" s="23"/>
      <c r="EG1513" s="29"/>
      <c r="EH1513" s="23"/>
    </row>
    <row r="1514">
      <c r="A1514" s="9">
        <f t="shared" si="2"/>
        <v>1512</v>
      </c>
      <c r="B1514" s="22" t="s">
        <v>1649</v>
      </c>
      <c r="C1514" s="11">
        <v>78340.0</v>
      </c>
      <c r="D1514" s="11">
        <v>3200.0</v>
      </c>
      <c r="E1514" s="12"/>
      <c r="F1514" s="12"/>
      <c r="G1514" s="12"/>
      <c r="H1514" s="12"/>
      <c r="I1514" s="12"/>
      <c r="J1514" s="11">
        <v>-166.0</v>
      </c>
      <c r="K1514" s="11">
        <v>-29.0</v>
      </c>
      <c r="L1514" s="12"/>
      <c r="M1514" s="12"/>
      <c r="N1514" s="12"/>
      <c r="O1514" s="11">
        <v>82840.0</v>
      </c>
      <c r="P1514" s="11">
        <v>43200.0</v>
      </c>
      <c r="Q1514" s="11">
        <v>19240.0</v>
      </c>
      <c r="R1514" s="11">
        <v>17040.0</v>
      </c>
      <c r="S1514" s="12"/>
      <c r="T1514" s="11">
        <v>63490.0</v>
      </c>
      <c r="U1514" s="11">
        <v>34270.0</v>
      </c>
      <c r="V1514" s="11">
        <v>14310.0</v>
      </c>
      <c r="W1514" s="11">
        <v>13860.0</v>
      </c>
      <c r="X1514" s="12"/>
      <c r="Y1514" s="12"/>
      <c r="Z1514" s="12"/>
      <c r="AA1514" s="12"/>
      <c r="AB1514" s="12"/>
      <c r="AC1514" s="12"/>
      <c r="AD1514" s="11">
        <v>-81030.0</v>
      </c>
      <c r="AE1514" s="11">
        <v>-43270.0</v>
      </c>
      <c r="AF1514" s="11">
        <v>-19160.0</v>
      </c>
      <c r="AG1514" s="11">
        <v>-17060.0</v>
      </c>
      <c r="AH1514" s="12"/>
      <c r="AI1514" s="11">
        <v>-82840.0</v>
      </c>
      <c r="AJ1514" s="11">
        <v>-43200.0</v>
      </c>
      <c r="AK1514" s="11">
        <v>-19240.0</v>
      </c>
      <c r="AL1514" s="12"/>
      <c r="AM1514" s="12"/>
      <c r="AN1514" s="11">
        <v>-81030.0</v>
      </c>
      <c r="AO1514" s="11">
        <v>-43270.0</v>
      </c>
      <c r="AP1514" s="11">
        <v>-19160.0</v>
      </c>
      <c r="AQ1514" s="11">
        <v>-17060.0</v>
      </c>
      <c r="AR1514" s="12"/>
      <c r="AS1514" s="11">
        <v>-73500.0</v>
      </c>
      <c r="AT1514" s="11">
        <v>-41230.0</v>
      </c>
      <c r="AU1514" s="11">
        <v>-15870.0</v>
      </c>
      <c r="AV1514" s="11">
        <v>-11170.0</v>
      </c>
      <c r="AW1514" s="12"/>
      <c r="AX1514" s="11">
        <v>-1970.0</v>
      </c>
      <c r="AY1514" s="11">
        <v>-234.0</v>
      </c>
      <c r="AZ1514" s="12"/>
      <c r="BA1514" s="12"/>
      <c r="BB1514" s="12"/>
      <c r="BC1514" s="12"/>
      <c r="BD1514" s="12"/>
      <c r="BE1514" s="12"/>
      <c r="BF1514" s="12"/>
      <c r="BG1514" s="12"/>
      <c r="BH1514" s="11">
        <v>207140.0</v>
      </c>
      <c r="BI1514" s="11">
        <v>147870.0</v>
      </c>
      <c r="BJ1514" s="11">
        <v>90520.0</v>
      </c>
      <c r="BK1514" s="11">
        <v>16900.0</v>
      </c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1">
        <v>211960.0</v>
      </c>
      <c r="BX1514" s="11">
        <v>151530.0</v>
      </c>
      <c r="BY1514" s="11">
        <v>91360.0</v>
      </c>
      <c r="BZ1514" s="11">
        <v>17260.0</v>
      </c>
      <c r="CA1514" s="12"/>
      <c r="CB1514" s="11">
        <v>4040.0</v>
      </c>
      <c r="CC1514" s="11">
        <v>205.0</v>
      </c>
      <c r="CD1514" s="12"/>
      <c r="CE1514" s="12"/>
      <c r="CF1514" s="12"/>
      <c r="CG1514" s="12"/>
      <c r="CH1514" s="12"/>
      <c r="CI1514" s="12"/>
      <c r="CJ1514" s="12"/>
      <c r="CK1514" s="12"/>
      <c r="CL1514" s="11">
        <v>216370.0</v>
      </c>
      <c r="CM1514" s="11">
        <v>151920.0</v>
      </c>
      <c r="CN1514" s="11">
        <v>92130.0</v>
      </c>
      <c r="CO1514" s="11">
        <v>17260.0</v>
      </c>
      <c r="CP1514" s="12"/>
      <c r="CQ1514" s="11">
        <v>8520.0</v>
      </c>
      <c r="CR1514" s="11">
        <v>5870.0</v>
      </c>
      <c r="CS1514" s="12"/>
      <c r="CT1514" s="12"/>
      <c r="CU1514" s="12"/>
      <c r="CV1514" s="11">
        <v>13590.0</v>
      </c>
      <c r="CW1514" s="11">
        <v>516.0</v>
      </c>
      <c r="CX1514" s="12"/>
      <c r="CY1514" s="12"/>
      <c r="CZ1514" s="12"/>
      <c r="DA1514" s="12"/>
      <c r="DB1514" s="11">
        <v>13590.0</v>
      </c>
      <c r="DC1514" s="11">
        <v>9120.0</v>
      </c>
      <c r="DD1514" s="11">
        <v>7930.0</v>
      </c>
      <c r="DE1514" s="11">
        <v>2980.0</v>
      </c>
      <c r="DF1514" s="11">
        <v>17460.0</v>
      </c>
      <c r="DG1514" s="11">
        <v>11400.0</v>
      </c>
      <c r="DH1514" s="11">
        <v>9980.0</v>
      </c>
      <c r="DI1514" s="11">
        <v>5200.0</v>
      </c>
      <c r="DJ1514" s="12"/>
      <c r="DK1514" s="12"/>
      <c r="DL1514" s="12"/>
      <c r="DM1514" s="12"/>
      <c r="DN1514" s="12"/>
      <c r="DO1514" s="12"/>
      <c r="DP1514" s="11">
        <v>1710.0</v>
      </c>
      <c r="DQ1514" s="12"/>
      <c r="DR1514" s="12"/>
      <c r="DS1514" s="12"/>
      <c r="DT1514" s="12"/>
      <c r="DU1514" s="13"/>
      <c r="DV1514" s="12"/>
      <c r="DW1514" s="12"/>
      <c r="DX1514" s="13"/>
      <c r="DY1514" s="13"/>
      <c r="DZ1514" s="11">
        <v>198900.0</v>
      </c>
      <c r="EA1514" s="11">
        <v>140530.0</v>
      </c>
      <c r="EB1514" s="11">
        <v>82150.0</v>
      </c>
      <c r="EC1514" s="11">
        <v>12060.0</v>
      </c>
      <c r="ED1514" s="12"/>
      <c r="EE1514" s="23"/>
      <c r="EF1514" s="23"/>
      <c r="EG1514" s="14">
        <v>-0.485</v>
      </c>
      <c r="EH1514" s="14">
        <v>-0.18</v>
      </c>
    </row>
    <row r="1515">
      <c r="A1515" s="9">
        <f t="shared" si="2"/>
        <v>1513</v>
      </c>
      <c r="B1515" s="10" t="s">
        <v>1650</v>
      </c>
      <c r="C1515" s="11">
        <v>4740000.0</v>
      </c>
      <c r="D1515" s="11">
        <v>4510000.0</v>
      </c>
      <c r="E1515" s="11">
        <v>4870000.0</v>
      </c>
      <c r="F1515" s="11">
        <v>5090000.0</v>
      </c>
      <c r="G1515" s="11">
        <v>4890000.0</v>
      </c>
      <c r="H1515" s="11">
        <v>4700000.0</v>
      </c>
      <c r="I1515" s="11">
        <v>4830000.0</v>
      </c>
      <c r="J1515" s="11">
        <v>10700.0</v>
      </c>
      <c r="K1515" s="11">
        <v>122100.0</v>
      </c>
      <c r="L1515" s="11">
        <v>118400.0</v>
      </c>
      <c r="M1515" s="11">
        <v>361900.0</v>
      </c>
      <c r="N1515" s="11">
        <v>361000.0</v>
      </c>
      <c r="O1515" s="11"/>
      <c r="P1515" s="11"/>
      <c r="Q1515" s="11"/>
      <c r="R1515" s="11">
        <v>252200.0</v>
      </c>
      <c r="S1515" s="11">
        <v>266100.0</v>
      </c>
      <c r="T1515" s="12"/>
      <c r="U1515" s="12"/>
      <c r="V1515" s="12"/>
      <c r="W1515" s="12"/>
      <c r="X1515" s="12"/>
      <c r="Y1515" s="11">
        <v>-8700.0</v>
      </c>
      <c r="Z1515" s="12"/>
      <c r="AA1515" s="11"/>
      <c r="AB1515" s="12"/>
      <c r="AC1515" s="11">
        <v>-600.0</v>
      </c>
      <c r="AD1515" s="11">
        <v>-108300.0</v>
      </c>
      <c r="AE1515" s="11">
        <v>31300.0</v>
      </c>
      <c r="AF1515" s="11">
        <v>-18100.0</v>
      </c>
      <c r="AG1515" s="11">
        <v>24600.0</v>
      </c>
      <c r="AH1515" s="11">
        <v>-4400.0</v>
      </c>
      <c r="AI1515" s="11">
        <v>163100.0</v>
      </c>
      <c r="AJ1515" s="11">
        <v>269800.0</v>
      </c>
      <c r="AK1515" s="11">
        <v>266100.0</v>
      </c>
      <c r="AL1515" s="11">
        <v>269500.0</v>
      </c>
      <c r="AM1515" s="11">
        <v>258600.0</v>
      </c>
      <c r="AN1515" s="11">
        <v>-104000.0</v>
      </c>
      <c r="AO1515" s="11">
        <v>20200.0</v>
      </c>
      <c r="AP1515" s="11">
        <v>-10800.0</v>
      </c>
      <c r="AQ1515" s="11">
        <v>21500.0</v>
      </c>
      <c r="AR1515" s="12">
        <v>700.0</v>
      </c>
      <c r="AS1515" s="11">
        <v>21500.0</v>
      </c>
      <c r="AT1515" s="11">
        <v>224800.0</v>
      </c>
      <c r="AU1515" s="11">
        <v>46200.0</v>
      </c>
      <c r="AV1515" s="11">
        <v>102000.0</v>
      </c>
      <c r="AW1515" s="11">
        <v>140800.0</v>
      </c>
      <c r="AX1515" s="11">
        <v>-143200.0</v>
      </c>
      <c r="AY1515" s="11">
        <v>-145400.0</v>
      </c>
      <c r="AZ1515" s="11">
        <v>-103300.0</v>
      </c>
      <c r="BA1515" s="11">
        <v>-100600.0</v>
      </c>
      <c r="BB1515" s="11">
        <v>-108000.0</v>
      </c>
      <c r="BC1515" s="12"/>
      <c r="BD1515" s="12"/>
      <c r="BE1515" s="12"/>
      <c r="BF1515" s="12"/>
      <c r="BG1515" s="12"/>
      <c r="BH1515" s="11">
        <v>109200.0</v>
      </c>
      <c r="BI1515" s="11">
        <v>227600.0</v>
      </c>
      <c r="BJ1515" s="11">
        <v>91600.0</v>
      </c>
      <c r="BK1515" s="11">
        <v>263400.0</v>
      </c>
      <c r="BL1515" s="11">
        <v>232600.0</v>
      </c>
      <c r="BM1515" s="11">
        <v>464400.0</v>
      </c>
      <c r="BN1515" s="11">
        <v>470300.0</v>
      </c>
      <c r="BO1515" s="11">
        <v>489600.0</v>
      </c>
      <c r="BP1515" s="11">
        <v>457800.0</v>
      </c>
      <c r="BQ1515" s="11">
        <v>429700.0</v>
      </c>
      <c r="BR1515" s="12"/>
      <c r="BS1515" s="12"/>
      <c r="BT1515" s="12"/>
      <c r="BU1515" s="12"/>
      <c r="BV1515" s="12"/>
      <c r="BW1515" s="11">
        <v>618200.0</v>
      </c>
      <c r="BX1515" s="11">
        <v>756600.0</v>
      </c>
      <c r="BY1515" s="11">
        <v>700100.0</v>
      </c>
      <c r="BZ1515" s="11">
        <v>780800.0</v>
      </c>
      <c r="CA1515" s="11">
        <v>734400.0</v>
      </c>
      <c r="CB1515" s="11">
        <v>1160000.0</v>
      </c>
      <c r="CC1515" s="11">
        <v>796100.0</v>
      </c>
      <c r="CD1515" s="11">
        <v>812700.0</v>
      </c>
      <c r="CE1515" s="11">
        <v>870600.0</v>
      </c>
      <c r="CF1515" s="11">
        <v>937300.0</v>
      </c>
      <c r="CG1515" s="11"/>
      <c r="CH1515" s="11"/>
      <c r="CI1515" s="11"/>
      <c r="CJ1515" s="11"/>
      <c r="CK1515" s="11"/>
      <c r="CL1515" s="11">
        <v>2070000.0</v>
      </c>
      <c r="CM1515" s="11">
        <v>1770000.0</v>
      </c>
      <c r="CN1515" s="11">
        <v>1790000.0</v>
      </c>
      <c r="CO1515" s="11">
        <v>1770000.0</v>
      </c>
      <c r="CP1515" s="11">
        <v>1880000.0</v>
      </c>
      <c r="CQ1515" s="11">
        <v>163700.0</v>
      </c>
      <c r="CR1515" s="11">
        <v>178000.0</v>
      </c>
      <c r="CS1515" s="11">
        <v>172000.0</v>
      </c>
      <c r="CT1515" s="11">
        <v>160600.0</v>
      </c>
      <c r="CU1515" s="11">
        <v>161100.0</v>
      </c>
      <c r="CV1515" s="11">
        <v>652000.0</v>
      </c>
      <c r="CW1515" s="11">
        <v>120800.0</v>
      </c>
      <c r="CX1515" s="12"/>
      <c r="CY1515" s="12"/>
      <c r="CZ1515" s="12"/>
      <c r="DA1515" s="12"/>
      <c r="DB1515" s="11">
        <v>652000.0</v>
      </c>
      <c r="DC1515" s="11">
        <v>592400.0</v>
      </c>
      <c r="DD1515" s="11">
        <v>544200.0</v>
      </c>
      <c r="DE1515" s="11">
        <v>561900.0</v>
      </c>
      <c r="DF1515" s="11">
        <v>2510000.0</v>
      </c>
      <c r="DG1515" s="11">
        <v>2080000.0</v>
      </c>
      <c r="DH1515" s="11">
        <v>2150000.0</v>
      </c>
      <c r="DI1515" s="11">
        <v>2190000.0</v>
      </c>
      <c r="DJ1515" s="11">
        <v>2260000.0</v>
      </c>
      <c r="DK1515" s="12"/>
      <c r="DL1515" s="11"/>
      <c r="DM1515" s="11"/>
      <c r="DN1515" s="11">
        <v>12300.0</v>
      </c>
      <c r="DO1515" s="11">
        <v>85700.0</v>
      </c>
      <c r="DP1515" s="11">
        <v>1110000.0</v>
      </c>
      <c r="DQ1515" s="11">
        <v>854200.0</v>
      </c>
      <c r="DR1515" s="11">
        <v>875500.0</v>
      </c>
      <c r="DS1515" s="11">
        <v>980300.0</v>
      </c>
      <c r="DT1515" s="11">
        <v>1050000.0</v>
      </c>
      <c r="DU1515" s="13"/>
      <c r="DV1515" s="12"/>
      <c r="DW1515" s="12"/>
      <c r="DX1515" s="12"/>
      <c r="DY1515" s="12"/>
      <c r="DZ1515" s="11">
        <v>-441200.0</v>
      </c>
      <c r="EA1515" s="11">
        <v>-305500.0</v>
      </c>
      <c r="EB1515" s="11">
        <v>-353500.0</v>
      </c>
      <c r="EC1515" s="11">
        <v>-416200.0</v>
      </c>
      <c r="ED1515" s="11">
        <v>-379400.0</v>
      </c>
      <c r="EE1515" s="14">
        <v>0.018</v>
      </c>
      <c r="EF1515" s="14">
        <v>0.042</v>
      </c>
      <c r="EG1515" s="14">
        <v>0.21</v>
      </c>
      <c r="EH1515" s="14">
        <v>0.103</v>
      </c>
    </row>
    <row r="1516">
      <c r="A1516" s="9">
        <f t="shared" si="2"/>
        <v>1514</v>
      </c>
      <c r="B1516" s="10" t="s">
        <v>1651</v>
      </c>
      <c r="C1516" s="15">
        <v>6110000.0</v>
      </c>
      <c r="D1516" s="15">
        <v>5500000.0</v>
      </c>
      <c r="E1516" s="15">
        <v>5600000.0</v>
      </c>
      <c r="F1516" s="15">
        <v>5690000.0</v>
      </c>
      <c r="G1516" s="15">
        <v>5880000.0</v>
      </c>
      <c r="H1516" s="15">
        <v>6360000.0</v>
      </c>
      <c r="I1516" s="15">
        <v>6440000.0</v>
      </c>
      <c r="J1516" s="15">
        <v>2810000.0</v>
      </c>
      <c r="K1516" s="15">
        <v>2660000.0</v>
      </c>
      <c r="L1516" s="15">
        <v>2690000.0</v>
      </c>
      <c r="M1516" s="15">
        <v>2670000.0</v>
      </c>
      <c r="N1516" s="15">
        <v>2560000.0</v>
      </c>
      <c r="O1516" s="15">
        <v>917000.0</v>
      </c>
      <c r="P1516" s="15">
        <v>887000.0</v>
      </c>
      <c r="Q1516" s="15">
        <v>976000.0</v>
      </c>
      <c r="R1516" s="15">
        <v>1130000.0</v>
      </c>
      <c r="S1516" s="15">
        <v>1100000.0</v>
      </c>
      <c r="T1516" s="12"/>
      <c r="U1516" s="12"/>
      <c r="V1516" s="12">
        <v>22000.0</v>
      </c>
      <c r="W1516" s="12">
        <v>24000.0</v>
      </c>
      <c r="X1516" s="12">
        <v>24000.0</v>
      </c>
      <c r="Y1516" s="15">
        <v>1810000.0</v>
      </c>
      <c r="Z1516" s="15">
        <v>1760000.0</v>
      </c>
      <c r="AA1516" s="15">
        <v>-26000.0</v>
      </c>
      <c r="AB1516" s="15">
        <v>-15000.0</v>
      </c>
      <c r="AC1516" s="15">
        <v>-15000.0</v>
      </c>
      <c r="AD1516" s="15">
        <v>1370000.0</v>
      </c>
      <c r="AE1516" s="15">
        <v>1840000.0</v>
      </c>
      <c r="AF1516" s="15">
        <v>2270000.0</v>
      </c>
      <c r="AG1516" s="15">
        <v>1350000.0</v>
      </c>
      <c r="AH1516" s="15">
        <v>1260000.0</v>
      </c>
      <c r="AI1516" s="15">
        <v>2060000.0</v>
      </c>
      <c r="AJ1516" s="15">
        <v>1950000.0</v>
      </c>
      <c r="AK1516" s="15">
        <v>1960000.0</v>
      </c>
      <c r="AL1516" s="15">
        <v>1850000.0</v>
      </c>
      <c r="AM1516" s="15">
        <v>1770000.0</v>
      </c>
      <c r="AN1516" s="15">
        <v>1290000.0</v>
      </c>
      <c r="AO1516" s="15">
        <v>1540000.0</v>
      </c>
      <c r="AP1516" s="15">
        <v>1340000.0</v>
      </c>
      <c r="AQ1516" s="15">
        <v>1020000.0</v>
      </c>
      <c r="AR1516" s="15">
        <v>936000.0</v>
      </c>
      <c r="AS1516" s="15">
        <v>1320000.0</v>
      </c>
      <c r="AT1516" s="15">
        <v>1180000.0</v>
      </c>
      <c r="AU1516" s="15">
        <v>1030000.0</v>
      </c>
      <c r="AV1516" s="15">
        <v>1250000.0</v>
      </c>
      <c r="AW1516" s="15">
        <v>1210000.0</v>
      </c>
      <c r="AX1516" s="15">
        <v>-196000.0</v>
      </c>
      <c r="AY1516" s="15">
        <v>-234000.0</v>
      </c>
      <c r="AZ1516" s="15">
        <v>-318000.0</v>
      </c>
      <c r="BA1516" s="15">
        <v>-427000.0</v>
      </c>
      <c r="BB1516" s="15">
        <v>-461000.0</v>
      </c>
      <c r="BC1516" s="13">
        <v>-511000.0</v>
      </c>
      <c r="BD1516" s="13">
        <v>-462000.0</v>
      </c>
      <c r="BE1516" s="13">
        <v>-416000.0</v>
      </c>
      <c r="BF1516" s="13">
        <v>-744000.0</v>
      </c>
      <c r="BG1516" s="13">
        <v>-730000.0</v>
      </c>
      <c r="BH1516" s="15">
        <v>743000.0</v>
      </c>
      <c r="BI1516" s="15">
        <v>443000.0</v>
      </c>
      <c r="BJ1516" s="15">
        <v>1720000.0</v>
      </c>
      <c r="BK1516" s="15">
        <v>862000.0</v>
      </c>
      <c r="BL1516" s="15">
        <v>416000.0</v>
      </c>
      <c r="BM1516" s="15">
        <v>623000.0</v>
      </c>
      <c r="BN1516" s="15">
        <v>597000.0</v>
      </c>
      <c r="BO1516" s="15">
        <v>575000.0</v>
      </c>
      <c r="BP1516" s="15">
        <v>414000.0</v>
      </c>
      <c r="BQ1516" s="15">
        <v>363000.0</v>
      </c>
      <c r="BR1516" s="15"/>
      <c r="BS1516" s="15"/>
      <c r="BT1516" s="15">
        <v>13000.0</v>
      </c>
      <c r="BU1516" s="15">
        <v>37000.0</v>
      </c>
      <c r="BV1516" s="15">
        <v>40000.0</v>
      </c>
      <c r="BW1516" s="15">
        <v>1530000.0</v>
      </c>
      <c r="BX1516" s="15">
        <v>1210000.0</v>
      </c>
      <c r="BY1516" s="15">
        <v>2510000.0</v>
      </c>
      <c r="BZ1516" s="15">
        <v>1510000.0</v>
      </c>
      <c r="CA1516" s="15">
        <v>1690000.0</v>
      </c>
      <c r="CB1516" s="15">
        <v>1810000.0</v>
      </c>
      <c r="CC1516" s="15">
        <v>1240000.0</v>
      </c>
      <c r="CD1516" s="15">
        <v>1700000.0</v>
      </c>
      <c r="CE1516" s="15">
        <v>2110000.0</v>
      </c>
      <c r="CF1516" s="15">
        <v>2350000.0</v>
      </c>
      <c r="CG1516" s="15">
        <v>530000.0</v>
      </c>
      <c r="CH1516" s="15">
        <v>525000.0</v>
      </c>
      <c r="CI1516" s="15">
        <v>512000.0</v>
      </c>
      <c r="CJ1516" s="15">
        <v>536000.0</v>
      </c>
      <c r="CK1516" s="15">
        <v>571000.0</v>
      </c>
      <c r="CL1516" s="15">
        <v>5230000.0</v>
      </c>
      <c r="CM1516" s="15">
        <v>4130000.0</v>
      </c>
      <c r="CN1516" s="15">
        <v>5310000.0</v>
      </c>
      <c r="CO1516" s="15">
        <v>5450000.0</v>
      </c>
      <c r="CP1516" s="15">
        <v>8060000.0</v>
      </c>
      <c r="CQ1516" s="15">
        <v>173000.0</v>
      </c>
      <c r="CR1516" s="15">
        <v>202000.0</v>
      </c>
      <c r="CS1516" s="15">
        <v>119000.0</v>
      </c>
      <c r="CT1516" s="15">
        <v>142000.0</v>
      </c>
      <c r="CU1516" s="15">
        <v>181000.0</v>
      </c>
      <c r="CV1516" s="15">
        <v>1540000.0</v>
      </c>
      <c r="CW1516" s="15">
        <v>71000.0</v>
      </c>
      <c r="CX1516" s="13">
        <v>321000.0</v>
      </c>
      <c r="CY1516" s="13">
        <v>375000.0</v>
      </c>
      <c r="CZ1516" s="13">
        <v>66000.0</v>
      </c>
      <c r="DA1516" s="12">
        <v>921000.0</v>
      </c>
      <c r="DB1516" s="15">
        <v>1540000.0</v>
      </c>
      <c r="DC1516" s="15">
        <v>1300000.0</v>
      </c>
      <c r="DD1516" s="15">
        <v>1510000.0</v>
      </c>
      <c r="DE1516" s="15">
        <v>1310000.0</v>
      </c>
      <c r="DF1516" s="15">
        <v>1.325E7</v>
      </c>
      <c r="DG1516" s="15">
        <v>1.206E7</v>
      </c>
      <c r="DH1516" s="15">
        <v>1.165E7</v>
      </c>
      <c r="DI1516" s="15">
        <v>1.107E7</v>
      </c>
      <c r="DJ1516" s="15">
        <v>7090000.0</v>
      </c>
      <c r="DK1516" s="12">
        <v>137000.0</v>
      </c>
      <c r="DL1516" s="12">
        <v>214000.0</v>
      </c>
      <c r="DM1516" s="12"/>
      <c r="DN1516" s="12"/>
      <c r="DO1516" s="15"/>
      <c r="DP1516" s="15">
        <v>1.077E7</v>
      </c>
      <c r="DQ1516" s="15">
        <v>9750000.0</v>
      </c>
      <c r="DR1516" s="15">
        <v>9430000.0</v>
      </c>
      <c r="DS1516" s="15">
        <v>9060000.0</v>
      </c>
      <c r="DT1516" s="15">
        <v>3010000.0</v>
      </c>
      <c r="DU1516" s="13"/>
      <c r="DV1516" s="12"/>
      <c r="DW1516" s="12"/>
      <c r="DX1516" s="13"/>
      <c r="DY1516" s="13"/>
      <c r="DZ1516" s="15">
        <v>-8020000.0</v>
      </c>
      <c r="EA1516" s="15">
        <v>-7930000.0</v>
      </c>
      <c r="EB1516" s="15">
        <v>-6330000.0</v>
      </c>
      <c r="EC1516" s="15">
        <v>-5620000.0</v>
      </c>
      <c r="ED1516" s="15">
        <v>911000.0</v>
      </c>
      <c r="EE1516" s="23">
        <v>0.105454545</v>
      </c>
      <c r="EF1516" s="23">
        <v>0.184942717</v>
      </c>
      <c r="EG1516" s="17">
        <v>0.547</v>
      </c>
      <c r="EH1516" s="23">
        <v>0.06325</v>
      </c>
    </row>
    <row r="1517">
      <c r="A1517" s="9">
        <f t="shared" si="2"/>
        <v>1515</v>
      </c>
      <c r="B1517" s="10" t="s">
        <v>1652</v>
      </c>
      <c r="C1517" s="15">
        <v>9530000.0</v>
      </c>
      <c r="D1517" s="15">
        <v>8080000.0</v>
      </c>
      <c r="E1517" s="15">
        <v>8780000.0</v>
      </c>
      <c r="F1517" s="15">
        <v>8420000.0</v>
      </c>
      <c r="G1517" s="15">
        <v>7770000.0</v>
      </c>
      <c r="H1517" s="15">
        <v>6750000.0</v>
      </c>
      <c r="I1517" s="15">
        <v>6910000.0</v>
      </c>
      <c r="J1517" s="15">
        <v>1400000.0</v>
      </c>
      <c r="K1517" s="15">
        <v>1320000.0</v>
      </c>
      <c r="L1517" s="15">
        <v>1280000.0</v>
      </c>
      <c r="M1517" s="15">
        <v>1070000.0</v>
      </c>
      <c r="N1517" s="15">
        <v>908000.0</v>
      </c>
      <c r="O1517" s="15">
        <v>487000.0</v>
      </c>
      <c r="P1517" s="15">
        <v>456000.0</v>
      </c>
      <c r="Q1517" s="15">
        <v>495000.0</v>
      </c>
      <c r="R1517" s="15">
        <v>424000.0</v>
      </c>
      <c r="S1517" s="15">
        <v>395000.0</v>
      </c>
      <c r="T1517" s="15">
        <v>4000.0</v>
      </c>
      <c r="U1517" s="15">
        <v>4000.0</v>
      </c>
      <c r="V1517" s="15">
        <v>5000.0</v>
      </c>
      <c r="W1517" s="15">
        <v>5000.0</v>
      </c>
      <c r="X1517" s="15">
        <v>5000.0</v>
      </c>
      <c r="Y1517" s="15">
        <v>941000.0</v>
      </c>
      <c r="Z1517" s="15">
        <v>889000.0</v>
      </c>
      <c r="AA1517" s="15">
        <v>-47000.0</v>
      </c>
      <c r="AB1517" s="15">
        <v>593000.0</v>
      </c>
      <c r="AC1517" s="15">
        <v>454000.0</v>
      </c>
      <c r="AD1517" s="15">
        <v>934000.0</v>
      </c>
      <c r="AE1517" s="15">
        <v>885000.0</v>
      </c>
      <c r="AF1517" s="15">
        <v>738000.0</v>
      </c>
      <c r="AG1517" s="15">
        <v>618000.0</v>
      </c>
      <c r="AH1517" s="15">
        <v>496000.0</v>
      </c>
      <c r="AI1517" s="15">
        <v>1680000.0</v>
      </c>
      <c r="AJ1517" s="15">
        <v>1300000.0</v>
      </c>
      <c r="AK1517" s="15">
        <v>1190000.0</v>
      </c>
      <c r="AL1517" s="15">
        <v>1050000.0</v>
      </c>
      <c r="AM1517" s="15">
        <v>938000.0</v>
      </c>
      <c r="AN1517" s="15">
        <v>713000.0</v>
      </c>
      <c r="AO1517" s="15">
        <v>708000.0</v>
      </c>
      <c r="AP1517" s="15">
        <v>398000.0</v>
      </c>
      <c r="AQ1517" s="15">
        <v>502000.0</v>
      </c>
      <c r="AR1517" s="15">
        <v>323000.0</v>
      </c>
      <c r="AS1517" s="15">
        <v>1190000.0</v>
      </c>
      <c r="AT1517" s="15">
        <v>1330000.0</v>
      </c>
      <c r="AU1517" s="15">
        <v>884000.0</v>
      </c>
      <c r="AV1517" s="15">
        <v>864000.0</v>
      </c>
      <c r="AW1517" s="15">
        <v>910000.0</v>
      </c>
      <c r="AX1517" s="15">
        <v>-435000.0</v>
      </c>
      <c r="AY1517" s="15">
        <v>-470000.0</v>
      </c>
      <c r="AZ1517" s="15">
        <v>-415000.0</v>
      </c>
      <c r="BA1517" s="15">
        <v>-436000.0</v>
      </c>
      <c r="BB1517" s="15">
        <v>-512000.0</v>
      </c>
      <c r="BC1517" s="13">
        <v>-181000.0</v>
      </c>
      <c r="BD1517" s="13">
        <v>-161000.0</v>
      </c>
      <c r="BE1517" s="13">
        <v>-38000.0</v>
      </c>
      <c r="BF1517" s="13"/>
      <c r="BG1517" s="13"/>
      <c r="BH1517" s="15">
        <v>1660000.0</v>
      </c>
      <c r="BI1517" s="15">
        <v>1390000.0</v>
      </c>
      <c r="BJ1517" s="15">
        <v>1260000.0</v>
      </c>
      <c r="BK1517" s="15">
        <v>964000.0</v>
      </c>
      <c r="BL1517" s="15">
        <v>425000.0</v>
      </c>
      <c r="BM1517" s="15">
        <v>137000.0</v>
      </c>
      <c r="BN1517" s="15">
        <v>149000.0</v>
      </c>
      <c r="BO1517" s="15">
        <v>140000.0</v>
      </c>
      <c r="BP1517" s="15">
        <v>90000.0</v>
      </c>
      <c r="BQ1517" s="15">
        <v>76000.0</v>
      </c>
      <c r="BR1517" s="15">
        <v>380000.0</v>
      </c>
      <c r="BS1517" s="15">
        <v>307000.0</v>
      </c>
      <c r="BT1517" s="15">
        <v>297000.0</v>
      </c>
      <c r="BU1517" s="15">
        <v>268000.0</v>
      </c>
      <c r="BV1517" s="15">
        <v>189000.0</v>
      </c>
      <c r="BW1517" s="15">
        <v>2260000.0</v>
      </c>
      <c r="BX1517" s="15">
        <v>1950000.0</v>
      </c>
      <c r="BY1517" s="15">
        <v>1800000.0</v>
      </c>
      <c r="BZ1517" s="15">
        <v>1430000.0</v>
      </c>
      <c r="CA1517" s="15">
        <v>799000.0</v>
      </c>
      <c r="CB1517" s="15">
        <v>3580000.0</v>
      </c>
      <c r="CC1517" s="15">
        <v>1620000.0</v>
      </c>
      <c r="CD1517" s="15">
        <v>1690000.0</v>
      </c>
      <c r="CE1517" s="15">
        <v>1650000.0</v>
      </c>
      <c r="CF1517" s="15">
        <v>1840000.0</v>
      </c>
      <c r="CG1517" s="15">
        <v>254000.0</v>
      </c>
      <c r="CH1517" s="15">
        <v>266000.0</v>
      </c>
      <c r="CI1517" s="15">
        <v>108000.0</v>
      </c>
      <c r="CJ1517" s="15">
        <v>79000.0</v>
      </c>
      <c r="CK1517" s="15">
        <v>85000.0</v>
      </c>
      <c r="CL1517" s="15">
        <v>6950000.0</v>
      </c>
      <c r="CM1517" s="15">
        <v>4610000.0</v>
      </c>
      <c r="CN1517" s="15">
        <v>4290000.0</v>
      </c>
      <c r="CO1517" s="15">
        <v>3730000.0</v>
      </c>
      <c r="CP1517" s="15">
        <v>3200000.0</v>
      </c>
      <c r="CQ1517" s="15">
        <v>623000.0</v>
      </c>
      <c r="CR1517" s="15">
        <v>619000.0</v>
      </c>
      <c r="CS1517" s="15">
        <v>420000.0</v>
      </c>
      <c r="CT1517" s="15">
        <v>480000.0</v>
      </c>
      <c r="CU1517" s="15">
        <v>454000.0</v>
      </c>
      <c r="CV1517" s="15">
        <v>1740000.0</v>
      </c>
      <c r="CW1517" s="15">
        <v>382000.0</v>
      </c>
      <c r="CX1517" s="13"/>
      <c r="CY1517" s="15"/>
      <c r="CZ1517" s="15"/>
      <c r="DA1517" s="12"/>
      <c r="DB1517" s="15">
        <v>1740000.0</v>
      </c>
      <c r="DC1517" s="15">
        <v>1250000.0</v>
      </c>
      <c r="DD1517" s="15">
        <v>1020000.0</v>
      </c>
      <c r="DE1517" s="15">
        <v>1000000.0</v>
      </c>
      <c r="DF1517" s="15">
        <v>3780000.0</v>
      </c>
      <c r="DG1517" s="15">
        <v>1630000.0</v>
      </c>
      <c r="DH1517" s="15">
        <v>1440000.0</v>
      </c>
      <c r="DI1517" s="15">
        <v>1280000.0</v>
      </c>
      <c r="DJ1517" s="15">
        <v>1220000.0</v>
      </c>
      <c r="DK1517" s="12">
        <v>208000.0</v>
      </c>
      <c r="DL1517" s="12">
        <v>128000.0</v>
      </c>
      <c r="DM1517" s="12">
        <v>95000.0</v>
      </c>
      <c r="DN1517" s="12">
        <v>71000.0</v>
      </c>
      <c r="DO1517" s="15">
        <v>61000.0</v>
      </c>
      <c r="DP1517" s="15">
        <v>1830000.0</v>
      </c>
      <c r="DQ1517" s="15">
        <v>25000.0</v>
      </c>
      <c r="DR1517" s="12">
        <v>28000.0</v>
      </c>
      <c r="DS1517" s="12">
        <v>28000.0</v>
      </c>
      <c r="DT1517" s="12">
        <v>34000.0</v>
      </c>
      <c r="DU1517" s="13"/>
      <c r="DV1517" s="12"/>
      <c r="DW1517" s="12"/>
      <c r="DX1517" s="13"/>
      <c r="DY1517" s="13"/>
      <c r="DZ1517" s="15">
        <v>3080000.0</v>
      </c>
      <c r="EA1517" s="15">
        <v>2870000.0</v>
      </c>
      <c r="EB1517" s="15">
        <v>2770000.0</v>
      </c>
      <c r="EC1517" s="15">
        <v>2380000.0</v>
      </c>
      <c r="ED1517" s="15">
        <v>1920000.0</v>
      </c>
      <c r="EE1517" s="23">
        <v>0.089108911</v>
      </c>
      <c r="EF1517" s="23">
        <v>0.161594963</v>
      </c>
      <c r="EG1517" s="17">
        <v>0.458</v>
      </c>
      <c r="EH1517" s="23">
        <v>0.6795</v>
      </c>
    </row>
    <row r="1518">
      <c r="A1518" s="9">
        <f t="shared" si="2"/>
        <v>1516</v>
      </c>
      <c r="B1518" s="22" t="s">
        <v>1653</v>
      </c>
      <c r="C1518" s="11">
        <v>37050.0</v>
      </c>
      <c r="D1518" s="11">
        <v>60280.0</v>
      </c>
      <c r="E1518" s="11">
        <v>41330.0</v>
      </c>
      <c r="F1518" s="11">
        <v>37980.0</v>
      </c>
      <c r="G1518" s="11">
        <v>136320.0</v>
      </c>
      <c r="H1518" s="11">
        <v>234780.0</v>
      </c>
      <c r="I1518" s="11">
        <v>187680.0</v>
      </c>
      <c r="J1518" s="11">
        <v>27380.0</v>
      </c>
      <c r="K1518" s="11">
        <v>30110.0</v>
      </c>
      <c r="L1518" s="11">
        <v>117400.0</v>
      </c>
      <c r="M1518" s="11">
        <v>197910.0</v>
      </c>
      <c r="N1518" s="11">
        <v>159200.0</v>
      </c>
      <c r="O1518" s="11">
        <v>615760.0</v>
      </c>
      <c r="P1518" s="11">
        <v>477250.0</v>
      </c>
      <c r="Q1518" s="11">
        <v>367380.0</v>
      </c>
      <c r="R1518" s="11">
        <v>315250.0</v>
      </c>
      <c r="S1518" s="11">
        <v>253350.0</v>
      </c>
      <c r="T1518" s="11">
        <v>556880.0</v>
      </c>
      <c r="U1518" s="11">
        <v>433790.0</v>
      </c>
      <c r="V1518" s="11">
        <v>320060.0</v>
      </c>
      <c r="W1518" s="11">
        <v>262900.0</v>
      </c>
      <c r="X1518" s="11">
        <v>209030.0</v>
      </c>
      <c r="Y1518" s="11">
        <v>-585540.0</v>
      </c>
      <c r="Z1518" s="11">
        <v>650370.0</v>
      </c>
      <c r="AA1518" s="11">
        <v>74.0</v>
      </c>
      <c r="AB1518" s="12"/>
      <c r="AC1518" s="12"/>
      <c r="AD1518" s="11">
        <v>-576680.0</v>
      </c>
      <c r="AE1518" s="11">
        <v>625060.0</v>
      </c>
      <c r="AF1518" s="11">
        <v>-280760.0</v>
      </c>
      <c r="AG1518" s="11">
        <v>-159410.0</v>
      </c>
      <c r="AH1518" s="11">
        <v>-119830.0</v>
      </c>
      <c r="AI1518" s="11">
        <v>-574840.0</v>
      </c>
      <c r="AJ1518" s="11">
        <v>656270.0</v>
      </c>
      <c r="AK1518" s="11">
        <v>-245220.0</v>
      </c>
      <c r="AL1518" s="11">
        <v>-111160.0</v>
      </c>
      <c r="AM1518" s="11">
        <v>-87940.0</v>
      </c>
      <c r="AN1518" s="11">
        <v>-571540.0</v>
      </c>
      <c r="AO1518" s="11">
        <v>581280.0</v>
      </c>
      <c r="AP1518" s="11">
        <v>-275260.0</v>
      </c>
      <c r="AQ1518" s="11">
        <v>-153910.0</v>
      </c>
      <c r="AR1518" s="11">
        <v>-113960.0</v>
      </c>
      <c r="AS1518" s="11">
        <v>-408580.0</v>
      </c>
      <c r="AT1518" s="11">
        <v>-460400.0</v>
      </c>
      <c r="AU1518" s="11">
        <v>-278750.0</v>
      </c>
      <c r="AV1518" s="11">
        <v>48690.0</v>
      </c>
      <c r="AW1518" s="11">
        <v>-225410.0</v>
      </c>
      <c r="AX1518" s="11">
        <v>-23520.0</v>
      </c>
      <c r="AY1518" s="11">
        <v>-4040.0</v>
      </c>
      <c r="AZ1518" s="11">
        <v>-7230.0</v>
      </c>
      <c r="BA1518" s="11">
        <v>-2600.0</v>
      </c>
      <c r="BB1518" s="11">
        <v>-4040.0</v>
      </c>
      <c r="BC1518" s="12"/>
      <c r="BD1518" s="12"/>
      <c r="BE1518" s="12"/>
      <c r="BF1518" s="12"/>
      <c r="BG1518" s="12"/>
      <c r="BH1518" s="11">
        <v>1380000.0</v>
      </c>
      <c r="BI1518" s="11">
        <v>1160000.0</v>
      </c>
      <c r="BJ1518" s="11">
        <v>663830.0</v>
      </c>
      <c r="BK1518" s="11">
        <v>336950.0</v>
      </c>
      <c r="BL1518" s="11">
        <v>440200.0</v>
      </c>
      <c r="BM1518" s="11">
        <v>15790.0</v>
      </c>
      <c r="BN1518" s="11">
        <v>7840.0</v>
      </c>
      <c r="BO1518" s="11">
        <v>16160.0</v>
      </c>
      <c r="BP1518" s="11">
        <v>22390.0</v>
      </c>
      <c r="BQ1518" s="11">
        <v>173110.0</v>
      </c>
      <c r="BR1518" s="12"/>
      <c r="BS1518" s="12"/>
      <c r="BT1518" s="12"/>
      <c r="BU1518" s="12"/>
      <c r="BV1518" s="12"/>
      <c r="BW1518" s="11">
        <v>1430000.0</v>
      </c>
      <c r="BX1518" s="11">
        <v>1180000.0</v>
      </c>
      <c r="BY1518" s="11">
        <v>687240.0</v>
      </c>
      <c r="BZ1518" s="11">
        <v>373170.0</v>
      </c>
      <c r="CA1518" s="11">
        <v>615570.0</v>
      </c>
      <c r="CB1518" s="11">
        <v>125340.0</v>
      </c>
      <c r="CC1518" s="11">
        <v>15630.0</v>
      </c>
      <c r="CD1518" s="11">
        <v>16110.0</v>
      </c>
      <c r="CE1518" s="11">
        <v>13640.0</v>
      </c>
      <c r="CF1518" s="11">
        <v>16450.0</v>
      </c>
      <c r="CG1518" s="12"/>
      <c r="CH1518" s="12"/>
      <c r="CI1518" s="12"/>
      <c r="CJ1518" s="12"/>
      <c r="CK1518" s="12"/>
      <c r="CL1518" s="11">
        <v>1600000.0</v>
      </c>
      <c r="CM1518" s="11">
        <v>1230000.0</v>
      </c>
      <c r="CN1518" s="11">
        <v>721290.0</v>
      </c>
      <c r="CO1518" s="11">
        <v>694630.0</v>
      </c>
      <c r="CP1518" s="11">
        <v>634690.0</v>
      </c>
      <c r="CQ1518" s="11">
        <v>57530.0</v>
      </c>
      <c r="CR1518" s="11">
        <v>32650.0</v>
      </c>
      <c r="CS1518" s="11">
        <v>29430.0</v>
      </c>
      <c r="CT1518" s="11">
        <v>19740.0</v>
      </c>
      <c r="CU1518" s="11">
        <v>21680.0</v>
      </c>
      <c r="CV1518" s="11">
        <v>195130.0</v>
      </c>
      <c r="CW1518" s="12"/>
      <c r="CX1518" s="12"/>
      <c r="CY1518" s="12"/>
      <c r="CZ1518" s="11">
        <v>3370.0</v>
      </c>
      <c r="DA1518" s="12"/>
      <c r="DB1518" s="11">
        <v>195130.0</v>
      </c>
      <c r="DC1518" s="11">
        <v>113520.0</v>
      </c>
      <c r="DD1518" s="11">
        <v>73630.0</v>
      </c>
      <c r="DE1518" s="11">
        <v>87550.0</v>
      </c>
      <c r="DF1518" s="11">
        <v>356840.0</v>
      </c>
      <c r="DG1518" s="11">
        <v>113520.0</v>
      </c>
      <c r="DH1518" s="11">
        <v>206620.0</v>
      </c>
      <c r="DI1518" s="11">
        <v>416430.0</v>
      </c>
      <c r="DJ1518" s="11">
        <v>382460.0</v>
      </c>
      <c r="DK1518" s="11">
        <v>35630.0</v>
      </c>
      <c r="DL1518" s="11">
        <v>32580.0</v>
      </c>
      <c r="DM1518" s="11">
        <v>15200.0</v>
      </c>
      <c r="DN1518" s="11">
        <v>305120.0</v>
      </c>
      <c r="DO1518" s="12"/>
      <c r="DP1518" s="11">
        <v>78070.0</v>
      </c>
      <c r="DQ1518" s="12"/>
      <c r="DR1518" s="11">
        <v>132990.0</v>
      </c>
      <c r="DS1518" s="11">
        <v>328880.0</v>
      </c>
      <c r="DT1518" s="11">
        <v>312950.0</v>
      </c>
      <c r="DU1518" s="13"/>
      <c r="DV1518" s="12"/>
      <c r="DW1518" s="12"/>
      <c r="DX1518" s="13"/>
      <c r="DY1518" s="13"/>
      <c r="DZ1518" s="11">
        <v>1240000.0</v>
      </c>
      <c r="EA1518" s="11">
        <v>1120000.0</v>
      </c>
      <c r="EB1518" s="11">
        <v>514670.0</v>
      </c>
      <c r="EC1518" s="11">
        <v>278190.0</v>
      </c>
      <c r="ED1518" s="11">
        <v>252230.0</v>
      </c>
      <c r="EE1518" s="14">
        <v>0.494</v>
      </c>
      <c r="EF1518" s="14">
        <v>1.664</v>
      </c>
      <c r="EG1518" s="14">
        <v>0.432</v>
      </c>
      <c r="EH1518" s="14">
        <v>0.023</v>
      </c>
    </row>
    <row r="1519">
      <c r="A1519" s="9">
        <f t="shared" si="2"/>
        <v>1517</v>
      </c>
      <c r="B1519" s="22" t="s">
        <v>1654</v>
      </c>
      <c r="C1519" s="11">
        <v>100830.0</v>
      </c>
      <c r="D1519" s="11">
        <v>13580.0</v>
      </c>
      <c r="E1519" s="11">
        <v>3650.0</v>
      </c>
      <c r="F1519" s="12"/>
      <c r="G1519" s="11">
        <v>9820.0</v>
      </c>
      <c r="H1519" s="11">
        <v>28850.0</v>
      </c>
      <c r="I1519" s="11">
        <v>27180.0</v>
      </c>
      <c r="J1519" s="12"/>
      <c r="K1519" s="11">
        <v>-155.0</v>
      </c>
      <c r="L1519" s="11">
        <v>-908.0</v>
      </c>
      <c r="M1519" s="11">
        <v>6680.0</v>
      </c>
      <c r="N1519" s="11">
        <v>4830.0</v>
      </c>
      <c r="O1519" s="11">
        <v>175160.0</v>
      </c>
      <c r="P1519" s="11">
        <v>139720.0</v>
      </c>
      <c r="Q1519" s="11">
        <v>93330.0</v>
      </c>
      <c r="R1519" s="11">
        <v>69130.0</v>
      </c>
      <c r="S1519" s="11">
        <v>54550.0</v>
      </c>
      <c r="T1519" s="11">
        <v>114370.0</v>
      </c>
      <c r="U1519" s="11">
        <v>100930.0</v>
      </c>
      <c r="V1519" s="11">
        <v>67450.0</v>
      </c>
      <c r="W1519" s="11">
        <v>41840.0</v>
      </c>
      <c r="X1519" s="11">
        <v>27860.0</v>
      </c>
      <c r="Y1519" s="11">
        <v>-429680.0</v>
      </c>
      <c r="Z1519" s="11">
        <v>-141010.0</v>
      </c>
      <c r="AA1519" s="11">
        <v>-124520.0</v>
      </c>
      <c r="AB1519" s="11">
        <v>-67300.0</v>
      </c>
      <c r="AC1519" s="11">
        <v>897.0</v>
      </c>
      <c r="AD1519" s="11">
        <v>-419500.0</v>
      </c>
      <c r="AE1519" s="11">
        <v>-123720.0</v>
      </c>
      <c r="AF1519" s="11">
        <v>-126020.0</v>
      </c>
      <c r="AG1519" s="11">
        <v>-69630.0</v>
      </c>
      <c r="AH1519" s="11">
        <v>-57610.0</v>
      </c>
      <c r="AI1519" s="11">
        <v>-171520.0</v>
      </c>
      <c r="AJ1519" s="11">
        <v>-139720.0</v>
      </c>
      <c r="AK1519" s="11">
        <v>-93820.0</v>
      </c>
      <c r="AL1519" s="11">
        <v>-61050.0</v>
      </c>
      <c r="AM1519" s="11">
        <v>-48110.0</v>
      </c>
      <c r="AN1519" s="11">
        <v>-419500.0</v>
      </c>
      <c r="AO1519" s="11">
        <v>-123720.0</v>
      </c>
      <c r="AP1519" s="11">
        <v>-126020.0</v>
      </c>
      <c r="AQ1519" s="11">
        <v>-68690.0</v>
      </c>
      <c r="AR1519" s="11">
        <v>-41700.0</v>
      </c>
      <c r="AS1519" s="11">
        <v>-123240.0</v>
      </c>
      <c r="AT1519" s="11">
        <v>-111660.0</v>
      </c>
      <c r="AU1519" s="11">
        <v>-75870.0</v>
      </c>
      <c r="AV1519" s="11">
        <v>-72880.0</v>
      </c>
      <c r="AW1519" s="11">
        <v>-64600.0</v>
      </c>
      <c r="AX1519" s="11">
        <v>-9490.0</v>
      </c>
      <c r="AY1519" s="11">
        <v>-1020.0</v>
      </c>
      <c r="AZ1519" s="11">
        <v>-76.0</v>
      </c>
      <c r="BA1519" s="11">
        <v>-103.0</v>
      </c>
      <c r="BB1519" s="11">
        <v>-308.0</v>
      </c>
      <c r="BC1519" s="12"/>
      <c r="BD1519" s="12"/>
      <c r="BE1519" s="12"/>
      <c r="BF1519" s="12"/>
      <c r="BG1519" s="12"/>
      <c r="BH1519" s="11">
        <v>251160.0</v>
      </c>
      <c r="BI1519" s="11">
        <v>514190.0</v>
      </c>
      <c r="BJ1519" s="11">
        <v>293500.0</v>
      </c>
      <c r="BK1519" s="11">
        <v>91550.0</v>
      </c>
      <c r="BL1519" s="11">
        <v>165350.0</v>
      </c>
      <c r="BM1519" s="12"/>
      <c r="BN1519" s="12"/>
      <c r="BO1519" s="12"/>
      <c r="BP1519" s="11">
        <v>13080.0</v>
      </c>
      <c r="BQ1519" s="11">
        <v>1400.0</v>
      </c>
      <c r="BR1519" s="12"/>
      <c r="BS1519" s="12"/>
      <c r="BT1519" s="12"/>
      <c r="BU1519" s="11">
        <v>7050.0</v>
      </c>
      <c r="BV1519" s="11">
        <v>12030.0</v>
      </c>
      <c r="BW1519" s="11">
        <v>287240.0</v>
      </c>
      <c r="BX1519" s="11">
        <v>532730.0</v>
      </c>
      <c r="BY1519" s="11">
        <v>304700.0</v>
      </c>
      <c r="BZ1519" s="11">
        <v>119910.0</v>
      </c>
      <c r="CA1519" s="11">
        <v>184500.0</v>
      </c>
      <c r="CB1519" s="11">
        <v>17200.0</v>
      </c>
      <c r="CC1519" s="11">
        <v>2870.0</v>
      </c>
      <c r="CD1519" s="11">
        <v>245.0</v>
      </c>
      <c r="CE1519" s="11">
        <v>1710.0</v>
      </c>
      <c r="CF1519" s="11">
        <v>9250.0</v>
      </c>
      <c r="CG1519" s="11">
        <v>6230.0</v>
      </c>
      <c r="CH1519" s="11">
        <v>6230.0</v>
      </c>
      <c r="CI1519" s="11">
        <v>6230.0</v>
      </c>
      <c r="CJ1519" s="11">
        <v>6230.0</v>
      </c>
      <c r="CK1519" s="11">
        <v>6230.0</v>
      </c>
      <c r="CL1519" s="11">
        <v>416310.0</v>
      </c>
      <c r="CM1519" s="11">
        <v>648810.0</v>
      </c>
      <c r="CN1519" s="11">
        <v>417610.0</v>
      </c>
      <c r="CO1519" s="11">
        <v>231510.0</v>
      </c>
      <c r="CP1519" s="11">
        <v>306720.0</v>
      </c>
      <c r="CQ1519" s="11">
        <v>7980.0</v>
      </c>
      <c r="CR1519" s="11">
        <v>7990.0</v>
      </c>
      <c r="CS1519" s="11">
        <v>3360.0</v>
      </c>
      <c r="CT1519" s="11">
        <v>4550.0</v>
      </c>
      <c r="CU1519" s="11">
        <v>5290.0</v>
      </c>
      <c r="CV1519" s="11">
        <v>95390.0</v>
      </c>
      <c r="CW1519" s="11">
        <v>1320.0</v>
      </c>
      <c r="CX1519" s="12"/>
      <c r="CY1519" s="12"/>
      <c r="CZ1519" s="11">
        <v>3270.0</v>
      </c>
      <c r="DA1519" s="12"/>
      <c r="DB1519" s="11">
        <v>95390.0</v>
      </c>
      <c r="DC1519" s="11">
        <v>58380.0</v>
      </c>
      <c r="DD1519" s="11">
        <v>20980.0</v>
      </c>
      <c r="DE1519" s="11">
        <v>20310.0</v>
      </c>
      <c r="DF1519" s="11">
        <v>171250.0</v>
      </c>
      <c r="DG1519" s="11">
        <v>126000.0</v>
      </c>
      <c r="DH1519" s="11">
        <v>116090.0</v>
      </c>
      <c r="DI1519" s="11">
        <v>110750.0</v>
      </c>
      <c r="DJ1519" s="11">
        <v>123960.0</v>
      </c>
      <c r="DK1519" s="12"/>
      <c r="DL1519" s="12"/>
      <c r="DM1519" s="12"/>
      <c r="DN1519" s="12"/>
      <c r="DO1519" s="12"/>
      <c r="DP1519" s="11">
        <v>10750.0</v>
      </c>
      <c r="DQ1519" s="12"/>
      <c r="DR1519" s="12"/>
      <c r="DS1519" s="11">
        <v>18820.0</v>
      </c>
      <c r="DT1519" s="11">
        <v>15900.0</v>
      </c>
      <c r="DU1519" s="13"/>
      <c r="DV1519" s="12"/>
      <c r="DW1519" s="12"/>
      <c r="DX1519" s="13"/>
      <c r="DY1519" s="13"/>
      <c r="DZ1519" s="11">
        <v>245060.0</v>
      </c>
      <c r="EA1519" s="11">
        <v>522800.0</v>
      </c>
      <c r="EB1519" s="11">
        <v>301520.0</v>
      </c>
      <c r="EC1519" s="11">
        <v>120760.0</v>
      </c>
      <c r="ED1519" s="11">
        <v>182760.0</v>
      </c>
      <c r="EE1519" s="14">
        <v>0.998</v>
      </c>
      <c r="EF1519" s="14">
        <v>1.692</v>
      </c>
      <c r="EG1519" s="14">
        <v>0.04</v>
      </c>
      <c r="EH1519" s="14">
        <v>-1.317</v>
      </c>
    </row>
    <row r="1520">
      <c r="A1520" s="9">
        <f t="shared" si="2"/>
        <v>1518</v>
      </c>
      <c r="B1520" s="22" t="s">
        <v>1655</v>
      </c>
      <c r="C1520" s="12"/>
      <c r="D1520" s="12"/>
      <c r="E1520" s="12"/>
      <c r="F1520" s="11">
        <v>146.0</v>
      </c>
      <c r="G1520" s="11">
        <v>6390.0</v>
      </c>
      <c r="H1520" s="11">
        <v>6860.0</v>
      </c>
      <c r="I1520" s="11">
        <v>4330.0</v>
      </c>
      <c r="J1520" s="11">
        <v>-629.0</v>
      </c>
      <c r="K1520" s="12"/>
      <c r="L1520" s="12"/>
      <c r="M1520" s="12"/>
      <c r="N1520" s="12"/>
      <c r="O1520" s="11">
        <v>57230.0</v>
      </c>
      <c r="P1520" s="11">
        <v>53480.0</v>
      </c>
      <c r="Q1520" s="11">
        <v>59510.0</v>
      </c>
      <c r="R1520" s="11">
        <v>171880.0</v>
      </c>
      <c r="S1520" s="11">
        <v>114080.0</v>
      </c>
      <c r="T1520" s="11">
        <v>38330.0</v>
      </c>
      <c r="U1520" s="11">
        <v>34130.0</v>
      </c>
      <c r="V1520" s="11">
        <v>45080.0</v>
      </c>
      <c r="W1520" s="11">
        <v>157790.0</v>
      </c>
      <c r="X1520" s="11">
        <v>96790.0</v>
      </c>
      <c r="Y1520" s="11">
        <v>-118610.0</v>
      </c>
      <c r="Z1520" s="11">
        <v>-53750.0</v>
      </c>
      <c r="AA1520" s="11">
        <v>-54790.0</v>
      </c>
      <c r="AB1520" s="11">
        <v>-165430.0</v>
      </c>
      <c r="AC1520" s="11">
        <v>-120100.0</v>
      </c>
      <c r="AD1520" s="11">
        <v>-117800.0</v>
      </c>
      <c r="AE1520" s="11">
        <v>-53120.0</v>
      </c>
      <c r="AF1520" s="11">
        <v>-54320.0</v>
      </c>
      <c r="AG1520" s="11">
        <v>-165300.0</v>
      </c>
      <c r="AH1520" s="11">
        <v>-120090.0</v>
      </c>
      <c r="AI1520" s="11">
        <v>-57230.0</v>
      </c>
      <c r="AJ1520" s="11">
        <v>-53330.0</v>
      </c>
      <c r="AK1520" s="11">
        <v>-53120.0</v>
      </c>
      <c r="AL1520" s="11">
        <v>-165020.0</v>
      </c>
      <c r="AM1520" s="11">
        <v>-109740.0</v>
      </c>
      <c r="AN1520" s="11">
        <v>-117800.0</v>
      </c>
      <c r="AO1520" s="11">
        <v>-53120.0</v>
      </c>
      <c r="AP1520" s="11">
        <v>-54320.0</v>
      </c>
      <c r="AQ1520" s="11">
        <v>-165300.0</v>
      </c>
      <c r="AR1520" s="11">
        <v>-120090.0</v>
      </c>
      <c r="AS1520" s="11">
        <v>-40850.0</v>
      </c>
      <c r="AT1520" s="11">
        <v>-49460.0</v>
      </c>
      <c r="AU1520" s="11">
        <v>-54670.0</v>
      </c>
      <c r="AV1520" s="11">
        <v>-58330.0</v>
      </c>
      <c r="AW1520" s="11">
        <v>-10.0</v>
      </c>
      <c r="AX1520" s="11">
        <v>-284.0</v>
      </c>
      <c r="AY1520" s="11">
        <v>-459.0</v>
      </c>
      <c r="AZ1520" s="11">
        <v>-737.0</v>
      </c>
      <c r="BA1520" s="11">
        <v>-551.0</v>
      </c>
      <c r="BB1520" s="11">
        <v>-412.0</v>
      </c>
      <c r="BC1520" s="12"/>
      <c r="BD1520" s="12"/>
      <c r="BE1520" s="12"/>
      <c r="BF1520" s="12"/>
      <c r="BG1520" s="12"/>
      <c r="BH1520" s="11">
        <v>79740.0</v>
      </c>
      <c r="BI1520" s="11">
        <v>61730.0</v>
      </c>
      <c r="BJ1520" s="11">
        <v>71330.0</v>
      </c>
      <c r="BK1520" s="11">
        <v>81050.0</v>
      </c>
      <c r="BL1520" s="11">
        <v>140720.0</v>
      </c>
      <c r="BM1520" s="11">
        <v>3330.0</v>
      </c>
      <c r="BN1520" s="11">
        <v>1860.0</v>
      </c>
      <c r="BO1520" s="11">
        <v>19.0</v>
      </c>
      <c r="BP1520" s="11">
        <v>21.0</v>
      </c>
      <c r="BQ1520" s="11">
        <v>446.0</v>
      </c>
      <c r="BR1520" s="12"/>
      <c r="BS1520" s="12"/>
      <c r="BT1520" s="12"/>
      <c r="BU1520" s="12"/>
      <c r="BV1520" s="12"/>
      <c r="BW1520" s="11">
        <v>105490.0</v>
      </c>
      <c r="BX1520" s="11">
        <v>84290.0</v>
      </c>
      <c r="BY1520" s="11">
        <v>90780.0</v>
      </c>
      <c r="BZ1520" s="11">
        <v>104880.0</v>
      </c>
      <c r="CA1520" s="11">
        <v>152520.0</v>
      </c>
      <c r="CB1520" s="11">
        <v>3380.0</v>
      </c>
      <c r="CC1520" s="11">
        <v>1100.0</v>
      </c>
      <c r="CD1520" s="11">
        <v>1210.0</v>
      </c>
      <c r="CE1520" s="11">
        <v>843.0</v>
      </c>
      <c r="CF1520" s="11">
        <v>581.0</v>
      </c>
      <c r="CG1520" s="12"/>
      <c r="CH1520" s="12"/>
      <c r="CI1520" s="12"/>
      <c r="CJ1520" s="12"/>
      <c r="CK1520" s="12"/>
      <c r="CL1520" s="11">
        <v>109110.0</v>
      </c>
      <c r="CM1520" s="11">
        <v>95050.0</v>
      </c>
      <c r="CN1520" s="11">
        <v>105610.0</v>
      </c>
      <c r="CO1520" s="11">
        <v>106350.0</v>
      </c>
      <c r="CP1520" s="11">
        <v>153720.0</v>
      </c>
      <c r="CQ1520" s="11">
        <v>906.0</v>
      </c>
      <c r="CR1520" s="11">
        <v>707.0</v>
      </c>
      <c r="CS1520" s="11">
        <v>4420.0</v>
      </c>
      <c r="CT1520" s="11">
        <v>156.0</v>
      </c>
      <c r="CU1520" s="11">
        <v>2010.0</v>
      </c>
      <c r="CV1520" s="11">
        <v>12530.0</v>
      </c>
      <c r="CW1520" s="11">
        <v>774.0</v>
      </c>
      <c r="CX1520" s="12"/>
      <c r="CY1520" s="12"/>
      <c r="CZ1520" s="12"/>
      <c r="DA1520" s="12"/>
      <c r="DB1520" s="11">
        <v>12530.0</v>
      </c>
      <c r="DC1520" s="11">
        <v>9480.0</v>
      </c>
      <c r="DD1520" s="11">
        <v>20860.0</v>
      </c>
      <c r="DE1520" s="11">
        <v>15810.0</v>
      </c>
      <c r="DF1520" s="11">
        <v>14100.0</v>
      </c>
      <c r="DG1520" s="11">
        <v>9490.0</v>
      </c>
      <c r="DH1520" s="11">
        <v>58420.0</v>
      </c>
      <c r="DI1520" s="11">
        <v>58330.0</v>
      </c>
      <c r="DJ1520" s="11">
        <v>66350.0</v>
      </c>
      <c r="DK1520" s="12"/>
      <c r="DL1520" s="24">
        <v>105.0</v>
      </c>
      <c r="DM1520" s="11">
        <v>104.0</v>
      </c>
      <c r="DN1520" s="11">
        <v>620.0</v>
      </c>
      <c r="DO1520" s="11">
        <v>620.0</v>
      </c>
      <c r="DP1520" s="11">
        <v>1580.0</v>
      </c>
      <c r="DQ1520" s="12"/>
      <c r="DR1520" s="12"/>
      <c r="DS1520" s="12"/>
      <c r="DT1520" s="12"/>
      <c r="DU1520" s="13"/>
      <c r="DV1520" s="12"/>
      <c r="DW1520" s="11">
        <v>143990.0</v>
      </c>
      <c r="DX1520" s="11">
        <v>125320.0</v>
      </c>
      <c r="DY1520" s="13"/>
      <c r="DZ1520" s="11">
        <v>95010.0</v>
      </c>
      <c r="EA1520" s="11">
        <v>85560.0</v>
      </c>
      <c r="EB1520" s="11">
        <v>47190.0</v>
      </c>
      <c r="EC1520" s="11">
        <v>48020.0</v>
      </c>
      <c r="ED1520" s="11">
        <v>87370.0</v>
      </c>
      <c r="EE1520" s="23"/>
      <c r="EF1520" s="23"/>
      <c r="EG1520" s="14">
        <v>0.0</v>
      </c>
      <c r="EH1520" s="14">
        <v>-1.007</v>
      </c>
    </row>
    <row r="1521">
      <c r="A1521" s="9">
        <f t="shared" si="2"/>
        <v>1519</v>
      </c>
      <c r="B1521" s="22" t="s">
        <v>1656</v>
      </c>
      <c r="C1521" s="11">
        <v>146270.0</v>
      </c>
      <c r="D1521" s="11">
        <v>47940.0</v>
      </c>
      <c r="E1521" s="11">
        <v>13010.0</v>
      </c>
      <c r="F1521" s="11">
        <v>129.0</v>
      </c>
      <c r="G1521" s="12"/>
      <c r="H1521" s="12"/>
      <c r="I1521" s="12"/>
      <c r="J1521" s="11">
        <v>2730.0</v>
      </c>
      <c r="K1521" s="11">
        <v>-1560.0</v>
      </c>
      <c r="L1521" s="11">
        <v>-550.0</v>
      </c>
      <c r="M1521" s="11">
        <v>-199.0</v>
      </c>
      <c r="N1521" s="11">
        <v>-126.0</v>
      </c>
      <c r="O1521" s="11">
        <v>206280.0</v>
      </c>
      <c r="P1521" s="11">
        <v>140080.0</v>
      </c>
      <c r="Q1521" s="11">
        <v>51020.0</v>
      </c>
      <c r="R1521" s="11">
        <v>38250.0</v>
      </c>
      <c r="S1521" s="11">
        <v>16220.0</v>
      </c>
      <c r="T1521" s="11">
        <v>142470.0</v>
      </c>
      <c r="U1521" s="11">
        <v>120170.0</v>
      </c>
      <c r="V1521" s="11">
        <v>39480.0</v>
      </c>
      <c r="W1521" s="11">
        <v>32080.0</v>
      </c>
      <c r="X1521" s="11">
        <v>13580.0</v>
      </c>
      <c r="Y1521" s="12"/>
      <c r="Z1521" s="12"/>
      <c r="AA1521" s="11">
        <v>-51360.0</v>
      </c>
      <c r="AB1521" s="11">
        <v>-40370.0</v>
      </c>
      <c r="AC1521" s="11">
        <v>-18320.0</v>
      </c>
      <c r="AD1521" s="11">
        <v>-194650.0</v>
      </c>
      <c r="AE1521" s="11">
        <v>-138360.0</v>
      </c>
      <c r="AF1521" s="11">
        <v>-50300.0</v>
      </c>
      <c r="AG1521" s="11">
        <v>-37440.0</v>
      </c>
      <c r="AH1521" s="11">
        <v>-18010.0</v>
      </c>
      <c r="AI1521" s="11">
        <v>-197030.0</v>
      </c>
      <c r="AJ1521" s="11">
        <v>-139990.0</v>
      </c>
      <c r="AK1521" s="11">
        <v>-51020.0</v>
      </c>
      <c r="AL1521" s="11">
        <v>-38250.0</v>
      </c>
      <c r="AM1521" s="11">
        <v>-16220.0</v>
      </c>
      <c r="AN1521" s="11">
        <v>-195410.0</v>
      </c>
      <c r="AO1521" s="11">
        <v>-138950.0</v>
      </c>
      <c r="AP1521" s="11">
        <v>-50560.0</v>
      </c>
      <c r="AQ1521" s="11">
        <v>-37440.0</v>
      </c>
      <c r="AR1521" s="11">
        <v>-18010.0</v>
      </c>
      <c r="AS1521" s="11">
        <v>-188900.0</v>
      </c>
      <c r="AT1521" s="11">
        <v>-97450.0</v>
      </c>
      <c r="AU1521" s="11">
        <v>-32480.0</v>
      </c>
      <c r="AV1521" s="11">
        <v>-32090.0</v>
      </c>
      <c r="AW1521" s="11">
        <v>-11460.0</v>
      </c>
      <c r="AX1521" s="11">
        <v>-15270.0</v>
      </c>
      <c r="AY1521" s="11">
        <v>-10110.0</v>
      </c>
      <c r="AZ1521" s="11">
        <v>-9150.0</v>
      </c>
      <c r="BA1521" s="11">
        <v>-2230.0</v>
      </c>
      <c r="BB1521" s="11">
        <v>-738.0</v>
      </c>
      <c r="BC1521" s="12"/>
      <c r="BD1521" s="12"/>
      <c r="BE1521" s="12"/>
      <c r="BF1521" s="12"/>
      <c r="BG1521" s="12"/>
      <c r="BH1521" s="11">
        <v>275930.0</v>
      </c>
      <c r="BI1521" s="11">
        <v>263300.0</v>
      </c>
      <c r="BJ1521" s="11">
        <v>229660.0</v>
      </c>
      <c r="BK1521" s="11">
        <v>83950.0</v>
      </c>
      <c r="BL1521" s="11">
        <v>13160.0</v>
      </c>
      <c r="BM1521" s="11">
        <v>3790.0</v>
      </c>
      <c r="BN1521" s="11">
        <v>90.0</v>
      </c>
      <c r="BO1521" s="12"/>
      <c r="BP1521" s="12"/>
      <c r="BQ1521" s="12"/>
      <c r="BR1521" s="11">
        <v>6000.0</v>
      </c>
      <c r="BS1521" s="11">
        <v>4.0</v>
      </c>
      <c r="BT1521" s="12"/>
      <c r="BU1521" s="12"/>
      <c r="BV1521" s="12"/>
      <c r="BW1521" s="11">
        <v>292460.0</v>
      </c>
      <c r="BX1521" s="11">
        <v>269140.0</v>
      </c>
      <c r="BY1521" s="11">
        <v>230610.0</v>
      </c>
      <c r="BZ1521" s="11">
        <v>84100.0</v>
      </c>
      <c r="CA1521" s="11">
        <v>13230.0</v>
      </c>
      <c r="CB1521" s="11">
        <v>36860.0</v>
      </c>
      <c r="CC1521" s="11">
        <v>20770.0</v>
      </c>
      <c r="CD1521" s="11">
        <v>11980.0</v>
      </c>
      <c r="CE1521" s="11">
        <v>2660.0</v>
      </c>
      <c r="CF1521" s="11">
        <v>708.0</v>
      </c>
      <c r="CG1521" s="12"/>
      <c r="CH1521" s="12"/>
      <c r="CI1521" s="12"/>
      <c r="CJ1521" s="12"/>
      <c r="CK1521" s="12"/>
      <c r="CL1521" s="11">
        <v>355150.0</v>
      </c>
      <c r="CM1521" s="11">
        <v>301980.0</v>
      </c>
      <c r="CN1521" s="11">
        <v>249630.0</v>
      </c>
      <c r="CO1521" s="11">
        <v>88910.0</v>
      </c>
      <c r="CP1521" s="11">
        <v>13940.0</v>
      </c>
      <c r="CQ1521" s="11">
        <v>22660.0</v>
      </c>
      <c r="CR1521" s="11">
        <v>37430.0</v>
      </c>
      <c r="CS1521" s="11">
        <v>8970.0</v>
      </c>
      <c r="CT1521" s="11">
        <v>523.0</v>
      </c>
      <c r="CU1521" s="11">
        <v>1450.0</v>
      </c>
      <c r="CV1521" s="11">
        <v>46630.0</v>
      </c>
      <c r="CW1521" s="11">
        <v>10800.0</v>
      </c>
      <c r="CX1521" s="11">
        <v>3640.0</v>
      </c>
      <c r="CY1521" s="12"/>
      <c r="CZ1521" s="12"/>
      <c r="DA1521" s="12"/>
      <c r="DB1521" s="11">
        <v>46630.0</v>
      </c>
      <c r="DC1521" s="11">
        <v>48840.0</v>
      </c>
      <c r="DD1521" s="11">
        <v>12070.0</v>
      </c>
      <c r="DE1521" s="11">
        <v>5170.0</v>
      </c>
      <c r="DF1521" s="11">
        <v>58470.0</v>
      </c>
      <c r="DG1521" s="11">
        <v>50900.0</v>
      </c>
      <c r="DH1521" s="11">
        <v>13550.0</v>
      </c>
      <c r="DI1521" s="11">
        <v>5170.0</v>
      </c>
      <c r="DJ1521" s="11">
        <v>3940.0</v>
      </c>
      <c r="DK1521" s="11">
        <v>2910.0</v>
      </c>
      <c r="DL1521" s="11">
        <v>3150.0</v>
      </c>
      <c r="DM1521" s="11">
        <v>1960.0</v>
      </c>
      <c r="DN1521" s="11">
        <v>500.0</v>
      </c>
      <c r="DO1521" s="12"/>
      <c r="DP1521" s="11">
        <v>10980.0</v>
      </c>
      <c r="DQ1521" s="12"/>
      <c r="DR1521" s="12"/>
      <c r="DS1521" s="12"/>
      <c r="DT1521" s="12"/>
      <c r="DU1521" s="13"/>
      <c r="DV1521" s="12"/>
      <c r="DW1521" s="12"/>
      <c r="DX1521" s="11">
        <v>134510.0</v>
      </c>
      <c r="DY1521" s="11">
        <v>28310.0</v>
      </c>
      <c r="DZ1521" s="11">
        <v>294660.0</v>
      </c>
      <c r="EA1521" s="11">
        <v>251080.0</v>
      </c>
      <c r="EB1521" s="11">
        <v>235170.0</v>
      </c>
      <c r="EC1521" s="11">
        <v>82960.0</v>
      </c>
      <c r="ED1521" s="11">
        <v>9940.0</v>
      </c>
      <c r="EE1521" s="14">
        <v>0.308</v>
      </c>
      <c r="EF1521" s="14">
        <v>0.788</v>
      </c>
      <c r="EG1521" s="14">
        <v>-0.153</v>
      </c>
      <c r="EH1521" s="23"/>
    </row>
    <row r="1522">
      <c r="A1522" s="9">
        <f t="shared" si="2"/>
        <v>1520</v>
      </c>
      <c r="B1522" s="10" t="s">
        <v>1657</v>
      </c>
      <c r="C1522" s="12"/>
      <c r="D1522" s="12"/>
      <c r="E1522" s="11">
        <v>1.7499E8</v>
      </c>
      <c r="F1522" s="11">
        <v>1.7011E8</v>
      </c>
      <c r="G1522" s="11">
        <v>1.4737E8</v>
      </c>
      <c r="H1522" s="11">
        <v>1.3435E8</v>
      </c>
      <c r="I1522" s="11">
        <v>1.3772E8</v>
      </c>
      <c r="J1522" s="11">
        <v>2.217E7</v>
      </c>
      <c r="K1522" s="11">
        <v>1.937E7</v>
      </c>
      <c r="L1522" s="11">
        <v>1.966E7</v>
      </c>
      <c r="M1522" s="11">
        <v>2.286E7</v>
      </c>
      <c r="N1522" s="11">
        <v>2.6E7</v>
      </c>
      <c r="O1522" s="11">
        <v>1.302E7</v>
      </c>
      <c r="P1522" s="11">
        <v>1.247E7</v>
      </c>
      <c r="Q1522" s="11">
        <v>1.166E7</v>
      </c>
      <c r="R1522" s="11">
        <v>1.05E7</v>
      </c>
      <c r="S1522" s="11">
        <v>1.149E7</v>
      </c>
      <c r="T1522" s="12"/>
      <c r="U1522" s="12"/>
      <c r="V1522" s="12"/>
      <c r="W1522" s="12"/>
      <c r="X1522" s="12"/>
      <c r="Y1522" s="11">
        <v>6780000.0</v>
      </c>
      <c r="Z1522" s="11">
        <v>4020000.0</v>
      </c>
      <c r="AA1522" s="11">
        <v>5920000.0</v>
      </c>
      <c r="AB1522" s="11">
        <v>1.077E7</v>
      </c>
      <c r="AC1522" s="11">
        <v>1.332E7</v>
      </c>
      <c r="AD1522" s="11">
        <v>4370000.0</v>
      </c>
      <c r="AE1522" s="11">
        <v>4620000.0</v>
      </c>
      <c r="AF1522" s="11">
        <v>9620000.0</v>
      </c>
      <c r="AG1522" s="11">
        <v>8240000.0</v>
      </c>
      <c r="AH1522" s="11">
        <v>6850000.0</v>
      </c>
      <c r="AI1522" s="11">
        <v>3.434E7</v>
      </c>
      <c r="AJ1522" s="11">
        <v>2.055E7</v>
      </c>
      <c r="AK1522" s="11">
        <v>2.119E7</v>
      </c>
      <c r="AL1522" s="11">
        <v>2.536E7</v>
      </c>
      <c r="AM1522" s="11">
        <v>2.804E7</v>
      </c>
      <c r="AN1522" s="11">
        <v>2990000.0</v>
      </c>
      <c r="AO1522" s="11">
        <v>3430000.0</v>
      </c>
      <c r="AP1522" s="11">
        <v>6870000.0</v>
      </c>
      <c r="AQ1522" s="11">
        <v>5890000.0</v>
      </c>
      <c r="AR1522" s="11">
        <v>4610000.0</v>
      </c>
      <c r="AS1522" s="11">
        <v>3.567E7</v>
      </c>
      <c r="AT1522" s="11">
        <v>1.856E7</v>
      </c>
      <c r="AU1522" s="11">
        <v>2.07E7</v>
      </c>
      <c r="AV1522" s="11">
        <v>2.797E7</v>
      </c>
      <c r="AW1522" s="11">
        <v>2.938E7</v>
      </c>
      <c r="AX1522" s="11">
        <v>-1.771E7</v>
      </c>
      <c r="AY1522" s="11">
        <v>-2.847E7</v>
      </c>
      <c r="AZ1522" s="11">
        <v>-1.597E7</v>
      </c>
      <c r="BA1522" s="11">
        <v>-2.216E7</v>
      </c>
      <c r="BB1522" s="11">
        <v>-1.497E7</v>
      </c>
      <c r="BC1522" s="11">
        <v>-695090.0</v>
      </c>
      <c r="BD1522" s="11">
        <v>-1200000.0</v>
      </c>
      <c r="BE1522" s="11">
        <v>-1130000.0</v>
      </c>
      <c r="BF1522" s="11">
        <v>-917210.0</v>
      </c>
      <c r="BG1522" s="11">
        <v>-484760.0</v>
      </c>
      <c r="BH1522" s="11">
        <v>2180000.0</v>
      </c>
      <c r="BI1522" s="11">
        <v>8530000.0</v>
      </c>
      <c r="BJ1522" s="11">
        <v>8330000.0</v>
      </c>
      <c r="BK1522" s="11">
        <v>4780000.0</v>
      </c>
      <c r="BL1522" s="11">
        <v>5590000.0</v>
      </c>
      <c r="BM1522" s="11">
        <v>1.24E7</v>
      </c>
      <c r="BN1522" s="11">
        <v>1.255E7</v>
      </c>
      <c r="BO1522" s="11">
        <v>9580000.0</v>
      </c>
      <c r="BP1522" s="11">
        <v>7220000.0</v>
      </c>
      <c r="BQ1522" s="11">
        <v>7920000.0</v>
      </c>
      <c r="BR1522" s="11">
        <v>2120000.0</v>
      </c>
      <c r="BS1522" s="11">
        <v>1940000.0</v>
      </c>
      <c r="BT1522" s="11">
        <v>1950000.0</v>
      </c>
      <c r="BU1522" s="11">
        <v>1770000.0</v>
      </c>
      <c r="BV1522" s="11">
        <v>1920000.0</v>
      </c>
      <c r="BW1522" s="11">
        <v>1.872E7</v>
      </c>
      <c r="BX1522" s="11">
        <v>2.745E7</v>
      </c>
      <c r="BY1522" s="11">
        <v>2.147E7</v>
      </c>
      <c r="BZ1522" s="11">
        <v>1.536E7</v>
      </c>
      <c r="CA1522" s="11">
        <v>1.684E7</v>
      </c>
      <c r="CB1522" s="11">
        <v>3.1004E8</v>
      </c>
      <c r="CC1522" s="11">
        <v>2.3769E8</v>
      </c>
      <c r="CD1522" s="11">
        <v>2.2693E8</v>
      </c>
      <c r="CE1522" s="11">
        <v>1.9587E8</v>
      </c>
      <c r="CF1522" s="11">
        <v>1.9353E8</v>
      </c>
      <c r="CG1522" s="11">
        <v>265110.0</v>
      </c>
      <c r="CH1522" s="11">
        <v>270260.0</v>
      </c>
      <c r="CI1522" s="11">
        <v>284510.0</v>
      </c>
      <c r="CJ1522" s="11">
        <v>203050.0</v>
      </c>
      <c r="CK1522" s="11"/>
      <c r="CL1522" s="11">
        <v>3.4333E8</v>
      </c>
      <c r="CM1522" s="11">
        <v>2.8161E8</v>
      </c>
      <c r="CN1522" s="11">
        <v>2.6256E8</v>
      </c>
      <c r="CO1522" s="11">
        <v>2.2362E8</v>
      </c>
      <c r="CP1522" s="11">
        <v>2.2198E8</v>
      </c>
      <c r="CQ1522" s="11">
        <v>2590000.0</v>
      </c>
      <c r="CR1522" s="11">
        <v>2630000.0</v>
      </c>
      <c r="CS1522" s="11">
        <v>2550000.0</v>
      </c>
      <c r="CT1522" s="11">
        <v>2120000.0</v>
      </c>
      <c r="CU1522" s="11">
        <v>2980000.0</v>
      </c>
      <c r="CV1522" s="11">
        <v>1.0681E8</v>
      </c>
      <c r="CW1522" s="11">
        <v>3.887E7</v>
      </c>
      <c r="CX1522" s="11">
        <v>2.821E7</v>
      </c>
      <c r="CY1522" s="11">
        <v>2.476E7</v>
      </c>
      <c r="CZ1522" s="12"/>
      <c r="DA1522" s="12"/>
      <c r="DB1522" s="11">
        <v>1.0681E8</v>
      </c>
      <c r="DC1522" s="11">
        <v>9.543E7</v>
      </c>
      <c r="DD1522" s="11">
        <v>8.352E7</v>
      </c>
      <c r="DE1522" s="11">
        <v>7.579E7</v>
      </c>
      <c r="DF1522" s="11">
        <v>2.5658E8</v>
      </c>
      <c r="DG1522" s="11">
        <v>1.9203E8</v>
      </c>
      <c r="DH1522" s="11">
        <v>1.873E8</v>
      </c>
      <c r="DI1522" s="11">
        <v>1.6229E8</v>
      </c>
      <c r="DJ1522" s="11">
        <v>1.6275E8</v>
      </c>
      <c r="DK1522" s="11">
        <v>8850000.0</v>
      </c>
      <c r="DL1522" s="11">
        <v>9520000.0</v>
      </c>
      <c r="DM1522" s="11">
        <v>6410000.0</v>
      </c>
      <c r="DN1522" s="11">
        <v>6580000.0</v>
      </c>
      <c r="DO1522" s="11">
        <v>5010000.0</v>
      </c>
      <c r="DP1522" s="11">
        <v>1.4286E8</v>
      </c>
      <c r="DQ1522" s="11">
        <v>8.934E7</v>
      </c>
      <c r="DR1522" s="11">
        <v>9.64E7</v>
      </c>
      <c r="DS1522" s="11">
        <v>8.064E7</v>
      </c>
      <c r="DT1522" s="11">
        <v>7.793E7</v>
      </c>
      <c r="DU1522" s="13"/>
      <c r="DV1522" s="12"/>
      <c r="DW1522" s="12"/>
      <c r="DX1522" s="12"/>
      <c r="DY1522" s="12"/>
      <c r="DZ1522" s="11">
        <v>7.171E7</v>
      </c>
      <c r="EA1522" s="11">
        <v>7.442E7</v>
      </c>
      <c r="EB1522" s="11">
        <v>5.995E7</v>
      </c>
      <c r="EC1522" s="11">
        <v>4.848E7</v>
      </c>
      <c r="ED1522" s="11">
        <v>4.66E7</v>
      </c>
      <c r="EE1522" s="23"/>
      <c r="EF1522" s="23"/>
      <c r="EG1522" s="29" t="s">
        <v>155</v>
      </c>
      <c r="EH1522" s="23"/>
    </row>
    <row r="1523">
      <c r="A1523" s="9">
        <f t="shared" si="2"/>
        <v>1521</v>
      </c>
      <c r="B1523" s="22" t="s">
        <v>1658</v>
      </c>
      <c r="C1523" s="12"/>
      <c r="D1523" s="12"/>
      <c r="E1523" s="12"/>
      <c r="F1523" s="11">
        <v>14.0</v>
      </c>
      <c r="G1523" s="12"/>
      <c r="H1523" s="12"/>
      <c r="I1523" s="12"/>
      <c r="J1523" s="11">
        <v>-111.0</v>
      </c>
      <c r="K1523" s="12"/>
      <c r="L1523" s="12"/>
      <c r="M1523" s="12"/>
      <c r="N1523" s="12"/>
      <c r="O1523" s="11">
        <v>46730.0</v>
      </c>
      <c r="P1523" s="11">
        <v>23750.0</v>
      </c>
      <c r="Q1523" s="12"/>
      <c r="R1523" s="12"/>
      <c r="S1523" s="12"/>
      <c r="T1523" s="11">
        <v>38390.0</v>
      </c>
      <c r="U1523" s="11">
        <v>18920.0</v>
      </c>
      <c r="V1523" s="12"/>
      <c r="W1523" s="12"/>
      <c r="X1523" s="12"/>
      <c r="Y1523" s="12"/>
      <c r="Z1523" s="12"/>
      <c r="AA1523" s="12"/>
      <c r="AB1523" s="12"/>
      <c r="AC1523" s="12"/>
      <c r="AD1523" s="11">
        <v>-46360.0</v>
      </c>
      <c r="AE1523" s="11">
        <v>-23430.0</v>
      </c>
      <c r="AF1523" s="12"/>
      <c r="AG1523" s="12"/>
      <c r="AH1523" s="12"/>
      <c r="AI1523" s="11">
        <v>-46730.0</v>
      </c>
      <c r="AJ1523" s="11">
        <v>-23730.0</v>
      </c>
      <c r="AK1523" s="12"/>
      <c r="AL1523" s="12"/>
      <c r="AM1523" s="12"/>
      <c r="AN1523" s="11">
        <v>-45660.0</v>
      </c>
      <c r="AO1523" s="11">
        <v>-21070.0</v>
      </c>
      <c r="AP1523" s="12"/>
      <c r="AQ1523" s="12"/>
      <c r="AR1523" s="12"/>
      <c r="AS1523" s="11">
        <v>-39140.0</v>
      </c>
      <c r="AT1523" s="11">
        <v>-24250.0</v>
      </c>
      <c r="AU1523" s="12"/>
      <c r="AV1523" s="12"/>
      <c r="AW1523" s="12"/>
      <c r="AX1523" s="11">
        <v>-352.0</v>
      </c>
      <c r="AY1523" s="11">
        <v>-227.0</v>
      </c>
      <c r="AZ1523" s="12"/>
      <c r="BA1523" s="12"/>
      <c r="BB1523" s="12"/>
      <c r="BC1523" s="12"/>
      <c r="BD1523" s="12"/>
      <c r="BE1523" s="12"/>
      <c r="BF1523" s="12"/>
      <c r="BG1523" s="12"/>
      <c r="BH1523" s="11">
        <v>67250.0</v>
      </c>
      <c r="BI1523" s="11">
        <v>25150.0</v>
      </c>
      <c r="BJ1523" s="12"/>
      <c r="BK1523" s="12"/>
      <c r="BL1523" s="12"/>
      <c r="BM1523" s="11">
        <v>140.0</v>
      </c>
      <c r="BN1523" s="11">
        <v>917.0</v>
      </c>
      <c r="BO1523" s="12"/>
      <c r="BP1523" s="12"/>
      <c r="BQ1523" s="12"/>
      <c r="BR1523" s="12"/>
      <c r="BS1523" s="12"/>
      <c r="BT1523" s="12"/>
      <c r="BU1523" s="12"/>
      <c r="BV1523" s="12"/>
      <c r="BW1523" s="11">
        <v>68890.0</v>
      </c>
      <c r="BX1523" s="11">
        <v>26680.0</v>
      </c>
      <c r="BY1523" s="12"/>
      <c r="BZ1523" s="12"/>
      <c r="CA1523" s="12"/>
      <c r="CB1523" s="11">
        <v>2840.0</v>
      </c>
      <c r="CC1523" s="11">
        <v>260.0</v>
      </c>
      <c r="CD1523" s="12"/>
      <c r="CE1523" s="12"/>
      <c r="CF1523" s="12"/>
      <c r="CG1523" s="11">
        <v>3740.0</v>
      </c>
      <c r="CH1523" s="11">
        <v>3740.0</v>
      </c>
      <c r="CI1523" s="12"/>
      <c r="CJ1523" s="12"/>
      <c r="CK1523" s="12"/>
      <c r="CL1523" s="11">
        <v>88230.0</v>
      </c>
      <c r="CM1523" s="11">
        <v>41040.0</v>
      </c>
      <c r="CN1523" s="12"/>
      <c r="CO1523" s="12"/>
      <c r="CP1523" s="12"/>
      <c r="CQ1523" s="11">
        <v>4290.0</v>
      </c>
      <c r="CR1523" s="11">
        <v>3430.0</v>
      </c>
      <c r="CS1523" s="12"/>
      <c r="CT1523" s="12"/>
      <c r="CU1523" s="12"/>
      <c r="CV1523" s="11">
        <v>14900.0</v>
      </c>
      <c r="CW1523" s="11">
        <v>781.0</v>
      </c>
      <c r="CX1523" s="12"/>
      <c r="CY1523" s="12"/>
      <c r="CZ1523" s="12"/>
      <c r="DA1523" s="12"/>
      <c r="DB1523" s="11">
        <v>14900.0</v>
      </c>
      <c r="DC1523" s="11">
        <v>6210.0</v>
      </c>
      <c r="DD1523" s="12"/>
      <c r="DE1523" s="12"/>
      <c r="DF1523" s="11">
        <v>161520.0</v>
      </c>
      <c r="DG1523" s="11">
        <v>8740.0</v>
      </c>
      <c r="DH1523" s="12"/>
      <c r="DI1523" s="12"/>
      <c r="DJ1523" s="12"/>
      <c r="DK1523" s="11">
        <v>243.0</v>
      </c>
      <c r="DL1523" s="12"/>
      <c r="DM1523" s="12"/>
      <c r="DN1523" s="12"/>
      <c r="DO1523" s="12"/>
      <c r="DP1523" s="11">
        <v>143400.0</v>
      </c>
      <c r="DQ1523" s="12"/>
      <c r="DR1523" s="12"/>
      <c r="DS1523" s="12"/>
      <c r="DT1523" s="12"/>
      <c r="DU1523" s="13"/>
      <c r="DV1523" s="11">
        <v>59830.0</v>
      </c>
      <c r="DW1523" s="12"/>
      <c r="DX1523" s="13"/>
      <c r="DY1523" s="13"/>
      <c r="DZ1523" s="11">
        <v>-80110.0</v>
      </c>
      <c r="EA1523" s="11">
        <v>24770.0</v>
      </c>
      <c r="EB1523" s="12"/>
      <c r="EC1523" s="12"/>
      <c r="ED1523" s="12"/>
      <c r="EE1523" s="23"/>
      <c r="EF1523" s="23"/>
      <c r="EG1523" s="14">
        <v>-0.56</v>
      </c>
      <c r="EH1523" s="23"/>
    </row>
    <row r="1524">
      <c r="A1524" s="9">
        <f t="shared" si="2"/>
        <v>1522</v>
      </c>
      <c r="B1524" s="22" t="s">
        <v>1659</v>
      </c>
      <c r="C1524" s="11">
        <v>39040.0</v>
      </c>
      <c r="D1524" s="11">
        <v>2640.0</v>
      </c>
      <c r="E1524" s="12"/>
      <c r="F1524" s="12"/>
      <c r="G1524" s="12"/>
      <c r="H1524" s="12"/>
      <c r="I1524" s="11">
        <v>313.0</v>
      </c>
      <c r="J1524" s="11">
        <v>-1520.0</v>
      </c>
      <c r="K1524" s="11">
        <v>-764.0</v>
      </c>
      <c r="L1524" s="11">
        <v>-2600.0</v>
      </c>
      <c r="M1524" s="11">
        <v>-2540.0</v>
      </c>
      <c r="N1524" s="11">
        <v>-2140.0</v>
      </c>
      <c r="O1524" s="11">
        <v>35670.0</v>
      </c>
      <c r="P1524" s="11">
        <v>34100.0</v>
      </c>
      <c r="Q1524" s="11">
        <v>25700.0</v>
      </c>
      <c r="R1524" s="11">
        <v>25190.0</v>
      </c>
      <c r="S1524" s="11">
        <v>24230.0</v>
      </c>
      <c r="T1524" s="11">
        <v>25390.0</v>
      </c>
      <c r="U1524" s="11">
        <v>24740.0</v>
      </c>
      <c r="V1524" s="11">
        <v>17520.0</v>
      </c>
      <c r="W1524" s="11">
        <v>20460.0</v>
      </c>
      <c r="X1524" s="11">
        <v>20370.0</v>
      </c>
      <c r="Y1524" s="12"/>
      <c r="Z1524" s="11">
        <v>-35380.0</v>
      </c>
      <c r="AA1524" s="11">
        <v>-70.0</v>
      </c>
      <c r="AB1524" s="11">
        <v>-28630.0</v>
      </c>
      <c r="AC1524" s="11">
        <v>-26860.0</v>
      </c>
      <c r="AD1524" s="11">
        <v>-37590.0</v>
      </c>
      <c r="AE1524" s="11">
        <v>-35360.0</v>
      </c>
      <c r="AF1524" s="11">
        <v>-29110.0</v>
      </c>
      <c r="AG1524" s="11">
        <v>-29830.0</v>
      </c>
      <c r="AH1524" s="11">
        <v>-28430.0</v>
      </c>
      <c r="AI1524" s="11">
        <v>-35670.0</v>
      </c>
      <c r="AJ1524" s="11">
        <v>-34100.0</v>
      </c>
      <c r="AK1524" s="11">
        <v>-25700.0</v>
      </c>
      <c r="AL1524" s="11">
        <v>-25190.0</v>
      </c>
      <c r="AM1524" s="11">
        <v>-23920.0</v>
      </c>
      <c r="AN1524" s="11">
        <v>-37590.0</v>
      </c>
      <c r="AO1524" s="11">
        <v>-35360.0</v>
      </c>
      <c r="AP1524" s="11">
        <v>-29110.0</v>
      </c>
      <c r="AQ1524" s="11">
        <v>-29830.0</v>
      </c>
      <c r="AR1524" s="11">
        <v>-28430.0</v>
      </c>
      <c r="AS1524" s="11">
        <v>-33850.0</v>
      </c>
      <c r="AT1524" s="11">
        <v>-29120.0</v>
      </c>
      <c r="AU1524" s="11">
        <v>-26840.0</v>
      </c>
      <c r="AV1524" s="11">
        <v>-25690.0</v>
      </c>
      <c r="AW1524" s="11">
        <v>-24160.0</v>
      </c>
      <c r="AX1524" s="11">
        <v>-11760.0</v>
      </c>
      <c r="AY1524" s="11">
        <v>-5490.0</v>
      </c>
      <c r="AZ1524" s="11">
        <v>-1240.0</v>
      </c>
      <c r="BA1524" s="11">
        <v>-287.0</v>
      </c>
      <c r="BB1524" s="11">
        <v>-432.0</v>
      </c>
      <c r="BC1524" s="12"/>
      <c r="BD1524" s="12"/>
      <c r="BE1524" s="12"/>
      <c r="BF1524" s="12"/>
      <c r="BG1524" s="12"/>
      <c r="BH1524" s="11">
        <v>6320.0</v>
      </c>
      <c r="BI1524" s="11">
        <v>23000.0</v>
      </c>
      <c r="BJ1524" s="11">
        <v>11650.0</v>
      </c>
      <c r="BK1524" s="11">
        <v>15000.0</v>
      </c>
      <c r="BL1524" s="11">
        <v>36930.0</v>
      </c>
      <c r="BM1524" s="12"/>
      <c r="BN1524" s="12"/>
      <c r="BO1524" s="12"/>
      <c r="BP1524" s="12"/>
      <c r="BQ1524" s="11">
        <v>101.0</v>
      </c>
      <c r="BR1524" s="12"/>
      <c r="BS1524" s="12"/>
      <c r="BT1524" s="12"/>
      <c r="BU1524" s="12"/>
      <c r="BV1524" s="12"/>
      <c r="BW1524" s="11">
        <v>6750.0</v>
      </c>
      <c r="BX1524" s="11">
        <v>23160.0</v>
      </c>
      <c r="BY1524" s="11">
        <v>13390.0</v>
      </c>
      <c r="BZ1524" s="11">
        <v>15280.0</v>
      </c>
      <c r="CA1524" s="11">
        <v>37270.0</v>
      </c>
      <c r="CB1524" s="11">
        <v>30400.0</v>
      </c>
      <c r="CC1524" s="11">
        <v>11920.0</v>
      </c>
      <c r="CD1524" s="11">
        <v>4150.0</v>
      </c>
      <c r="CE1524" s="11">
        <v>5460.0</v>
      </c>
      <c r="CF1524" s="11">
        <v>7660.0</v>
      </c>
      <c r="CG1524" s="12"/>
      <c r="CH1524" s="12"/>
      <c r="CI1524" s="12"/>
      <c r="CJ1524" s="12"/>
      <c r="CK1524" s="12"/>
      <c r="CL1524" s="11">
        <v>37670.0</v>
      </c>
      <c r="CM1524" s="11">
        <v>35780.0</v>
      </c>
      <c r="CN1524" s="11">
        <v>18000.0</v>
      </c>
      <c r="CO1524" s="11">
        <v>20910.0</v>
      </c>
      <c r="CP1524" s="11">
        <v>45340.0</v>
      </c>
      <c r="CQ1524" s="11">
        <v>4360.0</v>
      </c>
      <c r="CR1524" s="11">
        <v>4450.0</v>
      </c>
      <c r="CS1524" s="11">
        <v>1510.0</v>
      </c>
      <c r="CT1524" s="11">
        <v>1450.0</v>
      </c>
      <c r="CU1524" s="11">
        <v>1210.0</v>
      </c>
      <c r="CV1524" s="11">
        <v>16240.0</v>
      </c>
      <c r="CW1524" s="11">
        <v>1140.0</v>
      </c>
      <c r="CX1524" s="12"/>
      <c r="CY1524" s="12"/>
      <c r="CZ1524" s="12"/>
      <c r="DA1524" s="12"/>
      <c r="DB1524" s="11">
        <v>16240.0</v>
      </c>
      <c r="DC1524" s="11">
        <v>11290.0</v>
      </c>
      <c r="DD1524" s="11">
        <v>10460.0</v>
      </c>
      <c r="DE1524" s="11">
        <v>9820.0</v>
      </c>
      <c r="DF1524" s="11">
        <v>28280.0</v>
      </c>
      <c r="DG1524" s="11">
        <v>17070.0</v>
      </c>
      <c r="DH1524" s="11">
        <v>10950.0</v>
      </c>
      <c r="DI1524" s="11">
        <v>16420.0</v>
      </c>
      <c r="DJ1524" s="11">
        <v>18840.0</v>
      </c>
      <c r="DK1524" s="11">
        <v>455.0</v>
      </c>
      <c r="DL1524" s="11">
        <v>455.0</v>
      </c>
      <c r="DM1524" s="11">
        <v>455.0</v>
      </c>
      <c r="DN1524" s="11">
        <v>35.0</v>
      </c>
      <c r="DO1524" s="24">
        <v>35.0</v>
      </c>
      <c r="DP1524" s="11">
        <v>12040.0</v>
      </c>
      <c r="DQ1524" s="11">
        <v>4500.0</v>
      </c>
      <c r="DR1524" s="12"/>
      <c r="DS1524" s="11">
        <v>6550.0</v>
      </c>
      <c r="DT1524" s="11">
        <v>11910.0</v>
      </c>
      <c r="DU1524" s="13"/>
      <c r="DV1524" s="12"/>
      <c r="DW1524" s="12"/>
      <c r="DX1524" s="13"/>
      <c r="DY1524" s="13"/>
      <c r="DZ1524" s="11">
        <v>9390.0</v>
      </c>
      <c r="EA1524" s="11">
        <v>18710.0</v>
      </c>
      <c r="EB1524" s="11">
        <v>7050.0</v>
      </c>
      <c r="EC1524" s="11">
        <v>4490.0</v>
      </c>
      <c r="ED1524" s="11">
        <v>26500.0</v>
      </c>
      <c r="EE1524" s="23"/>
      <c r="EF1524" s="14">
        <v>0.681</v>
      </c>
      <c r="EG1524" s="14">
        <v>0.0</v>
      </c>
      <c r="EH1524" s="14">
        <v>0.034</v>
      </c>
    </row>
    <row r="1525">
      <c r="A1525" s="9">
        <f t="shared" si="2"/>
        <v>1523</v>
      </c>
      <c r="B1525" s="10" t="s">
        <v>1660</v>
      </c>
      <c r="C1525" s="11">
        <v>6760000.0</v>
      </c>
      <c r="D1525" s="11">
        <v>6180000.0</v>
      </c>
      <c r="E1525" s="11">
        <v>6260000.0</v>
      </c>
      <c r="F1525" s="11">
        <v>5830000.0</v>
      </c>
      <c r="G1525" s="11">
        <v>5310000.0</v>
      </c>
      <c r="H1525" s="11">
        <v>4890000.0</v>
      </c>
      <c r="I1525" s="11">
        <v>4770000.0</v>
      </c>
      <c r="J1525" s="11">
        <v>4110000.0</v>
      </c>
      <c r="K1525" s="11">
        <v>3800000.0</v>
      </c>
      <c r="L1525" s="11">
        <v>3440000.0</v>
      </c>
      <c r="M1525" s="11">
        <v>3140000.0</v>
      </c>
      <c r="N1525" s="11">
        <v>2970000.0</v>
      </c>
      <c r="O1525" s="11">
        <v>2100000.0</v>
      </c>
      <c r="P1525" s="11">
        <v>1920000.0</v>
      </c>
      <c r="Q1525" s="11">
        <v>1720000.0</v>
      </c>
      <c r="R1525" s="11">
        <v>1740000.0</v>
      </c>
      <c r="S1525" s="11">
        <v>1890000.0</v>
      </c>
      <c r="T1525" s="11">
        <v>457000.0</v>
      </c>
      <c r="U1525" s="11">
        <v>432000.0</v>
      </c>
      <c r="V1525" s="11">
        <v>382000.0</v>
      </c>
      <c r="W1525" s="11">
        <v>376000.0</v>
      </c>
      <c r="X1525" s="11">
        <v>362000.0</v>
      </c>
      <c r="Y1525" s="11">
        <v>1990000.0</v>
      </c>
      <c r="Z1525" s="11">
        <v>1830000.0</v>
      </c>
      <c r="AA1525" s="11">
        <v>1680000.0</v>
      </c>
      <c r="AB1525" s="11">
        <v>1350000.0</v>
      </c>
      <c r="AC1525" s="11">
        <v>767000.0</v>
      </c>
      <c r="AD1525" s="11">
        <v>1800000.0</v>
      </c>
      <c r="AE1525" s="11">
        <v>1690000.0</v>
      </c>
      <c r="AF1525" s="11">
        <v>1530000.0</v>
      </c>
      <c r="AG1525" s="11">
        <v>1230000.0</v>
      </c>
      <c r="AH1525" s="11">
        <v>545000.0</v>
      </c>
      <c r="AI1525" s="11">
        <v>2430000.0</v>
      </c>
      <c r="AJ1525" s="11">
        <v>2190000.0</v>
      </c>
      <c r="AK1525" s="11">
        <v>1970000.0</v>
      </c>
      <c r="AL1525" s="11">
        <v>1640000.0</v>
      </c>
      <c r="AM1525" s="11">
        <v>1280000.0</v>
      </c>
      <c r="AN1525" s="11">
        <v>1500000.0</v>
      </c>
      <c r="AO1525" s="11">
        <v>1430000.0</v>
      </c>
      <c r="AP1525" s="11">
        <v>864000.0</v>
      </c>
      <c r="AQ1525" s="11">
        <v>821000.0</v>
      </c>
      <c r="AR1525" s="11">
        <v>339000.0</v>
      </c>
      <c r="AS1525" s="11">
        <v>1800000.0</v>
      </c>
      <c r="AT1525" s="11">
        <v>1790000.0</v>
      </c>
      <c r="AU1525" s="11">
        <v>1350000.0</v>
      </c>
      <c r="AV1525" s="11">
        <v>713000.0</v>
      </c>
      <c r="AW1525" s="11">
        <v>664000.0</v>
      </c>
      <c r="AX1525" s="11">
        <v>-460000.0</v>
      </c>
      <c r="AY1525" s="11">
        <v>-338000.0</v>
      </c>
      <c r="AZ1525" s="11">
        <v>-224000.0</v>
      </c>
      <c r="BA1525" s="11">
        <v>-216000.0</v>
      </c>
      <c r="BB1525" s="11">
        <v>-224000.0</v>
      </c>
      <c r="BC1525" s="11">
        <v>-314000.0</v>
      </c>
      <c r="BD1525" s="11">
        <v>-243000.0</v>
      </c>
      <c r="BE1525" s="11">
        <v>-206000.0</v>
      </c>
      <c r="BF1525" s="11">
        <v>-188000.0</v>
      </c>
      <c r="BG1525" s="11">
        <v>-168000.0</v>
      </c>
      <c r="BH1525" s="11">
        <v>1930000.0</v>
      </c>
      <c r="BI1525" s="11">
        <v>1700000.0</v>
      </c>
      <c r="BJ1525" s="11">
        <v>1560000.0</v>
      </c>
      <c r="BK1525" s="11">
        <v>727000.0</v>
      </c>
      <c r="BL1525" s="11">
        <v>1150000.0</v>
      </c>
      <c r="BM1525" s="11">
        <v>1090000.0</v>
      </c>
      <c r="BN1525" s="11">
        <v>1040000.0</v>
      </c>
      <c r="BO1525" s="11">
        <v>998000.0</v>
      </c>
      <c r="BP1525" s="11">
        <v>913000.0</v>
      </c>
      <c r="BQ1525" s="11">
        <v>937000.0</v>
      </c>
      <c r="BR1525" s="11">
        <v>1410000.0</v>
      </c>
      <c r="BS1525" s="11">
        <v>1390000.0</v>
      </c>
      <c r="BT1525" s="11">
        <v>1430000.0</v>
      </c>
      <c r="BU1525" s="11">
        <v>1500000.0</v>
      </c>
      <c r="BV1525" s="11">
        <v>1470000.0</v>
      </c>
      <c r="BW1525" s="11">
        <v>4750000.0</v>
      </c>
      <c r="BX1525" s="11">
        <v>4400000.0</v>
      </c>
      <c r="BY1525" s="11">
        <v>4220000.0</v>
      </c>
      <c r="BZ1525" s="11">
        <v>3390000.0</v>
      </c>
      <c r="CA1525" s="11">
        <v>3830000.0</v>
      </c>
      <c r="CB1525" s="11">
        <v>2130000.0</v>
      </c>
      <c r="CC1525" s="11">
        <v>1660000.0</v>
      </c>
      <c r="CD1525" s="11">
        <v>1440000.0</v>
      </c>
      <c r="CE1525" s="11">
        <v>1380000.0</v>
      </c>
      <c r="CF1525" s="11">
        <v>1310000.0</v>
      </c>
      <c r="CG1525" s="11">
        <v>2590000.0</v>
      </c>
      <c r="CH1525" s="11">
        <v>2520000.0</v>
      </c>
      <c r="CI1525" s="11">
        <v>1510000.0</v>
      </c>
      <c r="CJ1525" s="11">
        <v>1480000.0</v>
      </c>
      <c r="CK1525" s="11">
        <v>1460000.0</v>
      </c>
      <c r="CL1525" s="11">
        <v>1.155E7</v>
      </c>
      <c r="CM1525" s="11">
        <v>1.078E7</v>
      </c>
      <c r="CN1525" s="11">
        <v>8590000.0</v>
      </c>
      <c r="CO1525" s="11">
        <v>7650000.0</v>
      </c>
      <c r="CP1525" s="11">
        <v>7910000.0</v>
      </c>
      <c r="CQ1525" s="11">
        <v>301000.0</v>
      </c>
      <c r="CR1525" s="11">
        <v>313000.0</v>
      </c>
      <c r="CS1525" s="11">
        <v>261000.0</v>
      </c>
      <c r="CT1525" s="11">
        <v>265000.0</v>
      </c>
      <c r="CU1525" s="11">
        <v>293000.0</v>
      </c>
      <c r="CV1525" s="11">
        <v>1810000.0</v>
      </c>
      <c r="CW1525" s="11">
        <v>35000.0</v>
      </c>
      <c r="CX1525" s="11">
        <v>9000.0</v>
      </c>
      <c r="CY1525" s="13"/>
      <c r="CZ1525" s="13"/>
      <c r="DA1525" s="11">
        <v>5000.0</v>
      </c>
      <c r="DB1525" s="11">
        <v>1810000.0</v>
      </c>
      <c r="DC1525" s="11">
        <v>1220000.0</v>
      </c>
      <c r="DD1525" s="11">
        <v>1090000.0</v>
      </c>
      <c r="DE1525" s="11">
        <v>1120000.0</v>
      </c>
      <c r="DF1525" s="11">
        <v>8840000.0</v>
      </c>
      <c r="DG1525" s="11">
        <v>8590000.0</v>
      </c>
      <c r="DH1525" s="11">
        <v>6800000.0</v>
      </c>
      <c r="DI1525" s="11">
        <v>6150000.0</v>
      </c>
      <c r="DJ1525" s="11">
        <v>6820000.0</v>
      </c>
      <c r="DK1525" s="11">
        <v>25000.0</v>
      </c>
      <c r="DL1525" s="11">
        <v>10000.0</v>
      </c>
      <c r="DM1525" s="12"/>
      <c r="DN1525" s="12"/>
      <c r="DO1525" s="12"/>
      <c r="DP1525" s="11">
        <v>6110000.0</v>
      </c>
      <c r="DQ1525" s="11">
        <v>6440000.0</v>
      </c>
      <c r="DR1525" s="11">
        <v>4950000.0</v>
      </c>
      <c r="DS1525" s="11">
        <v>4470000.0</v>
      </c>
      <c r="DT1525" s="11">
        <v>4460000.0</v>
      </c>
      <c r="DU1525" s="13"/>
      <c r="DV1525" s="12"/>
      <c r="DW1525" s="12"/>
      <c r="DX1525" s="12"/>
      <c r="DY1525" s="12"/>
      <c r="DZ1525" s="11">
        <v>2710000.0</v>
      </c>
      <c r="EA1525" s="11">
        <v>2190000.0</v>
      </c>
      <c r="EB1525" s="11">
        <v>1770000.0</v>
      </c>
      <c r="EC1525" s="11">
        <v>1490000.0</v>
      </c>
      <c r="ED1525" s="11">
        <v>1070000.0</v>
      </c>
      <c r="EE1525" s="14">
        <v>0.065</v>
      </c>
      <c r="EF1525" s="14">
        <v>0.089</v>
      </c>
      <c r="EG1525" s="14">
        <v>0.105</v>
      </c>
      <c r="EH1525" s="14">
        <v>0.079</v>
      </c>
    </row>
    <row r="1526">
      <c r="A1526" s="9">
        <f t="shared" si="2"/>
        <v>1524</v>
      </c>
      <c r="B1526" s="10" t="s">
        <v>1661</v>
      </c>
      <c r="C1526" s="15">
        <v>1040000.0</v>
      </c>
      <c r="D1526" s="15">
        <v>960080.0</v>
      </c>
      <c r="E1526" s="15">
        <v>1030000.0</v>
      </c>
      <c r="F1526" s="15">
        <v>978620.0</v>
      </c>
      <c r="G1526" s="15">
        <v>927400.0</v>
      </c>
      <c r="H1526" s="15">
        <v>836270.0</v>
      </c>
      <c r="I1526" s="15">
        <v>804180.0</v>
      </c>
      <c r="J1526" s="15">
        <v>342600.0</v>
      </c>
      <c r="K1526" s="15">
        <v>310990.0</v>
      </c>
      <c r="L1526" s="15">
        <v>284530.0</v>
      </c>
      <c r="M1526" s="15">
        <v>249060.0</v>
      </c>
      <c r="N1526" s="15">
        <v>242810.0</v>
      </c>
      <c r="O1526" s="15">
        <v>256600.0</v>
      </c>
      <c r="P1526" s="15">
        <v>248210.0</v>
      </c>
      <c r="Q1526" s="15">
        <v>234170.0</v>
      </c>
      <c r="R1526" s="15">
        <v>207420.0</v>
      </c>
      <c r="S1526" s="15">
        <v>191750.0</v>
      </c>
      <c r="T1526" s="12"/>
      <c r="U1526" s="12"/>
      <c r="V1526" s="12"/>
      <c r="W1526" s="12"/>
      <c r="X1526" s="12"/>
      <c r="Y1526" s="15">
        <v>85810.0</v>
      </c>
      <c r="Z1526" s="15">
        <v>61080.0</v>
      </c>
      <c r="AA1526" s="15">
        <v>48760.0</v>
      </c>
      <c r="AB1526" s="15">
        <v>-1900.0</v>
      </c>
      <c r="AC1526" s="15">
        <v>46170.0</v>
      </c>
      <c r="AD1526" s="15">
        <v>90990.0</v>
      </c>
      <c r="AE1526" s="15">
        <v>62330.0</v>
      </c>
      <c r="AF1526" s="15">
        <v>48400.0</v>
      </c>
      <c r="AG1526" s="15">
        <v>40220.0</v>
      </c>
      <c r="AH1526" s="15">
        <v>45860.0</v>
      </c>
      <c r="AI1526" s="15">
        <v>169360.0</v>
      </c>
      <c r="AJ1526" s="15">
        <v>89010.0</v>
      </c>
      <c r="AK1526" s="15">
        <v>77650.0</v>
      </c>
      <c r="AL1526" s="15">
        <v>69560.0</v>
      </c>
      <c r="AM1526" s="15">
        <v>81480.0</v>
      </c>
      <c r="AN1526" s="15">
        <v>66880.0</v>
      </c>
      <c r="AO1526" s="15">
        <v>45210.0</v>
      </c>
      <c r="AP1526" s="15">
        <v>26800.0</v>
      </c>
      <c r="AQ1526" s="15">
        <v>25900.0</v>
      </c>
      <c r="AR1526" s="15">
        <v>28790.0</v>
      </c>
      <c r="AS1526" s="15">
        <v>167860.0</v>
      </c>
      <c r="AT1526" s="15">
        <v>65320.0</v>
      </c>
      <c r="AU1526" s="15">
        <v>65510.0</v>
      </c>
      <c r="AV1526" s="15">
        <v>48460.0</v>
      </c>
      <c r="AW1526" s="15">
        <v>48610.0</v>
      </c>
      <c r="AX1526" s="15">
        <v>-18820.0</v>
      </c>
      <c r="AY1526" s="15">
        <v>-21030.0</v>
      </c>
      <c r="AZ1526" s="15">
        <v>-24060.0</v>
      </c>
      <c r="BA1526" s="15">
        <v>-20400.0</v>
      </c>
      <c r="BB1526" s="15">
        <v>-34830.0</v>
      </c>
      <c r="BC1526" s="12"/>
      <c r="BD1526" s="12"/>
      <c r="BE1526" s="12"/>
      <c r="BF1526" s="12"/>
      <c r="BG1526" s="12"/>
      <c r="BH1526" s="15">
        <v>251200.0</v>
      </c>
      <c r="BI1526" s="15">
        <v>165330.0</v>
      </c>
      <c r="BJ1526" s="15">
        <v>121910.0</v>
      </c>
      <c r="BK1526" s="15">
        <v>78830.0</v>
      </c>
      <c r="BL1526" s="15">
        <v>75550.0</v>
      </c>
      <c r="BM1526" s="15">
        <v>16840.0</v>
      </c>
      <c r="BN1526" s="15">
        <v>17780.0</v>
      </c>
      <c r="BO1526" s="15">
        <v>17030.0</v>
      </c>
      <c r="BP1526" s="15">
        <v>12540.0</v>
      </c>
      <c r="BQ1526" s="15">
        <v>12840.0</v>
      </c>
      <c r="BR1526" s="15">
        <v>135100.0</v>
      </c>
      <c r="BS1526" s="15">
        <v>129270.0</v>
      </c>
      <c r="BT1526" s="15">
        <v>125830.0</v>
      </c>
      <c r="BU1526" s="15">
        <v>106920.0</v>
      </c>
      <c r="BV1526" s="15">
        <v>98300.0</v>
      </c>
      <c r="BW1526" s="15">
        <v>412590.0</v>
      </c>
      <c r="BX1526" s="15">
        <v>327180.0</v>
      </c>
      <c r="BY1526" s="15">
        <v>279160.0</v>
      </c>
      <c r="BZ1526" s="15">
        <v>211360.0</v>
      </c>
      <c r="CA1526" s="15">
        <v>198900.0</v>
      </c>
      <c r="CB1526" s="15">
        <v>414840.0</v>
      </c>
      <c r="CC1526" s="15">
        <v>120500.0</v>
      </c>
      <c r="CD1526" s="15">
        <v>128850.0</v>
      </c>
      <c r="CE1526" s="15">
        <v>129650.0</v>
      </c>
      <c r="CF1526" s="15">
        <v>137230.0</v>
      </c>
      <c r="CG1526" s="15">
        <v>57100.0</v>
      </c>
      <c r="CH1526" s="15">
        <v>58810.0</v>
      </c>
      <c r="CI1526" s="15">
        <v>62910.0</v>
      </c>
      <c r="CJ1526" s="15">
        <v>56000.0</v>
      </c>
      <c r="CK1526" s="15">
        <v>54250.0</v>
      </c>
      <c r="CL1526" s="15">
        <v>914260.0</v>
      </c>
      <c r="CM1526" s="15">
        <v>534190.0</v>
      </c>
      <c r="CN1526" s="15">
        <v>499510.0</v>
      </c>
      <c r="CO1526" s="15">
        <v>426680.0</v>
      </c>
      <c r="CP1526" s="15">
        <v>441900.0</v>
      </c>
      <c r="CQ1526" s="15">
        <v>47790.0</v>
      </c>
      <c r="CR1526" s="15">
        <v>35290.0</v>
      </c>
      <c r="CS1526" s="15">
        <v>37860.0</v>
      </c>
      <c r="CT1526" s="15">
        <v>25530.0</v>
      </c>
      <c r="CU1526" s="15">
        <v>21920.0</v>
      </c>
      <c r="CV1526" s="15">
        <v>159710.0</v>
      </c>
      <c r="CW1526" s="15">
        <v>61800.0</v>
      </c>
      <c r="CX1526" s="12"/>
      <c r="CY1526" s="13"/>
      <c r="CZ1526" s="13"/>
      <c r="DA1526" s="12"/>
      <c r="DB1526" s="15">
        <v>159710.0</v>
      </c>
      <c r="DC1526" s="15">
        <v>93110.0</v>
      </c>
      <c r="DD1526" s="15">
        <v>99250.0</v>
      </c>
      <c r="DE1526" s="15">
        <v>73600.0</v>
      </c>
      <c r="DF1526" s="15">
        <v>448170.0</v>
      </c>
      <c r="DG1526" s="15">
        <v>133730.0</v>
      </c>
      <c r="DH1526" s="15">
        <v>143600.0</v>
      </c>
      <c r="DI1526" s="15">
        <v>119630.0</v>
      </c>
      <c r="DJ1526" s="15">
        <v>144950.0</v>
      </c>
      <c r="DK1526" s="15">
        <v>7850.0</v>
      </c>
      <c r="DL1526" s="15">
        <v>1400.0</v>
      </c>
      <c r="DM1526" s="15">
        <v>1590.0</v>
      </c>
      <c r="DN1526" s="15">
        <v>1670.0</v>
      </c>
      <c r="DO1526" s="15">
        <v>828.0</v>
      </c>
      <c r="DP1526" s="15">
        <v>284720.0</v>
      </c>
      <c r="DQ1526" s="12"/>
      <c r="DR1526" s="12"/>
      <c r="DS1526" s="12"/>
      <c r="DT1526" s="12"/>
      <c r="DU1526" s="13"/>
      <c r="DV1526" s="12"/>
      <c r="DW1526" s="12"/>
      <c r="DX1526" s="12"/>
      <c r="DY1526" s="12"/>
      <c r="DZ1526" s="15">
        <v>466090.0</v>
      </c>
      <c r="EA1526" s="15">
        <v>400460.0</v>
      </c>
      <c r="EB1526" s="15">
        <v>355920.0</v>
      </c>
      <c r="EC1526" s="15">
        <v>307050.0</v>
      </c>
      <c r="ED1526" s="15">
        <v>296960.0</v>
      </c>
      <c r="EE1526" s="17">
        <v>0.132</v>
      </c>
      <c r="EF1526" s="17">
        <v>0.135</v>
      </c>
      <c r="EG1526" s="23"/>
      <c r="EH1526" s="23"/>
    </row>
    <row r="1527">
      <c r="A1527" s="9">
        <f t="shared" si="2"/>
        <v>1525</v>
      </c>
      <c r="B1527" s="22" t="s">
        <v>1662</v>
      </c>
      <c r="C1527" s="12"/>
      <c r="D1527" s="12"/>
      <c r="E1527" s="12"/>
      <c r="F1527" s="11">
        <v>86.0</v>
      </c>
      <c r="G1527" s="12"/>
      <c r="H1527" s="11">
        <v>7.0</v>
      </c>
      <c r="I1527" s="11">
        <v>279.0</v>
      </c>
      <c r="J1527" s="11">
        <v>-134.0</v>
      </c>
      <c r="K1527" s="12"/>
      <c r="L1527" s="11">
        <v>-94.0</v>
      </c>
      <c r="M1527" s="12"/>
      <c r="N1527" s="12"/>
      <c r="O1527" s="11">
        <v>34190.0</v>
      </c>
      <c r="P1527" s="11">
        <v>40380.0</v>
      </c>
      <c r="Q1527" s="11">
        <v>32730.0</v>
      </c>
      <c r="R1527" s="11">
        <v>23140.0</v>
      </c>
      <c r="S1527" s="11">
        <v>12780.0</v>
      </c>
      <c r="T1527" s="11">
        <v>20250.0</v>
      </c>
      <c r="U1527" s="11">
        <v>27250.0</v>
      </c>
      <c r="V1527" s="11">
        <v>22810.0</v>
      </c>
      <c r="W1527" s="11">
        <v>16780.0</v>
      </c>
      <c r="X1527" s="11">
        <v>7450.0</v>
      </c>
      <c r="Y1527" s="12"/>
      <c r="Z1527" s="12"/>
      <c r="AA1527" s="12"/>
      <c r="AB1527" s="12"/>
      <c r="AC1527" s="12"/>
      <c r="AD1527" s="11">
        <v>-32940.0</v>
      </c>
      <c r="AE1527" s="11">
        <v>-39910.0</v>
      </c>
      <c r="AF1527" s="11">
        <v>-32010.0</v>
      </c>
      <c r="AG1527" s="11">
        <v>-23420.0</v>
      </c>
      <c r="AH1527" s="11">
        <v>-12520.0</v>
      </c>
      <c r="AI1527" s="11">
        <v>-34190.0</v>
      </c>
      <c r="AJ1527" s="11">
        <v>-40300.0</v>
      </c>
      <c r="AK1527" s="11">
        <v>-32730.0</v>
      </c>
      <c r="AL1527" s="11">
        <v>-23130.0</v>
      </c>
      <c r="AM1527" s="11">
        <v>-12510.0</v>
      </c>
      <c r="AN1527" s="11">
        <v>-32940.0</v>
      </c>
      <c r="AO1527" s="11">
        <v>-39910.0</v>
      </c>
      <c r="AP1527" s="11">
        <v>-32010.0</v>
      </c>
      <c r="AQ1527" s="11">
        <v>-23390.0</v>
      </c>
      <c r="AR1527" s="11">
        <v>-12550.0</v>
      </c>
      <c r="AS1527" s="11">
        <v>-34950.0</v>
      </c>
      <c r="AT1527" s="11">
        <v>-32400.0</v>
      </c>
      <c r="AU1527" s="11">
        <v>-25840.0</v>
      </c>
      <c r="AV1527" s="11">
        <v>-20440.0</v>
      </c>
      <c r="AW1527" s="11">
        <v>-9790.0</v>
      </c>
      <c r="AX1527" s="11">
        <v>-129.0</v>
      </c>
      <c r="AY1527" s="11">
        <v>-287.0</v>
      </c>
      <c r="AZ1527" s="11">
        <v>-115.0</v>
      </c>
      <c r="BA1527" s="11">
        <v>-110.0</v>
      </c>
      <c r="BB1527" s="11">
        <v>-216.0</v>
      </c>
      <c r="BC1527" s="12"/>
      <c r="BD1527" s="12"/>
      <c r="BE1527" s="12"/>
      <c r="BF1527" s="12"/>
      <c r="BG1527" s="12"/>
      <c r="BH1527" s="11">
        <v>70060.0</v>
      </c>
      <c r="BI1527" s="11">
        <v>59760.0</v>
      </c>
      <c r="BJ1527" s="11">
        <v>62530.0</v>
      </c>
      <c r="BK1527" s="11">
        <v>30990.0</v>
      </c>
      <c r="BL1527" s="11">
        <v>41510.0</v>
      </c>
      <c r="BM1527" s="11">
        <v>14610.0</v>
      </c>
      <c r="BN1527" s="11">
        <v>3440.0</v>
      </c>
      <c r="BO1527" s="11">
        <v>3980.0</v>
      </c>
      <c r="BP1527" s="11">
        <v>3610.0</v>
      </c>
      <c r="BQ1527" s="11">
        <v>357.0</v>
      </c>
      <c r="BR1527" s="12"/>
      <c r="BS1527" s="12"/>
      <c r="BT1527" s="12"/>
      <c r="BU1527" s="12"/>
      <c r="BV1527" s="12"/>
      <c r="BW1527" s="11">
        <v>86860.0</v>
      </c>
      <c r="BX1527" s="11">
        <v>66700.0</v>
      </c>
      <c r="BY1527" s="11">
        <v>67990.0</v>
      </c>
      <c r="BZ1527" s="11">
        <v>36410.0</v>
      </c>
      <c r="CA1527" s="11">
        <v>43420.0</v>
      </c>
      <c r="CB1527" s="11">
        <v>709.0</v>
      </c>
      <c r="CC1527" s="11">
        <v>372.0</v>
      </c>
      <c r="CD1527" s="11">
        <v>165.0</v>
      </c>
      <c r="CE1527" s="11">
        <v>143.0</v>
      </c>
      <c r="CF1527" s="11">
        <v>228.0</v>
      </c>
      <c r="CG1527" s="12"/>
      <c r="CH1527" s="12"/>
      <c r="CI1527" s="12"/>
      <c r="CJ1527" s="12"/>
      <c r="CK1527" s="12"/>
      <c r="CL1527" s="11">
        <v>87760.0</v>
      </c>
      <c r="CM1527" s="11">
        <v>67330.0</v>
      </c>
      <c r="CN1527" s="11">
        <v>69050.0</v>
      </c>
      <c r="CO1527" s="11">
        <v>36550.0</v>
      </c>
      <c r="CP1527" s="11">
        <v>43640.0</v>
      </c>
      <c r="CQ1527" s="11">
        <v>4740.0</v>
      </c>
      <c r="CR1527" s="11">
        <v>4460.0</v>
      </c>
      <c r="CS1527" s="11">
        <v>3360.0</v>
      </c>
      <c r="CT1527" s="11">
        <v>1850.0</v>
      </c>
      <c r="CU1527" s="11">
        <v>823.0</v>
      </c>
      <c r="CV1527" s="11">
        <v>12060.0</v>
      </c>
      <c r="CW1527" s="11">
        <v>244.0</v>
      </c>
      <c r="CX1527" s="12"/>
      <c r="CY1527" s="12"/>
      <c r="CZ1527" s="12"/>
      <c r="DA1527" s="12"/>
      <c r="DB1527" s="11">
        <v>12060.0</v>
      </c>
      <c r="DC1527" s="11">
        <v>9730.0</v>
      </c>
      <c r="DD1527" s="11">
        <v>7440.0</v>
      </c>
      <c r="DE1527" s="11">
        <v>6970.0</v>
      </c>
      <c r="DF1527" s="11">
        <v>12170.0</v>
      </c>
      <c r="DG1527" s="11">
        <v>9730.0</v>
      </c>
      <c r="DH1527" s="11">
        <v>8100.0</v>
      </c>
      <c r="DI1527" s="11">
        <v>6970.0</v>
      </c>
      <c r="DJ1527" s="11">
        <v>3940.0</v>
      </c>
      <c r="DK1527" s="12"/>
      <c r="DL1527" s="12"/>
      <c r="DM1527" s="12"/>
      <c r="DN1527" s="12"/>
      <c r="DO1527" s="12"/>
      <c r="DP1527" s="11">
        <v>110.0</v>
      </c>
      <c r="DQ1527" s="12"/>
      <c r="DR1527" s="12"/>
      <c r="DS1527" s="12"/>
      <c r="DT1527" s="12"/>
      <c r="DU1527" s="13"/>
      <c r="DV1527" s="12"/>
      <c r="DW1527" s="12"/>
      <c r="DX1527" s="13"/>
      <c r="DY1527" s="13"/>
      <c r="DZ1527" s="11">
        <v>75600.0</v>
      </c>
      <c r="EA1527" s="11">
        <v>57600.0</v>
      </c>
      <c r="EB1527" s="11">
        <v>60950.0</v>
      </c>
      <c r="EC1527" s="11">
        <v>29590.0</v>
      </c>
      <c r="ED1527" s="11">
        <v>39710.0</v>
      </c>
      <c r="EE1527" s="23"/>
      <c r="EF1527" s="23"/>
      <c r="EG1527" s="14">
        <v>-0.733</v>
      </c>
      <c r="EH1527" s="14">
        <v>0.033</v>
      </c>
    </row>
  </sheetData>
  <mergeCells count="1">
    <mergeCell ref="A2: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5.29"/>
    <col customWidth="1" min="6" max="6" width="17.14"/>
    <col customWidth="1" min="15" max="15" width="26.86"/>
    <col customWidth="1" min="16" max="16" width="14.43"/>
    <col customWidth="1" min="17" max="17" width="19.0"/>
  </cols>
  <sheetData>
    <row r="1">
      <c r="B1" s="41"/>
      <c r="C1" s="42" t="s">
        <v>1663</v>
      </c>
      <c r="H1" s="43"/>
      <c r="I1" s="42" t="s">
        <v>1664</v>
      </c>
      <c r="N1" s="43"/>
      <c r="O1" s="44" t="s">
        <v>1665</v>
      </c>
      <c r="Q1" s="43"/>
      <c r="R1" s="44"/>
      <c r="S1" s="44"/>
      <c r="T1" s="45"/>
      <c r="V1" s="44"/>
    </row>
    <row r="2">
      <c r="B2" s="41"/>
      <c r="C2" s="42" t="s">
        <v>1666</v>
      </c>
      <c r="H2" s="43"/>
      <c r="I2" s="42" t="s">
        <v>1667</v>
      </c>
      <c r="N2" s="43"/>
      <c r="O2" s="44" t="s">
        <v>1668</v>
      </c>
      <c r="P2" s="44" t="s">
        <v>1669</v>
      </c>
      <c r="Q2" s="46" t="s">
        <v>1670</v>
      </c>
      <c r="V2" s="44"/>
    </row>
    <row r="3">
      <c r="A3" s="9"/>
      <c r="B3" s="47"/>
      <c r="C3" s="42" t="s">
        <v>1671</v>
      </c>
      <c r="D3" s="44" t="s">
        <v>1672</v>
      </c>
      <c r="E3" s="44" t="s">
        <v>1673</v>
      </c>
      <c r="F3" s="44" t="s">
        <v>1674</v>
      </c>
      <c r="G3" s="44" t="s">
        <v>1675</v>
      </c>
      <c r="H3" s="44" t="s">
        <v>1676</v>
      </c>
      <c r="I3" s="42" t="s">
        <v>1677</v>
      </c>
      <c r="J3" s="44" t="s">
        <v>1678</v>
      </c>
      <c r="K3" s="44" t="s">
        <v>1679</v>
      </c>
      <c r="L3" s="44" t="s">
        <v>1680</v>
      </c>
      <c r="M3" s="44" t="s">
        <v>1681</v>
      </c>
      <c r="N3" s="46" t="s">
        <v>1682</v>
      </c>
      <c r="O3" s="44" t="s">
        <v>1683</v>
      </c>
      <c r="P3" s="44" t="s">
        <v>1684</v>
      </c>
      <c r="Q3" s="46" t="s">
        <v>1685</v>
      </c>
      <c r="R3" s="48"/>
      <c r="S3" s="48"/>
      <c r="T3" s="48"/>
      <c r="U3" s="48"/>
      <c r="V3" s="49"/>
      <c r="W3" s="50"/>
      <c r="Z3" s="3"/>
      <c r="AA3" s="3"/>
    </row>
    <row r="4">
      <c r="A4" s="9">
        <f t="shared" ref="A4:A1528" si="1">IF(B4="","",row()-3)</f>
        <v>1</v>
      </c>
      <c r="B4" s="47" t="s">
        <v>136</v>
      </c>
      <c r="C4" s="48">
        <f>IFERROR(DIVIDE(VLOOKUP($B4,Data!$B$3:$AB$1535,9,FALSE),VLOOKUP($B4,Data!$B$3:$AB$1535,4,FALSE)),"")</f>
        <v>0.5406976744</v>
      </c>
      <c r="D4" s="48">
        <f>IFERROR(DIVIDE(VLOOKUP($B4,Data!$B$3:$AB$1535,24,FALSE),VLOOKUP($B4,Data!$B$3:$AB$1535,4,FALSE)),"")</f>
        <v>0.1792635659</v>
      </c>
      <c r="E4" s="48">
        <f>IFERROR(DIVIDE(VLOOKUP($B4,Data!$B$3:$EZ1530,29,FALSE),VLOOKUP($B4,Data!$B$3:$EZ1530,4,FALSE)),"")</f>
        <v>0.1781007752</v>
      </c>
      <c r="F4" s="48">
        <f>IFERROR(DIVIDE(VLOOKUP($B4,Data!$B$3:$EZ1530,34,FALSE),VLOOKUP($B4,Data!$B$3:$EZ1530,4,FALSE)),"")</f>
        <v>0.226744186</v>
      </c>
      <c r="G4" s="48">
        <f>IFERROR(DIVIDE(VLOOKUP($B4,Data!$B$3:$EZ1530,39,FALSE),VLOOKUP($B4,Data!$B$3:$EZ1530,4,FALSE)),"")</f>
        <v>0.2073643411</v>
      </c>
      <c r="H4" s="48">
        <f>IFERROR(DIVIDE(VLOOKUP($B4,Data!$B$3:$EZ1530,44,FALSE),VLOOKUP($B4,Data!$B$3:$EZ1530,4,FALSE)),"")</f>
        <v>0.1976744186</v>
      </c>
      <c r="I4" s="48">
        <f>IFERROR(MINUS(DIVIDE(VLOOKUP($B4,Data!$B$3:$EZ1530,9,FALSE),VLOOKUP($B4,Data!$B$3:$EZ1530,10,FALSE)),1),"")</f>
        <v>0.04104477612</v>
      </c>
      <c r="J4" s="48">
        <f>IFERROR(MINUS(DIVIDE(VLOOKUP($B4,Data!$B$3:$EZ1530,24,FALSE),VLOOKUP($B4,Data!$B$3:$EZ1530,25,FALSE)),1),"")</f>
        <v>-463.5</v>
      </c>
      <c r="K4" s="48">
        <f>IFERROR(MINUS(DIVIDE(VLOOKUP($B4,Data!$B$3:$EZ1530,29,FALSE),VLOOKUP($B4,Data!$B$3:$EZ1530,30,FALSE)),1),"")</f>
        <v>-0.02854122622</v>
      </c>
      <c r="L4" s="48">
        <f>IFERROR(MINUS(DIVIDE(VLOOKUP($B4,Data!$B$3:$EZ1530,34,FALSE),VLOOKUP($B4,Data!$B$3:$EZ1530,35,FALSE)),1),"")</f>
        <v>0.04464285714</v>
      </c>
      <c r="M4" s="48">
        <f>IFERROR(MINUS(DIVIDE(VLOOKUP($B4,Data!$B$3:$EZ1530,39,FALSE),VLOOKUP($B4,Data!$B$3:$EZ1530,40,FALSE)),1),"")</f>
        <v>2.386075949</v>
      </c>
      <c r="N4" s="48">
        <f>IFERROR(MINUS(DIVIDE(VLOOKUP($B4,Data!$B$3:$EZ1530,44,FALSE),VLOOKUP($B4,Data!$B$3:$EZ1530,45,FALSE)),1),"")</f>
        <v>-0.06422018349</v>
      </c>
      <c r="O4" s="50">
        <f>IFERROR(VLOOKUP($B4,Data!$B$3:$D1530,2,FALSE),"")</f>
        <v>5620000</v>
      </c>
      <c r="P4" s="50">
        <f>IFERROR(VLOOKUP($B4,Data!$B$3:$D1530,3,FALSE),"")</f>
        <v>5200000</v>
      </c>
      <c r="Q4" s="48">
        <f t="shared" ref="Q4:Q1528" si="2">IFERROR((O4/P4)-1,"")</f>
        <v>0.08076923077</v>
      </c>
      <c r="R4" s="48"/>
      <c r="S4" s="48"/>
      <c r="T4" s="48"/>
      <c r="U4" s="48"/>
      <c r="V4" s="49"/>
      <c r="W4" s="50"/>
      <c r="Z4" s="3"/>
      <c r="AA4" s="3"/>
    </row>
    <row r="5">
      <c r="A5" s="9">
        <f t="shared" si="1"/>
        <v>2</v>
      </c>
      <c r="B5" s="47" t="s">
        <v>137</v>
      </c>
      <c r="C5" s="48">
        <f>IFERROR(DIVIDE(VLOOKUP($B5,Data!$B$3:$AB$1535,9,FALSE),VLOOKUP($B5,Data!$B$3:$AB$1535,4,FALSE)),"")</f>
        <v>0.1142857143</v>
      </c>
      <c r="D5" s="48">
        <f>IFERROR(DIVIDE(VLOOKUP($B5,Data!$B$3:$AB$1535,24,FALSE),VLOOKUP($B5,Data!$B$3:$AB$1535,4,FALSE)),"")</f>
        <v>0.02961904762</v>
      </c>
      <c r="E5" s="48">
        <f>IFERROR(DIVIDE(VLOOKUP($B5,Data!$B$3:$EZ1530,29,FALSE),VLOOKUP($B5,Data!$B$3:$EZ1530,4,FALSE)),"")</f>
        <v>-0.04171428571</v>
      </c>
      <c r="F5" s="48">
        <f>IFERROR(DIVIDE(VLOOKUP($B5,Data!$B$3:$EZ1530,34,FALSE),VLOOKUP($B5,Data!$B$3:$EZ1530,4,FALSE)),"")</f>
        <v>0.1533333333</v>
      </c>
      <c r="G5" s="48">
        <f>IFERROR(DIVIDE(VLOOKUP($B5,Data!$B$3:$EZ1530,39,FALSE),VLOOKUP($B5,Data!$B$3:$EZ1530,4,FALSE)),"")</f>
        <v>-0.1076190476</v>
      </c>
      <c r="H5" s="48">
        <f>IFERROR(DIVIDE(VLOOKUP($B5,Data!$B$3:$EZ1530,44,FALSE),VLOOKUP($B5,Data!$B$3:$EZ1530,4,FALSE)),"")</f>
        <v>0.06533333333</v>
      </c>
      <c r="I5" s="48">
        <f>IFERROR(MINUS(DIVIDE(VLOOKUP($B5,Data!$B$3:$EZ1530,9,FALSE),VLOOKUP($B5,Data!$B$3:$EZ1530,10,FALSE)),1),"")</f>
        <v>-0.5539033457</v>
      </c>
      <c r="J5" s="48">
        <f>IFERROR(MINUS(DIVIDE(VLOOKUP($B5,Data!$B$3:$EZ1530,24,FALSE),VLOOKUP($B5,Data!$B$3:$EZ1530,25,FALSE)),1),"")</f>
        <v>-1.619521912</v>
      </c>
      <c r="K5" s="48">
        <f>IFERROR(MINUS(DIVIDE(VLOOKUP($B5,Data!$B$3:$EZ1530,29,FALSE),VLOOKUP($B5,Data!$B$3:$EZ1530,30,FALSE)),1),"")</f>
        <v>-1.268711656</v>
      </c>
      <c r="L5" s="48">
        <f>IFERROR(MINUS(DIVIDE(VLOOKUP($B5,Data!$B$3:$EZ1530,34,FALSE),VLOOKUP($B5,Data!$B$3:$EZ1530,35,FALSE)),1),"")</f>
        <v>-0.4888888889</v>
      </c>
      <c r="M5" s="48">
        <f>IFERROR(MINUS(DIVIDE(VLOOKUP($B5,Data!$B$3:$EZ1530,39,FALSE),VLOOKUP($B5,Data!$B$3:$EZ1530,40,FALSE)),1),"")</f>
        <v>-5.52</v>
      </c>
      <c r="N5" s="48">
        <f>IFERROR(MINUS(DIVIDE(VLOOKUP($B5,Data!$B$3:$EZ1530,44,FALSE),VLOOKUP($B5,Data!$B$3:$EZ1530,45,FALSE)),1),"")</f>
        <v>0.53125</v>
      </c>
      <c r="O5" s="50">
        <f>IFERROR(VLOOKUP($B5,Data!$B$3:$D1530,2,FALSE),"")</f>
        <v>9470000</v>
      </c>
      <c r="P5" s="50">
        <f>IFERROR(VLOOKUP($B5,Data!$B$3:$D1530,3,FALSE),"")</f>
        <v>8780000</v>
      </c>
      <c r="Q5" s="48">
        <f t="shared" si="2"/>
        <v>0.07858769932</v>
      </c>
      <c r="R5" s="48"/>
      <c r="S5" s="48"/>
      <c r="T5" s="48"/>
      <c r="U5" s="48"/>
      <c r="V5" s="51"/>
      <c r="W5" s="50"/>
      <c r="Z5" s="6"/>
      <c r="AA5" s="6"/>
    </row>
    <row r="6">
      <c r="A6" s="9">
        <f t="shared" si="1"/>
        <v>3</v>
      </c>
      <c r="B6" s="52" t="s">
        <v>138</v>
      </c>
      <c r="C6" s="48">
        <f>IFERROR(DIVIDE(VLOOKUP($B6,Data!$B$3:$AB$1535,9,FALSE),VLOOKUP($B6,Data!$B$3:$AB$1535,4,FALSE)),"")</f>
        <v>0.2495084116</v>
      </c>
      <c r="D6" s="48">
        <f>IFERROR(DIVIDE(VLOOKUP($B6,Data!$B$3:$AB$1535,24,FALSE),VLOOKUP($B6,Data!$B$3:$AB$1535,4,FALSE)),"")</f>
        <v>0.06685601923</v>
      </c>
      <c r="E6" s="48">
        <f>IFERROR(DIVIDE(VLOOKUP($B6,Data!$B$3:$EZ1530,29,FALSE),VLOOKUP($B6,Data!$B$3:$EZ1530,4,FALSE)),"")</f>
        <v>0.04937732139</v>
      </c>
      <c r="F6" s="48">
        <f>IFERROR(DIVIDE(VLOOKUP($B6,Data!$B$3:$EZ1530,34,FALSE),VLOOKUP($B6,Data!$B$3:$EZ1530,4,FALSE)),"")</f>
        <v>0.1315272012</v>
      </c>
      <c r="G6" s="48">
        <f>IFERROR(DIVIDE(VLOOKUP($B6,Data!$B$3:$EZ1530,39,FALSE),VLOOKUP($B6,Data!$B$3:$EZ1530,4,FALSE)),"")</f>
        <v>0.03692374918</v>
      </c>
      <c r="H6" s="48">
        <f>IFERROR(DIVIDE(VLOOKUP($B6,Data!$B$3:$EZ1530,44,FALSE),VLOOKUP($B6,Data!$B$3:$EZ1530,4,FALSE)),"")</f>
        <v>0.08346078217</v>
      </c>
      <c r="I6" s="48">
        <f>IFERROR(MINUS(DIVIDE(VLOOKUP($B6,Data!$B$3:$EZ1530,9,FALSE),VLOOKUP($B6,Data!$B$3:$EZ1530,10,FALSE)),1),"")</f>
        <v>0.03629764065</v>
      </c>
      <c r="J6" s="48">
        <f>IFERROR(MINUS(DIVIDE(VLOOKUP($B6,Data!$B$3:$EZ1530,24,FALSE),VLOOKUP($B6,Data!$B$3:$EZ1530,25,FALSE)),1),"")</f>
        <v>0.2047244094</v>
      </c>
      <c r="K6" s="48">
        <f>IFERROR(MINUS(DIVIDE(VLOOKUP($B6,Data!$B$3:$EZ1530,29,FALSE),VLOOKUP($B6,Data!$B$3:$EZ1530,30,FALSE)),1),"")</f>
        <v>0.2021276596</v>
      </c>
      <c r="L6" s="48">
        <f>IFERROR(MINUS(DIVIDE(VLOOKUP($B6,Data!$B$3:$EZ1530,34,FALSE),VLOOKUP($B6,Data!$B$3:$EZ1530,35,FALSE)),1),"")</f>
        <v>0.07308377897</v>
      </c>
      <c r="M6" s="48">
        <f>IFERROR(MINUS(DIVIDE(VLOOKUP($B6,Data!$B$3:$EZ1530,39,FALSE),VLOOKUP($B6,Data!$B$3:$EZ1530,40,FALSE)),1),"")</f>
        <v>0.1985815603</v>
      </c>
      <c r="N6" s="48">
        <f>IFERROR(MINUS(DIVIDE(VLOOKUP($B6,Data!$B$3:$EZ1530,44,FALSE),VLOOKUP($B6,Data!$B$3:$EZ1530,45,FALSE)),1),"")</f>
        <v>0.0821529745</v>
      </c>
      <c r="O6" s="50">
        <f>IFERROR(VLOOKUP($B6,Data!$B$3:$D1530,2,FALSE),"")</f>
        <v>29770000</v>
      </c>
      <c r="P6" s="50">
        <f>IFERROR(VLOOKUP($B6,Data!$B$3:$D1530,3,FALSE),"")</f>
        <v>17460000</v>
      </c>
      <c r="Q6" s="48">
        <f t="shared" si="2"/>
        <v>0.7050400916</v>
      </c>
      <c r="R6" s="48"/>
      <c r="S6" s="48"/>
      <c r="T6" s="48"/>
      <c r="U6" s="48"/>
      <c r="V6" s="48"/>
      <c r="W6" s="50"/>
      <c r="Z6" s="11"/>
      <c r="AA6" s="11"/>
    </row>
    <row r="7">
      <c r="A7" s="9">
        <f t="shared" si="1"/>
        <v>4</v>
      </c>
      <c r="B7" s="47" t="s">
        <v>139</v>
      </c>
      <c r="C7" s="48">
        <f>IFERROR(DIVIDE(VLOOKUP($B7,Data!$B$3:$AB$1535,9,FALSE),VLOOKUP($B7,Data!$B$3:$AB$1535,4,FALSE)),"")</f>
        <v>0.4379746835</v>
      </c>
      <c r="D7" s="48">
        <f>IFERROR(DIVIDE(VLOOKUP($B7,Data!$B$3:$AB$1535,24,FALSE),VLOOKUP($B7,Data!$B$3:$AB$1535,4,FALSE)),"")</f>
        <v>0.02546075949</v>
      </c>
      <c r="E7" s="48">
        <f>IFERROR(DIVIDE(VLOOKUP($B7,Data!$B$3:$EZ1530,29,FALSE),VLOOKUP($B7,Data!$B$3:$EZ1530,4,FALSE)),"")</f>
        <v>0.02349113924</v>
      </c>
      <c r="F7" s="48">
        <f>IFERROR(DIVIDE(VLOOKUP($B7,Data!$B$3:$EZ1530,34,FALSE),VLOOKUP($B7,Data!$B$3:$EZ1530,4,FALSE)),"")</f>
        <v>0.1058886076</v>
      </c>
      <c r="G7" s="48">
        <f>IFERROR(DIVIDE(VLOOKUP($B7,Data!$B$3:$EZ1530,39,FALSE),VLOOKUP($B7,Data!$B$3:$EZ1530,4,FALSE)),"")</f>
        <v>0.007967088608</v>
      </c>
      <c r="H7" s="48">
        <f>IFERROR(DIVIDE(VLOOKUP($B7,Data!$B$3:$EZ1530,44,FALSE),VLOOKUP($B7,Data!$B$3:$EZ1530,4,FALSE)),"")</f>
        <v>0.1117898734</v>
      </c>
      <c r="I7" s="48">
        <f>IFERROR(MINUS(DIVIDE(VLOOKUP($B7,Data!$B$3:$EZ1530,9,FALSE),VLOOKUP($B7,Data!$B$3:$EZ1530,10,FALSE)),1),"")</f>
        <v>-0.04419889503</v>
      </c>
      <c r="J7" s="48">
        <f>IFERROR(MINUS(DIVIDE(VLOOKUP($B7,Data!$B$3:$EZ1530,24,FALSE),VLOOKUP($B7,Data!$B$3:$EZ1530,25,FALSE)),1),"")</f>
        <v>-0.6237420031</v>
      </c>
      <c r="K7" s="48">
        <f>IFERROR(MINUS(DIVIDE(VLOOKUP($B7,Data!$B$3:$EZ1530,29,FALSE),VLOOKUP($B7,Data!$B$3:$EZ1530,30,FALSE)),1),"")</f>
        <v>-0.6320777161</v>
      </c>
      <c r="L7" s="48">
        <f>IFERROR(MINUS(DIVIDE(VLOOKUP($B7,Data!$B$3:$EZ1530,34,FALSE),VLOOKUP($B7,Data!$B$3:$EZ1530,35,FALSE)),1),"")</f>
        <v>0.09277596342</v>
      </c>
      <c r="M7" s="48">
        <f>IFERROR(MINUS(DIVIDE(VLOOKUP($B7,Data!$B$3:$EZ1530,39,FALSE),VLOOKUP($B7,Data!$B$3:$EZ1530,40,FALSE)),1),"")</f>
        <v>-0.8396106213</v>
      </c>
      <c r="N7" s="48">
        <f>IFERROR(MINUS(DIVIDE(VLOOKUP($B7,Data!$B$3:$EZ1530,44,FALSE),VLOOKUP($B7,Data!$B$3:$EZ1530,45,FALSE)),1),"")</f>
        <v>0.2386255259</v>
      </c>
      <c r="O7" s="50">
        <f>IFERROR(VLOOKUP($B7,Data!$B$3:$D1530,2,FALSE),"")</f>
        <v>4450000</v>
      </c>
      <c r="P7" s="50">
        <f>IFERROR(VLOOKUP($B7,Data!$B$3:$D1530,3,FALSE),"")</f>
        <v>4120000</v>
      </c>
      <c r="Q7" s="48">
        <f t="shared" si="2"/>
        <v>0.08009708738</v>
      </c>
      <c r="R7" s="53"/>
      <c r="S7" s="53"/>
      <c r="T7" s="53"/>
      <c r="U7" s="53"/>
      <c r="V7" s="48"/>
      <c r="W7" s="50"/>
      <c r="Z7" s="15"/>
      <c r="AA7" s="15"/>
    </row>
    <row r="8">
      <c r="A8" s="9">
        <f t="shared" si="1"/>
        <v>5</v>
      </c>
      <c r="B8" s="47" t="s">
        <v>140</v>
      </c>
      <c r="C8" s="48">
        <f>IFERROR(DIVIDE(VLOOKUP($B8,Data!$B$3:$AB$1535,9,FALSE),VLOOKUP($B8,Data!$B$3:$AB$1535,4,FALSE)),"")</f>
        <v>0.2394299785</v>
      </c>
      <c r="D8" s="48">
        <f>IFERROR(DIVIDE(VLOOKUP($B8,Data!$B$3:$AB$1535,24,FALSE),VLOOKUP($B8,Data!$B$3:$AB$1535,4,FALSE)),"")</f>
        <v>0</v>
      </c>
      <c r="E8" s="48">
        <f>IFERROR(DIVIDE(VLOOKUP($B8,Data!$B$3:$EZ1530,29,FALSE),VLOOKUP($B8,Data!$B$3:$EZ1530,4,FALSE)),"")</f>
        <v>-0.2692408446</v>
      </c>
      <c r="F8" s="48">
        <f>IFERROR(DIVIDE(VLOOKUP($B8,Data!$B$3:$EZ1530,34,FALSE),VLOOKUP($B8,Data!$B$3:$EZ1530,4,FALSE)),"")</f>
        <v>-0.1295646251</v>
      </c>
      <c r="G8" s="48">
        <f>IFERROR(DIVIDE(VLOOKUP($B8,Data!$B$3:$EZ1530,39,FALSE),VLOOKUP($B8,Data!$B$3:$EZ1530,4,FALSE)),"")</f>
        <v>-0.3460470477</v>
      </c>
      <c r="H8" s="48">
        <f>IFERROR(DIVIDE(VLOOKUP($B8,Data!$B$3:$EZ1530,44,FALSE),VLOOKUP($B8,Data!$B$3:$EZ1530,4,FALSE)),"")</f>
        <v>0</v>
      </c>
      <c r="I8" s="48">
        <f>IFERROR(MINUS(DIVIDE(VLOOKUP($B8,Data!$B$3:$EZ1530,9,FALSE),VLOOKUP($B8,Data!$B$3:$EZ1530,10,FALSE)),1),"")</f>
        <v>-0.4763378022</v>
      </c>
      <c r="J8" s="48" t="str">
        <f>IFERROR(MINUS(DIVIDE(VLOOKUP($B8,Data!$B$3:$EZ1530,24,FALSE),VLOOKUP($B8,Data!$B$3:$EZ1530,25,FALSE)),1),"")</f>
        <v/>
      </c>
      <c r="K8" s="48">
        <f>IFERROR(MINUS(DIVIDE(VLOOKUP($B8,Data!$B$3:$EZ1530,29,FALSE),VLOOKUP($B8,Data!$B$3:$EZ1530,30,FALSE)),1),"")</f>
        <v>4.254601227</v>
      </c>
      <c r="L8" s="48">
        <f>IFERROR(MINUS(DIVIDE(VLOOKUP($B8,Data!$B$3:$EZ1530,34,FALSE),VLOOKUP($B8,Data!$B$3:$EZ1530,35,FALSE)),1),"")</f>
        <v>-2.30639197</v>
      </c>
      <c r="M8" s="48">
        <f>IFERROR(MINUS(DIVIDE(VLOOKUP($B8,Data!$B$3:$EZ1530,39,FALSE),VLOOKUP($B8,Data!$B$3:$EZ1530,40,FALSE)),1),"")</f>
        <v>29.72093023</v>
      </c>
      <c r="N8" s="48">
        <f>IFERROR(MINUS(DIVIDE(VLOOKUP($B8,Data!$B$3:$EZ1530,44,FALSE),VLOOKUP($B8,Data!$B$3:$EZ1530,45,FALSE)),1),"")</f>
        <v>-1</v>
      </c>
      <c r="O8" s="50">
        <f>IFERROR(VLOOKUP($B8,Data!$B$3:$D1530,2,FALSE),"")</f>
        <v>259990</v>
      </c>
      <c r="P8" s="50">
        <f>IFERROR(VLOOKUP($B8,Data!$B$3:$D1530,3,FALSE),"")</f>
        <v>219910</v>
      </c>
      <c r="Q8" s="48">
        <f t="shared" si="2"/>
        <v>0.1822563776</v>
      </c>
      <c r="R8" s="53"/>
      <c r="S8" s="53"/>
      <c r="T8" s="53"/>
      <c r="U8" s="53"/>
      <c r="V8" s="48"/>
      <c r="W8" s="50"/>
      <c r="Z8" s="19"/>
      <c r="AA8" s="19"/>
    </row>
    <row r="9">
      <c r="A9" s="9">
        <f t="shared" si="1"/>
        <v>6</v>
      </c>
      <c r="B9" s="47" t="s">
        <v>141</v>
      </c>
      <c r="C9" s="48">
        <f>IFERROR(DIVIDE(VLOOKUP($B9,Data!$B$3:$AB$1535,9,FALSE),VLOOKUP($B9,Data!$B$3:$AB$1535,4,FALSE)),"")</f>
        <v>0.2512091705</v>
      </c>
      <c r="D9" s="48">
        <f>IFERROR(DIVIDE(VLOOKUP($B9,Data!$B$3:$AB$1535,24,FALSE),VLOOKUP($B9,Data!$B$3:$AB$1535,4,FALSE)),"")</f>
        <v>0</v>
      </c>
      <c r="E9" s="48">
        <f>IFERROR(DIVIDE(VLOOKUP($B9,Data!$B$3:$EZ1530,29,FALSE),VLOOKUP($B9,Data!$B$3:$EZ1530,4,FALSE)),"")</f>
        <v>0.1428206166</v>
      </c>
      <c r="F9" s="48">
        <f>IFERROR(DIVIDE(VLOOKUP($B9,Data!$B$3:$EZ1530,34,FALSE),VLOOKUP($B9,Data!$B$3:$EZ1530,4,FALSE)),"")</f>
        <v>0.1919971023</v>
      </c>
      <c r="G9" s="48">
        <f>IFERROR(DIVIDE(VLOOKUP($B9,Data!$B$3:$EZ1530,39,FALSE),VLOOKUP($B9,Data!$B$3:$EZ1530,4,FALSE)),"")</f>
        <v>0.1144397332</v>
      </c>
      <c r="H9" s="48">
        <f>IFERROR(DIVIDE(VLOOKUP($B9,Data!$B$3:$EZ1530,44,FALSE),VLOOKUP($B9,Data!$B$3:$EZ1530,4,FALSE)),"")</f>
        <v>0.2086591524</v>
      </c>
      <c r="I9" s="48">
        <f>IFERROR(MINUS(DIVIDE(VLOOKUP($B9,Data!$B$3:$EZ1530,9,FALSE),VLOOKUP($B9,Data!$B$3:$EZ1530,10,FALSE)),1),"")</f>
        <v>0.1493468512</v>
      </c>
      <c r="J9" s="48" t="str">
        <f>IFERROR(MINUS(DIVIDE(VLOOKUP($B9,Data!$B$3:$EZ1530,24,FALSE),VLOOKUP($B9,Data!$B$3:$EZ1530,25,FALSE)),1),"")</f>
        <v/>
      </c>
      <c r="K9" s="48">
        <f>IFERROR(MINUS(DIVIDE(VLOOKUP($B9,Data!$B$3:$EZ1530,29,FALSE),VLOOKUP($B9,Data!$B$3:$EZ1530,30,FALSE)),1),"")</f>
        <v>0.2077477477</v>
      </c>
      <c r="L9" s="48">
        <f>IFERROR(MINUS(DIVIDE(VLOOKUP($B9,Data!$B$3:$EZ1530,34,FALSE),VLOOKUP($B9,Data!$B$3:$EZ1530,35,FALSE)),1),"")</f>
        <v>0.2345526784</v>
      </c>
      <c r="M9" s="48">
        <f>IFERROR(MINUS(DIVIDE(VLOOKUP($B9,Data!$B$3:$EZ1530,39,FALSE),VLOOKUP($B9,Data!$B$3:$EZ1530,40,FALSE)),1),"")</f>
        <v>0.2688400661</v>
      </c>
      <c r="N9" s="48">
        <f>IFERROR(MINUS(DIVIDE(VLOOKUP($B9,Data!$B$3:$EZ1530,44,FALSE),VLOOKUP($B9,Data!$B$3:$EZ1530,45,FALSE)),1),"")</f>
        <v>0.7850893183</v>
      </c>
      <c r="O9" s="50">
        <f>IFERROR(VLOOKUP($B9,Data!$B$3:$D1530,2,FALSE),"")</f>
        <v>487700</v>
      </c>
      <c r="P9" s="50">
        <f>IFERROR(VLOOKUP($B9,Data!$B$3:$D1530,3,FALSE),"")</f>
        <v>514550</v>
      </c>
      <c r="Q9" s="48">
        <f t="shared" si="2"/>
        <v>-0.05218151783</v>
      </c>
      <c r="R9" s="53"/>
      <c r="S9" s="53"/>
      <c r="T9" s="53"/>
      <c r="U9" s="53"/>
      <c r="V9" s="48"/>
      <c r="W9" s="50"/>
      <c r="Z9" s="11"/>
      <c r="AA9" s="11"/>
    </row>
    <row r="10">
      <c r="A10" s="9">
        <f t="shared" si="1"/>
        <v>7</v>
      </c>
      <c r="B10" s="47" t="s">
        <v>142</v>
      </c>
      <c r="C10" s="48">
        <f>IFERROR(DIVIDE(VLOOKUP($B10,Data!$B$3:$AB$1535,9,FALSE),VLOOKUP($B10,Data!$B$3:$AB$1535,4,FALSE)),"")</f>
        <v>0.4376930999</v>
      </c>
      <c r="D10" s="48">
        <f>IFERROR(DIVIDE(VLOOKUP($B10,Data!$B$3:$AB$1535,24,FALSE),VLOOKUP($B10,Data!$B$3:$AB$1535,4,FALSE)),"")</f>
        <v>0.06974047374</v>
      </c>
      <c r="E10" s="48">
        <f>IFERROR(DIVIDE(VLOOKUP($B10,Data!$B$3:$EZ1530,29,FALSE),VLOOKUP($B10,Data!$B$3:$EZ1530,4,FALSE)),"")</f>
        <v>0.06567971164</v>
      </c>
      <c r="F10" s="48">
        <f>IFERROR(DIVIDE(VLOOKUP($B10,Data!$B$3:$EZ1530,34,FALSE),VLOOKUP($B10,Data!$B$3:$EZ1530,4,FALSE)),"")</f>
        <v>0.09452626159</v>
      </c>
      <c r="G10" s="48">
        <f>IFERROR(DIVIDE(VLOOKUP($B10,Data!$B$3:$EZ1530,39,FALSE),VLOOKUP($B10,Data!$B$3:$EZ1530,4,FALSE)),"")</f>
        <v>0.05014418126</v>
      </c>
      <c r="H10" s="48">
        <f>IFERROR(DIVIDE(VLOOKUP($B10,Data!$B$3:$EZ1530,44,FALSE),VLOOKUP($B10,Data!$B$3:$EZ1530,4,FALSE)),"")</f>
        <v>0.08928012358</v>
      </c>
      <c r="I10" s="48">
        <f>IFERROR(MINUS(DIVIDE(VLOOKUP($B10,Data!$B$3:$EZ1530,9,FALSE),VLOOKUP($B10,Data!$B$3:$EZ1530,10,FALSE)),1),"")</f>
        <v>0.004728132388</v>
      </c>
      <c r="J10" s="48">
        <f>IFERROR(MINUS(DIVIDE(VLOOKUP($B10,Data!$B$3:$EZ1530,24,FALSE),VLOOKUP($B10,Data!$B$3:$EZ1530,25,FALSE)),1),"")</f>
        <v>0.1206394387</v>
      </c>
      <c r="K10" s="48">
        <f>IFERROR(MINUS(DIVIDE(VLOOKUP($B10,Data!$B$3:$EZ1530,29,FALSE),VLOOKUP($B10,Data!$B$3:$EZ1530,30,FALSE)),1),"")</f>
        <v>0.1485610345</v>
      </c>
      <c r="L10" s="48">
        <f>IFERROR(MINUS(DIVIDE(VLOOKUP($B10,Data!$B$3:$EZ1530,34,FALSE),VLOOKUP($B10,Data!$B$3:$EZ1530,35,FALSE)),1),"")</f>
        <v>0.01773002462</v>
      </c>
      <c r="M10" s="48">
        <f>IFERROR(MINUS(DIVIDE(VLOOKUP($B10,Data!$B$3:$EZ1530,39,FALSE),VLOOKUP($B10,Data!$B$3:$EZ1530,40,FALSE)),1),"")</f>
        <v>0.1487554559</v>
      </c>
      <c r="N10" s="48">
        <f>IFERROR(MINUS(DIVIDE(VLOOKUP($B10,Data!$B$3:$EZ1530,44,FALSE),VLOOKUP($B10,Data!$B$3:$EZ1530,45,FALSE)),1),"")</f>
        <v>0.06890004069</v>
      </c>
      <c r="O10" s="50">
        <f>IFERROR(VLOOKUP($B10,Data!$B$3:$D1530,2,FALSE),"")</f>
        <v>9890000</v>
      </c>
      <c r="P10" s="50">
        <f>IFERROR(VLOOKUP($B10,Data!$B$3:$D1530,3,FALSE),"")</f>
        <v>9700000</v>
      </c>
      <c r="Q10" s="48">
        <f t="shared" si="2"/>
        <v>0.01958762887</v>
      </c>
      <c r="R10" s="48"/>
      <c r="S10" s="48"/>
      <c r="T10" s="48"/>
      <c r="U10" s="48"/>
      <c r="V10" s="48"/>
      <c r="W10" s="50"/>
      <c r="Z10" s="15"/>
      <c r="AA10" s="15"/>
    </row>
    <row r="11">
      <c r="A11" s="9">
        <f t="shared" si="1"/>
        <v>8</v>
      </c>
      <c r="B11" s="47" t="s">
        <v>143</v>
      </c>
      <c r="C11" s="48">
        <f>IFERROR(DIVIDE(VLOOKUP($B11,Data!$B$3:$AB$1535,9,FALSE),VLOOKUP($B11,Data!$B$3:$AB$1535,4,FALSE)),"")</f>
        <v>0.1468613139</v>
      </c>
      <c r="D11" s="48">
        <f>IFERROR(DIVIDE(VLOOKUP($B11,Data!$B$3:$AB$1535,24,FALSE),VLOOKUP($B11,Data!$B$3:$AB$1535,4,FALSE)),"")</f>
        <v>-0.1391824818</v>
      </c>
      <c r="E11" s="48">
        <f>IFERROR(DIVIDE(VLOOKUP($B11,Data!$B$3:$EZ1530,29,FALSE),VLOOKUP($B11,Data!$B$3:$EZ1530,4,FALSE)),"")</f>
        <v>-0.172540146</v>
      </c>
      <c r="F11" s="48">
        <f>IFERROR(DIVIDE(VLOOKUP($B11,Data!$B$3:$EZ1530,34,FALSE),VLOOKUP($B11,Data!$B$3:$EZ1530,4,FALSE)),"")</f>
        <v>0.1598430657</v>
      </c>
      <c r="G11" s="48">
        <f>IFERROR(DIVIDE(VLOOKUP($B11,Data!$B$3:$EZ1530,39,FALSE),VLOOKUP($B11,Data!$B$3:$EZ1530,4,FALSE)),"")</f>
        <v>-0.1069744526</v>
      </c>
      <c r="H11" s="48">
        <f>IFERROR(DIVIDE(VLOOKUP($B11,Data!$B$3:$EZ1530,44,FALSE),VLOOKUP($B11,Data!$B$3:$EZ1530,4,FALSE)),"")</f>
        <v>0.1096131387</v>
      </c>
      <c r="I11" s="48">
        <f>IFERROR(MINUS(DIVIDE(VLOOKUP($B11,Data!$B$3:$EZ1530,9,FALSE),VLOOKUP($B11,Data!$B$3:$EZ1530,10,FALSE)),1),"")</f>
        <v>-0.1797464226</v>
      </c>
      <c r="J11" s="48">
        <f>IFERROR(MINUS(DIVIDE(VLOOKUP($B11,Data!$B$3:$EZ1530,24,FALSE),VLOOKUP($B11,Data!$B$3:$EZ1530,25,FALSE)),1),"")</f>
        <v>-1.937785865</v>
      </c>
      <c r="K11" s="48">
        <f>IFERROR(MINUS(DIVIDE(VLOOKUP($B11,Data!$B$3:$EZ1530,29,FALSE),VLOOKUP($B11,Data!$B$3:$EZ1530,30,FALSE)),1),"")</f>
        <v>-2.528137828</v>
      </c>
      <c r="L11" s="48">
        <f>IFERROR(MINUS(DIVIDE(VLOOKUP($B11,Data!$B$3:$EZ1530,34,FALSE),VLOOKUP($B11,Data!$B$3:$EZ1530,35,FALSE)),1),"")</f>
        <v>-0.1452075648</v>
      </c>
      <c r="M11" s="48">
        <f>IFERROR(MINUS(DIVIDE(VLOOKUP($B11,Data!$B$3:$EZ1530,39,FALSE),VLOOKUP($B11,Data!$B$3:$EZ1530,40,FALSE)),1),"")</f>
        <v>-2.082985406</v>
      </c>
      <c r="N11" s="48">
        <f>IFERROR(MINUS(DIVIDE(VLOOKUP($B11,Data!$B$3:$EZ1530,44,FALSE),VLOOKUP($B11,Data!$B$3:$EZ1530,45,FALSE)),1),"")</f>
        <v>-0.2942807463</v>
      </c>
      <c r="O11" s="50">
        <f>IFERROR(VLOOKUP($B11,Data!$B$3:$D1530,2,FALSE),"")</f>
        <v>3120000</v>
      </c>
      <c r="P11" s="50">
        <f>IFERROR(VLOOKUP($B11,Data!$B$3:$D1530,3,FALSE),"")</f>
        <v>3020000</v>
      </c>
      <c r="Q11" s="48">
        <f t="shared" si="2"/>
        <v>0.03311258278</v>
      </c>
      <c r="R11" s="48"/>
      <c r="S11" s="48"/>
      <c r="T11" s="48"/>
      <c r="U11" s="48"/>
      <c r="V11" s="48"/>
      <c r="W11" s="50"/>
      <c r="Z11" s="11"/>
      <c r="AA11" s="11"/>
    </row>
    <row r="12">
      <c r="A12" s="9">
        <f t="shared" si="1"/>
        <v>9</v>
      </c>
      <c r="B12" s="47" t="s">
        <v>144</v>
      </c>
      <c r="C12" s="48">
        <f>IFERROR(DIVIDE(VLOOKUP($B12,Data!$B$3:$AB$1535,9,FALSE),VLOOKUP($B12,Data!$B$3:$AB$1535,4,FALSE)),"")</f>
        <v>0.3216984527</v>
      </c>
      <c r="D12" s="48">
        <f>IFERROR(DIVIDE(VLOOKUP($B12,Data!$B$3:$AB$1535,24,FALSE),VLOOKUP($B12,Data!$B$3:$AB$1535,4,FALSE)),"")</f>
        <v>0.05433609212</v>
      </c>
      <c r="E12" s="48">
        <f>IFERROR(DIVIDE(VLOOKUP($B12,Data!$B$3:$EZ1530,29,FALSE),VLOOKUP($B12,Data!$B$3:$EZ1530,4,FALSE)),"")</f>
        <v>0.06657070889</v>
      </c>
      <c r="F12" s="48">
        <f>IFERROR(DIVIDE(VLOOKUP($B12,Data!$B$3:$EZ1530,34,FALSE),VLOOKUP($B12,Data!$B$3:$EZ1530,4,FALSE)),"")</f>
        <v>0.125224901</v>
      </c>
      <c r="G12" s="48">
        <f>IFERROR(DIVIDE(VLOOKUP($B12,Data!$B$3:$EZ1530,39,FALSE),VLOOKUP($B12,Data!$B$3:$EZ1530,4,FALSE)),"")</f>
        <v>0.03742353365</v>
      </c>
      <c r="H12" s="48">
        <f>IFERROR(DIVIDE(VLOOKUP($B12,Data!$B$3:$EZ1530,44,FALSE),VLOOKUP($B12,Data!$B$3:$EZ1530,4,FALSE)),"")</f>
        <v>0.08312342569</v>
      </c>
      <c r="I12" s="48">
        <f>IFERROR(MINUS(DIVIDE(VLOOKUP($B12,Data!$B$3:$EZ1530,9,FALSE),VLOOKUP($B12,Data!$B$3:$EZ1530,10,FALSE)),1),"")</f>
        <v>0.06302021403</v>
      </c>
      <c r="J12" s="48">
        <f>IFERROR(MINUS(DIVIDE(VLOOKUP($B12,Data!$B$3:$EZ1530,24,FALSE),VLOOKUP($B12,Data!$B$3:$EZ1530,25,FALSE)),1),"")</f>
        <v>-0.2524752475</v>
      </c>
      <c r="K12" s="48">
        <f>IFERROR(MINUS(DIVIDE(VLOOKUP($B12,Data!$B$3:$EZ1530,29,FALSE),VLOOKUP($B12,Data!$B$3:$EZ1530,30,FALSE)),1),"")</f>
        <v>-0.1062801932</v>
      </c>
      <c r="L12" s="48">
        <f>IFERROR(MINUS(DIVIDE(VLOOKUP($B12,Data!$B$3:$EZ1530,34,FALSE),VLOOKUP($B12,Data!$B$3:$EZ1530,35,FALSE)),1),"")</f>
        <v>0.1447368421</v>
      </c>
      <c r="M12" s="48">
        <f>IFERROR(MINUS(DIVIDE(VLOOKUP($B12,Data!$B$3:$EZ1530,39,FALSE),VLOOKUP($B12,Data!$B$3:$EZ1530,40,FALSE)),1),"")</f>
        <v>-0.2972972973</v>
      </c>
      <c r="N12" s="48">
        <f>IFERROR(MINUS(DIVIDE(VLOOKUP($B12,Data!$B$3:$EZ1530,44,FALSE),VLOOKUP($B12,Data!$B$3:$EZ1530,45,FALSE)),1),"")</f>
        <v>-0.1923076923</v>
      </c>
      <c r="O12" s="50">
        <f>IFERROR(VLOOKUP($B12,Data!$B$3:$D1530,2,FALSE),"")</f>
        <v>26940000</v>
      </c>
      <c r="P12" s="50">
        <f>IFERROR(VLOOKUP($B12,Data!$B$3:$D1530,3,FALSE),"")</f>
        <v>25370000</v>
      </c>
      <c r="Q12" s="48">
        <f t="shared" si="2"/>
        <v>0.0618841151</v>
      </c>
      <c r="R12" s="48"/>
      <c r="S12" s="48"/>
      <c r="T12" s="48"/>
      <c r="U12" s="48"/>
      <c r="V12" s="48"/>
      <c r="W12" s="50"/>
      <c r="Z12" s="11"/>
      <c r="AA12" s="11"/>
    </row>
    <row r="13">
      <c r="A13" s="9">
        <f t="shared" si="1"/>
        <v>10</v>
      </c>
      <c r="B13" s="47" t="s">
        <v>145</v>
      </c>
      <c r="C13" s="48">
        <f>IFERROR(DIVIDE(VLOOKUP($B13,Data!$B$3:$AB$1535,9,FALSE),VLOOKUP($B13,Data!$B$3:$AB$1535,4,FALSE)),"")</f>
        <v>0.7712654043</v>
      </c>
      <c r="D13" s="48">
        <f>IFERROR(DIVIDE(VLOOKUP($B13,Data!$B$3:$AB$1535,24,FALSE),VLOOKUP($B13,Data!$B$3:$AB$1535,4,FALSE)),"")</f>
        <v>0.2912533814</v>
      </c>
      <c r="E13" s="48">
        <f>IFERROR(DIVIDE(VLOOKUP($B13,Data!$B$3:$EZ1530,29,FALSE),VLOOKUP($B13,Data!$B$3:$EZ1530,4,FALSE)),"")</f>
        <v>0.2533814247</v>
      </c>
      <c r="F13" s="48">
        <f>IFERROR(DIVIDE(VLOOKUP($B13,Data!$B$3:$EZ1530,34,FALSE),VLOOKUP($B13,Data!$B$3:$EZ1530,4,FALSE)),"")</f>
        <v>0.4788097385</v>
      </c>
      <c r="G13" s="48">
        <f>IFERROR(DIVIDE(VLOOKUP($B13,Data!$B$3:$EZ1530,39,FALSE),VLOOKUP($B13,Data!$B$3:$EZ1530,4,FALSE)),"")</f>
        <v>0.2356477307</v>
      </c>
      <c r="H13" s="48">
        <f>IFERROR(DIVIDE(VLOOKUP($B13,Data!$B$3:$EZ1530,44,FALSE),VLOOKUP($B13,Data!$B$3:$EZ1530,4,FALSE)),"")</f>
        <v>0.4003606853</v>
      </c>
      <c r="I13" s="48">
        <f>IFERROR(MINUS(DIVIDE(VLOOKUP($B13,Data!$B$3:$EZ1530,9,FALSE),VLOOKUP($B13,Data!$B$3:$EZ1530,10,FALSE)),1),"")</f>
        <v>0.01825396825</v>
      </c>
      <c r="J13" s="48">
        <f>IFERROR(MINUS(DIVIDE(VLOOKUP($B13,Data!$B$3:$EZ1530,24,FALSE),VLOOKUP($B13,Data!$B$3:$EZ1530,25,FALSE)),1),"")</f>
        <v>0.4726443769</v>
      </c>
      <c r="K13" s="48">
        <f>IFERROR(MINUS(DIVIDE(VLOOKUP($B13,Data!$B$3:$EZ1530,29,FALSE),VLOOKUP($B13,Data!$B$3:$EZ1530,30,FALSE)),1),"")</f>
        <v>0.6211538462</v>
      </c>
      <c r="L13" s="48">
        <f>IFERROR(MINUS(DIVIDE(VLOOKUP($B13,Data!$B$3:$EZ1530,34,FALSE),VLOOKUP($B13,Data!$B$3:$EZ1530,35,FALSE)),1),"")</f>
        <v>0.1460431655</v>
      </c>
      <c r="M13" s="48">
        <f>IFERROR(MINUS(DIVIDE(VLOOKUP($B13,Data!$B$3:$EZ1530,39,FALSE),VLOOKUP($B13,Data!$B$3:$EZ1530,40,FALSE)),1),"")</f>
        <v>0.3851590106</v>
      </c>
      <c r="N13" s="48">
        <f>IFERROR(MINUS(DIVIDE(VLOOKUP($B13,Data!$B$3:$EZ1530,44,FALSE),VLOOKUP($B13,Data!$B$3:$EZ1530,45,FALSE)),1),"")</f>
        <v>-0.008190618019</v>
      </c>
      <c r="O13" s="50">
        <f>IFERROR(VLOOKUP($B13,Data!$B$3:$D1530,2,FALSE),"")</f>
        <v>53400000</v>
      </c>
      <c r="P13" s="50">
        <f>IFERROR(VLOOKUP($B13,Data!$B$3:$D1530,3,FALSE),"")</f>
        <v>45470000</v>
      </c>
      <c r="Q13" s="48">
        <f t="shared" si="2"/>
        <v>0.1744007038</v>
      </c>
      <c r="R13" s="48"/>
      <c r="S13" s="48"/>
      <c r="T13" s="48"/>
      <c r="U13" s="48"/>
      <c r="V13" s="48"/>
      <c r="W13" s="50"/>
      <c r="Z13" s="11"/>
      <c r="AA13" s="11"/>
    </row>
    <row r="14">
      <c r="A14" s="9">
        <f t="shared" si="1"/>
        <v>11</v>
      </c>
      <c r="B14" s="47" t="s">
        <v>146</v>
      </c>
      <c r="C14" s="48">
        <f>IFERROR(DIVIDE(VLOOKUP($B14,Data!$B$3:$AB$1535,9,FALSE),VLOOKUP($B14,Data!$B$3:$AB$1535,4,FALSE)),"")</f>
        <v>0.02522412161</v>
      </c>
      <c r="D14" s="48">
        <f>IFERROR(DIVIDE(VLOOKUP($B14,Data!$B$3:$AB$1535,24,FALSE),VLOOKUP($B14,Data!$B$3:$AB$1535,4,FALSE)),"")</f>
        <v>0.00618074503</v>
      </c>
      <c r="E14" s="48">
        <f>IFERROR(DIVIDE(VLOOKUP($B14,Data!$B$3:$EZ1530,29,FALSE),VLOOKUP($B14,Data!$B$3:$EZ1530,4,FALSE)),"")</f>
        <v>0.005385099393</v>
      </c>
      <c r="F14" s="48">
        <f>IFERROR(DIVIDE(VLOOKUP($B14,Data!$B$3:$EZ1530,34,FALSE),VLOOKUP($B14,Data!$B$3:$EZ1530,4,FALSE)),"")</f>
        <v>0.01314104349</v>
      </c>
      <c r="G14" s="48">
        <f>IFERROR(DIVIDE(VLOOKUP($B14,Data!$B$3:$EZ1530,39,FALSE),VLOOKUP($B14,Data!$B$3:$EZ1530,4,FALSE)),"")</f>
        <v>0.004762904393</v>
      </c>
      <c r="H14" s="48">
        <f>IFERROR(DIVIDE(VLOOKUP($B14,Data!$B$3:$EZ1530,44,FALSE),VLOOKUP($B14,Data!$B$3:$EZ1530,4,FALSE)),"")</f>
        <v>0.01302967871</v>
      </c>
      <c r="I14" s="48">
        <f>IFERROR(MINUS(DIVIDE(VLOOKUP($B14,Data!$B$3:$EZ1530,9,FALSE),VLOOKUP($B14,Data!$B$3:$EZ1530,10,FALSE)),1),"")</f>
        <v>0.102189781</v>
      </c>
      <c r="J14" s="48">
        <f>IFERROR(MINUS(DIVIDE(VLOOKUP($B14,Data!$B$3:$EZ1530,24,FALSE),VLOOKUP($B14,Data!$B$3:$EZ1530,25,FALSE)),1),"")</f>
        <v>-0.2014388489</v>
      </c>
      <c r="K14" s="48">
        <f>IFERROR(MINUS(DIVIDE(VLOOKUP($B14,Data!$B$3:$EZ1530,29,FALSE),VLOOKUP($B14,Data!$B$3:$EZ1530,30,FALSE)),1),"")</f>
        <v>-0.1804152542</v>
      </c>
      <c r="L14" s="48">
        <f>IFERROR(MINUS(DIVIDE(VLOOKUP($B14,Data!$B$3:$EZ1530,34,FALSE),VLOOKUP($B14,Data!$B$3:$EZ1530,35,FALSE)),1),"")</f>
        <v>0.0976744186</v>
      </c>
      <c r="M14" s="48">
        <f>IFERROR(MINUS(DIVIDE(VLOOKUP($B14,Data!$B$3:$EZ1530,39,FALSE),VLOOKUP($B14,Data!$B$3:$EZ1530,40,FALSE)),1),"")</f>
        <v>-0.4847168675</v>
      </c>
      <c r="N14" s="48">
        <f>IFERROR(MINUS(DIVIDE(VLOOKUP($B14,Data!$B$3:$EZ1530,44,FALSE),VLOOKUP($B14,Data!$B$3:$EZ1530,45,FALSE)),1),"")</f>
        <v>0.6595744681</v>
      </c>
      <c r="O14" s="50">
        <f>IFERROR(VLOOKUP($B14,Data!$B$3:$D1530,2,FALSE),"")</f>
        <v>198870000</v>
      </c>
      <c r="P14" s="50">
        <f>IFERROR(VLOOKUP($B14,Data!$B$3:$D1530,3,FALSE),"")</f>
        <v>187510000</v>
      </c>
      <c r="Q14" s="48">
        <f t="shared" si="2"/>
        <v>0.06058343555</v>
      </c>
      <c r="R14" s="48"/>
      <c r="S14" s="48"/>
      <c r="T14" s="48"/>
      <c r="U14" s="48"/>
      <c r="V14" s="48"/>
      <c r="W14" s="50"/>
      <c r="Z14" s="11"/>
      <c r="AA14" s="11"/>
    </row>
    <row r="15">
      <c r="A15" s="9">
        <f t="shared" si="1"/>
        <v>12</v>
      </c>
      <c r="B15" s="47" t="s">
        <v>147</v>
      </c>
      <c r="C15" s="48" t="str">
        <f>IFERROR(DIVIDE(VLOOKUP($B15,Data!$B$3:$AB$1535,9,FALSE),VLOOKUP($B15,Data!$B$3:$AB$1535,4,FALSE)),"")</f>
        <v/>
      </c>
      <c r="D15" s="48" t="str">
        <f>IFERROR(DIVIDE(VLOOKUP($B15,Data!$B$3:$AB$1535,24,FALSE),VLOOKUP($B15,Data!$B$3:$AB$1535,4,FALSE)),"")</f>
        <v/>
      </c>
      <c r="E15" s="48" t="str">
        <f>IFERROR(DIVIDE(VLOOKUP($B15,Data!$B$3:$EZ1530,29,FALSE),VLOOKUP($B15,Data!$B$3:$EZ1530,4,FALSE)),"")</f>
        <v/>
      </c>
      <c r="F15" s="48" t="str">
        <f>IFERROR(DIVIDE(VLOOKUP($B15,Data!$B$3:$EZ1530,34,FALSE),VLOOKUP($B15,Data!$B$3:$EZ1530,4,FALSE)),"")</f>
        <v/>
      </c>
      <c r="G15" s="48" t="str">
        <f>IFERROR(DIVIDE(VLOOKUP($B15,Data!$B$3:$EZ1530,39,FALSE),VLOOKUP($B15,Data!$B$3:$EZ1530,4,FALSE)),"")</f>
        <v/>
      </c>
      <c r="H15" s="48" t="str">
        <f>IFERROR(DIVIDE(VLOOKUP($B15,Data!$B$3:$EZ1530,44,FALSE),VLOOKUP($B15,Data!$B$3:$EZ1530,4,FALSE)),"")</f>
        <v/>
      </c>
      <c r="I15" s="48" t="str">
        <f>IFERROR(MINUS(DIVIDE(VLOOKUP($B15,Data!$B$3:$EZ1530,9,FALSE),VLOOKUP($B15,Data!$B$3:$EZ1530,10,FALSE)),1),"")</f>
        <v/>
      </c>
      <c r="J15" s="48" t="str">
        <f>IFERROR(MINUS(DIVIDE(VLOOKUP($B15,Data!$B$3:$EZ1530,24,FALSE),VLOOKUP($B15,Data!$B$3:$EZ1530,25,FALSE)),1),"")</f>
        <v/>
      </c>
      <c r="K15" s="48">
        <f>IFERROR(MINUS(DIVIDE(VLOOKUP($B15,Data!$B$3:$EZ1530,29,FALSE),VLOOKUP($B15,Data!$B$3:$EZ1530,30,FALSE)),1),"")</f>
        <v>0.3460384683</v>
      </c>
      <c r="L15" s="48">
        <f>IFERROR(MINUS(DIVIDE(VLOOKUP($B15,Data!$B$3:$EZ1530,34,FALSE),VLOOKUP($B15,Data!$B$3:$EZ1530,35,FALSE)),1),"")</f>
        <v>0.2257659918</v>
      </c>
      <c r="M15" s="48">
        <f>IFERROR(MINUS(DIVIDE(VLOOKUP($B15,Data!$B$3:$EZ1530,39,FALSE),VLOOKUP($B15,Data!$B$3:$EZ1530,40,FALSE)),1),"")</f>
        <v>0.3460384683</v>
      </c>
      <c r="N15" s="48">
        <f>IFERROR(MINUS(DIVIDE(VLOOKUP($B15,Data!$B$3:$EZ1530,44,FALSE),VLOOKUP($B15,Data!$B$3:$EZ1530,45,FALSE)),1),"")</f>
        <v>0.6062388136</v>
      </c>
      <c r="O15" s="50">
        <f>IFERROR(VLOOKUP($B15,Data!$B$3:$D1530,2,FALSE),"")</f>
        <v>1390</v>
      </c>
      <c r="P15" s="50" t="str">
        <f>IFERROR(VLOOKUP($B15,Data!$B$3:$D1530,3,FALSE),"")</f>
        <v/>
      </c>
      <c r="Q15" s="48" t="str">
        <f t="shared" si="2"/>
        <v/>
      </c>
      <c r="R15" s="48"/>
      <c r="S15" s="48"/>
      <c r="T15" s="48"/>
      <c r="U15" s="48"/>
      <c r="V15" s="48"/>
      <c r="W15" s="50"/>
      <c r="Z15" s="11"/>
      <c r="AA15" s="11"/>
    </row>
    <row r="16">
      <c r="A16" s="9">
        <f t="shared" si="1"/>
        <v>13</v>
      </c>
      <c r="B16" s="47" t="s">
        <v>148</v>
      </c>
      <c r="C16" s="48">
        <f>IFERROR(DIVIDE(VLOOKUP($B16,Data!$B$3:$AB$1535,9,FALSE),VLOOKUP($B16,Data!$B$3:$AB$1535,4,FALSE)),"")</f>
        <v>0.552851711</v>
      </c>
      <c r="D16" s="48">
        <f>IFERROR(DIVIDE(VLOOKUP($B16,Data!$B$3:$AB$1535,24,FALSE),VLOOKUP($B16,Data!$B$3:$AB$1535,4,FALSE)),"")</f>
        <v>0.2486692015</v>
      </c>
      <c r="E16" s="48">
        <f>IFERROR(DIVIDE(VLOOKUP($B16,Data!$B$3:$EZ1530,29,FALSE),VLOOKUP($B16,Data!$B$3:$EZ1530,4,FALSE)),"")</f>
        <v>0.2465779468</v>
      </c>
      <c r="F16" s="48">
        <f>IFERROR(DIVIDE(VLOOKUP($B16,Data!$B$3:$EZ1530,34,FALSE),VLOOKUP($B16,Data!$B$3:$EZ1530,4,FALSE)),"")</f>
        <v>0.3817490494</v>
      </c>
      <c r="G16" s="48">
        <f>IFERROR(DIVIDE(VLOOKUP($B16,Data!$B$3:$EZ1530,39,FALSE),VLOOKUP($B16,Data!$B$3:$EZ1530,4,FALSE)),"")</f>
        <v>0.2239543726</v>
      </c>
      <c r="H16" s="48">
        <f>IFERROR(DIVIDE(VLOOKUP($B16,Data!$B$3:$EZ1530,44,FALSE),VLOOKUP($B16,Data!$B$3:$EZ1530,4,FALSE)),"")</f>
        <v>0.3494296578</v>
      </c>
      <c r="I16" s="48">
        <f>IFERROR(MINUS(DIVIDE(VLOOKUP($B16,Data!$B$3:$EZ1530,9,FALSE),VLOOKUP($B16,Data!$B$3:$EZ1530,10,FALSE)),1),"")</f>
        <v>-0.005131713992</v>
      </c>
      <c r="J16" s="48">
        <f>IFERROR(MINUS(DIVIDE(VLOOKUP($B16,Data!$B$3:$EZ1530,24,FALSE),VLOOKUP($B16,Data!$B$3:$EZ1530,25,FALSE)),1),"")</f>
        <v>-6.711790393</v>
      </c>
      <c r="K16" s="48">
        <f>IFERROR(MINUS(DIVIDE(VLOOKUP($B16,Data!$B$3:$EZ1530,29,FALSE),VLOOKUP($B16,Data!$B$3:$EZ1530,30,FALSE)),1),"")</f>
        <v>-0.01143292683</v>
      </c>
      <c r="L16" s="48">
        <f>IFERROR(MINUS(DIVIDE(VLOOKUP($B16,Data!$B$3:$EZ1530,34,FALSE),VLOOKUP($B16,Data!$B$3:$EZ1530,35,FALSE)),1),"")</f>
        <v>-0.03785337805</v>
      </c>
      <c r="M16" s="48">
        <f>IFERROR(MINUS(DIVIDE(VLOOKUP($B16,Data!$B$3:$EZ1530,39,FALSE),VLOOKUP($B16,Data!$B$3:$EZ1530,40,FALSE)),1),"")</f>
        <v>0.07188353048</v>
      </c>
      <c r="N16" s="48">
        <f>IFERROR(MINUS(DIVIDE(VLOOKUP($B16,Data!$B$3:$EZ1530,44,FALSE),VLOOKUP($B16,Data!$B$3:$EZ1530,45,FALSE)),1),"")</f>
        <v>0.001634877384</v>
      </c>
      <c r="O16" s="50">
        <f>IFERROR(VLOOKUP($B16,Data!$B$3:$D1530,2,FALSE),"")</f>
        <v>10770000</v>
      </c>
      <c r="P16" s="50">
        <f>IFERROR(VLOOKUP($B16,Data!$B$3:$D1530,3,FALSE),"")</f>
        <v>10020000</v>
      </c>
      <c r="Q16" s="48">
        <f t="shared" si="2"/>
        <v>0.0748502994</v>
      </c>
      <c r="R16" s="48"/>
      <c r="S16" s="48"/>
      <c r="T16" s="48"/>
      <c r="U16" s="48"/>
      <c r="V16" s="48"/>
      <c r="W16" s="50"/>
      <c r="Z16" s="11"/>
      <c r="AA16" s="11"/>
    </row>
    <row r="17">
      <c r="A17" s="9">
        <f t="shared" si="1"/>
        <v>14</v>
      </c>
      <c r="B17" s="47" t="s">
        <v>149</v>
      </c>
      <c r="C17" s="48">
        <f>IFERROR(DIVIDE(VLOOKUP($B17,Data!$B$3:$AB$1535,9,FALSE),VLOOKUP($B17,Data!$B$3:$AB$1535,4,FALSE)),"")</f>
        <v>0.1567267684</v>
      </c>
      <c r="D17" s="48">
        <f>IFERROR(DIVIDE(VLOOKUP($B17,Data!$B$3:$AB$1535,24,FALSE),VLOOKUP($B17,Data!$B$3:$AB$1535,4,FALSE)),"")</f>
        <v>0.04507628294</v>
      </c>
      <c r="E17" s="48">
        <f>IFERROR(DIVIDE(VLOOKUP($B17,Data!$B$3:$EZ1530,29,FALSE),VLOOKUP($B17,Data!$B$3:$EZ1530,4,FALSE)),"")</f>
        <v>0.03382801664</v>
      </c>
      <c r="F17" s="48">
        <f>IFERROR(DIVIDE(VLOOKUP($B17,Data!$B$3:$EZ1530,34,FALSE),VLOOKUP($B17,Data!$B$3:$EZ1530,4,FALSE)),"")</f>
        <v>0.05144244105</v>
      </c>
      <c r="G17" s="48">
        <f>IFERROR(DIVIDE(VLOOKUP($B17,Data!$B$3:$EZ1530,39,FALSE),VLOOKUP($B17,Data!$B$3:$EZ1530,4,FALSE)),"")</f>
        <v>0.02557558946</v>
      </c>
      <c r="H17" s="48">
        <f>IFERROR(DIVIDE(VLOOKUP($B17,Data!$B$3:$EZ1530,44,FALSE),VLOOKUP($B17,Data!$B$3:$EZ1530,4,FALSE)),"")</f>
        <v>0.04595006935</v>
      </c>
      <c r="I17" s="48">
        <f>IFERROR(MINUS(DIVIDE(VLOOKUP($B17,Data!$B$3:$EZ1530,9,FALSE),VLOOKUP($B17,Data!$B$3:$EZ1530,10,FALSE)),1),"")</f>
        <v>0.05607476636</v>
      </c>
      <c r="J17" s="48">
        <f>IFERROR(MINUS(DIVIDE(VLOOKUP($B17,Data!$B$3:$EZ1530,24,FALSE),VLOOKUP($B17,Data!$B$3:$EZ1530,25,FALSE)),1),"")</f>
        <v>0.04535220328</v>
      </c>
      <c r="K17" s="48">
        <f>IFERROR(MINUS(DIVIDE(VLOOKUP($B17,Data!$B$3:$EZ1530,29,FALSE),VLOOKUP($B17,Data!$B$3:$EZ1530,30,FALSE)),1),"")</f>
        <v>0.08496441281</v>
      </c>
      <c r="L17" s="48">
        <f>IFERROR(MINUS(DIVIDE(VLOOKUP($B17,Data!$B$3:$EZ1530,34,FALSE),VLOOKUP($B17,Data!$B$3:$EZ1530,35,FALSE)),1),"")</f>
        <v>0.06488659202</v>
      </c>
      <c r="M17" s="48">
        <f>IFERROR(MINUS(DIVIDE(VLOOKUP($B17,Data!$B$3:$EZ1530,39,FALSE),VLOOKUP($B17,Data!$B$3:$EZ1530,40,FALSE)),1),"")</f>
        <v>0.09761904762</v>
      </c>
      <c r="N17" s="48">
        <f>IFERROR(MINUS(DIVIDE(VLOOKUP($B17,Data!$B$3:$EZ1530,44,FALSE),VLOOKUP($B17,Data!$B$3:$EZ1530,45,FALSE)),1),"")</f>
        <v>1103.333333</v>
      </c>
      <c r="O17" s="50">
        <f>IFERROR(VLOOKUP($B17,Data!$B$3:$D1530,2,FALSE),"")</f>
        <v>8280000</v>
      </c>
      <c r="P17" s="50">
        <f>IFERROR(VLOOKUP($B17,Data!$B$3:$D1530,3,FALSE),"")</f>
        <v>6890000</v>
      </c>
      <c r="Q17" s="48">
        <f t="shared" si="2"/>
        <v>0.2017416546</v>
      </c>
      <c r="R17" s="48"/>
      <c r="S17" s="48"/>
      <c r="T17" s="48"/>
      <c r="U17" s="48"/>
      <c r="V17" s="48"/>
      <c r="W17" s="50"/>
      <c r="Z17" s="11"/>
      <c r="AA17" s="12"/>
    </row>
    <row r="18">
      <c r="A18" s="9">
        <f t="shared" si="1"/>
        <v>15</v>
      </c>
      <c r="B18" s="47" t="s">
        <v>150</v>
      </c>
      <c r="C18" s="48">
        <f>IFERROR(DIVIDE(VLOOKUP($B18,Data!$B$3:$AB$1535,9,FALSE),VLOOKUP($B18,Data!$B$3:$AB$1535,4,FALSE)),"")</f>
        <v>0.5231974922</v>
      </c>
      <c r="D18" s="48">
        <f>IFERROR(DIVIDE(VLOOKUP($B18,Data!$B$3:$AB$1535,24,FALSE),VLOOKUP($B18,Data!$B$3:$AB$1535,4,FALSE)),"")</f>
        <v>0.1376175549</v>
      </c>
      <c r="E18" s="48">
        <f>IFERROR(DIVIDE(VLOOKUP($B18,Data!$B$3:$EZ1530,29,FALSE),VLOOKUP($B18,Data!$B$3:$EZ1530,4,FALSE)),"")</f>
        <v>0.1278996865</v>
      </c>
      <c r="F18" s="48">
        <f>IFERROR(DIVIDE(VLOOKUP($B18,Data!$B$3:$EZ1530,34,FALSE),VLOOKUP($B18,Data!$B$3:$EZ1530,4,FALSE)),"")</f>
        <v>0.2385579937</v>
      </c>
      <c r="G18" s="48">
        <f>IFERROR(DIVIDE(VLOOKUP($B18,Data!$B$3:$EZ1530,39,FALSE),VLOOKUP($B18,Data!$B$3:$EZ1530,4,FALSE)),"")</f>
        <v>0.1150470219</v>
      </c>
      <c r="H18" s="48">
        <f>IFERROR(DIVIDE(VLOOKUP($B18,Data!$B$3:$EZ1530,44,FALSE),VLOOKUP($B18,Data!$B$3:$EZ1530,4,FALSE)),"")</f>
        <v>0.192476489</v>
      </c>
      <c r="I18" s="48">
        <f>IFERROR(MINUS(DIVIDE(VLOOKUP($B18,Data!$B$3:$EZ1530,9,FALSE),VLOOKUP($B18,Data!$B$3:$EZ1530,10,FALSE)),1),"")</f>
        <v>0.05499367889</v>
      </c>
      <c r="J18" s="48">
        <f>IFERROR(MINUS(DIVIDE(VLOOKUP($B18,Data!$B$3:$EZ1530,24,FALSE),VLOOKUP($B18,Data!$B$3:$EZ1530,25,FALSE)),1),"")</f>
        <v>0.2194444444</v>
      </c>
      <c r="K18" s="48">
        <f>IFERROR(MINUS(DIVIDE(VLOOKUP($B18,Data!$B$3:$EZ1530,29,FALSE),VLOOKUP($B18,Data!$B$3:$EZ1530,30,FALSE)),1),"")</f>
        <v>0.4216027875</v>
      </c>
      <c r="L18" s="48">
        <f>IFERROR(MINUS(DIVIDE(VLOOKUP($B18,Data!$B$3:$EZ1530,34,FALSE),VLOOKUP($B18,Data!$B$3:$EZ1530,35,FALSE)),1),"")</f>
        <v>0.06882022472</v>
      </c>
      <c r="M18" s="48">
        <f>IFERROR(MINUS(DIVIDE(VLOOKUP($B18,Data!$B$3:$EZ1530,39,FALSE),VLOOKUP($B18,Data!$B$3:$EZ1530,40,FALSE)),1),"")</f>
        <v>0.5818965517</v>
      </c>
      <c r="N18" s="48">
        <f>IFERROR(MINUS(DIVIDE(VLOOKUP($B18,Data!$B$3:$EZ1530,44,FALSE),VLOOKUP($B18,Data!$B$3:$EZ1530,45,FALSE)),1),"")</f>
        <v>-0.0253968254</v>
      </c>
      <c r="O18" s="50">
        <f>IFERROR(VLOOKUP($B18,Data!$B$3:$D1530,2,FALSE),"")</f>
        <v>36120000</v>
      </c>
      <c r="P18" s="50">
        <f>IFERROR(VLOOKUP($B18,Data!$B$3:$D1530,3,FALSE),"")</f>
        <v>32760000</v>
      </c>
      <c r="Q18" s="48">
        <f t="shared" si="2"/>
        <v>0.1025641026</v>
      </c>
      <c r="R18" s="48"/>
      <c r="S18" s="48"/>
      <c r="T18" s="48"/>
      <c r="U18" s="48"/>
      <c r="V18" s="48"/>
      <c r="W18" s="50"/>
      <c r="Z18" s="15"/>
      <c r="AA18" s="15"/>
    </row>
    <row r="19">
      <c r="A19" s="9">
        <f t="shared" si="1"/>
        <v>16</v>
      </c>
      <c r="B19" s="47" t="s">
        <v>151</v>
      </c>
      <c r="C19" s="48">
        <f>IFERROR(DIVIDE(VLOOKUP($B19,Data!$B$3:$AB$1535,9,FALSE),VLOOKUP($B19,Data!$B$3:$AB$1535,4,FALSE)),"")</f>
        <v>0</v>
      </c>
      <c r="D19" s="48">
        <f>IFERROR(DIVIDE(VLOOKUP($B19,Data!$B$3:$AB$1535,24,FALSE),VLOOKUP($B19,Data!$B$3:$AB$1535,4,FALSE)),"")</f>
        <v>-23.94342762</v>
      </c>
      <c r="E19" s="48">
        <f>IFERROR(DIVIDE(VLOOKUP($B19,Data!$B$3:$EZ1530,29,FALSE),VLOOKUP($B19,Data!$B$3:$EZ1530,4,FALSE)),"")</f>
        <v>-23.93677205</v>
      </c>
      <c r="F19" s="48">
        <f>IFERROR(DIVIDE(VLOOKUP($B19,Data!$B$3:$EZ1530,34,FALSE),VLOOKUP($B19,Data!$B$3:$EZ1530,4,FALSE)),"")</f>
        <v>-11.53410982</v>
      </c>
      <c r="G19" s="48">
        <f>IFERROR(DIVIDE(VLOOKUP($B19,Data!$B$3:$EZ1530,39,FALSE),VLOOKUP($B19,Data!$B$3:$EZ1530,4,FALSE)),"")</f>
        <v>-25.57737105</v>
      </c>
      <c r="H19" s="48">
        <f>IFERROR(DIVIDE(VLOOKUP($B19,Data!$B$3:$EZ1530,44,FALSE),VLOOKUP($B19,Data!$B$3:$EZ1530,4,FALSE)),"")</f>
        <v>-11.81530782</v>
      </c>
      <c r="I19" s="48" t="str">
        <f>IFERROR(MINUS(DIVIDE(VLOOKUP($B19,Data!$B$3:$EZ1530,9,FALSE),VLOOKUP($B19,Data!$B$3:$EZ1530,10,FALSE)),1),"")</f>
        <v/>
      </c>
      <c r="J19" s="48">
        <f>IFERROR(MINUS(DIVIDE(VLOOKUP($B19,Data!$B$3:$EZ1530,24,FALSE),VLOOKUP($B19,Data!$B$3:$EZ1530,25,FALSE)),1),"")</f>
        <v>1.497396737</v>
      </c>
      <c r="K19" s="48">
        <f>IFERROR(MINUS(DIVIDE(VLOOKUP($B19,Data!$B$3:$EZ1530,29,FALSE),VLOOKUP($B19,Data!$B$3:$EZ1530,30,FALSE)),1),"")</f>
        <v>1.34452412</v>
      </c>
      <c r="L19" s="48">
        <f>IFERROR(MINUS(DIVIDE(VLOOKUP($B19,Data!$B$3:$EZ1530,34,FALSE),VLOOKUP($B19,Data!$B$3:$EZ1530,35,FALSE)),1),"")</f>
        <v>0.01926187325</v>
      </c>
      <c r="M19" s="48">
        <f>IFERROR(MINUS(DIVIDE(VLOOKUP($B19,Data!$B$3:$EZ1530,39,FALSE),VLOOKUP($B19,Data!$B$3:$EZ1530,40,FALSE)),1),"")</f>
        <v>1.694006309</v>
      </c>
      <c r="N19" s="48">
        <f>IFERROR(MINUS(DIVIDE(VLOOKUP($B19,Data!$B$3:$EZ1530,44,FALSE),VLOOKUP($B19,Data!$B$3:$EZ1530,45,FALSE)),1),"")</f>
        <v>0.04626491823</v>
      </c>
      <c r="O19" s="50">
        <f>IFERROR(VLOOKUP($B19,Data!$B$3:$D1530,2,FALSE),"")</f>
        <v>10180</v>
      </c>
      <c r="P19" s="50">
        <f>IFERROR(VLOOKUP($B19,Data!$B$3:$D1530,3,FALSE),"")</f>
        <v>6650</v>
      </c>
      <c r="Q19" s="48">
        <f t="shared" si="2"/>
        <v>0.5308270677</v>
      </c>
      <c r="R19" s="48"/>
      <c r="S19" s="48"/>
      <c r="T19" s="48"/>
      <c r="U19" s="48"/>
      <c r="V19" s="48"/>
      <c r="W19" s="50"/>
      <c r="Z19" s="11"/>
      <c r="AA19" s="11"/>
    </row>
    <row r="20">
      <c r="A20" s="9">
        <f t="shared" si="1"/>
        <v>17</v>
      </c>
      <c r="B20" s="47" t="s">
        <v>152</v>
      </c>
      <c r="C20" s="48">
        <f>IFERROR(DIVIDE(VLOOKUP($B20,Data!$B$3:$AB$1535,9,FALSE),VLOOKUP($B20,Data!$B$3:$AB$1535,4,FALSE)),"")</f>
        <v>0.2433903577</v>
      </c>
      <c r="D20" s="48">
        <f>IFERROR(DIVIDE(VLOOKUP($B20,Data!$B$3:$AB$1535,24,FALSE),VLOOKUP($B20,Data!$B$3:$AB$1535,4,FALSE)),"")</f>
        <v>0.6275272162</v>
      </c>
      <c r="E20" s="48">
        <f>IFERROR(DIVIDE(VLOOKUP($B20,Data!$B$3:$EZ1530,29,FALSE),VLOOKUP($B20,Data!$B$3:$EZ1530,4,FALSE)),"")</f>
        <v>0.6391912908</v>
      </c>
      <c r="F20" s="48">
        <f>IFERROR(DIVIDE(VLOOKUP($B20,Data!$B$3:$EZ1530,34,FALSE),VLOOKUP($B20,Data!$B$3:$EZ1530,4,FALSE)),"")</f>
        <v>0.4416796267</v>
      </c>
      <c r="G20" s="48">
        <f>IFERROR(DIVIDE(VLOOKUP($B20,Data!$B$3:$EZ1530,39,FALSE),VLOOKUP($B20,Data!$B$3:$EZ1530,4,FALSE)),"")</f>
        <v>0.4097978227</v>
      </c>
      <c r="H20" s="48">
        <f>IFERROR(DIVIDE(VLOOKUP($B20,Data!$B$3:$EZ1530,44,FALSE),VLOOKUP($B20,Data!$B$3:$EZ1530,4,FALSE)),"")</f>
        <v>0.3048211509</v>
      </c>
      <c r="I20" s="48">
        <f>IFERROR(MINUS(DIVIDE(VLOOKUP($B20,Data!$B$3:$EZ1530,9,FALSE),VLOOKUP($B20,Data!$B$3:$EZ1530,10,FALSE)),1),"")</f>
        <v>0.4904761905</v>
      </c>
      <c r="J20" s="48">
        <f>IFERROR(MINUS(DIVIDE(VLOOKUP($B20,Data!$B$3:$EZ1530,24,FALSE),VLOOKUP($B20,Data!$B$3:$EZ1530,25,FALSE)),1),"")</f>
        <v>21.00049072</v>
      </c>
      <c r="K20" s="48">
        <f>IFERROR(MINUS(DIVIDE(VLOOKUP($B20,Data!$B$3:$EZ1530,29,FALSE),VLOOKUP($B20,Data!$B$3:$EZ1530,30,FALSE)),1),"")</f>
        <v>-23.40942177</v>
      </c>
      <c r="L20" s="48">
        <f>IFERROR(MINUS(DIVIDE(VLOOKUP($B20,Data!$B$3:$EZ1530,34,FALSE),VLOOKUP($B20,Data!$B$3:$EZ1530,35,FALSE)),1),"")</f>
        <v>0.4869109948</v>
      </c>
      <c r="M20" s="48">
        <f>IFERROR(MINUS(DIVIDE(VLOOKUP($B20,Data!$B$3:$EZ1530,39,FALSE),VLOOKUP($B20,Data!$B$3:$EZ1530,40,FALSE)),1),"")</f>
        <v>-3.635</v>
      </c>
      <c r="N20" s="48">
        <f>IFERROR(MINUS(DIVIDE(VLOOKUP($B20,Data!$B$3:$EZ1530,44,FALSE),VLOOKUP($B20,Data!$B$3:$EZ1530,45,FALSE)),1),"")</f>
        <v>0.711790393</v>
      </c>
      <c r="O20" s="50" t="str">
        <f>IFERROR(VLOOKUP($B20,Data!$B$3:$D1530,2,FALSE),"")</f>
        <v/>
      </c>
      <c r="P20" s="50" t="str">
        <f>IFERROR(VLOOKUP($B20,Data!$B$3:$D1530,3,FALSE),"")</f>
        <v/>
      </c>
      <c r="Q20" s="48" t="str">
        <f t="shared" si="2"/>
        <v/>
      </c>
      <c r="R20" s="48"/>
      <c r="S20" s="48"/>
      <c r="T20" s="48"/>
      <c r="U20" s="48"/>
      <c r="V20" s="48"/>
      <c r="W20" s="50"/>
      <c r="Z20" s="11"/>
      <c r="AA20" s="11"/>
    </row>
    <row r="21">
      <c r="A21" s="9">
        <f t="shared" si="1"/>
        <v>18</v>
      </c>
      <c r="B21" s="47" t="s">
        <v>153</v>
      </c>
      <c r="C21" s="48">
        <f>IFERROR(DIVIDE(VLOOKUP($B21,Data!$B$3:$AB$1535,9,FALSE),VLOOKUP($B21,Data!$B$3:$AB$1535,4,FALSE)),"")</f>
        <v>0.9665270733</v>
      </c>
      <c r="D21" s="48">
        <f>IFERROR(DIVIDE(VLOOKUP($B21,Data!$B$3:$AB$1535,24,FALSE),VLOOKUP($B21,Data!$B$3:$AB$1535,4,FALSE)),"")</f>
        <v>0</v>
      </c>
      <c r="E21" s="48">
        <f>IFERROR(DIVIDE(VLOOKUP($B21,Data!$B$3:$EZ1530,29,FALSE),VLOOKUP($B21,Data!$B$3:$EZ1530,4,FALSE)),"")</f>
        <v>-0.6912233101</v>
      </c>
      <c r="F21" s="48">
        <f>IFERROR(DIVIDE(VLOOKUP($B21,Data!$B$3:$EZ1530,34,FALSE),VLOOKUP($B21,Data!$B$3:$EZ1530,4,FALSE)),"")</f>
        <v>-0.7189453816</v>
      </c>
      <c r="G21" s="48">
        <f>IFERROR(DIVIDE(VLOOKUP($B21,Data!$B$3:$EZ1530,39,FALSE),VLOOKUP($B21,Data!$B$3:$EZ1530,4,FALSE)),"")</f>
        <v>-0.6938185679</v>
      </c>
      <c r="H21" s="48">
        <f>IFERROR(DIVIDE(VLOOKUP($B21,Data!$B$3:$EZ1530,44,FALSE),VLOOKUP($B21,Data!$B$3:$EZ1530,4,FALSE)),"")</f>
        <v>-0.4382741536</v>
      </c>
      <c r="I21" s="48">
        <f>IFERROR(MINUS(DIVIDE(VLOOKUP($B21,Data!$B$3:$EZ1530,9,FALSE),VLOOKUP($B21,Data!$B$3:$EZ1530,10,FALSE)),1),"")</f>
        <v>0.5500638509</v>
      </c>
      <c r="J21" s="48" t="str">
        <f>IFERROR(MINUS(DIVIDE(VLOOKUP($B21,Data!$B$3:$EZ1530,24,FALSE),VLOOKUP($B21,Data!$B$3:$EZ1530,25,FALSE)),1),"")</f>
        <v/>
      </c>
      <c r="K21" s="48">
        <f>IFERROR(MINUS(DIVIDE(VLOOKUP($B21,Data!$B$3:$EZ1530,29,FALSE),VLOOKUP($B21,Data!$B$3:$EZ1530,30,FALSE)),1),"")</f>
        <v>-0.03918996475</v>
      </c>
      <c r="L21" s="48">
        <f>IFERROR(MINUS(DIVIDE(VLOOKUP($B21,Data!$B$3:$EZ1530,34,FALSE),VLOOKUP($B21,Data!$B$3:$EZ1530,35,FALSE)),1),"")</f>
        <v>-0.002700049092</v>
      </c>
      <c r="M21" s="48">
        <f>IFERROR(MINUS(DIVIDE(VLOOKUP($B21,Data!$B$3:$EZ1530,39,FALSE),VLOOKUP($B21,Data!$B$3:$EZ1530,40,FALSE)),1),"")</f>
        <v>-0.0404992047</v>
      </c>
      <c r="N21" s="48">
        <f>IFERROR(MINUS(DIVIDE(VLOOKUP($B21,Data!$B$3:$EZ1530,44,FALSE),VLOOKUP($B21,Data!$B$3:$EZ1530,45,FALSE)),1),"")</f>
        <v>-0.1126171852</v>
      </c>
      <c r="O21" s="50">
        <f>IFERROR(VLOOKUP($B21,Data!$B$3:$D1530,2,FALSE),"")</f>
        <v>735350</v>
      </c>
      <c r="P21" s="50">
        <f>IFERROR(VLOOKUP($B21,Data!$B$3:$D1530,3,FALSE),"")</f>
        <v>443030</v>
      </c>
      <c r="Q21" s="48">
        <f t="shared" si="2"/>
        <v>0.6598198768</v>
      </c>
      <c r="R21" s="48"/>
      <c r="S21" s="48"/>
      <c r="T21" s="48"/>
      <c r="U21" s="48"/>
      <c r="V21" s="48"/>
      <c r="W21" s="50"/>
      <c r="Z21" s="11"/>
      <c r="AA21" s="11"/>
    </row>
    <row r="22">
      <c r="A22" s="9">
        <f t="shared" si="1"/>
        <v>19</v>
      </c>
      <c r="B22" s="47" t="s">
        <v>154</v>
      </c>
      <c r="C22" s="48">
        <f>IFERROR(DIVIDE(VLOOKUP($B22,Data!$B$3:$AB$1535,9,FALSE),VLOOKUP($B22,Data!$B$3:$AB$1535,4,FALSE)),"")</f>
        <v>0.06254349742</v>
      </c>
      <c r="D22" s="48">
        <f>IFERROR(DIVIDE(VLOOKUP($B22,Data!$B$3:$AB$1535,24,FALSE),VLOOKUP($B22,Data!$B$3:$AB$1535,4,FALSE)),"")</f>
        <v>0.0269104069</v>
      </c>
      <c r="E22" s="48">
        <f>IFERROR(DIVIDE(VLOOKUP($B22,Data!$B$3:$EZ1530,29,FALSE),VLOOKUP($B22,Data!$B$3:$EZ1530,4,FALSE)),"")</f>
        <v>0.00946503967</v>
      </c>
      <c r="F22" s="48">
        <f>IFERROR(DIVIDE(VLOOKUP($B22,Data!$B$3:$EZ1530,34,FALSE),VLOOKUP($B22,Data!$B$3:$EZ1530,4,FALSE)),"")</f>
        <v>0.07326126293</v>
      </c>
      <c r="G22" s="48">
        <f>IFERROR(DIVIDE(VLOOKUP($B22,Data!$B$3:$EZ1530,39,FALSE),VLOOKUP($B22,Data!$B$3:$EZ1530,4,FALSE)),"")</f>
        <v>0.003323667239</v>
      </c>
      <c r="H22" s="48">
        <f>IFERROR(DIVIDE(VLOOKUP($B22,Data!$B$3:$EZ1530,44,FALSE),VLOOKUP($B22,Data!$B$3:$EZ1530,4,FALSE)),"")</f>
        <v>0.03934487078</v>
      </c>
      <c r="I22" s="48">
        <f>IFERROR(MINUS(DIVIDE(VLOOKUP($B22,Data!$B$3:$EZ1530,9,FALSE),VLOOKUP($B22,Data!$B$3:$EZ1530,10,FALSE)),1),"")</f>
        <v>-0.1212516297</v>
      </c>
      <c r="J22" s="48">
        <f>IFERROR(MINUS(DIVIDE(VLOOKUP($B22,Data!$B$3:$EZ1530,24,FALSE),VLOOKUP($B22,Data!$B$3:$EZ1530,25,FALSE)),1),"")</f>
        <v>7.361686177</v>
      </c>
      <c r="K22" s="48">
        <f>IFERROR(MINUS(DIVIDE(VLOOKUP($B22,Data!$B$3:$EZ1530,29,FALSE),VLOOKUP($B22,Data!$B$3:$EZ1530,30,FALSE)),1),"")</f>
        <v>-0.2891986063</v>
      </c>
      <c r="L22" s="48">
        <f>IFERROR(MINUS(DIVIDE(VLOOKUP($B22,Data!$B$3:$EZ1530,34,FALSE),VLOOKUP($B22,Data!$B$3:$EZ1530,35,FALSE)),1),"")</f>
        <v>-0.03660768761</v>
      </c>
      <c r="M22" s="48">
        <f>IFERROR(MINUS(DIVIDE(VLOOKUP($B22,Data!$B$3:$EZ1530,39,FALSE),VLOOKUP($B22,Data!$B$3:$EZ1530,40,FALSE)),1),"")</f>
        <v>0.04602602106</v>
      </c>
      <c r="N22" s="48">
        <f>IFERROR(MINUS(DIVIDE(VLOOKUP($B22,Data!$B$3:$EZ1530,44,FALSE),VLOOKUP($B22,Data!$B$3:$EZ1530,45,FALSE)),1),"")</f>
        <v>-0.04504504505</v>
      </c>
      <c r="O22" s="50" t="str">
        <f>IFERROR(VLOOKUP($B22,Data!$B$3:$D1530,2,FALSE),"")</f>
        <v/>
      </c>
      <c r="P22" s="50" t="str">
        <f>IFERROR(VLOOKUP($B22,Data!$B$3:$D1530,3,FALSE),"")</f>
        <v/>
      </c>
      <c r="Q22" s="48" t="str">
        <f t="shared" si="2"/>
        <v/>
      </c>
      <c r="R22" s="48"/>
      <c r="S22" s="48"/>
      <c r="T22" s="48"/>
      <c r="U22" s="48"/>
      <c r="V22" s="48"/>
      <c r="W22" s="50"/>
      <c r="Z22" s="12"/>
      <c r="AA22" s="12"/>
    </row>
    <row r="23">
      <c r="A23" s="9">
        <f t="shared" si="1"/>
        <v>20</v>
      </c>
      <c r="B23" s="47" t="s">
        <v>156</v>
      </c>
      <c r="C23" s="48">
        <f>IFERROR(DIVIDE(VLOOKUP($B23,Data!$B$3:$AB$1535,9,FALSE),VLOOKUP($B23,Data!$B$3:$AB$1535,4,FALSE)),"")</f>
        <v>0.207562701</v>
      </c>
      <c r="D23" s="48">
        <f>IFERROR(DIVIDE(VLOOKUP($B23,Data!$B$3:$AB$1535,24,FALSE),VLOOKUP($B23,Data!$B$3:$AB$1535,4,FALSE)),"")</f>
        <v>0.1038842444</v>
      </c>
      <c r="E23" s="48">
        <f>IFERROR(DIVIDE(VLOOKUP($B23,Data!$B$3:$EZ1530,29,FALSE),VLOOKUP($B23,Data!$B$3:$EZ1530,4,FALSE)),"")</f>
        <v>0.0437266881</v>
      </c>
      <c r="F23" s="48">
        <f>IFERROR(DIVIDE(VLOOKUP($B23,Data!$B$3:$EZ1530,34,FALSE),VLOOKUP($B23,Data!$B$3:$EZ1530,4,FALSE)),"")</f>
        <v>0.1828231511</v>
      </c>
      <c r="G23" s="48">
        <f>IFERROR(DIVIDE(VLOOKUP($B23,Data!$B$3:$EZ1530,39,FALSE),VLOOKUP($B23,Data!$B$3:$EZ1530,4,FALSE)),"")</f>
        <v>0.03502250804</v>
      </c>
      <c r="H23" s="48">
        <f>IFERROR(DIVIDE(VLOOKUP($B23,Data!$B$3:$EZ1530,44,FALSE),VLOOKUP($B23,Data!$B$3:$EZ1530,4,FALSE)),"")</f>
        <v>0.1070418006</v>
      </c>
      <c r="I23" s="48">
        <f>IFERROR(MINUS(DIVIDE(VLOOKUP($B23,Data!$B$3:$EZ1530,9,FALSE),VLOOKUP($B23,Data!$B$3:$EZ1530,10,FALSE)),1),"")</f>
        <v>0.008357155131</v>
      </c>
      <c r="J23" s="48">
        <f>IFERROR(MINUS(DIVIDE(VLOOKUP($B23,Data!$B$3:$EZ1530,24,FALSE),VLOOKUP($B23,Data!$B$3:$EZ1530,25,FALSE)),1),"")</f>
        <v>18.62818955</v>
      </c>
      <c r="K23" s="48">
        <f>IFERROR(MINUS(DIVIDE(VLOOKUP($B23,Data!$B$3:$EZ1530,29,FALSE),VLOOKUP($B23,Data!$B$3:$EZ1530,30,FALSE)),1),"")</f>
        <v>-1.804912696</v>
      </c>
      <c r="L23" s="48">
        <f>IFERROR(MINUS(DIVIDE(VLOOKUP($B23,Data!$B$3:$EZ1530,34,FALSE),VLOOKUP($B23,Data!$B$3:$EZ1530,35,FALSE)),1),"")</f>
        <v>-0.005248609119</v>
      </c>
      <c r="M23" s="48">
        <f>IFERROR(MINUS(DIVIDE(VLOOKUP($B23,Data!$B$3:$EZ1530,39,FALSE),VLOOKUP($B23,Data!$B$3:$EZ1530,40,FALSE)),1),"")</f>
        <v>-1.619743954</v>
      </c>
      <c r="N23" s="48">
        <f>IFERROR(MINUS(DIVIDE(VLOOKUP($B23,Data!$B$3:$EZ1530,44,FALSE),VLOOKUP($B23,Data!$B$3:$EZ1530,45,FALSE)),1),"")</f>
        <v>-0.1960490726</v>
      </c>
      <c r="O23" s="50">
        <f>IFERROR(VLOOKUP($B23,Data!$B$3:$D1530,2,FALSE),"")</f>
        <v>3400000</v>
      </c>
      <c r="P23" s="50">
        <f>IFERROR(VLOOKUP($B23,Data!$B$3:$D1530,3,FALSE),"")</f>
        <v>3170000</v>
      </c>
      <c r="Q23" s="48">
        <f t="shared" si="2"/>
        <v>0.07255520505</v>
      </c>
      <c r="R23" s="48"/>
      <c r="S23" s="48"/>
      <c r="T23" s="48"/>
      <c r="U23" s="48"/>
      <c r="V23" s="48"/>
      <c r="W23" s="50"/>
      <c r="Z23" s="11"/>
      <c r="AA23" s="11"/>
    </row>
    <row r="24">
      <c r="A24" s="9">
        <f t="shared" si="1"/>
        <v>21</v>
      </c>
      <c r="B24" s="47" t="s">
        <v>157</v>
      </c>
      <c r="C24" s="48">
        <f>IFERROR(DIVIDE(VLOOKUP($B24,Data!$B$3:$AB$1535,9,FALSE),VLOOKUP($B24,Data!$B$3:$AB$1535,4,FALSE)),"")</f>
        <v>0.06254349742</v>
      </c>
      <c r="D24" s="48">
        <f>IFERROR(DIVIDE(VLOOKUP($B24,Data!$B$3:$AB$1535,24,FALSE),VLOOKUP($B24,Data!$B$3:$AB$1535,4,FALSE)),"")</f>
        <v>0.0269104069</v>
      </c>
      <c r="E24" s="48">
        <f>IFERROR(DIVIDE(VLOOKUP($B24,Data!$B$3:$EZ1530,29,FALSE),VLOOKUP($B24,Data!$B$3:$EZ1530,4,FALSE)),"")</f>
        <v>0.00946503967</v>
      </c>
      <c r="F24" s="48">
        <f>IFERROR(DIVIDE(VLOOKUP($B24,Data!$B$3:$EZ1530,34,FALSE),VLOOKUP($B24,Data!$B$3:$EZ1530,4,FALSE)),"")</f>
        <v>0.07326126293</v>
      </c>
      <c r="G24" s="48">
        <f>IFERROR(DIVIDE(VLOOKUP($B24,Data!$B$3:$EZ1530,39,FALSE),VLOOKUP($B24,Data!$B$3:$EZ1530,4,FALSE)),"")</f>
        <v>0.003323667239</v>
      </c>
      <c r="H24" s="48">
        <f>IFERROR(DIVIDE(VLOOKUP($B24,Data!$B$3:$EZ1530,44,FALSE),VLOOKUP($B24,Data!$B$3:$EZ1530,4,FALSE)),"")</f>
        <v>0.03934487078</v>
      </c>
      <c r="I24" s="48">
        <f>IFERROR(MINUS(DIVIDE(VLOOKUP($B24,Data!$B$3:$EZ1530,9,FALSE),VLOOKUP($B24,Data!$B$3:$EZ1530,10,FALSE)),1),"")</f>
        <v>-0.1212516297</v>
      </c>
      <c r="J24" s="48">
        <f>IFERROR(MINUS(DIVIDE(VLOOKUP($B24,Data!$B$3:$EZ1530,24,FALSE),VLOOKUP($B24,Data!$B$3:$EZ1530,25,FALSE)),1),"")</f>
        <v>7.361686177</v>
      </c>
      <c r="K24" s="48">
        <f>IFERROR(MINUS(DIVIDE(VLOOKUP($B24,Data!$B$3:$EZ1530,29,FALSE),VLOOKUP($B24,Data!$B$3:$EZ1530,30,FALSE)),1),"")</f>
        <v>-0.2891986063</v>
      </c>
      <c r="L24" s="48">
        <f>IFERROR(MINUS(DIVIDE(VLOOKUP($B24,Data!$B$3:$EZ1530,34,FALSE),VLOOKUP($B24,Data!$B$3:$EZ1530,35,FALSE)),1),"")</f>
        <v>-0.03660768761</v>
      </c>
      <c r="M24" s="48">
        <f>IFERROR(MINUS(DIVIDE(VLOOKUP($B24,Data!$B$3:$EZ1530,39,FALSE),VLOOKUP($B24,Data!$B$3:$EZ1530,40,FALSE)),1),"")</f>
        <v>0.04602602106</v>
      </c>
      <c r="N24" s="48">
        <f>IFERROR(MINUS(DIVIDE(VLOOKUP($B24,Data!$B$3:$EZ1530,44,FALSE),VLOOKUP($B24,Data!$B$3:$EZ1530,45,FALSE)),1),"")</f>
        <v>-0.04504504505</v>
      </c>
      <c r="O24" s="50" t="str">
        <f>IFERROR(VLOOKUP($B24,Data!$B$3:$D1530,2,FALSE),"")</f>
        <v/>
      </c>
      <c r="P24" s="50" t="str">
        <f>IFERROR(VLOOKUP($B24,Data!$B$3:$D1530,3,FALSE),"")</f>
        <v/>
      </c>
      <c r="Q24" s="48" t="str">
        <f t="shared" si="2"/>
        <v/>
      </c>
      <c r="R24" s="48"/>
      <c r="S24" s="48"/>
      <c r="T24" s="48"/>
      <c r="U24" s="48"/>
      <c r="V24" s="48"/>
      <c r="W24" s="50"/>
      <c r="Z24" s="12"/>
      <c r="AA24" s="12"/>
    </row>
    <row r="25">
      <c r="A25" s="9">
        <f t="shared" si="1"/>
        <v>22</v>
      </c>
      <c r="B25" s="47" t="s">
        <v>158</v>
      </c>
      <c r="C25" s="48">
        <f>IFERROR(DIVIDE(VLOOKUP($B25,Data!$B$3:$AB$1535,9,FALSE),VLOOKUP($B25,Data!$B$3:$AB$1535,4,FALSE)),"")</f>
        <v>0</v>
      </c>
      <c r="D25" s="48">
        <f>IFERROR(DIVIDE(VLOOKUP($B25,Data!$B$3:$AB$1535,24,FALSE),VLOOKUP($B25,Data!$B$3:$AB$1535,4,FALSE)),"")</f>
        <v>0.4420873613</v>
      </c>
      <c r="E25" s="48">
        <f>IFERROR(DIVIDE(VLOOKUP($B25,Data!$B$3:$EZ1530,29,FALSE),VLOOKUP($B25,Data!$B$3:$EZ1530,4,FALSE)),"")</f>
        <v>0.4093268887</v>
      </c>
      <c r="F25" s="48">
        <f>IFERROR(DIVIDE(VLOOKUP($B25,Data!$B$3:$EZ1530,34,FALSE),VLOOKUP($B25,Data!$B$3:$EZ1530,4,FALSE)),"")</f>
        <v>0.4163981382</v>
      </c>
      <c r="G25" s="48">
        <f>IFERROR(DIVIDE(VLOOKUP($B25,Data!$B$3:$EZ1530,39,FALSE),VLOOKUP($B25,Data!$B$3:$EZ1530,4,FALSE)),"")</f>
        <v>0.4093268887</v>
      </c>
      <c r="H25" s="48">
        <f>IFERROR(DIVIDE(VLOOKUP($B25,Data!$B$3:$EZ1530,44,FALSE),VLOOKUP($B25,Data!$B$3:$EZ1530,4,FALSE)),"")</f>
        <v>0.4974042248</v>
      </c>
      <c r="I25" s="48" t="str">
        <f>IFERROR(MINUS(DIVIDE(VLOOKUP($B25,Data!$B$3:$EZ1530,9,FALSE),VLOOKUP($B25,Data!$B$3:$EZ1530,10,FALSE)),1),"")</f>
        <v/>
      </c>
      <c r="J25" s="48" t="str">
        <f>IFERROR(MINUS(DIVIDE(VLOOKUP($B25,Data!$B$3:$EZ1530,24,FALSE),VLOOKUP($B25,Data!$B$3:$EZ1530,25,FALSE)),1),"")</f>
        <v/>
      </c>
      <c r="K25" s="48">
        <f>IFERROR(MINUS(DIVIDE(VLOOKUP($B25,Data!$B$3:$EZ1530,29,FALSE),VLOOKUP($B25,Data!$B$3:$EZ1530,30,FALSE)),1),"")</f>
        <v>-1.878409527</v>
      </c>
      <c r="L25" s="48">
        <f>IFERROR(MINUS(DIVIDE(VLOOKUP($B25,Data!$B$3:$EZ1530,34,FALSE),VLOOKUP($B25,Data!$B$3:$EZ1530,35,FALSE)),1),"")</f>
        <v>-1.936958711</v>
      </c>
      <c r="M25" s="48">
        <f>IFERROR(MINUS(DIVIDE(VLOOKUP($B25,Data!$B$3:$EZ1530,39,FALSE),VLOOKUP($B25,Data!$B$3:$EZ1530,40,FALSE)),1),"")</f>
        <v>-1.878409527</v>
      </c>
      <c r="N25" s="48">
        <f>IFERROR(MINUS(DIVIDE(VLOOKUP($B25,Data!$B$3:$EZ1530,44,FALSE),VLOOKUP($B25,Data!$B$3:$EZ1530,45,FALSE)),1),"")</f>
        <v>-2.233792185</v>
      </c>
      <c r="O25" s="50">
        <f>IFERROR(VLOOKUP($B25,Data!$B$3:$D1530,2,FALSE),"")</f>
        <v>50030</v>
      </c>
      <c r="P25" s="50">
        <f>IFERROR(VLOOKUP($B25,Data!$B$3:$D1530,3,FALSE),"")</f>
        <v>20970</v>
      </c>
      <c r="Q25" s="48">
        <f t="shared" si="2"/>
        <v>1.385789223</v>
      </c>
      <c r="R25" s="48"/>
      <c r="S25" s="48"/>
      <c r="T25" s="48"/>
      <c r="U25" s="48"/>
      <c r="V25" s="48"/>
      <c r="W25" s="50"/>
      <c r="Z25" s="11"/>
      <c r="AA25" s="11"/>
    </row>
    <row r="26">
      <c r="A26" s="9">
        <f t="shared" si="1"/>
        <v>23</v>
      </c>
      <c r="B26" s="47" t="s">
        <v>159</v>
      </c>
      <c r="C26" s="48">
        <f>IFERROR(DIVIDE(VLOOKUP($B26,Data!$B$3:$AB$1535,9,FALSE),VLOOKUP($B26,Data!$B$3:$AB$1535,4,FALSE)),"")</f>
        <v>0.428475624</v>
      </c>
      <c r="D26" s="48">
        <f>IFERROR(DIVIDE(VLOOKUP($B26,Data!$B$3:$AB$1535,24,FALSE),VLOOKUP($B26,Data!$B$3:$AB$1535,4,FALSE)),"")</f>
        <v>0</v>
      </c>
      <c r="E26" s="48">
        <f>IFERROR(DIVIDE(VLOOKUP($B26,Data!$B$3:$EZ1530,29,FALSE),VLOOKUP($B26,Data!$B$3:$EZ1530,4,FALSE)),"")</f>
        <v>0.06099836716</v>
      </c>
      <c r="F26" s="48">
        <f>IFERROR(DIVIDE(VLOOKUP($B26,Data!$B$3:$EZ1530,34,FALSE),VLOOKUP($B26,Data!$B$3:$EZ1530,4,FALSE)),"")</f>
        <v>0.093567763</v>
      </c>
      <c r="G26" s="48">
        <f>IFERROR(DIVIDE(VLOOKUP($B26,Data!$B$3:$EZ1530,39,FALSE),VLOOKUP($B26,Data!$B$3:$EZ1530,4,FALSE)),"")</f>
        <v>0.04965593655</v>
      </c>
      <c r="H26" s="48">
        <f>IFERROR(DIVIDE(VLOOKUP($B26,Data!$B$3:$EZ1530,44,FALSE),VLOOKUP($B26,Data!$B$3:$EZ1530,4,FALSE)),"")</f>
        <v>-0.03962561232</v>
      </c>
      <c r="I26" s="48">
        <f>IFERROR(MINUS(DIVIDE(VLOOKUP($B26,Data!$B$3:$EZ1530,9,FALSE),VLOOKUP($B26,Data!$B$3:$EZ1530,10,FALSE)),1),"")</f>
        <v>-0.1819750612</v>
      </c>
      <c r="J26" s="48" t="str">
        <f>IFERROR(MINUS(DIVIDE(VLOOKUP($B26,Data!$B$3:$EZ1530,24,FALSE),VLOOKUP($B26,Data!$B$3:$EZ1530,25,FALSE)),1),"")</f>
        <v/>
      </c>
      <c r="K26" s="48">
        <f>IFERROR(MINUS(DIVIDE(VLOOKUP($B26,Data!$B$3:$EZ1530,29,FALSE),VLOOKUP($B26,Data!$B$3:$EZ1530,30,FALSE)),1),"")</f>
        <v>-0.6176201791</v>
      </c>
      <c r="L26" s="48">
        <f>IFERROR(MINUS(DIVIDE(VLOOKUP($B26,Data!$B$3:$EZ1530,34,FALSE),VLOOKUP($B26,Data!$B$3:$EZ1530,35,FALSE)),1),"")</f>
        <v>-0.5117906588</v>
      </c>
      <c r="M26" s="48">
        <f>IFERROR(MINUS(DIVIDE(VLOOKUP($B26,Data!$B$3:$EZ1530,39,FALSE),VLOOKUP($B26,Data!$B$3:$EZ1530,40,FALSE)),1),"")</f>
        <v>-0.6288951841</v>
      </c>
      <c r="N26" s="48">
        <f>IFERROR(MINUS(DIVIDE(VLOOKUP($B26,Data!$B$3:$EZ1530,44,FALSE),VLOOKUP($B26,Data!$B$3:$EZ1530,45,FALSE)),1),"")</f>
        <v>-1.289333617</v>
      </c>
      <c r="O26" s="50">
        <f>IFERROR(VLOOKUP($B26,Data!$B$3:$D1530,2,FALSE),"")</f>
        <v>485850</v>
      </c>
      <c r="P26" s="50">
        <f>IFERROR(VLOOKUP($B26,Data!$B$3:$D1530,3,FALSE),"")</f>
        <v>452430</v>
      </c>
      <c r="Q26" s="48">
        <f t="shared" si="2"/>
        <v>0.07386778065</v>
      </c>
      <c r="R26" s="48"/>
      <c r="S26" s="48"/>
      <c r="T26" s="48"/>
      <c r="U26" s="48"/>
      <c r="V26" s="48"/>
      <c r="W26" s="50"/>
      <c r="Z26" s="12"/>
      <c r="AA26" s="12"/>
    </row>
    <row r="27">
      <c r="A27" s="9">
        <f t="shared" si="1"/>
        <v>24</v>
      </c>
      <c r="B27" s="47" t="s">
        <v>160</v>
      </c>
      <c r="C27" s="48">
        <f>IFERROR(DIVIDE(VLOOKUP($B27,Data!$B$3:$AB$1535,9,FALSE),VLOOKUP($B27,Data!$B$3:$AB$1535,4,FALSE)),"")</f>
        <v>0.04164848785</v>
      </c>
      <c r="D27" s="48">
        <f>IFERROR(DIVIDE(VLOOKUP($B27,Data!$B$3:$AB$1535,24,FALSE),VLOOKUP($B27,Data!$B$3:$AB$1535,4,FALSE)),"")</f>
        <v>-0.002256817055</v>
      </c>
      <c r="E27" s="48">
        <f>IFERROR(DIVIDE(VLOOKUP($B27,Data!$B$3:$EZ1530,29,FALSE),VLOOKUP($B27,Data!$B$3:$EZ1530,4,FALSE)),"")</f>
        <v>-0.009128408528</v>
      </c>
      <c r="F27" s="48">
        <f>IFERROR(DIVIDE(VLOOKUP($B27,Data!$B$3:$EZ1530,34,FALSE),VLOOKUP($B27,Data!$B$3:$EZ1530,4,FALSE)),"")</f>
        <v>0.04540505702</v>
      </c>
      <c r="G27" s="48">
        <f>IFERROR(DIVIDE(VLOOKUP($B27,Data!$B$3:$EZ1530,39,FALSE),VLOOKUP($B27,Data!$B$3:$EZ1530,4,FALSE)),"")</f>
        <v>-0.01294248884</v>
      </c>
      <c r="H27" s="48">
        <f>IFERROR(DIVIDE(VLOOKUP($B27,Data!$B$3:$EZ1530,44,FALSE),VLOOKUP($B27,Data!$B$3:$EZ1530,4,FALSE)),"")</f>
        <v>0.03855329698</v>
      </c>
      <c r="I27" s="48">
        <f>IFERROR(MINUS(DIVIDE(VLOOKUP($B27,Data!$B$3:$EZ1530,9,FALSE),VLOOKUP($B27,Data!$B$3:$EZ1530,10,FALSE)),1),"")</f>
        <v>0.2557739741</v>
      </c>
      <c r="J27" s="48">
        <f>IFERROR(MINUS(DIVIDE(VLOOKUP($B27,Data!$B$3:$EZ1530,24,FALSE),VLOOKUP($B27,Data!$B$3:$EZ1530,25,FALSE)),1),"")</f>
        <v>-1.131302642</v>
      </c>
      <c r="K27" s="48">
        <f>IFERROR(MINUS(DIVIDE(VLOOKUP($B27,Data!$B$3:$EZ1530,29,FALSE),VLOOKUP($B27,Data!$B$3:$EZ1530,30,FALSE)),1),"")</f>
        <v>-2.037412666</v>
      </c>
      <c r="L27" s="48">
        <f>IFERROR(MINUS(DIVIDE(VLOOKUP($B27,Data!$B$3:$EZ1530,34,FALSE),VLOOKUP($B27,Data!$B$3:$EZ1530,35,FALSE)),1),"")</f>
        <v>0.1892839519</v>
      </c>
      <c r="M27" s="48">
        <f>IFERROR(MINUS(DIVIDE(VLOOKUP($B27,Data!$B$3:$EZ1530,39,FALSE),VLOOKUP($B27,Data!$B$3:$EZ1530,40,FALSE)),1),"")</f>
        <v>-2.912874624</v>
      </c>
      <c r="N27" s="48">
        <f>IFERROR(MINUS(DIVIDE(VLOOKUP($B27,Data!$B$3:$EZ1530,44,FALSE),VLOOKUP($B27,Data!$B$3:$EZ1530,45,FALSE)),1),"")</f>
        <v>0.003963591763</v>
      </c>
      <c r="O27" s="50">
        <f>IFERROR(VLOOKUP($B27,Data!$B$3:$D1530,2,FALSE),"")</f>
        <v>13170000</v>
      </c>
      <c r="P27" s="50">
        <f>IFERROR(VLOOKUP($B27,Data!$B$3:$D1530,3,FALSE),"")</f>
        <v>12960000</v>
      </c>
      <c r="Q27" s="48">
        <f t="shared" si="2"/>
        <v>0.0162037037</v>
      </c>
      <c r="R27" s="48"/>
      <c r="S27" s="48"/>
      <c r="T27" s="48"/>
      <c r="U27" s="48"/>
      <c r="V27" s="48"/>
      <c r="W27" s="50"/>
      <c r="Z27" s="11"/>
      <c r="AA27" s="11"/>
    </row>
    <row r="28">
      <c r="A28" s="9">
        <f t="shared" si="1"/>
        <v>25</v>
      </c>
      <c r="B28" s="47" t="s">
        <v>161</v>
      </c>
      <c r="C28" s="48">
        <f>IFERROR(DIVIDE(VLOOKUP($B28,Data!$B$3:$AB$1535,9,FALSE),VLOOKUP($B28,Data!$B$3:$AB$1535,4,FALSE)),"")</f>
        <v>0.4710751488</v>
      </c>
      <c r="D28" s="48">
        <f>IFERROR(DIVIDE(VLOOKUP($B28,Data!$B$3:$AB$1535,24,FALSE),VLOOKUP($B28,Data!$B$3:$AB$1535,4,FALSE)),"")</f>
        <v>0</v>
      </c>
      <c r="E28" s="48">
        <f>IFERROR(DIVIDE(VLOOKUP($B28,Data!$B$3:$EZ1530,29,FALSE),VLOOKUP($B28,Data!$B$3:$EZ1530,4,FALSE)),"")</f>
        <v>0.1761532738</v>
      </c>
      <c r="F28" s="48">
        <f>IFERROR(DIVIDE(VLOOKUP($B28,Data!$B$3:$EZ1530,34,FALSE),VLOOKUP($B28,Data!$B$3:$EZ1530,4,FALSE)),"")</f>
        <v>0.1728050595</v>
      </c>
      <c r="G28" s="48">
        <f>IFERROR(DIVIDE(VLOOKUP($B28,Data!$B$3:$EZ1530,39,FALSE),VLOOKUP($B28,Data!$B$3:$EZ1530,4,FALSE)),"")</f>
        <v>0.175688244</v>
      </c>
      <c r="H28" s="48">
        <f>IFERROR(DIVIDE(VLOOKUP($B28,Data!$B$3:$EZ1530,44,FALSE),VLOOKUP($B28,Data!$B$3:$EZ1530,4,FALSE)),"")</f>
        <v>0.08742559524</v>
      </c>
      <c r="I28" s="48">
        <f>IFERROR(MINUS(DIVIDE(VLOOKUP($B28,Data!$B$3:$EZ1530,9,FALSE),VLOOKUP($B28,Data!$B$3:$EZ1530,10,FALSE)),1),"")</f>
        <v>0.4702467344</v>
      </c>
      <c r="J28" s="48" t="str">
        <f>IFERROR(MINUS(DIVIDE(VLOOKUP($B28,Data!$B$3:$EZ1530,24,FALSE),VLOOKUP($B28,Data!$B$3:$EZ1530,25,FALSE)),1),"")</f>
        <v/>
      </c>
      <c r="K28" s="48">
        <f>IFERROR(MINUS(DIVIDE(VLOOKUP($B28,Data!$B$3:$EZ1530,29,FALSE),VLOOKUP($B28,Data!$B$3:$EZ1530,30,FALSE)),1),"")</f>
        <v>1.566395664</v>
      </c>
      <c r="L28" s="48">
        <f>IFERROR(MINUS(DIVIDE(VLOOKUP($B28,Data!$B$3:$EZ1530,34,FALSE),VLOOKUP($B28,Data!$B$3:$EZ1530,35,FALSE)),1),"")</f>
        <v>1.696661829</v>
      </c>
      <c r="M28" s="48">
        <f>IFERROR(MINUS(DIVIDE(VLOOKUP($B28,Data!$B$3:$EZ1530,39,FALSE),VLOOKUP($B28,Data!$B$3:$EZ1530,40,FALSE)),1),"")</f>
        <v>1.875190259</v>
      </c>
      <c r="N28" s="48">
        <f>IFERROR(MINUS(DIVIDE(VLOOKUP($B28,Data!$B$3:$EZ1530,44,FALSE),VLOOKUP($B28,Data!$B$3:$EZ1530,45,FALSE)),1),"")</f>
        <v>0.3603473227</v>
      </c>
      <c r="O28" s="50">
        <f>IFERROR(VLOOKUP($B28,Data!$B$3:$D1530,2,FALSE),"")</f>
        <v>183700</v>
      </c>
      <c r="P28" s="50">
        <f>IFERROR(VLOOKUP($B28,Data!$B$3:$D1530,3,FALSE),"")</f>
        <v>140270</v>
      </c>
      <c r="Q28" s="48">
        <f t="shared" si="2"/>
        <v>0.3096171669</v>
      </c>
      <c r="R28" s="48"/>
      <c r="S28" s="48"/>
      <c r="T28" s="48"/>
      <c r="U28" s="48"/>
      <c r="V28" s="48"/>
      <c r="W28" s="50"/>
      <c r="Z28" s="15"/>
      <c r="AA28" s="15"/>
    </row>
    <row r="29">
      <c r="A29" s="9">
        <f t="shared" si="1"/>
        <v>26</v>
      </c>
      <c r="B29" s="47" t="s">
        <v>162</v>
      </c>
      <c r="C29" s="48">
        <f>IFERROR(DIVIDE(VLOOKUP($B29,Data!$B$3:$AB$1535,9,FALSE),VLOOKUP($B29,Data!$B$3:$AB$1535,4,FALSE)),"")</f>
        <v>0.04066193853</v>
      </c>
      <c r="D29" s="48">
        <f>IFERROR(DIVIDE(VLOOKUP($B29,Data!$B$3:$AB$1535,24,FALSE),VLOOKUP($B29,Data!$B$3:$AB$1535,4,FALSE)),"")</f>
        <v>-26.25531915</v>
      </c>
      <c r="E29" s="48">
        <f>IFERROR(DIVIDE(VLOOKUP($B29,Data!$B$3:$EZ1530,29,FALSE),VLOOKUP($B29,Data!$B$3:$EZ1530,4,FALSE)),"")</f>
        <v>-26.84160757</v>
      </c>
      <c r="F29" s="48">
        <f>IFERROR(DIVIDE(VLOOKUP($B29,Data!$B$3:$EZ1530,34,FALSE),VLOOKUP($B29,Data!$B$3:$EZ1530,4,FALSE)),"")</f>
        <v>-21.09929078</v>
      </c>
      <c r="G29" s="48">
        <f>IFERROR(DIVIDE(VLOOKUP($B29,Data!$B$3:$EZ1530,39,FALSE),VLOOKUP($B29,Data!$B$3:$EZ1530,4,FALSE)),"")</f>
        <v>-26.84160757</v>
      </c>
      <c r="H29" s="48">
        <f>IFERROR(DIVIDE(VLOOKUP($B29,Data!$B$3:$EZ1530,44,FALSE),VLOOKUP($B29,Data!$B$3:$EZ1530,4,FALSE)),"")</f>
        <v>-22.80141844</v>
      </c>
      <c r="I29" s="48">
        <f>IFERROR(MINUS(DIVIDE(VLOOKUP($B29,Data!$B$3:$EZ1530,9,FALSE),VLOOKUP($B29,Data!$B$3:$EZ1530,10,FALSE)),1),"")</f>
        <v>-0.9054945055</v>
      </c>
      <c r="J29" s="48">
        <f>IFERROR(MINUS(DIVIDE(VLOOKUP($B29,Data!$B$3:$EZ1530,24,FALSE),VLOOKUP($B29,Data!$B$3:$EZ1530,25,FALSE)),1),"")</f>
        <v>86.4488189</v>
      </c>
      <c r="K29" s="48">
        <f>IFERROR(MINUS(DIVIDE(VLOOKUP($B29,Data!$B$3:$EZ1530,29,FALSE),VLOOKUP($B29,Data!$B$3:$EZ1530,30,FALSE)),1),"")</f>
        <v>0.3829476248</v>
      </c>
      <c r="L29" s="48">
        <f>IFERROR(MINUS(DIVIDE(VLOOKUP($B29,Data!$B$3:$EZ1530,34,FALSE),VLOOKUP($B29,Data!$B$3:$EZ1530,35,FALSE)),1),"")</f>
        <v>0.0858985278</v>
      </c>
      <c r="M29" s="48">
        <f>IFERROR(MINUS(DIVIDE(VLOOKUP($B29,Data!$B$3:$EZ1530,39,FALSE),VLOOKUP($B29,Data!$B$3:$EZ1530,40,FALSE)),1),"")</f>
        <v>0.3829476248</v>
      </c>
      <c r="N29" s="48">
        <f>IFERROR(MINUS(DIVIDE(VLOOKUP($B29,Data!$B$3:$EZ1530,44,FALSE),VLOOKUP($B29,Data!$B$3:$EZ1530,45,FALSE)),1),"")</f>
        <v>-0.04324967761</v>
      </c>
      <c r="O29" s="50">
        <f>IFERROR(VLOOKUP($B29,Data!$B$3:$D1530,2,FALSE),"")</f>
        <v>6530</v>
      </c>
      <c r="P29" s="50">
        <f>IFERROR(VLOOKUP($B29,Data!$B$3:$D1530,3,FALSE),"")</f>
        <v>6160</v>
      </c>
      <c r="Q29" s="48">
        <f t="shared" si="2"/>
        <v>0.06006493506</v>
      </c>
      <c r="R29" s="48"/>
      <c r="S29" s="48"/>
      <c r="T29" s="48"/>
      <c r="U29" s="48"/>
      <c r="V29" s="48"/>
      <c r="W29" s="50"/>
      <c r="Z29" s="11"/>
      <c r="AA29" s="11"/>
    </row>
    <row r="30">
      <c r="A30" s="9">
        <f t="shared" si="1"/>
        <v>27</v>
      </c>
      <c r="B30" s="47" t="s">
        <v>163</v>
      </c>
      <c r="C30" s="48">
        <f>IFERROR(DIVIDE(VLOOKUP($B30,Data!$B$3:$AB$1535,9,FALSE),VLOOKUP($B30,Data!$B$3:$AB$1535,4,FALSE)),"")</f>
        <v>-1.973799127</v>
      </c>
      <c r="D30" s="48">
        <f>IFERROR(DIVIDE(VLOOKUP($B30,Data!$B$3:$AB$1535,24,FALSE),VLOOKUP($B30,Data!$B$3:$AB$1535,4,FALSE)),"")</f>
        <v>-23.72489083</v>
      </c>
      <c r="E30" s="48">
        <f>IFERROR(DIVIDE(VLOOKUP($B30,Data!$B$3:$EZ1530,29,FALSE),VLOOKUP($B30,Data!$B$3:$EZ1530,4,FALSE)),"")</f>
        <v>-23.2489083</v>
      </c>
      <c r="F30" s="48">
        <f>IFERROR(DIVIDE(VLOOKUP($B30,Data!$B$3:$EZ1530,34,FALSE),VLOOKUP($B30,Data!$B$3:$EZ1530,4,FALSE)),"")</f>
        <v>-22.94323144</v>
      </c>
      <c r="G30" s="48">
        <f>IFERROR(DIVIDE(VLOOKUP($B30,Data!$B$3:$EZ1530,39,FALSE),VLOOKUP($B30,Data!$B$3:$EZ1530,4,FALSE)),"")</f>
        <v>-23.2489083</v>
      </c>
      <c r="H30" s="48">
        <f>IFERROR(DIVIDE(VLOOKUP($B30,Data!$B$3:$EZ1530,44,FALSE),VLOOKUP($B30,Data!$B$3:$EZ1530,4,FALSE)),"")</f>
        <v>-22.04366812</v>
      </c>
      <c r="I30" s="48">
        <f>IFERROR(MINUS(DIVIDE(VLOOKUP($B30,Data!$B$3:$EZ1530,9,FALSE),VLOOKUP($B30,Data!$B$3:$EZ1530,10,FALSE)),1),"")</f>
        <v>1.469945355</v>
      </c>
      <c r="J30" s="48">
        <f>IFERROR(MINUS(DIVIDE(VLOOKUP($B30,Data!$B$3:$EZ1530,24,FALSE),VLOOKUP($B30,Data!$B$3:$EZ1530,25,FALSE)),1),"")</f>
        <v>0.5244107744</v>
      </c>
      <c r="K30" s="48">
        <f>IFERROR(MINUS(DIVIDE(VLOOKUP($B30,Data!$B$3:$EZ1530,29,FALSE),VLOOKUP($B30,Data!$B$3:$EZ1530,30,FALSE)),1),"")</f>
        <v>0.1291622481</v>
      </c>
      <c r="L30" s="48">
        <f>IFERROR(MINUS(DIVIDE(VLOOKUP($B30,Data!$B$3:$EZ1530,34,FALSE),VLOOKUP($B30,Data!$B$3:$EZ1530,35,FALSE)),1),"")</f>
        <v>0.4947368421</v>
      </c>
      <c r="M30" s="48">
        <f>IFERROR(MINUS(DIVIDE(VLOOKUP($B30,Data!$B$3:$EZ1530,39,FALSE),VLOOKUP($B30,Data!$B$3:$EZ1530,40,FALSE)),1),"")</f>
        <v>0.1291622481</v>
      </c>
      <c r="N30" s="48">
        <f>IFERROR(MINUS(DIVIDE(VLOOKUP($B30,Data!$B$3:$EZ1530,44,FALSE),VLOOKUP($B30,Data!$B$3:$EZ1530,45,FALSE)),1),"")</f>
        <v>0.7359009629</v>
      </c>
      <c r="O30" s="50">
        <f>IFERROR(VLOOKUP($B30,Data!$B$3:$D1530,2,FALSE),"")</f>
        <v>26610</v>
      </c>
      <c r="P30" s="50">
        <f>IFERROR(VLOOKUP($B30,Data!$B$3:$D1530,3,FALSE),"")</f>
        <v>13870</v>
      </c>
      <c r="Q30" s="48">
        <f t="shared" si="2"/>
        <v>0.9185291997</v>
      </c>
      <c r="R30" s="48"/>
      <c r="S30" s="48"/>
      <c r="T30" s="48"/>
      <c r="U30" s="48"/>
      <c r="V30" s="48"/>
      <c r="W30" s="50"/>
      <c r="Z30" s="15"/>
      <c r="AA30" s="15"/>
    </row>
    <row r="31">
      <c r="A31" s="9">
        <f t="shared" si="1"/>
        <v>28</v>
      </c>
      <c r="B31" s="47" t="s">
        <v>164</v>
      </c>
      <c r="C31" s="48" t="str">
        <f>IFERROR(DIVIDE(VLOOKUP($B31,Data!$B$3:$AB$1535,9,FALSE),VLOOKUP($B31,Data!$B$3:$AB$1535,4,FALSE)),"")</f>
        <v/>
      </c>
      <c r="D31" s="48" t="str">
        <f>IFERROR(DIVIDE(VLOOKUP($B31,Data!$B$3:$AB$1535,24,FALSE),VLOOKUP($B31,Data!$B$3:$AB$1535,4,FALSE)),"")</f>
        <v/>
      </c>
      <c r="E31" s="48" t="str">
        <f>IFERROR(DIVIDE(VLOOKUP($B31,Data!$B$3:$EZ1530,29,FALSE),VLOOKUP($B31,Data!$B$3:$EZ1530,4,FALSE)),"")</f>
        <v/>
      </c>
      <c r="F31" s="48" t="str">
        <f>IFERROR(DIVIDE(VLOOKUP($B31,Data!$B$3:$EZ1530,34,FALSE),VLOOKUP($B31,Data!$B$3:$EZ1530,4,FALSE)),"")</f>
        <v/>
      </c>
      <c r="G31" s="48" t="str">
        <f>IFERROR(DIVIDE(VLOOKUP($B31,Data!$B$3:$EZ1530,39,FALSE),VLOOKUP($B31,Data!$B$3:$EZ1530,4,FALSE)),"")</f>
        <v/>
      </c>
      <c r="H31" s="48" t="str">
        <f>IFERROR(DIVIDE(VLOOKUP($B31,Data!$B$3:$EZ1530,44,FALSE),VLOOKUP($B31,Data!$B$3:$EZ1530,4,FALSE)),"")</f>
        <v/>
      </c>
      <c r="I31" s="48">
        <f>IFERROR(MINUS(DIVIDE(VLOOKUP($B31,Data!$B$3:$EZ1530,9,FALSE),VLOOKUP($B31,Data!$B$3:$EZ1530,10,FALSE)),1),"")</f>
        <v>0.009803921569</v>
      </c>
      <c r="J31" s="48">
        <f>IFERROR(MINUS(DIVIDE(VLOOKUP($B31,Data!$B$3:$EZ1530,24,FALSE),VLOOKUP($B31,Data!$B$3:$EZ1530,25,FALSE)),1),"")</f>
        <v>3.780555556</v>
      </c>
      <c r="K31" s="48">
        <f>IFERROR(MINUS(DIVIDE(VLOOKUP($B31,Data!$B$3:$EZ1530,29,FALSE),VLOOKUP($B31,Data!$B$3:$EZ1530,30,FALSE)),1),"")</f>
        <v>-0.3419490714</v>
      </c>
      <c r="L31" s="48">
        <f>IFERROR(MINUS(DIVIDE(VLOOKUP($B31,Data!$B$3:$EZ1530,34,FALSE),VLOOKUP($B31,Data!$B$3:$EZ1530,35,FALSE)),1),"")</f>
        <v>-0.2840009595</v>
      </c>
      <c r="M31" s="48">
        <f>IFERROR(MINUS(DIVIDE(VLOOKUP($B31,Data!$B$3:$EZ1530,39,FALSE),VLOOKUP($B31,Data!$B$3:$EZ1530,40,FALSE)),1),"")</f>
        <v>-0.342563904</v>
      </c>
      <c r="N31" s="48">
        <f>IFERROR(MINUS(DIVIDE(VLOOKUP($B31,Data!$B$3:$EZ1530,44,FALSE),VLOOKUP($B31,Data!$B$3:$EZ1530,45,FALSE)),1),"")</f>
        <v>-0.06119311193</v>
      </c>
      <c r="O31" s="50">
        <f>IFERROR(VLOOKUP($B31,Data!$B$3:$D1530,2,FALSE),"")</f>
        <v>3150</v>
      </c>
      <c r="P31" s="50" t="str">
        <f>IFERROR(VLOOKUP($B31,Data!$B$3:$D1530,3,FALSE),"")</f>
        <v/>
      </c>
      <c r="Q31" s="48" t="str">
        <f t="shared" si="2"/>
        <v/>
      </c>
      <c r="R31" s="48"/>
      <c r="S31" s="48"/>
      <c r="T31" s="48"/>
      <c r="U31" s="48"/>
      <c r="V31" s="48"/>
      <c r="W31" s="50"/>
      <c r="Z31" s="11"/>
      <c r="AA31" s="11"/>
    </row>
    <row r="32">
      <c r="A32" s="9">
        <f t="shared" si="1"/>
        <v>29</v>
      </c>
      <c r="B32" s="47" t="s">
        <v>165</v>
      </c>
      <c r="C32" s="48">
        <f>IFERROR(DIVIDE(VLOOKUP($B32,Data!$B$3:$AB$1535,9,FALSE),VLOOKUP($B32,Data!$B$3:$AB$1535,4,FALSE)),"")</f>
        <v>0</v>
      </c>
      <c r="D32" s="48">
        <f>IFERROR(DIVIDE(VLOOKUP($B32,Data!$B$3:$AB$1535,24,FALSE),VLOOKUP($B32,Data!$B$3:$AB$1535,4,FALSE)),"")</f>
        <v>-140.7699115</v>
      </c>
      <c r="E32" s="48">
        <f>IFERROR(DIVIDE(VLOOKUP($B32,Data!$B$3:$EZ1530,29,FALSE),VLOOKUP($B32,Data!$B$3:$EZ1530,4,FALSE)),"")</f>
        <v>-138.2477876</v>
      </c>
      <c r="F32" s="48">
        <f>IFERROR(DIVIDE(VLOOKUP($B32,Data!$B$3:$EZ1530,34,FALSE),VLOOKUP($B32,Data!$B$3:$EZ1530,4,FALSE)),"")</f>
        <v>-129.6106195</v>
      </c>
      <c r="G32" s="48">
        <f>IFERROR(DIVIDE(VLOOKUP($B32,Data!$B$3:$EZ1530,39,FALSE),VLOOKUP($B32,Data!$B$3:$EZ1530,4,FALSE)),"")</f>
        <v>-121.8849558</v>
      </c>
      <c r="H32" s="48">
        <f>IFERROR(DIVIDE(VLOOKUP($B32,Data!$B$3:$EZ1530,44,FALSE),VLOOKUP($B32,Data!$B$3:$EZ1530,4,FALSE)),"")</f>
        <v>-99.97345133</v>
      </c>
      <c r="I32" s="48" t="str">
        <f>IFERROR(MINUS(DIVIDE(VLOOKUP($B32,Data!$B$3:$EZ1530,9,FALSE),VLOOKUP($B32,Data!$B$3:$EZ1530,10,FALSE)),1),"")</f>
        <v/>
      </c>
      <c r="J32" s="48">
        <f>IFERROR(MINUS(DIVIDE(VLOOKUP($B32,Data!$B$3:$EZ1530,24,FALSE),VLOOKUP($B32,Data!$B$3:$EZ1530,25,FALSE)),1),"")</f>
        <v>0.5988541562</v>
      </c>
      <c r="K32" s="48">
        <f>IFERROR(MINUS(DIVIDE(VLOOKUP($B32,Data!$B$3:$EZ1530,29,FALSE),VLOOKUP($B32,Data!$B$3:$EZ1530,30,FALSE)),1),"")</f>
        <v>0.3932043164</v>
      </c>
      <c r="L32" s="48">
        <f>IFERROR(MINUS(DIVIDE(VLOOKUP($B32,Data!$B$3:$EZ1530,34,FALSE),VLOOKUP($B32,Data!$B$3:$EZ1530,35,FALSE)),1),"")</f>
        <v>0.6010056843</v>
      </c>
      <c r="M32" s="48">
        <f>IFERROR(MINUS(DIVIDE(VLOOKUP($B32,Data!$B$3:$EZ1530,39,FALSE),VLOOKUP($B32,Data!$B$3:$EZ1530,40,FALSE)),1),"")</f>
        <v>0.4444677504</v>
      </c>
      <c r="N32" s="48">
        <f>IFERROR(MINUS(DIVIDE(VLOOKUP($B32,Data!$B$3:$EZ1530,44,FALSE),VLOOKUP($B32,Data!$B$3:$EZ1530,45,FALSE)),1),"")</f>
        <v>0.08406103061</v>
      </c>
      <c r="O32" s="50">
        <f>IFERROR(VLOOKUP($B32,Data!$B$3:$D1530,2,FALSE),"")</f>
        <v>4970</v>
      </c>
      <c r="P32" s="50">
        <f>IFERROR(VLOOKUP($B32,Data!$B$3:$D1530,3,FALSE),"")</f>
        <v>3970</v>
      </c>
      <c r="Q32" s="48">
        <f t="shared" si="2"/>
        <v>0.2518891688</v>
      </c>
      <c r="R32" s="48"/>
      <c r="S32" s="48"/>
      <c r="T32" s="48"/>
      <c r="U32" s="48"/>
      <c r="V32" s="48"/>
      <c r="W32" s="50"/>
      <c r="Z32" s="11"/>
      <c r="AA32" s="11"/>
    </row>
    <row r="33">
      <c r="A33" s="9">
        <f t="shared" si="1"/>
        <v>30</v>
      </c>
      <c r="B33" s="47" t="s">
        <v>166</v>
      </c>
      <c r="C33" s="48">
        <f>IFERROR(DIVIDE(VLOOKUP($B33,Data!$B$3:$AB$1535,9,FALSE),VLOOKUP($B33,Data!$B$3:$AB$1535,4,FALSE)),"")</f>
        <v>0</v>
      </c>
      <c r="D33" s="48">
        <f>IFERROR(DIVIDE(VLOOKUP($B33,Data!$B$3:$AB$1535,24,FALSE),VLOOKUP($B33,Data!$B$3:$AB$1535,4,FALSE)),"")</f>
        <v>0</v>
      </c>
      <c r="E33" s="48">
        <f>IFERROR(DIVIDE(VLOOKUP($B33,Data!$B$3:$EZ1530,29,FALSE),VLOOKUP($B33,Data!$B$3:$EZ1530,4,FALSE)),"")</f>
        <v>-49.52991453</v>
      </c>
      <c r="F33" s="48">
        <f>IFERROR(DIVIDE(VLOOKUP($B33,Data!$B$3:$EZ1530,34,FALSE),VLOOKUP($B33,Data!$B$3:$EZ1530,4,FALSE)),"")</f>
        <v>-50.32051282</v>
      </c>
      <c r="G33" s="48">
        <f>IFERROR(DIVIDE(VLOOKUP($B33,Data!$B$3:$EZ1530,39,FALSE),VLOOKUP($B33,Data!$B$3:$EZ1530,4,FALSE)),"")</f>
        <v>-49.77777778</v>
      </c>
      <c r="H33" s="48">
        <f>IFERROR(DIVIDE(VLOOKUP($B33,Data!$B$3:$EZ1530,44,FALSE),VLOOKUP($B33,Data!$B$3:$EZ1530,4,FALSE)),"")</f>
        <v>-51.95726496</v>
      </c>
      <c r="I33" s="48" t="str">
        <f>IFERROR(MINUS(DIVIDE(VLOOKUP($B33,Data!$B$3:$EZ1530,9,FALSE),VLOOKUP($B33,Data!$B$3:$EZ1530,10,FALSE)),1),"")</f>
        <v/>
      </c>
      <c r="J33" s="48">
        <f>IFERROR(MINUS(DIVIDE(VLOOKUP($B33,Data!$B$3:$EZ1530,24,FALSE),VLOOKUP($B33,Data!$B$3:$EZ1530,25,FALSE)),1),"")</f>
        <v>-1</v>
      </c>
      <c r="K33" s="48">
        <f>IFERROR(MINUS(DIVIDE(VLOOKUP($B33,Data!$B$3:$EZ1530,29,FALSE),VLOOKUP($B33,Data!$B$3:$EZ1530,30,FALSE)),1),"")</f>
        <v>-0.05672662163</v>
      </c>
      <c r="L33" s="48">
        <f>IFERROR(MINUS(DIVIDE(VLOOKUP($B33,Data!$B$3:$EZ1530,34,FALSE),VLOOKUP($B33,Data!$B$3:$EZ1530,35,FALSE)),1),"")</f>
        <v>-0.05950479233</v>
      </c>
      <c r="M33" s="48">
        <f>IFERROR(MINUS(DIVIDE(VLOOKUP($B33,Data!$B$3:$EZ1530,39,FALSE),VLOOKUP($B33,Data!$B$3:$EZ1530,40,FALSE)),1),"")</f>
        <v>-0.05377741673</v>
      </c>
      <c r="N33" s="48">
        <f>IFERROR(MINUS(DIVIDE(VLOOKUP($B33,Data!$B$3:$EZ1530,44,FALSE),VLOOKUP($B33,Data!$B$3:$EZ1530,45,FALSE)),1),"")</f>
        <v>0.001812788398</v>
      </c>
      <c r="O33" s="50">
        <f>IFERROR(VLOOKUP($B33,Data!$B$3:$D1530,2,FALSE),"")</f>
        <v>40850</v>
      </c>
      <c r="P33" s="50">
        <f>IFERROR(VLOOKUP($B33,Data!$B$3:$D1530,3,FALSE),"")</f>
        <v>1680</v>
      </c>
      <c r="Q33" s="48">
        <f t="shared" si="2"/>
        <v>23.31547619</v>
      </c>
      <c r="R33" s="48"/>
      <c r="S33" s="48"/>
      <c r="T33" s="48"/>
      <c r="U33" s="48"/>
      <c r="V33" s="48"/>
      <c r="W33" s="50"/>
      <c r="Z33" s="11"/>
      <c r="AA33" s="12"/>
    </row>
    <row r="34">
      <c r="A34" s="9">
        <f t="shared" si="1"/>
        <v>31</v>
      </c>
      <c r="B34" s="47" t="s">
        <v>167</v>
      </c>
      <c r="C34" s="48">
        <f>IFERROR(DIVIDE(VLOOKUP($B34,Data!$B$3:$AB$1535,9,FALSE),VLOOKUP($B34,Data!$B$3:$AB$1535,4,FALSE)),"")</f>
        <v>0.5976627713</v>
      </c>
      <c r="D34" s="48">
        <f>IFERROR(DIVIDE(VLOOKUP($B34,Data!$B$3:$AB$1535,24,FALSE),VLOOKUP($B34,Data!$B$3:$AB$1535,4,FALSE)),"")</f>
        <v>0.2838063439</v>
      </c>
      <c r="E34" s="48">
        <f>IFERROR(DIVIDE(VLOOKUP($B34,Data!$B$3:$EZ1530,29,FALSE),VLOOKUP($B34,Data!$B$3:$EZ1530,4,FALSE)),"")</f>
        <v>0.2487479132</v>
      </c>
      <c r="F34" s="48">
        <f>IFERROR(DIVIDE(VLOOKUP($B34,Data!$B$3:$EZ1530,34,FALSE),VLOOKUP($B34,Data!$B$3:$EZ1530,4,FALSE)),"")</f>
        <v>0.4357262104</v>
      </c>
      <c r="G34" s="48">
        <f>IFERROR(DIVIDE(VLOOKUP($B34,Data!$B$3:$EZ1530,39,FALSE),VLOOKUP($B34,Data!$B$3:$EZ1530,4,FALSE)),"")</f>
        <v>0.2270450751</v>
      </c>
      <c r="H34" s="48">
        <f>IFERROR(DIVIDE(VLOOKUP($B34,Data!$B$3:$EZ1530,44,FALSE),VLOOKUP($B34,Data!$B$3:$EZ1530,4,FALSE)),"")</f>
        <v>0.3756260434</v>
      </c>
      <c r="I34" s="48">
        <f>IFERROR(MINUS(DIVIDE(VLOOKUP($B34,Data!$B$3:$EZ1530,9,FALSE),VLOOKUP($B34,Data!$B$3:$EZ1530,10,FALSE)),1),"")</f>
        <v>-0.06282722513</v>
      </c>
      <c r="J34" s="48">
        <f>IFERROR(MINUS(DIVIDE(VLOOKUP($B34,Data!$B$3:$EZ1530,24,FALSE),VLOOKUP($B34,Data!$B$3:$EZ1530,25,FALSE)),1),"")</f>
        <v>-28.72341813</v>
      </c>
      <c r="K34" s="48">
        <f>IFERROR(MINUS(DIVIDE(VLOOKUP($B34,Data!$B$3:$EZ1530,29,FALSE),VLOOKUP($B34,Data!$B$3:$EZ1530,30,FALSE)),1),"")</f>
        <v>-0.1024096386</v>
      </c>
      <c r="L34" s="48">
        <f>IFERROR(MINUS(DIVIDE(VLOOKUP($B34,Data!$B$3:$EZ1530,34,FALSE),VLOOKUP($B34,Data!$B$3:$EZ1530,35,FALSE)),1),"")</f>
        <v>-0.05434782609</v>
      </c>
      <c r="M34" s="48">
        <f>IFERROR(MINUS(DIVIDE(VLOOKUP($B34,Data!$B$3:$EZ1530,39,FALSE),VLOOKUP($B34,Data!$B$3:$EZ1530,40,FALSE)),1),"")</f>
        <v>-0.09333333333</v>
      </c>
      <c r="N34" s="48">
        <f>IFERROR(MINUS(DIVIDE(VLOOKUP($B34,Data!$B$3:$EZ1530,44,FALSE),VLOOKUP($B34,Data!$B$3:$EZ1530,45,FALSE)),1),"")</f>
        <v>-0.07786885246</v>
      </c>
      <c r="O34" s="50">
        <f>IFERROR(VLOOKUP($B34,Data!$B$3:$D1530,2,FALSE),"")</f>
        <v>5700000</v>
      </c>
      <c r="P34" s="50">
        <f>IFERROR(VLOOKUP($B34,Data!$B$3:$D1530,3,FALSE),"")</f>
        <v>5270000</v>
      </c>
      <c r="Q34" s="48">
        <f t="shared" si="2"/>
        <v>0.08159392789</v>
      </c>
      <c r="R34" s="48"/>
      <c r="S34" s="48"/>
      <c r="T34" s="48"/>
      <c r="U34" s="48"/>
      <c r="V34" s="48"/>
      <c r="W34" s="50"/>
      <c r="Z34" s="11"/>
      <c r="AA34" s="11"/>
    </row>
    <row r="35">
      <c r="A35" s="9">
        <f t="shared" si="1"/>
        <v>32</v>
      </c>
      <c r="B35" s="47" t="s">
        <v>168</v>
      </c>
      <c r="C35" s="48">
        <f>IFERROR(DIVIDE(VLOOKUP($B35,Data!$B$3:$AB$1535,9,FALSE),VLOOKUP($B35,Data!$B$3:$AB$1535,4,FALSE)),"")</f>
        <v>0.06399752667</v>
      </c>
      <c r="D35" s="48">
        <f>IFERROR(DIVIDE(VLOOKUP($B35,Data!$B$3:$AB$1535,24,FALSE),VLOOKUP($B35,Data!$B$3:$AB$1535,4,FALSE)),"")</f>
        <v>0.02164167568</v>
      </c>
      <c r="E35" s="48">
        <f>IFERROR(DIVIDE(VLOOKUP($B35,Data!$B$3:$EZ1530,29,FALSE),VLOOKUP($B35,Data!$B$3:$EZ1530,4,FALSE)),"")</f>
        <v>0.02457876024</v>
      </c>
      <c r="F35" s="48">
        <f>IFERROR(DIVIDE(VLOOKUP($B35,Data!$B$3:$EZ1530,34,FALSE),VLOOKUP($B35,Data!$B$3:$EZ1530,4,FALSE)),"")</f>
        <v>0.0412737672</v>
      </c>
      <c r="G35" s="48">
        <f>IFERROR(DIVIDE(VLOOKUP($B35,Data!$B$3:$EZ1530,39,FALSE),VLOOKUP($B35,Data!$B$3:$EZ1530,4,FALSE)),"")</f>
        <v>0.02133250889</v>
      </c>
      <c r="H35" s="48">
        <f>IFERROR(DIVIDE(VLOOKUP($B35,Data!$B$3:$EZ1530,44,FALSE),VLOOKUP($B35,Data!$B$3:$EZ1530,4,FALSE)),"")</f>
        <v>-0.08424795177</v>
      </c>
      <c r="I35" s="48">
        <f>IFERROR(MINUS(DIVIDE(VLOOKUP($B35,Data!$B$3:$EZ1530,9,FALSE),VLOOKUP($B35,Data!$B$3:$EZ1530,10,FALSE)),1),"")</f>
        <v>0.002421307506</v>
      </c>
      <c r="J35" s="48">
        <f>IFERROR(MINUS(DIVIDE(VLOOKUP($B35,Data!$B$3:$EZ1530,24,FALSE),VLOOKUP($B35,Data!$B$3:$EZ1530,25,FALSE)),1),"")</f>
        <v>-0.2</v>
      </c>
      <c r="K35" s="48">
        <f>IFERROR(MINUS(DIVIDE(VLOOKUP($B35,Data!$B$3:$EZ1530,29,FALSE),VLOOKUP($B35,Data!$B$3:$EZ1530,30,FALSE)),1),"")</f>
        <v>-0.2281553398</v>
      </c>
      <c r="L35" s="48">
        <f>IFERROR(MINUS(DIVIDE(VLOOKUP($B35,Data!$B$3:$EZ1530,34,FALSE),VLOOKUP($B35,Data!$B$3:$EZ1530,35,FALSE)),1),"")</f>
        <v>-0.0824742268</v>
      </c>
      <c r="M35" s="48">
        <f>IFERROR(MINUS(DIVIDE(VLOOKUP($B35,Data!$B$3:$EZ1530,39,FALSE),VLOOKUP($B35,Data!$B$3:$EZ1530,40,FALSE)),1),"")</f>
        <v>-0.2375690608</v>
      </c>
      <c r="N35" s="48">
        <f>IFERROR(MINUS(DIVIDE(VLOOKUP($B35,Data!$B$3:$EZ1530,44,FALSE),VLOOKUP($B35,Data!$B$3:$EZ1530,45,FALSE)),1),"")</f>
        <v>0.140167364</v>
      </c>
      <c r="O35" s="50">
        <f>IFERROR(VLOOKUP($B35,Data!$B$3:$D1530,2,FALSE),"")</f>
        <v>66790000</v>
      </c>
      <c r="P35" s="50">
        <f>IFERROR(VLOOKUP($B35,Data!$B$3:$D1530,3,FALSE),"")</f>
        <v>65380000</v>
      </c>
      <c r="Q35" s="48">
        <f t="shared" si="2"/>
        <v>0.0215662282</v>
      </c>
      <c r="R35" s="48"/>
      <c r="S35" s="48"/>
      <c r="T35" s="48"/>
      <c r="U35" s="48"/>
      <c r="V35" s="48"/>
      <c r="W35" s="50"/>
      <c r="Z35" s="11"/>
      <c r="AA35" s="11"/>
    </row>
    <row r="36">
      <c r="A36" s="9">
        <f t="shared" si="1"/>
        <v>33</v>
      </c>
      <c r="B36" s="47" t="s">
        <v>169</v>
      </c>
      <c r="C36" s="48">
        <f>IFERROR(DIVIDE(VLOOKUP($B36,Data!$B$3:$AB$1535,9,FALSE),VLOOKUP($B36,Data!$B$3:$AB$1535,4,FALSE)),"")</f>
        <v>-0.3747870528</v>
      </c>
      <c r="D36" s="48">
        <f>IFERROR(DIVIDE(VLOOKUP($B36,Data!$B$3:$AB$1535,24,FALSE),VLOOKUP($B36,Data!$B$3:$AB$1535,4,FALSE)),"")</f>
        <v>-1.750936968</v>
      </c>
      <c r="E36" s="48">
        <f>IFERROR(DIVIDE(VLOOKUP($B36,Data!$B$3:$EZ1530,29,FALSE),VLOOKUP($B36,Data!$B$3:$EZ1530,4,FALSE)),"")</f>
        <v>-1.644974446</v>
      </c>
      <c r="F36" s="48">
        <f>IFERROR(DIVIDE(VLOOKUP($B36,Data!$B$3:$EZ1530,34,FALSE),VLOOKUP($B36,Data!$B$3:$EZ1530,4,FALSE)),"")</f>
        <v>-1.300511073</v>
      </c>
      <c r="G36" s="48">
        <f>IFERROR(DIVIDE(VLOOKUP($B36,Data!$B$3:$EZ1530,39,FALSE),VLOOKUP($B36,Data!$B$3:$EZ1530,4,FALSE)),"")</f>
        <v>-1.644974446</v>
      </c>
      <c r="H36" s="48">
        <f>IFERROR(DIVIDE(VLOOKUP($B36,Data!$B$3:$EZ1530,44,FALSE),VLOOKUP($B36,Data!$B$3:$EZ1530,4,FALSE)),"")</f>
        <v>-2.595911414</v>
      </c>
      <c r="I36" s="48">
        <f>IFERROR(MINUS(DIVIDE(VLOOKUP($B36,Data!$B$3:$EZ1530,9,FALSE),VLOOKUP($B36,Data!$B$3:$EZ1530,10,FALSE)),1),"")</f>
        <v>-0.5777351248</v>
      </c>
      <c r="J36" s="48">
        <f>IFERROR(MINUS(DIVIDE(VLOOKUP($B36,Data!$B$3:$EZ1530,24,FALSE),VLOOKUP($B36,Data!$B$3:$EZ1530,25,FALSE)),1),"")</f>
        <v>-0.1476198375</v>
      </c>
      <c r="K36" s="48">
        <f>IFERROR(MINUS(DIVIDE(VLOOKUP($B36,Data!$B$3:$EZ1530,29,FALSE),VLOOKUP($B36,Data!$B$3:$EZ1530,30,FALSE)),1),"")</f>
        <v>-0.265591725</v>
      </c>
      <c r="L36" s="48">
        <f>IFERROR(MINUS(DIVIDE(VLOOKUP($B36,Data!$B$3:$EZ1530,34,FALSE),VLOOKUP($B36,Data!$B$3:$EZ1530,35,FALSE)),1),"")</f>
        <v>-0.2789950888</v>
      </c>
      <c r="M36" s="48">
        <f>IFERROR(MINUS(DIVIDE(VLOOKUP($B36,Data!$B$3:$EZ1530,39,FALSE),VLOOKUP($B36,Data!$B$3:$EZ1530,40,FALSE)),1),"")</f>
        <v>-0.265591725</v>
      </c>
      <c r="N36" s="48">
        <f>IFERROR(MINUS(DIVIDE(VLOOKUP($B36,Data!$B$3:$EZ1530,44,FALSE),VLOOKUP($B36,Data!$B$3:$EZ1530,45,FALSE)),1),"")</f>
        <v>0.215539247</v>
      </c>
      <c r="O36" s="50">
        <f>IFERROR(VLOOKUP($B36,Data!$B$3:$D1530,2,FALSE),"")</f>
        <v>76580</v>
      </c>
      <c r="P36" s="50">
        <f>IFERROR(VLOOKUP($B36,Data!$B$3:$D1530,3,FALSE),"")</f>
        <v>41000</v>
      </c>
      <c r="Q36" s="48">
        <f t="shared" si="2"/>
        <v>0.867804878</v>
      </c>
      <c r="R36" s="48"/>
      <c r="S36" s="48"/>
      <c r="T36" s="48"/>
      <c r="U36" s="48"/>
      <c r="V36" s="48"/>
      <c r="W36" s="50"/>
      <c r="Z36" s="15"/>
      <c r="AA36" s="15"/>
    </row>
    <row r="37">
      <c r="A37" s="9">
        <f t="shared" si="1"/>
        <v>34</v>
      </c>
      <c r="B37" s="47" t="s">
        <v>170</v>
      </c>
      <c r="C37" s="48">
        <f>IFERROR(DIVIDE(VLOOKUP($B37,Data!$B$3:$AB$1535,9,FALSE),VLOOKUP($B37,Data!$B$3:$AB$1535,4,FALSE)),"")</f>
        <v>0.954795022</v>
      </c>
      <c r="D37" s="48">
        <f>IFERROR(DIVIDE(VLOOKUP($B37,Data!$B$3:$AB$1535,24,FALSE),VLOOKUP($B37,Data!$B$3:$AB$1535,4,FALSE)),"")</f>
        <v>-1.702781845</v>
      </c>
      <c r="E37" s="48">
        <f>IFERROR(DIVIDE(VLOOKUP($B37,Data!$B$3:$EZ1530,29,FALSE),VLOOKUP($B37,Data!$B$3:$EZ1530,4,FALSE)),"")</f>
        <v>-1.925146413</v>
      </c>
      <c r="F37" s="48">
        <f>IFERROR(DIVIDE(VLOOKUP($B37,Data!$B$3:$EZ1530,34,FALSE),VLOOKUP($B37,Data!$B$3:$EZ1530,4,FALSE)),"")</f>
        <v>-1.665812592</v>
      </c>
      <c r="G37" s="48">
        <f>IFERROR(DIVIDE(VLOOKUP($B37,Data!$B$3:$EZ1530,39,FALSE),VLOOKUP($B37,Data!$B$3:$EZ1530,4,FALSE)),"")</f>
        <v>-1.925146413</v>
      </c>
      <c r="H37" s="48">
        <f>IFERROR(DIVIDE(VLOOKUP($B37,Data!$B$3:$EZ1530,44,FALSE),VLOOKUP($B37,Data!$B$3:$EZ1530,4,FALSE)),"")</f>
        <v>-1.338579795</v>
      </c>
      <c r="I37" s="48">
        <f>IFERROR(MINUS(DIVIDE(VLOOKUP($B37,Data!$B$3:$EZ1530,9,FALSE),VLOOKUP($B37,Data!$B$3:$EZ1530,10,FALSE)),1),"")</f>
        <v>0.6328638498</v>
      </c>
      <c r="J37" s="48">
        <f>IFERROR(MINUS(DIVIDE(VLOOKUP($B37,Data!$B$3:$EZ1530,24,FALSE),VLOOKUP($B37,Data!$B$3:$EZ1530,25,FALSE)),1),"")</f>
        <v>-0.1972389991</v>
      </c>
      <c r="K37" s="48">
        <f>IFERROR(MINUS(DIVIDE(VLOOKUP($B37,Data!$B$3:$EZ1530,29,FALSE),VLOOKUP($B37,Data!$B$3:$EZ1530,30,FALSE)),1),"")</f>
        <v>-0.1970229008</v>
      </c>
      <c r="L37" s="48">
        <f>IFERROR(MINUS(DIVIDE(VLOOKUP($B37,Data!$B$3:$EZ1530,34,FALSE),VLOOKUP($B37,Data!$B$3:$EZ1530,35,FALSE)),1),"")</f>
        <v>-0.1984853822</v>
      </c>
      <c r="M37" s="48">
        <f>IFERROR(MINUS(DIVIDE(VLOOKUP($B37,Data!$B$3:$EZ1530,39,FALSE),VLOOKUP($B37,Data!$B$3:$EZ1530,40,FALSE)),1),"")</f>
        <v>-0.1970229008</v>
      </c>
      <c r="N37" s="48">
        <f>IFERROR(MINUS(DIVIDE(VLOOKUP($B37,Data!$B$3:$EZ1530,44,FALSE),VLOOKUP($B37,Data!$B$3:$EZ1530,45,FALSE)),1),"")</f>
        <v>-0.2982153138</v>
      </c>
      <c r="O37" s="50">
        <f>IFERROR(VLOOKUP($B37,Data!$B$3:$D1530,2,FALSE),"")</f>
        <v>101290</v>
      </c>
      <c r="P37" s="50">
        <f>IFERROR(VLOOKUP($B37,Data!$B$3:$D1530,3,FALSE),"")</f>
        <v>76670</v>
      </c>
      <c r="Q37" s="48">
        <f t="shared" si="2"/>
        <v>0.3211164732</v>
      </c>
      <c r="R37" s="48"/>
      <c r="S37" s="48"/>
      <c r="T37" s="48"/>
      <c r="U37" s="48"/>
      <c r="V37" s="48"/>
      <c r="W37" s="50"/>
      <c r="Z37" s="15"/>
      <c r="AA37" s="15"/>
    </row>
    <row r="38">
      <c r="A38" s="9">
        <f t="shared" si="1"/>
        <v>35</v>
      </c>
      <c r="B38" s="47" t="s">
        <v>171</v>
      </c>
      <c r="C38" s="48">
        <f>IFERROR(DIVIDE(VLOOKUP($B38,Data!$B$3:$AB$1535,9,FALSE),VLOOKUP($B38,Data!$B$3:$AB$1535,4,FALSE)),"")</f>
        <v>0.6586340661</v>
      </c>
      <c r="D38" s="48">
        <f>IFERROR(DIVIDE(VLOOKUP($B38,Data!$B$3:$AB$1535,24,FALSE),VLOOKUP($B38,Data!$B$3:$AB$1535,4,FALSE)),"")</f>
        <v>0</v>
      </c>
      <c r="E38" s="48">
        <f>IFERROR(DIVIDE(VLOOKUP($B38,Data!$B$3:$EZ1530,29,FALSE),VLOOKUP($B38,Data!$B$3:$EZ1530,4,FALSE)),"")</f>
        <v>-0.806512284</v>
      </c>
      <c r="F38" s="48">
        <f>IFERROR(DIVIDE(VLOOKUP($B38,Data!$B$3:$EZ1530,34,FALSE),VLOOKUP($B38,Data!$B$3:$EZ1530,4,FALSE)),"")</f>
        <v>-0.8299047843</v>
      </c>
      <c r="G38" s="48">
        <f>IFERROR(DIVIDE(VLOOKUP($B38,Data!$B$3:$EZ1530,39,FALSE),VLOOKUP($B38,Data!$B$3:$EZ1530,4,FALSE)),"")</f>
        <v>-0.8177971083</v>
      </c>
      <c r="H38" s="48">
        <f>IFERROR(DIVIDE(VLOOKUP($B38,Data!$B$3:$EZ1530,44,FALSE),VLOOKUP($B38,Data!$B$3:$EZ1530,4,FALSE)),"")</f>
        <v>2.414482191</v>
      </c>
      <c r="I38" s="48">
        <f>IFERROR(MINUS(DIVIDE(VLOOKUP($B38,Data!$B$3:$EZ1530,9,FALSE),VLOOKUP($B38,Data!$B$3:$EZ1530,10,FALSE)),1),"")</f>
        <v>0.7411435674</v>
      </c>
      <c r="J38" s="48" t="str">
        <f>IFERROR(MINUS(DIVIDE(VLOOKUP($B38,Data!$B$3:$EZ1530,24,FALSE),VLOOKUP($B38,Data!$B$3:$EZ1530,25,FALSE)),1),"")</f>
        <v/>
      </c>
      <c r="K38" s="48">
        <f>IFERROR(MINUS(DIVIDE(VLOOKUP($B38,Data!$B$3:$EZ1530,29,FALSE),VLOOKUP($B38,Data!$B$3:$EZ1530,30,FALSE)),1),"")</f>
        <v>0.4770721206</v>
      </c>
      <c r="L38" s="48">
        <f>IFERROR(MINUS(DIVIDE(VLOOKUP($B38,Data!$B$3:$EZ1530,34,FALSE),VLOOKUP($B38,Data!$B$3:$EZ1530,35,FALSE)),1),"")</f>
        <v>0.613345521</v>
      </c>
      <c r="M38" s="48">
        <f>IFERROR(MINUS(DIVIDE(VLOOKUP($B38,Data!$B$3:$EZ1530,39,FALSE),VLOOKUP($B38,Data!$B$3:$EZ1530,40,FALSE)),1),"")</f>
        <v>0.5009708738</v>
      </c>
      <c r="N38" s="48">
        <f>IFERROR(MINUS(DIVIDE(VLOOKUP($B38,Data!$B$3:$EZ1530,44,FALSE),VLOOKUP($B38,Data!$B$3:$EZ1530,45,FALSE)),1),"")</f>
        <v>-7.367017979</v>
      </c>
      <c r="O38" s="50">
        <f>IFERROR(VLOOKUP($B38,Data!$B$3:$D1530,2,FALSE),"")</f>
        <v>173670</v>
      </c>
      <c r="P38" s="50">
        <f>IFERROR(VLOOKUP($B38,Data!$B$3:$D1530,3,FALSE),"")</f>
        <v>95980</v>
      </c>
      <c r="Q38" s="48">
        <f t="shared" si="2"/>
        <v>0.8094394666</v>
      </c>
      <c r="R38" s="48"/>
      <c r="S38" s="48"/>
      <c r="T38" s="48"/>
      <c r="U38" s="48"/>
      <c r="V38" s="48"/>
      <c r="W38" s="50"/>
      <c r="Z38" s="11"/>
      <c r="AA38" s="11"/>
    </row>
    <row r="39">
      <c r="A39" s="9">
        <f t="shared" si="1"/>
        <v>36</v>
      </c>
      <c r="B39" s="47" t="s">
        <v>172</v>
      </c>
      <c r="C39" s="48">
        <f>IFERROR(DIVIDE(VLOOKUP($B39,Data!$B$3:$AB$1535,9,FALSE),VLOOKUP($B39,Data!$B$3:$AB$1535,4,FALSE)),"")</f>
        <v>0</v>
      </c>
      <c r="D39" s="48">
        <f>IFERROR(DIVIDE(VLOOKUP($B39,Data!$B$3:$AB$1535,24,FALSE),VLOOKUP($B39,Data!$B$3:$AB$1535,4,FALSE)),"")</f>
        <v>-5.222479722</v>
      </c>
      <c r="E39" s="48">
        <f>IFERROR(DIVIDE(VLOOKUP($B39,Data!$B$3:$EZ1530,29,FALSE),VLOOKUP($B39,Data!$B$3:$EZ1530,4,FALSE)),"")</f>
        <v>-4.91193511</v>
      </c>
      <c r="F39" s="48">
        <f>IFERROR(DIVIDE(VLOOKUP($B39,Data!$B$3:$EZ1530,34,FALSE),VLOOKUP($B39,Data!$B$3:$EZ1530,4,FALSE)),"")</f>
        <v>-4.578215527</v>
      </c>
      <c r="G39" s="48">
        <f>IFERROR(DIVIDE(VLOOKUP($B39,Data!$B$3:$EZ1530,39,FALSE),VLOOKUP($B39,Data!$B$3:$EZ1530,4,FALSE)),"")</f>
        <v>-4.77230591</v>
      </c>
      <c r="H39" s="48">
        <f>IFERROR(DIVIDE(VLOOKUP($B39,Data!$B$3:$EZ1530,44,FALSE),VLOOKUP($B39,Data!$B$3:$EZ1530,4,FALSE)),"")</f>
        <v>-3.775782155</v>
      </c>
      <c r="I39" s="48" t="str">
        <f>IFERROR(MINUS(DIVIDE(VLOOKUP($B39,Data!$B$3:$EZ1530,9,FALSE),VLOOKUP($B39,Data!$B$3:$EZ1530,10,FALSE)),1),"")</f>
        <v/>
      </c>
      <c r="J39" s="48">
        <f>IFERROR(MINUS(DIVIDE(VLOOKUP($B39,Data!$B$3:$EZ1530,24,FALSE),VLOOKUP($B39,Data!$B$3:$EZ1530,25,FALSE)),1),"")</f>
        <v>-0.1106945541</v>
      </c>
      <c r="K39" s="48">
        <f>IFERROR(MINUS(DIVIDE(VLOOKUP($B39,Data!$B$3:$EZ1530,29,FALSE),VLOOKUP($B39,Data!$B$3:$EZ1530,30,FALSE)),1),"")</f>
        <v>-0.1181610152</v>
      </c>
      <c r="L39" s="48">
        <f>IFERROR(MINUS(DIVIDE(VLOOKUP($B39,Data!$B$3:$EZ1530,34,FALSE),VLOOKUP($B39,Data!$B$3:$EZ1530,35,FALSE)),1),"")</f>
        <v>-0.01446744824</v>
      </c>
      <c r="M39" s="48">
        <f>IFERROR(MINUS(DIVIDE(VLOOKUP($B39,Data!$B$3:$EZ1530,39,FALSE),VLOOKUP($B39,Data!$B$3:$EZ1530,40,FALSE)),1),"")</f>
        <v>-0.1362206376</v>
      </c>
      <c r="N39" s="48">
        <f>IFERROR(MINUS(DIVIDE(VLOOKUP($B39,Data!$B$3:$EZ1530,44,FALSE),VLOOKUP($B39,Data!$B$3:$EZ1530,45,FALSE)),1),"")</f>
        <v>-0.05221058755</v>
      </c>
      <c r="O39" s="50">
        <f>IFERROR(VLOOKUP($B39,Data!$B$3:$D1530,2,FALSE),"")</f>
        <v>12870</v>
      </c>
      <c r="P39" s="50">
        <f>IFERROR(VLOOKUP($B39,Data!$B$3:$D1530,3,FALSE),"")</f>
        <v>27520</v>
      </c>
      <c r="Q39" s="48">
        <f t="shared" si="2"/>
        <v>-0.5323401163</v>
      </c>
      <c r="R39" s="48"/>
      <c r="S39" s="48"/>
      <c r="T39" s="48"/>
      <c r="U39" s="48"/>
      <c r="V39" s="48"/>
      <c r="W39" s="50"/>
      <c r="Z39" s="11"/>
      <c r="AA39" s="11"/>
    </row>
    <row r="40">
      <c r="A40" s="9">
        <f t="shared" si="1"/>
        <v>37</v>
      </c>
      <c r="B40" s="47" t="s">
        <v>173</v>
      </c>
      <c r="C40" s="48">
        <f>IFERROR(DIVIDE(VLOOKUP($B40,Data!$B$3:$AB$1535,9,FALSE),VLOOKUP($B40,Data!$B$3:$AB$1535,4,FALSE)),"")</f>
        <v>0</v>
      </c>
      <c r="D40" s="48">
        <f>IFERROR(DIVIDE(VLOOKUP($B40,Data!$B$3:$AB$1535,24,FALSE),VLOOKUP($B40,Data!$B$3:$AB$1535,4,FALSE)),"")</f>
        <v>0</v>
      </c>
      <c r="E40" s="48">
        <f>IFERROR(DIVIDE(VLOOKUP($B40,Data!$B$3:$EZ1530,29,FALSE),VLOOKUP($B40,Data!$B$3:$EZ1530,4,FALSE)),"")</f>
        <v>-257.96</v>
      </c>
      <c r="F40" s="48">
        <f>IFERROR(DIVIDE(VLOOKUP($B40,Data!$B$3:$EZ1530,34,FALSE),VLOOKUP($B40,Data!$B$3:$EZ1530,4,FALSE)),"")</f>
        <v>-267.88</v>
      </c>
      <c r="G40" s="48">
        <f>IFERROR(DIVIDE(VLOOKUP($B40,Data!$B$3:$EZ1530,39,FALSE),VLOOKUP($B40,Data!$B$3:$EZ1530,4,FALSE)),"")</f>
        <v>-257.96</v>
      </c>
      <c r="H40" s="48">
        <f>IFERROR(DIVIDE(VLOOKUP($B40,Data!$B$3:$EZ1530,44,FALSE),VLOOKUP($B40,Data!$B$3:$EZ1530,4,FALSE)),"")</f>
        <v>-227.04</v>
      </c>
      <c r="I40" s="48" t="str">
        <f>IFERROR(MINUS(DIVIDE(VLOOKUP($B40,Data!$B$3:$EZ1530,9,FALSE),VLOOKUP($B40,Data!$B$3:$EZ1530,10,FALSE)),1),"")</f>
        <v/>
      </c>
      <c r="J40" s="48">
        <f>IFERROR(MINUS(DIVIDE(VLOOKUP($B40,Data!$B$3:$EZ1530,24,FALSE),VLOOKUP($B40,Data!$B$3:$EZ1530,25,FALSE)),1),"")</f>
        <v>-1</v>
      </c>
      <c r="K40" s="48">
        <f>IFERROR(MINUS(DIVIDE(VLOOKUP($B40,Data!$B$3:$EZ1530,29,FALSE),VLOOKUP($B40,Data!$B$3:$EZ1530,30,FALSE)),1),"")</f>
        <v>-0.1270979968</v>
      </c>
      <c r="L40" s="48">
        <f>IFERROR(MINUS(DIVIDE(VLOOKUP($B40,Data!$B$3:$EZ1530,34,FALSE),VLOOKUP($B40,Data!$B$3:$EZ1530,35,FALSE)),1),"")</f>
        <v>-0.06112435161</v>
      </c>
      <c r="M40" s="48">
        <f>IFERROR(MINUS(DIVIDE(VLOOKUP($B40,Data!$B$3:$EZ1530,39,FALSE),VLOOKUP($B40,Data!$B$3:$EZ1530,40,FALSE)),1),"")</f>
        <v>-0.1120749002</v>
      </c>
      <c r="N40" s="48">
        <f>IFERROR(MINUS(DIVIDE(VLOOKUP($B40,Data!$B$3:$EZ1530,44,FALSE),VLOOKUP($B40,Data!$B$3:$EZ1530,45,FALSE)),1),"")</f>
        <v>0.0518902891</v>
      </c>
      <c r="O40" s="50" t="str">
        <f>IFERROR(VLOOKUP($B40,Data!$B$3:$D1530,2,FALSE),"")</f>
        <v/>
      </c>
      <c r="P40" s="50" t="str">
        <f>IFERROR(VLOOKUP($B40,Data!$B$3:$D1530,3,FALSE),"")</f>
        <v/>
      </c>
      <c r="Q40" s="48" t="str">
        <f t="shared" si="2"/>
        <v/>
      </c>
      <c r="R40" s="48"/>
      <c r="S40" s="48"/>
      <c r="T40" s="48"/>
      <c r="U40" s="48"/>
      <c r="V40" s="48"/>
      <c r="W40" s="50"/>
      <c r="Z40" s="11"/>
      <c r="AA40" s="11"/>
    </row>
    <row r="41">
      <c r="A41" s="9">
        <f t="shared" si="1"/>
        <v>38</v>
      </c>
      <c r="B41" s="47" t="s">
        <v>174</v>
      </c>
      <c r="C41" s="48">
        <f>IFERROR(DIVIDE(VLOOKUP($B41,Data!$B$3:$AB$1535,9,FALSE),VLOOKUP($B41,Data!$B$3:$AB$1535,4,FALSE)),"")</f>
        <v>0.2054297521</v>
      </c>
      <c r="D41" s="48">
        <f>IFERROR(DIVIDE(VLOOKUP($B41,Data!$B$3:$AB$1535,24,FALSE),VLOOKUP($B41,Data!$B$3:$AB$1535,4,FALSE)),"")</f>
        <v>0.0006140495868</v>
      </c>
      <c r="E41" s="48">
        <f>IFERROR(DIVIDE(VLOOKUP($B41,Data!$B$3:$EZ1530,29,FALSE),VLOOKUP($B41,Data!$B$3:$EZ1530,4,FALSE)),"")</f>
        <v>-0.0106446281</v>
      </c>
      <c r="F41" s="48">
        <f>IFERROR(DIVIDE(VLOOKUP($B41,Data!$B$3:$EZ1530,34,FALSE),VLOOKUP($B41,Data!$B$3:$EZ1530,4,FALSE)),"")</f>
        <v>0.07941322314</v>
      </c>
      <c r="G41" s="48">
        <f>IFERROR(DIVIDE(VLOOKUP($B41,Data!$B$3:$EZ1530,39,FALSE),VLOOKUP($B41,Data!$B$3:$EZ1530,4,FALSE)),"")</f>
        <v>-0.01726446281</v>
      </c>
      <c r="H41" s="48">
        <f>IFERROR(DIVIDE(VLOOKUP($B41,Data!$B$3:$EZ1530,44,FALSE),VLOOKUP($B41,Data!$B$3:$EZ1530,4,FALSE)),"")</f>
        <v>0.0651322314</v>
      </c>
      <c r="I41" s="48">
        <f>IFERROR(MINUS(DIVIDE(VLOOKUP($B41,Data!$B$3:$EZ1530,9,FALSE),VLOOKUP($B41,Data!$B$3:$EZ1530,10,FALSE)),1),"")</f>
        <v>-0.0752948179</v>
      </c>
      <c r="J41" s="48">
        <f>IFERROR(MINUS(DIVIDE(VLOOKUP($B41,Data!$B$3:$EZ1530,24,FALSE),VLOOKUP($B41,Data!$B$3:$EZ1530,25,FALSE)),1),"")</f>
        <v>-0.9710669782</v>
      </c>
      <c r="K41" s="48">
        <f>IFERROR(MINUS(DIVIDE(VLOOKUP($B41,Data!$B$3:$EZ1530,29,FALSE),VLOOKUP($B41,Data!$B$3:$EZ1530,30,FALSE)),1),"")</f>
        <v>-5.351351351</v>
      </c>
      <c r="L41" s="48">
        <f>IFERROR(MINUS(DIVIDE(VLOOKUP($B41,Data!$B$3:$EZ1530,34,FALSE),VLOOKUP($B41,Data!$B$3:$EZ1530,35,FALSE)),1),"")</f>
        <v>-0.04063498403</v>
      </c>
      <c r="M41" s="48">
        <f>IFERROR(MINUS(DIVIDE(VLOOKUP($B41,Data!$B$3:$EZ1530,39,FALSE),VLOOKUP($B41,Data!$B$3:$EZ1530,40,FALSE)),1),"")</f>
        <v>-8.129692833</v>
      </c>
      <c r="N41" s="48">
        <f>IFERROR(MINUS(DIVIDE(VLOOKUP($B41,Data!$B$3:$EZ1530,44,FALSE),VLOOKUP($B41,Data!$B$3:$EZ1530,45,FALSE)),1),"")</f>
        <v>1.073401736</v>
      </c>
      <c r="O41" s="50">
        <f>IFERROR(VLOOKUP($B41,Data!$B$3:$D1530,2,FALSE),"")</f>
        <v>1130000</v>
      </c>
      <c r="P41" s="50">
        <f>IFERROR(VLOOKUP($B41,Data!$B$3:$D1530,3,FALSE),"")</f>
        <v>1100000</v>
      </c>
      <c r="Q41" s="48">
        <f t="shared" si="2"/>
        <v>0.02727272727</v>
      </c>
      <c r="R41" s="48"/>
      <c r="S41" s="48"/>
      <c r="T41" s="48"/>
      <c r="U41" s="48"/>
      <c r="V41" s="48"/>
      <c r="W41" s="50"/>
      <c r="Z41" s="11"/>
      <c r="AA41" s="11"/>
    </row>
    <row r="42">
      <c r="A42" s="9">
        <f t="shared" si="1"/>
        <v>39</v>
      </c>
      <c r="B42" s="47" t="s">
        <v>175</v>
      </c>
      <c r="C42" s="48">
        <f>IFERROR(DIVIDE(VLOOKUP($B42,Data!$B$3:$AB$1535,9,FALSE),VLOOKUP($B42,Data!$B$3:$AB$1535,4,FALSE)),"")</f>
        <v>0.3608736942</v>
      </c>
      <c r="D42" s="48">
        <f>IFERROR(DIVIDE(VLOOKUP($B42,Data!$B$3:$AB$1535,24,FALSE),VLOOKUP($B42,Data!$B$3:$AB$1535,4,FALSE)),"")</f>
        <v>-0.2374169041</v>
      </c>
      <c r="E42" s="48">
        <f>IFERROR(DIVIDE(VLOOKUP($B42,Data!$B$3:$EZ1530,29,FALSE),VLOOKUP($B42,Data!$B$3:$EZ1530,4,FALSE)),"")</f>
        <v>-0.2473884141</v>
      </c>
      <c r="F42" s="48">
        <f>IFERROR(DIVIDE(VLOOKUP($B42,Data!$B$3:$EZ1530,34,FALSE),VLOOKUP($B42,Data!$B$3:$EZ1530,4,FALSE)),"")</f>
        <v>-0.1823361823</v>
      </c>
      <c r="G42" s="48">
        <f>IFERROR(DIVIDE(VLOOKUP($B42,Data!$B$3:$EZ1530,39,FALSE),VLOOKUP($B42,Data!$B$3:$EZ1530,4,FALSE)),"")</f>
        <v>-0.2488129155</v>
      </c>
      <c r="H42" s="48">
        <f>IFERROR(DIVIDE(VLOOKUP($B42,Data!$B$3:$EZ1530,44,FALSE),VLOOKUP($B42,Data!$B$3:$EZ1530,4,FALSE)),"")</f>
        <v>-0.2678062678</v>
      </c>
      <c r="I42" s="48">
        <f>IFERROR(MINUS(DIVIDE(VLOOKUP($B42,Data!$B$3:$EZ1530,9,FALSE),VLOOKUP($B42,Data!$B$3:$EZ1530,10,FALSE)),1),"")</f>
        <v>-0.3866020985</v>
      </c>
      <c r="J42" s="48" t="str">
        <f>IFERROR(MINUS(DIVIDE(VLOOKUP($B42,Data!$B$3:$EZ1530,24,FALSE),VLOOKUP($B42,Data!$B$3:$EZ1530,25,FALSE)),1),"")</f>
        <v/>
      </c>
      <c r="K42" s="48" t="str">
        <f>IFERROR(MINUS(DIVIDE(VLOOKUP($B42,Data!$B$3:$EZ1530,29,FALSE),VLOOKUP($B42,Data!$B$3:$EZ1530,30,FALSE)),1),"")</f>
        <v/>
      </c>
      <c r="L42" s="48">
        <f>IFERROR(MINUS(DIVIDE(VLOOKUP($B42,Data!$B$3:$EZ1530,34,FALSE),VLOOKUP($B42,Data!$B$3:$EZ1530,35,FALSE)),1),"")</f>
        <v>-3.887218045</v>
      </c>
      <c r="M42" s="48" t="str">
        <f>IFERROR(MINUS(DIVIDE(VLOOKUP($B42,Data!$B$3:$EZ1530,39,FALSE),VLOOKUP($B42,Data!$B$3:$EZ1530,40,FALSE)),1),"")</f>
        <v/>
      </c>
      <c r="N42" s="48">
        <f>IFERROR(MINUS(DIVIDE(VLOOKUP($B42,Data!$B$3:$EZ1530,44,FALSE),VLOOKUP($B42,Data!$B$3:$EZ1530,45,FALSE)),1),"")</f>
        <v>3.177777778</v>
      </c>
      <c r="O42" s="50">
        <f>IFERROR(VLOOKUP($B42,Data!$B$3:$D1530,2,FALSE),"")</f>
        <v>28760</v>
      </c>
      <c r="P42" s="50">
        <f>IFERROR(VLOOKUP($B42,Data!$B$3:$D1530,3,FALSE),"")</f>
        <v>23100</v>
      </c>
      <c r="Q42" s="48">
        <f t="shared" si="2"/>
        <v>0.245021645</v>
      </c>
      <c r="R42" s="48"/>
      <c r="S42" s="48"/>
      <c r="T42" s="48"/>
      <c r="U42" s="48"/>
      <c r="V42" s="48"/>
      <c r="W42" s="50"/>
      <c r="Z42" s="12"/>
      <c r="AA42" s="12"/>
    </row>
    <row r="43">
      <c r="A43" s="9">
        <f t="shared" si="1"/>
        <v>40</v>
      </c>
      <c r="B43" s="47" t="s">
        <v>176</v>
      </c>
      <c r="C43" s="48">
        <f>IFERROR(DIVIDE(VLOOKUP($B43,Data!$B$3:$AB$1535,9,FALSE),VLOOKUP($B43,Data!$B$3:$AB$1535,4,FALSE)),"")</f>
        <v>0.2367703927</v>
      </c>
      <c r="D43" s="48">
        <f>IFERROR(DIVIDE(VLOOKUP($B43,Data!$B$3:$AB$1535,24,FALSE),VLOOKUP($B43,Data!$B$3:$AB$1535,4,FALSE)),"")</f>
        <v>0.332326284</v>
      </c>
      <c r="E43" s="48">
        <f>IFERROR(DIVIDE(VLOOKUP($B43,Data!$B$3:$EZ1530,29,FALSE),VLOOKUP($B43,Data!$B$3:$EZ1530,4,FALSE)),"")</f>
        <v>0.296141994</v>
      </c>
      <c r="F43" s="48">
        <f>IFERROR(DIVIDE(VLOOKUP($B43,Data!$B$3:$EZ1530,34,FALSE),VLOOKUP($B43,Data!$B$3:$EZ1530,4,FALSE)),"")</f>
        <v>0.4078549849</v>
      </c>
      <c r="G43" s="48">
        <f>IFERROR(DIVIDE(VLOOKUP($B43,Data!$B$3:$EZ1530,39,FALSE),VLOOKUP($B43,Data!$B$3:$EZ1530,4,FALSE)),"")</f>
        <v>0.1896797583</v>
      </c>
      <c r="H43" s="48">
        <f>IFERROR(DIVIDE(VLOOKUP($B43,Data!$B$3:$EZ1530,44,FALSE),VLOOKUP($B43,Data!$B$3:$EZ1530,4,FALSE)),"")</f>
        <v>0.3534743202</v>
      </c>
      <c r="I43" s="48">
        <f>IFERROR(MINUS(DIVIDE(VLOOKUP($B43,Data!$B$3:$EZ1530,9,FALSE),VLOOKUP($B43,Data!$B$3:$EZ1530,10,FALSE)),1),"")</f>
        <v>0.8203800056</v>
      </c>
      <c r="J43" s="48">
        <f>IFERROR(MINUS(DIVIDE(VLOOKUP($B43,Data!$B$3:$EZ1530,24,FALSE),VLOOKUP($B43,Data!$B$3:$EZ1530,25,FALSE)),1),"")</f>
        <v>-5.064590031</v>
      </c>
      <c r="K43" s="48">
        <f>IFERROR(MINUS(DIVIDE(VLOOKUP($B43,Data!$B$3:$EZ1530,29,FALSE),VLOOKUP($B43,Data!$B$3:$EZ1530,30,FALSE)),1),"")</f>
        <v>-3.919349555</v>
      </c>
      <c r="L43" s="48">
        <f>IFERROR(MINUS(DIVIDE(VLOOKUP($B43,Data!$B$3:$EZ1530,34,FALSE),VLOOKUP($B43,Data!$B$3:$EZ1530,35,FALSE)),1),"")</f>
        <v>0.3815405712</v>
      </c>
      <c r="M43" s="48">
        <f>IFERROR(MINUS(DIVIDE(VLOOKUP($B43,Data!$B$3:$EZ1530,39,FALSE),VLOOKUP($B43,Data!$B$3:$EZ1530,40,FALSE)),1),"")</f>
        <v>-2.482678002</v>
      </c>
      <c r="N43" s="48">
        <f>IFERROR(MINUS(DIVIDE(VLOOKUP($B43,Data!$B$3:$EZ1530,44,FALSE),VLOOKUP($B43,Data!$B$3:$EZ1530,45,FALSE)),1),"")</f>
        <v>0.4904268735</v>
      </c>
      <c r="O43" s="50">
        <f>IFERROR(VLOOKUP($B43,Data!$B$3:$D1530,2,FALSE),"")</f>
        <v>3600000</v>
      </c>
      <c r="P43" s="50">
        <f>IFERROR(VLOOKUP($B43,Data!$B$3:$D1530,3,FALSE),"")</f>
        <v>2890000</v>
      </c>
      <c r="Q43" s="48">
        <f t="shared" si="2"/>
        <v>0.2456747405</v>
      </c>
      <c r="R43" s="48"/>
      <c r="S43" s="48"/>
      <c r="T43" s="48"/>
      <c r="U43" s="48"/>
      <c r="V43" s="48"/>
      <c r="W43" s="50"/>
      <c r="Z43" s="11"/>
      <c r="AA43" s="11"/>
    </row>
    <row r="44">
      <c r="A44" s="9">
        <f t="shared" si="1"/>
        <v>41</v>
      </c>
      <c r="B44" s="47" t="s">
        <v>177</v>
      </c>
      <c r="C44" s="48">
        <f>IFERROR(DIVIDE(VLOOKUP($B44,Data!$B$3:$AB$1535,9,FALSE),VLOOKUP($B44,Data!$B$3:$AB$1535,4,FALSE)),"")</f>
        <v>0.3109048724</v>
      </c>
      <c r="D44" s="48">
        <f>IFERROR(DIVIDE(VLOOKUP($B44,Data!$B$3:$AB$1535,24,FALSE),VLOOKUP($B44,Data!$B$3:$AB$1535,4,FALSE)),"")</f>
        <v>0.05414153132</v>
      </c>
      <c r="E44" s="48">
        <f>IFERROR(DIVIDE(VLOOKUP($B44,Data!$B$3:$EZ1530,29,FALSE),VLOOKUP($B44,Data!$B$3:$EZ1530,4,FALSE)),"")</f>
        <v>0.05690951276</v>
      </c>
      <c r="F44" s="48">
        <f>IFERROR(DIVIDE(VLOOKUP($B44,Data!$B$3:$EZ1530,34,FALSE),VLOOKUP($B44,Data!$B$3:$EZ1530,4,FALSE)),"")</f>
        <v>0.1150951276</v>
      </c>
      <c r="G44" s="48">
        <f>IFERROR(DIVIDE(VLOOKUP($B44,Data!$B$3:$EZ1530,39,FALSE),VLOOKUP($B44,Data!$B$3:$EZ1530,4,FALSE)),"")</f>
        <v>0.04437587007</v>
      </c>
      <c r="H44" s="48">
        <f>IFERROR(DIVIDE(VLOOKUP($B44,Data!$B$3:$EZ1530,44,FALSE),VLOOKUP($B44,Data!$B$3:$EZ1530,4,FALSE)),"")</f>
        <v>0.1593828306</v>
      </c>
      <c r="I44" s="48">
        <f>IFERROR(MINUS(DIVIDE(VLOOKUP($B44,Data!$B$3:$EZ1530,9,FALSE),VLOOKUP($B44,Data!$B$3:$EZ1530,10,FALSE)),1),"")</f>
        <v>0.01515151515</v>
      </c>
      <c r="J44" s="48">
        <f>IFERROR(MINUS(DIVIDE(VLOOKUP($B44,Data!$B$3:$EZ1530,24,FALSE),VLOOKUP($B44,Data!$B$3:$EZ1530,25,FALSE)),1),"")</f>
        <v>-0.3078337733</v>
      </c>
      <c r="K44" s="48">
        <f>IFERROR(MINUS(DIVIDE(VLOOKUP($B44,Data!$B$3:$EZ1530,29,FALSE),VLOOKUP($B44,Data!$B$3:$EZ1530,30,FALSE)),1),"")</f>
        <v>-0.2892494929</v>
      </c>
      <c r="L44" s="48">
        <f>IFERROR(MINUS(DIVIDE(VLOOKUP($B44,Data!$B$3:$EZ1530,34,FALSE),VLOOKUP($B44,Data!$B$3:$EZ1530,35,FALSE)),1),"")</f>
        <v>-0.02194443897</v>
      </c>
      <c r="M44" s="48">
        <f>IFERROR(MINUS(DIVIDE(VLOOKUP($B44,Data!$B$3:$EZ1530,39,FALSE),VLOOKUP($B44,Data!$B$3:$EZ1530,40,FALSE)),1),"")</f>
        <v>-0.2697212677</v>
      </c>
      <c r="N44" s="48">
        <f>IFERROR(MINUS(DIVIDE(VLOOKUP($B44,Data!$B$3:$EZ1530,44,FALSE),VLOOKUP($B44,Data!$B$3:$EZ1530,45,FALSE)),1),"")</f>
        <v>0.5043030768</v>
      </c>
      <c r="O44" s="50">
        <f>IFERROR(VLOOKUP($B44,Data!$B$3:$D1530,2,FALSE),"")</f>
        <v>4280000</v>
      </c>
      <c r="P44" s="50">
        <f>IFERROR(VLOOKUP($B44,Data!$B$3:$D1530,3,FALSE),"")</f>
        <v>3730000</v>
      </c>
      <c r="Q44" s="48">
        <f t="shared" si="2"/>
        <v>0.1474530831</v>
      </c>
      <c r="R44" s="48"/>
      <c r="S44" s="48"/>
      <c r="T44" s="48"/>
      <c r="U44" s="48"/>
      <c r="V44" s="48"/>
      <c r="W44" s="50"/>
      <c r="Z44" s="15"/>
      <c r="AA44" s="15"/>
    </row>
    <row r="45">
      <c r="A45" s="9">
        <f t="shared" si="1"/>
        <v>42</v>
      </c>
      <c r="B45" s="47" t="s">
        <v>178</v>
      </c>
      <c r="C45" s="48">
        <f>IFERROR(DIVIDE(VLOOKUP($B45,Data!$B$3:$AB$1535,9,FALSE),VLOOKUP($B45,Data!$B$3:$AB$1535,4,FALSE)),"")</f>
        <v>0.8941193304</v>
      </c>
      <c r="D45" s="48">
        <f>IFERROR(DIVIDE(VLOOKUP($B45,Data!$B$3:$AB$1535,24,FALSE),VLOOKUP($B45,Data!$B$3:$AB$1535,4,FALSE)),"")</f>
        <v>0</v>
      </c>
      <c r="E45" s="48">
        <f>IFERROR(DIVIDE(VLOOKUP($B45,Data!$B$3:$EZ1530,29,FALSE),VLOOKUP($B45,Data!$B$3:$EZ1530,4,FALSE)),"")</f>
        <v>-2.856918014</v>
      </c>
      <c r="F45" s="48">
        <f>IFERROR(DIVIDE(VLOOKUP($B45,Data!$B$3:$EZ1530,34,FALSE),VLOOKUP($B45,Data!$B$3:$EZ1530,4,FALSE)),"")</f>
        <v>-2.609100014</v>
      </c>
      <c r="G45" s="48">
        <f>IFERROR(DIVIDE(VLOOKUP($B45,Data!$B$3:$EZ1530,39,FALSE),VLOOKUP($B45,Data!$B$3:$EZ1530,4,FALSE)),"")</f>
        <v>-2.855630276</v>
      </c>
      <c r="H45" s="48">
        <f>IFERROR(DIVIDE(VLOOKUP($B45,Data!$B$3:$EZ1530,44,FALSE),VLOOKUP($B45,Data!$B$3:$EZ1530,4,FALSE)),"")</f>
        <v>-2.085419946</v>
      </c>
      <c r="I45" s="48">
        <f>IFERROR(MINUS(DIVIDE(VLOOKUP($B45,Data!$B$3:$EZ1530,9,FALSE),VLOOKUP($B45,Data!$B$3:$EZ1530,10,FALSE)),1),"")</f>
        <v>1.961611374</v>
      </c>
      <c r="J45" s="48">
        <f>IFERROR(MINUS(DIVIDE(VLOOKUP($B45,Data!$B$3:$EZ1530,24,FALSE),VLOOKUP($B45,Data!$B$3:$EZ1530,25,FALSE)),1),"")</f>
        <v>-1</v>
      </c>
      <c r="K45" s="48">
        <f>IFERROR(MINUS(DIVIDE(VLOOKUP($B45,Data!$B$3:$EZ1530,29,FALSE),VLOOKUP($B45,Data!$B$3:$EZ1530,30,FALSE)),1),"")</f>
        <v>-0.1414627854</v>
      </c>
      <c r="L45" s="48">
        <f>IFERROR(MINUS(DIVIDE(VLOOKUP($B45,Data!$B$3:$EZ1530,34,FALSE),VLOOKUP($B45,Data!$B$3:$EZ1530,35,FALSE)),1),"")</f>
        <v>-0.1203569706</v>
      </c>
      <c r="M45" s="48">
        <f>IFERROR(MINUS(DIVIDE(VLOOKUP($B45,Data!$B$3:$EZ1530,39,FALSE),VLOOKUP($B45,Data!$B$3:$EZ1530,40,FALSE)),1),"")</f>
        <v>-0.1418497657</v>
      </c>
      <c r="N45" s="48">
        <f>IFERROR(MINUS(DIVIDE(VLOOKUP($B45,Data!$B$3:$EZ1530,44,FALSE),VLOOKUP($B45,Data!$B$3:$EZ1530,45,FALSE)),1),"")</f>
        <v>-0.04476340281</v>
      </c>
      <c r="O45" s="50">
        <f>IFERROR(VLOOKUP($B45,Data!$B$3:$D1530,2,FALSE),"")</f>
        <v>128740</v>
      </c>
      <c r="P45" s="50">
        <f>IFERROR(VLOOKUP($B45,Data!$B$3:$D1530,3,FALSE),"")</f>
        <v>81020</v>
      </c>
      <c r="Q45" s="48">
        <f t="shared" si="2"/>
        <v>0.5889903727</v>
      </c>
      <c r="R45" s="48"/>
      <c r="S45" s="48"/>
      <c r="T45" s="48"/>
      <c r="U45" s="48"/>
      <c r="V45" s="48"/>
      <c r="W45" s="50"/>
      <c r="Z45" s="15"/>
      <c r="AA45" s="15"/>
    </row>
    <row r="46">
      <c r="A46" s="9">
        <f t="shared" si="1"/>
        <v>43</v>
      </c>
      <c r="B46" s="47" t="s">
        <v>179</v>
      </c>
      <c r="C46" s="48">
        <f>IFERROR(DIVIDE(VLOOKUP($B46,Data!$B$3:$AB$1535,9,FALSE),VLOOKUP($B46,Data!$B$3:$AB$1535,4,FALSE)),"")</f>
        <v>0</v>
      </c>
      <c r="D46" s="48">
        <f>IFERROR(DIVIDE(VLOOKUP($B46,Data!$B$3:$AB$1535,24,FALSE),VLOOKUP($B46,Data!$B$3:$AB$1535,4,FALSE)),"")</f>
        <v>0</v>
      </c>
      <c r="E46" s="48">
        <f>IFERROR(DIVIDE(VLOOKUP($B46,Data!$B$3:$EZ1530,29,FALSE),VLOOKUP($B46,Data!$B$3:$EZ1530,4,FALSE)),"")</f>
        <v>-1.512949039</v>
      </c>
      <c r="F46" s="48">
        <f>IFERROR(DIVIDE(VLOOKUP($B46,Data!$B$3:$EZ1530,34,FALSE),VLOOKUP($B46,Data!$B$3:$EZ1530,4,FALSE)),"")</f>
        <v>-1.484962406</v>
      </c>
      <c r="G46" s="48">
        <f>IFERROR(DIVIDE(VLOOKUP($B46,Data!$B$3:$EZ1530,39,FALSE),VLOOKUP($B46,Data!$B$3:$EZ1530,4,FALSE)),"")</f>
        <v>-1.512949039</v>
      </c>
      <c r="H46" s="48">
        <f>IFERROR(DIVIDE(VLOOKUP($B46,Data!$B$3:$EZ1530,44,FALSE),VLOOKUP($B46,Data!$B$3:$EZ1530,4,FALSE)),"")</f>
        <v>-1.35839599</v>
      </c>
      <c r="I46" s="48" t="str">
        <f>IFERROR(MINUS(DIVIDE(VLOOKUP($B46,Data!$B$3:$EZ1530,9,FALSE),VLOOKUP($B46,Data!$B$3:$EZ1530,10,FALSE)),1),"")</f>
        <v/>
      </c>
      <c r="J46" s="48" t="str">
        <f>IFERROR(MINUS(DIVIDE(VLOOKUP($B46,Data!$B$3:$EZ1530,24,FALSE),VLOOKUP($B46,Data!$B$3:$EZ1530,25,FALSE)),1),"")</f>
        <v/>
      </c>
      <c r="K46" s="48">
        <f>IFERROR(MINUS(DIVIDE(VLOOKUP($B46,Data!$B$3:$EZ1530,29,FALSE),VLOOKUP($B46,Data!$B$3:$EZ1530,30,FALSE)),1),"")</f>
        <v>0.5761531767</v>
      </c>
      <c r="L46" s="48">
        <f>IFERROR(MINUS(DIVIDE(VLOOKUP($B46,Data!$B$3:$EZ1530,34,FALSE),VLOOKUP($B46,Data!$B$3:$EZ1530,35,FALSE)),1),"")</f>
        <v>0.4593596059</v>
      </c>
      <c r="M46" s="48">
        <f>IFERROR(MINUS(DIVIDE(VLOOKUP($B46,Data!$B$3:$EZ1530,39,FALSE),VLOOKUP($B46,Data!$B$3:$EZ1530,40,FALSE)),1),"")</f>
        <v>0.5761531767</v>
      </c>
      <c r="N46" s="48">
        <f>IFERROR(MINUS(DIVIDE(VLOOKUP($B46,Data!$B$3:$EZ1530,44,FALSE),VLOOKUP($B46,Data!$B$3:$EZ1530,45,FALSE)),1),"")</f>
        <v>-1.557613169</v>
      </c>
      <c r="O46" s="50">
        <f>IFERROR(VLOOKUP($B46,Data!$B$3:$D1530,2,FALSE),"")</f>
        <v>51540</v>
      </c>
      <c r="P46" s="50">
        <f>IFERROR(VLOOKUP($B46,Data!$B$3:$D1530,3,FALSE),"")</f>
        <v>26700</v>
      </c>
      <c r="Q46" s="48">
        <f t="shared" si="2"/>
        <v>0.9303370787</v>
      </c>
      <c r="R46" s="48"/>
      <c r="S46" s="48"/>
      <c r="T46" s="48"/>
      <c r="U46" s="48"/>
      <c r="V46" s="48"/>
      <c r="W46" s="50"/>
      <c r="Z46" s="11"/>
      <c r="AA46" s="11"/>
    </row>
    <row r="47">
      <c r="A47" s="9">
        <f t="shared" si="1"/>
        <v>44</v>
      </c>
      <c r="B47" s="47" t="s">
        <v>180</v>
      </c>
      <c r="C47" s="48">
        <f>IFERROR(DIVIDE(VLOOKUP($B47,Data!$B$3:$AB$1535,9,FALSE),VLOOKUP($B47,Data!$B$3:$AB$1535,4,FALSE)),"")</f>
        <v>0.1753292471</v>
      </c>
      <c r="D47" s="48">
        <f>IFERROR(DIVIDE(VLOOKUP($B47,Data!$B$3:$AB$1535,24,FALSE),VLOOKUP($B47,Data!$B$3:$AB$1535,4,FALSE)),"")</f>
        <v>-0.09856705044</v>
      </c>
      <c r="E47" s="48">
        <f>IFERROR(DIVIDE(VLOOKUP($B47,Data!$B$3:$EZ1530,29,FALSE),VLOOKUP($B47,Data!$B$3:$EZ1530,4,FALSE)),"")</f>
        <v>-0.1072227284</v>
      </c>
      <c r="F47" s="48">
        <f>IFERROR(DIVIDE(VLOOKUP($B47,Data!$B$3:$EZ1530,34,FALSE),VLOOKUP($B47,Data!$B$3:$EZ1530,4,FALSE)),"")</f>
        <v>0.2538101549</v>
      </c>
      <c r="G47" s="48">
        <f>IFERROR(DIVIDE(VLOOKUP($B47,Data!$B$3:$EZ1530,39,FALSE),VLOOKUP($B47,Data!$B$3:$EZ1530,4,FALSE)),"")</f>
        <v>-0.1111985422</v>
      </c>
      <c r="H47" s="48">
        <f>IFERROR(DIVIDE(VLOOKUP($B47,Data!$B$3:$EZ1530,44,FALSE),VLOOKUP($B47,Data!$B$3:$EZ1530,4,FALSE)),"")</f>
        <v>0.3613642011</v>
      </c>
      <c r="I47" s="48">
        <f>IFERROR(MINUS(DIVIDE(VLOOKUP($B47,Data!$B$3:$EZ1530,9,FALSE),VLOOKUP($B47,Data!$B$3:$EZ1530,10,FALSE)),1),"")</f>
        <v>-5.584190579</v>
      </c>
      <c r="J47" s="48">
        <f>IFERROR(MINUS(DIVIDE(VLOOKUP($B47,Data!$B$3:$EZ1530,24,FALSE),VLOOKUP($B47,Data!$B$3:$EZ1530,25,FALSE)),1),"")</f>
        <v>-0.8550283243</v>
      </c>
      <c r="K47" s="48">
        <f>IFERROR(MINUS(DIVIDE(VLOOKUP($B47,Data!$B$3:$EZ1530,29,FALSE),VLOOKUP($B47,Data!$B$3:$EZ1530,30,FALSE)),1),"")</f>
        <v>-0.8481302244</v>
      </c>
      <c r="L47" s="48">
        <f>IFERROR(MINUS(DIVIDE(VLOOKUP($B47,Data!$B$3:$EZ1530,34,FALSE),VLOOKUP($B47,Data!$B$3:$EZ1530,35,FALSE)),1),"")</f>
        <v>0.8078171091</v>
      </c>
      <c r="M47" s="48">
        <f>IFERROR(MINUS(DIVIDE(VLOOKUP($B47,Data!$B$3:$EZ1530,39,FALSE),VLOOKUP($B47,Data!$B$3:$EZ1530,40,FALSE)),1),"")</f>
        <v>-0.7970751615</v>
      </c>
      <c r="N47" s="48">
        <f>IFERROR(MINUS(DIVIDE(VLOOKUP($B47,Data!$B$3:$EZ1530,44,FALSE),VLOOKUP($B47,Data!$B$3:$EZ1530,45,FALSE)),1),"")</f>
        <v>3.676045016</v>
      </c>
      <c r="O47" s="50">
        <f>IFERROR(VLOOKUP($B47,Data!$B$3:$D1530,2,FALSE),"")</f>
        <v>338010</v>
      </c>
      <c r="P47" s="50">
        <f>IFERROR(VLOOKUP($B47,Data!$B$3:$D1530,3,FALSE),"")</f>
        <v>261300</v>
      </c>
      <c r="Q47" s="48">
        <f t="shared" si="2"/>
        <v>0.2935706085</v>
      </c>
      <c r="R47" s="48"/>
      <c r="S47" s="48"/>
      <c r="T47" s="48"/>
      <c r="U47" s="48"/>
      <c r="V47" s="48"/>
      <c r="W47" s="50"/>
      <c r="Z47" s="11"/>
      <c r="AA47" s="11"/>
    </row>
    <row r="48">
      <c r="A48" s="9">
        <f t="shared" si="1"/>
        <v>45</v>
      </c>
      <c r="B48" s="47" t="s">
        <v>181</v>
      </c>
      <c r="C48" s="48">
        <f>IFERROR(DIVIDE(VLOOKUP($B48,Data!$B$3:$AB$1535,9,FALSE),VLOOKUP($B48,Data!$B$3:$AB$1535,4,FALSE)),"")</f>
        <v>0</v>
      </c>
      <c r="D48" s="48">
        <f>IFERROR(DIVIDE(VLOOKUP($B48,Data!$B$3:$AB$1535,24,FALSE),VLOOKUP($B48,Data!$B$3:$AB$1535,4,FALSE)),"")</f>
        <v>-3.659325721</v>
      </c>
      <c r="E48" s="48">
        <f>IFERROR(DIVIDE(VLOOKUP($B48,Data!$B$3:$EZ1530,29,FALSE),VLOOKUP($B48,Data!$B$3:$EZ1530,4,FALSE)),"")</f>
        <v>-4.405655247</v>
      </c>
      <c r="F48" s="48">
        <f>IFERROR(DIVIDE(VLOOKUP($B48,Data!$B$3:$EZ1530,34,FALSE),VLOOKUP($B48,Data!$B$3:$EZ1530,4,FALSE)),"")</f>
        <v>-3.231919521</v>
      </c>
      <c r="G48" s="48">
        <f>IFERROR(DIVIDE(VLOOKUP($B48,Data!$B$3:$EZ1530,39,FALSE),VLOOKUP($B48,Data!$B$3:$EZ1530,4,FALSE)),"")</f>
        <v>-4.341761827</v>
      </c>
      <c r="H48" s="48">
        <f>IFERROR(DIVIDE(VLOOKUP($B48,Data!$B$3:$EZ1530,44,FALSE),VLOOKUP($B48,Data!$B$3:$EZ1530,4,FALSE)),"")</f>
        <v>-3.564165307</v>
      </c>
      <c r="I48" s="48" t="str">
        <f>IFERROR(MINUS(DIVIDE(VLOOKUP($B48,Data!$B$3:$EZ1530,9,FALSE),VLOOKUP($B48,Data!$B$3:$EZ1530,10,FALSE)),1),"")</f>
        <v/>
      </c>
      <c r="J48" s="48">
        <f>IFERROR(MINUS(DIVIDE(VLOOKUP($B48,Data!$B$3:$EZ1530,24,FALSE),VLOOKUP($B48,Data!$B$3:$EZ1530,25,FALSE)),1),"")</f>
        <v>0.296628131</v>
      </c>
      <c r="K48" s="48">
        <f>IFERROR(MINUS(DIVIDE(VLOOKUP($B48,Data!$B$3:$EZ1530,29,FALSE),VLOOKUP($B48,Data!$B$3:$EZ1530,30,FALSE)),1),"")</f>
        <v>0.3426133068</v>
      </c>
      <c r="L48" s="48">
        <f>IFERROR(MINUS(DIVIDE(VLOOKUP($B48,Data!$B$3:$EZ1530,34,FALSE),VLOOKUP($B48,Data!$B$3:$EZ1530,35,FALSE)),1),"")</f>
        <v>0.1771637948</v>
      </c>
      <c r="M48" s="48">
        <f>IFERROR(MINUS(DIVIDE(VLOOKUP($B48,Data!$B$3:$EZ1530,39,FALSE),VLOOKUP($B48,Data!$B$3:$EZ1530,40,FALSE)),1),"")</f>
        <v>0.3231419339</v>
      </c>
      <c r="N48" s="48">
        <f>IFERROR(MINUS(DIVIDE(VLOOKUP($B48,Data!$B$3:$EZ1530,44,FALSE),VLOOKUP($B48,Data!$B$3:$EZ1530,45,FALSE)),1),"")</f>
        <v>0.3911705402</v>
      </c>
      <c r="O48" s="50">
        <f>IFERROR(VLOOKUP($B48,Data!$B$3:$D1530,2,FALSE),"")</f>
        <v>61580</v>
      </c>
      <c r="P48" s="50">
        <f>IFERROR(VLOOKUP($B48,Data!$B$3:$D1530,3,FALSE),"")</f>
        <v>70740</v>
      </c>
      <c r="Q48" s="48">
        <f t="shared" si="2"/>
        <v>-0.1294882669</v>
      </c>
      <c r="R48" s="48"/>
      <c r="S48" s="48"/>
      <c r="T48" s="48"/>
      <c r="U48" s="48"/>
      <c r="V48" s="48"/>
      <c r="W48" s="50"/>
      <c r="Z48" s="11"/>
      <c r="AA48" s="11"/>
    </row>
    <row r="49">
      <c r="A49" s="9">
        <f t="shared" si="1"/>
        <v>46</v>
      </c>
      <c r="B49" s="47" t="s">
        <v>182</v>
      </c>
      <c r="C49" s="48">
        <f>IFERROR(DIVIDE(VLOOKUP($B49,Data!$B$3:$AB$1535,9,FALSE),VLOOKUP($B49,Data!$B$3:$AB$1535,4,FALSE)),"")</f>
        <v>0.2581290057</v>
      </c>
      <c r="D49" s="48">
        <f>IFERROR(DIVIDE(VLOOKUP($B49,Data!$B$3:$AB$1535,24,FALSE),VLOOKUP($B49,Data!$B$3:$AB$1535,4,FALSE)),"")</f>
        <v>-0.2396660199</v>
      </c>
      <c r="E49" s="48">
        <f>IFERROR(DIVIDE(VLOOKUP($B49,Data!$B$3:$EZ1530,29,FALSE),VLOOKUP($B49,Data!$B$3:$EZ1530,4,FALSE)),"")</f>
        <v>-0.4624566355</v>
      </c>
      <c r="F49" s="48">
        <f>IFERROR(DIVIDE(VLOOKUP($B49,Data!$B$3:$EZ1530,34,FALSE),VLOOKUP($B49,Data!$B$3:$EZ1530,4,FALSE)),"")</f>
        <v>0.3710236961</v>
      </c>
      <c r="G49" s="48">
        <f>IFERROR(DIVIDE(VLOOKUP($B49,Data!$B$3:$EZ1530,39,FALSE),VLOOKUP($B49,Data!$B$3:$EZ1530,4,FALSE)),"")</f>
        <v>-0.357676251</v>
      </c>
      <c r="H49" s="48">
        <f>IFERROR(DIVIDE(VLOOKUP($B49,Data!$B$3:$EZ1530,44,FALSE),VLOOKUP($B49,Data!$B$3:$EZ1530,4,FALSE)),"")</f>
        <v>0.1179514318</v>
      </c>
      <c r="I49" s="48">
        <f>IFERROR(MINUS(DIVIDE(VLOOKUP($B49,Data!$B$3:$EZ1530,9,FALSE),VLOOKUP($B49,Data!$B$3:$EZ1530,10,FALSE)),1),"")</f>
        <v>-0.4928959224</v>
      </c>
      <c r="J49" s="48">
        <f>IFERROR(MINUS(DIVIDE(VLOOKUP($B49,Data!$B$3:$EZ1530,24,FALSE),VLOOKUP($B49,Data!$B$3:$EZ1530,25,FALSE)),1),"")</f>
        <v>-6.553133515</v>
      </c>
      <c r="K49" s="48">
        <f>IFERROR(MINUS(DIVIDE(VLOOKUP($B49,Data!$B$3:$EZ1530,29,FALSE),VLOOKUP($B49,Data!$B$3:$EZ1530,30,FALSE)),1),"")</f>
        <v>1.769366197</v>
      </c>
      <c r="L49" s="48">
        <f>IFERROR(MINUS(DIVIDE(VLOOKUP($B49,Data!$B$3:$EZ1530,34,FALSE),VLOOKUP($B49,Data!$B$3:$EZ1530,35,FALSE)),1),"")</f>
        <v>0.1437375385</v>
      </c>
      <c r="M49" s="48">
        <f>IFERROR(MINUS(DIVIDE(VLOOKUP($B49,Data!$B$3:$EZ1530,39,FALSE),VLOOKUP($B49,Data!$B$3:$EZ1530,40,FALSE)),1),"")</f>
        <v>1.023619428</v>
      </c>
      <c r="N49" s="48">
        <f>IFERROR(MINUS(DIVIDE(VLOOKUP($B49,Data!$B$3:$EZ1530,44,FALSE),VLOOKUP($B49,Data!$B$3:$EZ1530,45,FALSE)),1),"")</f>
        <v>5.664451827</v>
      </c>
      <c r="O49" s="50">
        <f>IFERROR(VLOOKUP($B49,Data!$B$3:$D1530,2,FALSE),"")</f>
        <v>185330</v>
      </c>
      <c r="P49" s="50">
        <f>IFERROR(VLOOKUP($B49,Data!$B$3:$D1530,3,FALSE),"")</f>
        <v>173030</v>
      </c>
      <c r="Q49" s="48">
        <f t="shared" si="2"/>
        <v>0.07108593885</v>
      </c>
      <c r="R49" s="48"/>
      <c r="S49" s="48"/>
      <c r="T49" s="48"/>
      <c r="U49" s="48"/>
      <c r="V49" s="48"/>
      <c r="W49" s="50"/>
      <c r="Z49" s="12"/>
      <c r="AA49" s="12"/>
    </row>
    <row r="50">
      <c r="A50" s="9">
        <f t="shared" si="1"/>
        <v>47</v>
      </c>
      <c r="B50" s="47" t="s">
        <v>183</v>
      </c>
      <c r="C50" s="48">
        <f>IFERROR(DIVIDE(VLOOKUP($B50,Data!$B$3:$AB$1535,9,FALSE),VLOOKUP($B50,Data!$B$3:$AB$1535,4,FALSE)),"")</f>
        <v>0.2228045013</v>
      </c>
      <c r="D50" s="48">
        <f>IFERROR(DIVIDE(VLOOKUP($B50,Data!$B$3:$AB$1535,24,FALSE),VLOOKUP($B50,Data!$B$3:$AB$1535,4,FALSE)),"")</f>
        <v>0.1794792586</v>
      </c>
      <c r="E50" s="48">
        <f>IFERROR(DIVIDE(VLOOKUP($B50,Data!$B$3:$EZ1530,29,FALSE),VLOOKUP($B50,Data!$B$3:$EZ1530,4,FALSE)),"")</f>
        <v>0.1887025596</v>
      </c>
      <c r="F50" s="48">
        <f>IFERROR(DIVIDE(VLOOKUP($B50,Data!$B$3:$EZ1530,34,FALSE),VLOOKUP($B50,Data!$B$3:$EZ1530,4,FALSE)),"")</f>
        <v>0.4260039718</v>
      </c>
      <c r="G50" s="48">
        <f>IFERROR(DIVIDE(VLOOKUP($B50,Data!$B$3:$EZ1530,39,FALSE),VLOOKUP($B50,Data!$B$3:$EZ1530,4,FALSE)),"")</f>
        <v>0.1406774051</v>
      </c>
      <c r="H50" s="48">
        <f>IFERROR(DIVIDE(VLOOKUP($B50,Data!$B$3:$EZ1530,44,FALSE),VLOOKUP($B50,Data!$B$3:$EZ1530,4,FALSE)),"")</f>
        <v>0.3794461606</v>
      </c>
      <c r="I50" s="48">
        <f>IFERROR(MINUS(DIVIDE(VLOOKUP($B50,Data!$B$3:$EZ1530,9,FALSE),VLOOKUP($B50,Data!$B$3:$EZ1530,10,FALSE)),1),"")</f>
        <v>-98.56038647</v>
      </c>
      <c r="J50" s="48" t="str">
        <f>IFERROR(MINUS(DIVIDE(VLOOKUP($B50,Data!$B$3:$EZ1530,24,FALSE),VLOOKUP($B50,Data!$B$3:$EZ1530,25,FALSE)),1),"")</f>
        <v/>
      </c>
      <c r="K50" s="48">
        <f>IFERROR(MINUS(DIVIDE(VLOOKUP($B50,Data!$B$3:$EZ1530,29,FALSE),VLOOKUP($B50,Data!$B$3:$EZ1530,30,FALSE)),1),"")</f>
        <v>-4.436608399</v>
      </c>
      <c r="L50" s="48">
        <f>IFERROR(MINUS(DIVIDE(VLOOKUP($B50,Data!$B$3:$EZ1530,34,FALSE),VLOOKUP($B50,Data!$B$3:$EZ1530,35,FALSE)),1),"")</f>
        <v>1.06873828</v>
      </c>
      <c r="M50" s="48">
        <f>IFERROR(MINUS(DIVIDE(VLOOKUP($B50,Data!$B$3:$EZ1530,39,FALSE),VLOOKUP($B50,Data!$B$3:$EZ1530,40,FALSE)),1),"")</f>
        <v>-2.355047821</v>
      </c>
      <c r="N50" s="48">
        <f>IFERROR(MINUS(DIVIDE(VLOOKUP($B50,Data!$B$3:$EZ1530,44,FALSE),VLOOKUP($B50,Data!$B$3:$EZ1530,45,FALSE)),1),"")</f>
        <v>0.2451757721</v>
      </c>
      <c r="O50" s="50">
        <f>IFERROR(VLOOKUP($B50,Data!$B$3:$D1530,2,FALSE),"")</f>
        <v>659600</v>
      </c>
      <c r="P50" s="50">
        <f>IFERROR(VLOOKUP($B50,Data!$B$3:$D1530,3,FALSE),"")</f>
        <v>537230</v>
      </c>
      <c r="Q50" s="48">
        <f t="shared" si="2"/>
        <v>0.2277795358</v>
      </c>
      <c r="R50" s="48"/>
      <c r="S50" s="48"/>
      <c r="T50" s="48"/>
      <c r="U50" s="48"/>
      <c r="V50" s="48"/>
      <c r="W50" s="50"/>
      <c r="Z50" s="11"/>
      <c r="AA50" s="11"/>
    </row>
    <row r="51">
      <c r="A51" s="9">
        <f t="shared" si="1"/>
        <v>48</v>
      </c>
      <c r="B51" s="47" t="s">
        <v>184</v>
      </c>
      <c r="C51" s="48">
        <f>IFERROR(DIVIDE(VLOOKUP($B51,Data!$B$3:$AB$1535,9,FALSE),VLOOKUP($B51,Data!$B$3:$AB$1535,4,FALSE)),"")</f>
        <v>0.8479348656</v>
      </c>
      <c r="D51" s="48">
        <f>IFERROR(DIVIDE(VLOOKUP($B51,Data!$B$3:$AB$1535,24,FALSE),VLOOKUP($B51,Data!$B$3:$AB$1535,4,FALSE)),"")</f>
        <v>0</v>
      </c>
      <c r="E51" s="48">
        <f>IFERROR(DIVIDE(VLOOKUP($B51,Data!$B$3:$EZ1530,29,FALSE),VLOOKUP($B51,Data!$B$3:$EZ1530,4,FALSE)),"")</f>
        <v>-3.48969553</v>
      </c>
      <c r="F51" s="48">
        <f>IFERROR(DIVIDE(VLOOKUP($B51,Data!$B$3:$EZ1530,34,FALSE),VLOOKUP($B51,Data!$B$3:$EZ1530,4,FALSE)),"")</f>
        <v>-3.474768892</v>
      </c>
      <c r="G51" s="48">
        <f>IFERROR(DIVIDE(VLOOKUP($B51,Data!$B$3:$EZ1530,39,FALSE),VLOOKUP($B51,Data!$B$3:$EZ1530,4,FALSE)),"")</f>
        <v>-3.48969553</v>
      </c>
      <c r="H51" s="48">
        <f>IFERROR(DIVIDE(VLOOKUP($B51,Data!$B$3:$EZ1530,44,FALSE),VLOOKUP($B51,Data!$B$3:$EZ1530,4,FALSE)),"")</f>
        <v>-3.08506488</v>
      </c>
      <c r="I51" s="48">
        <f>IFERROR(MINUS(DIVIDE(VLOOKUP($B51,Data!$B$3:$EZ1530,9,FALSE),VLOOKUP($B51,Data!$B$3:$EZ1530,10,FALSE)),1),"")</f>
        <v>0.1649965043</v>
      </c>
      <c r="J51" s="48" t="str">
        <f>IFERROR(MINUS(DIVIDE(VLOOKUP($B51,Data!$B$3:$EZ1530,24,FALSE),VLOOKUP($B51,Data!$B$3:$EZ1530,25,FALSE)),1),"")</f>
        <v/>
      </c>
      <c r="K51" s="48">
        <f>IFERROR(MINUS(DIVIDE(VLOOKUP($B51,Data!$B$3:$EZ1530,29,FALSE),VLOOKUP($B51,Data!$B$3:$EZ1530,30,FALSE)),1),"")</f>
        <v>0.1891165506</v>
      </c>
      <c r="L51" s="48">
        <f>IFERROR(MINUS(DIVIDE(VLOOKUP($B51,Data!$B$3:$EZ1530,34,FALSE),VLOOKUP($B51,Data!$B$3:$EZ1530,35,FALSE)),1),"")</f>
        <v>0.1531057387</v>
      </c>
      <c r="M51" s="48">
        <f>IFERROR(MINUS(DIVIDE(VLOOKUP($B51,Data!$B$3:$EZ1530,39,FALSE),VLOOKUP($B51,Data!$B$3:$EZ1530,40,FALSE)),1),"")</f>
        <v>0.1891165506</v>
      </c>
      <c r="N51" s="48">
        <f>IFERROR(MINUS(DIVIDE(VLOOKUP($B51,Data!$B$3:$EZ1530,44,FALSE),VLOOKUP($B51,Data!$B$3:$EZ1530,45,FALSE)),1),"")</f>
        <v>0.1949280599</v>
      </c>
      <c r="O51" s="50">
        <f>IFERROR(VLOOKUP($B51,Data!$B$3:$D1530,2,FALSE),"")</f>
        <v>265430</v>
      </c>
      <c r="P51" s="50">
        <f>IFERROR(VLOOKUP($B51,Data!$B$3:$D1530,3,FALSE),"")</f>
        <v>205170</v>
      </c>
      <c r="Q51" s="48">
        <f t="shared" si="2"/>
        <v>0.2937076571</v>
      </c>
      <c r="R51" s="48"/>
      <c r="S51" s="48"/>
      <c r="T51" s="48"/>
      <c r="U51" s="48"/>
      <c r="V51" s="48"/>
      <c r="W51" s="50"/>
      <c r="Z51" s="15"/>
      <c r="AA51" s="15"/>
    </row>
    <row r="52">
      <c r="A52" s="9">
        <f t="shared" si="1"/>
        <v>49</v>
      </c>
      <c r="B52" s="47" t="s">
        <v>185</v>
      </c>
      <c r="C52" s="48" t="str">
        <f>IFERROR(DIVIDE(VLOOKUP($B52,Data!$B$3:$AB$1535,9,FALSE),VLOOKUP($B52,Data!$B$3:$AB$1535,4,FALSE)),"")</f>
        <v/>
      </c>
      <c r="D52" s="48" t="str">
        <f>IFERROR(DIVIDE(VLOOKUP($B52,Data!$B$3:$AB$1535,24,FALSE),VLOOKUP($B52,Data!$B$3:$AB$1535,4,FALSE)),"")</f>
        <v/>
      </c>
      <c r="E52" s="48" t="str">
        <f>IFERROR(DIVIDE(VLOOKUP($B52,Data!$B$3:$EZ1530,29,FALSE),VLOOKUP($B52,Data!$B$3:$EZ1530,4,FALSE)),"")</f>
        <v/>
      </c>
      <c r="F52" s="48" t="str">
        <f>IFERROR(DIVIDE(VLOOKUP($B52,Data!$B$3:$EZ1530,34,FALSE),VLOOKUP($B52,Data!$B$3:$EZ1530,4,FALSE)),"")</f>
        <v/>
      </c>
      <c r="G52" s="48" t="str">
        <f>IFERROR(DIVIDE(VLOOKUP($B52,Data!$B$3:$EZ1530,39,FALSE),VLOOKUP($B52,Data!$B$3:$EZ1530,4,FALSE)),"")</f>
        <v/>
      </c>
      <c r="H52" s="48" t="str">
        <f>IFERROR(DIVIDE(VLOOKUP($B52,Data!$B$3:$EZ1530,44,FALSE),VLOOKUP($B52,Data!$B$3:$EZ1530,4,FALSE)),"")</f>
        <v/>
      </c>
      <c r="I52" s="48" t="str">
        <f>IFERROR(MINUS(DIVIDE(VLOOKUP($B52,Data!$B$3:$EZ1530,9,FALSE),VLOOKUP($B52,Data!$B$3:$EZ1530,10,FALSE)),1),"")</f>
        <v/>
      </c>
      <c r="J52" s="48" t="str">
        <f>IFERROR(MINUS(DIVIDE(VLOOKUP($B52,Data!$B$3:$EZ1530,24,FALSE),VLOOKUP($B52,Data!$B$3:$EZ1530,25,FALSE)),1),"")</f>
        <v/>
      </c>
      <c r="K52" s="48">
        <f>IFERROR(MINUS(DIVIDE(VLOOKUP($B52,Data!$B$3:$EZ1530,29,FALSE),VLOOKUP($B52,Data!$B$3:$EZ1530,30,FALSE)),1),"")</f>
        <v>0.7643742954</v>
      </c>
      <c r="L52" s="48">
        <f>IFERROR(MINUS(DIVIDE(VLOOKUP($B52,Data!$B$3:$EZ1530,34,FALSE),VLOOKUP($B52,Data!$B$3:$EZ1530,35,FALSE)),1),"")</f>
        <v>0.7584680097</v>
      </c>
      <c r="M52" s="48">
        <f>IFERROR(MINUS(DIVIDE(VLOOKUP($B52,Data!$B$3:$EZ1530,39,FALSE),VLOOKUP($B52,Data!$B$3:$EZ1530,40,FALSE)),1),"")</f>
        <v>0.7643742954</v>
      </c>
      <c r="N52" s="48">
        <f>IFERROR(MINUS(DIVIDE(VLOOKUP($B52,Data!$B$3:$EZ1530,44,FALSE),VLOOKUP($B52,Data!$B$3:$EZ1530,45,FALSE)),1),"")</f>
        <v>1.032618826</v>
      </c>
      <c r="O52" s="50" t="str">
        <f>IFERROR(VLOOKUP($B52,Data!$B$3:$D1530,2,FALSE),"")</f>
        <v/>
      </c>
      <c r="P52" s="50" t="str">
        <f>IFERROR(VLOOKUP($B52,Data!$B$3:$D1530,3,FALSE),"")</f>
        <v/>
      </c>
      <c r="Q52" s="48" t="str">
        <f t="shared" si="2"/>
        <v/>
      </c>
      <c r="R52" s="48"/>
      <c r="S52" s="48"/>
      <c r="T52" s="48"/>
      <c r="U52" s="48"/>
      <c r="V52" s="48"/>
      <c r="W52" s="50"/>
      <c r="Z52" s="15"/>
      <c r="AA52" s="15"/>
    </row>
    <row r="53">
      <c r="A53" s="9">
        <f t="shared" si="1"/>
        <v>50</v>
      </c>
      <c r="B53" s="47" t="s">
        <v>186</v>
      </c>
      <c r="C53" s="48">
        <f>IFERROR(DIVIDE(VLOOKUP($B53,Data!$B$3:$AB$1535,9,FALSE),VLOOKUP($B53,Data!$B$3:$AB$1535,4,FALSE)),"")</f>
        <v>0.1504095948</v>
      </c>
      <c r="D53" s="48">
        <f>IFERROR(DIVIDE(VLOOKUP($B53,Data!$B$3:$AB$1535,24,FALSE),VLOOKUP($B53,Data!$B$3:$AB$1535,4,FALSE)),"")</f>
        <v>0.02630481703</v>
      </c>
      <c r="E53" s="48">
        <f>IFERROR(DIVIDE(VLOOKUP($B53,Data!$B$3:$EZ1530,29,FALSE),VLOOKUP($B53,Data!$B$3:$EZ1530,4,FALSE)),"")</f>
        <v>0.02594918081</v>
      </c>
      <c r="F53" s="48">
        <f>IFERROR(DIVIDE(VLOOKUP($B53,Data!$B$3:$EZ1530,34,FALSE),VLOOKUP($B53,Data!$B$3:$EZ1530,4,FALSE)),"")</f>
        <v>0.1898974787</v>
      </c>
      <c r="G53" s="48">
        <f>IFERROR(DIVIDE(VLOOKUP($B53,Data!$B$3:$EZ1530,39,FALSE),VLOOKUP($B53,Data!$B$3:$EZ1530,4,FALSE)),"")</f>
        <v>-0.0009467281468</v>
      </c>
      <c r="H53" s="48">
        <f>IFERROR(DIVIDE(VLOOKUP($B53,Data!$B$3:$EZ1530,44,FALSE),VLOOKUP($B53,Data!$B$3:$EZ1530,4,FALSE)),"")</f>
        <v>0.3342857844</v>
      </c>
      <c r="I53" s="48">
        <f>IFERROR(MINUS(DIVIDE(VLOOKUP($B53,Data!$B$3:$EZ1530,9,FALSE),VLOOKUP($B53,Data!$B$3:$EZ1530,10,FALSE)),1),"")</f>
        <v>0.3916940883</v>
      </c>
      <c r="J53" s="48">
        <f>IFERROR(MINUS(DIVIDE(VLOOKUP($B53,Data!$B$3:$EZ1530,24,FALSE),VLOOKUP($B53,Data!$B$3:$EZ1530,25,FALSE)),1),"")</f>
        <v>2.187221397</v>
      </c>
      <c r="K53" s="48">
        <f>IFERROR(MINUS(DIVIDE(VLOOKUP($B53,Data!$B$3:$EZ1530,29,FALSE),VLOOKUP($B53,Data!$B$3:$EZ1530,30,FALSE)),1),"")</f>
        <v>-1.872217642</v>
      </c>
      <c r="L53" s="48">
        <f>IFERROR(MINUS(DIVIDE(VLOOKUP($B53,Data!$B$3:$EZ1530,34,FALSE),VLOOKUP($B53,Data!$B$3:$EZ1530,35,FALSE)),1),"")</f>
        <v>0.4978719288</v>
      </c>
      <c r="M53" s="48">
        <f>IFERROR(MINUS(DIVIDE(VLOOKUP($B53,Data!$B$3:$EZ1530,39,FALSE),VLOOKUP($B53,Data!$B$3:$EZ1530,40,FALSE)),1),"")</f>
        <v>-0.9686433794</v>
      </c>
      <c r="N53" s="48">
        <f>IFERROR(MINUS(DIVIDE(VLOOKUP($B53,Data!$B$3:$EZ1530,44,FALSE),VLOOKUP($B53,Data!$B$3:$EZ1530,45,FALSE)),1),"")</f>
        <v>0.5452071878</v>
      </c>
      <c r="O53" s="50">
        <f>IFERROR(VLOOKUP($B53,Data!$B$3:$D1530,2,FALSE),"")</f>
        <v>783300</v>
      </c>
      <c r="P53" s="50">
        <f>IFERROR(VLOOKUP($B53,Data!$B$3:$D1530,3,FALSE),"")</f>
        <v>887140</v>
      </c>
      <c r="Q53" s="48">
        <f t="shared" si="2"/>
        <v>-0.1170502965</v>
      </c>
      <c r="R53" s="48"/>
      <c r="S53" s="48"/>
      <c r="T53" s="48"/>
      <c r="U53" s="48"/>
      <c r="V53" s="48"/>
      <c r="W53" s="50"/>
      <c r="Z53" s="11"/>
      <c r="AA53" s="11"/>
    </row>
    <row r="54">
      <c r="A54" s="9">
        <f t="shared" si="1"/>
        <v>51</v>
      </c>
      <c r="B54" s="47" t="s">
        <v>187</v>
      </c>
      <c r="C54" s="48" t="str">
        <f>IFERROR(DIVIDE(VLOOKUP($B54,Data!$B$3:$AB$1535,9,FALSE),VLOOKUP($B54,Data!$B$3:$AB$1535,4,FALSE)),"")</f>
        <v/>
      </c>
      <c r="D54" s="48" t="str">
        <f>IFERROR(DIVIDE(VLOOKUP($B54,Data!$B$3:$AB$1535,24,FALSE),VLOOKUP($B54,Data!$B$3:$AB$1535,4,FALSE)),"")</f>
        <v/>
      </c>
      <c r="E54" s="48" t="str">
        <f>IFERROR(DIVIDE(VLOOKUP($B54,Data!$B$3:$EZ1530,29,FALSE),VLOOKUP($B54,Data!$B$3:$EZ1530,4,FALSE)),"")</f>
        <v/>
      </c>
      <c r="F54" s="48" t="str">
        <f>IFERROR(DIVIDE(VLOOKUP($B54,Data!$B$3:$EZ1530,34,FALSE),VLOOKUP($B54,Data!$B$3:$EZ1530,4,FALSE)),"")</f>
        <v/>
      </c>
      <c r="G54" s="48" t="str">
        <f>IFERROR(DIVIDE(VLOOKUP($B54,Data!$B$3:$EZ1530,39,FALSE),VLOOKUP($B54,Data!$B$3:$EZ1530,4,FALSE)),"")</f>
        <v/>
      </c>
      <c r="H54" s="48" t="str">
        <f>IFERROR(DIVIDE(VLOOKUP($B54,Data!$B$3:$EZ1530,44,FALSE),VLOOKUP($B54,Data!$B$3:$EZ1530,4,FALSE)),"")</f>
        <v/>
      </c>
      <c r="I54" s="48">
        <f>IFERROR(MINUS(DIVIDE(VLOOKUP($B54,Data!$B$3:$EZ1530,9,FALSE),VLOOKUP($B54,Data!$B$3:$EZ1530,10,FALSE)),1),"")</f>
        <v>6.086956522</v>
      </c>
      <c r="J54" s="48">
        <f>IFERROR(MINUS(DIVIDE(VLOOKUP($B54,Data!$B$3:$EZ1530,24,FALSE),VLOOKUP($B54,Data!$B$3:$EZ1530,25,FALSE)),1),"")</f>
        <v>-1</v>
      </c>
      <c r="K54" s="48">
        <f>IFERROR(MINUS(DIVIDE(VLOOKUP($B54,Data!$B$3:$EZ1530,29,FALSE),VLOOKUP($B54,Data!$B$3:$EZ1530,30,FALSE)),1),"")</f>
        <v>-0.08144126357</v>
      </c>
      <c r="L54" s="48">
        <f>IFERROR(MINUS(DIVIDE(VLOOKUP($B54,Data!$B$3:$EZ1530,34,FALSE),VLOOKUP($B54,Data!$B$3:$EZ1530,35,FALSE)),1),"")</f>
        <v>0.01135749054</v>
      </c>
      <c r="M54" s="48">
        <f>IFERROR(MINUS(DIVIDE(VLOOKUP($B54,Data!$B$3:$EZ1530,39,FALSE),VLOOKUP($B54,Data!$B$3:$EZ1530,40,FALSE)),1),"")</f>
        <v>-0.05915065723</v>
      </c>
      <c r="N54" s="48">
        <f>IFERROR(MINUS(DIVIDE(VLOOKUP($B54,Data!$B$3:$EZ1530,44,FALSE),VLOOKUP($B54,Data!$B$3:$EZ1530,45,FALSE)),1),"")</f>
        <v>-0.07159763314</v>
      </c>
      <c r="O54" s="50">
        <f>IFERROR(VLOOKUP($B54,Data!$B$3:$D1530,2,FALSE),"")</f>
        <v>48780</v>
      </c>
      <c r="P54" s="50">
        <f>IFERROR(VLOOKUP($B54,Data!$B$3:$D1530,3,FALSE),"")</f>
        <v>2210</v>
      </c>
      <c r="Q54" s="48">
        <f t="shared" si="2"/>
        <v>21.07239819</v>
      </c>
      <c r="R54" s="48"/>
      <c r="S54" s="48"/>
      <c r="T54" s="48"/>
      <c r="U54" s="48"/>
      <c r="V54" s="48"/>
      <c r="W54" s="50"/>
      <c r="Z54" s="12"/>
      <c r="AA54" s="12"/>
    </row>
    <row r="55">
      <c r="A55" s="9">
        <f t="shared" si="1"/>
        <v>52</v>
      </c>
      <c r="B55" s="47" t="s">
        <v>188</v>
      </c>
      <c r="C55" s="48">
        <f>IFERROR(DIVIDE(VLOOKUP($B55,Data!$B$3:$AB$1535,9,FALSE),VLOOKUP($B55,Data!$B$3:$AB$1535,4,FALSE)),"")</f>
        <v>0</v>
      </c>
      <c r="D55" s="48">
        <f>IFERROR(DIVIDE(VLOOKUP($B55,Data!$B$3:$AB$1535,24,FALSE),VLOOKUP($B55,Data!$B$3:$AB$1535,4,FALSE)),"")</f>
        <v>0</v>
      </c>
      <c r="E55" s="48">
        <f>IFERROR(DIVIDE(VLOOKUP($B55,Data!$B$3:$EZ1530,29,FALSE),VLOOKUP($B55,Data!$B$3:$EZ1530,4,FALSE)),"")</f>
        <v>-0.04557447829</v>
      </c>
      <c r="F55" s="48">
        <f>IFERROR(DIVIDE(VLOOKUP($B55,Data!$B$3:$EZ1530,34,FALSE),VLOOKUP($B55,Data!$B$3:$EZ1530,4,FALSE)),"")</f>
        <v>-0.07411849364</v>
      </c>
      <c r="G55" s="48">
        <f>IFERROR(DIVIDE(VLOOKUP($B55,Data!$B$3:$EZ1530,39,FALSE),VLOOKUP($B55,Data!$B$3:$EZ1530,4,FALSE)),"")</f>
        <v>-0.04821300072</v>
      </c>
      <c r="H55" s="48">
        <f>IFERROR(DIVIDE(VLOOKUP($B55,Data!$B$3:$EZ1530,44,FALSE),VLOOKUP($B55,Data!$B$3:$EZ1530,4,FALSE)),"")</f>
        <v>-0.5627248741</v>
      </c>
      <c r="I55" s="48" t="str">
        <f>IFERROR(MINUS(DIVIDE(VLOOKUP($B55,Data!$B$3:$EZ1530,9,FALSE),VLOOKUP($B55,Data!$B$3:$EZ1530,10,FALSE)),1),"")</f>
        <v/>
      </c>
      <c r="J55" s="48" t="str">
        <f>IFERROR(MINUS(DIVIDE(VLOOKUP($B55,Data!$B$3:$EZ1530,24,FALSE),VLOOKUP($B55,Data!$B$3:$EZ1530,25,FALSE)),1),"")</f>
        <v/>
      </c>
      <c r="K55" s="48">
        <f>IFERROR(MINUS(DIVIDE(VLOOKUP($B55,Data!$B$3:$EZ1530,29,FALSE),VLOOKUP($B55,Data!$B$3:$EZ1530,30,FALSE)),1),"")</f>
        <v>-0.9104196134</v>
      </c>
      <c r="L55" s="48">
        <f>IFERROR(MINUS(DIVIDE(VLOOKUP($B55,Data!$B$3:$EZ1530,34,FALSE),VLOOKUP($B55,Data!$B$3:$EZ1530,35,FALSE)),1),"")</f>
        <v>-0.8543140028</v>
      </c>
      <c r="M55" s="48">
        <f>IFERROR(MINUS(DIVIDE(VLOOKUP($B55,Data!$B$3:$EZ1530,39,FALSE),VLOOKUP($B55,Data!$B$3:$EZ1530,40,FALSE)),1),"")</f>
        <v>-0.9056338028</v>
      </c>
      <c r="N55" s="48">
        <f>IFERROR(MINUS(DIVIDE(VLOOKUP($B55,Data!$B$3:$EZ1530,44,FALSE),VLOOKUP($B55,Data!$B$3:$EZ1530,45,FALSE)),1),"")</f>
        <v>-0.278597786</v>
      </c>
      <c r="O55" s="50" t="str">
        <f>IFERROR(VLOOKUP($B55,Data!$B$3:$D1530,2,FALSE),"")</f>
        <v/>
      </c>
      <c r="P55" s="50">
        <f>IFERROR(VLOOKUP($B55,Data!$B$3:$D1530,3,FALSE),"")</f>
        <v>2550</v>
      </c>
      <c r="Q55" s="48">
        <f t="shared" si="2"/>
        <v>-1</v>
      </c>
      <c r="R55" s="48"/>
      <c r="S55" s="48"/>
      <c r="T55" s="48"/>
      <c r="U55" s="48"/>
      <c r="V55" s="48"/>
      <c r="W55" s="50"/>
      <c r="Z55" s="15"/>
      <c r="AA55" s="15"/>
    </row>
    <row r="56">
      <c r="A56" s="9">
        <f t="shared" si="1"/>
        <v>53</v>
      </c>
      <c r="B56" s="47" t="s">
        <v>189</v>
      </c>
      <c r="C56" s="48">
        <f>IFERROR(DIVIDE(VLOOKUP($B56,Data!$B$3:$AB$1535,9,FALSE),VLOOKUP($B56,Data!$B$3:$AB$1535,4,FALSE)),"")</f>
        <v>-0.04322175732</v>
      </c>
      <c r="D56" s="48">
        <f>IFERROR(DIVIDE(VLOOKUP($B56,Data!$B$3:$AB$1535,24,FALSE),VLOOKUP($B56,Data!$B$3:$AB$1535,4,FALSE)),"")</f>
        <v>-0.2244351464</v>
      </c>
      <c r="E56" s="48">
        <f>IFERROR(DIVIDE(VLOOKUP($B56,Data!$B$3:$EZ1530,29,FALSE),VLOOKUP($B56,Data!$B$3:$EZ1530,4,FALSE)),"")</f>
        <v>-0.199874477</v>
      </c>
      <c r="F56" s="48">
        <f>IFERROR(DIVIDE(VLOOKUP($B56,Data!$B$3:$EZ1530,34,FALSE),VLOOKUP($B56,Data!$B$3:$EZ1530,4,FALSE)),"")</f>
        <v>-0.1937238494</v>
      </c>
      <c r="G56" s="48">
        <f>IFERROR(DIVIDE(VLOOKUP($B56,Data!$B$3:$EZ1530,39,FALSE),VLOOKUP($B56,Data!$B$3:$EZ1530,4,FALSE)),"")</f>
        <v>-0.1786192469</v>
      </c>
      <c r="H56" s="48">
        <f>IFERROR(DIVIDE(VLOOKUP($B56,Data!$B$3:$EZ1530,44,FALSE),VLOOKUP($B56,Data!$B$3:$EZ1530,4,FALSE)),"")</f>
        <v>0.2241422594</v>
      </c>
      <c r="I56" s="48">
        <f>IFERROR(MINUS(DIVIDE(VLOOKUP($B56,Data!$B$3:$EZ1530,9,FALSE),VLOOKUP($B56,Data!$B$3:$EZ1530,10,FALSE)),1),"")</f>
        <v>-1.130726398</v>
      </c>
      <c r="J56" s="48">
        <f>IFERROR(MINUS(DIVIDE(VLOOKUP($B56,Data!$B$3:$EZ1530,24,FALSE),VLOOKUP($B56,Data!$B$3:$EZ1530,25,FALSE)),1),"")</f>
        <v>-2.288184438</v>
      </c>
      <c r="K56" s="48">
        <f>IFERROR(MINUS(DIVIDE(VLOOKUP($B56,Data!$B$3:$EZ1530,29,FALSE),VLOOKUP($B56,Data!$B$3:$EZ1530,30,FALSE)),1),"")</f>
        <v>-2.011647607</v>
      </c>
      <c r="L56" s="48">
        <f>IFERROR(MINUS(DIVIDE(VLOOKUP($B56,Data!$B$3:$EZ1530,34,FALSE),VLOOKUP($B56,Data!$B$3:$EZ1530,35,FALSE)),1),"")</f>
        <v>-2.003032929</v>
      </c>
      <c r="M56" s="48">
        <f>IFERROR(MINUS(DIVIDE(VLOOKUP($B56,Data!$B$3:$EZ1530,39,FALSE),VLOOKUP($B56,Data!$B$3:$EZ1530,40,FALSE)),1),"")</f>
        <v>-1.820330515</v>
      </c>
      <c r="N56" s="48">
        <f>IFERROR(MINUS(DIVIDE(VLOOKUP($B56,Data!$B$3:$EZ1530,44,FALSE),VLOOKUP($B56,Data!$B$3:$EZ1530,45,FALSE)),1),"")</f>
        <v>-1.476940883</v>
      </c>
      <c r="O56" s="50">
        <f>IFERROR(VLOOKUP($B56,Data!$B$3:$D1530,2,FALSE),"")</f>
        <v>808900</v>
      </c>
      <c r="P56" s="50">
        <f>IFERROR(VLOOKUP($B56,Data!$B$3:$D1530,3,FALSE),"")</f>
        <v>379350</v>
      </c>
      <c r="Q56" s="48">
        <f t="shared" si="2"/>
        <v>1.13233162</v>
      </c>
      <c r="R56" s="48"/>
      <c r="S56" s="48"/>
      <c r="T56" s="48"/>
      <c r="U56" s="48"/>
      <c r="V56" s="48"/>
      <c r="W56" s="50"/>
      <c r="Z56" s="11"/>
      <c r="AA56" s="11"/>
    </row>
    <row r="57">
      <c r="A57" s="9">
        <f t="shared" si="1"/>
        <v>54</v>
      </c>
      <c r="B57" s="47" t="s">
        <v>190</v>
      </c>
      <c r="C57" s="48">
        <f>IFERROR(DIVIDE(VLOOKUP($B57,Data!$B$3:$AB$1535,9,FALSE),VLOOKUP($B57,Data!$B$3:$AB$1535,4,FALSE)),"")</f>
        <v>0.6824361931</v>
      </c>
      <c r="D57" s="48">
        <f>IFERROR(DIVIDE(VLOOKUP($B57,Data!$B$3:$AB$1535,24,FALSE),VLOOKUP($B57,Data!$B$3:$AB$1535,4,FALSE)),"")</f>
        <v>0.1833505605</v>
      </c>
      <c r="E57" s="48">
        <f>IFERROR(DIVIDE(VLOOKUP($B57,Data!$B$3:$EZ1530,29,FALSE),VLOOKUP($B57,Data!$B$3:$EZ1530,4,FALSE)),"")</f>
        <v>0.1773077841</v>
      </c>
      <c r="F57" s="48">
        <f>IFERROR(DIVIDE(VLOOKUP($B57,Data!$B$3:$EZ1530,34,FALSE),VLOOKUP($B57,Data!$B$3:$EZ1530,4,FALSE)),"")</f>
        <v>0.07768148207</v>
      </c>
      <c r="G57" s="48">
        <f>IFERROR(DIVIDE(VLOOKUP($B57,Data!$B$3:$EZ1530,39,FALSE),VLOOKUP($B57,Data!$B$3:$EZ1530,4,FALSE)),"")</f>
        <v>0.1568736583</v>
      </c>
      <c r="H57" s="48">
        <f>IFERROR(DIVIDE(VLOOKUP($B57,Data!$B$3:$EZ1530,44,FALSE),VLOOKUP($B57,Data!$B$3:$EZ1530,4,FALSE)),"")</f>
        <v>-0.0006440327582</v>
      </c>
      <c r="I57" s="48">
        <f>IFERROR(MINUS(DIVIDE(VLOOKUP($B57,Data!$B$3:$EZ1530,9,FALSE),VLOOKUP($B57,Data!$B$3:$EZ1530,10,FALSE)),1),"")</f>
        <v>0.1296393788</v>
      </c>
      <c r="J57" s="48">
        <f>IFERROR(MINUS(DIVIDE(VLOOKUP($B57,Data!$B$3:$EZ1530,24,FALSE),VLOOKUP($B57,Data!$B$3:$EZ1530,25,FALSE)),1),"")</f>
        <v>-1.63895816</v>
      </c>
      <c r="K57" s="48">
        <f>IFERROR(MINUS(DIVIDE(VLOOKUP($B57,Data!$B$3:$EZ1530,29,FALSE),VLOOKUP($B57,Data!$B$3:$EZ1530,30,FALSE)),1),"")</f>
        <v>-1.626052779</v>
      </c>
      <c r="L57" s="48">
        <f>IFERROR(MINUS(DIVIDE(VLOOKUP($B57,Data!$B$3:$EZ1530,34,FALSE),VLOOKUP($B57,Data!$B$3:$EZ1530,35,FALSE)),1),"")</f>
        <v>-0.2258320127</v>
      </c>
      <c r="M57" s="48">
        <f>IFERROR(MINUS(DIVIDE(VLOOKUP($B57,Data!$B$3:$EZ1530,39,FALSE),VLOOKUP($B57,Data!$B$3:$EZ1530,40,FALSE)),1),"")</f>
        <v>-1.511537464</v>
      </c>
      <c r="N57" s="48">
        <f>IFERROR(MINUS(DIVIDE(VLOOKUP($B57,Data!$B$3:$EZ1530,44,FALSE),VLOOKUP($B57,Data!$B$3:$EZ1530,45,FALSE)),1),"")</f>
        <v>-1.007677725</v>
      </c>
      <c r="O57" s="50">
        <f>IFERROR(VLOOKUP($B57,Data!$B$3:$D1530,2,FALSE),"")</f>
        <v>152110</v>
      </c>
      <c r="P57" s="50">
        <f>IFERROR(VLOOKUP($B57,Data!$B$3:$D1530,3,FALSE),"")</f>
        <v>128410</v>
      </c>
      <c r="Q57" s="48">
        <f t="shared" si="2"/>
        <v>0.184565065</v>
      </c>
      <c r="R57" s="48"/>
      <c r="S57" s="48"/>
      <c r="T57" s="48"/>
      <c r="U57" s="48"/>
      <c r="V57" s="48"/>
      <c r="W57" s="50"/>
      <c r="Z57" s="12"/>
      <c r="AA57" s="11"/>
    </row>
    <row r="58">
      <c r="A58" s="9">
        <f t="shared" si="1"/>
        <v>55</v>
      </c>
      <c r="B58" s="47" t="s">
        <v>191</v>
      </c>
      <c r="C58" s="48" t="str">
        <f>IFERROR(DIVIDE(VLOOKUP($B58,Data!$B$3:$AB$1535,9,FALSE),VLOOKUP($B58,Data!$B$3:$AB$1535,4,FALSE)),"")</f>
        <v/>
      </c>
      <c r="D58" s="48" t="str">
        <f>IFERROR(DIVIDE(VLOOKUP($B58,Data!$B$3:$AB$1535,24,FALSE),VLOOKUP($B58,Data!$B$3:$AB$1535,4,FALSE)),"")</f>
        <v/>
      </c>
      <c r="E58" s="48" t="str">
        <f>IFERROR(DIVIDE(VLOOKUP($B58,Data!$B$3:$EZ1530,29,FALSE),VLOOKUP($B58,Data!$B$3:$EZ1530,4,FALSE)),"")</f>
        <v/>
      </c>
      <c r="F58" s="48" t="str">
        <f>IFERROR(DIVIDE(VLOOKUP($B58,Data!$B$3:$EZ1530,34,FALSE),VLOOKUP($B58,Data!$B$3:$EZ1530,4,FALSE)),"")</f>
        <v/>
      </c>
      <c r="G58" s="48" t="str">
        <f>IFERROR(DIVIDE(VLOOKUP($B58,Data!$B$3:$EZ1530,39,FALSE),VLOOKUP($B58,Data!$B$3:$EZ1530,4,FALSE)),"")</f>
        <v/>
      </c>
      <c r="H58" s="48" t="str">
        <f>IFERROR(DIVIDE(VLOOKUP($B58,Data!$B$3:$EZ1530,44,FALSE),VLOOKUP($B58,Data!$B$3:$EZ1530,4,FALSE)),"")</f>
        <v/>
      </c>
      <c r="I58" s="48">
        <f>IFERROR(MINUS(DIVIDE(VLOOKUP($B58,Data!$B$3:$EZ1530,9,FALSE),VLOOKUP($B58,Data!$B$3:$EZ1530,10,FALSE)),1),"")</f>
        <v>1.55625</v>
      </c>
      <c r="J58" s="48" t="str">
        <f>IFERROR(MINUS(DIVIDE(VLOOKUP($B58,Data!$B$3:$EZ1530,24,FALSE),VLOOKUP($B58,Data!$B$3:$EZ1530,25,FALSE)),1),"")</f>
        <v/>
      </c>
      <c r="K58" s="48">
        <f>IFERROR(MINUS(DIVIDE(VLOOKUP($B58,Data!$B$3:$EZ1530,29,FALSE),VLOOKUP($B58,Data!$B$3:$EZ1530,30,FALSE)),1),"")</f>
        <v>0.1760406284</v>
      </c>
      <c r="L58" s="48">
        <f>IFERROR(MINUS(DIVIDE(VLOOKUP($B58,Data!$B$3:$EZ1530,34,FALSE),VLOOKUP($B58,Data!$B$3:$EZ1530,35,FALSE)),1),"")</f>
        <v>0.1496210349</v>
      </c>
      <c r="M58" s="48">
        <f>IFERROR(MINUS(DIVIDE(VLOOKUP($B58,Data!$B$3:$EZ1530,39,FALSE),VLOOKUP($B58,Data!$B$3:$EZ1530,40,FALSE)),1),"")</f>
        <v>0.1791221827</v>
      </c>
      <c r="N58" s="48">
        <f>IFERROR(MINUS(DIVIDE(VLOOKUP($B58,Data!$B$3:$EZ1530,44,FALSE),VLOOKUP($B58,Data!$B$3:$EZ1530,45,FALSE)),1),"")</f>
        <v>0.1553834329</v>
      </c>
      <c r="O58" s="50">
        <f>IFERROR(VLOOKUP($B58,Data!$B$3:$D1530,2,FALSE),"")</f>
        <v>97550</v>
      </c>
      <c r="P58" s="50">
        <f>IFERROR(VLOOKUP($B58,Data!$B$3:$D1530,3,FALSE),"")</f>
        <v>7950</v>
      </c>
      <c r="Q58" s="48">
        <f t="shared" si="2"/>
        <v>11.27044025</v>
      </c>
      <c r="R58" s="48"/>
      <c r="S58" s="48"/>
      <c r="T58" s="48"/>
      <c r="U58" s="48"/>
      <c r="V58" s="48"/>
      <c r="W58" s="50"/>
      <c r="Z58" s="11"/>
      <c r="AA58" s="11"/>
    </row>
    <row r="59">
      <c r="A59" s="9">
        <f t="shared" si="1"/>
        <v>56</v>
      </c>
      <c r="B59" s="54" t="s">
        <v>192</v>
      </c>
      <c r="C59" s="48">
        <f>IFERROR(DIVIDE(VLOOKUP($B59,Data!$B$3:$AB$1535,9,FALSE),VLOOKUP($B59,Data!$B$3:$AB$1535,4,FALSE)),"")</f>
        <v>0.3733333333</v>
      </c>
      <c r="D59" s="48">
        <f>IFERROR(DIVIDE(VLOOKUP($B59,Data!$B$3:$AB$1535,24,FALSE),VLOOKUP($B59,Data!$B$3:$AB$1535,4,FALSE)),"")</f>
        <v>0.1860571429</v>
      </c>
      <c r="E59" s="48">
        <f>IFERROR(DIVIDE(VLOOKUP($B59,Data!$B$3:$EZ1530,29,FALSE),VLOOKUP($B59,Data!$B$3:$EZ1530,4,FALSE)),"")</f>
        <v>0.1697238095</v>
      </c>
      <c r="F59" s="48">
        <f>IFERROR(DIVIDE(VLOOKUP($B59,Data!$B$3:$EZ1530,34,FALSE),VLOOKUP($B59,Data!$B$3:$EZ1530,4,FALSE)),"")</f>
        <v>0.2557714286</v>
      </c>
      <c r="G59" s="48">
        <f>IFERROR(DIVIDE(VLOOKUP($B59,Data!$B$3:$EZ1530,39,FALSE),VLOOKUP($B59,Data!$B$3:$EZ1530,4,FALSE)),"")</f>
        <v>0.1260952381</v>
      </c>
      <c r="H59" s="48">
        <f>IFERROR(DIVIDE(VLOOKUP($B59,Data!$B$3:$EZ1530,44,FALSE),VLOOKUP($B59,Data!$B$3:$EZ1530,4,FALSE)),"")</f>
        <v>0.1908095238</v>
      </c>
      <c r="I59" s="48">
        <f>IFERROR(MINUS(DIVIDE(VLOOKUP($B59,Data!$B$3:$EZ1530,9,FALSE),VLOOKUP($B59,Data!$B$3:$EZ1530,10,FALSE)),1),"")</f>
        <v>0.1420247633</v>
      </c>
      <c r="J59" s="48">
        <f>IFERROR(MINUS(DIVIDE(VLOOKUP($B59,Data!$B$3:$EZ1530,24,FALSE),VLOOKUP($B59,Data!$B$3:$EZ1530,25,FALSE)),1),"")</f>
        <v>0.4252571679</v>
      </c>
      <c r="K59" s="48">
        <f>IFERROR(MINUS(DIVIDE(VLOOKUP($B59,Data!$B$3:$EZ1530,29,FALSE),VLOOKUP($B59,Data!$B$3:$EZ1530,30,FALSE)),1),"")</f>
        <v>0.5462906725</v>
      </c>
      <c r="L59" s="48">
        <f>IFERROR(MINUS(DIVIDE(VLOOKUP($B59,Data!$B$3:$EZ1530,34,FALSE),VLOOKUP($B59,Data!$B$3:$EZ1530,35,FALSE)),1),"")</f>
        <v>0.1588849573</v>
      </c>
      <c r="M59" s="48">
        <f>IFERROR(MINUS(DIVIDE(VLOOKUP($B59,Data!$B$3:$EZ1530,39,FALSE),VLOOKUP($B59,Data!$B$3:$EZ1530,40,FALSE)),1),"")</f>
        <v>0.5972976234</v>
      </c>
      <c r="N59" s="48">
        <f>IFERROR(MINUS(DIVIDE(VLOOKUP($B59,Data!$B$3:$EZ1530,44,FALSE),VLOOKUP($B59,Data!$B$3:$EZ1530,45,FALSE)),1),"")</f>
        <v>0.5121895992</v>
      </c>
      <c r="O59" s="50">
        <f>IFERROR(VLOOKUP($B59,Data!$B$3:$D1530,2,FALSE),"")</f>
        <v>969600</v>
      </c>
      <c r="P59" s="50">
        <f>IFERROR(VLOOKUP($B59,Data!$B$3:$D1530,3,FALSE),"")</f>
        <v>896440</v>
      </c>
      <c r="Q59" s="48">
        <f t="shared" si="2"/>
        <v>0.08161170854</v>
      </c>
      <c r="R59" s="48"/>
      <c r="S59" s="48"/>
      <c r="T59" s="48"/>
      <c r="U59" s="48"/>
      <c r="V59" s="48"/>
      <c r="W59" s="50"/>
      <c r="Z59" s="11"/>
      <c r="AA59" s="11"/>
    </row>
    <row r="60">
      <c r="A60" s="9">
        <f t="shared" si="1"/>
        <v>57</v>
      </c>
      <c r="B60" s="47" t="s">
        <v>193</v>
      </c>
      <c r="C60" s="48">
        <f>IFERROR(DIVIDE(VLOOKUP($B60,Data!$B$3:$AB$1535,9,FALSE),VLOOKUP($B60,Data!$B$3:$AB$1535,4,FALSE)),"")</f>
        <v>0.1300483092</v>
      </c>
      <c r="D60" s="48">
        <f>IFERROR(DIVIDE(VLOOKUP($B60,Data!$B$3:$AB$1535,24,FALSE),VLOOKUP($B60,Data!$B$3:$AB$1535,4,FALSE)),"")</f>
        <v>0</v>
      </c>
      <c r="E60" s="48">
        <f>IFERROR(DIVIDE(VLOOKUP($B60,Data!$B$3:$EZ1530,29,FALSE),VLOOKUP($B60,Data!$B$3:$EZ1530,4,FALSE)),"")</f>
        <v>0.01468599034</v>
      </c>
      <c r="F60" s="48">
        <f>IFERROR(DIVIDE(VLOOKUP($B60,Data!$B$3:$EZ1530,34,FALSE),VLOOKUP($B60,Data!$B$3:$EZ1530,4,FALSE)),"")</f>
        <v>0.04198067633</v>
      </c>
      <c r="G60" s="48">
        <f>IFERROR(DIVIDE(VLOOKUP($B60,Data!$B$3:$EZ1530,39,FALSE),VLOOKUP($B60,Data!$B$3:$EZ1530,4,FALSE)),"")</f>
        <v>0.01193236715</v>
      </c>
      <c r="H60" s="48">
        <f>IFERROR(DIVIDE(VLOOKUP($B60,Data!$B$3:$EZ1530,44,FALSE),VLOOKUP($B60,Data!$B$3:$EZ1530,4,FALSE)),"")</f>
        <v>-0.01743961353</v>
      </c>
      <c r="I60" s="48">
        <f>IFERROR(MINUS(DIVIDE(VLOOKUP($B60,Data!$B$3:$EZ1530,9,FALSE),VLOOKUP($B60,Data!$B$3:$EZ1530,10,FALSE)),1),"")</f>
        <v>-0.1830045524</v>
      </c>
      <c r="J60" s="48" t="str">
        <f>IFERROR(MINUS(DIVIDE(VLOOKUP($B60,Data!$B$3:$EZ1530,24,FALSE),VLOOKUP($B60,Data!$B$3:$EZ1530,25,FALSE)),1),"")</f>
        <v/>
      </c>
      <c r="K60" s="48">
        <f>IFERROR(MINUS(DIVIDE(VLOOKUP($B60,Data!$B$3:$EZ1530,29,FALSE),VLOOKUP($B60,Data!$B$3:$EZ1530,30,FALSE)),1),"")</f>
        <v>-0.6584269663</v>
      </c>
      <c r="L60" s="48">
        <f>IFERROR(MINUS(DIVIDE(VLOOKUP($B60,Data!$B$3:$EZ1530,34,FALSE),VLOOKUP($B60,Data!$B$3:$EZ1530,35,FALSE)),1),"")</f>
        <v>-0.3841247342</v>
      </c>
      <c r="M60" s="48">
        <f>IFERROR(MINUS(DIVIDE(VLOOKUP($B60,Data!$B$3:$EZ1530,39,FALSE),VLOOKUP($B60,Data!$B$3:$EZ1530,40,FALSE)),1),"")</f>
        <v>-0.7048984468</v>
      </c>
      <c r="N60" s="48">
        <f>IFERROR(MINUS(DIVIDE(VLOOKUP($B60,Data!$B$3:$EZ1530,44,FALSE),VLOOKUP($B60,Data!$B$3:$EZ1530,45,FALSE)),1),"")</f>
        <v>-1.535608309</v>
      </c>
      <c r="O60" s="50">
        <f>IFERROR(VLOOKUP($B60,Data!$B$3:$D1530,2,FALSE),"")</f>
        <v>2000000</v>
      </c>
      <c r="P60" s="50">
        <f>IFERROR(VLOOKUP($B60,Data!$B$3:$D1530,3,FALSE),"")</f>
        <v>1730000</v>
      </c>
      <c r="Q60" s="48">
        <f t="shared" si="2"/>
        <v>0.1560693642</v>
      </c>
      <c r="R60" s="48"/>
      <c r="S60" s="48"/>
      <c r="T60" s="48"/>
      <c r="U60" s="48"/>
      <c r="V60" s="48"/>
      <c r="W60" s="50"/>
      <c r="Z60" s="11"/>
      <c r="AA60" s="11"/>
    </row>
    <row r="61">
      <c r="A61" s="9">
        <f t="shared" si="1"/>
        <v>58</v>
      </c>
      <c r="B61" s="47" t="s">
        <v>194</v>
      </c>
      <c r="C61" s="48">
        <f>IFERROR(DIVIDE(VLOOKUP($B61,Data!$B$3:$AB$1535,9,FALSE),VLOOKUP($B61,Data!$B$3:$AB$1535,4,FALSE)),"")</f>
        <v>0.1810606061</v>
      </c>
      <c r="D61" s="48">
        <f>IFERROR(DIVIDE(VLOOKUP($B61,Data!$B$3:$AB$1535,24,FALSE),VLOOKUP($B61,Data!$B$3:$AB$1535,4,FALSE)),"")</f>
        <v>0.1203030303</v>
      </c>
      <c r="E61" s="48">
        <f>IFERROR(DIVIDE(VLOOKUP($B61,Data!$B$3:$EZ1530,29,FALSE),VLOOKUP($B61,Data!$B$3:$EZ1530,4,FALSE)),"")</f>
        <v>0.09691919192</v>
      </c>
      <c r="F61" s="48">
        <f>IFERROR(DIVIDE(VLOOKUP($B61,Data!$B$3:$EZ1530,34,FALSE),VLOOKUP($B61,Data!$B$3:$EZ1530,4,FALSE)),"")</f>
        <v>0.1591414141</v>
      </c>
      <c r="G61" s="48">
        <f>IFERROR(DIVIDE(VLOOKUP($B61,Data!$B$3:$EZ1530,39,FALSE),VLOOKUP($B61,Data!$B$3:$EZ1530,4,FALSE)),"")</f>
        <v>0.0698989899</v>
      </c>
      <c r="H61" s="48">
        <f>IFERROR(DIVIDE(VLOOKUP($B61,Data!$B$3:$EZ1530,44,FALSE),VLOOKUP($B61,Data!$B$3:$EZ1530,4,FALSE)),"")</f>
        <v>0.1319191919</v>
      </c>
      <c r="I61" s="48">
        <f>IFERROR(MINUS(DIVIDE(VLOOKUP($B61,Data!$B$3:$EZ1530,9,FALSE),VLOOKUP($B61,Data!$B$3:$EZ1530,10,FALSE)),1),"")</f>
        <v>0.1171704581</v>
      </c>
      <c r="J61" s="48">
        <f>IFERROR(MINUS(DIVIDE(VLOOKUP($B61,Data!$B$3:$EZ1530,24,FALSE),VLOOKUP($B61,Data!$B$3:$EZ1530,25,FALSE)),1),"")</f>
        <v>0.1183098592</v>
      </c>
      <c r="K61" s="48">
        <f>IFERROR(MINUS(DIVIDE(VLOOKUP($B61,Data!$B$3:$EZ1530,29,FALSE),VLOOKUP($B61,Data!$B$3:$EZ1530,30,FALSE)),1),"")</f>
        <v>0.01749734889</v>
      </c>
      <c r="L61" s="48">
        <f>IFERROR(MINUS(DIVIDE(VLOOKUP($B61,Data!$B$3:$EZ1530,34,FALSE),VLOOKUP($B61,Data!$B$3:$EZ1530,35,FALSE)),1),"")</f>
        <v>0.1036777583</v>
      </c>
      <c r="M61" s="48">
        <f>IFERROR(MINUS(DIVIDE(VLOOKUP($B61,Data!$B$3:$EZ1530,39,FALSE),VLOOKUP($B61,Data!$B$3:$EZ1530,40,FALSE)),1),"")</f>
        <v>0.02976190476</v>
      </c>
      <c r="N61" s="48">
        <f>IFERROR(MINUS(DIVIDE(VLOOKUP($B61,Data!$B$3:$EZ1530,44,FALSE),VLOOKUP($B61,Data!$B$3:$EZ1530,45,FALSE)),1),"")</f>
        <v>0.04731355253</v>
      </c>
      <c r="O61" s="50">
        <f>IFERROR(VLOOKUP($B61,Data!$B$3:$D1530,2,FALSE),"")</f>
        <v>2170000</v>
      </c>
      <c r="P61" s="50">
        <f>IFERROR(VLOOKUP($B61,Data!$B$3:$D1530,3,FALSE),"")</f>
        <v>2050000</v>
      </c>
      <c r="Q61" s="48">
        <f t="shared" si="2"/>
        <v>0.05853658537</v>
      </c>
      <c r="R61" s="48"/>
      <c r="S61" s="48"/>
      <c r="T61" s="48"/>
      <c r="U61" s="48"/>
      <c r="V61" s="48"/>
      <c r="W61" s="50"/>
      <c r="Z61" s="11"/>
      <c r="AA61" s="11"/>
    </row>
    <row r="62">
      <c r="A62" s="9">
        <f t="shared" si="1"/>
        <v>59</v>
      </c>
      <c r="B62" s="47" t="s">
        <v>195</v>
      </c>
      <c r="C62" s="48">
        <f>IFERROR(DIVIDE(VLOOKUP($B62,Data!$B$3:$AB$1535,9,FALSE),VLOOKUP($B62,Data!$B$3:$AB$1535,4,FALSE)),"")</f>
        <v>0.566119403</v>
      </c>
      <c r="D62" s="48">
        <f>IFERROR(DIVIDE(VLOOKUP($B62,Data!$B$3:$AB$1535,24,FALSE),VLOOKUP($B62,Data!$B$3:$AB$1535,4,FALSE)),"")</f>
        <v>0</v>
      </c>
      <c r="E62" s="48">
        <f>IFERROR(DIVIDE(VLOOKUP($B62,Data!$B$3:$EZ1530,29,FALSE),VLOOKUP($B62,Data!$B$3:$EZ1530,4,FALSE)),"")</f>
        <v>-0.8545970149</v>
      </c>
      <c r="F62" s="48">
        <f>IFERROR(DIVIDE(VLOOKUP($B62,Data!$B$3:$EZ1530,34,FALSE),VLOOKUP($B62,Data!$B$3:$EZ1530,4,FALSE)),"")</f>
        <v>-0.745880597</v>
      </c>
      <c r="G62" s="48">
        <f>IFERROR(DIVIDE(VLOOKUP($B62,Data!$B$3:$EZ1530,39,FALSE),VLOOKUP($B62,Data!$B$3:$EZ1530,4,FALSE)),"")</f>
        <v>-0.8348059701</v>
      </c>
      <c r="H62" s="48">
        <f>IFERROR(DIVIDE(VLOOKUP($B62,Data!$B$3:$EZ1530,44,FALSE),VLOOKUP($B62,Data!$B$3:$EZ1530,4,FALSE)),"")</f>
        <v>-0.7760298507</v>
      </c>
      <c r="I62" s="48">
        <f>IFERROR(MINUS(DIVIDE(VLOOKUP($B62,Data!$B$3:$EZ1530,9,FALSE),VLOOKUP($B62,Data!$B$3:$EZ1530,10,FALSE)),1),"")</f>
        <v>-0.0473678923</v>
      </c>
      <c r="J62" s="48">
        <f>IFERROR(MINUS(DIVIDE(VLOOKUP($B62,Data!$B$3:$EZ1530,24,FALSE),VLOOKUP($B62,Data!$B$3:$EZ1530,25,FALSE)),1),"")</f>
        <v>-1</v>
      </c>
      <c r="K62" s="48">
        <f>IFERROR(MINUS(DIVIDE(VLOOKUP($B62,Data!$B$3:$EZ1530,29,FALSE),VLOOKUP($B62,Data!$B$3:$EZ1530,30,FALSE)),1),"")</f>
        <v>0.6651544233</v>
      </c>
      <c r="L62" s="48">
        <f>IFERROR(MINUS(DIVIDE(VLOOKUP($B62,Data!$B$3:$EZ1530,34,FALSE),VLOOKUP($B62,Data!$B$3:$EZ1530,35,FALSE)),1),"")</f>
        <v>0.6368817557</v>
      </c>
      <c r="M62" s="48">
        <f>IFERROR(MINUS(DIVIDE(VLOOKUP($B62,Data!$B$3:$EZ1530,39,FALSE),VLOOKUP($B62,Data!$B$3:$EZ1530,40,FALSE)),1),"")</f>
        <v>0.9476286649</v>
      </c>
      <c r="N62" s="48">
        <f>IFERROR(MINUS(DIVIDE(VLOOKUP($B62,Data!$B$3:$EZ1530,44,FALSE),VLOOKUP($B62,Data!$B$3:$EZ1530,45,FALSE)),1),"")</f>
        <v>1.666632475</v>
      </c>
      <c r="O62" s="50">
        <f>IFERROR(VLOOKUP($B62,Data!$B$3:$D1530,2,FALSE),"")</f>
        <v>302980</v>
      </c>
      <c r="P62" s="50">
        <f>IFERROR(VLOOKUP($B62,Data!$B$3:$D1530,3,FALSE),"")</f>
        <v>312080</v>
      </c>
      <c r="Q62" s="48">
        <f t="shared" si="2"/>
        <v>-0.02915918995</v>
      </c>
      <c r="R62" s="48"/>
      <c r="S62" s="48"/>
      <c r="T62" s="48"/>
      <c r="U62" s="48"/>
      <c r="V62" s="48"/>
      <c r="W62" s="50"/>
      <c r="Z62" s="11"/>
      <c r="AA62" s="11"/>
    </row>
    <row r="63">
      <c r="A63" s="9">
        <f t="shared" si="1"/>
        <v>60</v>
      </c>
      <c r="B63" s="47" t="s">
        <v>196</v>
      </c>
      <c r="C63" s="48">
        <f>IFERROR(DIVIDE(VLOOKUP($B63,Data!$B$3:$AB$1535,9,FALSE),VLOOKUP($B63,Data!$B$3:$AB$1535,4,FALSE)),"")</f>
        <v>0.9675973308</v>
      </c>
      <c r="D63" s="48">
        <f>IFERROR(DIVIDE(VLOOKUP($B63,Data!$B$3:$AB$1535,24,FALSE),VLOOKUP($B63,Data!$B$3:$AB$1535,4,FALSE)),"")</f>
        <v>0</v>
      </c>
      <c r="E63" s="48">
        <f>IFERROR(DIVIDE(VLOOKUP($B63,Data!$B$3:$EZ1530,29,FALSE),VLOOKUP($B63,Data!$B$3:$EZ1530,4,FALSE)),"")</f>
        <v>0.08793548123</v>
      </c>
      <c r="F63" s="48">
        <f>IFERROR(DIVIDE(VLOOKUP($B63,Data!$B$3:$EZ1530,34,FALSE),VLOOKUP($B63,Data!$B$3:$EZ1530,4,FALSE)),"")</f>
        <v>0.01217914603</v>
      </c>
      <c r="G63" s="48">
        <f>IFERROR(DIVIDE(VLOOKUP($B63,Data!$B$3:$EZ1530,39,FALSE),VLOOKUP($B63,Data!$B$3:$EZ1530,4,FALSE)),"")</f>
        <v>0.05583984935</v>
      </c>
      <c r="H63" s="48">
        <f>IFERROR(DIVIDE(VLOOKUP($B63,Data!$B$3:$EZ1530,44,FALSE),VLOOKUP($B63,Data!$B$3:$EZ1530,4,FALSE)),"")</f>
        <v>0.4581610513</v>
      </c>
      <c r="I63" s="48">
        <f>IFERROR(MINUS(DIVIDE(VLOOKUP($B63,Data!$B$3:$EZ1530,9,FALSE),VLOOKUP($B63,Data!$B$3:$EZ1530,10,FALSE)),1),"")</f>
        <v>7.897233202</v>
      </c>
      <c r="J63" s="48">
        <f>IFERROR(MINUS(DIVIDE(VLOOKUP($B63,Data!$B$3:$EZ1530,24,FALSE),VLOOKUP($B63,Data!$B$3:$EZ1530,25,FALSE)),1),"")</f>
        <v>-1</v>
      </c>
      <c r="K63" s="48">
        <f>IFERROR(MINUS(DIVIDE(VLOOKUP($B63,Data!$B$3:$EZ1530,29,FALSE),VLOOKUP($B63,Data!$B$3:$EZ1530,30,FALSE)),1),"")</f>
        <v>-1.19061987</v>
      </c>
      <c r="L63" s="48">
        <f>IFERROR(MINUS(DIVIDE(VLOOKUP($B63,Data!$B$3:$EZ1530,34,FALSE),VLOOKUP($B63,Data!$B$3:$EZ1530,35,FALSE)),1),"")</f>
        <v>-1.026386979</v>
      </c>
      <c r="M63" s="48">
        <f>IFERROR(MINUS(DIVIDE(VLOOKUP($B63,Data!$B$3:$EZ1530,39,FALSE),VLOOKUP($B63,Data!$B$3:$EZ1530,40,FALSE)),1),"")</f>
        <v>-1.116775823</v>
      </c>
      <c r="N63" s="48">
        <f>IFERROR(MINUS(DIVIDE(VLOOKUP($B63,Data!$B$3:$EZ1530,44,FALSE),VLOOKUP($B63,Data!$B$3:$EZ1530,45,FALSE)),1),"")</f>
        <v>-2.103208635</v>
      </c>
      <c r="O63" s="50">
        <f>IFERROR(VLOOKUP($B63,Data!$B$3:$D1530,2,FALSE),"")</f>
        <v>161730</v>
      </c>
      <c r="P63" s="50">
        <f>IFERROR(VLOOKUP($B63,Data!$B$3:$D1530,3,FALSE),"")</f>
        <v>108140</v>
      </c>
      <c r="Q63" s="48">
        <f t="shared" si="2"/>
        <v>0.4955613094</v>
      </c>
      <c r="R63" s="48"/>
      <c r="S63" s="48"/>
      <c r="T63" s="48"/>
      <c r="U63" s="48"/>
      <c r="V63" s="48"/>
      <c r="W63" s="50"/>
      <c r="Z63" s="11"/>
      <c r="AA63" s="11"/>
    </row>
    <row r="64">
      <c r="A64" s="9">
        <f t="shared" si="1"/>
        <v>61</v>
      </c>
      <c r="B64" s="47" t="s">
        <v>197</v>
      </c>
      <c r="C64" s="48">
        <f>IFERROR(DIVIDE(VLOOKUP($B64,Data!$B$3:$AB$1535,9,FALSE),VLOOKUP($B64,Data!$B$3:$AB$1535,4,FALSE)),"")</f>
        <v>0.06315177479</v>
      </c>
      <c r="D64" s="48">
        <f>IFERROR(DIVIDE(VLOOKUP($B64,Data!$B$3:$AB$1535,24,FALSE),VLOOKUP($B64,Data!$B$3:$AB$1535,4,FALSE)),"")</f>
        <v>0.008714810282</v>
      </c>
      <c r="E64" s="48">
        <f>IFERROR(DIVIDE(VLOOKUP($B64,Data!$B$3:$EZ1530,29,FALSE),VLOOKUP($B64,Data!$B$3:$EZ1530,4,FALSE)),"")</f>
        <v>0.003440636475</v>
      </c>
      <c r="F64" s="48">
        <f>IFERROR(DIVIDE(VLOOKUP($B64,Data!$B$3:$EZ1530,34,FALSE),VLOOKUP($B64,Data!$B$3:$EZ1530,4,FALSE)),"")</f>
        <v>0.02757405141</v>
      </c>
      <c r="G64" s="48">
        <f>IFERROR(DIVIDE(VLOOKUP($B64,Data!$B$3:$EZ1530,39,FALSE),VLOOKUP($B64,Data!$B$3:$EZ1530,4,FALSE)),"")</f>
        <v>0.002241126071</v>
      </c>
      <c r="H64" s="48">
        <f>IFERROR(DIVIDE(VLOOKUP($B64,Data!$B$3:$EZ1530,44,FALSE),VLOOKUP($B64,Data!$B$3:$EZ1530,4,FALSE)),"")</f>
        <v>0.04266340269</v>
      </c>
      <c r="I64" s="48">
        <f>IFERROR(MINUS(DIVIDE(VLOOKUP($B64,Data!$B$3:$EZ1530,9,FALSE),VLOOKUP($B64,Data!$B$3:$EZ1530,10,FALSE)),1),"")</f>
        <v>0.7327131679</v>
      </c>
      <c r="J64" s="48">
        <f>IFERROR(MINUS(DIVIDE(VLOOKUP($B64,Data!$B$3:$EZ1530,24,FALSE),VLOOKUP($B64,Data!$B$3:$EZ1530,25,FALSE)),1),"")</f>
        <v>1.134932534</v>
      </c>
      <c r="K64" s="48">
        <f>IFERROR(MINUS(DIVIDE(VLOOKUP($B64,Data!$B$3:$EZ1530,29,FALSE),VLOOKUP($B64,Data!$B$3:$EZ1530,30,FALSE)),1),"")</f>
        <v>-0.4712189616</v>
      </c>
      <c r="L64" s="48">
        <f>IFERROR(MINUS(DIVIDE(VLOOKUP($B64,Data!$B$3:$EZ1530,34,FALSE),VLOOKUP($B64,Data!$B$3:$EZ1530,35,FALSE)),1),"")</f>
        <v>0.6481088595</v>
      </c>
      <c r="M64" s="48">
        <f>IFERROR(MINUS(DIVIDE(VLOOKUP($B64,Data!$B$3:$EZ1530,39,FALSE),VLOOKUP($B64,Data!$B$3:$EZ1530,40,FALSE)),1),"")</f>
        <v>-0.5585824494</v>
      </c>
      <c r="N64" s="48">
        <f>IFERROR(MINUS(DIVIDE(VLOOKUP($B64,Data!$B$3:$EZ1530,44,FALSE),VLOOKUP($B64,Data!$B$3:$EZ1530,45,FALSE)),1),"")</f>
        <v>-10.81306306</v>
      </c>
      <c r="O64" s="50">
        <f>IFERROR(VLOOKUP($B64,Data!$B$3:$D1530,2,FALSE),"")</f>
        <v>275200</v>
      </c>
      <c r="P64" s="50">
        <f>IFERROR(VLOOKUP($B64,Data!$B$3:$D1530,3,FALSE),"")</f>
        <v>281670</v>
      </c>
      <c r="Q64" s="48">
        <f t="shared" si="2"/>
        <v>-0.02297014237</v>
      </c>
      <c r="R64" s="48"/>
      <c r="S64" s="48"/>
      <c r="T64" s="48"/>
      <c r="U64" s="48"/>
      <c r="V64" s="48"/>
      <c r="W64" s="50"/>
      <c r="Z64" s="11"/>
      <c r="AA64" s="11"/>
    </row>
    <row r="65">
      <c r="A65" s="9">
        <f t="shared" si="1"/>
        <v>62</v>
      </c>
      <c r="B65" s="47" t="s">
        <v>198</v>
      </c>
      <c r="C65" s="48" t="str">
        <f>IFERROR(DIVIDE(VLOOKUP($B65,Data!$B$3:$AB$1535,9,FALSE),VLOOKUP($B65,Data!$B$3:$AB$1535,4,FALSE)),"")</f>
        <v/>
      </c>
      <c r="D65" s="48" t="str">
        <f>IFERROR(DIVIDE(VLOOKUP($B65,Data!$B$3:$AB$1535,24,FALSE),VLOOKUP($B65,Data!$B$3:$AB$1535,4,FALSE)),"")</f>
        <v/>
      </c>
      <c r="E65" s="48" t="str">
        <f>IFERROR(DIVIDE(VLOOKUP($B65,Data!$B$3:$EZ1530,29,FALSE),VLOOKUP($B65,Data!$B$3:$EZ1530,4,FALSE)),"")</f>
        <v/>
      </c>
      <c r="F65" s="48" t="str">
        <f>IFERROR(DIVIDE(VLOOKUP($B65,Data!$B$3:$EZ1530,34,FALSE),VLOOKUP($B65,Data!$B$3:$EZ1530,4,FALSE)),"")</f>
        <v/>
      </c>
      <c r="G65" s="48" t="str">
        <f>IFERROR(DIVIDE(VLOOKUP($B65,Data!$B$3:$EZ1530,39,FALSE),VLOOKUP($B65,Data!$B$3:$EZ1530,4,FALSE)),"")</f>
        <v/>
      </c>
      <c r="H65" s="48" t="str">
        <f>IFERROR(DIVIDE(VLOOKUP($B65,Data!$B$3:$EZ1530,44,FALSE),VLOOKUP($B65,Data!$B$3:$EZ1530,4,FALSE)),"")</f>
        <v/>
      </c>
      <c r="I65" s="48" t="str">
        <f>IFERROR(MINUS(DIVIDE(VLOOKUP($B65,Data!$B$3:$EZ1530,9,FALSE),VLOOKUP($B65,Data!$B$3:$EZ1530,10,FALSE)),1),"")</f>
        <v/>
      </c>
      <c r="J65" s="48">
        <f>IFERROR(MINUS(DIVIDE(VLOOKUP($B65,Data!$B$3:$EZ1530,24,FALSE),VLOOKUP($B65,Data!$B$3:$EZ1530,25,FALSE)),1),"")</f>
        <v>-1</v>
      </c>
      <c r="K65" s="48">
        <f>IFERROR(MINUS(DIVIDE(VLOOKUP($B65,Data!$B$3:$EZ1530,29,FALSE),VLOOKUP($B65,Data!$B$3:$EZ1530,30,FALSE)),1),"")</f>
        <v>-0.4648145882</v>
      </c>
      <c r="L65" s="48">
        <f>IFERROR(MINUS(DIVIDE(VLOOKUP($B65,Data!$B$3:$EZ1530,34,FALSE),VLOOKUP($B65,Data!$B$3:$EZ1530,35,FALSE)),1),"")</f>
        <v>2.311320755</v>
      </c>
      <c r="M65" s="48">
        <f>IFERROR(MINUS(DIVIDE(VLOOKUP($B65,Data!$B$3:$EZ1530,39,FALSE),VLOOKUP($B65,Data!$B$3:$EZ1530,40,FALSE)),1),"")</f>
        <v>-0.4644474361</v>
      </c>
      <c r="N65" s="48">
        <f>IFERROR(MINUS(DIVIDE(VLOOKUP($B65,Data!$B$3:$EZ1530,44,FALSE),VLOOKUP($B65,Data!$B$3:$EZ1530,45,FALSE)),1),"")</f>
        <v>6.695464363</v>
      </c>
      <c r="O65" s="50" t="str">
        <f>IFERROR(VLOOKUP($B65,Data!$B$3:$D1530,2,FALSE),"")</f>
        <v/>
      </c>
      <c r="P65" s="50" t="str">
        <f>IFERROR(VLOOKUP($B65,Data!$B$3:$D1530,3,FALSE),"")</f>
        <v/>
      </c>
      <c r="Q65" s="48" t="str">
        <f t="shared" si="2"/>
        <v/>
      </c>
      <c r="R65" s="48"/>
      <c r="S65" s="48"/>
      <c r="T65" s="48"/>
      <c r="U65" s="48"/>
      <c r="V65" s="48"/>
      <c r="W65" s="50"/>
      <c r="Z65" s="11"/>
      <c r="AA65" s="11"/>
    </row>
    <row r="66">
      <c r="A66" s="9">
        <f t="shared" si="1"/>
        <v>63</v>
      </c>
      <c r="B66" s="47" t="s">
        <v>199</v>
      </c>
      <c r="C66" s="48" t="str">
        <f>IFERROR(DIVIDE(VLOOKUP($B66,Data!$B$3:$AB$1535,9,FALSE),VLOOKUP($B66,Data!$B$3:$AB$1535,4,FALSE)),"")</f>
        <v/>
      </c>
      <c r="D66" s="48" t="str">
        <f>IFERROR(DIVIDE(VLOOKUP($B66,Data!$B$3:$AB$1535,24,FALSE),VLOOKUP($B66,Data!$B$3:$AB$1535,4,FALSE)),"")</f>
        <v/>
      </c>
      <c r="E66" s="48" t="str">
        <f>IFERROR(DIVIDE(VLOOKUP($B66,Data!$B$3:$EZ1530,29,FALSE),VLOOKUP($B66,Data!$B$3:$EZ1530,4,FALSE)),"")</f>
        <v/>
      </c>
      <c r="F66" s="48" t="str">
        <f>IFERROR(DIVIDE(VLOOKUP($B66,Data!$B$3:$EZ1530,34,FALSE),VLOOKUP($B66,Data!$B$3:$EZ1530,4,FALSE)),"")</f>
        <v/>
      </c>
      <c r="G66" s="48" t="str">
        <f>IFERROR(DIVIDE(VLOOKUP($B66,Data!$B$3:$EZ1530,39,FALSE),VLOOKUP($B66,Data!$B$3:$EZ1530,4,FALSE)),"")</f>
        <v/>
      </c>
      <c r="H66" s="48" t="str">
        <f>IFERROR(DIVIDE(VLOOKUP($B66,Data!$B$3:$EZ1530,44,FALSE),VLOOKUP($B66,Data!$B$3:$EZ1530,4,FALSE)),"")</f>
        <v/>
      </c>
      <c r="I66" s="48">
        <f>IFERROR(MINUS(DIVIDE(VLOOKUP($B66,Data!$B$3:$EZ1530,9,FALSE),VLOOKUP($B66,Data!$B$3:$EZ1530,10,FALSE)),1),"")</f>
        <v>-0.4722222222</v>
      </c>
      <c r="J66" s="48">
        <f>IFERROR(MINUS(DIVIDE(VLOOKUP($B66,Data!$B$3:$EZ1530,24,FALSE),VLOOKUP($B66,Data!$B$3:$EZ1530,25,FALSE)),1),"")</f>
        <v>0.4970095694</v>
      </c>
      <c r="K66" s="48">
        <f>IFERROR(MINUS(DIVIDE(VLOOKUP($B66,Data!$B$3:$EZ1530,29,FALSE),VLOOKUP($B66,Data!$B$3:$EZ1530,30,FALSE)),1),"")</f>
        <v>0.5279805353</v>
      </c>
      <c r="L66" s="48">
        <f>IFERROR(MINUS(DIVIDE(VLOOKUP($B66,Data!$B$3:$EZ1530,34,FALSE),VLOOKUP($B66,Data!$B$3:$EZ1530,35,FALSE)),1),"")</f>
        <v>0.1030061892</v>
      </c>
      <c r="M66" s="48">
        <f>IFERROR(MINUS(DIVIDE(VLOOKUP($B66,Data!$B$3:$EZ1530,39,FALSE),VLOOKUP($B66,Data!$B$3:$EZ1530,40,FALSE)),1),"")</f>
        <v>0.04501216545</v>
      </c>
      <c r="N66" s="48">
        <f>IFERROR(MINUS(DIVIDE(VLOOKUP($B66,Data!$B$3:$EZ1530,44,FALSE),VLOOKUP($B66,Data!$B$3:$EZ1530,45,FALSE)),1),"")</f>
        <v>-0.4245785271</v>
      </c>
      <c r="O66" s="50">
        <f>IFERROR(VLOOKUP($B66,Data!$B$3:$D1530,2,FALSE),"")</f>
        <v>8900</v>
      </c>
      <c r="P66" s="50" t="str">
        <f>IFERROR(VLOOKUP($B66,Data!$B$3:$D1530,3,FALSE),"")</f>
        <v/>
      </c>
      <c r="Q66" s="48" t="str">
        <f t="shared" si="2"/>
        <v/>
      </c>
      <c r="R66" s="48"/>
      <c r="S66" s="48"/>
      <c r="T66" s="48"/>
      <c r="U66" s="48"/>
      <c r="V66" s="48"/>
      <c r="W66" s="50"/>
      <c r="Z66" s="15"/>
      <c r="AA66" s="15"/>
    </row>
    <row r="67">
      <c r="A67" s="9">
        <f t="shared" si="1"/>
        <v>64</v>
      </c>
      <c r="B67" s="47" t="s">
        <v>200</v>
      </c>
      <c r="C67" s="48" t="str">
        <f>IFERROR(DIVIDE(VLOOKUP($B67,Data!$B$3:$AB$1535,9,FALSE),VLOOKUP($B67,Data!$B$3:$AB$1535,4,FALSE)),"")</f>
        <v/>
      </c>
      <c r="D67" s="48" t="str">
        <f>IFERROR(DIVIDE(VLOOKUP($B67,Data!$B$3:$AB$1535,24,FALSE),VLOOKUP($B67,Data!$B$3:$AB$1535,4,FALSE)),"")</f>
        <v/>
      </c>
      <c r="E67" s="48" t="str">
        <f>IFERROR(DIVIDE(VLOOKUP($B67,Data!$B$3:$EZ1530,29,FALSE),VLOOKUP($B67,Data!$B$3:$EZ1530,4,FALSE)),"")</f>
        <v/>
      </c>
      <c r="F67" s="48" t="str">
        <f>IFERROR(DIVIDE(VLOOKUP($B67,Data!$B$3:$EZ1530,34,FALSE),VLOOKUP($B67,Data!$B$3:$EZ1530,4,FALSE)),"")</f>
        <v/>
      </c>
      <c r="G67" s="48" t="str">
        <f>IFERROR(DIVIDE(VLOOKUP($B67,Data!$B$3:$EZ1530,39,FALSE),VLOOKUP($B67,Data!$B$3:$EZ1530,4,FALSE)),"")</f>
        <v/>
      </c>
      <c r="H67" s="48" t="str">
        <f>IFERROR(DIVIDE(VLOOKUP($B67,Data!$B$3:$EZ1530,44,FALSE),VLOOKUP($B67,Data!$B$3:$EZ1530,4,FALSE)),"")</f>
        <v/>
      </c>
      <c r="I67" s="48">
        <f>IFERROR(MINUS(DIVIDE(VLOOKUP($B67,Data!$B$3:$EZ1530,9,FALSE),VLOOKUP($B67,Data!$B$3:$EZ1530,10,FALSE)),1),"")</f>
        <v>11.67272727</v>
      </c>
      <c r="J67" s="48">
        <f>IFERROR(MINUS(DIVIDE(VLOOKUP($B67,Data!$B$3:$EZ1530,24,FALSE),VLOOKUP($B67,Data!$B$3:$EZ1530,25,FALSE)),1),"")</f>
        <v>3.097178683</v>
      </c>
      <c r="K67" s="48">
        <f>IFERROR(MINUS(DIVIDE(VLOOKUP($B67,Data!$B$3:$EZ1530,29,FALSE),VLOOKUP($B67,Data!$B$3:$EZ1530,30,FALSE)),1),"")</f>
        <v>3.282861897</v>
      </c>
      <c r="L67" s="48">
        <f>IFERROR(MINUS(DIVIDE(VLOOKUP($B67,Data!$B$3:$EZ1530,34,FALSE),VLOOKUP($B67,Data!$B$3:$EZ1530,35,FALSE)),1),"")</f>
        <v>2.146540027</v>
      </c>
      <c r="M67" s="48">
        <f>IFERROR(MINUS(DIVIDE(VLOOKUP($B67,Data!$B$3:$EZ1530,39,FALSE),VLOOKUP($B67,Data!$B$3:$EZ1530,40,FALSE)),1),"")</f>
        <v>3.282861897</v>
      </c>
      <c r="N67" s="48">
        <f>IFERROR(MINUS(DIVIDE(VLOOKUP($B67,Data!$B$3:$EZ1530,44,FALSE),VLOOKUP($B67,Data!$B$3:$EZ1530,45,FALSE)),1),"")</f>
        <v>1.994065282</v>
      </c>
      <c r="O67" s="50" t="str">
        <f>IFERROR(VLOOKUP($B67,Data!$B$3:$D1530,2,FALSE),"")</f>
        <v/>
      </c>
      <c r="P67" s="50" t="str">
        <f>IFERROR(VLOOKUP($B67,Data!$B$3:$D1530,3,FALSE),"")</f>
        <v/>
      </c>
      <c r="Q67" s="48" t="str">
        <f t="shared" si="2"/>
        <v/>
      </c>
      <c r="R67" s="48"/>
      <c r="S67" s="48"/>
      <c r="T67" s="48"/>
      <c r="U67" s="48"/>
      <c r="V67" s="48"/>
      <c r="W67" s="50"/>
      <c r="Z67" s="12"/>
      <c r="AA67" s="12"/>
    </row>
    <row r="68">
      <c r="A68" s="9">
        <f t="shared" si="1"/>
        <v>65</v>
      </c>
      <c r="B68" s="47" t="s">
        <v>201</v>
      </c>
      <c r="C68" s="48">
        <f>IFERROR(DIVIDE(VLOOKUP($B68,Data!$B$3:$AB$1535,9,FALSE),VLOOKUP($B68,Data!$B$3:$AB$1535,4,FALSE)),"")</f>
        <v>0.3509749304</v>
      </c>
      <c r="D68" s="48">
        <f>IFERROR(DIVIDE(VLOOKUP($B68,Data!$B$3:$AB$1535,24,FALSE),VLOOKUP($B68,Data!$B$3:$AB$1535,4,FALSE)),"")</f>
        <v>0.1761086351</v>
      </c>
      <c r="E68" s="48">
        <f>IFERROR(DIVIDE(VLOOKUP($B68,Data!$B$3:$EZ1530,29,FALSE),VLOOKUP($B68,Data!$B$3:$EZ1530,4,FALSE)),"")</f>
        <v>0.156810585</v>
      </c>
      <c r="F68" s="48">
        <f>IFERROR(DIVIDE(VLOOKUP($B68,Data!$B$3:$EZ1530,34,FALSE),VLOOKUP($B68,Data!$B$3:$EZ1530,4,FALSE)),"")</f>
        <v>0.2503649025</v>
      </c>
      <c r="G68" s="48">
        <f>IFERROR(DIVIDE(VLOOKUP($B68,Data!$B$3:$EZ1530,39,FALSE),VLOOKUP($B68,Data!$B$3:$EZ1530,4,FALSE)),"")</f>
        <v>0.1485320334</v>
      </c>
      <c r="H68" s="48">
        <f>IFERROR(DIVIDE(VLOOKUP($B68,Data!$B$3:$EZ1530,44,FALSE),VLOOKUP($B68,Data!$B$3:$EZ1530,4,FALSE)),"")</f>
        <v>0.2003816156</v>
      </c>
      <c r="I68" s="48">
        <f>IFERROR(MINUS(DIVIDE(VLOOKUP($B68,Data!$B$3:$EZ1530,9,FALSE),VLOOKUP($B68,Data!$B$3:$EZ1530,10,FALSE)),1),"")</f>
        <v>0.03278688525</v>
      </c>
      <c r="J68" s="48">
        <f>IFERROR(MINUS(DIVIDE(VLOOKUP($B68,Data!$B$3:$EZ1530,24,FALSE),VLOOKUP($B68,Data!$B$3:$EZ1530,25,FALSE)),1),"")</f>
        <v>-0.07196958577</v>
      </c>
      <c r="K68" s="48">
        <f>IFERROR(MINUS(DIVIDE(VLOOKUP($B68,Data!$B$3:$EZ1530,29,FALSE),VLOOKUP($B68,Data!$B$3:$EZ1530,30,FALSE)),1),"")</f>
        <v>-0.291619479</v>
      </c>
      <c r="L68" s="48">
        <f>IFERROR(MINUS(DIVIDE(VLOOKUP($B68,Data!$B$3:$EZ1530,34,FALSE),VLOOKUP($B68,Data!$B$3:$EZ1530,35,FALSE)),1),"")</f>
        <v>-0.02832401812</v>
      </c>
      <c r="M68" s="48">
        <f>IFERROR(MINUS(DIVIDE(VLOOKUP($B68,Data!$B$3:$EZ1530,39,FALSE),VLOOKUP($B68,Data!$B$3:$EZ1530,40,FALSE)),1),"")</f>
        <v>-0.2311696176</v>
      </c>
      <c r="N68" s="48">
        <f>IFERROR(MINUS(DIVIDE(VLOOKUP($B68,Data!$B$3:$EZ1530,44,FALSE),VLOOKUP($B68,Data!$B$3:$EZ1530,45,FALSE)),1),"")</f>
        <v>0.317117381</v>
      </c>
      <c r="O68" s="50">
        <f>IFERROR(VLOOKUP($B68,Data!$B$3:$D1530,2,FALSE),"")</f>
        <v>3340000</v>
      </c>
      <c r="P68" s="50">
        <f>IFERROR(VLOOKUP($B68,Data!$B$3:$D1530,3,FALSE),"")</f>
        <v>3040000</v>
      </c>
      <c r="Q68" s="48">
        <f t="shared" si="2"/>
        <v>0.09868421053</v>
      </c>
      <c r="R68" s="48"/>
      <c r="S68" s="48"/>
      <c r="T68" s="48"/>
      <c r="U68" s="48"/>
      <c r="V68" s="48"/>
      <c r="W68" s="50"/>
      <c r="Z68" s="11"/>
      <c r="AA68" s="12"/>
    </row>
    <row r="69">
      <c r="A69" s="9">
        <f t="shared" si="1"/>
        <v>66</v>
      </c>
      <c r="B69" s="47" t="s">
        <v>202</v>
      </c>
      <c r="C69" s="48">
        <f>IFERROR(DIVIDE(VLOOKUP($B69,Data!$B$3:$AB$1535,9,FALSE),VLOOKUP($B69,Data!$B$3:$AB$1535,4,FALSE)),"")</f>
        <v>0</v>
      </c>
      <c r="D69" s="48">
        <f>IFERROR(DIVIDE(VLOOKUP($B69,Data!$B$3:$AB$1535,24,FALSE),VLOOKUP($B69,Data!$B$3:$AB$1535,4,FALSE)),"")</f>
        <v>0</v>
      </c>
      <c r="E69" s="48">
        <f>IFERROR(DIVIDE(VLOOKUP($B69,Data!$B$3:$EZ1530,29,FALSE),VLOOKUP($B69,Data!$B$3:$EZ1530,4,FALSE)),"")</f>
        <v>-6.506224066</v>
      </c>
      <c r="F69" s="48">
        <f>IFERROR(DIVIDE(VLOOKUP($B69,Data!$B$3:$EZ1530,34,FALSE),VLOOKUP($B69,Data!$B$3:$EZ1530,4,FALSE)),"")</f>
        <v>-6.326763485</v>
      </c>
      <c r="G69" s="48">
        <f>IFERROR(DIVIDE(VLOOKUP($B69,Data!$B$3:$EZ1530,39,FALSE),VLOOKUP($B69,Data!$B$3:$EZ1530,4,FALSE)),"")</f>
        <v>-6.506224066</v>
      </c>
      <c r="H69" s="48">
        <f>IFERROR(DIVIDE(VLOOKUP($B69,Data!$B$3:$EZ1530,44,FALSE),VLOOKUP($B69,Data!$B$3:$EZ1530,4,FALSE)),"")</f>
        <v>-5.489626556</v>
      </c>
      <c r="I69" s="48" t="str">
        <f>IFERROR(MINUS(DIVIDE(VLOOKUP($B69,Data!$B$3:$EZ1530,9,FALSE),VLOOKUP($B69,Data!$B$3:$EZ1530,10,FALSE)),1),"")</f>
        <v/>
      </c>
      <c r="J69" s="48" t="str">
        <f>IFERROR(MINUS(DIVIDE(VLOOKUP($B69,Data!$B$3:$EZ1530,24,FALSE),VLOOKUP($B69,Data!$B$3:$EZ1530,25,FALSE)),1),"")</f>
        <v/>
      </c>
      <c r="K69" s="48">
        <f>IFERROR(MINUS(DIVIDE(VLOOKUP($B69,Data!$B$3:$EZ1530,29,FALSE),VLOOKUP($B69,Data!$B$3:$EZ1530,30,FALSE)),1),"")</f>
        <v>0.3608157952</v>
      </c>
      <c r="L69" s="48">
        <f>IFERROR(MINUS(DIVIDE(VLOOKUP($B69,Data!$B$3:$EZ1530,34,FALSE),VLOOKUP($B69,Data!$B$3:$EZ1530,35,FALSE)),1),"")</f>
        <v>0.6117864693</v>
      </c>
      <c r="M69" s="48">
        <f>IFERROR(MINUS(DIVIDE(VLOOKUP($B69,Data!$B$3:$EZ1530,39,FALSE),VLOOKUP($B69,Data!$B$3:$EZ1530,40,FALSE)),1),"")</f>
        <v>0.3602255476</v>
      </c>
      <c r="N69" s="48">
        <f>IFERROR(MINUS(DIVIDE(VLOOKUP($B69,Data!$B$3:$EZ1530,44,FALSE),VLOOKUP($B69,Data!$B$3:$EZ1530,45,FALSE)),1),"")</f>
        <v>0.9746268657</v>
      </c>
      <c r="O69" s="50">
        <f>IFERROR(VLOOKUP($B69,Data!$B$3:$D1530,2,FALSE),"")</f>
        <v>16490</v>
      </c>
      <c r="P69" s="50">
        <f>IFERROR(VLOOKUP($B69,Data!$B$3:$D1530,3,FALSE),"")</f>
        <v>7500</v>
      </c>
      <c r="Q69" s="48">
        <f t="shared" si="2"/>
        <v>1.198666667</v>
      </c>
      <c r="R69" s="48"/>
      <c r="S69" s="48"/>
      <c r="T69" s="48"/>
      <c r="U69" s="48"/>
      <c r="V69" s="48"/>
      <c r="W69" s="50"/>
      <c r="Z69" s="12"/>
      <c r="AA69" s="12"/>
    </row>
    <row r="70">
      <c r="A70" s="9">
        <f t="shared" si="1"/>
        <v>67</v>
      </c>
      <c r="B70" s="47" t="s">
        <v>203</v>
      </c>
      <c r="C70" s="48">
        <f>IFERROR(DIVIDE(VLOOKUP($B70,Data!$B$3:$AB$1535,9,FALSE),VLOOKUP($B70,Data!$B$3:$AB$1535,4,FALSE)),"")</f>
        <v>0.4970143149</v>
      </c>
      <c r="D70" s="48">
        <f>IFERROR(DIVIDE(VLOOKUP($B70,Data!$B$3:$AB$1535,24,FALSE),VLOOKUP($B70,Data!$B$3:$AB$1535,4,FALSE)),"")</f>
        <v>0.361799591</v>
      </c>
      <c r="E70" s="48">
        <f>IFERROR(DIVIDE(VLOOKUP($B70,Data!$B$3:$EZ1530,29,FALSE),VLOOKUP($B70,Data!$B$3:$EZ1530,4,FALSE)),"")</f>
        <v>0.4108793456</v>
      </c>
      <c r="F70" s="48">
        <f>IFERROR(DIVIDE(VLOOKUP($B70,Data!$B$3:$EZ1530,34,FALSE),VLOOKUP($B70,Data!$B$3:$EZ1530,4,FALSE)),"")</f>
        <v>0.4948875256</v>
      </c>
      <c r="G70" s="48">
        <f>IFERROR(DIVIDE(VLOOKUP($B70,Data!$B$3:$EZ1530,39,FALSE),VLOOKUP($B70,Data!$B$3:$EZ1530,4,FALSE)),"")</f>
        <v>0.3094478528</v>
      </c>
      <c r="H70" s="48">
        <f>IFERROR(DIVIDE(VLOOKUP($B70,Data!$B$3:$EZ1530,44,FALSE),VLOOKUP($B70,Data!$B$3:$EZ1530,4,FALSE)),"")</f>
        <v>0.3994274029</v>
      </c>
      <c r="I70" s="48">
        <f>IFERROR(MINUS(DIVIDE(VLOOKUP($B70,Data!$B$3:$EZ1530,9,FALSE),VLOOKUP($B70,Data!$B$3:$EZ1530,10,FALSE)),1),"")</f>
        <v>1.18325548</v>
      </c>
      <c r="J70" s="48">
        <f>IFERROR(MINUS(DIVIDE(VLOOKUP($B70,Data!$B$3:$EZ1530,24,FALSE),VLOOKUP($B70,Data!$B$3:$EZ1530,25,FALSE)),1),"")</f>
        <v>3.196394687</v>
      </c>
      <c r="K70" s="48">
        <f>IFERROR(MINUS(DIVIDE(VLOOKUP($B70,Data!$B$3:$EZ1530,29,FALSE),VLOOKUP($B70,Data!$B$3:$EZ1530,30,FALSE)),1),"")</f>
        <v>2.808188021</v>
      </c>
      <c r="L70" s="48">
        <f>IFERROR(MINUS(DIVIDE(VLOOKUP($B70,Data!$B$3:$EZ1530,34,FALSE),VLOOKUP($B70,Data!$B$3:$EZ1530,35,FALSE)),1),"")</f>
        <v>1.280437241</v>
      </c>
      <c r="M70" s="48">
        <f>IFERROR(MINUS(DIVIDE(VLOOKUP($B70,Data!$B$3:$EZ1530,39,FALSE),VLOOKUP($B70,Data!$B$3:$EZ1530,40,FALSE)),1),"")</f>
        <v>1.898850575</v>
      </c>
      <c r="N70" s="48">
        <f>IFERROR(MINUS(DIVIDE(VLOOKUP($B70,Data!$B$3:$EZ1530,44,FALSE),VLOOKUP($B70,Data!$B$3:$EZ1530,45,FALSE)),1),"")</f>
        <v>1.559224319</v>
      </c>
      <c r="O70" s="50" t="str">
        <f>IFERROR(VLOOKUP($B70,Data!$B$3:$D1530,2,FALSE),"")</f>
        <v/>
      </c>
      <c r="P70" s="50" t="str">
        <f>IFERROR(VLOOKUP($B70,Data!$B$3:$D1530,3,FALSE),"")</f>
        <v/>
      </c>
      <c r="Q70" s="48" t="str">
        <f t="shared" si="2"/>
        <v/>
      </c>
      <c r="R70" s="48"/>
      <c r="S70" s="48"/>
      <c r="T70" s="48"/>
      <c r="U70" s="48"/>
      <c r="V70" s="48"/>
      <c r="W70" s="50"/>
      <c r="Z70" s="15"/>
      <c r="AA70" s="15"/>
    </row>
    <row r="71">
      <c r="A71" s="9">
        <f t="shared" si="1"/>
        <v>68</v>
      </c>
      <c r="B71" s="47" t="s">
        <v>204</v>
      </c>
      <c r="C71" s="48" t="str">
        <f>IFERROR(DIVIDE(VLOOKUP($B71,Data!$B$3:$AB$1535,9,FALSE),VLOOKUP($B71,Data!$B$3:$AB$1535,4,FALSE)),"")</f>
        <v/>
      </c>
      <c r="D71" s="48" t="str">
        <f>IFERROR(DIVIDE(VLOOKUP($B71,Data!$B$3:$AB$1535,24,FALSE),VLOOKUP($B71,Data!$B$3:$AB$1535,4,FALSE)),"")</f>
        <v/>
      </c>
      <c r="E71" s="48" t="str">
        <f>IFERROR(DIVIDE(VLOOKUP($B71,Data!$B$3:$EZ1530,29,FALSE),VLOOKUP($B71,Data!$B$3:$EZ1530,4,FALSE)),"")</f>
        <v/>
      </c>
      <c r="F71" s="48" t="str">
        <f>IFERROR(DIVIDE(VLOOKUP($B71,Data!$B$3:$EZ1530,34,FALSE),VLOOKUP($B71,Data!$B$3:$EZ1530,4,FALSE)),"")</f>
        <v/>
      </c>
      <c r="G71" s="48" t="str">
        <f>IFERROR(DIVIDE(VLOOKUP($B71,Data!$B$3:$EZ1530,39,FALSE),VLOOKUP($B71,Data!$B$3:$EZ1530,4,FALSE)),"")</f>
        <v/>
      </c>
      <c r="H71" s="48" t="str">
        <f>IFERROR(DIVIDE(VLOOKUP($B71,Data!$B$3:$EZ1530,44,FALSE),VLOOKUP($B71,Data!$B$3:$EZ1530,4,FALSE)),"")</f>
        <v/>
      </c>
      <c r="I71" s="48">
        <f>IFERROR(MINUS(DIVIDE(VLOOKUP($B71,Data!$B$3:$EZ1530,9,FALSE),VLOOKUP($B71,Data!$B$3:$EZ1530,10,FALSE)),1),"")</f>
        <v>0.3521126761</v>
      </c>
      <c r="J71" s="48" t="str">
        <f>IFERROR(MINUS(DIVIDE(VLOOKUP($B71,Data!$B$3:$EZ1530,24,FALSE),VLOOKUP($B71,Data!$B$3:$EZ1530,25,FALSE)),1),"")</f>
        <v/>
      </c>
      <c r="K71" s="48">
        <f>IFERROR(MINUS(DIVIDE(VLOOKUP($B71,Data!$B$3:$EZ1530,29,FALSE),VLOOKUP($B71,Data!$B$3:$EZ1530,30,FALSE)),1),"")</f>
        <v>0.5978400617</v>
      </c>
      <c r="L71" s="48">
        <f>IFERROR(MINUS(DIVIDE(VLOOKUP($B71,Data!$B$3:$EZ1530,34,FALSE),VLOOKUP($B71,Data!$B$3:$EZ1530,35,FALSE)),1),"")</f>
        <v>0.4234166036</v>
      </c>
      <c r="M71" s="48">
        <f>IFERROR(MINUS(DIVIDE(VLOOKUP($B71,Data!$B$3:$EZ1530,39,FALSE),VLOOKUP($B71,Data!$B$3:$EZ1530,40,FALSE)),1),"")</f>
        <v>0.5641553098</v>
      </c>
      <c r="N71" s="48">
        <f>IFERROR(MINUS(DIVIDE(VLOOKUP($B71,Data!$B$3:$EZ1530,44,FALSE),VLOOKUP($B71,Data!$B$3:$EZ1530,45,FALSE)),1),"")</f>
        <v>0.5063630275</v>
      </c>
      <c r="O71" s="50">
        <f>IFERROR(VLOOKUP($B71,Data!$B$3:$D1530,2,FALSE),"")</f>
        <v>2560</v>
      </c>
      <c r="P71" s="50" t="str">
        <f>IFERROR(VLOOKUP($B71,Data!$B$3:$D1530,3,FALSE),"")</f>
        <v/>
      </c>
      <c r="Q71" s="48" t="str">
        <f t="shared" si="2"/>
        <v/>
      </c>
      <c r="R71" s="48"/>
      <c r="S71" s="48"/>
      <c r="T71" s="48"/>
      <c r="U71" s="48"/>
      <c r="V71" s="48"/>
      <c r="W71" s="50"/>
      <c r="Z71" s="11"/>
      <c r="AA71" s="11"/>
    </row>
    <row r="72">
      <c r="A72" s="9">
        <f t="shared" si="1"/>
        <v>69</v>
      </c>
      <c r="B72" s="47" t="s">
        <v>205</v>
      </c>
      <c r="C72" s="48">
        <f>IFERROR(DIVIDE(VLOOKUP($B72,Data!$B$3:$AB$1535,9,FALSE),VLOOKUP($B72,Data!$B$3:$AB$1535,4,FALSE)),"")</f>
        <v>0</v>
      </c>
      <c r="D72" s="48">
        <f>IFERROR(DIVIDE(VLOOKUP($B72,Data!$B$3:$AB$1535,24,FALSE),VLOOKUP($B72,Data!$B$3:$AB$1535,4,FALSE)),"")</f>
        <v>-5.391140434</v>
      </c>
      <c r="E72" s="48">
        <f>IFERROR(DIVIDE(VLOOKUP($B72,Data!$B$3:$EZ1530,29,FALSE),VLOOKUP($B72,Data!$B$3:$EZ1530,4,FALSE)),"")</f>
        <v>-4.966540999</v>
      </c>
      <c r="F72" s="48">
        <f>IFERROR(DIVIDE(VLOOKUP($B72,Data!$B$3:$EZ1530,34,FALSE),VLOOKUP($B72,Data!$B$3:$EZ1530,4,FALSE)),"")</f>
        <v>-5.073986805</v>
      </c>
      <c r="G72" s="48">
        <f>IFERROR(DIVIDE(VLOOKUP($B72,Data!$B$3:$EZ1530,39,FALSE),VLOOKUP($B72,Data!$B$3:$EZ1530,4,FALSE)),"")</f>
        <v>-4.966540999</v>
      </c>
      <c r="H72" s="48">
        <f>IFERROR(DIVIDE(VLOOKUP($B72,Data!$B$3:$EZ1530,44,FALSE),VLOOKUP($B72,Data!$B$3:$EZ1530,4,FALSE)),"")</f>
        <v>-4.721017908</v>
      </c>
      <c r="I72" s="48" t="str">
        <f>IFERROR(MINUS(DIVIDE(VLOOKUP($B72,Data!$B$3:$EZ1530,9,FALSE),VLOOKUP($B72,Data!$B$3:$EZ1530,10,FALSE)),1),"")</f>
        <v/>
      </c>
      <c r="J72" s="48" t="str">
        <f>IFERROR(MINUS(DIVIDE(VLOOKUP($B72,Data!$B$3:$EZ1530,24,FALSE),VLOOKUP($B72,Data!$B$3:$EZ1530,25,FALSE)),1),"")</f>
        <v/>
      </c>
      <c r="K72" s="48">
        <f>IFERROR(MINUS(DIVIDE(VLOOKUP($B72,Data!$B$3:$EZ1530,29,FALSE),VLOOKUP($B72,Data!$B$3:$EZ1530,30,FALSE)),1),"")</f>
        <v>1.017033493</v>
      </c>
      <c r="L72" s="48">
        <f>IFERROR(MINUS(DIVIDE(VLOOKUP($B72,Data!$B$3:$EZ1530,34,FALSE),VLOOKUP($B72,Data!$B$3:$EZ1530,35,FALSE)),1),"")</f>
        <v>0.9134529945</v>
      </c>
      <c r="M72" s="48">
        <f>IFERROR(MINUS(DIVIDE(VLOOKUP($B72,Data!$B$3:$EZ1530,39,FALSE),VLOOKUP($B72,Data!$B$3:$EZ1530,40,FALSE)),1),"")</f>
        <v>1.017033493</v>
      </c>
      <c r="N72" s="48">
        <f>IFERROR(MINUS(DIVIDE(VLOOKUP($B72,Data!$B$3:$EZ1530,44,FALSE),VLOOKUP($B72,Data!$B$3:$EZ1530,45,FALSE)),1),"")</f>
        <v>-1.78597207</v>
      </c>
      <c r="O72" s="50">
        <f>IFERROR(VLOOKUP($B72,Data!$B$3:$D1530,2,FALSE),"")</f>
        <v>37140</v>
      </c>
      <c r="P72" s="50">
        <f>IFERROR(VLOOKUP($B72,Data!$B$3:$D1530,3,FALSE),"")</f>
        <v>27460</v>
      </c>
      <c r="Q72" s="48">
        <f t="shared" si="2"/>
        <v>0.3525127458</v>
      </c>
      <c r="R72" s="48"/>
      <c r="S72" s="48"/>
      <c r="T72" s="48"/>
      <c r="U72" s="48"/>
      <c r="V72" s="48"/>
      <c r="W72" s="50"/>
      <c r="Z72" s="12"/>
      <c r="AA72" s="12"/>
    </row>
    <row r="73">
      <c r="A73" s="9">
        <f t="shared" si="1"/>
        <v>70</v>
      </c>
      <c r="B73" s="52" t="s">
        <v>206</v>
      </c>
      <c r="C73" s="48">
        <f>IFERROR(DIVIDE(VLOOKUP($B73,Data!$B$3:$AB$1535,9,FALSE),VLOOKUP($B73,Data!$B$3:$AB$1535,4,FALSE)),"")</f>
        <v>0.2406847826</v>
      </c>
      <c r="D73" s="48">
        <f>IFERROR(DIVIDE(VLOOKUP($B73,Data!$B$3:$AB$1535,24,FALSE),VLOOKUP($B73,Data!$B$3:$AB$1535,4,FALSE)),"")</f>
        <v>0.195798913</v>
      </c>
      <c r="E73" s="48">
        <f>IFERROR(DIVIDE(VLOOKUP($B73,Data!$B$3:$EZ1530,29,FALSE),VLOOKUP($B73,Data!$B$3:$EZ1530,4,FALSE)),"")</f>
        <v>0.1637228261</v>
      </c>
      <c r="F73" s="48">
        <f>IFERROR(DIVIDE(VLOOKUP($B73,Data!$B$3:$EZ1530,34,FALSE),VLOOKUP($B73,Data!$B$3:$EZ1530,4,FALSE)),"")</f>
        <v>0.2825</v>
      </c>
      <c r="G73" s="48">
        <f>IFERROR(DIVIDE(VLOOKUP($B73,Data!$B$3:$EZ1530,39,FALSE),VLOOKUP($B73,Data!$B$3:$EZ1530,4,FALSE)),"")</f>
        <v>0.1242934783</v>
      </c>
      <c r="H73" s="48">
        <f>IFERROR(DIVIDE(VLOOKUP($B73,Data!$B$3:$EZ1530,44,FALSE),VLOOKUP($B73,Data!$B$3:$EZ1530,4,FALSE)),"")</f>
        <v>0.2403315217</v>
      </c>
      <c r="I73" s="48">
        <f>IFERROR(MINUS(DIVIDE(VLOOKUP($B73,Data!$B$3:$EZ1530,9,FALSE),VLOOKUP($B73,Data!$B$3:$EZ1530,10,FALSE)),1),"")</f>
        <v>0.06076792258</v>
      </c>
      <c r="J73" s="48" t="str">
        <f>IFERROR(MINUS(DIVIDE(VLOOKUP($B73,Data!$B$3:$EZ1530,24,FALSE),VLOOKUP($B73,Data!$B$3:$EZ1530,25,FALSE)),1),"")</f>
        <v/>
      </c>
      <c r="K73" s="48">
        <f>IFERROR(MINUS(DIVIDE(VLOOKUP($B73,Data!$B$3:$EZ1530,29,FALSE),VLOOKUP($B73,Data!$B$3:$EZ1530,30,FALSE)),1),"")</f>
        <v>0.5113887217</v>
      </c>
      <c r="L73" s="48">
        <f>IFERROR(MINUS(DIVIDE(VLOOKUP($B73,Data!$B$3:$EZ1530,34,FALSE),VLOOKUP($B73,Data!$B$3:$EZ1530,35,FALSE)),1),"")</f>
        <v>0.3942759046</v>
      </c>
      <c r="M73" s="48">
        <f>IFERROR(MINUS(DIVIDE(VLOOKUP($B73,Data!$B$3:$EZ1530,39,FALSE),VLOOKUP($B73,Data!$B$3:$EZ1530,40,FALSE)),1),"")</f>
        <v>0.4320601127</v>
      </c>
      <c r="N73" s="48">
        <f>IFERROR(MINUS(DIVIDE(VLOOKUP($B73,Data!$B$3:$EZ1530,44,FALSE),VLOOKUP($B73,Data!$B$3:$EZ1530,45,FALSE)),1),"")</f>
        <v>0.2400381369</v>
      </c>
      <c r="O73" s="50">
        <f>IFERROR(VLOOKUP($B73,Data!$B$3:$D1530,2,FALSE),"")</f>
        <v>1490000</v>
      </c>
      <c r="P73" s="50">
        <f>IFERROR(VLOOKUP($B73,Data!$B$3:$D1530,3,FALSE),"")</f>
        <v>1020000</v>
      </c>
      <c r="Q73" s="48">
        <f t="shared" si="2"/>
        <v>0.4607843137</v>
      </c>
      <c r="R73" s="48"/>
      <c r="S73" s="48"/>
      <c r="T73" s="48"/>
      <c r="U73" s="48"/>
      <c r="V73" s="48"/>
      <c r="W73" s="50"/>
      <c r="Z73" s="11"/>
      <c r="AA73" s="12"/>
    </row>
    <row r="74">
      <c r="A74" s="9">
        <f t="shared" si="1"/>
        <v>71</v>
      </c>
      <c r="B74" s="52" t="s">
        <v>207</v>
      </c>
      <c r="C74" s="48">
        <f>IFERROR(DIVIDE(VLOOKUP($B74,Data!$B$3:$AB$1535,9,FALSE),VLOOKUP($B74,Data!$B$3:$AB$1535,4,FALSE)),"")</f>
        <v>0.2266514806</v>
      </c>
      <c r="D74" s="48">
        <f>IFERROR(DIVIDE(VLOOKUP($B74,Data!$B$3:$AB$1535,24,FALSE),VLOOKUP($B74,Data!$B$3:$AB$1535,4,FALSE)),"")</f>
        <v>0.1230068337</v>
      </c>
      <c r="E74" s="48">
        <f>IFERROR(DIVIDE(VLOOKUP($B74,Data!$B$3:$EZ1530,29,FALSE),VLOOKUP($B74,Data!$B$3:$EZ1530,4,FALSE)),"")</f>
        <v>0.1161731207</v>
      </c>
      <c r="F74" s="48">
        <f>IFERROR(DIVIDE(VLOOKUP($B74,Data!$B$3:$EZ1530,34,FALSE),VLOOKUP($B74,Data!$B$3:$EZ1530,4,FALSE)),"")</f>
        <v>0.1753986333</v>
      </c>
      <c r="G74" s="48">
        <f>IFERROR(DIVIDE(VLOOKUP($B74,Data!$B$3:$EZ1530,39,FALSE),VLOOKUP($B74,Data!$B$3:$EZ1530,4,FALSE)),"")</f>
        <v>0.08758542141</v>
      </c>
      <c r="H74" s="48">
        <f>IFERROR(DIVIDE(VLOOKUP($B74,Data!$B$3:$EZ1530,44,FALSE),VLOOKUP($B74,Data!$B$3:$EZ1530,4,FALSE)),"")</f>
        <v>0.1958997722</v>
      </c>
      <c r="I74" s="48">
        <f>IFERROR(MINUS(DIVIDE(VLOOKUP($B74,Data!$B$3:$EZ1530,9,FALSE),VLOOKUP($B74,Data!$B$3:$EZ1530,10,FALSE)),1),"")</f>
        <v>0.2208588957</v>
      </c>
      <c r="J74" s="48">
        <f>IFERROR(MINUS(DIVIDE(VLOOKUP($B74,Data!$B$3:$EZ1530,24,FALSE),VLOOKUP($B74,Data!$B$3:$EZ1530,25,FALSE)),1),"")</f>
        <v>0.7363344051</v>
      </c>
      <c r="K74" s="48">
        <f>IFERROR(MINUS(DIVIDE(VLOOKUP($B74,Data!$B$3:$EZ1530,29,FALSE),VLOOKUP($B74,Data!$B$3:$EZ1530,30,FALSE)),1),"")</f>
        <v>0.7435897436</v>
      </c>
      <c r="L74" s="48">
        <f>IFERROR(MINUS(DIVIDE(VLOOKUP($B74,Data!$B$3:$EZ1530,34,FALSE),VLOOKUP($B74,Data!$B$3:$EZ1530,35,FALSE)),1),"")</f>
        <v>0.3628318584</v>
      </c>
      <c r="M74" s="48">
        <f>IFERROR(MINUS(DIVIDE(VLOOKUP($B74,Data!$B$3:$EZ1530,39,FALSE),VLOOKUP($B74,Data!$B$3:$EZ1530,40,FALSE)),1),"")</f>
        <v>0.7597254005</v>
      </c>
      <c r="N74" s="48">
        <f>IFERROR(MINUS(DIVIDE(VLOOKUP($B74,Data!$B$3:$EZ1530,44,FALSE),VLOOKUP($B74,Data!$B$3:$EZ1530,45,FALSE)),1),"")</f>
        <v>0.4333333333</v>
      </c>
      <c r="O74" s="50">
        <f>IFERROR(VLOOKUP($B74,Data!$B$3:$D1530,2,FALSE),"")</f>
        <v>6280000</v>
      </c>
      <c r="P74" s="50">
        <f>IFERROR(VLOOKUP($B74,Data!$B$3:$D1530,3,FALSE),"")</f>
        <v>3910000</v>
      </c>
      <c r="Q74" s="48">
        <f t="shared" si="2"/>
        <v>0.6061381074</v>
      </c>
      <c r="R74" s="48"/>
      <c r="S74" s="48"/>
      <c r="T74" s="48"/>
      <c r="U74" s="48"/>
      <c r="V74" s="48"/>
      <c r="W74" s="50"/>
      <c r="Z74" s="11"/>
      <c r="AA74" s="11"/>
    </row>
    <row r="75">
      <c r="A75" s="9">
        <f t="shared" si="1"/>
        <v>72</v>
      </c>
      <c r="B75" s="47" t="s">
        <v>208</v>
      </c>
      <c r="C75" s="48">
        <f>IFERROR(DIVIDE(VLOOKUP($B75,Data!$B$3:$AB$1535,9,FALSE),VLOOKUP($B75,Data!$B$3:$AB$1535,4,FALSE)),"")</f>
        <v>0.8001709402</v>
      </c>
      <c r="D75" s="48">
        <f>IFERROR(DIVIDE(VLOOKUP($B75,Data!$B$3:$AB$1535,24,FALSE),VLOOKUP($B75,Data!$B$3:$AB$1535,4,FALSE)),"")</f>
        <v>-0.1694700855</v>
      </c>
      <c r="E75" s="48">
        <f>IFERROR(DIVIDE(VLOOKUP($B75,Data!$B$3:$EZ1530,29,FALSE),VLOOKUP($B75,Data!$B$3:$EZ1530,4,FALSE)),"")</f>
        <v>-0.1684273504</v>
      </c>
      <c r="F75" s="48">
        <f>IFERROR(DIVIDE(VLOOKUP($B75,Data!$B$3:$EZ1530,34,FALSE),VLOOKUP($B75,Data!$B$3:$EZ1530,4,FALSE)),"")</f>
        <v>0.004222222222</v>
      </c>
      <c r="G75" s="48">
        <f>IFERROR(DIVIDE(VLOOKUP($B75,Data!$B$3:$EZ1530,39,FALSE),VLOOKUP($B75,Data!$B$3:$EZ1530,4,FALSE)),"")</f>
        <v>-0.1680512821</v>
      </c>
      <c r="H75" s="48">
        <f>IFERROR(DIVIDE(VLOOKUP($B75,Data!$B$3:$EZ1530,44,FALSE),VLOOKUP($B75,Data!$B$3:$EZ1530,4,FALSE)),"")</f>
        <v>0.06939316239</v>
      </c>
      <c r="I75" s="48">
        <f>IFERROR(MINUS(DIVIDE(VLOOKUP($B75,Data!$B$3:$EZ1530,9,FALSE),VLOOKUP($B75,Data!$B$3:$EZ1530,10,FALSE)),1),"")</f>
        <v>0.1134766113</v>
      </c>
      <c r="J75" s="48">
        <f>IFERROR(MINUS(DIVIDE(VLOOKUP($B75,Data!$B$3:$EZ1530,24,FALSE),VLOOKUP($B75,Data!$B$3:$EZ1530,25,FALSE)),1),"")</f>
        <v>0.6382715029</v>
      </c>
      <c r="K75" s="48">
        <f>IFERROR(MINUS(DIVIDE(VLOOKUP($B75,Data!$B$3:$EZ1530,29,FALSE),VLOOKUP($B75,Data!$B$3:$EZ1530,30,FALSE)),1),"")</f>
        <v>0.5520201622</v>
      </c>
      <c r="L75" s="48">
        <f>IFERROR(MINUS(DIVIDE(VLOOKUP($B75,Data!$B$3:$EZ1530,34,FALSE),VLOOKUP($B75,Data!$B$3:$EZ1530,35,FALSE)),1),"")</f>
        <v>-0.5171065494</v>
      </c>
      <c r="M75" s="48">
        <f>IFERROR(MINUS(DIVIDE(VLOOKUP($B75,Data!$B$3:$EZ1530,39,FALSE),VLOOKUP($B75,Data!$B$3:$EZ1530,40,FALSE)),1),"")</f>
        <v>0.4113846816</v>
      </c>
      <c r="N75" s="48">
        <f>IFERROR(MINUS(DIVIDE(VLOOKUP($B75,Data!$B$3:$EZ1530,44,FALSE),VLOOKUP($B75,Data!$B$3:$EZ1530,45,FALSE)),1),"")</f>
        <v>-0.1822119259</v>
      </c>
      <c r="O75" s="50">
        <f>IFERROR(VLOOKUP($B75,Data!$B$3:$D1530,2,FALSE),"")</f>
        <v>1080000</v>
      </c>
      <c r="P75" s="50">
        <f>IFERROR(VLOOKUP($B75,Data!$B$3:$D1530,3,FALSE),"")</f>
        <v>979190</v>
      </c>
      <c r="Q75" s="48">
        <f t="shared" si="2"/>
        <v>0.1029524403</v>
      </c>
      <c r="R75" s="48"/>
      <c r="S75" s="48"/>
      <c r="T75" s="48"/>
      <c r="U75" s="48"/>
      <c r="V75" s="48"/>
      <c r="W75" s="50"/>
      <c r="Z75" s="19"/>
      <c r="AA75" s="19"/>
    </row>
    <row r="76">
      <c r="A76" s="9">
        <f t="shared" si="1"/>
        <v>73</v>
      </c>
      <c r="B76" s="47" t="s">
        <v>209</v>
      </c>
      <c r="C76" s="48" t="str">
        <f>IFERROR(DIVIDE(VLOOKUP($B76,Data!$B$3:$AB$1535,9,FALSE),VLOOKUP($B76,Data!$B$3:$AB$1535,4,FALSE)),"")</f>
        <v/>
      </c>
      <c r="D76" s="48" t="str">
        <f>IFERROR(DIVIDE(VLOOKUP($B76,Data!$B$3:$AB$1535,24,FALSE),VLOOKUP($B76,Data!$B$3:$AB$1535,4,FALSE)),"")</f>
        <v/>
      </c>
      <c r="E76" s="48" t="str">
        <f>IFERROR(DIVIDE(VLOOKUP($B76,Data!$B$3:$EZ1530,29,FALSE),VLOOKUP($B76,Data!$B$3:$EZ1530,4,FALSE)),"")</f>
        <v/>
      </c>
      <c r="F76" s="48" t="str">
        <f>IFERROR(DIVIDE(VLOOKUP($B76,Data!$B$3:$EZ1530,34,FALSE),VLOOKUP($B76,Data!$B$3:$EZ1530,4,FALSE)),"")</f>
        <v/>
      </c>
      <c r="G76" s="48" t="str">
        <f>IFERROR(DIVIDE(VLOOKUP($B76,Data!$B$3:$EZ1530,39,FALSE),VLOOKUP($B76,Data!$B$3:$EZ1530,4,FALSE)),"")</f>
        <v/>
      </c>
      <c r="H76" s="48" t="str">
        <f>IFERROR(DIVIDE(VLOOKUP($B76,Data!$B$3:$EZ1530,44,FALSE),VLOOKUP($B76,Data!$B$3:$EZ1530,4,FALSE)),"")</f>
        <v/>
      </c>
      <c r="I76" s="48">
        <f>IFERROR(MINUS(DIVIDE(VLOOKUP($B76,Data!$B$3:$EZ1530,9,FALSE),VLOOKUP($B76,Data!$B$3:$EZ1530,10,FALSE)),1),"")</f>
        <v>5.239669421</v>
      </c>
      <c r="J76" s="48" t="str">
        <f>IFERROR(MINUS(DIVIDE(VLOOKUP($B76,Data!$B$3:$EZ1530,24,FALSE),VLOOKUP($B76,Data!$B$3:$EZ1530,25,FALSE)),1),"")</f>
        <v/>
      </c>
      <c r="K76" s="48">
        <f>IFERROR(MINUS(DIVIDE(VLOOKUP($B76,Data!$B$3:$EZ1530,29,FALSE),VLOOKUP($B76,Data!$B$3:$EZ1530,30,FALSE)),1),"")</f>
        <v>0.9607257694</v>
      </c>
      <c r="L76" s="48">
        <f>IFERROR(MINUS(DIVIDE(VLOOKUP($B76,Data!$B$3:$EZ1530,34,FALSE),VLOOKUP($B76,Data!$B$3:$EZ1530,35,FALSE)),1),"")</f>
        <v>0.9769129288</v>
      </c>
      <c r="M76" s="48">
        <f>IFERROR(MINUS(DIVIDE(VLOOKUP($B76,Data!$B$3:$EZ1530,39,FALSE),VLOOKUP($B76,Data!$B$3:$EZ1530,40,FALSE)),1),"")</f>
        <v>0.9607257694</v>
      </c>
      <c r="N76" s="48">
        <f>IFERROR(MINUS(DIVIDE(VLOOKUP($B76,Data!$B$3:$EZ1530,44,FALSE),VLOOKUP($B76,Data!$B$3:$EZ1530,45,FALSE)),1),"")</f>
        <v>0.6387516255</v>
      </c>
      <c r="O76" s="50" t="str">
        <f>IFERROR(VLOOKUP($B76,Data!$B$3:$D1530,2,FALSE),"")</f>
        <v/>
      </c>
      <c r="P76" s="50" t="str">
        <f>IFERROR(VLOOKUP($B76,Data!$B$3:$D1530,3,FALSE),"")</f>
        <v/>
      </c>
      <c r="Q76" s="48" t="str">
        <f t="shared" si="2"/>
        <v/>
      </c>
      <c r="R76" s="48"/>
      <c r="S76" s="48"/>
      <c r="T76" s="48"/>
      <c r="U76" s="48"/>
      <c r="V76" s="48"/>
      <c r="W76" s="50"/>
      <c r="Z76" s="19"/>
      <c r="AA76" s="19"/>
    </row>
    <row r="77">
      <c r="A77" s="9">
        <f t="shared" si="1"/>
        <v>74</v>
      </c>
      <c r="B77" s="47" t="s">
        <v>210</v>
      </c>
      <c r="C77" s="48" t="str">
        <f>IFERROR(DIVIDE(VLOOKUP($B77,Data!$B$3:$AB$1535,9,FALSE),VLOOKUP($B77,Data!$B$3:$AB$1535,4,FALSE)),"")</f>
        <v/>
      </c>
      <c r="D77" s="48" t="str">
        <f>IFERROR(DIVIDE(VLOOKUP($B77,Data!$B$3:$AB$1535,24,FALSE),VLOOKUP($B77,Data!$B$3:$AB$1535,4,FALSE)),"")</f>
        <v/>
      </c>
      <c r="E77" s="48" t="str">
        <f>IFERROR(DIVIDE(VLOOKUP($B77,Data!$B$3:$EZ1530,29,FALSE),VLOOKUP($B77,Data!$B$3:$EZ1530,4,FALSE)),"")</f>
        <v/>
      </c>
      <c r="F77" s="48" t="str">
        <f>IFERROR(DIVIDE(VLOOKUP($B77,Data!$B$3:$EZ1530,34,FALSE),VLOOKUP($B77,Data!$B$3:$EZ1530,4,FALSE)),"")</f>
        <v/>
      </c>
      <c r="G77" s="48" t="str">
        <f>IFERROR(DIVIDE(VLOOKUP($B77,Data!$B$3:$EZ1530,39,FALSE),VLOOKUP($B77,Data!$B$3:$EZ1530,4,FALSE)),"")</f>
        <v/>
      </c>
      <c r="H77" s="48" t="str">
        <f>IFERROR(DIVIDE(VLOOKUP($B77,Data!$B$3:$EZ1530,44,FALSE),VLOOKUP($B77,Data!$B$3:$EZ1530,4,FALSE)),"")</f>
        <v/>
      </c>
      <c r="I77" s="48">
        <f>IFERROR(MINUS(DIVIDE(VLOOKUP($B77,Data!$B$3:$EZ1530,9,FALSE),VLOOKUP($B77,Data!$B$3:$EZ1530,10,FALSE)),1),"")</f>
        <v>2.353333333</v>
      </c>
      <c r="J77" s="48">
        <f>IFERROR(MINUS(DIVIDE(VLOOKUP($B77,Data!$B$3:$EZ1530,24,FALSE),VLOOKUP($B77,Data!$B$3:$EZ1530,25,FALSE)),1),"")</f>
        <v>-1</v>
      </c>
      <c r="K77" s="48">
        <f>IFERROR(MINUS(DIVIDE(VLOOKUP($B77,Data!$B$3:$EZ1530,29,FALSE),VLOOKUP($B77,Data!$B$3:$EZ1530,30,FALSE)),1),"")</f>
        <v>-0.1261222947</v>
      </c>
      <c r="L77" s="48">
        <f>IFERROR(MINUS(DIVIDE(VLOOKUP($B77,Data!$B$3:$EZ1530,34,FALSE),VLOOKUP($B77,Data!$B$3:$EZ1530,35,FALSE)),1),"")</f>
        <v>1.404834575</v>
      </c>
      <c r="M77" s="48">
        <f>IFERROR(MINUS(DIVIDE(VLOOKUP($B77,Data!$B$3:$EZ1530,39,FALSE),VLOOKUP($B77,Data!$B$3:$EZ1530,40,FALSE)),1),"")</f>
        <v>-0.1272753061</v>
      </c>
      <c r="N77" s="48">
        <f>IFERROR(MINUS(DIVIDE(VLOOKUP($B77,Data!$B$3:$EZ1530,44,FALSE),VLOOKUP($B77,Data!$B$3:$EZ1530,45,FALSE)),1),"")</f>
        <v>2.076147816</v>
      </c>
      <c r="O77" s="50" t="str">
        <f>IFERROR(VLOOKUP($B77,Data!$B$3:$D1530,2,FALSE),"")</f>
        <v/>
      </c>
      <c r="P77" s="50" t="str">
        <f>IFERROR(VLOOKUP($B77,Data!$B$3:$D1530,3,FALSE),"")</f>
        <v/>
      </c>
      <c r="Q77" s="48" t="str">
        <f t="shared" si="2"/>
        <v/>
      </c>
      <c r="R77" s="48"/>
      <c r="S77" s="48"/>
      <c r="T77" s="48"/>
      <c r="U77" s="48"/>
      <c r="V77" s="48"/>
      <c r="W77" s="50"/>
      <c r="Z77" s="11"/>
      <c r="AA77" s="11"/>
    </row>
    <row r="78">
      <c r="A78" s="9">
        <f t="shared" si="1"/>
        <v>75</v>
      </c>
      <c r="B78" s="47" t="s">
        <v>211</v>
      </c>
      <c r="C78" s="48">
        <f>IFERROR(DIVIDE(VLOOKUP($B78,Data!$B$3:$AB$1535,9,FALSE),VLOOKUP($B78,Data!$B$3:$AB$1535,4,FALSE)),"")</f>
        <v>0.8859613197</v>
      </c>
      <c r="D78" s="48">
        <f>IFERROR(DIVIDE(VLOOKUP($B78,Data!$B$3:$AB$1535,24,FALSE),VLOOKUP($B78,Data!$B$3:$AB$1535,4,FALSE)),"")</f>
        <v>-4.232127418</v>
      </c>
      <c r="E78" s="48">
        <f>IFERROR(DIVIDE(VLOOKUP($B78,Data!$B$3:$EZ1530,29,FALSE),VLOOKUP($B78,Data!$B$3:$EZ1530,4,FALSE)),"")</f>
        <v>-4.028441411</v>
      </c>
      <c r="F78" s="48">
        <f>IFERROR(DIVIDE(VLOOKUP($B78,Data!$B$3:$EZ1530,34,FALSE),VLOOKUP($B78,Data!$B$3:$EZ1530,4,FALSE)),"")</f>
        <v>-4.196860068</v>
      </c>
      <c r="G78" s="48">
        <f>IFERROR(DIVIDE(VLOOKUP($B78,Data!$B$3:$EZ1530,39,FALSE),VLOOKUP($B78,Data!$B$3:$EZ1530,4,FALSE)),"")</f>
        <v>-4.032400455</v>
      </c>
      <c r="H78" s="48">
        <f>IFERROR(DIVIDE(VLOOKUP($B78,Data!$B$3:$EZ1530,44,FALSE),VLOOKUP($B78,Data!$B$3:$EZ1530,4,FALSE)),"")</f>
        <v>-1.113629124</v>
      </c>
      <c r="I78" s="48">
        <f>IFERROR(MINUS(DIVIDE(VLOOKUP($B78,Data!$B$3:$EZ1530,9,FALSE),VLOOKUP($B78,Data!$B$3:$EZ1530,10,FALSE)),1),"")</f>
        <v>1.92020399</v>
      </c>
      <c r="J78" s="48">
        <f>IFERROR(MINUS(DIVIDE(VLOOKUP($B78,Data!$B$3:$EZ1530,24,FALSE),VLOOKUP($B78,Data!$B$3:$EZ1530,25,FALSE)),1),"")</f>
        <v>0.1711349813</v>
      </c>
      <c r="K78" s="48">
        <f>IFERROR(MINUS(DIVIDE(VLOOKUP($B78,Data!$B$3:$EZ1530,29,FALSE),VLOOKUP($B78,Data!$B$3:$EZ1530,30,FALSE)),1),"")</f>
        <v>0.1637766706</v>
      </c>
      <c r="L78" s="48">
        <f>IFERROR(MINUS(DIVIDE(VLOOKUP($B78,Data!$B$3:$EZ1530,34,FALSE),VLOOKUP($B78,Data!$B$3:$EZ1530,35,FALSE)),1),"")</f>
        <v>0.1410719588</v>
      </c>
      <c r="M78" s="48">
        <f>IFERROR(MINUS(DIVIDE(VLOOKUP($B78,Data!$B$3:$EZ1530,39,FALSE),VLOOKUP($B78,Data!$B$3:$EZ1530,40,FALSE)),1),"")</f>
        <v>0.1636506894</v>
      </c>
      <c r="N78" s="48">
        <f>IFERROR(MINUS(DIVIDE(VLOOKUP($B78,Data!$B$3:$EZ1530,44,FALSE),VLOOKUP($B78,Data!$B$3:$EZ1530,45,FALSE)),1),"")</f>
        <v>-0.5650350148</v>
      </c>
      <c r="O78" s="50">
        <f>IFERROR(VLOOKUP($B78,Data!$B$3:$D1530,2,FALSE),"")</f>
        <v>813850</v>
      </c>
      <c r="P78" s="50">
        <f>IFERROR(VLOOKUP($B78,Data!$B$3:$D1530,3,FALSE),"")</f>
        <v>469610</v>
      </c>
      <c r="Q78" s="48">
        <f t="shared" si="2"/>
        <v>0.733033794</v>
      </c>
      <c r="R78" s="48"/>
      <c r="S78" s="48"/>
      <c r="T78" s="48"/>
      <c r="U78" s="48"/>
      <c r="V78" s="48"/>
      <c r="W78" s="50"/>
      <c r="Z78" s="12"/>
      <c r="AA78" s="12"/>
    </row>
    <row r="79">
      <c r="A79" s="9">
        <f t="shared" si="1"/>
        <v>76</v>
      </c>
      <c r="B79" s="47" t="s">
        <v>212</v>
      </c>
      <c r="C79" s="48">
        <f>IFERROR(DIVIDE(VLOOKUP($B79,Data!$B$3:$AB$1535,9,FALSE),VLOOKUP($B79,Data!$B$3:$AB$1535,4,FALSE)),"")</f>
        <v>0</v>
      </c>
      <c r="D79" s="48">
        <f>IFERROR(DIVIDE(VLOOKUP($B79,Data!$B$3:$AB$1535,24,FALSE),VLOOKUP($B79,Data!$B$3:$AB$1535,4,FALSE)),"")</f>
        <v>0</v>
      </c>
      <c r="E79" s="48">
        <f>IFERROR(DIVIDE(VLOOKUP($B79,Data!$B$3:$EZ1530,29,FALSE),VLOOKUP($B79,Data!$B$3:$EZ1530,4,FALSE)),"")</f>
        <v>-24.05172414</v>
      </c>
      <c r="F79" s="48">
        <f>IFERROR(DIVIDE(VLOOKUP($B79,Data!$B$3:$EZ1530,34,FALSE),VLOOKUP($B79,Data!$B$3:$EZ1530,4,FALSE)),"")</f>
        <v>-24.77586207</v>
      </c>
      <c r="G79" s="48">
        <f>IFERROR(DIVIDE(VLOOKUP($B79,Data!$B$3:$EZ1530,39,FALSE),VLOOKUP($B79,Data!$B$3:$EZ1530,4,FALSE)),"")</f>
        <v>-24.05172414</v>
      </c>
      <c r="H79" s="48">
        <f>IFERROR(DIVIDE(VLOOKUP($B79,Data!$B$3:$EZ1530,44,FALSE),VLOOKUP($B79,Data!$B$3:$EZ1530,4,FALSE)),"")</f>
        <v>-20.20114943</v>
      </c>
      <c r="I79" s="48" t="str">
        <f>IFERROR(MINUS(DIVIDE(VLOOKUP($B79,Data!$B$3:$EZ1530,9,FALSE),VLOOKUP($B79,Data!$B$3:$EZ1530,10,FALSE)),1),"")</f>
        <v/>
      </c>
      <c r="J79" s="48" t="str">
        <f>IFERROR(MINUS(DIVIDE(VLOOKUP($B79,Data!$B$3:$EZ1530,24,FALSE),VLOOKUP($B79,Data!$B$3:$EZ1530,25,FALSE)),1),"")</f>
        <v/>
      </c>
      <c r="K79" s="48">
        <f>IFERROR(MINUS(DIVIDE(VLOOKUP($B79,Data!$B$3:$EZ1530,29,FALSE),VLOOKUP($B79,Data!$B$3:$EZ1530,30,FALSE)),1),"")</f>
        <v>0.1356852103</v>
      </c>
      <c r="L79" s="48">
        <f>IFERROR(MINUS(DIVIDE(VLOOKUP($B79,Data!$B$3:$EZ1530,34,FALSE),VLOOKUP($B79,Data!$B$3:$EZ1530,35,FALSE)),1),"")</f>
        <v>0.1895695364</v>
      </c>
      <c r="M79" s="48">
        <f>IFERROR(MINUS(DIVIDE(VLOOKUP($B79,Data!$B$3:$EZ1530,39,FALSE),VLOOKUP($B79,Data!$B$3:$EZ1530,40,FALSE)),1),"")</f>
        <v>0.1468895588</v>
      </c>
      <c r="N79" s="48">
        <f>IFERROR(MINUS(DIVIDE(VLOOKUP($B79,Data!$B$3:$EZ1530,44,FALSE),VLOOKUP($B79,Data!$B$3:$EZ1530,45,FALSE)),1),"")</f>
        <v>0.2368050669</v>
      </c>
      <c r="O79" s="50">
        <f>IFERROR(VLOOKUP($B79,Data!$B$3:$D1530,2,FALSE),"")</f>
        <v>40370</v>
      </c>
      <c r="P79" s="50">
        <f>IFERROR(VLOOKUP($B79,Data!$B$3:$D1530,3,FALSE),"")</f>
        <v>24100</v>
      </c>
      <c r="Q79" s="48">
        <f t="shared" si="2"/>
        <v>0.6751037344</v>
      </c>
      <c r="R79" s="48"/>
      <c r="S79" s="48"/>
      <c r="T79" s="48"/>
      <c r="U79" s="48"/>
      <c r="V79" s="48"/>
      <c r="W79" s="50"/>
      <c r="Z79" s="12"/>
      <c r="AA79" s="12"/>
    </row>
    <row r="80">
      <c r="A80" s="9">
        <f t="shared" si="1"/>
        <v>77</v>
      </c>
      <c r="B80" s="47" t="s">
        <v>213</v>
      </c>
      <c r="C80" s="48">
        <f>IFERROR(DIVIDE(VLOOKUP($B80,Data!$B$3:$AB$1535,9,FALSE),VLOOKUP($B80,Data!$B$3:$AB$1535,4,FALSE)),"")</f>
        <v>0</v>
      </c>
      <c r="D80" s="48">
        <f>IFERROR(DIVIDE(VLOOKUP($B80,Data!$B$3:$AB$1535,24,FALSE),VLOOKUP($B80,Data!$B$3:$AB$1535,4,FALSE)),"")</f>
        <v>-3.694827586</v>
      </c>
      <c r="E80" s="48">
        <f>IFERROR(DIVIDE(VLOOKUP($B80,Data!$B$3:$EZ1530,29,FALSE),VLOOKUP($B80,Data!$B$3:$EZ1530,4,FALSE)),"")</f>
        <v>-3.548275862</v>
      </c>
      <c r="F80" s="48">
        <f>IFERROR(DIVIDE(VLOOKUP($B80,Data!$B$3:$EZ1530,34,FALSE),VLOOKUP($B80,Data!$B$3:$EZ1530,4,FALSE)),"")</f>
        <v>-2.870689655</v>
      </c>
      <c r="G80" s="48">
        <f>IFERROR(DIVIDE(VLOOKUP($B80,Data!$B$3:$EZ1530,39,FALSE),VLOOKUP($B80,Data!$B$3:$EZ1530,4,FALSE)),"")</f>
        <v>-3.537931034</v>
      </c>
      <c r="H80" s="48">
        <f>IFERROR(DIVIDE(VLOOKUP($B80,Data!$B$3:$EZ1530,44,FALSE),VLOOKUP($B80,Data!$B$3:$EZ1530,4,FALSE)),"")</f>
        <v>-1.655172414</v>
      </c>
      <c r="I80" s="48" t="str">
        <f>IFERROR(MINUS(DIVIDE(VLOOKUP($B80,Data!$B$3:$EZ1530,9,FALSE),VLOOKUP($B80,Data!$B$3:$EZ1530,10,FALSE)),1),"")</f>
        <v/>
      </c>
      <c r="J80" s="48">
        <f>IFERROR(MINUS(DIVIDE(VLOOKUP($B80,Data!$B$3:$EZ1530,24,FALSE),VLOOKUP($B80,Data!$B$3:$EZ1530,25,FALSE)),1),"")</f>
        <v>-0.5293213266</v>
      </c>
      <c r="K80" s="48">
        <f>IFERROR(MINUS(DIVIDE(VLOOKUP($B80,Data!$B$3:$EZ1530,29,FALSE),VLOOKUP($B80,Data!$B$3:$EZ1530,30,FALSE)),1),"")</f>
        <v>-0.5458958517</v>
      </c>
      <c r="L80" s="48">
        <f>IFERROR(MINUS(DIVIDE(VLOOKUP($B80,Data!$B$3:$EZ1530,34,FALSE),VLOOKUP($B80,Data!$B$3:$EZ1530,35,FALSE)),1),"")</f>
        <v>-0.05343945424</v>
      </c>
      <c r="M80" s="48">
        <f>IFERROR(MINUS(DIVIDE(VLOOKUP($B80,Data!$B$3:$EZ1530,39,FALSE),VLOOKUP($B80,Data!$B$3:$EZ1530,40,FALSE)),1),"")</f>
        <v>-0.4761296911</v>
      </c>
      <c r="N80" s="48">
        <f>IFERROR(MINUS(DIVIDE(VLOOKUP($B80,Data!$B$3:$EZ1530,44,FALSE),VLOOKUP($B80,Data!$B$3:$EZ1530,45,FALSE)),1),"")</f>
        <v>0.02236421725</v>
      </c>
      <c r="O80" s="50">
        <f>IFERROR(VLOOKUP($B80,Data!$B$3:$D1530,2,FALSE),"")</f>
        <v>227200</v>
      </c>
      <c r="P80" s="50">
        <f>IFERROR(VLOOKUP($B80,Data!$B$3:$D1530,3,FALSE),"")</f>
        <v>4280</v>
      </c>
      <c r="Q80" s="48">
        <f t="shared" si="2"/>
        <v>52.08411215</v>
      </c>
      <c r="R80" s="48"/>
      <c r="S80" s="48"/>
      <c r="T80" s="48"/>
      <c r="U80" s="48"/>
      <c r="V80" s="48"/>
      <c r="W80" s="50"/>
      <c r="Z80" s="11"/>
      <c r="AA80" s="11"/>
    </row>
    <row r="81">
      <c r="A81" s="9">
        <f t="shared" si="1"/>
        <v>78</v>
      </c>
      <c r="B81" s="47" t="s">
        <v>214</v>
      </c>
      <c r="C81" s="48">
        <f>IFERROR(DIVIDE(VLOOKUP($B81,Data!$B$3:$AB$1535,9,FALSE),VLOOKUP($B81,Data!$B$3:$AB$1535,4,FALSE)),"")</f>
        <v>0.8585858586</v>
      </c>
      <c r="D81" s="48">
        <f>IFERROR(DIVIDE(VLOOKUP($B81,Data!$B$3:$AB$1535,24,FALSE),VLOOKUP($B81,Data!$B$3:$AB$1535,4,FALSE)),"")</f>
        <v>0.4222222222</v>
      </c>
      <c r="E81" s="48">
        <f>IFERROR(DIVIDE(VLOOKUP($B81,Data!$B$3:$EZ1530,29,FALSE),VLOOKUP($B81,Data!$B$3:$EZ1530,4,FALSE)),"")</f>
        <v>0.4404040404</v>
      </c>
      <c r="F81" s="48">
        <f>IFERROR(DIVIDE(VLOOKUP($B81,Data!$B$3:$EZ1530,34,FALSE),VLOOKUP($B81,Data!$B$3:$EZ1530,4,FALSE)),"")</f>
        <v>0.501010101</v>
      </c>
      <c r="G81" s="48">
        <f>IFERROR(DIVIDE(VLOOKUP($B81,Data!$B$3:$EZ1530,39,FALSE),VLOOKUP($B81,Data!$B$3:$EZ1530,4,FALSE)),"")</f>
        <v>0.4848484848</v>
      </c>
      <c r="H81" s="48">
        <f>IFERROR(DIVIDE(VLOOKUP($B81,Data!$B$3:$EZ1530,44,FALSE),VLOOKUP($B81,Data!$B$3:$EZ1530,4,FALSE)),"")</f>
        <v>0.4202020202</v>
      </c>
      <c r="I81" s="48">
        <f>IFERROR(MINUS(DIVIDE(VLOOKUP($B81,Data!$B$3:$EZ1530,9,FALSE),VLOOKUP($B81,Data!$B$3:$EZ1530,10,FALSE)),1),"")</f>
        <v>0.2354651163</v>
      </c>
      <c r="J81" s="48">
        <f>IFERROR(MINUS(DIVIDE(VLOOKUP($B81,Data!$B$3:$EZ1530,24,FALSE),VLOOKUP($B81,Data!$B$3:$EZ1530,25,FALSE)),1),"")</f>
        <v>6.697974217</v>
      </c>
      <c r="K81" s="48">
        <f>IFERROR(MINUS(DIVIDE(VLOOKUP($B81,Data!$B$3:$EZ1530,29,FALSE),VLOOKUP($B81,Data!$B$3:$EZ1530,30,FALSE)),1),"")</f>
        <v>8.000825764</v>
      </c>
      <c r="L81" s="48">
        <f>IFERROR(MINUS(DIVIDE(VLOOKUP($B81,Data!$B$3:$EZ1530,34,FALSE),VLOOKUP($B81,Data!$B$3:$EZ1530,35,FALSE)),1),"")</f>
        <v>0.2277227723</v>
      </c>
      <c r="M81" s="48">
        <f>IFERROR(MINUS(DIVIDE(VLOOKUP($B81,Data!$B$3:$EZ1530,39,FALSE),VLOOKUP($B81,Data!$B$3:$EZ1530,40,FALSE)),1),"")</f>
        <v>29.92783505</v>
      </c>
      <c r="N81" s="48">
        <f>IFERROR(MINUS(DIVIDE(VLOOKUP($B81,Data!$B$3:$EZ1530,44,FALSE),VLOOKUP($B81,Data!$B$3:$EZ1530,45,FALSE)),1),"")</f>
        <v>3.882629108</v>
      </c>
      <c r="O81" s="50">
        <f>IFERROR(VLOOKUP($B81,Data!$B$3:$D1530,2,FALSE),"")</f>
        <v>6280000</v>
      </c>
      <c r="P81" s="50">
        <f>IFERROR(VLOOKUP($B81,Data!$B$3:$D1530,3,FALSE),"")</f>
        <v>5660000</v>
      </c>
      <c r="Q81" s="48">
        <f t="shared" si="2"/>
        <v>0.109540636</v>
      </c>
      <c r="R81" s="48"/>
      <c r="S81" s="48"/>
      <c r="T81" s="48"/>
      <c r="U81" s="48"/>
      <c r="V81" s="48"/>
      <c r="W81" s="50"/>
      <c r="Z81" s="11"/>
      <c r="AA81" s="11"/>
    </row>
    <row r="82">
      <c r="A82" s="9">
        <f t="shared" si="1"/>
        <v>79</v>
      </c>
      <c r="B82" s="47" t="s">
        <v>215</v>
      </c>
      <c r="C82" s="48">
        <f>IFERROR(DIVIDE(VLOOKUP($B82,Data!$B$3:$AB$1535,9,FALSE),VLOOKUP($B82,Data!$B$3:$AB$1535,4,FALSE)),"")</f>
        <v>0.09083333333</v>
      </c>
      <c r="D82" s="48">
        <f>IFERROR(DIVIDE(VLOOKUP($B82,Data!$B$3:$AB$1535,24,FALSE),VLOOKUP($B82,Data!$B$3:$AB$1535,4,FALSE)),"")</f>
        <v>0</v>
      </c>
      <c r="E82" s="48">
        <f>IFERROR(DIVIDE(VLOOKUP($B82,Data!$B$3:$EZ1530,29,FALSE),VLOOKUP($B82,Data!$B$3:$EZ1530,4,FALSE)),"")</f>
        <v>-4.002083333</v>
      </c>
      <c r="F82" s="48">
        <f>IFERROR(DIVIDE(VLOOKUP($B82,Data!$B$3:$EZ1530,34,FALSE),VLOOKUP($B82,Data!$B$3:$EZ1530,4,FALSE)),"")</f>
        <v>-3.90625</v>
      </c>
      <c r="G82" s="48">
        <f>IFERROR(DIVIDE(VLOOKUP($B82,Data!$B$3:$EZ1530,39,FALSE),VLOOKUP($B82,Data!$B$3:$EZ1530,4,FALSE)),"")</f>
        <v>-4.008333333</v>
      </c>
      <c r="H82" s="48">
        <f>IFERROR(DIVIDE(VLOOKUP($B82,Data!$B$3:$EZ1530,44,FALSE),VLOOKUP($B82,Data!$B$3:$EZ1530,4,FALSE)),"")</f>
        <v>-2.96875</v>
      </c>
      <c r="I82" s="48">
        <f>IFERROR(MINUS(DIVIDE(VLOOKUP($B82,Data!$B$3:$EZ1530,9,FALSE),VLOOKUP($B82,Data!$B$3:$EZ1530,10,FALSE)),1),"")</f>
        <v>1.331550802</v>
      </c>
      <c r="J82" s="48" t="str">
        <f>IFERROR(MINUS(DIVIDE(VLOOKUP($B82,Data!$B$3:$EZ1530,24,FALSE),VLOOKUP($B82,Data!$B$3:$EZ1530,25,FALSE)),1),"")</f>
        <v/>
      </c>
      <c r="K82" s="48">
        <f>IFERROR(MINUS(DIVIDE(VLOOKUP($B82,Data!$B$3:$EZ1530,29,FALSE),VLOOKUP($B82,Data!$B$3:$EZ1530,30,FALSE)),1),"")</f>
        <v>0.4032140248</v>
      </c>
      <c r="L82" s="48">
        <f>IFERROR(MINUS(DIVIDE(VLOOKUP($B82,Data!$B$3:$EZ1530,34,FALSE),VLOOKUP($B82,Data!$B$3:$EZ1530,35,FALSE)),1),"")</f>
        <v>0.4150943396</v>
      </c>
      <c r="M82" s="48">
        <f>IFERROR(MINUS(DIVIDE(VLOOKUP($B82,Data!$B$3:$EZ1530,39,FALSE),VLOOKUP($B82,Data!$B$3:$EZ1530,40,FALSE)),1),"")</f>
        <v>0.4013109978</v>
      </c>
      <c r="N82" s="48">
        <f>IFERROR(MINUS(DIVIDE(VLOOKUP($B82,Data!$B$3:$EZ1530,44,FALSE),VLOOKUP($B82,Data!$B$3:$EZ1530,45,FALSE)),1),"")</f>
        <v>0.08036391205</v>
      </c>
      <c r="O82" s="50">
        <f>IFERROR(VLOOKUP($B82,Data!$B$3:$D1530,2,FALSE),"")</f>
        <v>2530</v>
      </c>
      <c r="P82" s="50">
        <f>IFERROR(VLOOKUP($B82,Data!$B$3:$D1530,3,FALSE),"")</f>
        <v>2190</v>
      </c>
      <c r="Q82" s="48">
        <f t="shared" si="2"/>
        <v>0.1552511416</v>
      </c>
      <c r="R82" s="48"/>
      <c r="S82" s="48"/>
      <c r="T82" s="48"/>
      <c r="U82" s="48"/>
      <c r="V82" s="48"/>
      <c r="W82" s="50"/>
      <c r="Z82" s="11"/>
      <c r="AA82" s="11"/>
    </row>
    <row r="83">
      <c r="A83" s="9">
        <f t="shared" si="1"/>
        <v>80</v>
      </c>
      <c r="B83" s="47" t="s">
        <v>216</v>
      </c>
      <c r="C83" s="48">
        <f>IFERROR(DIVIDE(VLOOKUP($B83,Data!$B$3:$AB$1535,9,FALSE),VLOOKUP($B83,Data!$B$3:$AB$1535,4,FALSE)),"")</f>
        <v>0.6651411137</v>
      </c>
      <c r="D83" s="48">
        <f>IFERROR(DIVIDE(VLOOKUP($B83,Data!$B$3:$AB$1535,24,FALSE),VLOOKUP($B83,Data!$B$3:$AB$1535,4,FALSE)),"")</f>
        <v>-1.359298246</v>
      </c>
      <c r="E83" s="48">
        <f>IFERROR(DIVIDE(VLOOKUP($B83,Data!$B$3:$EZ1530,29,FALSE),VLOOKUP($B83,Data!$B$3:$EZ1530,4,FALSE)),"")</f>
        <v>-1.423340961</v>
      </c>
      <c r="F83" s="48">
        <f>IFERROR(DIVIDE(VLOOKUP($B83,Data!$B$3:$EZ1530,34,FALSE),VLOOKUP($B83,Data!$B$3:$EZ1530,4,FALSE)),"")</f>
        <v>-0.3082837529</v>
      </c>
      <c r="G83" s="48">
        <f>IFERROR(DIVIDE(VLOOKUP($B83,Data!$B$3:$EZ1530,39,FALSE),VLOOKUP($B83,Data!$B$3:$EZ1530,4,FALSE)),"")</f>
        <v>-1.423218917</v>
      </c>
      <c r="H83" s="48">
        <f>IFERROR(DIVIDE(VLOOKUP($B83,Data!$B$3:$EZ1530,44,FALSE),VLOOKUP($B83,Data!$B$3:$EZ1530,4,FALSE)),"")</f>
        <v>-0.3835240275</v>
      </c>
      <c r="I83" s="48">
        <f>IFERROR(MINUS(DIVIDE(VLOOKUP($B83,Data!$B$3:$EZ1530,9,FALSE),VLOOKUP($B83,Data!$B$3:$EZ1530,10,FALSE)),1),"")</f>
        <v>-0.1500974659</v>
      </c>
      <c r="J83" s="48">
        <f>IFERROR(MINUS(DIVIDE(VLOOKUP($B83,Data!$B$3:$EZ1530,24,FALSE),VLOOKUP($B83,Data!$B$3:$EZ1530,25,FALSE)),1),"")</f>
        <v>4.369531156</v>
      </c>
      <c r="K83" s="48">
        <f>IFERROR(MINUS(DIVIDE(VLOOKUP($B83,Data!$B$3:$EZ1530,29,FALSE),VLOOKUP($B83,Data!$B$3:$EZ1530,30,FALSE)),1),"")</f>
        <v>2.597039093</v>
      </c>
      <c r="L83" s="48">
        <f>IFERROR(MINUS(DIVIDE(VLOOKUP($B83,Data!$B$3:$EZ1530,34,FALSE),VLOOKUP($B83,Data!$B$3:$EZ1530,35,FALSE)),1),"")</f>
        <v>-2.054147105</v>
      </c>
      <c r="M83" s="48">
        <f>IFERROR(MINUS(DIVIDE(VLOOKUP($B83,Data!$B$3:$EZ1530,39,FALSE),VLOOKUP($B83,Data!$B$3:$EZ1530,40,FALSE)),1),"")</f>
        <v>1.754576591</v>
      </c>
      <c r="N83" s="48">
        <f>IFERROR(MINUS(DIVIDE(VLOOKUP($B83,Data!$B$3:$EZ1530,44,FALSE),VLOOKUP($B83,Data!$B$3:$EZ1530,45,FALSE)),1),"")</f>
        <v>-3.067434211</v>
      </c>
      <c r="O83" s="50">
        <f>IFERROR(VLOOKUP($B83,Data!$B$3:$D1530,2,FALSE),"")</f>
        <v>248750</v>
      </c>
      <c r="P83" s="50">
        <f>IFERROR(VLOOKUP($B83,Data!$B$3:$D1530,3,FALSE),"")</f>
        <v>246870</v>
      </c>
      <c r="Q83" s="48">
        <f t="shared" si="2"/>
        <v>0.007615344108</v>
      </c>
      <c r="R83" s="48"/>
      <c r="S83" s="48"/>
      <c r="T83" s="48"/>
      <c r="U83" s="48"/>
      <c r="V83" s="48"/>
      <c r="W83" s="50"/>
      <c r="Z83" s="11"/>
      <c r="AA83" s="11"/>
    </row>
    <row r="84">
      <c r="A84" s="9">
        <f t="shared" si="1"/>
        <v>81</v>
      </c>
      <c r="B84" s="47" t="s">
        <v>217</v>
      </c>
      <c r="C84" s="48">
        <f>IFERROR(DIVIDE(VLOOKUP($B84,Data!$B$3:$AB$1535,9,FALSE),VLOOKUP($B84,Data!$B$3:$AB$1535,4,FALSE)),"")</f>
        <v>0.4346338125</v>
      </c>
      <c r="D84" s="48">
        <f>IFERROR(DIVIDE(VLOOKUP($B84,Data!$B$3:$AB$1535,24,FALSE),VLOOKUP($B84,Data!$B$3:$AB$1535,4,FALSE)),"")</f>
        <v>0.2313483915</v>
      </c>
      <c r="E84" s="48">
        <f>IFERROR(DIVIDE(VLOOKUP($B84,Data!$B$3:$EZ1530,29,FALSE),VLOOKUP($B84,Data!$B$3:$EZ1530,4,FALSE)),"")</f>
        <v>0.2238193018</v>
      </c>
      <c r="F84" s="48">
        <f>IFERROR(DIVIDE(VLOOKUP($B84,Data!$B$3:$EZ1530,34,FALSE),VLOOKUP($B84,Data!$B$3:$EZ1530,4,FALSE)),"")</f>
        <v>0.2539356605</v>
      </c>
      <c r="G84" s="48">
        <f>IFERROR(DIVIDE(VLOOKUP($B84,Data!$B$3:$EZ1530,39,FALSE),VLOOKUP($B84,Data!$B$3:$EZ1530,4,FALSE)),"")</f>
        <v>0.1854893908</v>
      </c>
      <c r="H84" s="48">
        <f>IFERROR(DIVIDE(VLOOKUP($B84,Data!$B$3:$EZ1530,44,FALSE),VLOOKUP($B84,Data!$B$3:$EZ1530,4,FALSE)),"")</f>
        <v>0.2224503765</v>
      </c>
      <c r="I84" s="48">
        <f>IFERROR(MINUS(DIVIDE(VLOOKUP($B84,Data!$B$3:$EZ1530,9,FALSE),VLOOKUP($B84,Data!$B$3:$EZ1530,10,FALSE)),1),"")</f>
        <v>-0.1510695187</v>
      </c>
      <c r="J84" s="48">
        <f>IFERROR(MINUS(DIVIDE(VLOOKUP($B84,Data!$B$3:$EZ1530,24,FALSE),VLOOKUP($B84,Data!$B$3:$EZ1530,25,FALSE)),1),"")</f>
        <v>1689</v>
      </c>
      <c r="K84" s="48">
        <f>IFERROR(MINUS(DIVIDE(VLOOKUP($B84,Data!$B$3:$EZ1530,29,FALSE),VLOOKUP($B84,Data!$B$3:$EZ1530,30,FALSE)),1),"")</f>
        <v>-0.2568181818</v>
      </c>
      <c r="L84" s="48">
        <f>IFERROR(MINUS(DIVIDE(VLOOKUP($B84,Data!$B$3:$EZ1530,34,FALSE),VLOOKUP($B84,Data!$B$3:$EZ1530,35,FALSE)),1),"")</f>
        <v>-0.2489878543</v>
      </c>
      <c r="M84" s="48">
        <f>IFERROR(MINUS(DIVIDE(VLOOKUP($B84,Data!$B$3:$EZ1530,39,FALSE),VLOOKUP($B84,Data!$B$3:$EZ1530,40,FALSE)),1),"")</f>
        <v>-0.1085526316</v>
      </c>
      <c r="N84" s="48">
        <f>IFERROR(MINUS(DIVIDE(VLOOKUP($B84,Data!$B$3:$EZ1530,44,FALSE),VLOOKUP($B84,Data!$B$3:$EZ1530,45,FALSE)),1),"")</f>
        <v>-0.1424802111</v>
      </c>
      <c r="O84" s="50">
        <f>IFERROR(VLOOKUP($B84,Data!$B$3:$D1530,2,FALSE),"")</f>
        <v>17760000</v>
      </c>
      <c r="P84" s="50">
        <f>IFERROR(VLOOKUP($B84,Data!$B$3:$D1530,3,FALSE),"")</f>
        <v>16600000</v>
      </c>
      <c r="Q84" s="48">
        <f t="shared" si="2"/>
        <v>0.06987951807</v>
      </c>
      <c r="R84" s="48"/>
      <c r="S84" s="48"/>
      <c r="T84" s="48"/>
      <c r="U84" s="48"/>
      <c r="V84" s="48"/>
      <c r="W84" s="50"/>
      <c r="Z84" s="11"/>
      <c r="AA84" s="11"/>
    </row>
    <row r="85">
      <c r="A85" s="9">
        <f t="shared" si="1"/>
        <v>82</v>
      </c>
      <c r="B85" s="47" t="s">
        <v>218</v>
      </c>
      <c r="C85" s="48">
        <f>IFERROR(DIVIDE(VLOOKUP($B85,Data!$B$3:$AB$1535,9,FALSE),VLOOKUP($B85,Data!$B$3:$AB$1535,4,FALSE)),"")</f>
        <v>0.555152363</v>
      </c>
      <c r="D85" s="48">
        <f>IFERROR(DIVIDE(VLOOKUP($B85,Data!$B$3:$AB$1535,24,FALSE),VLOOKUP($B85,Data!$B$3:$AB$1535,4,FALSE)),"")</f>
        <v>0</v>
      </c>
      <c r="E85" s="48">
        <f>IFERROR(DIVIDE(VLOOKUP($B85,Data!$B$3:$EZ1530,29,FALSE),VLOOKUP($B85,Data!$B$3:$EZ1530,4,FALSE)),"")</f>
        <v>-0.182004984</v>
      </c>
      <c r="F85" s="48">
        <f>IFERROR(DIVIDE(VLOOKUP($B85,Data!$B$3:$EZ1530,34,FALSE),VLOOKUP($B85,Data!$B$3:$EZ1530,4,FALSE)),"")</f>
        <v>-0.1662221834</v>
      </c>
      <c r="G85" s="48">
        <f>IFERROR(DIVIDE(VLOOKUP($B85,Data!$B$3:$EZ1530,39,FALSE),VLOOKUP($B85,Data!$B$3:$EZ1530,4,FALSE)),"")</f>
        <v>-0.1958203996</v>
      </c>
      <c r="H85" s="48">
        <f>IFERROR(DIVIDE(VLOOKUP($B85,Data!$B$3:$EZ1530,44,FALSE),VLOOKUP($B85,Data!$B$3:$EZ1530,4,FALSE)),"")</f>
        <v>0.1848030429</v>
      </c>
      <c r="I85" s="48">
        <f>IFERROR(MINUS(DIVIDE(VLOOKUP($B85,Data!$B$3:$EZ1530,9,FALSE),VLOOKUP($B85,Data!$B$3:$EZ1530,10,FALSE)),1),"")</f>
        <v>-0.08078760678</v>
      </c>
      <c r="J85" s="48" t="str">
        <f>IFERROR(MINUS(DIVIDE(VLOOKUP($B85,Data!$B$3:$EZ1530,24,FALSE),VLOOKUP($B85,Data!$B$3:$EZ1530,25,FALSE)),1),"")</f>
        <v/>
      </c>
      <c r="K85" s="48">
        <f>IFERROR(MINUS(DIVIDE(VLOOKUP($B85,Data!$B$3:$EZ1530,29,FALSE),VLOOKUP($B85,Data!$B$3:$EZ1530,30,FALSE)),1),"")</f>
        <v>0.2049204052</v>
      </c>
      <c r="L85" s="48">
        <f>IFERROR(MINUS(DIVIDE(VLOOKUP($B85,Data!$B$3:$EZ1530,34,FALSE),VLOOKUP($B85,Data!$B$3:$EZ1530,35,FALSE)),1),"")</f>
        <v>0.1451807229</v>
      </c>
      <c r="M85" s="48">
        <f>IFERROR(MINUS(DIVIDE(VLOOKUP($B85,Data!$B$3:$EZ1530,39,FALSE),VLOOKUP($B85,Data!$B$3:$EZ1530,40,FALSE)),1),"")</f>
        <v>0.4709359606</v>
      </c>
      <c r="N85" s="48">
        <f>IFERROR(MINUS(DIVIDE(VLOOKUP($B85,Data!$B$3:$EZ1530,44,FALSE),VLOOKUP($B85,Data!$B$3:$EZ1530,45,FALSE)),1),"")</f>
        <v>0.7274213322</v>
      </c>
      <c r="O85" s="50">
        <f>IFERROR(VLOOKUP($B85,Data!$B$3:$D1530,2,FALSE),"")</f>
        <v>244900</v>
      </c>
      <c r="P85" s="50">
        <f>IFERROR(VLOOKUP($B85,Data!$B$3:$D1530,3,FALSE),"")</f>
        <v>214170</v>
      </c>
      <c r="Q85" s="48">
        <f t="shared" si="2"/>
        <v>0.1434841481</v>
      </c>
      <c r="R85" s="48"/>
      <c r="S85" s="48"/>
      <c r="T85" s="48"/>
      <c r="U85" s="48"/>
      <c r="V85" s="48"/>
      <c r="W85" s="50"/>
      <c r="Z85" s="11"/>
      <c r="AA85" s="11"/>
    </row>
    <row r="86">
      <c r="A86" s="9">
        <f t="shared" si="1"/>
        <v>83</v>
      </c>
      <c r="B86" s="47" t="s">
        <v>219</v>
      </c>
      <c r="C86" s="48">
        <f>IFERROR(DIVIDE(VLOOKUP($B86,Data!$B$3:$AB$1535,9,FALSE),VLOOKUP($B86,Data!$B$3:$AB$1535,4,FALSE)),"")</f>
        <v>0.2486288848</v>
      </c>
      <c r="D86" s="48">
        <f>IFERROR(DIVIDE(VLOOKUP($B86,Data!$B$3:$AB$1535,24,FALSE),VLOOKUP($B86,Data!$B$3:$AB$1535,4,FALSE)),"")</f>
        <v>0.02226691042</v>
      </c>
      <c r="E86" s="48">
        <f>IFERROR(DIVIDE(VLOOKUP($B86,Data!$B$3:$EZ1530,29,FALSE),VLOOKUP($B86,Data!$B$3:$EZ1530,4,FALSE)),"")</f>
        <v>-0.03137111517</v>
      </c>
      <c r="F86" s="48">
        <f>IFERROR(DIVIDE(VLOOKUP($B86,Data!$B$3:$EZ1530,34,FALSE),VLOOKUP($B86,Data!$B$3:$EZ1530,4,FALSE)),"")</f>
        <v>0.1253747715</v>
      </c>
      <c r="G86" s="48">
        <f>IFERROR(DIVIDE(VLOOKUP($B86,Data!$B$3:$EZ1530,39,FALSE),VLOOKUP($B86,Data!$B$3:$EZ1530,4,FALSE)),"")</f>
        <v>-0.02725776965</v>
      </c>
      <c r="H86" s="48">
        <f>IFERROR(DIVIDE(VLOOKUP($B86,Data!$B$3:$EZ1530,44,FALSE),VLOOKUP($B86,Data!$B$3:$EZ1530,4,FALSE)),"")</f>
        <v>0.1058500914</v>
      </c>
      <c r="I86" s="48">
        <f>IFERROR(MINUS(DIVIDE(VLOOKUP($B86,Data!$B$3:$EZ1530,9,FALSE),VLOOKUP($B86,Data!$B$3:$EZ1530,10,FALSE)),1),"")</f>
        <v>0.05426356589</v>
      </c>
      <c r="J86" s="48">
        <f>IFERROR(MINUS(DIVIDE(VLOOKUP($B86,Data!$B$3:$EZ1530,24,FALSE),VLOOKUP($B86,Data!$B$3:$EZ1530,25,FALSE)),1),"")</f>
        <v>-0.6760638298</v>
      </c>
      <c r="K86" s="48">
        <f>IFERROR(MINUS(DIVIDE(VLOOKUP($B86,Data!$B$3:$EZ1530,29,FALSE),VLOOKUP($B86,Data!$B$3:$EZ1530,30,FALSE)),1),"")</f>
        <v>-2.387227162</v>
      </c>
      <c r="L86" s="48">
        <f>IFERROR(MINUS(DIVIDE(VLOOKUP($B86,Data!$B$3:$EZ1530,34,FALSE),VLOOKUP($B86,Data!$B$3:$EZ1530,35,FALSE)),1),"")</f>
        <v>-0.1991124606</v>
      </c>
      <c r="M86" s="48">
        <f>IFERROR(MINUS(DIVIDE(VLOOKUP($B86,Data!$B$3:$EZ1530,39,FALSE),VLOOKUP($B86,Data!$B$3:$EZ1530,40,FALSE)),1),"")</f>
        <v>-2.354223433</v>
      </c>
      <c r="N86" s="48">
        <f>IFERROR(MINUS(DIVIDE(VLOOKUP($B86,Data!$B$3:$EZ1530,44,FALSE),VLOOKUP($B86,Data!$B$3:$EZ1530,45,FALSE)),1),"")</f>
        <v>0.1066513761</v>
      </c>
      <c r="O86" s="50">
        <f>IFERROR(VLOOKUP($B86,Data!$B$3:$D1530,2,FALSE),"")</f>
        <v>4740000</v>
      </c>
      <c r="P86" s="50">
        <f>IFERROR(VLOOKUP($B86,Data!$B$3:$D1530,3,FALSE),"")</f>
        <v>2600000</v>
      </c>
      <c r="Q86" s="48">
        <f t="shared" si="2"/>
        <v>0.8230769231</v>
      </c>
      <c r="R86" s="48"/>
      <c r="S86" s="48"/>
      <c r="T86" s="48"/>
      <c r="U86" s="48"/>
      <c r="V86" s="48"/>
      <c r="W86" s="50"/>
      <c r="Z86" s="15"/>
      <c r="AA86" s="15"/>
    </row>
    <row r="87">
      <c r="A87" s="9">
        <f t="shared" si="1"/>
        <v>84</v>
      </c>
      <c r="B87" s="47" t="s">
        <v>220</v>
      </c>
      <c r="C87" s="48">
        <f>IFERROR(DIVIDE(VLOOKUP($B87,Data!$B$3:$AB$1535,9,FALSE),VLOOKUP($B87,Data!$B$3:$AB$1535,4,FALSE)),"")</f>
        <v>0.426448737</v>
      </c>
      <c r="D87" s="48">
        <f>IFERROR(DIVIDE(VLOOKUP($B87,Data!$B$3:$AB$1535,24,FALSE),VLOOKUP($B87,Data!$B$3:$AB$1535,4,FALSE)),"")</f>
        <v>0.05943536404</v>
      </c>
      <c r="E87" s="48">
        <f>IFERROR(DIVIDE(VLOOKUP($B87,Data!$B$3:$EZ1530,29,FALSE),VLOOKUP($B87,Data!$B$3:$EZ1530,4,FALSE)),"")</f>
        <v>0.05527488856</v>
      </c>
      <c r="F87" s="48">
        <f>IFERROR(DIVIDE(VLOOKUP($B87,Data!$B$3:$EZ1530,34,FALSE),VLOOKUP($B87,Data!$B$3:$EZ1530,4,FALSE)),"")</f>
        <v>0.1258543834</v>
      </c>
      <c r="G87" s="48">
        <f>IFERROR(DIVIDE(VLOOKUP($B87,Data!$B$3:$EZ1530,39,FALSE),VLOOKUP($B87,Data!$B$3:$EZ1530,4,FALSE)),"")</f>
        <v>0.05066864785</v>
      </c>
      <c r="H87" s="48">
        <f>IFERROR(DIVIDE(VLOOKUP($B87,Data!$B$3:$EZ1530,44,FALSE),VLOOKUP($B87,Data!$B$3:$EZ1530,4,FALSE)),"")</f>
        <v>0.07325408618</v>
      </c>
      <c r="I87" s="48">
        <f>IFERROR(MINUS(DIVIDE(VLOOKUP($B87,Data!$B$3:$EZ1530,9,FALSE),VLOOKUP($B87,Data!$B$3:$EZ1530,10,FALSE)),1),"")</f>
        <v>0.1714285714</v>
      </c>
      <c r="J87" s="48">
        <f>IFERROR(MINUS(DIVIDE(VLOOKUP($B87,Data!$B$3:$EZ1530,24,FALSE),VLOOKUP($B87,Data!$B$3:$EZ1530,25,FALSE)),1),"")</f>
        <v>-0.09297052154</v>
      </c>
      <c r="K87" s="48">
        <f>IFERROR(MINUS(DIVIDE(VLOOKUP($B87,Data!$B$3:$EZ1530,29,FALSE),VLOOKUP($B87,Data!$B$3:$EZ1530,30,FALSE)),1),"")</f>
        <v>0.1272727273</v>
      </c>
      <c r="L87" s="48">
        <f>IFERROR(MINUS(DIVIDE(VLOOKUP($B87,Data!$B$3:$EZ1530,34,FALSE),VLOOKUP($B87,Data!$B$3:$EZ1530,35,FALSE)),1),"")</f>
        <v>0.3530351438</v>
      </c>
      <c r="M87" s="48">
        <f>IFERROR(MINUS(DIVIDE(VLOOKUP($B87,Data!$B$3:$EZ1530,39,FALSE),VLOOKUP($B87,Data!$B$3:$EZ1530,40,FALSE)),1),"")</f>
        <v>0.0118694362</v>
      </c>
      <c r="N87" s="48">
        <f>IFERROR(MINUS(DIVIDE(VLOOKUP($B87,Data!$B$3:$EZ1530,44,FALSE),VLOOKUP($B87,Data!$B$3:$EZ1530,45,FALSE)),1),"")</f>
        <v>13.5</v>
      </c>
      <c r="O87" s="50">
        <f>IFERROR(VLOOKUP($B87,Data!$B$3:$D1530,2,FALSE),"")</f>
        <v>10210000</v>
      </c>
      <c r="P87" s="50">
        <f>IFERROR(VLOOKUP($B87,Data!$B$3:$D1530,3,FALSE),"")</f>
        <v>8410000</v>
      </c>
      <c r="Q87" s="48">
        <f t="shared" si="2"/>
        <v>0.2140309156</v>
      </c>
      <c r="R87" s="48"/>
      <c r="S87" s="48"/>
      <c r="T87" s="48"/>
      <c r="U87" s="48"/>
      <c r="V87" s="48"/>
      <c r="W87" s="50"/>
      <c r="Z87" s="15"/>
      <c r="AA87" s="15"/>
    </row>
    <row r="88">
      <c r="A88" s="9">
        <f t="shared" si="1"/>
        <v>85</v>
      </c>
      <c r="B88" s="47" t="s">
        <v>221</v>
      </c>
      <c r="C88" s="48">
        <f>IFERROR(DIVIDE(VLOOKUP($B88,Data!$B$3:$AB$1535,9,FALSE),VLOOKUP($B88,Data!$B$3:$AB$1535,4,FALSE)),"")</f>
        <v>0.8129836629</v>
      </c>
      <c r="D88" s="48">
        <f>IFERROR(DIVIDE(VLOOKUP($B88,Data!$B$3:$AB$1535,24,FALSE),VLOOKUP($B88,Data!$B$3:$AB$1535,4,FALSE)),"")</f>
        <v>0</v>
      </c>
      <c r="E88" s="48">
        <f>IFERROR(DIVIDE(VLOOKUP($B88,Data!$B$3:$EZ1530,29,FALSE),VLOOKUP($B88,Data!$B$3:$EZ1530,4,FALSE)),"")</f>
        <v>0.3929492691</v>
      </c>
      <c r="F88" s="48">
        <f>IFERROR(DIVIDE(VLOOKUP($B88,Data!$B$3:$EZ1530,34,FALSE),VLOOKUP($B88,Data!$B$3:$EZ1530,4,FALSE)),"")</f>
        <v>0.5064488392</v>
      </c>
      <c r="G88" s="48">
        <f>IFERROR(DIVIDE(VLOOKUP($B88,Data!$B$3:$EZ1530,39,FALSE),VLOOKUP($B88,Data!$B$3:$EZ1530,4,FALSE)),"")</f>
        <v>0.3370593293</v>
      </c>
      <c r="H88" s="48">
        <f>IFERROR(DIVIDE(VLOOKUP($B88,Data!$B$3:$EZ1530,44,FALSE),VLOOKUP($B88,Data!$B$3:$EZ1530,4,FALSE)),"")</f>
        <v>0.3933791917</v>
      </c>
      <c r="I88" s="48">
        <f>IFERROR(MINUS(DIVIDE(VLOOKUP($B88,Data!$B$3:$EZ1530,9,FALSE),VLOOKUP($B88,Data!$B$3:$EZ1530,10,FALSE)),1),"")</f>
        <v>-0.03863751906</v>
      </c>
      <c r="J88" s="48">
        <f>IFERROR(MINUS(DIVIDE(VLOOKUP($B88,Data!$B$3:$EZ1530,24,FALSE),VLOOKUP($B88,Data!$B$3:$EZ1530,25,FALSE)),1),"")</f>
        <v>-1</v>
      </c>
      <c r="K88" s="48">
        <f>IFERROR(MINUS(DIVIDE(VLOOKUP($B88,Data!$B$3:$EZ1530,29,FALSE),VLOOKUP($B88,Data!$B$3:$EZ1530,30,FALSE)),1),"")</f>
        <v>-0.04293193717</v>
      </c>
      <c r="L88" s="48">
        <f>IFERROR(MINUS(DIVIDE(VLOOKUP($B88,Data!$B$3:$EZ1530,34,FALSE),VLOOKUP($B88,Data!$B$3:$EZ1530,35,FALSE)),1),"")</f>
        <v>-0.03993480033</v>
      </c>
      <c r="M88" s="48">
        <f>IFERROR(MINUS(DIVIDE(VLOOKUP($B88,Data!$B$3:$EZ1530,39,FALSE),VLOOKUP($B88,Data!$B$3:$EZ1530,40,FALSE)),1),"")</f>
        <v>-0.06555423123</v>
      </c>
      <c r="N88" s="48">
        <f>IFERROR(MINUS(DIVIDE(VLOOKUP($B88,Data!$B$3:$EZ1530,44,FALSE),VLOOKUP($B88,Data!$B$3:$EZ1530,45,FALSE)),1),"")</f>
        <v>-0.1902654867</v>
      </c>
      <c r="O88" s="50">
        <f>IFERROR(VLOOKUP($B88,Data!$B$3:$D1530,2,FALSE),"")</f>
        <v>26520000</v>
      </c>
      <c r="P88" s="50">
        <f>IFERROR(VLOOKUP($B88,Data!$B$3:$D1530,3,FALSE),"")</f>
        <v>25440000</v>
      </c>
      <c r="Q88" s="48">
        <f t="shared" si="2"/>
        <v>0.04245283019</v>
      </c>
      <c r="R88" s="48"/>
      <c r="S88" s="48"/>
      <c r="T88" s="48"/>
      <c r="U88" s="48"/>
      <c r="V88" s="48"/>
      <c r="W88" s="50"/>
      <c r="Z88" s="15"/>
      <c r="AA88" s="15"/>
    </row>
    <row r="89">
      <c r="A89" s="9">
        <f t="shared" si="1"/>
        <v>86</v>
      </c>
      <c r="B89" s="47" t="s">
        <v>222</v>
      </c>
      <c r="C89" s="48">
        <f>IFERROR(DIVIDE(VLOOKUP($B89,Data!$B$3:$AB$1535,9,FALSE),VLOOKUP($B89,Data!$B$3:$AB$1535,4,FALSE)),"")</f>
        <v>0.1603555556</v>
      </c>
      <c r="D89" s="48">
        <f>IFERROR(DIVIDE(VLOOKUP($B89,Data!$B$3:$AB$1535,24,FALSE),VLOOKUP($B89,Data!$B$3:$AB$1535,4,FALSE)),"")</f>
        <v>0.05464938272</v>
      </c>
      <c r="E89" s="48">
        <f>IFERROR(DIVIDE(VLOOKUP($B89,Data!$B$3:$EZ1530,29,FALSE),VLOOKUP($B89,Data!$B$3:$EZ1530,4,FALSE)),"")</f>
        <v>0.03945925926</v>
      </c>
      <c r="F89" s="48">
        <f>IFERROR(DIVIDE(VLOOKUP($B89,Data!$B$3:$EZ1530,34,FALSE),VLOOKUP($B89,Data!$B$3:$EZ1530,4,FALSE)),"")</f>
        <v>0.1861851852</v>
      </c>
      <c r="G89" s="48">
        <f>IFERROR(DIVIDE(VLOOKUP($B89,Data!$B$3:$EZ1530,39,FALSE),VLOOKUP($B89,Data!$B$3:$EZ1530,4,FALSE)),"")</f>
        <v>0.02984938272</v>
      </c>
      <c r="H89" s="48">
        <f>IFERROR(DIVIDE(VLOOKUP($B89,Data!$B$3:$EZ1530,44,FALSE),VLOOKUP($B89,Data!$B$3:$EZ1530,4,FALSE)),"")</f>
        <v>0.106637037</v>
      </c>
      <c r="I89" s="48">
        <f>IFERROR(MINUS(DIVIDE(VLOOKUP($B89,Data!$B$3:$EZ1530,9,FALSE),VLOOKUP($B89,Data!$B$3:$EZ1530,10,FALSE)),1),"")</f>
        <v>-0.08602952559</v>
      </c>
      <c r="J89" s="48">
        <f>IFERROR(MINUS(DIVIDE(VLOOKUP($B89,Data!$B$3:$EZ1530,24,FALSE),VLOOKUP($B89,Data!$B$3:$EZ1530,25,FALSE)),1),"")</f>
        <v>-0.1375521178</v>
      </c>
      <c r="K89" s="48">
        <f>IFERROR(MINUS(DIVIDE(VLOOKUP($B89,Data!$B$3:$EZ1530,29,FALSE),VLOOKUP($B89,Data!$B$3:$EZ1530,30,FALSE)),1),"")</f>
        <v>-0.1399741686</v>
      </c>
      <c r="L89" s="48">
        <f>IFERROR(MINUS(DIVIDE(VLOOKUP($B89,Data!$B$3:$EZ1530,34,FALSE),VLOOKUP($B89,Data!$B$3:$EZ1530,35,FALSE)),1),"")</f>
        <v>-0.09162641096</v>
      </c>
      <c r="M89" s="48">
        <f>IFERROR(MINUS(DIVIDE(VLOOKUP($B89,Data!$B$3:$EZ1530,39,FALSE),VLOOKUP($B89,Data!$B$3:$EZ1530,40,FALSE)),1),"")</f>
        <v>-0.04878432607</v>
      </c>
      <c r="N89" s="48">
        <f>IFERROR(MINUS(DIVIDE(VLOOKUP($B89,Data!$B$3:$EZ1530,44,FALSE),VLOOKUP($B89,Data!$B$3:$EZ1530,45,FALSE)),1),"")</f>
        <v>-0.3489998643</v>
      </c>
      <c r="O89" s="50">
        <f>IFERROR(VLOOKUP($B89,Data!$B$3:$D1530,2,FALSE),"")</f>
        <v>4690000</v>
      </c>
      <c r="P89" s="50">
        <f>IFERROR(VLOOKUP($B89,Data!$B$3:$D1530,3,FALSE),"")</f>
        <v>4500000</v>
      </c>
      <c r="Q89" s="48">
        <f t="shared" si="2"/>
        <v>0.04222222222</v>
      </c>
      <c r="R89" s="48"/>
      <c r="S89" s="48"/>
      <c r="T89" s="48"/>
      <c r="U89" s="48"/>
      <c r="V89" s="48"/>
      <c r="W89" s="50"/>
      <c r="Z89" s="15"/>
      <c r="AA89" s="15"/>
    </row>
    <row r="90">
      <c r="A90" s="9">
        <f t="shared" si="1"/>
        <v>87</v>
      </c>
      <c r="B90" s="47" t="s">
        <v>223</v>
      </c>
      <c r="C90" s="48" t="str">
        <f>IFERROR(DIVIDE(VLOOKUP($B90,Data!$B$3:$AB$1535,9,FALSE),VLOOKUP($B90,Data!$B$3:$AB$1535,4,FALSE)),"")</f>
        <v/>
      </c>
      <c r="D90" s="48" t="str">
        <f>IFERROR(DIVIDE(VLOOKUP($B90,Data!$B$3:$AB$1535,24,FALSE),VLOOKUP($B90,Data!$B$3:$AB$1535,4,FALSE)),"")</f>
        <v/>
      </c>
      <c r="E90" s="48" t="str">
        <f>IFERROR(DIVIDE(VLOOKUP($B90,Data!$B$3:$EZ1530,29,FALSE),VLOOKUP($B90,Data!$B$3:$EZ1530,4,FALSE)),"")</f>
        <v/>
      </c>
      <c r="F90" s="48" t="str">
        <f>IFERROR(DIVIDE(VLOOKUP($B90,Data!$B$3:$EZ1530,34,FALSE),VLOOKUP($B90,Data!$B$3:$EZ1530,4,FALSE)),"")</f>
        <v/>
      </c>
      <c r="G90" s="48" t="str">
        <f>IFERROR(DIVIDE(VLOOKUP($B90,Data!$B$3:$EZ1530,39,FALSE),VLOOKUP($B90,Data!$B$3:$EZ1530,4,FALSE)),"")</f>
        <v/>
      </c>
      <c r="H90" s="48" t="str">
        <f>IFERROR(DIVIDE(VLOOKUP($B90,Data!$B$3:$EZ1530,44,FALSE),VLOOKUP($B90,Data!$B$3:$EZ1530,4,FALSE)),"")</f>
        <v/>
      </c>
      <c r="I90" s="48" t="str">
        <f>IFERROR(MINUS(DIVIDE(VLOOKUP($B90,Data!$B$3:$EZ1530,9,FALSE),VLOOKUP($B90,Data!$B$3:$EZ1530,10,FALSE)),1),"")</f>
        <v/>
      </c>
      <c r="J90" s="48" t="str">
        <f>IFERROR(MINUS(DIVIDE(VLOOKUP($B90,Data!$B$3:$EZ1530,24,FALSE),VLOOKUP($B90,Data!$B$3:$EZ1530,25,FALSE)),1),"")</f>
        <v/>
      </c>
      <c r="K90" s="48" t="str">
        <f>IFERROR(MINUS(DIVIDE(VLOOKUP($B90,Data!$B$3:$EZ1530,29,FALSE),VLOOKUP($B90,Data!$B$3:$EZ1530,30,FALSE)),1),"")</f>
        <v/>
      </c>
      <c r="L90" s="48" t="str">
        <f>IFERROR(MINUS(DIVIDE(VLOOKUP($B90,Data!$B$3:$EZ1530,34,FALSE),VLOOKUP($B90,Data!$B$3:$EZ1530,35,FALSE)),1),"")</f>
        <v/>
      </c>
      <c r="M90" s="48" t="str">
        <f>IFERROR(MINUS(DIVIDE(VLOOKUP($B90,Data!$B$3:$EZ1530,39,FALSE),VLOOKUP($B90,Data!$B$3:$EZ1530,40,FALSE)),1),"")</f>
        <v/>
      </c>
      <c r="N90" s="48" t="str">
        <f>IFERROR(MINUS(DIVIDE(VLOOKUP($B90,Data!$B$3:$EZ1530,44,FALSE),VLOOKUP($B90,Data!$B$3:$EZ1530,45,FALSE)),1),"")</f>
        <v/>
      </c>
      <c r="O90" s="50" t="str">
        <f>IFERROR(VLOOKUP($B90,Data!$B$3:$D1530,2,FALSE),"")</f>
        <v/>
      </c>
      <c r="P90" s="50" t="str">
        <f>IFERROR(VLOOKUP($B90,Data!$B$3:$D1530,3,FALSE),"")</f>
        <v/>
      </c>
      <c r="Q90" s="48" t="str">
        <f t="shared" si="2"/>
        <v/>
      </c>
      <c r="R90" s="48"/>
      <c r="S90" s="48"/>
      <c r="T90" s="48"/>
      <c r="U90" s="48"/>
      <c r="V90" s="48"/>
      <c r="W90" s="50"/>
      <c r="Z90" s="11"/>
      <c r="AA90" s="11"/>
    </row>
    <row r="91">
      <c r="A91" s="9">
        <f t="shared" si="1"/>
        <v>88</v>
      </c>
      <c r="B91" s="47" t="s">
        <v>224</v>
      </c>
      <c r="C91" s="48">
        <f>IFERROR(DIVIDE(VLOOKUP($B91,Data!$B$3:$AB$1535,9,FALSE),VLOOKUP($B91,Data!$B$3:$AB$1535,4,FALSE)),"")</f>
        <v>0.308536036</v>
      </c>
      <c r="D91" s="48">
        <f>IFERROR(DIVIDE(VLOOKUP($B91,Data!$B$3:$AB$1535,24,FALSE),VLOOKUP($B91,Data!$B$3:$AB$1535,4,FALSE)),"")</f>
        <v>0.07969369369</v>
      </c>
      <c r="E91" s="48">
        <f>IFERROR(DIVIDE(VLOOKUP($B91,Data!$B$3:$EZ1530,29,FALSE),VLOOKUP($B91,Data!$B$3:$EZ1530,4,FALSE)),"")</f>
        <v>0.06688738739</v>
      </c>
      <c r="F91" s="48">
        <f>IFERROR(DIVIDE(VLOOKUP($B91,Data!$B$3:$EZ1530,34,FALSE),VLOOKUP($B91,Data!$B$3:$EZ1530,4,FALSE)),"")</f>
        <v>0.1092837838</v>
      </c>
      <c r="G91" s="48">
        <f>IFERROR(DIVIDE(VLOOKUP($B91,Data!$B$3:$EZ1530,39,FALSE),VLOOKUP($B91,Data!$B$3:$EZ1530,4,FALSE)),"")</f>
        <v>0.05134684685</v>
      </c>
      <c r="H91" s="48">
        <f>IFERROR(DIVIDE(VLOOKUP($B91,Data!$B$3:$EZ1530,44,FALSE),VLOOKUP($B91,Data!$B$3:$EZ1530,4,FALSE)),"")</f>
        <v>0.1012522523</v>
      </c>
      <c r="I91" s="48">
        <f>IFERROR(MINUS(DIVIDE(VLOOKUP($B91,Data!$B$3:$EZ1530,9,FALSE),VLOOKUP($B91,Data!$B$3:$EZ1530,10,FALSE)),1),"")</f>
        <v>0.04548576662</v>
      </c>
      <c r="J91" s="48">
        <f>IFERROR(MINUS(DIVIDE(VLOOKUP($B91,Data!$B$3:$EZ1530,24,FALSE),VLOOKUP($B91,Data!$B$3:$EZ1530,25,FALSE)),1),"")</f>
        <v>-0.1277424444</v>
      </c>
      <c r="K91" s="48">
        <f>IFERROR(MINUS(DIVIDE(VLOOKUP($B91,Data!$B$3:$EZ1530,29,FALSE),VLOOKUP($B91,Data!$B$3:$EZ1530,30,FALSE)),1),"")</f>
        <v>-0.20461728</v>
      </c>
      <c r="L91" s="48">
        <f>IFERROR(MINUS(DIVIDE(VLOOKUP($B91,Data!$B$3:$EZ1530,34,FALSE),VLOOKUP($B91,Data!$B$3:$EZ1530,35,FALSE)),1),"")</f>
        <v>0.003889601523</v>
      </c>
      <c r="M91" s="48">
        <f>IFERROR(MINUS(DIVIDE(VLOOKUP($B91,Data!$B$3:$EZ1530,39,FALSE),VLOOKUP($B91,Data!$B$3:$EZ1530,40,FALSE)),1),"")</f>
        <v>-0.1957810075</v>
      </c>
      <c r="N91" s="48">
        <f>IFERROR(MINUS(DIVIDE(VLOOKUP($B91,Data!$B$3:$EZ1530,44,FALSE),VLOOKUP($B91,Data!$B$3:$EZ1530,45,FALSE)),1),"")</f>
        <v>-0.01017217843</v>
      </c>
      <c r="O91" s="50">
        <f>IFERROR(VLOOKUP($B91,Data!$B$3:$D1530,2,FALSE),"")</f>
        <v>2330000</v>
      </c>
      <c r="P91" s="50">
        <f>IFERROR(VLOOKUP($B91,Data!$B$3:$D1530,3,FALSE),"")</f>
        <v>2200000</v>
      </c>
      <c r="Q91" s="48">
        <f t="shared" si="2"/>
        <v>0.05909090909</v>
      </c>
      <c r="R91" s="48"/>
      <c r="S91" s="48"/>
      <c r="T91" s="48"/>
      <c r="U91" s="48"/>
      <c r="V91" s="48"/>
      <c r="W91" s="50"/>
      <c r="Z91" s="15"/>
      <c r="AA91" s="15"/>
    </row>
    <row r="92">
      <c r="A92" s="9">
        <f t="shared" si="1"/>
        <v>89</v>
      </c>
      <c r="B92" s="47" t="s">
        <v>225</v>
      </c>
      <c r="C92" s="48">
        <f>IFERROR(DIVIDE(VLOOKUP($B92,Data!$B$3:$AB$1535,9,FALSE),VLOOKUP($B92,Data!$B$3:$AB$1535,4,FALSE)),"")</f>
        <v>0.3821503909</v>
      </c>
      <c r="D92" s="48">
        <f>IFERROR(DIVIDE(VLOOKUP($B92,Data!$B$3:$AB$1535,24,FALSE),VLOOKUP($B92,Data!$B$3:$AB$1535,4,FALSE)),"")</f>
        <v>0.185693014</v>
      </c>
      <c r="E92" s="48">
        <f>IFERROR(DIVIDE(VLOOKUP($B92,Data!$B$3:$EZ1530,29,FALSE),VLOOKUP($B92,Data!$B$3:$EZ1530,4,FALSE)),"")</f>
        <v>0.1868407991</v>
      </c>
      <c r="F92" s="48">
        <f>IFERROR(DIVIDE(VLOOKUP($B92,Data!$B$3:$EZ1530,34,FALSE),VLOOKUP($B92,Data!$B$3:$EZ1530,4,FALSE)),"")</f>
        <v>0.06539272863</v>
      </c>
      <c r="G92" s="48">
        <f>IFERROR(DIVIDE(VLOOKUP($B92,Data!$B$3:$EZ1530,39,FALSE),VLOOKUP($B92,Data!$B$3:$EZ1530,4,FALSE)),"")</f>
        <v>0.1518178434</v>
      </c>
      <c r="H92" s="48">
        <f>IFERROR(DIVIDE(VLOOKUP($B92,Data!$B$3:$EZ1530,44,FALSE),VLOOKUP($B92,Data!$B$3:$EZ1530,4,FALSE)),"")</f>
        <v>0.1376721678</v>
      </c>
      <c r="I92" s="48">
        <f>IFERROR(MINUS(DIVIDE(VLOOKUP($B92,Data!$B$3:$EZ1530,9,FALSE),VLOOKUP($B92,Data!$B$3:$EZ1530,10,FALSE)),1),"")</f>
        <v>0.2116651913</v>
      </c>
      <c r="J92" s="48" t="str">
        <f>IFERROR(MINUS(DIVIDE(VLOOKUP($B92,Data!$B$3:$EZ1530,24,FALSE),VLOOKUP($B92,Data!$B$3:$EZ1530,25,FALSE)),1),"")</f>
        <v/>
      </c>
      <c r="K92" s="48">
        <f>IFERROR(MINUS(DIVIDE(VLOOKUP($B92,Data!$B$3:$EZ1530,29,FALSE),VLOOKUP($B92,Data!$B$3:$EZ1530,30,FALSE)),1),"")</f>
        <v>-7.065458207</v>
      </c>
      <c r="L92" s="48">
        <f>IFERROR(MINUS(DIVIDE(VLOOKUP($B92,Data!$B$3:$EZ1530,34,FALSE),VLOOKUP($B92,Data!$B$3:$EZ1530,35,FALSE)),1),"")</f>
        <v>1.671736375</v>
      </c>
      <c r="M92" s="48">
        <f>IFERROR(MINUS(DIVIDE(VLOOKUP($B92,Data!$B$3:$EZ1530,39,FALSE),VLOOKUP($B92,Data!$B$3:$EZ1530,40,FALSE)),1),"")</f>
        <v>-9.526132404</v>
      </c>
      <c r="N92" s="48">
        <f>IFERROR(MINUS(DIVIDE(VLOOKUP($B92,Data!$B$3:$EZ1530,44,FALSE),VLOOKUP($B92,Data!$B$3:$EZ1530,45,FALSE)),1),"")</f>
        <v>0.1620843153</v>
      </c>
      <c r="O92" s="50">
        <f>IFERROR(VLOOKUP($B92,Data!$B$3:$D1530,2,FALSE),"")</f>
        <v>454510</v>
      </c>
      <c r="P92" s="50">
        <f>IFERROR(VLOOKUP($B92,Data!$B$3:$D1530,3,FALSE),"")</f>
        <v>359590</v>
      </c>
      <c r="Q92" s="48">
        <f t="shared" si="2"/>
        <v>0.2639672961</v>
      </c>
      <c r="R92" s="48"/>
      <c r="S92" s="48"/>
      <c r="T92" s="48"/>
      <c r="U92" s="48"/>
      <c r="V92" s="48"/>
      <c r="W92" s="50"/>
      <c r="Z92" s="12"/>
      <c r="AA92" s="12"/>
    </row>
    <row r="93">
      <c r="A93" s="9">
        <f t="shared" si="1"/>
        <v>90</v>
      </c>
      <c r="B93" s="47" t="s">
        <v>226</v>
      </c>
      <c r="C93" s="48">
        <f>IFERROR(DIVIDE(VLOOKUP($B93,Data!$B$3:$AB$1535,9,FALSE),VLOOKUP($B93,Data!$B$3:$AB$1535,4,FALSE)),"")</f>
        <v>0.1895308733</v>
      </c>
      <c r="D93" s="48">
        <f>IFERROR(DIVIDE(VLOOKUP($B93,Data!$B$3:$AB$1535,24,FALSE),VLOOKUP($B93,Data!$B$3:$AB$1535,4,FALSE)),"")</f>
        <v>0.06076615182</v>
      </c>
      <c r="E93" s="48">
        <f>IFERROR(DIVIDE(VLOOKUP($B93,Data!$B$3:$EZ1530,29,FALSE),VLOOKUP($B93,Data!$B$3:$EZ1530,4,FALSE)),"")</f>
        <v>0.04216026669</v>
      </c>
      <c r="F93" s="48">
        <f>IFERROR(DIVIDE(VLOOKUP($B93,Data!$B$3:$EZ1530,34,FALSE),VLOOKUP($B93,Data!$B$3:$EZ1530,4,FALSE)),"")</f>
        <v>0.1026841844</v>
      </c>
      <c r="G93" s="48">
        <f>IFERROR(DIVIDE(VLOOKUP($B93,Data!$B$3:$EZ1530,39,FALSE),VLOOKUP($B93,Data!$B$3:$EZ1530,4,FALSE)),"")</f>
        <v>0.05126134751</v>
      </c>
      <c r="H93" s="48">
        <f>IFERROR(DIVIDE(VLOOKUP($B93,Data!$B$3:$EZ1530,44,FALSE),VLOOKUP($B93,Data!$B$3:$EZ1530,4,FALSE)),"")</f>
        <v>-0.2264196648</v>
      </c>
      <c r="I93" s="48">
        <f>IFERROR(MINUS(DIVIDE(VLOOKUP($B93,Data!$B$3:$EZ1530,9,FALSE),VLOOKUP($B93,Data!$B$3:$EZ1530,10,FALSE)),1),"")</f>
        <v>-0.03585259946</v>
      </c>
      <c r="J93" s="48">
        <f>IFERROR(MINUS(DIVIDE(VLOOKUP($B93,Data!$B$3:$EZ1530,24,FALSE),VLOOKUP($B93,Data!$B$3:$EZ1530,25,FALSE)),1),"")</f>
        <v>-0.1095334686</v>
      </c>
      <c r="K93" s="48">
        <f>IFERROR(MINUS(DIVIDE(VLOOKUP($B93,Data!$B$3:$EZ1530,29,FALSE),VLOOKUP($B93,Data!$B$3:$EZ1530,30,FALSE)),1),"")</f>
        <v>-0.1377683416</v>
      </c>
      <c r="L93" s="48">
        <f>IFERROR(MINUS(DIVIDE(VLOOKUP($B93,Data!$B$3:$EZ1530,34,FALSE),VLOOKUP($B93,Data!$B$3:$EZ1530,35,FALSE)),1),"")</f>
        <v>-0.006805757001</v>
      </c>
      <c r="M93" s="48">
        <f>IFERROR(MINUS(DIVIDE(VLOOKUP($B93,Data!$B$3:$EZ1530,39,FALSE),VLOOKUP($B93,Data!$B$3:$EZ1530,40,FALSE)),1),"")</f>
        <v>0.1700895208</v>
      </c>
      <c r="N93" s="48">
        <f>IFERROR(MINUS(DIVIDE(VLOOKUP($B93,Data!$B$3:$EZ1530,44,FALSE),VLOOKUP($B93,Data!$B$3:$EZ1530,45,FALSE)),1),"")</f>
        <v>2.689661654</v>
      </c>
      <c r="O93" s="50">
        <f>IFERROR(VLOOKUP($B93,Data!$B$3:$D1530,2,FALSE),"")</f>
        <v>1020000</v>
      </c>
      <c r="P93" s="50">
        <f>IFERROR(VLOOKUP($B93,Data!$B$3:$D1530,3,FALSE),"")</f>
        <v>942620</v>
      </c>
      <c r="Q93" s="48">
        <f t="shared" si="2"/>
        <v>0.08209034393</v>
      </c>
      <c r="R93" s="48"/>
      <c r="S93" s="48"/>
      <c r="T93" s="48"/>
      <c r="U93" s="48"/>
      <c r="V93" s="48"/>
      <c r="W93" s="50"/>
      <c r="Z93" s="11"/>
      <c r="AA93" s="11"/>
    </row>
    <row r="94">
      <c r="A94" s="9">
        <f t="shared" si="1"/>
        <v>91</v>
      </c>
      <c r="B94" s="47" t="s">
        <v>227</v>
      </c>
      <c r="C94" s="48">
        <f>IFERROR(DIVIDE(VLOOKUP($B94,Data!$B$3:$AB$1535,9,FALSE),VLOOKUP($B94,Data!$B$3:$AB$1535,4,FALSE)),"")</f>
        <v>0.7745695548</v>
      </c>
      <c r="D94" s="48">
        <f>IFERROR(DIVIDE(VLOOKUP($B94,Data!$B$3:$AB$1535,24,FALSE),VLOOKUP($B94,Data!$B$3:$AB$1535,4,FALSE)),"")</f>
        <v>0</v>
      </c>
      <c r="E94" s="48">
        <f>IFERROR(DIVIDE(VLOOKUP($B94,Data!$B$3:$EZ1530,29,FALSE),VLOOKUP($B94,Data!$B$3:$EZ1530,4,FALSE)),"")</f>
        <v>-0.05230227331</v>
      </c>
      <c r="F94" s="48">
        <f>IFERROR(DIVIDE(VLOOKUP($B94,Data!$B$3:$EZ1530,34,FALSE),VLOOKUP($B94,Data!$B$3:$EZ1530,4,FALSE)),"")</f>
        <v>-0.0545037425</v>
      </c>
      <c r="G94" s="48">
        <f>IFERROR(DIVIDE(VLOOKUP($B94,Data!$B$3:$EZ1530,39,FALSE),VLOOKUP($B94,Data!$B$3:$EZ1530,4,FALSE)),"")</f>
        <v>-0.05269622042</v>
      </c>
      <c r="H94" s="48">
        <f>IFERROR(DIVIDE(VLOOKUP($B94,Data!$B$3:$EZ1530,44,FALSE),VLOOKUP($B94,Data!$B$3:$EZ1530,4,FALSE)),"")</f>
        <v>-0.02178295831</v>
      </c>
      <c r="I94" s="48">
        <f>IFERROR(MINUS(DIVIDE(VLOOKUP($B94,Data!$B$3:$EZ1530,9,FALSE),VLOOKUP($B94,Data!$B$3:$EZ1530,10,FALSE)),1),"")</f>
        <v>0.9241839848</v>
      </c>
      <c r="J94" s="48" t="str">
        <f>IFERROR(MINUS(DIVIDE(VLOOKUP($B94,Data!$B$3:$EZ1530,24,FALSE),VLOOKUP($B94,Data!$B$3:$EZ1530,25,FALSE)),1),"")</f>
        <v/>
      </c>
      <c r="K94" s="48">
        <f>IFERROR(MINUS(DIVIDE(VLOOKUP($B94,Data!$B$3:$EZ1530,29,FALSE),VLOOKUP($B94,Data!$B$3:$EZ1530,30,FALSE)),1),"")</f>
        <v>-0.8056823074</v>
      </c>
      <c r="L94" s="48">
        <f>IFERROR(MINUS(DIVIDE(VLOOKUP($B94,Data!$B$3:$EZ1530,34,FALSE),VLOOKUP($B94,Data!$B$3:$EZ1530,35,FALSE)),1),"")</f>
        <v>-0.7809443979</v>
      </c>
      <c r="M94" s="48">
        <f>IFERROR(MINUS(DIVIDE(VLOOKUP($B94,Data!$B$3:$EZ1530,39,FALSE),VLOOKUP($B94,Data!$B$3:$EZ1530,40,FALSE)),1),"")</f>
        <v>-0.8043870968</v>
      </c>
      <c r="N94" s="48">
        <f>IFERROR(MINUS(DIVIDE(VLOOKUP($B94,Data!$B$3:$EZ1530,44,FALSE),VLOOKUP($B94,Data!$B$3:$EZ1530,45,FALSE)),1),"")</f>
        <v>-0.9005711868</v>
      </c>
      <c r="O94" s="50">
        <f>IFERROR(VLOOKUP($B94,Data!$B$3:$D1530,2,FALSE),"")</f>
        <v>844190</v>
      </c>
      <c r="P94" s="50">
        <f>IFERROR(VLOOKUP($B94,Data!$B$3:$D1530,3,FALSE),"")</f>
        <v>618540</v>
      </c>
      <c r="Q94" s="48">
        <f t="shared" si="2"/>
        <v>0.3648106832</v>
      </c>
      <c r="R94" s="48"/>
      <c r="S94" s="48"/>
      <c r="T94" s="48"/>
      <c r="U94" s="48"/>
      <c r="V94" s="48"/>
      <c r="W94" s="50"/>
      <c r="Z94" s="11"/>
      <c r="AA94" s="11"/>
    </row>
    <row r="95">
      <c r="A95" s="9">
        <f t="shared" si="1"/>
        <v>92</v>
      </c>
      <c r="B95" s="47" t="s">
        <v>228</v>
      </c>
      <c r="C95" s="48">
        <f>IFERROR(DIVIDE(VLOOKUP($B95,Data!$B$3:$AB$1535,9,FALSE),VLOOKUP($B95,Data!$B$3:$AB$1535,4,FALSE)),"")</f>
        <v>0.5005899318</v>
      </c>
      <c r="D95" s="48">
        <f>IFERROR(DIVIDE(VLOOKUP($B95,Data!$B$3:$AB$1535,24,FALSE),VLOOKUP($B95,Data!$B$3:$AB$1535,4,FALSE)),"")</f>
        <v>-1.197496067</v>
      </c>
      <c r="E95" s="48">
        <f>IFERROR(DIVIDE(VLOOKUP($B95,Data!$B$3:$EZ1530,29,FALSE),VLOOKUP($B95,Data!$B$3:$EZ1530,4,FALSE)),"")</f>
        <v>-1.587178815</v>
      </c>
      <c r="F95" s="48">
        <f>IFERROR(DIVIDE(VLOOKUP($B95,Data!$B$3:$EZ1530,34,FALSE),VLOOKUP($B95,Data!$B$3:$EZ1530,4,FALSE)),"")</f>
        <v>-0.6849764027</v>
      </c>
      <c r="G95" s="48">
        <f>IFERROR(DIVIDE(VLOOKUP($B95,Data!$B$3:$EZ1530,39,FALSE),VLOOKUP($B95,Data!$B$3:$EZ1530,4,FALSE)),"")</f>
        <v>-1.542933928</v>
      </c>
      <c r="H95" s="48">
        <f>IFERROR(DIVIDE(VLOOKUP($B95,Data!$B$3:$EZ1530,44,FALSE),VLOOKUP($B95,Data!$B$3:$EZ1530,4,FALSE)),"")</f>
        <v>-0.9164263241</v>
      </c>
      <c r="I95" s="48">
        <f>IFERROR(MINUS(DIVIDE(VLOOKUP($B95,Data!$B$3:$EZ1530,9,FALSE),VLOOKUP($B95,Data!$B$3:$EZ1530,10,FALSE)),1),"")</f>
        <v>1.837978447</v>
      </c>
      <c r="J95" s="48">
        <f>IFERROR(MINUS(DIVIDE(VLOOKUP($B95,Data!$B$3:$EZ1530,24,FALSE),VLOOKUP($B95,Data!$B$3:$EZ1530,25,FALSE)),1),"")</f>
        <v>-0.0006564192331</v>
      </c>
      <c r="K95" s="48">
        <f>IFERROR(MINUS(DIVIDE(VLOOKUP($B95,Data!$B$3:$EZ1530,29,FALSE),VLOOKUP($B95,Data!$B$3:$EZ1530,30,FALSE)),1),"")</f>
        <v>0.05168519805</v>
      </c>
      <c r="L95" s="48">
        <f>IFERROR(MINUS(DIVIDE(VLOOKUP($B95,Data!$B$3:$EZ1530,34,FALSE),VLOOKUP($B95,Data!$B$3:$EZ1530,35,FALSE)),1),"")</f>
        <v>-0.1823161189</v>
      </c>
      <c r="M95" s="48">
        <f>IFERROR(MINUS(DIVIDE(VLOOKUP($B95,Data!$B$3:$EZ1530,39,FALSE),VLOOKUP($B95,Data!$B$3:$EZ1530,40,FALSE)),1),"")</f>
        <v>0.02236796386</v>
      </c>
      <c r="N95" s="48">
        <f>IFERROR(MINUS(DIVIDE(VLOOKUP($B95,Data!$B$3:$EZ1530,44,FALSE),VLOOKUP($B95,Data!$B$3:$EZ1530,45,FALSE)),1),"")</f>
        <v>0.2783212947</v>
      </c>
      <c r="O95" s="50">
        <f>IFERROR(VLOOKUP($B95,Data!$B$3:$D1530,2,FALSE),"")</f>
        <v>337040</v>
      </c>
      <c r="P95" s="50">
        <f>IFERROR(VLOOKUP($B95,Data!$B$3:$D1530,3,FALSE),"")</f>
        <v>220600</v>
      </c>
      <c r="Q95" s="48">
        <f t="shared" si="2"/>
        <v>0.5278331822</v>
      </c>
      <c r="R95" s="48"/>
      <c r="S95" s="48"/>
      <c r="T95" s="48"/>
      <c r="U95" s="48"/>
      <c r="V95" s="48"/>
      <c r="W95" s="50"/>
      <c r="Z95" s="11"/>
      <c r="AA95" s="11"/>
    </row>
    <row r="96">
      <c r="A96" s="9">
        <f t="shared" si="1"/>
        <v>93</v>
      </c>
      <c r="B96" s="47" t="s">
        <v>229</v>
      </c>
      <c r="C96" s="48" t="str">
        <f>IFERROR(DIVIDE(VLOOKUP($B96,Data!$B$3:$AB$1535,9,FALSE),VLOOKUP($B96,Data!$B$3:$AB$1535,4,FALSE)),"")</f>
        <v/>
      </c>
      <c r="D96" s="48" t="str">
        <f>IFERROR(DIVIDE(VLOOKUP($B96,Data!$B$3:$AB$1535,24,FALSE),VLOOKUP($B96,Data!$B$3:$AB$1535,4,FALSE)),"")</f>
        <v/>
      </c>
      <c r="E96" s="48" t="str">
        <f>IFERROR(DIVIDE(VLOOKUP($B96,Data!$B$3:$EZ1530,29,FALSE),VLOOKUP($B96,Data!$B$3:$EZ1530,4,FALSE)),"")</f>
        <v/>
      </c>
      <c r="F96" s="48" t="str">
        <f>IFERROR(DIVIDE(VLOOKUP($B96,Data!$B$3:$EZ1530,34,FALSE),VLOOKUP($B96,Data!$B$3:$EZ1530,4,FALSE)),"")</f>
        <v/>
      </c>
      <c r="G96" s="48" t="str">
        <f>IFERROR(DIVIDE(VLOOKUP($B96,Data!$B$3:$EZ1530,39,FALSE),VLOOKUP($B96,Data!$B$3:$EZ1530,4,FALSE)),"")</f>
        <v/>
      </c>
      <c r="H96" s="48" t="str">
        <f>IFERROR(DIVIDE(VLOOKUP($B96,Data!$B$3:$EZ1530,44,FALSE),VLOOKUP($B96,Data!$B$3:$EZ1530,4,FALSE)),"")</f>
        <v/>
      </c>
      <c r="I96" s="48">
        <f>IFERROR(MINUS(DIVIDE(VLOOKUP($B96,Data!$B$3:$EZ1530,9,FALSE),VLOOKUP($B96,Data!$B$3:$EZ1530,10,FALSE)),1),"")</f>
        <v>0.1224165342</v>
      </c>
      <c r="J96" s="48" t="str">
        <f>IFERROR(MINUS(DIVIDE(VLOOKUP($B96,Data!$B$3:$EZ1530,24,FALSE),VLOOKUP($B96,Data!$B$3:$EZ1530,25,FALSE)),1),"")</f>
        <v/>
      </c>
      <c r="K96" s="48">
        <f>IFERROR(MINUS(DIVIDE(VLOOKUP($B96,Data!$B$3:$EZ1530,29,FALSE),VLOOKUP($B96,Data!$B$3:$EZ1530,30,FALSE)),1),"")</f>
        <v>-0.06126548376</v>
      </c>
      <c r="L96" s="48">
        <f>IFERROR(MINUS(DIVIDE(VLOOKUP($B96,Data!$B$3:$EZ1530,34,FALSE),VLOOKUP($B96,Data!$B$3:$EZ1530,35,FALSE)),1),"")</f>
        <v>-0.05677154583</v>
      </c>
      <c r="M96" s="48">
        <f>IFERROR(MINUS(DIVIDE(VLOOKUP($B96,Data!$B$3:$EZ1530,39,FALSE),VLOOKUP($B96,Data!$B$3:$EZ1530,40,FALSE)),1),"")</f>
        <v>-0.06126548376</v>
      </c>
      <c r="N96" s="48">
        <f>IFERROR(MINUS(DIVIDE(VLOOKUP($B96,Data!$B$3:$EZ1530,44,FALSE),VLOOKUP($B96,Data!$B$3:$EZ1530,45,FALSE)),1),"")</f>
        <v>-0.0174863388</v>
      </c>
      <c r="O96" s="50" t="str">
        <f>IFERROR(VLOOKUP($B96,Data!$B$3:$D1530,2,FALSE),"")</f>
        <v/>
      </c>
      <c r="P96" s="50" t="str">
        <f>IFERROR(VLOOKUP($B96,Data!$B$3:$D1530,3,FALSE),"")</f>
        <v/>
      </c>
      <c r="Q96" s="48" t="str">
        <f t="shared" si="2"/>
        <v/>
      </c>
      <c r="R96" s="48"/>
      <c r="S96" s="48"/>
      <c r="T96" s="48"/>
      <c r="U96" s="48"/>
      <c r="V96" s="48"/>
      <c r="W96" s="50"/>
      <c r="Z96" s="11"/>
      <c r="AA96" s="11"/>
    </row>
    <row r="97">
      <c r="A97" s="9">
        <f t="shared" si="1"/>
        <v>94</v>
      </c>
      <c r="B97" s="47" t="s">
        <v>230</v>
      </c>
      <c r="C97" s="48">
        <f>IFERROR(DIVIDE(VLOOKUP($B97,Data!$B$3:$AB$1535,9,FALSE),VLOOKUP($B97,Data!$B$3:$AB$1535,4,FALSE)),"")</f>
        <v>0.06287128713</v>
      </c>
      <c r="D97" s="48">
        <f>IFERROR(DIVIDE(VLOOKUP($B97,Data!$B$3:$AB$1535,24,FALSE),VLOOKUP($B97,Data!$B$3:$AB$1535,4,FALSE)),"")</f>
        <v>-0.0550990099</v>
      </c>
      <c r="E97" s="48">
        <f>IFERROR(DIVIDE(VLOOKUP($B97,Data!$B$3:$EZ1530,29,FALSE),VLOOKUP($B97,Data!$B$3:$EZ1530,4,FALSE)),"")</f>
        <v>-0.1898514851</v>
      </c>
      <c r="F97" s="48">
        <f>IFERROR(DIVIDE(VLOOKUP($B97,Data!$B$3:$EZ1530,34,FALSE),VLOOKUP($B97,Data!$B$3:$EZ1530,4,FALSE)),"")</f>
        <v>0.0006831683168</v>
      </c>
      <c r="G97" s="48">
        <f>IFERROR(DIVIDE(VLOOKUP($B97,Data!$B$3:$EZ1530,39,FALSE),VLOOKUP($B97,Data!$B$3:$EZ1530,4,FALSE)),"")</f>
        <v>-0.1768316832</v>
      </c>
      <c r="H97" s="48">
        <f>IFERROR(DIVIDE(VLOOKUP($B97,Data!$B$3:$EZ1530,44,FALSE),VLOOKUP($B97,Data!$B$3:$EZ1530,4,FALSE)),"")</f>
        <v>-0.01004950495</v>
      </c>
      <c r="I97" s="48">
        <f>IFERROR(MINUS(DIVIDE(VLOOKUP($B97,Data!$B$3:$EZ1530,9,FALSE),VLOOKUP($B97,Data!$B$3:$EZ1530,10,FALSE)),1),"")</f>
        <v>1.347504621</v>
      </c>
      <c r="J97" s="48">
        <f>IFERROR(MINUS(DIVIDE(VLOOKUP($B97,Data!$B$3:$EZ1530,24,FALSE),VLOOKUP($B97,Data!$B$3:$EZ1530,25,FALSE)),1),"")</f>
        <v>-0.05597964377</v>
      </c>
      <c r="K97" s="48">
        <f>IFERROR(MINUS(DIVIDE(VLOOKUP($B97,Data!$B$3:$EZ1530,29,FALSE),VLOOKUP($B97,Data!$B$3:$EZ1530,30,FALSE)),1),"")</f>
        <v>0.05705622933</v>
      </c>
      <c r="L97" s="48">
        <f>IFERROR(MINUS(DIVIDE(VLOOKUP($B97,Data!$B$3:$EZ1530,34,FALSE),VLOOKUP($B97,Data!$B$3:$EZ1530,35,FALSE)),1),"")</f>
        <v>-1.022222222</v>
      </c>
      <c r="M97" s="48">
        <f>IFERROR(MINUS(DIVIDE(VLOOKUP($B97,Data!$B$3:$EZ1530,39,FALSE),VLOOKUP($B97,Data!$B$3:$EZ1530,40,FALSE)),1),"")</f>
        <v>0.08176862508</v>
      </c>
      <c r="N97" s="48">
        <f>IFERROR(MINUS(DIVIDE(VLOOKUP($B97,Data!$B$3:$EZ1530,44,FALSE),VLOOKUP($B97,Data!$B$3:$EZ1530,45,FALSE)),1),"")</f>
        <v>-0.6315789474</v>
      </c>
      <c r="O97" s="50">
        <f>IFERROR(VLOOKUP($B97,Data!$B$3:$D1530,2,FALSE),"")</f>
        <v>230300</v>
      </c>
      <c r="P97" s="50">
        <f>IFERROR(VLOOKUP($B97,Data!$B$3:$D1530,3,FALSE),"")</f>
        <v>210400</v>
      </c>
      <c r="Q97" s="48">
        <f t="shared" si="2"/>
        <v>0.09458174905</v>
      </c>
      <c r="R97" s="48"/>
      <c r="S97" s="48"/>
      <c r="T97" s="48"/>
      <c r="U97" s="48"/>
      <c r="V97" s="48"/>
      <c r="W97" s="50"/>
      <c r="Z97" s="15"/>
      <c r="AA97" s="15"/>
    </row>
    <row r="98">
      <c r="A98" s="9">
        <f t="shared" si="1"/>
        <v>95</v>
      </c>
      <c r="B98" s="47" t="s">
        <v>231</v>
      </c>
      <c r="C98" s="48">
        <f>IFERROR(DIVIDE(VLOOKUP($B98,Data!$B$3:$AB$1535,9,FALSE),VLOOKUP($B98,Data!$B$3:$AB$1535,4,FALSE)),"")</f>
        <v>0.1698121212</v>
      </c>
      <c r="D98" s="48">
        <f>IFERROR(DIVIDE(VLOOKUP($B98,Data!$B$3:$AB$1535,24,FALSE),VLOOKUP($B98,Data!$B$3:$AB$1535,4,FALSE)),"")</f>
        <v>0.08015757576</v>
      </c>
      <c r="E98" s="48">
        <f>IFERROR(DIVIDE(VLOOKUP($B98,Data!$B$3:$EZ1530,29,FALSE),VLOOKUP($B98,Data!$B$3:$EZ1530,4,FALSE)),"")</f>
        <v>0.06093939394</v>
      </c>
      <c r="F98" s="48">
        <f>IFERROR(DIVIDE(VLOOKUP($B98,Data!$B$3:$EZ1530,34,FALSE),VLOOKUP($B98,Data!$B$3:$EZ1530,4,FALSE)),"")</f>
        <v>0.1552484848</v>
      </c>
      <c r="G98" s="48">
        <f>IFERROR(DIVIDE(VLOOKUP($B98,Data!$B$3:$EZ1530,39,FALSE),VLOOKUP($B98,Data!$B$3:$EZ1530,4,FALSE)),"")</f>
        <v>0.04536969697</v>
      </c>
      <c r="H98" s="48">
        <f>IFERROR(DIVIDE(VLOOKUP($B98,Data!$B$3:$EZ1530,44,FALSE),VLOOKUP($B98,Data!$B$3:$EZ1530,4,FALSE)),"")</f>
        <v>0.1212969697</v>
      </c>
      <c r="I98" s="48">
        <f>IFERROR(MINUS(DIVIDE(VLOOKUP($B98,Data!$B$3:$EZ1530,9,FALSE),VLOOKUP($B98,Data!$B$3:$EZ1530,10,FALSE)),1),"")</f>
        <v>-0.03737932456</v>
      </c>
      <c r="J98" s="48">
        <f>IFERROR(MINUS(DIVIDE(VLOOKUP($B98,Data!$B$3:$EZ1530,24,FALSE),VLOOKUP($B98,Data!$B$3:$EZ1530,25,FALSE)),1),"")</f>
        <v>-0.06655374409</v>
      </c>
      <c r="K98" s="48">
        <f>IFERROR(MINUS(DIVIDE(VLOOKUP($B98,Data!$B$3:$EZ1530,29,FALSE),VLOOKUP($B98,Data!$B$3:$EZ1530,30,FALSE)),1),"")</f>
        <v>-0.09324555866</v>
      </c>
      <c r="L98" s="48">
        <f>IFERROR(MINUS(DIVIDE(VLOOKUP($B98,Data!$B$3:$EZ1530,34,FALSE),VLOOKUP($B98,Data!$B$3:$EZ1530,35,FALSE)),1),"")</f>
        <v>0.08874532472</v>
      </c>
      <c r="M98" s="48">
        <f>IFERROR(MINUS(DIVIDE(VLOOKUP($B98,Data!$B$3:$EZ1530,39,FALSE),VLOOKUP($B98,Data!$B$3:$EZ1530,40,FALSE)),1),"")</f>
        <v>-0.1055084239</v>
      </c>
      <c r="N98" s="48">
        <f>IFERROR(MINUS(DIVIDE(VLOOKUP($B98,Data!$B$3:$EZ1530,44,FALSE),VLOOKUP($B98,Data!$B$3:$EZ1530,45,FALSE)),1),"")</f>
        <v>0.04999737684</v>
      </c>
      <c r="O98" s="50">
        <f>IFERROR(VLOOKUP($B98,Data!$B$3:$D1530,2,FALSE),"")</f>
        <v>1620000</v>
      </c>
      <c r="P98" s="50">
        <f>IFERROR(VLOOKUP($B98,Data!$B$3:$D1530,3,FALSE),"")</f>
        <v>1500000</v>
      </c>
      <c r="Q98" s="48">
        <f t="shared" si="2"/>
        <v>0.08</v>
      </c>
      <c r="R98" s="48"/>
      <c r="S98" s="48"/>
      <c r="T98" s="48"/>
      <c r="U98" s="48"/>
      <c r="V98" s="48"/>
      <c r="W98" s="50"/>
      <c r="Z98" s="12"/>
      <c r="AA98" s="12"/>
    </row>
    <row r="99">
      <c r="A99" s="9">
        <f t="shared" si="1"/>
        <v>96</v>
      </c>
      <c r="B99" s="47" t="s">
        <v>232</v>
      </c>
      <c r="C99" s="48">
        <f>IFERROR(DIVIDE(VLOOKUP($B99,Data!$B$3:$AB$1535,9,FALSE),VLOOKUP($B99,Data!$B$3:$AB$1535,4,FALSE)),"")</f>
        <v>0.1565135895</v>
      </c>
      <c r="D99" s="48">
        <f>IFERROR(DIVIDE(VLOOKUP($B99,Data!$B$3:$AB$1535,24,FALSE),VLOOKUP($B99,Data!$B$3:$AB$1535,4,FALSE)),"")</f>
        <v>0.03768041237</v>
      </c>
      <c r="E99" s="48">
        <f>IFERROR(DIVIDE(VLOOKUP($B99,Data!$B$3:$EZ1530,29,FALSE),VLOOKUP($B99,Data!$B$3:$EZ1530,4,FALSE)),"")</f>
        <v>0.02870665417</v>
      </c>
      <c r="F99" s="48">
        <f>IFERROR(DIVIDE(VLOOKUP($B99,Data!$B$3:$EZ1530,34,FALSE),VLOOKUP($B99,Data!$B$3:$EZ1530,4,FALSE)),"")</f>
        <v>0.04513589503</v>
      </c>
      <c r="G99" s="48">
        <f>IFERROR(DIVIDE(VLOOKUP($B99,Data!$B$3:$EZ1530,39,FALSE),VLOOKUP($B99,Data!$B$3:$EZ1530,4,FALSE)),"")</f>
        <v>0.02112464855</v>
      </c>
      <c r="H99" s="48">
        <f>IFERROR(DIVIDE(VLOOKUP($B99,Data!$B$3:$EZ1530,44,FALSE),VLOOKUP($B99,Data!$B$3:$EZ1530,4,FALSE)),"")</f>
        <v>0.0473289597</v>
      </c>
      <c r="I99" s="48">
        <f>IFERROR(MINUS(DIVIDE(VLOOKUP($B99,Data!$B$3:$EZ1530,9,FALSE),VLOOKUP($B99,Data!$B$3:$EZ1530,10,FALSE)),1),"")</f>
        <v>0.03405572755</v>
      </c>
      <c r="J99" s="48">
        <f>IFERROR(MINUS(DIVIDE(VLOOKUP($B99,Data!$B$3:$EZ1530,24,FALSE),VLOOKUP($B99,Data!$B$3:$EZ1530,25,FALSE)),1),"")</f>
        <v>0.1095625776</v>
      </c>
      <c r="K99" s="48">
        <f>IFERROR(MINUS(DIVIDE(VLOOKUP($B99,Data!$B$3:$EZ1530,29,FALSE),VLOOKUP($B99,Data!$B$3:$EZ1530,30,FALSE)),1),"")</f>
        <v>0.157159048</v>
      </c>
      <c r="L99" s="48">
        <f>IFERROR(MINUS(DIVIDE(VLOOKUP($B99,Data!$B$3:$EZ1530,34,FALSE),VLOOKUP($B99,Data!$B$3:$EZ1530,35,FALSE)),1),"")</f>
        <v>0.08529577465</v>
      </c>
      <c r="M99" s="48">
        <f>IFERROR(MINUS(DIVIDE(VLOOKUP($B99,Data!$B$3:$EZ1530,39,FALSE),VLOOKUP($B99,Data!$B$3:$EZ1530,40,FALSE)),1),"")</f>
        <v>0.1386713817</v>
      </c>
      <c r="N99" s="48">
        <f>IFERROR(MINUS(DIVIDE(VLOOKUP($B99,Data!$B$3:$EZ1530,44,FALSE),VLOOKUP($B99,Data!$B$3:$EZ1530,45,FALSE)),1),"")</f>
        <v>2.760238273</v>
      </c>
      <c r="O99" s="50">
        <f>IFERROR(VLOOKUP($B99,Data!$B$3:$D1530,2,FALSE),"")</f>
        <v>21280000</v>
      </c>
      <c r="P99" s="50">
        <f>IFERROR(VLOOKUP($B99,Data!$B$3:$D1530,3,FALSE),"")</f>
        <v>19760000</v>
      </c>
      <c r="Q99" s="48">
        <f t="shared" si="2"/>
        <v>0.07692307692</v>
      </c>
      <c r="R99" s="48"/>
      <c r="S99" s="48"/>
      <c r="T99" s="48"/>
      <c r="U99" s="48"/>
      <c r="V99" s="48"/>
      <c r="W99" s="50"/>
      <c r="Z99" s="15"/>
      <c r="AA99" s="15"/>
    </row>
    <row r="100">
      <c r="A100" s="9">
        <f t="shared" si="1"/>
        <v>97</v>
      </c>
      <c r="B100" s="47" t="s">
        <v>233</v>
      </c>
      <c r="C100" s="48">
        <f>IFERROR(DIVIDE(VLOOKUP($B100,Data!$B$3:$AB$1535,9,FALSE),VLOOKUP($B100,Data!$B$3:$AB$1535,4,FALSE)),"")</f>
        <v>0</v>
      </c>
      <c r="D100" s="48">
        <f>IFERROR(DIVIDE(VLOOKUP($B100,Data!$B$3:$AB$1535,24,FALSE),VLOOKUP($B100,Data!$B$3:$AB$1535,4,FALSE)),"")</f>
        <v>0</v>
      </c>
      <c r="E100" s="48">
        <f>IFERROR(DIVIDE(VLOOKUP($B100,Data!$B$3:$EZ1530,29,FALSE),VLOOKUP($B100,Data!$B$3:$EZ1530,4,FALSE)),"")</f>
        <v>-12.18625</v>
      </c>
      <c r="F100" s="48">
        <f>IFERROR(DIVIDE(VLOOKUP($B100,Data!$B$3:$EZ1530,34,FALSE),VLOOKUP($B100,Data!$B$3:$EZ1530,4,FALSE)),"")</f>
        <v>-13.365</v>
      </c>
      <c r="G100" s="48">
        <f>IFERROR(DIVIDE(VLOOKUP($B100,Data!$B$3:$EZ1530,39,FALSE),VLOOKUP($B100,Data!$B$3:$EZ1530,4,FALSE)),"")</f>
        <v>-12.1675</v>
      </c>
      <c r="H100" s="48">
        <f>IFERROR(DIVIDE(VLOOKUP($B100,Data!$B$3:$EZ1530,44,FALSE),VLOOKUP($B100,Data!$B$3:$EZ1530,4,FALSE)),"")</f>
        <v>-8.69</v>
      </c>
      <c r="I100" s="48" t="str">
        <f>IFERROR(MINUS(DIVIDE(VLOOKUP($B100,Data!$B$3:$EZ1530,9,FALSE),VLOOKUP($B100,Data!$B$3:$EZ1530,10,FALSE)),1),"")</f>
        <v/>
      </c>
      <c r="J100" s="48" t="str">
        <f>IFERROR(MINUS(DIVIDE(VLOOKUP($B100,Data!$B$3:$EZ1530,24,FALSE),VLOOKUP($B100,Data!$B$3:$EZ1530,25,FALSE)),1),"")</f>
        <v/>
      </c>
      <c r="K100" s="48">
        <f>IFERROR(MINUS(DIVIDE(VLOOKUP($B100,Data!$B$3:$EZ1530,29,FALSE),VLOOKUP($B100,Data!$B$3:$EZ1530,30,FALSE)),1),"")</f>
        <v>0.5762328213</v>
      </c>
      <c r="L100" s="48">
        <f>IFERROR(MINUS(DIVIDE(VLOOKUP($B100,Data!$B$3:$EZ1530,34,FALSE),VLOOKUP($B100,Data!$B$3:$EZ1530,35,FALSE)),1),"")</f>
        <v>0.6099984942</v>
      </c>
      <c r="M100" s="48">
        <f>IFERROR(MINUS(DIVIDE(VLOOKUP($B100,Data!$B$3:$EZ1530,39,FALSE),VLOOKUP($B100,Data!$B$3:$EZ1530,40,FALSE)),1),"")</f>
        <v>0.5786571521</v>
      </c>
      <c r="N100" s="48">
        <f>IFERROR(MINUS(DIVIDE(VLOOKUP($B100,Data!$B$3:$EZ1530,44,FALSE),VLOOKUP($B100,Data!$B$3:$EZ1530,45,FALSE)),1),"")</f>
        <v>0.433106576</v>
      </c>
      <c r="O100" s="50">
        <f>IFERROR(VLOOKUP($B100,Data!$B$3:$D1530,2,FALSE),"")</f>
        <v>11520</v>
      </c>
      <c r="P100" s="50">
        <f>IFERROR(VLOOKUP($B100,Data!$B$3:$D1530,3,FALSE),"")</f>
        <v>32500</v>
      </c>
      <c r="Q100" s="48">
        <f t="shared" si="2"/>
        <v>-0.6455384615</v>
      </c>
      <c r="R100" s="48"/>
      <c r="S100" s="48"/>
      <c r="T100" s="48"/>
      <c r="U100" s="48"/>
      <c r="V100" s="48"/>
      <c r="W100" s="50"/>
      <c r="Z100" s="11"/>
      <c r="AA100" s="11"/>
    </row>
    <row r="101">
      <c r="A101" s="9">
        <f t="shared" si="1"/>
        <v>98</v>
      </c>
      <c r="B101" s="47" t="s">
        <v>234</v>
      </c>
      <c r="C101" s="48">
        <f>IFERROR(DIVIDE(VLOOKUP($B101,Data!$B$3:$AB$1535,9,FALSE),VLOOKUP($B101,Data!$B$3:$AB$1535,4,FALSE)),"")</f>
        <v>0.06315177479</v>
      </c>
      <c r="D101" s="48">
        <f>IFERROR(DIVIDE(VLOOKUP($B101,Data!$B$3:$AB$1535,24,FALSE),VLOOKUP($B101,Data!$B$3:$AB$1535,4,FALSE)),"")</f>
        <v>0.008714810282</v>
      </c>
      <c r="E101" s="48">
        <f>IFERROR(DIVIDE(VLOOKUP($B101,Data!$B$3:$EZ1530,29,FALSE),VLOOKUP($B101,Data!$B$3:$EZ1530,4,FALSE)),"")</f>
        <v>0.003440636475</v>
      </c>
      <c r="F101" s="48">
        <f>IFERROR(DIVIDE(VLOOKUP($B101,Data!$B$3:$EZ1530,34,FALSE),VLOOKUP($B101,Data!$B$3:$EZ1530,4,FALSE)),"")</f>
        <v>0.02757405141</v>
      </c>
      <c r="G101" s="48">
        <f>IFERROR(DIVIDE(VLOOKUP($B101,Data!$B$3:$EZ1530,39,FALSE),VLOOKUP($B101,Data!$B$3:$EZ1530,4,FALSE)),"")</f>
        <v>0.002241126071</v>
      </c>
      <c r="H101" s="48">
        <f>IFERROR(DIVIDE(VLOOKUP($B101,Data!$B$3:$EZ1530,44,FALSE),VLOOKUP($B101,Data!$B$3:$EZ1530,4,FALSE)),"")</f>
        <v>0.04266340269</v>
      </c>
      <c r="I101" s="48">
        <f>IFERROR(MINUS(DIVIDE(VLOOKUP($B101,Data!$B$3:$EZ1530,9,FALSE),VLOOKUP($B101,Data!$B$3:$EZ1530,10,FALSE)),1),"")</f>
        <v>0.7327131679</v>
      </c>
      <c r="J101" s="48">
        <f>IFERROR(MINUS(DIVIDE(VLOOKUP($B101,Data!$B$3:$EZ1530,24,FALSE),VLOOKUP($B101,Data!$B$3:$EZ1530,25,FALSE)),1),"")</f>
        <v>1.134932534</v>
      </c>
      <c r="K101" s="48">
        <f>IFERROR(MINUS(DIVIDE(VLOOKUP($B101,Data!$B$3:$EZ1530,29,FALSE),VLOOKUP($B101,Data!$B$3:$EZ1530,30,FALSE)),1),"")</f>
        <v>-0.4712189616</v>
      </c>
      <c r="L101" s="48">
        <f>IFERROR(MINUS(DIVIDE(VLOOKUP($B101,Data!$B$3:$EZ1530,34,FALSE),VLOOKUP($B101,Data!$B$3:$EZ1530,35,FALSE)),1),"")</f>
        <v>0.6481088595</v>
      </c>
      <c r="M101" s="48">
        <f>IFERROR(MINUS(DIVIDE(VLOOKUP($B101,Data!$B$3:$EZ1530,39,FALSE),VLOOKUP($B101,Data!$B$3:$EZ1530,40,FALSE)),1),"")</f>
        <v>-0.5585824494</v>
      </c>
      <c r="N101" s="48">
        <f>IFERROR(MINUS(DIVIDE(VLOOKUP($B101,Data!$B$3:$EZ1530,44,FALSE),VLOOKUP($B101,Data!$B$3:$EZ1530,45,FALSE)),1),"")</f>
        <v>-10.81306306</v>
      </c>
      <c r="O101" s="50">
        <f>IFERROR(VLOOKUP($B101,Data!$B$3:$D1530,2,FALSE),"")</f>
        <v>7820000</v>
      </c>
      <c r="P101" s="50">
        <f>IFERROR(VLOOKUP($B101,Data!$B$3:$D1530,3,FALSE),"")</f>
        <v>7770000</v>
      </c>
      <c r="Q101" s="48">
        <f t="shared" si="2"/>
        <v>0.006435006435</v>
      </c>
      <c r="R101" s="48"/>
      <c r="S101" s="48"/>
      <c r="T101" s="48"/>
      <c r="U101" s="48"/>
      <c r="V101" s="48"/>
      <c r="W101" s="50"/>
      <c r="Z101" s="11"/>
      <c r="AA101" s="11"/>
    </row>
    <row r="102">
      <c r="A102" s="9">
        <f t="shared" si="1"/>
        <v>99</v>
      </c>
      <c r="B102" s="47" t="s">
        <v>235</v>
      </c>
      <c r="C102" s="48">
        <f>IFERROR(DIVIDE(VLOOKUP($B102,Data!$B$3:$AB$1535,9,FALSE),VLOOKUP($B102,Data!$B$3:$AB$1535,4,FALSE)),"")</f>
        <v>0.544198895</v>
      </c>
      <c r="D102" s="48">
        <f>IFERROR(DIVIDE(VLOOKUP($B102,Data!$B$3:$AB$1535,24,FALSE),VLOOKUP($B102,Data!$B$3:$AB$1535,4,FALSE)),"")</f>
        <v>0.01635635359</v>
      </c>
      <c r="E102" s="48">
        <f>IFERROR(DIVIDE(VLOOKUP($B102,Data!$B$3:$EZ1530,29,FALSE),VLOOKUP($B102,Data!$B$3:$EZ1530,4,FALSE)),"")</f>
        <v>0.01721823204</v>
      </c>
      <c r="F102" s="48">
        <f>IFERROR(DIVIDE(VLOOKUP($B102,Data!$B$3:$EZ1530,34,FALSE),VLOOKUP($B102,Data!$B$3:$EZ1530,4,FALSE)),"")</f>
        <v>0.08274309392</v>
      </c>
      <c r="G102" s="48">
        <f>IFERROR(DIVIDE(VLOOKUP($B102,Data!$B$3:$EZ1530,39,FALSE),VLOOKUP($B102,Data!$B$3:$EZ1530,4,FALSE)),"")</f>
        <v>0.01087292818</v>
      </c>
      <c r="H102" s="48">
        <f>IFERROR(DIVIDE(VLOOKUP($B102,Data!$B$3:$EZ1530,44,FALSE),VLOOKUP($B102,Data!$B$3:$EZ1530,4,FALSE)),"")</f>
        <v>0.0702320442</v>
      </c>
      <c r="I102" s="48">
        <f>IFERROR(MINUS(DIVIDE(VLOOKUP($B102,Data!$B$3:$EZ1530,9,FALSE),VLOOKUP($B102,Data!$B$3:$EZ1530,10,FALSE)),1),"")</f>
        <v>-0.005050505051</v>
      </c>
      <c r="J102" s="48">
        <f>IFERROR(MINUS(DIVIDE(VLOOKUP($B102,Data!$B$3:$EZ1530,24,FALSE),VLOOKUP($B102,Data!$B$3:$EZ1530,25,FALSE)),1),"")</f>
        <v>-0.5286203328</v>
      </c>
      <c r="K102" s="48">
        <f>IFERROR(MINUS(DIVIDE(VLOOKUP($B102,Data!$B$3:$EZ1530,29,FALSE),VLOOKUP($B102,Data!$B$3:$EZ1530,30,FALSE)),1),"")</f>
        <v>-0.4643808542</v>
      </c>
      <c r="L102" s="48">
        <f>IFERROR(MINUS(DIVIDE(VLOOKUP($B102,Data!$B$3:$EZ1530,34,FALSE),VLOOKUP($B102,Data!$B$3:$EZ1530,35,FALSE)),1),"")</f>
        <v>-0.03042760496</v>
      </c>
      <c r="M102" s="48">
        <f>IFERROR(MINUS(DIVIDE(VLOOKUP($B102,Data!$B$3:$EZ1530,39,FALSE),VLOOKUP($B102,Data!$B$3:$EZ1530,40,FALSE)),1),"")</f>
        <v>-0.471961363</v>
      </c>
      <c r="N102" s="48">
        <f>IFERROR(MINUS(DIVIDE(VLOOKUP($B102,Data!$B$3:$EZ1530,44,FALSE),VLOOKUP($B102,Data!$B$3:$EZ1530,45,FALSE)),1),"")</f>
        <v>-0.2796305216</v>
      </c>
      <c r="O102" s="50">
        <f>IFERROR(VLOOKUP($B102,Data!$B$3:$D1530,2,FALSE),"")</f>
        <v>3440000</v>
      </c>
      <c r="P102" s="50">
        <f>IFERROR(VLOOKUP($B102,Data!$B$3:$D1530,3,FALSE),"")</f>
        <v>3100000</v>
      </c>
      <c r="Q102" s="48">
        <f t="shared" si="2"/>
        <v>0.1096774194</v>
      </c>
      <c r="R102" s="48"/>
      <c r="S102" s="48"/>
      <c r="T102" s="48"/>
      <c r="U102" s="48"/>
      <c r="V102" s="48"/>
      <c r="W102" s="50"/>
      <c r="Z102" s="11"/>
      <c r="AA102" s="11"/>
    </row>
    <row r="103">
      <c r="A103" s="9">
        <f t="shared" si="1"/>
        <v>100</v>
      </c>
      <c r="B103" s="47" t="s">
        <v>236</v>
      </c>
      <c r="C103" s="48">
        <f>IFERROR(DIVIDE(VLOOKUP($B103,Data!$B$3:$AB$1535,9,FALSE),VLOOKUP($B103,Data!$B$3:$AB$1535,4,FALSE)),"")</f>
        <v>0.5005083515</v>
      </c>
      <c r="D103" s="48">
        <f>IFERROR(DIVIDE(VLOOKUP($B103,Data!$B$3:$AB$1535,24,FALSE),VLOOKUP($B103,Data!$B$3:$AB$1535,4,FALSE)),"")</f>
        <v>0.07915758896</v>
      </c>
      <c r="E103" s="48">
        <f>IFERROR(DIVIDE(VLOOKUP($B103,Data!$B$3:$EZ1530,29,FALSE),VLOOKUP($B103,Data!$B$3:$EZ1530,4,FALSE)),"")</f>
        <v>0.01529895909</v>
      </c>
      <c r="F103" s="48">
        <f>IFERROR(DIVIDE(VLOOKUP($B103,Data!$B$3:$EZ1530,34,FALSE),VLOOKUP($B103,Data!$B$3:$EZ1530,4,FALSE)),"")</f>
        <v>0.2955216655</v>
      </c>
      <c r="G103" s="48">
        <f>IFERROR(DIVIDE(VLOOKUP($B103,Data!$B$3:$EZ1530,39,FALSE),VLOOKUP($B103,Data!$B$3:$EZ1530,4,FALSE)),"")</f>
        <v>0.0290486565</v>
      </c>
      <c r="H103" s="48">
        <f>IFERROR(DIVIDE(VLOOKUP($B103,Data!$B$3:$EZ1530,44,FALSE),VLOOKUP($B103,Data!$B$3:$EZ1530,4,FALSE)),"")</f>
        <v>0.2209150327</v>
      </c>
      <c r="I103" s="48">
        <f>IFERROR(MINUS(DIVIDE(VLOOKUP($B103,Data!$B$3:$EZ1530,9,FALSE),VLOOKUP($B103,Data!$B$3:$EZ1530,10,FALSE)),1),"")</f>
        <v>0.09039130893</v>
      </c>
      <c r="J103" s="48">
        <f>IFERROR(MINUS(DIVIDE(VLOOKUP($B103,Data!$B$3:$EZ1530,24,FALSE),VLOOKUP($B103,Data!$B$3:$EZ1530,25,FALSE)),1),"")</f>
        <v>-0.5349829352</v>
      </c>
      <c r="K103" s="48">
        <f>IFERROR(MINUS(DIVIDE(VLOOKUP($B103,Data!$B$3:$EZ1530,29,FALSE),VLOOKUP($B103,Data!$B$3:$EZ1530,30,FALSE)),1),"")</f>
        <v>-0.842394015</v>
      </c>
      <c r="L103" s="48">
        <f>IFERROR(MINUS(DIVIDE(VLOOKUP($B103,Data!$B$3:$EZ1530,34,FALSE),VLOOKUP($B103,Data!$B$3:$EZ1530,35,FALSE)),1),"")</f>
        <v>-0.1334469052</v>
      </c>
      <c r="M103" s="48">
        <f>IFERROR(MINUS(DIVIDE(VLOOKUP($B103,Data!$B$3:$EZ1530,39,FALSE),VLOOKUP($B103,Data!$B$3:$EZ1530,40,FALSE)),1),"")</f>
        <v>-0.6088657106</v>
      </c>
      <c r="N103" s="48">
        <f>IFERROR(MINUS(DIVIDE(VLOOKUP($B103,Data!$B$3:$EZ1530,44,FALSE),VLOOKUP($B103,Data!$B$3:$EZ1530,45,FALSE)),1),"")</f>
        <v>-0.3033587786</v>
      </c>
      <c r="O103" s="50">
        <f>IFERROR(VLOOKUP($B103,Data!$B$3:$D1530,2,FALSE),"")</f>
        <v>217700</v>
      </c>
      <c r="P103" s="50">
        <f>IFERROR(VLOOKUP($B103,Data!$B$3:$D1530,3,FALSE),"")</f>
        <v>206500</v>
      </c>
      <c r="Q103" s="48">
        <f t="shared" si="2"/>
        <v>0.05423728814</v>
      </c>
      <c r="R103" s="48"/>
      <c r="S103" s="48"/>
      <c r="T103" s="48"/>
      <c r="U103" s="48"/>
      <c r="V103" s="48"/>
      <c r="W103" s="50"/>
      <c r="Z103" s="15"/>
      <c r="AA103" s="15"/>
    </row>
    <row r="104">
      <c r="A104" s="9">
        <f t="shared" si="1"/>
        <v>101</v>
      </c>
      <c r="B104" s="47" t="s">
        <v>237</v>
      </c>
      <c r="C104" s="48">
        <f>IFERROR(DIVIDE(VLOOKUP($B104,Data!$B$3:$AB$1535,9,FALSE),VLOOKUP($B104,Data!$B$3:$AB$1535,4,FALSE)),"")</f>
        <v>0.2558768739</v>
      </c>
      <c r="D104" s="48">
        <f>IFERROR(DIVIDE(VLOOKUP($B104,Data!$B$3:$AB$1535,24,FALSE),VLOOKUP($B104,Data!$B$3:$AB$1535,4,FALSE)),"")</f>
        <v>0</v>
      </c>
      <c r="E104" s="48">
        <f>IFERROR(DIVIDE(VLOOKUP($B104,Data!$B$3:$EZ1530,29,FALSE),VLOOKUP($B104,Data!$B$3:$EZ1530,4,FALSE)),"")</f>
        <v>-0.02967266921</v>
      </c>
      <c r="F104" s="48">
        <f>IFERROR(DIVIDE(VLOOKUP($B104,Data!$B$3:$EZ1530,34,FALSE),VLOOKUP($B104,Data!$B$3:$EZ1530,4,FALSE)),"")</f>
        <v>0.05553091457</v>
      </c>
      <c r="G104" s="48">
        <f>IFERROR(DIVIDE(VLOOKUP($B104,Data!$B$3:$EZ1530,39,FALSE),VLOOKUP($B104,Data!$B$3:$EZ1530,4,FALSE)),"")</f>
        <v>0.004124900204</v>
      </c>
      <c r="H104" s="48">
        <f>IFERROR(DIVIDE(VLOOKUP($B104,Data!$B$3:$EZ1530,44,FALSE),VLOOKUP($B104,Data!$B$3:$EZ1530,4,FALSE)),"")</f>
        <v>0.06967976581</v>
      </c>
      <c r="I104" s="48">
        <f>IFERROR(MINUS(DIVIDE(VLOOKUP($B104,Data!$B$3:$EZ1530,9,FALSE),VLOOKUP($B104,Data!$B$3:$EZ1530,10,FALSE)),1),"")</f>
        <v>0.0308228357</v>
      </c>
      <c r="J104" s="48" t="str">
        <f>IFERROR(MINUS(DIVIDE(VLOOKUP($B104,Data!$B$3:$EZ1530,24,FALSE),VLOOKUP($B104,Data!$B$3:$EZ1530,25,FALSE)),1),"")</f>
        <v/>
      </c>
      <c r="K104" s="48">
        <f>IFERROR(MINUS(DIVIDE(VLOOKUP($B104,Data!$B$3:$EZ1530,29,FALSE),VLOOKUP($B104,Data!$B$3:$EZ1530,30,FALSE)),1),"")</f>
        <v>-3.363957597</v>
      </c>
      <c r="L104" s="48">
        <f>IFERROR(MINUS(DIVIDE(VLOOKUP($B104,Data!$B$3:$EZ1530,34,FALSE),VLOOKUP($B104,Data!$B$3:$EZ1530,35,FALSE)),1),"")</f>
        <v>-0.3382663848</v>
      </c>
      <c r="M104" s="48">
        <f>IFERROR(MINUS(DIVIDE(VLOOKUP($B104,Data!$B$3:$EZ1530,39,FALSE),VLOOKUP($B104,Data!$B$3:$EZ1530,40,FALSE)),1),"")</f>
        <v>-0.8695652174</v>
      </c>
      <c r="N104" s="48">
        <f>IFERROR(MINUS(DIVIDE(VLOOKUP($B104,Data!$B$3:$EZ1530,44,FALSE),VLOOKUP($B104,Data!$B$3:$EZ1530,45,FALSE)),1),"")</f>
        <v>8.028735632</v>
      </c>
      <c r="O104" s="50">
        <f>IFERROR(VLOOKUP($B104,Data!$B$3:$D1530,2,FALSE),"")</f>
        <v>509370</v>
      </c>
      <c r="P104" s="50">
        <f>IFERROR(VLOOKUP($B104,Data!$B$3:$D1530,3,FALSE),"")</f>
        <v>461400</v>
      </c>
      <c r="Q104" s="48">
        <f t="shared" si="2"/>
        <v>0.1039661899</v>
      </c>
      <c r="R104" s="48"/>
      <c r="S104" s="48"/>
      <c r="T104" s="48"/>
      <c r="U104" s="48"/>
      <c r="V104" s="48"/>
      <c r="W104" s="50"/>
      <c r="Z104" s="11"/>
      <c r="AA104" s="11"/>
    </row>
    <row r="105">
      <c r="A105" s="9">
        <f t="shared" si="1"/>
        <v>102</v>
      </c>
      <c r="B105" s="47" t="s">
        <v>238</v>
      </c>
      <c r="C105" s="48">
        <f>IFERROR(DIVIDE(VLOOKUP($B105,Data!$B$3:$AB$1535,9,FALSE),VLOOKUP($B105,Data!$B$3:$AB$1535,4,FALSE)),"")</f>
        <v>0.3295964126</v>
      </c>
      <c r="D105" s="48">
        <f>IFERROR(DIVIDE(VLOOKUP($B105,Data!$B$3:$AB$1535,24,FALSE),VLOOKUP($B105,Data!$B$3:$AB$1535,4,FALSE)),"")</f>
        <v>0.2331838565</v>
      </c>
      <c r="E105" s="48">
        <f>IFERROR(DIVIDE(VLOOKUP($B105,Data!$B$3:$EZ1530,29,FALSE),VLOOKUP($B105,Data!$B$3:$EZ1530,4,FALSE)),"")</f>
        <v>0.2567264574</v>
      </c>
      <c r="F105" s="48">
        <f>IFERROR(DIVIDE(VLOOKUP($B105,Data!$B$3:$EZ1530,34,FALSE),VLOOKUP($B105,Data!$B$3:$EZ1530,4,FALSE)),"")</f>
        <v>0.3587443946</v>
      </c>
      <c r="G105" s="48">
        <f>IFERROR(DIVIDE(VLOOKUP($B105,Data!$B$3:$EZ1530,39,FALSE),VLOOKUP($B105,Data!$B$3:$EZ1530,4,FALSE)),"")</f>
        <v>0.197309417</v>
      </c>
      <c r="H105" s="48">
        <f>IFERROR(DIVIDE(VLOOKUP($B105,Data!$B$3:$EZ1530,44,FALSE),VLOOKUP($B105,Data!$B$3:$EZ1530,4,FALSE)),"")</f>
        <v>0.3329596413</v>
      </c>
      <c r="I105" s="48">
        <f>IFERROR(MINUS(DIVIDE(VLOOKUP($B105,Data!$B$3:$EZ1530,9,FALSE),VLOOKUP($B105,Data!$B$3:$EZ1530,10,FALSE)),1),"")</f>
        <v>0.07299270073</v>
      </c>
      <c r="J105" s="48">
        <f>IFERROR(MINUS(DIVIDE(VLOOKUP($B105,Data!$B$3:$EZ1530,24,FALSE),VLOOKUP($B105,Data!$B$3:$EZ1530,25,FALSE)),1),"")</f>
        <v>0.1243243243</v>
      </c>
      <c r="K105" s="48">
        <f>IFERROR(MINUS(DIVIDE(VLOOKUP($B105,Data!$B$3:$EZ1530,29,FALSE),VLOOKUP($B105,Data!$B$3:$EZ1530,30,FALSE)),1),"")</f>
        <v>0.1336633663</v>
      </c>
      <c r="L105" s="48">
        <f>IFERROR(MINUS(DIVIDE(VLOOKUP($B105,Data!$B$3:$EZ1530,34,FALSE),VLOOKUP($B105,Data!$B$3:$EZ1530,35,FALSE)),1),"")</f>
        <v>0.107266436</v>
      </c>
      <c r="M105" s="48">
        <f>IFERROR(MINUS(DIVIDE(VLOOKUP($B105,Data!$B$3:$EZ1530,39,FALSE),VLOOKUP($B105,Data!$B$3:$EZ1530,40,FALSE)),1),"")</f>
        <v>0.2054794521</v>
      </c>
      <c r="N105" s="48">
        <f>IFERROR(MINUS(DIVIDE(VLOOKUP($B105,Data!$B$3:$EZ1530,44,FALSE),VLOOKUP($B105,Data!$B$3:$EZ1530,45,FALSE)),1),"")</f>
        <v>0.1647058824</v>
      </c>
      <c r="O105" s="50">
        <f>IFERROR(VLOOKUP($B105,Data!$B$3:$D1530,2,FALSE),"")</f>
        <v>9510000</v>
      </c>
      <c r="P105" s="50">
        <f>IFERROR(VLOOKUP($B105,Data!$B$3:$D1530,3,FALSE),"")</f>
        <v>8820000</v>
      </c>
      <c r="Q105" s="48">
        <f t="shared" si="2"/>
        <v>0.07823129252</v>
      </c>
      <c r="R105" s="48"/>
      <c r="S105" s="48"/>
      <c r="T105" s="48"/>
      <c r="U105" s="48"/>
      <c r="V105" s="48"/>
      <c r="W105" s="50"/>
      <c r="Z105" s="11"/>
      <c r="AA105" s="11"/>
    </row>
    <row r="106">
      <c r="A106" s="9">
        <f t="shared" si="1"/>
        <v>103</v>
      </c>
      <c r="B106" s="47" t="s">
        <v>239</v>
      </c>
      <c r="C106" s="48" t="str">
        <f>IFERROR(DIVIDE(VLOOKUP($B106,Data!$B$3:$AB$1535,9,FALSE),VLOOKUP($B106,Data!$B$3:$AB$1535,4,FALSE)),"")</f>
        <v/>
      </c>
      <c r="D106" s="48" t="str">
        <f>IFERROR(DIVIDE(VLOOKUP($B106,Data!$B$3:$AB$1535,24,FALSE),VLOOKUP($B106,Data!$B$3:$AB$1535,4,FALSE)),"")</f>
        <v/>
      </c>
      <c r="E106" s="48" t="str">
        <f>IFERROR(DIVIDE(VLOOKUP($B106,Data!$B$3:$EZ1530,29,FALSE),VLOOKUP($B106,Data!$B$3:$EZ1530,4,FALSE)),"")</f>
        <v/>
      </c>
      <c r="F106" s="48" t="str">
        <f>IFERROR(DIVIDE(VLOOKUP($B106,Data!$B$3:$EZ1530,34,FALSE),VLOOKUP($B106,Data!$B$3:$EZ1530,4,FALSE)),"")</f>
        <v/>
      </c>
      <c r="G106" s="48" t="str">
        <f>IFERROR(DIVIDE(VLOOKUP($B106,Data!$B$3:$EZ1530,39,FALSE),VLOOKUP($B106,Data!$B$3:$EZ1530,4,FALSE)),"")</f>
        <v/>
      </c>
      <c r="H106" s="48" t="str">
        <f>IFERROR(DIVIDE(VLOOKUP($B106,Data!$B$3:$EZ1530,44,FALSE),VLOOKUP($B106,Data!$B$3:$EZ1530,4,FALSE)),"")</f>
        <v/>
      </c>
      <c r="I106" s="48" t="str">
        <f>IFERROR(MINUS(DIVIDE(VLOOKUP($B106,Data!$B$3:$EZ1530,9,FALSE),VLOOKUP($B106,Data!$B$3:$EZ1530,10,FALSE)),1),"")</f>
        <v/>
      </c>
      <c r="J106" s="48">
        <f>IFERROR(MINUS(DIVIDE(VLOOKUP($B106,Data!$B$3:$EZ1530,24,FALSE),VLOOKUP($B106,Data!$B$3:$EZ1530,25,FALSE)),1),"")</f>
        <v>1.380788486</v>
      </c>
      <c r="K106" s="48">
        <f>IFERROR(MINUS(DIVIDE(VLOOKUP($B106,Data!$B$3:$EZ1530,29,FALSE),VLOOKUP($B106,Data!$B$3:$EZ1530,30,FALSE)),1),"")</f>
        <v>1.389882353</v>
      </c>
      <c r="L106" s="48" t="str">
        <f>IFERROR(MINUS(DIVIDE(VLOOKUP($B106,Data!$B$3:$EZ1530,34,FALSE),VLOOKUP($B106,Data!$B$3:$EZ1530,35,FALSE)),1),"")</f>
        <v/>
      </c>
      <c r="M106" s="48">
        <f>IFERROR(MINUS(DIVIDE(VLOOKUP($B106,Data!$B$3:$EZ1530,39,FALSE),VLOOKUP($B106,Data!$B$3:$EZ1530,40,FALSE)),1),"")</f>
        <v>1.389882353</v>
      </c>
      <c r="N106" s="48">
        <f>IFERROR(MINUS(DIVIDE(VLOOKUP($B106,Data!$B$3:$EZ1530,44,FALSE),VLOOKUP($B106,Data!$B$3:$EZ1530,45,FALSE)),1),"")</f>
        <v>0.6085631571</v>
      </c>
      <c r="O106" s="50">
        <f>IFERROR(VLOOKUP($B106,Data!$B$3:$D1530,2,FALSE),"")</f>
        <v>27470</v>
      </c>
      <c r="P106" s="50" t="str">
        <f>IFERROR(VLOOKUP($B106,Data!$B$3:$D1530,3,FALSE),"")</f>
        <v/>
      </c>
      <c r="Q106" s="48" t="str">
        <f t="shared" si="2"/>
        <v/>
      </c>
      <c r="R106" s="48"/>
      <c r="S106" s="48"/>
      <c r="T106" s="48"/>
      <c r="U106" s="48"/>
      <c r="V106" s="48"/>
      <c r="W106" s="50"/>
      <c r="Z106" s="15"/>
      <c r="AA106" s="15"/>
    </row>
    <row r="107">
      <c r="A107" s="9">
        <f t="shared" si="1"/>
        <v>104</v>
      </c>
      <c r="B107" s="47" t="s">
        <v>240</v>
      </c>
      <c r="C107" s="48" t="str">
        <f>IFERROR(DIVIDE(VLOOKUP($B107,Data!$B$3:$AB$1535,9,FALSE),VLOOKUP($B107,Data!$B$3:$AB$1535,4,FALSE)),"")</f>
        <v/>
      </c>
      <c r="D107" s="48" t="str">
        <f>IFERROR(DIVIDE(VLOOKUP($B107,Data!$B$3:$AB$1535,24,FALSE),VLOOKUP($B107,Data!$B$3:$AB$1535,4,FALSE)),"")</f>
        <v/>
      </c>
      <c r="E107" s="48" t="str">
        <f>IFERROR(DIVIDE(VLOOKUP($B107,Data!$B$3:$EZ1530,29,FALSE),VLOOKUP($B107,Data!$B$3:$EZ1530,4,FALSE)),"")</f>
        <v/>
      </c>
      <c r="F107" s="48" t="str">
        <f>IFERROR(DIVIDE(VLOOKUP($B107,Data!$B$3:$EZ1530,34,FALSE),VLOOKUP($B107,Data!$B$3:$EZ1530,4,FALSE)),"")</f>
        <v/>
      </c>
      <c r="G107" s="48" t="str">
        <f>IFERROR(DIVIDE(VLOOKUP($B107,Data!$B$3:$EZ1530,39,FALSE),VLOOKUP($B107,Data!$B$3:$EZ1530,4,FALSE)),"")</f>
        <v/>
      </c>
      <c r="H107" s="48" t="str">
        <f>IFERROR(DIVIDE(VLOOKUP($B107,Data!$B$3:$EZ1530,44,FALSE),VLOOKUP($B107,Data!$B$3:$EZ1530,4,FALSE)),"")</f>
        <v/>
      </c>
      <c r="I107" s="48" t="str">
        <f>IFERROR(MINUS(DIVIDE(VLOOKUP($B107,Data!$B$3:$EZ1530,9,FALSE),VLOOKUP($B107,Data!$B$3:$EZ1530,10,FALSE)),1),"")</f>
        <v/>
      </c>
      <c r="J107" s="48">
        <f>IFERROR(MINUS(DIVIDE(VLOOKUP($B107,Data!$B$3:$EZ1530,24,FALSE),VLOOKUP($B107,Data!$B$3:$EZ1530,25,FALSE)),1),"")</f>
        <v>-1</v>
      </c>
      <c r="K107" s="48">
        <f>IFERROR(MINUS(DIVIDE(VLOOKUP($B107,Data!$B$3:$EZ1530,29,FALSE),VLOOKUP($B107,Data!$B$3:$EZ1530,30,FALSE)),1),"")</f>
        <v>1.754842615</v>
      </c>
      <c r="L107" s="48">
        <f>IFERROR(MINUS(DIVIDE(VLOOKUP($B107,Data!$B$3:$EZ1530,34,FALSE),VLOOKUP($B107,Data!$B$3:$EZ1530,35,FALSE)),1),"")</f>
        <v>2.369822485</v>
      </c>
      <c r="M107" s="48">
        <f>IFERROR(MINUS(DIVIDE(VLOOKUP($B107,Data!$B$3:$EZ1530,39,FALSE),VLOOKUP($B107,Data!$B$3:$EZ1530,40,FALSE)),1),"")</f>
        <v>1.754842615</v>
      </c>
      <c r="N107" s="48">
        <f>IFERROR(MINUS(DIVIDE(VLOOKUP($B107,Data!$B$3:$EZ1530,44,FALSE),VLOOKUP($B107,Data!$B$3:$EZ1530,45,FALSE)),1),"")</f>
        <v>2.247763864</v>
      </c>
      <c r="O107" s="50">
        <f>IFERROR(VLOOKUP($B107,Data!$B$3:$D1530,2,FALSE),"")</f>
        <v>1190</v>
      </c>
      <c r="P107" s="50" t="str">
        <f>IFERROR(VLOOKUP($B107,Data!$B$3:$D1530,3,FALSE),"")</f>
        <v/>
      </c>
      <c r="Q107" s="48" t="str">
        <f t="shared" si="2"/>
        <v/>
      </c>
      <c r="R107" s="48"/>
      <c r="S107" s="48"/>
      <c r="T107" s="48"/>
      <c r="U107" s="48"/>
      <c r="V107" s="48"/>
      <c r="W107" s="50"/>
      <c r="Z107" s="15"/>
      <c r="AA107" s="15"/>
    </row>
    <row r="108">
      <c r="A108" s="9">
        <f t="shared" si="1"/>
        <v>105</v>
      </c>
      <c r="B108" s="47" t="s">
        <v>241</v>
      </c>
      <c r="C108" s="48">
        <f>IFERROR(DIVIDE(VLOOKUP($B108,Data!$B$3:$AB$1535,9,FALSE),VLOOKUP($B108,Data!$B$3:$AB$1535,4,FALSE)),"")</f>
        <v>0.2296834532</v>
      </c>
      <c r="D108" s="48">
        <f>IFERROR(DIVIDE(VLOOKUP($B108,Data!$B$3:$AB$1535,24,FALSE),VLOOKUP($B108,Data!$B$3:$AB$1535,4,FALSE)),"")</f>
        <v>0</v>
      </c>
      <c r="E108" s="48">
        <f>IFERROR(DIVIDE(VLOOKUP($B108,Data!$B$3:$EZ1530,29,FALSE),VLOOKUP($B108,Data!$B$3:$EZ1530,4,FALSE)),"")</f>
        <v>0.05737410072</v>
      </c>
      <c r="F108" s="48">
        <f>IFERROR(DIVIDE(VLOOKUP($B108,Data!$B$3:$EZ1530,34,FALSE),VLOOKUP($B108,Data!$B$3:$EZ1530,4,FALSE)),"")</f>
        <v>0.103647482</v>
      </c>
      <c r="G108" s="48">
        <f>IFERROR(DIVIDE(VLOOKUP($B108,Data!$B$3:$EZ1530,39,FALSE),VLOOKUP($B108,Data!$B$3:$EZ1530,4,FALSE)),"")</f>
        <v>0.04453956835</v>
      </c>
      <c r="H108" s="48">
        <f>IFERROR(DIVIDE(VLOOKUP($B108,Data!$B$3:$EZ1530,44,FALSE),VLOOKUP($B108,Data!$B$3:$EZ1530,4,FALSE)),"")</f>
        <v>0.08495683453</v>
      </c>
      <c r="I108" s="48">
        <f>IFERROR(MINUS(DIVIDE(VLOOKUP($B108,Data!$B$3:$EZ1530,9,FALSE),VLOOKUP($B108,Data!$B$3:$EZ1530,10,FALSE)),1),"")</f>
        <v>0.1109719177</v>
      </c>
      <c r="J108" s="48">
        <f>IFERROR(MINUS(DIVIDE(VLOOKUP($B108,Data!$B$3:$EZ1530,24,FALSE),VLOOKUP($B108,Data!$B$3:$EZ1530,25,FALSE)),1),"")</f>
        <v>-1</v>
      </c>
      <c r="K108" s="48">
        <f>IFERROR(MINUS(DIVIDE(VLOOKUP($B108,Data!$B$3:$EZ1530,29,FALSE),VLOOKUP($B108,Data!$B$3:$EZ1530,30,FALSE)),1),"")</f>
        <v>0.359529492</v>
      </c>
      <c r="L108" s="48">
        <f>IFERROR(MINUS(DIVIDE(VLOOKUP($B108,Data!$B$3:$EZ1530,34,FALSE),VLOOKUP($B108,Data!$B$3:$EZ1530,35,FALSE)),1),"")</f>
        <v>0.1982866173</v>
      </c>
      <c r="M108" s="48">
        <f>IFERROR(MINUS(DIVIDE(VLOOKUP($B108,Data!$B$3:$EZ1530,39,FALSE),VLOOKUP($B108,Data!$B$3:$EZ1530,40,FALSE)),1),"")</f>
        <v>0.3550010943</v>
      </c>
      <c r="N108" s="48">
        <f>IFERROR(MINUS(DIVIDE(VLOOKUP($B108,Data!$B$3:$EZ1530,44,FALSE),VLOOKUP($B108,Data!$B$3:$EZ1530,45,FALSE)),1),"")</f>
        <v>0.2247459033</v>
      </c>
      <c r="O108" s="50">
        <f>IFERROR(VLOOKUP($B108,Data!$B$3:$D1530,2,FALSE),"")</f>
        <v>1330000</v>
      </c>
      <c r="P108" s="50">
        <f>IFERROR(VLOOKUP($B108,Data!$B$3:$D1530,3,FALSE),"")</f>
        <v>1280000</v>
      </c>
      <c r="Q108" s="48">
        <f t="shared" si="2"/>
        <v>0.0390625</v>
      </c>
      <c r="R108" s="48"/>
      <c r="S108" s="48"/>
      <c r="T108" s="48"/>
      <c r="U108" s="48"/>
      <c r="V108" s="48"/>
      <c r="W108" s="50"/>
      <c r="Z108" s="11"/>
      <c r="AA108" s="12"/>
    </row>
    <row r="109">
      <c r="A109" s="9">
        <f t="shared" si="1"/>
        <v>106</v>
      </c>
      <c r="B109" s="47" t="s">
        <v>242</v>
      </c>
      <c r="C109" s="48" t="str">
        <f>IFERROR(DIVIDE(VLOOKUP($B109,Data!$B$3:$AB$1535,9,FALSE),VLOOKUP($B109,Data!$B$3:$AB$1535,4,FALSE)),"")</f>
        <v/>
      </c>
      <c r="D109" s="48" t="str">
        <f>IFERROR(DIVIDE(VLOOKUP($B109,Data!$B$3:$AB$1535,24,FALSE),VLOOKUP($B109,Data!$B$3:$AB$1535,4,FALSE)),"")</f>
        <v/>
      </c>
      <c r="E109" s="48" t="str">
        <f>IFERROR(DIVIDE(VLOOKUP($B109,Data!$B$3:$EZ1530,29,FALSE),VLOOKUP($B109,Data!$B$3:$EZ1530,4,FALSE)),"")</f>
        <v/>
      </c>
      <c r="F109" s="48" t="str">
        <f>IFERROR(DIVIDE(VLOOKUP($B109,Data!$B$3:$EZ1530,34,FALSE),VLOOKUP($B109,Data!$B$3:$EZ1530,4,FALSE)),"")</f>
        <v/>
      </c>
      <c r="G109" s="48" t="str">
        <f>IFERROR(DIVIDE(VLOOKUP($B109,Data!$B$3:$EZ1530,39,FALSE),VLOOKUP($B109,Data!$B$3:$EZ1530,4,FALSE)),"")</f>
        <v/>
      </c>
      <c r="H109" s="48" t="str">
        <f>IFERROR(DIVIDE(VLOOKUP($B109,Data!$B$3:$EZ1530,44,FALSE),VLOOKUP($B109,Data!$B$3:$EZ1530,4,FALSE)),"")</f>
        <v/>
      </c>
      <c r="I109" s="48">
        <f>IFERROR(MINUS(DIVIDE(VLOOKUP($B109,Data!$B$3:$EZ1530,9,FALSE),VLOOKUP($B109,Data!$B$3:$EZ1530,10,FALSE)),1),"")</f>
        <v>0.8015873016</v>
      </c>
      <c r="J109" s="48">
        <f>IFERROR(MINUS(DIVIDE(VLOOKUP($B109,Data!$B$3:$EZ1530,24,FALSE),VLOOKUP($B109,Data!$B$3:$EZ1530,25,FALSE)),1),"")</f>
        <v>-0.228980322</v>
      </c>
      <c r="K109" s="48">
        <f>IFERROR(MINUS(DIVIDE(VLOOKUP($B109,Data!$B$3:$EZ1530,29,FALSE),VLOOKUP($B109,Data!$B$3:$EZ1530,30,FALSE)),1),"")</f>
        <v>-0.1556350626</v>
      </c>
      <c r="L109" s="48">
        <f>IFERROR(MINUS(DIVIDE(VLOOKUP($B109,Data!$B$3:$EZ1530,34,FALSE),VLOOKUP($B109,Data!$B$3:$EZ1530,35,FALSE)),1),"")</f>
        <v>-0.2459425718</v>
      </c>
      <c r="M109" s="48">
        <f>IFERROR(MINUS(DIVIDE(VLOOKUP($B109,Data!$B$3:$EZ1530,39,FALSE),VLOOKUP($B109,Data!$B$3:$EZ1530,40,FALSE)),1),"")</f>
        <v>-0.1556350626</v>
      </c>
      <c r="N109" s="48">
        <f>IFERROR(MINUS(DIVIDE(VLOOKUP($B109,Data!$B$3:$EZ1530,44,FALSE),VLOOKUP($B109,Data!$B$3:$EZ1530,45,FALSE)),1),"")</f>
        <v>-0.1308980213</v>
      </c>
      <c r="O109" s="50">
        <f>IFERROR(VLOOKUP($B109,Data!$B$3:$D1530,2,FALSE),"")</f>
        <v>1000</v>
      </c>
      <c r="P109" s="50" t="str">
        <f>IFERROR(VLOOKUP($B109,Data!$B$3:$D1530,3,FALSE),"")</f>
        <v/>
      </c>
      <c r="Q109" s="48" t="str">
        <f t="shared" si="2"/>
        <v/>
      </c>
      <c r="R109" s="48"/>
      <c r="S109" s="48"/>
      <c r="T109" s="48"/>
      <c r="U109" s="48"/>
      <c r="V109" s="48"/>
      <c r="W109" s="50"/>
      <c r="Z109" s="11"/>
      <c r="AA109" s="12"/>
    </row>
    <row r="110">
      <c r="A110" s="9">
        <f t="shared" si="1"/>
        <v>107</v>
      </c>
      <c r="B110" s="47" t="s">
        <v>243</v>
      </c>
      <c r="C110" s="48" t="str">
        <f>IFERROR(DIVIDE(VLOOKUP($B110,Data!$B$3:$AB$1535,9,FALSE),VLOOKUP($B110,Data!$B$3:$AB$1535,4,FALSE)),"")</f>
        <v/>
      </c>
      <c r="D110" s="48" t="str">
        <f>IFERROR(DIVIDE(VLOOKUP($B110,Data!$B$3:$AB$1535,24,FALSE),VLOOKUP($B110,Data!$B$3:$AB$1535,4,FALSE)),"")</f>
        <v/>
      </c>
      <c r="E110" s="48" t="str">
        <f>IFERROR(DIVIDE(VLOOKUP($B110,Data!$B$3:$EZ1530,29,FALSE),VLOOKUP($B110,Data!$B$3:$EZ1530,4,FALSE)),"")</f>
        <v/>
      </c>
      <c r="F110" s="48" t="str">
        <f>IFERROR(DIVIDE(VLOOKUP($B110,Data!$B$3:$EZ1530,34,FALSE),VLOOKUP($B110,Data!$B$3:$EZ1530,4,FALSE)),"")</f>
        <v/>
      </c>
      <c r="G110" s="48" t="str">
        <f>IFERROR(DIVIDE(VLOOKUP($B110,Data!$B$3:$EZ1530,39,FALSE),VLOOKUP($B110,Data!$B$3:$EZ1530,4,FALSE)),"")</f>
        <v/>
      </c>
      <c r="H110" s="48" t="str">
        <f>IFERROR(DIVIDE(VLOOKUP($B110,Data!$B$3:$EZ1530,44,FALSE),VLOOKUP($B110,Data!$B$3:$EZ1530,4,FALSE)),"")</f>
        <v/>
      </c>
      <c r="I110" s="48" t="str">
        <f>IFERROR(MINUS(DIVIDE(VLOOKUP($B110,Data!$B$3:$EZ1530,9,FALSE),VLOOKUP($B110,Data!$B$3:$EZ1530,10,FALSE)),1),"")</f>
        <v/>
      </c>
      <c r="J110" s="48" t="str">
        <f>IFERROR(MINUS(DIVIDE(VLOOKUP($B110,Data!$B$3:$EZ1530,24,FALSE),VLOOKUP($B110,Data!$B$3:$EZ1530,25,FALSE)),1),"")</f>
        <v/>
      </c>
      <c r="K110" s="48" t="str">
        <f>IFERROR(MINUS(DIVIDE(VLOOKUP($B110,Data!$B$3:$EZ1530,29,FALSE),VLOOKUP($B110,Data!$B$3:$EZ1530,30,FALSE)),1),"")</f>
        <v/>
      </c>
      <c r="L110" s="48" t="str">
        <f>IFERROR(MINUS(DIVIDE(VLOOKUP($B110,Data!$B$3:$EZ1530,34,FALSE),VLOOKUP($B110,Data!$B$3:$EZ1530,35,FALSE)),1),"")</f>
        <v/>
      </c>
      <c r="M110" s="48" t="str">
        <f>IFERROR(MINUS(DIVIDE(VLOOKUP($B110,Data!$B$3:$EZ1530,39,FALSE),VLOOKUP($B110,Data!$B$3:$EZ1530,40,FALSE)),1),"")</f>
        <v/>
      </c>
      <c r="N110" s="48" t="str">
        <f>IFERROR(MINUS(DIVIDE(VLOOKUP($B110,Data!$B$3:$EZ1530,44,FALSE),VLOOKUP($B110,Data!$B$3:$EZ1530,45,FALSE)),1),"")</f>
        <v/>
      </c>
      <c r="O110" s="50" t="str">
        <f>IFERROR(VLOOKUP($B110,Data!$B$3:$D1530,2,FALSE),"")</f>
        <v/>
      </c>
      <c r="P110" s="50" t="str">
        <f>IFERROR(VLOOKUP($B110,Data!$B$3:$D1530,3,FALSE),"")</f>
        <v/>
      </c>
      <c r="Q110" s="48" t="str">
        <f t="shared" si="2"/>
        <v/>
      </c>
      <c r="R110" s="48"/>
      <c r="S110" s="48"/>
      <c r="T110" s="48"/>
      <c r="U110" s="48"/>
      <c r="V110" s="48"/>
      <c r="W110" s="50"/>
      <c r="Z110" s="11"/>
      <c r="AA110" s="11"/>
    </row>
    <row r="111">
      <c r="A111" s="9">
        <f t="shared" si="1"/>
        <v>108</v>
      </c>
      <c r="B111" s="47" t="s">
        <v>244</v>
      </c>
      <c r="C111" s="48">
        <f>IFERROR(DIVIDE(VLOOKUP($B111,Data!$B$3:$AB$1535,9,FALSE),VLOOKUP($B111,Data!$B$3:$AB$1535,4,FALSE)),"")</f>
        <v>0.3177391343</v>
      </c>
      <c r="D111" s="48">
        <f>IFERROR(DIVIDE(VLOOKUP($B111,Data!$B$3:$AB$1535,24,FALSE),VLOOKUP($B111,Data!$B$3:$AB$1535,4,FALSE)),"")</f>
        <v>-0.1145382197</v>
      </c>
      <c r="E111" s="48">
        <f>IFERROR(DIVIDE(VLOOKUP($B111,Data!$B$3:$EZ1530,29,FALSE),VLOOKUP($B111,Data!$B$3:$EZ1530,4,FALSE)),"")</f>
        <v>-0.1341921868</v>
      </c>
      <c r="F111" s="48">
        <f>IFERROR(DIVIDE(VLOOKUP($B111,Data!$B$3:$EZ1530,34,FALSE),VLOOKUP($B111,Data!$B$3:$EZ1530,4,FALSE)),"")</f>
        <v>-0.03809879746</v>
      </c>
      <c r="G111" s="48">
        <f>IFERROR(DIVIDE(VLOOKUP($B111,Data!$B$3:$EZ1530,39,FALSE),VLOOKUP($B111,Data!$B$3:$EZ1530,4,FALSE)),"")</f>
        <v>-0.134280124</v>
      </c>
      <c r="H111" s="48">
        <f>IFERROR(DIVIDE(VLOOKUP($B111,Data!$B$3:$EZ1530,44,FALSE),VLOOKUP($B111,Data!$B$3:$EZ1530,4,FALSE)),"")</f>
        <v>-0.03798887594</v>
      </c>
      <c r="I111" s="48">
        <f>IFERROR(MINUS(DIVIDE(VLOOKUP($B111,Data!$B$3:$EZ1530,9,FALSE),VLOOKUP($B111,Data!$B$3:$EZ1530,10,FALSE)),1),"")</f>
        <v>-0.2758655243</v>
      </c>
      <c r="J111" s="48">
        <f>IFERROR(MINUS(DIVIDE(VLOOKUP($B111,Data!$B$3:$EZ1530,24,FALSE),VLOOKUP($B111,Data!$B$3:$EZ1530,25,FALSE)),1),"")</f>
        <v>-0.5445007869</v>
      </c>
      <c r="K111" s="48">
        <f>IFERROR(MINUS(DIVIDE(VLOOKUP($B111,Data!$B$3:$EZ1530,29,FALSE),VLOOKUP($B111,Data!$B$3:$EZ1530,30,FALSE)),1),"")</f>
        <v>-0.4999180731</v>
      </c>
      <c r="L111" s="48">
        <f>IFERROR(MINUS(DIVIDE(VLOOKUP($B111,Data!$B$3:$EZ1530,34,FALSE),VLOOKUP($B111,Data!$B$3:$EZ1530,35,FALSE)),1),"")</f>
        <v>-0.7769339683</v>
      </c>
      <c r="M111" s="48">
        <f>IFERROR(MINUS(DIVIDE(VLOOKUP($B111,Data!$B$3:$EZ1530,39,FALSE),VLOOKUP($B111,Data!$B$3:$EZ1530,40,FALSE)),1),"")</f>
        <v>-0.4999590667</v>
      </c>
      <c r="N111" s="48">
        <f>IFERROR(MINUS(DIVIDE(VLOOKUP($B111,Data!$B$3:$EZ1530,44,FALSE),VLOOKUP($B111,Data!$B$3:$EZ1530,45,FALSE)),1),"")</f>
        <v>-0.7779205758</v>
      </c>
      <c r="O111" s="50">
        <f>IFERROR(VLOOKUP($B111,Data!$B$3:$D1530,2,FALSE),"")</f>
        <v>475980</v>
      </c>
      <c r="P111" s="50">
        <f>IFERROR(VLOOKUP($B111,Data!$B$3:$D1530,3,FALSE),"")</f>
        <v>450990</v>
      </c>
      <c r="Q111" s="48">
        <f t="shared" si="2"/>
        <v>0.05541142819</v>
      </c>
      <c r="R111" s="48"/>
      <c r="S111" s="48"/>
      <c r="T111" s="48"/>
      <c r="U111" s="48"/>
      <c r="V111" s="48"/>
      <c r="W111" s="50"/>
      <c r="Z111" s="11"/>
      <c r="AA111" s="12"/>
    </row>
    <row r="112">
      <c r="A112" s="9">
        <f t="shared" si="1"/>
        <v>109</v>
      </c>
      <c r="B112" s="47" t="s">
        <v>245</v>
      </c>
      <c r="C112" s="48" t="str">
        <f>IFERROR(DIVIDE(VLOOKUP($B112,Data!$B$3:$AB$1535,9,FALSE),VLOOKUP($B112,Data!$B$3:$AB$1535,4,FALSE)),"")</f>
        <v/>
      </c>
      <c r="D112" s="48" t="str">
        <f>IFERROR(DIVIDE(VLOOKUP($B112,Data!$B$3:$AB$1535,24,FALSE),VLOOKUP($B112,Data!$B$3:$AB$1535,4,FALSE)),"")</f>
        <v/>
      </c>
      <c r="E112" s="48" t="str">
        <f>IFERROR(DIVIDE(VLOOKUP($B112,Data!$B$3:$EZ1530,29,FALSE),VLOOKUP($B112,Data!$B$3:$EZ1530,4,FALSE)),"")</f>
        <v/>
      </c>
      <c r="F112" s="48" t="str">
        <f>IFERROR(DIVIDE(VLOOKUP($B112,Data!$B$3:$EZ1530,34,FALSE),VLOOKUP($B112,Data!$B$3:$EZ1530,4,FALSE)),"")</f>
        <v/>
      </c>
      <c r="G112" s="48" t="str">
        <f>IFERROR(DIVIDE(VLOOKUP($B112,Data!$B$3:$EZ1530,39,FALSE),VLOOKUP($B112,Data!$B$3:$EZ1530,4,FALSE)),"")</f>
        <v/>
      </c>
      <c r="H112" s="48" t="str">
        <f>IFERROR(DIVIDE(VLOOKUP($B112,Data!$B$3:$EZ1530,44,FALSE),VLOOKUP($B112,Data!$B$3:$EZ1530,4,FALSE)),"")</f>
        <v/>
      </c>
      <c r="I112" s="48">
        <f>IFERROR(MINUS(DIVIDE(VLOOKUP($B112,Data!$B$3:$EZ1530,9,FALSE),VLOOKUP($B112,Data!$B$3:$EZ1530,10,FALSE)),1),"")</f>
        <v>6.131578947</v>
      </c>
      <c r="J112" s="48" t="str">
        <f>IFERROR(MINUS(DIVIDE(VLOOKUP($B112,Data!$B$3:$EZ1530,24,FALSE),VLOOKUP($B112,Data!$B$3:$EZ1530,25,FALSE)),1),"")</f>
        <v/>
      </c>
      <c r="K112" s="48">
        <f>IFERROR(MINUS(DIVIDE(VLOOKUP($B112,Data!$B$3:$EZ1530,29,FALSE),VLOOKUP($B112,Data!$B$3:$EZ1530,30,FALSE)),1),"")</f>
        <v>-0.0681453768</v>
      </c>
      <c r="L112" s="48">
        <f>IFERROR(MINUS(DIVIDE(VLOOKUP($B112,Data!$B$3:$EZ1530,34,FALSE),VLOOKUP($B112,Data!$B$3:$EZ1530,35,FALSE)),1),"")</f>
        <v>-0.0741823983</v>
      </c>
      <c r="M112" s="48">
        <f>IFERROR(MINUS(DIVIDE(VLOOKUP($B112,Data!$B$3:$EZ1530,39,FALSE),VLOOKUP($B112,Data!$B$3:$EZ1530,40,FALSE)),1),"")</f>
        <v>-0.0681453768</v>
      </c>
      <c r="N112" s="48">
        <f>IFERROR(MINUS(DIVIDE(VLOOKUP($B112,Data!$B$3:$EZ1530,44,FALSE),VLOOKUP($B112,Data!$B$3:$EZ1530,45,FALSE)),1),"")</f>
        <v>-0.06981382979</v>
      </c>
      <c r="O112" s="50" t="str">
        <f>IFERROR(VLOOKUP($B112,Data!$B$3:$D1530,2,FALSE),"")</f>
        <v/>
      </c>
      <c r="P112" s="50" t="str">
        <f>IFERROR(VLOOKUP($B112,Data!$B$3:$D1530,3,FALSE),"")</f>
        <v/>
      </c>
      <c r="Q112" s="48" t="str">
        <f t="shared" si="2"/>
        <v/>
      </c>
      <c r="R112" s="48"/>
      <c r="S112" s="48"/>
      <c r="T112" s="48"/>
      <c r="U112" s="48"/>
      <c r="V112" s="48"/>
      <c r="W112" s="50"/>
      <c r="Z112" s="12"/>
      <c r="AA112" s="12"/>
    </row>
    <row r="113">
      <c r="A113" s="9">
        <f t="shared" si="1"/>
        <v>110</v>
      </c>
      <c r="B113" s="47" t="s">
        <v>246</v>
      </c>
      <c r="C113" s="48">
        <f>IFERROR(DIVIDE(VLOOKUP($B113,Data!$B$3:$AB$1535,9,FALSE),VLOOKUP($B113,Data!$B$3:$AB$1535,4,FALSE)),"")</f>
        <v>0</v>
      </c>
      <c r="D113" s="48">
        <f>IFERROR(DIVIDE(VLOOKUP($B113,Data!$B$3:$AB$1535,24,FALSE),VLOOKUP($B113,Data!$B$3:$AB$1535,4,FALSE)),"")</f>
        <v>0</v>
      </c>
      <c r="E113" s="48">
        <f>IFERROR(DIVIDE(VLOOKUP($B113,Data!$B$3:$EZ1530,29,FALSE),VLOOKUP($B113,Data!$B$3:$EZ1530,4,FALSE)),"")</f>
        <v>-15.64305177</v>
      </c>
      <c r="F113" s="48">
        <f>IFERROR(DIVIDE(VLOOKUP($B113,Data!$B$3:$EZ1530,34,FALSE),VLOOKUP($B113,Data!$B$3:$EZ1530,4,FALSE)),"")</f>
        <v>-16.11989101</v>
      </c>
      <c r="G113" s="48">
        <f>IFERROR(DIVIDE(VLOOKUP($B113,Data!$B$3:$EZ1530,39,FALSE),VLOOKUP($B113,Data!$B$3:$EZ1530,4,FALSE)),"")</f>
        <v>-15.64305177</v>
      </c>
      <c r="H113" s="48">
        <f>IFERROR(DIVIDE(VLOOKUP($B113,Data!$B$3:$EZ1530,44,FALSE),VLOOKUP($B113,Data!$B$3:$EZ1530,4,FALSE)),"")</f>
        <v>-14.19346049</v>
      </c>
      <c r="I113" s="48" t="str">
        <f>IFERROR(MINUS(DIVIDE(VLOOKUP($B113,Data!$B$3:$EZ1530,9,FALSE),VLOOKUP($B113,Data!$B$3:$EZ1530,10,FALSE)),1),"")</f>
        <v/>
      </c>
      <c r="J113" s="48" t="str">
        <f>IFERROR(MINUS(DIVIDE(VLOOKUP($B113,Data!$B$3:$EZ1530,24,FALSE),VLOOKUP($B113,Data!$B$3:$EZ1530,25,FALSE)),1),"")</f>
        <v/>
      </c>
      <c r="K113" s="48">
        <f>IFERROR(MINUS(DIVIDE(VLOOKUP($B113,Data!$B$3:$EZ1530,29,FALSE),VLOOKUP($B113,Data!$B$3:$EZ1530,30,FALSE)),1),"")</f>
        <v>0.07751501502</v>
      </c>
      <c r="L113" s="48">
        <f>IFERROR(MINUS(DIVIDE(VLOOKUP($B113,Data!$B$3:$EZ1530,34,FALSE),VLOOKUP($B113,Data!$B$3:$EZ1530,35,FALSE)),1),"")</f>
        <v>0.08690060628</v>
      </c>
      <c r="M113" s="48">
        <f>IFERROR(MINUS(DIVIDE(VLOOKUP($B113,Data!$B$3:$EZ1530,39,FALSE),VLOOKUP($B113,Data!$B$3:$EZ1530,40,FALSE)),1),"")</f>
        <v>0.07751501502</v>
      </c>
      <c r="N113" s="48">
        <f>IFERROR(MINUS(DIVIDE(VLOOKUP($B113,Data!$B$3:$EZ1530,44,FALSE),VLOOKUP($B113,Data!$B$3:$EZ1530,45,FALSE)),1),"")</f>
        <v>0.09778714436</v>
      </c>
      <c r="O113" s="50">
        <f>IFERROR(VLOOKUP($B113,Data!$B$3:$D1530,2,FALSE),"")</f>
        <v>1810</v>
      </c>
      <c r="P113" s="50">
        <f>IFERROR(VLOOKUP($B113,Data!$B$3:$D1530,3,FALSE),"")</f>
        <v>2000</v>
      </c>
      <c r="Q113" s="48">
        <f t="shared" si="2"/>
        <v>-0.095</v>
      </c>
      <c r="R113" s="48"/>
      <c r="S113" s="48"/>
      <c r="T113" s="48"/>
      <c r="U113" s="48"/>
      <c r="V113" s="48"/>
      <c r="W113" s="50"/>
      <c r="Z113" s="15"/>
      <c r="AA113" s="15"/>
    </row>
    <row r="114">
      <c r="A114" s="9">
        <f t="shared" si="1"/>
        <v>111</v>
      </c>
      <c r="B114" s="47" t="s">
        <v>247</v>
      </c>
      <c r="C114" s="48">
        <f>IFERROR(DIVIDE(VLOOKUP($B114,Data!$B$3:$AB$1535,9,FALSE),VLOOKUP($B114,Data!$B$3:$AB$1535,4,FALSE)),"")</f>
        <v>0.6130013305</v>
      </c>
      <c r="D114" s="48">
        <f>IFERROR(DIVIDE(VLOOKUP($B114,Data!$B$3:$AB$1535,24,FALSE),VLOOKUP($B114,Data!$B$3:$AB$1535,4,FALSE)),"")</f>
        <v>-1.094088576</v>
      </c>
      <c r="E114" s="48">
        <f>IFERROR(DIVIDE(VLOOKUP($B114,Data!$B$3:$EZ1530,29,FALSE),VLOOKUP($B114,Data!$B$3:$EZ1530,4,FALSE)),"")</f>
        <v>-1.259266299</v>
      </c>
      <c r="F114" s="48">
        <f>IFERROR(DIVIDE(VLOOKUP($B114,Data!$B$3:$EZ1530,34,FALSE),VLOOKUP($B114,Data!$B$3:$EZ1530,4,FALSE)),"")</f>
        <v>-0.9431666983</v>
      </c>
      <c r="G114" s="48">
        <f>IFERROR(DIVIDE(VLOOKUP($B114,Data!$B$3:$EZ1530,39,FALSE),VLOOKUP($B114,Data!$B$3:$EZ1530,4,FALSE)),"")</f>
        <v>-1.259266299</v>
      </c>
      <c r="H114" s="48">
        <f>IFERROR(DIVIDE(VLOOKUP($B114,Data!$B$3:$EZ1530,44,FALSE),VLOOKUP($B114,Data!$B$3:$EZ1530,4,FALSE)),"")</f>
        <v>-1.144459228</v>
      </c>
      <c r="I114" s="48">
        <f>IFERROR(MINUS(DIVIDE(VLOOKUP($B114,Data!$B$3:$EZ1530,9,FALSE),VLOOKUP($B114,Data!$B$3:$EZ1530,10,FALSE)),1),"")</f>
        <v>-0.3055555556</v>
      </c>
      <c r="J114" s="48">
        <f>IFERROR(MINUS(DIVIDE(VLOOKUP($B114,Data!$B$3:$EZ1530,24,FALSE),VLOOKUP($B114,Data!$B$3:$EZ1530,25,FALSE)),1),"")</f>
        <v>0.06179671647</v>
      </c>
      <c r="K114" s="48">
        <f>IFERROR(MINUS(DIVIDE(VLOOKUP($B114,Data!$B$3:$EZ1530,29,FALSE),VLOOKUP($B114,Data!$B$3:$EZ1530,30,FALSE)),1),"")</f>
        <v>0.07934180515</v>
      </c>
      <c r="L114" s="48">
        <f>IFERROR(MINUS(DIVIDE(VLOOKUP($B114,Data!$B$3:$EZ1530,34,FALSE),VLOOKUP($B114,Data!$B$3:$EZ1530,35,FALSE)),1),"")</f>
        <v>0.08815789474</v>
      </c>
      <c r="M114" s="48">
        <f>IFERROR(MINUS(DIVIDE(VLOOKUP($B114,Data!$B$3:$EZ1530,39,FALSE),VLOOKUP($B114,Data!$B$3:$EZ1530,40,FALSE)),1),"")</f>
        <v>0.07934180515</v>
      </c>
      <c r="N114" s="48">
        <f>IFERROR(MINUS(DIVIDE(VLOOKUP($B114,Data!$B$3:$EZ1530,44,FALSE),VLOOKUP($B114,Data!$B$3:$EZ1530,45,FALSE)),1),"")</f>
        <v>2.390202703</v>
      </c>
      <c r="O114" s="50">
        <f>IFERROR(VLOOKUP($B114,Data!$B$3:$D1530,2,FALSE),"")</f>
        <v>74600</v>
      </c>
      <c r="P114" s="50">
        <f>IFERROR(VLOOKUP($B114,Data!$B$3:$D1530,3,FALSE),"")</f>
        <v>47880</v>
      </c>
      <c r="Q114" s="48">
        <f t="shared" si="2"/>
        <v>0.5580618212</v>
      </c>
      <c r="R114" s="48"/>
      <c r="S114" s="48"/>
      <c r="T114" s="48"/>
      <c r="U114" s="48"/>
      <c r="V114" s="48"/>
      <c r="W114" s="50"/>
      <c r="Z114" s="12"/>
      <c r="AA114" s="12"/>
    </row>
    <row r="115">
      <c r="A115" s="9">
        <f t="shared" si="1"/>
        <v>112</v>
      </c>
      <c r="B115" s="47" t="s">
        <v>248</v>
      </c>
      <c r="C115" s="48">
        <f>IFERROR(DIVIDE(VLOOKUP($B115,Data!$B$3:$AB$1535,9,FALSE),VLOOKUP($B115,Data!$B$3:$AB$1535,4,FALSE)),"")</f>
        <v>0</v>
      </c>
      <c r="D115" s="48">
        <f>IFERROR(DIVIDE(VLOOKUP($B115,Data!$B$3:$AB$1535,24,FALSE),VLOOKUP($B115,Data!$B$3:$AB$1535,4,FALSE)),"")</f>
        <v>0</v>
      </c>
      <c r="E115" s="48">
        <f>IFERROR(DIVIDE(VLOOKUP($B115,Data!$B$3:$EZ1530,29,FALSE),VLOOKUP($B115,Data!$B$3:$EZ1530,4,FALSE)),"")</f>
        <v>-3.835789474</v>
      </c>
      <c r="F115" s="48">
        <f>IFERROR(DIVIDE(VLOOKUP($B115,Data!$B$3:$EZ1530,34,FALSE),VLOOKUP($B115,Data!$B$3:$EZ1530,4,FALSE)),"")</f>
        <v>-4.48</v>
      </c>
      <c r="G115" s="48">
        <f>IFERROR(DIVIDE(VLOOKUP($B115,Data!$B$3:$EZ1530,39,FALSE),VLOOKUP($B115,Data!$B$3:$EZ1530,4,FALSE)),"")</f>
        <v>-3.835789474</v>
      </c>
      <c r="H115" s="48">
        <f>IFERROR(DIVIDE(VLOOKUP($B115,Data!$B$3:$EZ1530,44,FALSE),VLOOKUP($B115,Data!$B$3:$EZ1530,4,FALSE)),"")</f>
        <v>-3.595789474</v>
      </c>
      <c r="I115" s="48" t="str">
        <f>IFERROR(MINUS(DIVIDE(VLOOKUP($B115,Data!$B$3:$EZ1530,9,FALSE),VLOOKUP($B115,Data!$B$3:$EZ1530,10,FALSE)),1),"")</f>
        <v/>
      </c>
      <c r="J115" s="48">
        <f>IFERROR(MINUS(DIVIDE(VLOOKUP($B115,Data!$B$3:$EZ1530,24,FALSE),VLOOKUP($B115,Data!$B$3:$EZ1530,25,FALSE)),1),"")</f>
        <v>-1</v>
      </c>
      <c r="K115" s="48">
        <f>IFERROR(MINUS(DIVIDE(VLOOKUP($B115,Data!$B$3:$EZ1530,29,FALSE),VLOOKUP($B115,Data!$B$3:$EZ1530,30,FALSE)),1),"")</f>
        <v>-0.7612996201</v>
      </c>
      <c r="L115" s="48">
        <f>IFERROR(MINUS(DIVIDE(VLOOKUP($B115,Data!$B$3:$EZ1530,34,FALSE),VLOOKUP($B115,Data!$B$3:$EZ1530,35,FALSE)),1),"")</f>
        <v>-0.3316582915</v>
      </c>
      <c r="M115" s="48">
        <f>IFERROR(MINUS(DIVIDE(VLOOKUP($B115,Data!$B$3:$EZ1530,39,FALSE),VLOOKUP($B115,Data!$B$3:$EZ1530,40,FALSE)),1),"")</f>
        <v>-0.7612996201</v>
      </c>
      <c r="N115" s="48">
        <f>IFERROR(MINUS(DIVIDE(VLOOKUP($B115,Data!$B$3:$EZ1530,44,FALSE),VLOOKUP($B115,Data!$B$3:$EZ1530,45,FALSE)),1),"")</f>
        <v>-0.4162679426</v>
      </c>
      <c r="O115" s="50" t="str">
        <f>IFERROR(VLOOKUP($B115,Data!$B$3:$D1530,2,FALSE),"")</f>
        <v/>
      </c>
      <c r="P115" s="50" t="str">
        <f>IFERROR(VLOOKUP($B115,Data!$B$3:$D1530,3,FALSE),"")</f>
        <v/>
      </c>
      <c r="Q115" s="48" t="str">
        <f t="shared" si="2"/>
        <v/>
      </c>
      <c r="R115" s="48"/>
      <c r="S115" s="48"/>
      <c r="T115" s="48"/>
      <c r="U115" s="48"/>
      <c r="V115" s="48"/>
      <c r="W115" s="50"/>
      <c r="Z115" s="11"/>
      <c r="AA115" s="11"/>
    </row>
    <row r="116">
      <c r="A116" s="9">
        <f t="shared" si="1"/>
        <v>113</v>
      </c>
      <c r="B116" s="47" t="s">
        <v>249</v>
      </c>
      <c r="C116" s="48">
        <f>IFERROR(DIVIDE(VLOOKUP($B116,Data!$B$3:$AB$1535,9,FALSE),VLOOKUP($B116,Data!$B$3:$AB$1535,4,FALSE)),"")</f>
        <v>0.3913770141</v>
      </c>
      <c r="D116" s="48">
        <f>IFERROR(DIVIDE(VLOOKUP($B116,Data!$B$3:$AB$1535,24,FALSE),VLOOKUP($B116,Data!$B$3:$AB$1535,4,FALSE)),"")</f>
        <v>0</v>
      </c>
      <c r="E116" s="48">
        <f>IFERROR(DIVIDE(VLOOKUP($B116,Data!$B$3:$EZ1530,29,FALSE),VLOOKUP($B116,Data!$B$3:$EZ1530,4,FALSE)),"")</f>
        <v>0.01310944559</v>
      </c>
      <c r="F116" s="48">
        <f>IFERROR(DIVIDE(VLOOKUP($B116,Data!$B$3:$EZ1530,34,FALSE),VLOOKUP($B116,Data!$B$3:$EZ1530,4,FALSE)),"")</f>
        <v>0.05063588645</v>
      </c>
      <c r="G116" s="48">
        <f>IFERROR(DIVIDE(VLOOKUP($B116,Data!$B$3:$EZ1530,39,FALSE),VLOOKUP($B116,Data!$B$3:$EZ1530,4,FALSE)),"")</f>
        <v>0.008252160969</v>
      </c>
      <c r="H116" s="48">
        <f>IFERROR(DIVIDE(VLOOKUP($B116,Data!$B$3:$EZ1530,44,FALSE),VLOOKUP($B116,Data!$B$3:$EZ1530,4,FALSE)),"")</f>
        <v>0</v>
      </c>
      <c r="I116" s="48">
        <f>IFERROR(MINUS(DIVIDE(VLOOKUP($B116,Data!$B$3:$EZ1530,9,FALSE),VLOOKUP($B116,Data!$B$3:$EZ1530,10,FALSE)),1),"")</f>
        <v>-0.07857362435</v>
      </c>
      <c r="J116" s="48">
        <f>IFERROR(MINUS(DIVIDE(VLOOKUP($B116,Data!$B$3:$EZ1530,24,FALSE),VLOOKUP($B116,Data!$B$3:$EZ1530,25,FALSE)),1),"")</f>
        <v>-1</v>
      </c>
      <c r="K116" s="48">
        <f>IFERROR(MINUS(DIVIDE(VLOOKUP($B116,Data!$B$3:$EZ1530,29,FALSE),VLOOKUP($B116,Data!$B$3:$EZ1530,30,FALSE)),1),"")</f>
        <v>-1.350069735</v>
      </c>
      <c r="L116" s="48">
        <f>IFERROR(MINUS(DIVIDE(VLOOKUP($B116,Data!$B$3:$EZ1530,34,FALSE),VLOOKUP($B116,Data!$B$3:$EZ1530,35,FALSE)),1),"")</f>
        <v>0.5425616547</v>
      </c>
      <c r="M116" s="48">
        <f>IFERROR(MINUS(DIVIDE(VLOOKUP($B116,Data!$B$3:$EZ1530,39,FALSE),VLOOKUP($B116,Data!$B$3:$EZ1530,40,FALSE)),1),"")</f>
        <v>-1.192331102</v>
      </c>
      <c r="N116" s="48">
        <f>IFERROR(MINUS(DIVIDE(VLOOKUP($B116,Data!$B$3:$EZ1530,44,FALSE),VLOOKUP($B116,Data!$B$3:$EZ1530,45,FALSE)),1),"")</f>
        <v>-1</v>
      </c>
      <c r="O116" s="50">
        <f>IFERROR(VLOOKUP($B116,Data!$B$3:$D1530,2,FALSE),"")</f>
        <v>420220</v>
      </c>
      <c r="P116" s="50">
        <f>IFERROR(VLOOKUP($B116,Data!$B$3:$D1530,3,FALSE),"")</f>
        <v>385470</v>
      </c>
      <c r="Q116" s="48">
        <f t="shared" si="2"/>
        <v>0.09014968739</v>
      </c>
      <c r="R116" s="48"/>
      <c r="S116" s="48"/>
      <c r="T116" s="48"/>
      <c r="U116" s="48"/>
      <c r="V116" s="48"/>
      <c r="W116" s="50"/>
      <c r="Z116" s="11"/>
      <c r="AA116" s="11"/>
    </row>
    <row r="117">
      <c r="A117" s="9">
        <f t="shared" si="1"/>
        <v>114</v>
      </c>
      <c r="B117" s="47" t="s">
        <v>250</v>
      </c>
      <c r="C117" s="48">
        <f>IFERROR(DIVIDE(VLOOKUP($B117,Data!$B$3:$AB$1535,9,FALSE),VLOOKUP($B117,Data!$B$3:$AB$1535,4,FALSE)),"")</f>
        <v>0.07238461538</v>
      </c>
      <c r="D117" s="48">
        <f>IFERROR(DIVIDE(VLOOKUP($B117,Data!$B$3:$AB$1535,24,FALSE),VLOOKUP($B117,Data!$B$3:$AB$1535,4,FALSE)),"")</f>
        <v>0.01935785953</v>
      </c>
      <c r="E117" s="48">
        <f>IFERROR(DIVIDE(VLOOKUP($B117,Data!$B$3:$EZ1530,29,FALSE),VLOOKUP($B117,Data!$B$3:$EZ1530,4,FALSE)),"")</f>
        <v>0.01721404682</v>
      </c>
      <c r="F117" s="48">
        <f>IFERROR(DIVIDE(VLOOKUP($B117,Data!$B$3:$EZ1530,34,FALSE),VLOOKUP($B117,Data!$B$3:$EZ1530,4,FALSE)),"")</f>
        <v>0.06583946488</v>
      </c>
      <c r="G117" s="48">
        <f>IFERROR(DIVIDE(VLOOKUP($B117,Data!$B$3:$EZ1530,39,FALSE),VLOOKUP($B117,Data!$B$3:$EZ1530,4,FALSE)),"")</f>
        <v>0.01336454849</v>
      </c>
      <c r="H117" s="48">
        <f>IFERROR(DIVIDE(VLOOKUP($B117,Data!$B$3:$EZ1530,44,FALSE),VLOOKUP($B117,Data!$B$3:$EZ1530,4,FALSE)),"")</f>
        <v>0.05697658863</v>
      </c>
      <c r="I117" s="48">
        <f>IFERROR(MINUS(DIVIDE(VLOOKUP($B117,Data!$B$3:$EZ1530,9,FALSE),VLOOKUP($B117,Data!$B$3:$EZ1530,10,FALSE)),1),"")</f>
        <v>-0.2062566472</v>
      </c>
      <c r="J117" s="48">
        <f>IFERROR(MINUS(DIVIDE(VLOOKUP($B117,Data!$B$3:$EZ1530,24,FALSE),VLOOKUP($B117,Data!$B$3:$EZ1530,25,FALSE)),1),"")</f>
        <v>-0.4577477984</v>
      </c>
      <c r="K117" s="48">
        <f>IFERROR(MINUS(DIVIDE(VLOOKUP($B117,Data!$B$3:$EZ1530,29,FALSE),VLOOKUP($B117,Data!$B$3:$EZ1530,30,FALSE)),1),"")</f>
        <v>-0.390093613</v>
      </c>
      <c r="L117" s="48">
        <f>IFERROR(MINUS(DIVIDE(VLOOKUP($B117,Data!$B$3:$EZ1530,34,FALSE),VLOOKUP($B117,Data!$B$3:$EZ1530,35,FALSE)),1),"")</f>
        <v>-0.2309855854</v>
      </c>
      <c r="M117" s="48">
        <f>IFERROR(MINUS(DIVIDE(VLOOKUP($B117,Data!$B$3:$EZ1530,39,FALSE),VLOOKUP($B117,Data!$B$3:$EZ1530,40,FALSE)),1),"")</f>
        <v>-0.4045596781</v>
      </c>
      <c r="N117" s="48">
        <f>IFERROR(MINUS(DIVIDE(VLOOKUP($B117,Data!$B$3:$EZ1530,44,FALSE),VLOOKUP($B117,Data!$B$3:$EZ1530,45,FALSE)),1),"")</f>
        <v>-0.3323143249</v>
      </c>
      <c r="O117" s="50">
        <f>IFERROR(VLOOKUP($B117,Data!$B$3:$D1530,2,FALSE),"")</f>
        <v>2960000</v>
      </c>
      <c r="P117" s="50">
        <f>IFERROR(VLOOKUP($B117,Data!$B$3:$D1530,3,FALSE),"")</f>
        <v>2780000</v>
      </c>
      <c r="Q117" s="48">
        <f t="shared" si="2"/>
        <v>0.06474820144</v>
      </c>
      <c r="R117" s="48"/>
      <c r="S117" s="48"/>
      <c r="T117" s="48"/>
      <c r="U117" s="48"/>
      <c r="V117" s="48"/>
      <c r="W117" s="50"/>
      <c r="Z117" s="12"/>
      <c r="AA117" s="12"/>
    </row>
    <row r="118">
      <c r="A118" s="9">
        <f t="shared" si="1"/>
        <v>115</v>
      </c>
      <c r="B118" s="47" t="s">
        <v>251</v>
      </c>
      <c r="C118" s="48">
        <f>IFERROR(DIVIDE(VLOOKUP($B118,Data!$B$3:$AB$1535,9,FALSE),VLOOKUP($B118,Data!$B$3:$AB$1535,4,FALSE)),"")</f>
        <v>0.1226710526</v>
      </c>
      <c r="D118" s="48">
        <f>IFERROR(DIVIDE(VLOOKUP($B118,Data!$B$3:$AB$1535,24,FALSE),VLOOKUP($B118,Data!$B$3:$AB$1535,4,FALSE)),"")</f>
        <v>0.1049298246</v>
      </c>
      <c r="E118" s="48">
        <f>IFERROR(DIVIDE(VLOOKUP($B118,Data!$B$3:$EZ1530,29,FALSE),VLOOKUP($B118,Data!$B$3:$EZ1530,4,FALSE)),"")</f>
        <v>0.1026535088</v>
      </c>
      <c r="F118" s="48">
        <f>IFERROR(DIVIDE(VLOOKUP($B118,Data!$B$3:$EZ1530,34,FALSE),VLOOKUP($B118,Data!$B$3:$EZ1530,4,FALSE)),"")</f>
        <v>0.138627193</v>
      </c>
      <c r="G118" s="48">
        <f>IFERROR(DIVIDE(VLOOKUP($B118,Data!$B$3:$EZ1530,39,FALSE),VLOOKUP($B118,Data!$B$3:$EZ1530,4,FALSE)),"")</f>
        <v>0.1025438596</v>
      </c>
      <c r="H118" s="48">
        <f>IFERROR(DIVIDE(VLOOKUP($B118,Data!$B$3:$EZ1530,44,FALSE),VLOOKUP($B118,Data!$B$3:$EZ1530,4,FALSE)),"")</f>
        <v>0.1840833333</v>
      </c>
      <c r="I118" s="48">
        <f>IFERROR(MINUS(DIVIDE(VLOOKUP($B118,Data!$B$3:$EZ1530,9,FALSE),VLOOKUP($B118,Data!$B$3:$EZ1530,10,FALSE)),1),"")</f>
        <v>-0.2564402499</v>
      </c>
      <c r="J118" s="48">
        <f>IFERROR(MINUS(DIVIDE(VLOOKUP($B118,Data!$B$3:$EZ1530,24,FALSE),VLOOKUP($B118,Data!$B$3:$EZ1530,25,FALSE)),1),"")</f>
        <v>-0.09406240533</v>
      </c>
      <c r="K118" s="48">
        <f>IFERROR(MINUS(DIVIDE(VLOOKUP($B118,Data!$B$3:$EZ1530,29,FALSE),VLOOKUP($B118,Data!$B$3:$EZ1530,30,FALSE)),1),"")</f>
        <v>-0.100153787</v>
      </c>
      <c r="L118" s="48">
        <f>IFERROR(MINUS(DIVIDE(VLOOKUP($B118,Data!$B$3:$EZ1530,34,FALSE),VLOOKUP($B118,Data!$B$3:$EZ1530,35,FALSE)),1),"")</f>
        <v>-0.2725494258</v>
      </c>
      <c r="M118" s="48">
        <f>IFERROR(MINUS(DIVIDE(VLOOKUP($B118,Data!$B$3:$EZ1530,39,FALSE),VLOOKUP($B118,Data!$B$3:$EZ1530,40,FALSE)),1),"")</f>
        <v>-0.2520314799</v>
      </c>
      <c r="N118" s="48">
        <f>IFERROR(MINUS(DIVIDE(VLOOKUP($B118,Data!$B$3:$EZ1530,44,FALSE),VLOOKUP($B118,Data!$B$3:$EZ1530,45,FALSE)),1),"")</f>
        <v>0.007199251278</v>
      </c>
      <c r="O118" s="50">
        <f>IFERROR(VLOOKUP($B118,Data!$B$3:$D1530,2,FALSE),"")</f>
        <v>1830000</v>
      </c>
      <c r="P118" s="50">
        <f>IFERROR(VLOOKUP($B118,Data!$B$3:$D1530,3,FALSE),"")</f>
        <v>1530000</v>
      </c>
      <c r="Q118" s="48">
        <f t="shared" si="2"/>
        <v>0.1960784314</v>
      </c>
      <c r="R118" s="48"/>
      <c r="S118" s="48"/>
      <c r="T118" s="48"/>
      <c r="U118" s="48"/>
      <c r="V118" s="48"/>
      <c r="W118" s="50"/>
      <c r="Z118" s="11"/>
      <c r="AA118" s="11"/>
    </row>
    <row r="119">
      <c r="A119" s="9">
        <f t="shared" si="1"/>
        <v>116</v>
      </c>
      <c r="B119" s="47" t="s">
        <v>252</v>
      </c>
      <c r="C119" s="48">
        <f>IFERROR(DIVIDE(VLOOKUP($B119,Data!$B$3:$AB$1535,9,FALSE),VLOOKUP($B119,Data!$B$3:$AB$1535,4,FALSE)),"")</f>
        <v>0.1239290541</v>
      </c>
      <c r="D119" s="48">
        <f>IFERROR(DIVIDE(VLOOKUP($B119,Data!$B$3:$AB$1535,24,FALSE),VLOOKUP($B119,Data!$B$3:$AB$1535,4,FALSE)),"")</f>
        <v>0.05177364865</v>
      </c>
      <c r="E119" s="48">
        <f>IFERROR(DIVIDE(VLOOKUP($B119,Data!$B$3:$EZ1530,29,FALSE),VLOOKUP($B119,Data!$B$3:$EZ1530,4,FALSE)),"")</f>
        <v>0.04018581081</v>
      </c>
      <c r="F119" s="48">
        <f>IFERROR(DIVIDE(VLOOKUP($B119,Data!$B$3:$EZ1530,34,FALSE),VLOOKUP($B119,Data!$B$3:$EZ1530,4,FALSE)),"")</f>
        <v>0.09631418919</v>
      </c>
      <c r="G119" s="48">
        <f>IFERROR(DIVIDE(VLOOKUP($B119,Data!$B$3:$EZ1530,39,FALSE),VLOOKUP($B119,Data!$B$3:$EZ1530,4,FALSE)),"")</f>
        <v>0.02699324324</v>
      </c>
      <c r="H119" s="48">
        <f>IFERROR(DIVIDE(VLOOKUP($B119,Data!$B$3:$EZ1530,44,FALSE),VLOOKUP($B119,Data!$B$3:$EZ1530,4,FALSE)),"")</f>
        <v>0.0755</v>
      </c>
      <c r="I119" s="48">
        <f>IFERROR(MINUS(DIVIDE(VLOOKUP($B119,Data!$B$3:$EZ1530,9,FALSE),VLOOKUP($B119,Data!$B$3:$EZ1530,10,FALSE)),1),"")</f>
        <v>-0.1137873553</v>
      </c>
      <c r="J119" s="48">
        <f>IFERROR(MINUS(DIVIDE(VLOOKUP($B119,Data!$B$3:$EZ1530,24,FALSE),VLOOKUP($B119,Data!$B$3:$EZ1530,25,FALSE)),1),"")</f>
        <v>0.3359776829</v>
      </c>
      <c r="K119" s="48">
        <f>IFERROR(MINUS(DIVIDE(VLOOKUP($B119,Data!$B$3:$EZ1530,29,FALSE),VLOOKUP($B119,Data!$B$3:$EZ1530,30,FALSE)),1),"")</f>
        <v>0.3966185277</v>
      </c>
      <c r="L119" s="48">
        <f>IFERROR(MINUS(DIVIDE(VLOOKUP($B119,Data!$B$3:$EZ1530,34,FALSE),VLOOKUP($B119,Data!$B$3:$EZ1530,35,FALSE)),1),"")</f>
        <v>0.2895915321</v>
      </c>
      <c r="M119" s="48">
        <f>IFERROR(MINUS(DIVIDE(VLOOKUP($B119,Data!$B$3:$EZ1530,39,FALSE),VLOOKUP($B119,Data!$B$3:$EZ1530,40,FALSE)),1),"")</f>
        <v>1.168249661</v>
      </c>
      <c r="N119" s="48">
        <f>IFERROR(MINUS(DIVIDE(VLOOKUP($B119,Data!$B$3:$EZ1530,44,FALSE),VLOOKUP($B119,Data!$B$3:$EZ1530,45,FALSE)),1),"")</f>
        <v>0.2434206866</v>
      </c>
      <c r="O119" s="50">
        <f>IFERROR(VLOOKUP($B119,Data!$B$3:$D1530,2,FALSE),"")</f>
        <v>2400000</v>
      </c>
      <c r="P119" s="50">
        <f>IFERROR(VLOOKUP($B119,Data!$B$3:$D1530,3,FALSE),"")</f>
        <v>1900000</v>
      </c>
      <c r="Q119" s="48">
        <f t="shared" si="2"/>
        <v>0.2631578947</v>
      </c>
      <c r="R119" s="48"/>
      <c r="S119" s="48"/>
      <c r="T119" s="48"/>
      <c r="U119" s="48"/>
      <c r="V119" s="48"/>
      <c r="W119" s="50"/>
      <c r="Z119" s="11"/>
      <c r="AA119" s="11"/>
    </row>
    <row r="120">
      <c r="A120" s="9">
        <f t="shared" si="1"/>
        <v>117</v>
      </c>
      <c r="B120" s="47" t="s">
        <v>253</v>
      </c>
      <c r="C120" s="48">
        <f>IFERROR(DIVIDE(VLOOKUP($B120,Data!$B$3:$AB$1535,9,FALSE),VLOOKUP($B120,Data!$B$3:$AB$1535,4,FALSE)),"")</f>
        <v>0.06458333333</v>
      </c>
      <c r="D120" s="48">
        <f>IFERROR(DIVIDE(VLOOKUP($B120,Data!$B$3:$AB$1535,24,FALSE),VLOOKUP($B120,Data!$B$3:$AB$1535,4,FALSE)),"")</f>
        <v>0</v>
      </c>
      <c r="E120" s="48">
        <f>IFERROR(DIVIDE(VLOOKUP($B120,Data!$B$3:$EZ1530,29,FALSE),VLOOKUP($B120,Data!$B$3:$EZ1530,4,FALSE)),"")</f>
        <v>-17.92424242</v>
      </c>
      <c r="F120" s="48">
        <f>IFERROR(DIVIDE(VLOOKUP($B120,Data!$B$3:$EZ1530,34,FALSE),VLOOKUP($B120,Data!$B$3:$EZ1530,4,FALSE)),"")</f>
        <v>-16.46212121</v>
      </c>
      <c r="G120" s="48">
        <f>IFERROR(DIVIDE(VLOOKUP($B120,Data!$B$3:$EZ1530,39,FALSE),VLOOKUP($B120,Data!$B$3:$EZ1530,4,FALSE)),"")</f>
        <v>-17.98106061</v>
      </c>
      <c r="H120" s="48">
        <f>IFERROR(DIVIDE(VLOOKUP($B120,Data!$B$3:$EZ1530,44,FALSE),VLOOKUP($B120,Data!$B$3:$EZ1530,4,FALSE)),"")</f>
        <v>-14.12689394</v>
      </c>
      <c r="I120" s="48">
        <f>IFERROR(MINUS(DIVIDE(VLOOKUP($B120,Data!$B$3:$EZ1530,9,FALSE),VLOOKUP($B120,Data!$B$3:$EZ1530,10,FALSE)),1),"")</f>
        <v>-1.635009311</v>
      </c>
      <c r="J120" s="48" t="str">
        <f>IFERROR(MINUS(DIVIDE(VLOOKUP($B120,Data!$B$3:$EZ1530,24,FALSE),VLOOKUP($B120,Data!$B$3:$EZ1530,25,FALSE)),1),"")</f>
        <v/>
      </c>
      <c r="K120" s="48">
        <f>IFERROR(MINUS(DIVIDE(VLOOKUP($B120,Data!$B$3:$EZ1530,29,FALSE),VLOOKUP($B120,Data!$B$3:$EZ1530,30,FALSE)),1),"")</f>
        <v>0.03669624274</v>
      </c>
      <c r="L120" s="48">
        <f>IFERROR(MINUS(DIVIDE(VLOOKUP($B120,Data!$B$3:$EZ1530,34,FALSE),VLOOKUP($B120,Data!$B$3:$EZ1530,35,FALSE)),1),"")</f>
        <v>-0.01529398437</v>
      </c>
      <c r="M120" s="48">
        <f>IFERROR(MINUS(DIVIDE(VLOOKUP($B120,Data!$B$3:$EZ1530,39,FALSE),VLOOKUP($B120,Data!$B$3:$EZ1530,40,FALSE)),1),"")</f>
        <v>0.03986856517</v>
      </c>
      <c r="N120" s="48">
        <f>IFERROR(MINUS(DIVIDE(VLOOKUP($B120,Data!$B$3:$EZ1530,44,FALSE),VLOOKUP($B120,Data!$B$3:$EZ1530,45,FALSE)),1),"")</f>
        <v>0.06147715953</v>
      </c>
      <c r="O120" s="50">
        <f>IFERROR(VLOOKUP($B120,Data!$B$3:$D1530,2,FALSE),"")</f>
        <v>40840</v>
      </c>
      <c r="P120" s="50">
        <f>IFERROR(VLOOKUP($B120,Data!$B$3:$D1530,3,FALSE),"")</f>
        <v>5340</v>
      </c>
      <c r="Q120" s="48">
        <f t="shared" si="2"/>
        <v>6.647940075</v>
      </c>
      <c r="R120" s="48"/>
      <c r="S120" s="48"/>
      <c r="T120" s="48"/>
      <c r="U120" s="48"/>
      <c r="V120" s="48"/>
      <c r="W120" s="50"/>
      <c r="Z120" s="15"/>
      <c r="AA120" s="15"/>
    </row>
    <row r="121">
      <c r="A121" s="9">
        <f t="shared" si="1"/>
        <v>118</v>
      </c>
      <c r="B121" s="47" t="s">
        <v>254</v>
      </c>
      <c r="C121" s="48">
        <f>IFERROR(DIVIDE(VLOOKUP($B121,Data!$B$3:$AB$1535,9,FALSE),VLOOKUP($B121,Data!$B$3:$AB$1535,4,FALSE)),"")</f>
        <v>0</v>
      </c>
      <c r="D121" s="48">
        <f>IFERROR(DIVIDE(VLOOKUP($B121,Data!$B$3:$AB$1535,24,FALSE),VLOOKUP($B121,Data!$B$3:$AB$1535,4,FALSE)),"")</f>
        <v>-2.66064775</v>
      </c>
      <c r="E121" s="48">
        <f>IFERROR(DIVIDE(VLOOKUP($B121,Data!$B$3:$EZ1530,29,FALSE),VLOOKUP($B121,Data!$B$3:$EZ1530,4,FALSE)),"")</f>
        <v>-2.336342792</v>
      </c>
      <c r="F121" s="48">
        <f>IFERROR(DIVIDE(VLOOKUP($B121,Data!$B$3:$EZ1530,34,FALSE),VLOOKUP($B121,Data!$B$3:$EZ1530,4,FALSE)),"")</f>
        <v>-2.645313844</v>
      </c>
      <c r="G121" s="48">
        <f>IFERROR(DIVIDE(VLOOKUP($B121,Data!$B$3:$EZ1530,39,FALSE),VLOOKUP($B121,Data!$B$3:$EZ1530,4,FALSE)),"")</f>
        <v>-2.335482946</v>
      </c>
      <c r="H121" s="48">
        <f>IFERROR(DIVIDE(VLOOKUP($B121,Data!$B$3:$EZ1530,44,FALSE),VLOOKUP($B121,Data!$B$3:$EZ1530,4,FALSE)),"")</f>
        <v>2.007022069</v>
      </c>
      <c r="I121" s="48" t="str">
        <f>IFERROR(MINUS(DIVIDE(VLOOKUP($B121,Data!$B$3:$EZ1530,9,FALSE),VLOOKUP($B121,Data!$B$3:$EZ1530,10,FALSE)),1),"")</f>
        <v/>
      </c>
      <c r="J121" s="48" t="str">
        <f>IFERROR(MINUS(DIVIDE(VLOOKUP($B121,Data!$B$3:$EZ1530,24,FALSE),VLOOKUP($B121,Data!$B$3:$EZ1530,25,FALSE)),1),"")</f>
        <v/>
      </c>
      <c r="K121" s="48">
        <f>IFERROR(MINUS(DIVIDE(VLOOKUP($B121,Data!$B$3:$EZ1530,29,FALSE),VLOOKUP($B121,Data!$B$3:$EZ1530,30,FALSE)),1),"")</f>
        <v>1.3975</v>
      </c>
      <c r="L121" s="48">
        <f>IFERROR(MINUS(DIVIDE(VLOOKUP($B121,Data!$B$3:$EZ1530,34,FALSE),VLOOKUP($B121,Data!$B$3:$EZ1530,35,FALSE)),1),"")</f>
        <v>1.162741652</v>
      </c>
      <c r="M121" s="48">
        <f>IFERROR(MINUS(DIVIDE(VLOOKUP($B121,Data!$B$3:$EZ1530,39,FALSE),VLOOKUP($B121,Data!$B$3:$EZ1530,40,FALSE)),1),"")</f>
        <v>1.445528211</v>
      </c>
      <c r="N121" s="48">
        <f>IFERROR(MINUS(DIVIDE(VLOOKUP($B121,Data!$B$3:$EZ1530,44,FALSE),VLOOKUP($B121,Data!$B$3:$EZ1530,45,FALSE)),1),"")</f>
        <v>-3.669144273</v>
      </c>
      <c r="O121" s="50">
        <f>IFERROR(VLOOKUP($B121,Data!$B$3:$D1530,2,FALSE),"")</f>
        <v>141920</v>
      </c>
      <c r="P121" s="50">
        <f>IFERROR(VLOOKUP($B121,Data!$B$3:$D1530,3,FALSE),"")</f>
        <v>88540</v>
      </c>
      <c r="Q121" s="48">
        <f t="shared" si="2"/>
        <v>0.6028913485</v>
      </c>
      <c r="R121" s="48"/>
      <c r="S121" s="48"/>
      <c r="T121" s="48"/>
      <c r="U121" s="48"/>
      <c r="V121" s="48"/>
      <c r="W121" s="50"/>
      <c r="Z121" s="15"/>
      <c r="AA121" s="15"/>
    </row>
    <row r="122">
      <c r="A122" s="9">
        <f t="shared" si="1"/>
        <v>119</v>
      </c>
      <c r="B122" s="47" t="s">
        <v>255</v>
      </c>
      <c r="C122" s="48">
        <f>IFERROR(DIVIDE(VLOOKUP($B122,Data!$B$3:$AB$1535,9,FALSE),VLOOKUP($B122,Data!$B$3:$AB$1535,4,FALSE)),"")</f>
        <v>0.1773928571</v>
      </c>
      <c r="D122" s="48">
        <f>IFERROR(DIVIDE(VLOOKUP($B122,Data!$B$3:$AB$1535,24,FALSE),VLOOKUP($B122,Data!$B$3:$AB$1535,4,FALSE)),"")</f>
        <v>0.2227244898</v>
      </c>
      <c r="E122" s="48">
        <f>IFERROR(DIVIDE(VLOOKUP($B122,Data!$B$3:$EZ1530,29,FALSE),VLOOKUP($B122,Data!$B$3:$EZ1530,4,FALSE)),"")</f>
        <v>0.2075102041</v>
      </c>
      <c r="F122" s="48">
        <f>IFERROR(DIVIDE(VLOOKUP($B122,Data!$B$3:$EZ1530,34,FALSE),VLOOKUP($B122,Data!$B$3:$EZ1530,4,FALSE)),"")</f>
        <v>0.2999234694</v>
      </c>
      <c r="G122" s="48">
        <f>IFERROR(DIVIDE(VLOOKUP($B122,Data!$B$3:$EZ1530,39,FALSE),VLOOKUP($B122,Data!$B$3:$EZ1530,4,FALSE)),"")</f>
        <v>0.2004693878</v>
      </c>
      <c r="H122" s="48">
        <f>IFERROR(DIVIDE(VLOOKUP($B122,Data!$B$3:$EZ1530,44,FALSE),VLOOKUP($B122,Data!$B$3:$EZ1530,4,FALSE)),"")</f>
        <v>0.2639795918</v>
      </c>
      <c r="I122" s="48">
        <f>IFERROR(MINUS(DIVIDE(VLOOKUP($B122,Data!$B$3:$EZ1530,9,FALSE),VLOOKUP($B122,Data!$B$3:$EZ1530,10,FALSE)),1),"")</f>
        <v>-0.1330939736</v>
      </c>
      <c r="J122" s="48">
        <f>IFERROR(MINUS(DIVIDE(VLOOKUP($B122,Data!$B$3:$EZ1530,24,FALSE),VLOOKUP($B122,Data!$B$3:$EZ1530,25,FALSE)),1),"")</f>
        <v>0.1725805152</v>
      </c>
      <c r="K122" s="48">
        <f>IFERROR(MINUS(DIVIDE(VLOOKUP($B122,Data!$B$3:$EZ1530,29,FALSE),VLOOKUP($B122,Data!$B$3:$EZ1530,30,FALSE)),1),"")</f>
        <v>0.1067512041</v>
      </c>
      <c r="L122" s="48">
        <f>IFERROR(MINUS(DIVIDE(VLOOKUP($B122,Data!$B$3:$EZ1530,34,FALSE),VLOOKUP($B122,Data!$B$3:$EZ1530,35,FALSE)),1),"")</f>
        <v>-0.04102773246</v>
      </c>
      <c r="M122" s="48">
        <f>IFERROR(MINUS(DIVIDE(VLOOKUP($B122,Data!$B$3:$EZ1530,39,FALSE),VLOOKUP($B122,Data!$B$3:$EZ1530,40,FALSE)),1),"")</f>
        <v>0.0966535488</v>
      </c>
      <c r="N122" s="48">
        <f>IFERROR(MINUS(DIVIDE(VLOOKUP($B122,Data!$B$3:$EZ1530,44,FALSE),VLOOKUP($B122,Data!$B$3:$EZ1530,45,FALSE)),1),"")</f>
        <v>-0.2574839987</v>
      </c>
      <c r="O122" s="50">
        <f>IFERROR(VLOOKUP($B122,Data!$B$3:$D1530,2,FALSE),"")</f>
        <v>1490000</v>
      </c>
      <c r="P122" s="50">
        <f>IFERROR(VLOOKUP($B122,Data!$B$3:$D1530,3,FALSE),"")</f>
        <v>1290000</v>
      </c>
      <c r="Q122" s="48">
        <f t="shared" si="2"/>
        <v>0.1550387597</v>
      </c>
      <c r="R122" s="48"/>
      <c r="S122" s="48"/>
      <c r="T122" s="48"/>
      <c r="U122" s="48"/>
      <c r="V122" s="48"/>
      <c r="W122" s="50"/>
      <c r="Z122" s="11"/>
      <c r="AA122" s="11"/>
    </row>
    <row r="123">
      <c r="A123" s="9">
        <f t="shared" si="1"/>
        <v>120</v>
      </c>
      <c r="B123" s="47" t="s">
        <v>256</v>
      </c>
      <c r="C123" s="48">
        <f>IFERROR(DIVIDE(VLOOKUP($B123,Data!$B$3:$AB$1535,9,FALSE),VLOOKUP($B123,Data!$B$3:$AB$1535,4,FALSE)),"")</f>
        <v>0.07024029575</v>
      </c>
      <c r="D123" s="48">
        <f>IFERROR(DIVIDE(VLOOKUP($B123,Data!$B$3:$AB$1535,24,FALSE),VLOOKUP($B123,Data!$B$3:$AB$1535,4,FALSE)),"")</f>
        <v>0.04540480591</v>
      </c>
      <c r="E123" s="48">
        <f>IFERROR(DIVIDE(VLOOKUP($B123,Data!$B$3:$EZ1530,29,FALSE),VLOOKUP($B123,Data!$B$3:$EZ1530,4,FALSE)),"")</f>
        <v>0.03426802218</v>
      </c>
      <c r="F123" s="48">
        <f>IFERROR(DIVIDE(VLOOKUP($B123,Data!$B$3:$EZ1530,34,FALSE),VLOOKUP($B123,Data!$B$3:$EZ1530,4,FALSE)),"")</f>
        <v>0.08502772643</v>
      </c>
      <c r="G123" s="48">
        <f>IFERROR(DIVIDE(VLOOKUP($B123,Data!$B$3:$EZ1530,39,FALSE),VLOOKUP($B123,Data!$B$3:$EZ1530,4,FALSE)),"")</f>
        <v>0.02763709181</v>
      </c>
      <c r="H123" s="48">
        <f>IFERROR(DIVIDE(VLOOKUP($B123,Data!$B$3:$EZ1530,44,FALSE),VLOOKUP($B123,Data!$B$3:$EZ1530,4,FALSE)),"")</f>
        <v>0.06064263709</v>
      </c>
      <c r="I123" s="48">
        <f>IFERROR(MINUS(DIVIDE(VLOOKUP($B123,Data!$B$3:$EZ1530,9,FALSE),VLOOKUP($B123,Data!$B$3:$EZ1530,10,FALSE)),1),"")</f>
        <v>-0.06557377049</v>
      </c>
      <c r="J123" s="48">
        <f>IFERROR(MINUS(DIVIDE(VLOOKUP($B123,Data!$B$3:$EZ1530,24,FALSE),VLOOKUP($B123,Data!$B$3:$EZ1530,25,FALSE)),1),"")</f>
        <v>-11.13645117</v>
      </c>
      <c r="K123" s="48">
        <f>IFERROR(MINUS(DIVIDE(VLOOKUP($B123,Data!$B$3:$EZ1530,29,FALSE),VLOOKUP($B123,Data!$B$3:$EZ1530,30,FALSE)),1),"")</f>
        <v>0.1786259218</v>
      </c>
      <c r="L123" s="48">
        <f>IFERROR(MINUS(DIVIDE(VLOOKUP($B123,Data!$B$3:$EZ1530,34,FALSE),VLOOKUP($B123,Data!$B$3:$EZ1530,35,FALSE)),1),"")</f>
        <v>-0.06756756757</v>
      </c>
      <c r="M123" s="48">
        <f>IFERROR(MINUS(DIVIDE(VLOOKUP($B123,Data!$B$3:$EZ1530,39,FALSE),VLOOKUP($B123,Data!$B$3:$EZ1530,40,FALSE)),1),"")</f>
        <v>-0.2101463312</v>
      </c>
      <c r="N123" s="48">
        <f>IFERROR(MINUS(DIVIDE(VLOOKUP($B123,Data!$B$3:$EZ1530,44,FALSE),VLOOKUP($B123,Data!$B$3:$EZ1530,45,FALSE)),1),"")</f>
        <v>-0.06263809524</v>
      </c>
      <c r="O123" s="50">
        <f>IFERROR(VLOOKUP($B123,Data!$B$3:$D1530,2,FALSE),"")</f>
        <v>14940000</v>
      </c>
      <c r="P123" s="50">
        <f>IFERROR(VLOOKUP($B123,Data!$B$3:$D1530,3,FALSE),"")</f>
        <v>13230000</v>
      </c>
      <c r="Q123" s="48">
        <f t="shared" si="2"/>
        <v>0.1292517007</v>
      </c>
      <c r="R123" s="48"/>
      <c r="S123" s="48"/>
      <c r="T123" s="48"/>
      <c r="U123" s="48"/>
      <c r="V123" s="48"/>
      <c r="W123" s="50"/>
      <c r="Z123" s="11"/>
      <c r="AA123" s="11"/>
    </row>
    <row r="124">
      <c r="A124" s="9">
        <f t="shared" si="1"/>
        <v>121</v>
      </c>
      <c r="B124" s="47" t="s">
        <v>257</v>
      </c>
      <c r="C124" s="48">
        <f>IFERROR(DIVIDE(VLOOKUP($B124,Data!$B$3:$AB$1535,9,FALSE),VLOOKUP($B124,Data!$B$3:$AB$1535,4,FALSE)),"")</f>
        <v>0</v>
      </c>
      <c r="D124" s="48">
        <f>IFERROR(DIVIDE(VLOOKUP($B124,Data!$B$3:$AB$1535,24,FALSE),VLOOKUP($B124,Data!$B$3:$AB$1535,4,FALSE)),"")</f>
        <v>0.5986260432</v>
      </c>
      <c r="E124" s="48">
        <f>IFERROR(DIVIDE(VLOOKUP($B124,Data!$B$3:$EZ1530,29,FALSE),VLOOKUP($B124,Data!$B$3:$EZ1530,4,FALSE)),"")</f>
        <v>0.6298004787</v>
      </c>
      <c r="F124" s="48">
        <f>IFERROR(DIVIDE(VLOOKUP($B124,Data!$B$3:$EZ1530,34,FALSE),VLOOKUP($B124,Data!$B$3:$EZ1530,4,FALSE)),"")</f>
        <v>0.6206986347</v>
      </c>
      <c r="G124" s="48">
        <f>IFERROR(DIVIDE(VLOOKUP($B124,Data!$B$3:$EZ1530,39,FALSE),VLOOKUP($B124,Data!$B$3:$EZ1530,4,FALSE)),"")</f>
        <v>0.4929876121</v>
      </c>
      <c r="H124" s="48">
        <f>IFERROR(DIVIDE(VLOOKUP($B124,Data!$B$3:$EZ1530,44,FALSE),VLOOKUP($B124,Data!$B$3:$EZ1530,4,FALSE)),"")</f>
        <v>0.7051944992</v>
      </c>
      <c r="I124" s="48" t="str">
        <f>IFERROR(MINUS(DIVIDE(VLOOKUP($B124,Data!$B$3:$EZ1530,9,FALSE),VLOOKUP($B124,Data!$B$3:$EZ1530,10,FALSE)),1),"")</f>
        <v/>
      </c>
      <c r="J124" s="48" t="str">
        <f>IFERROR(MINUS(DIVIDE(VLOOKUP($B124,Data!$B$3:$EZ1530,24,FALSE),VLOOKUP($B124,Data!$B$3:$EZ1530,25,FALSE)),1),"")</f>
        <v/>
      </c>
      <c r="K124" s="48">
        <f>IFERROR(MINUS(DIVIDE(VLOOKUP($B124,Data!$B$3:$EZ1530,29,FALSE),VLOOKUP($B124,Data!$B$3:$EZ1530,30,FALSE)),1),"")</f>
        <v>-4.658359144</v>
      </c>
      <c r="L124" s="48">
        <f>IFERROR(MINUS(DIVIDE(VLOOKUP($B124,Data!$B$3:$EZ1530,34,FALSE),VLOOKUP($B124,Data!$B$3:$EZ1530,35,FALSE)),1),"")</f>
        <v>-4.549496525</v>
      </c>
      <c r="M124" s="48">
        <f>IFERROR(MINUS(DIVIDE(VLOOKUP($B124,Data!$B$3:$EZ1530,39,FALSE),VLOOKUP($B124,Data!$B$3:$EZ1530,40,FALSE)),1),"")</f>
        <v>-14.91529576</v>
      </c>
      <c r="N124" s="48">
        <f>IFERROR(MINUS(DIVIDE(VLOOKUP($B124,Data!$B$3:$EZ1530,44,FALSE),VLOOKUP($B124,Data!$B$3:$EZ1530,45,FALSE)),1),"")</f>
        <v>-5.301414416</v>
      </c>
      <c r="O124" s="50">
        <f>IFERROR(VLOOKUP($B124,Data!$B$3:$D1530,2,FALSE),"")</f>
        <v>33920</v>
      </c>
      <c r="P124" s="50">
        <f>IFERROR(VLOOKUP($B124,Data!$B$3:$D1530,3,FALSE),"")</f>
        <v>3260</v>
      </c>
      <c r="Q124" s="48">
        <f t="shared" si="2"/>
        <v>9.404907975</v>
      </c>
      <c r="R124" s="48"/>
      <c r="S124" s="48"/>
      <c r="T124" s="48"/>
      <c r="U124" s="48"/>
      <c r="V124" s="48"/>
      <c r="W124" s="50"/>
      <c r="Z124" s="15"/>
      <c r="AA124" s="15"/>
    </row>
    <row r="125">
      <c r="A125" s="9">
        <f t="shared" si="1"/>
        <v>122</v>
      </c>
      <c r="B125" s="47" t="s">
        <v>258</v>
      </c>
      <c r="C125" s="48">
        <f>IFERROR(DIVIDE(VLOOKUP($B125,Data!$B$3:$AB$1535,9,FALSE),VLOOKUP($B125,Data!$B$3:$AB$1535,4,FALSE)),"")</f>
        <v>0.1037087912</v>
      </c>
      <c r="D125" s="48">
        <f>IFERROR(DIVIDE(VLOOKUP($B125,Data!$B$3:$AB$1535,24,FALSE),VLOOKUP($B125,Data!$B$3:$AB$1535,4,FALSE)),"")</f>
        <v>0.03804945055</v>
      </c>
      <c r="E125" s="48">
        <f>IFERROR(DIVIDE(VLOOKUP($B125,Data!$B$3:$EZ1530,29,FALSE),VLOOKUP($B125,Data!$B$3:$EZ1530,4,FALSE)),"")</f>
        <v>0.02431318681</v>
      </c>
      <c r="F125" s="48">
        <f>IFERROR(DIVIDE(VLOOKUP($B125,Data!$B$3:$EZ1530,34,FALSE),VLOOKUP($B125,Data!$B$3:$EZ1530,4,FALSE)),"")</f>
        <v>0.08461538462</v>
      </c>
      <c r="G125" s="48">
        <f>IFERROR(DIVIDE(VLOOKUP($B125,Data!$B$3:$EZ1530,39,FALSE),VLOOKUP($B125,Data!$B$3:$EZ1530,4,FALSE)),"")</f>
        <v>0.03090659341</v>
      </c>
      <c r="H125" s="48">
        <f>IFERROR(DIVIDE(VLOOKUP($B125,Data!$B$3:$EZ1530,44,FALSE),VLOOKUP($B125,Data!$B$3:$EZ1530,4,FALSE)),"")</f>
        <v>0.06277472527</v>
      </c>
      <c r="I125" s="48">
        <f>IFERROR(MINUS(DIVIDE(VLOOKUP($B125,Data!$B$3:$EZ1530,9,FALSE),VLOOKUP($B125,Data!$B$3:$EZ1530,10,FALSE)),1),"")</f>
        <v>0.2157809984</v>
      </c>
      <c r="J125" s="48">
        <f>IFERROR(MINUS(DIVIDE(VLOOKUP($B125,Data!$B$3:$EZ1530,24,FALSE),VLOOKUP($B125,Data!$B$3:$EZ1530,25,FALSE)),1),"")</f>
        <v>-0.2593582888</v>
      </c>
      <c r="K125" s="48">
        <f>IFERROR(MINUS(DIVIDE(VLOOKUP($B125,Data!$B$3:$EZ1530,29,FALSE),VLOOKUP($B125,Data!$B$3:$EZ1530,30,FALSE)),1),"")</f>
        <v>-0.265560166</v>
      </c>
      <c r="L125" s="48">
        <f>IFERROR(MINUS(DIVIDE(VLOOKUP($B125,Data!$B$3:$EZ1530,34,FALSE),VLOOKUP($B125,Data!$B$3:$EZ1530,35,FALSE)),1),"")</f>
        <v>0.1365313653</v>
      </c>
      <c r="M125" s="48">
        <f>IFERROR(MINUS(DIVIDE(VLOOKUP($B125,Data!$B$3:$EZ1530,39,FALSE),VLOOKUP($B125,Data!$B$3:$EZ1530,40,FALSE)),1),"")</f>
        <v>0.3235294118</v>
      </c>
      <c r="N125" s="48">
        <f>IFERROR(MINUS(DIVIDE(VLOOKUP($B125,Data!$B$3:$EZ1530,44,FALSE),VLOOKUP($B125,Data!$B$3:$EZ1530,45,FALSE)),1),"")</f>
        <v>-0.09145129225</v>
      </c>
      <c r="O125" s="50">
        <f>IFERROR(VLOOKUP($B125,Data!$B$3:$D1530,2,FALSE),"")</f>
        <v>6440000</v>
      </c>
      <c r="P125" s="50">
        <f>IFERROR(VLOOKUP($B125,Data!$B$3:$D1530,3,FALSE),"")</f>
        <v>5960000</v>
      </c>
      <c r="Q125" s="48">
        <f t="shared" si="2"/>
        <v>0.08053691275</v>
      </c>
      <c r="R125" s="48"/>
      <c r="S125" s="48"/>
      <c r="T125" s="48"/>
      <c r="U125" s="48"/>
      <c r="V125" s="48"/>
      <c r="W125" s="50"/>
      <c r="Z125" s="15"/>
      <c r="AA125" s="15"/>
    </row>
    <row r="126">
      <c r="A126" s="9">
        <f t="shared" si="1"/>
        <v>123</v>
      </c>
      <c r="B126" s="47" t="s">
        <v>259</v>
      </c>
      <c r="C126" s="48" t="str">
        <f>IFERROR(DIVIDE(VLOOKUP($B126,Data!$B$3:$AB$1535,9,FALSE),VLOOKUP($B126,Data!$B$3:$AB$1535,4,FALSE)),"")</f>
        <v/>
      </c>
      <c r="D126" s="48" t="str">
        <f>IFERROR(DIVIDE(VLOOKUP($B126,Data!$B$3:$AB$1535,24,FALSE),VLOOKUP($B126,Data!$B$3:$AB$1535,4,FALSE)),"")</f>
        <v/>
      </c>
      <c r="E126" s="48" t="str">
        <f>IFERROR(DIVIDE(VLOOKUP($B126,Data!$B$3:$EZ1530,29,FALSE),VLOOKUP($B126,Data!$B$3:$EZ1530,4,FALSE)),"")</f>
        <v/>
      </c>
      <c r="F126" s="48" t="str">
        <f>IFERROR(DIVIDE(VLOOKUP($B126,Data!$B$3:$EZ1530,34,FALSE),VLOOKUP($B126,Data!$B$3:$EZ1530,4,FALSE)),"")</f>
        <v/>
      </c>
      <c r="G126" s="48" t="str">
        <f>IFERROR(DIVIDE(VLOOKUP($B126,Data!$B$3:$EZ1530,39,FALSE),VLOOKUP($B126,Data!$B$3:$EZ1530,4,FALSE)),"")</f>
        <v/>
      </c>
      <c r="H126" s="48" t="str">
        <f>IFERROR(DIVIDE(VLOOKUP($B126,Data!$B$3:$EZ1530,44,FALSE),VLOOKUP($B126,Data!$B$3:$EZ1530,4,FALSE)),"")</f>
        <v/>
      </c>
      <c r="I126" s="48" t="str">
        <f>IFERROR(MINUS(DIVIDE(VLOOKUP($B126,Data!$B$3:$EZ1530,9,FALSE),VLOOKUP($B126,Data!$B$3:$EZ1530,10,FALSE)),1),"")</f>
        <v/>
      </c>
      <c r="J126" s="48">
        <f>IFERROR(MINUS(DIVIDE(VLOOKUP($B126,Data!$B$3:$EZ1530,24,FALSE),VLOOKUP($B126,Data!$B$3:$EZ1530,25,FALSE)),1),"")</f>
        <v>-1</v>
      </c>
      <c r="K126" s="48">
        <f>IFERROR(MINUS(DIVIDE(VLOOKUP($B126,Data!$B$3:$EZ1530,29,FALSE),VLOOKUP($B126,Data!$B$3:$EZ1530,30,FALSE)),1),"")</f>
        <v>1.180685358</v>
      </c>
      <c r="L126" s="48">
        <f>IFERROR(MINUS(DIVIDE(VLOOKUP($B126,Data!$B$3:$EZ1530,34,FALSE),VLOOKUP($B126,Data!$B$3:$EZ1530,35,FALSE)),1),"")</f>
        <v>1.175278622</v>
      </c>
      <c r="M126" s="48">
        <f>IFERROR(MINUS(DIVIDE(VLOOKUP($B126,Data!$B$3:$EZ1530,39,FALSE),VLOOKUP($B126,Data!$B$3:$EZ1530,40,FALSE)),1),"")</f>
        <v>1.180685358</v>
      </c>
      <c r="N126" s="48">
        <f>IFERROR(MINUS(DIVIDE(VLOOKUP($B126,Data!$B$3:$EZ1530,44,FALSE),VLOOKUP($B126,Data!$B$3:$EZ1530,45,FALSE)),1),"")</f>
        <v>2.133427963</v>
      </c>
      <c r="O126" s="50">
        <f>IFERROR(VLOOKUP($B126,Data!$B$3:$D1530,2,FALSE),"")</f>
        <v>4170</v>
      </c>
      <c r="P126" s="50" t="str">
        <f>IFERROR(VLOOKUP($B126,Data!$B$3:$D1530,3,FALSE),"")</f>
        <v/>
      </c>
      <c r="Q126" s="48" t="str">
        <f t="shared" si="2"/>
        <v/>
      </c>
      <c r="R126" s="48"/>
      <c r="S126" s="48"/>
      <c r="T126" s="48"/>
      <c r="U126" s="48"/>
      <c r="V126" s="48"/>
      <c r="W126" s="50"/>
      <c r="Z126" s="11"/>
      <c r="AA126" s="11"/>
    </row>
    <row r="127">
      <c r="A127" s="9">
        <f t="shared" si="1"/>
        <v>124</v>
      </c>
      <c r="B127" s="47" t="s">
        <v>260</v>
      </c>
      <c r="C127" s="48" t="str">
        <f>IFERROR(DIVIDE(VLOOKUP($B127,Data!$B$3:$AB$1535,9,FALSE),VLOOKUP($B127,Data!$B$3:$AB$1535,4,FALSE)),"")</f>
        <v/>
      </c>
      <c r="D127" s="48" t="str">
        <f>IFERROR(DIVIDE(VLOOKUP($B127,Data!$B$3:$AB$1535,24,FALSE),VLOOKUP($B127,Data!$B$3:$AB$1535,4,FALSE)),"")</f>
        <v/>
      </c>
      <c r="E127" s="48" t="str">
        <f>IFERROR(DIVIDE(VLOOKUP($B127,Data!$B$3:$EZ1530,29,FALSE),VLOOKUP($B127,Data!$B$3:$EZ1530,4,FALSE)),"")</f>
        <v/>
      </c>
      <c r="F127" s="48" t="str">
        <f>IFERROR(DIVIDE(VLOOKUP($B127,Data!$B$3:$EZ1530,34,FALSE),VLOOKUP($B127,Data!$B$3:$EZ1530,4,FALSE)),"")</f>
        <v/>
      </c>
      <c r="G127" s="48" t="str">
        <f>IFERROR(DIVIDE(VLOOKUP($B127,Data!$B$3:$EZ1530,39,FALSE),VLOOKUP($B127,Data!$B$3:$EZ1530,4,FALSE)),"")</f>
        <v/>
      </c>
      <c r="H127" s="48" t="str">
        <f>IFERROR(DIVIDE(VLOOKUP($B127,Data!$B$3:$EZ1530,44,FALSE),VLOOKUP($B127,Data!$B$3:$EZ1530,4,FALSE)),"")</f>
        <v/>
      </c>
      <c r="I127" s="48" t="str">
        <f>IFERROR(MINUS(DIVIDE(VLOOKUP($B127,Data!$B$3:$EZ1530,9,FALSE),VLOOKUP($B127,Data!$B$3:$EZ1530,10,FALSE)),1),"")</f>
        <v/>
      </c>
      <c r="J127" s="48" t="str">
        <f>IFERROR(MINUS(DIVIDE(VLOOKUP($B127,Data!$B$3:$EZ1530,24,FALSE),VLOOKUP($B127,Data!$B$3:$EZ1530,25,FALSE)),1),"")</f>
        <v/>
      </c>
      <c r="K127" s="48" t="str">
        <f>IFERROR(MINUS(DIVIDE(VLOOKUP($B127,Data!$B$3:$EZ1530,29,FALSE),VLOOKUP($B127,Data!$B$3:$EZ1530,30,FALSE)),1),"")</f>
        <v/>
      </c>
      <c r="L127" s="48" t="str">
        <f>IFERROR(MINUS(DIVIDE(VLOOKUP($B127,Data!$B$3:$EZ1530,34,FALSE),VLOOKUP($B127,Data!$B$3:$EZ1530,35,FALSE)),1),"")</f>
        <v/>
      </c>
      <c r="M127" s="48" t="str">
        <f>IFERROR(MINUS(DIVIDE(VLOOKUP($B127,Data!$B$3:$EZ1530,39,FALSE),VLOOKUP($B127,Data!$B$3:$EZ1530,40,FALSE)),1),"")</f>
        <v/>
      </c>
      <c r="N127" s="48" t="str">
        <f>IFERROR(MINUS(DIVIDE(VLOOKUP($B127,Data!$B$3:$EZ1530,44,FALSE),VLOOKUP($B127,Data!$B$3:$EZ1530,45,FALSE)),1),"")</f>
        <v/>
      </c>
      <c r="O127" s="50">
        <f>IFERROR(VLOOKUP($B127,Data!$B$3:$D1530,2,FALSE),"")</f>
        <v>112740</v>
      </c>
      <c r="P127" s="50">
        <f>IFERROR(VLOOKUP($B127,Data!$B$3:$D1530,3,FALSE),"")</f>
        <v>98800</v>
      </c>
      <c r="Q127" s="48">
        <f t="shared" si="2"/>
        <v>0.1410931174</v>
      </c>
      <c r="R127" s="48"/>
      <c r="S127" s="48"/>
      <c r="T127" s="48"/>
      <c r="U127" s="48"/>
      <c r="V127" s="48"/>
      <c r="W127" s="50"/>
      <c r="Z127" s="15"/>
      <c r="AA127" s="15"/>
    </row>
    <row r="128">
      <c r="A128" s="9">
        <f t="shared" si="1"/>
        <v>125</v>
      </c>
      <c r="B128" s="47" t="s">
        <v>261</v>
      </c>
      <c r="C128" s="48">
        <f>IFERROR(DIVIDE(VLOOKUP($B128,Data!$B$3:$AB$1535,9,FALSE),VLOOKUP($B128,Data!$B$3:$AB$1535,4,FALSE)),"")</f>
        <v>0</v>
      </c>
      <c r="D128" s="48">
        <f>IFERROR(DIVIDE(VLOOKUP($B128,Data!$B$3:$AB$1535,24,FALSE),VLOOKUP($B128,Data!$B$3:$AB$1535,4,FALSE)),"")</f>
        <v>0</v>
      </c>
      <c r="E128" s="48">
        <f>IFERROR(DIVIDE(VLOOKUP($B128,Data!$B$3:$EZ1530,29,FALSE),VLOOKUP($B128,Data!$B$3:$EZ1530,4,FALSE)),"")</f>
        <v>-1.635411819</v>
      </c>
      <c r="F128" s="48">
        <f>IFERROR(DIVIDE(VLOOKUP($B128,Data!$B$3:$EZ1530,34,FALSE),VLOOKUP($B128,Data!$B$3:$EZ1530,4,FALSE)),"")</f>
        <v>-1.146347138</v>
      </c>
      <c r="G128" s="48">
        <f>IFERROR(DIVIDE(VLOOKUP($B128,Data!$B$3:$EZ1530,39,FALSE),VLOOKUP($B128,Data!$B$3:$EZ1530,4,FALSE)),"")</f>
        <v>-1.635411819</v>
      </c>
      <c r="H128" s="48">
        <f>IFERROR(DIVIDE(VLOOKUP($B128,Data!$B$3:$EZ1530,44,FALSE),VLOOKUP($B128,Data!$B$3:$EZ1530,4,FALSE)),"")</f>
        <v>-0.9315960912</v>
      </c>
      <c r="I128" s="48" t="str">
        <f>IFERROR(MINUS(DIVIDE(VLOOKUP($B128,Data!$B$3:$EZ1530,9,FALSE),VLOOKUP($B128,Data!$B$3:$EZ1530,10,FALSE)),1),"")</f>
        <v/>
      </c>
      <c r="J128" s="48">
        <f>IFERROR(MINUS(DIVIDE(VLOOKUP($B128,Data!$B$3:$EZ1530,24,FALSE),VLOOKUP($B128,Data!$B$3:$EZ1530,25,FALSE)),1),"")</f>
        <v>-1</v>
      </c>
      <c r="K128" s="48">
        <f>IFERROR(MINUS(DIVIDE(VLOOKUP($B128,Data!$B$3:$EZ1530,29,FALSE),VLOOKUP($B128,Data!$B$3:$EZ1530,30,FALSE)),1),"")</f>
        <v>0.6945515911</v>
      </c>
      <c r="L128" s="48">
        <f>IFERROR(MINUS(DIVIDE(VLOOKUP($B128,Data!$B$3:$EZ1530,34,FALSE),VLOOKUP($B128,Data!$B$3:$EZ1530,35,FALSE)),1),"")</f>
        <v>0.1431554524</v>
      </c>
      <c r="M128" s="48">
        <f>IFERROR(MINUS(DIVIDE(VLOOKUP($B128,Data!$B$3:$EZ1530,39,FALSE),VLOOKUP($B128,Data!$B$3:$EZ1530,40,FALSE)),1),"")</f>
        <v>0.6945515911</v>
      </c>
      <c r="N128" s="48">
        <f>IFERROR(MINUS(DIVIDE(VLOOKUP($B128,Data!$B$3:$EZ1530,44,FALSE),VLOOKUP($B128,Data!$B$3:$EZ1530,45,FALSE)),1),"")</f>
        <v>1.483870968</v>
      </c>
      <c r="O128" s="50">
        <f>IFERROR(VLOOKUP($B128,Data!$B$3:$D1530,2,FALSE),"")</f>
        <v>22660</v>
      </c>
      <c r="P128" s="50">
        <f>IFERROR(VLOOKUP($B128,Data!$B$3:$D1530,3,FALSE),"")</f>
        <v>22650</v>
      </c>
      <c r="Q128" s="48">
        <f t="shared" si="2"/>
        <v>0.0004415011038</v>
      </c>
      <c r="R128" s="48"/>
      <c r="S128" s="48"/>
      <c r="T128" s="48"/>
      <c r="U128" s="48"/>
      <c r="V128" s="48"/>
      <c r="W128" s="50"/>
      <c r="Z128" s="11"/>
      <c r="AA128" s="12"/>
    </row>
    <row r="129">
      <c r="A129" s="9">
        <f t="shared" si="1"/>
        <v>126</v>
      </c>
      <c r="B129" s="47" t="s">
        <v>262</v>
      </c>
      <c r="C129" s="48">
        <f>IFERROR(DIVIDE(VLOOKUP($B129,Data!$B$3:$AB$1535,9,FALSE),VLOOKUP($B129,Data!$B$3:$AB$1535,4,FALSE)),"")</f>
        <v>0</v>
      </c>
      <c r="D129" s="48">
        <f>IFERROR(DIVIDE(VLOOKUP($B129,Data!$B$3:$AB$1535,24,FALSE),VLOOKUP($B129,Data!$B$3:$AB$1535,4,FALSE)),"")</f>
        <v>0</v>
      </c>
      <c r="E129" s="48">
        <f>IFERROR(DIVIDE(VLOOKUP($B129,Data!$B$3:$EZ1530,29,FALSE),VLOOKUP($B129,Data!$B$3:$EZ1530,4,FALSE)),"")</f>
        <v>0.4037322275</v>
      </c>
      <c r="F129" s="48">
        <f>IFERROR(DIVIDE(VLOOKUP($B129,Data!$B$3:$EZ1530,34,FALSE),VLOOKUP($B129,Data!$B$3:$EZ1530,4,FALSE)),"")</f>
        <v>0.3888033175</v>
      </c>
      <c r="G129" s="48">
        <f>IFERROR(DIVIDE(VLOOKUP($B129,Data!$B$3:$EZ1530,39,FALSE),VLOOKUP($B129,Data!$B$3:$EZ1530,4,FALSE)),"")</f>
        <v>0.4026658768</v>
      </c>
      <c r="H129" s="48">
        <f>IFERROR(DIVIDE(VLOOKUP($B129,Data!$B$3:$EZ1530,44,FALSE),VLOOKUP($B129,Data!$B$3:$EZ1530,4,FALSE)),"")</f>
        <v>1.025059242</v>
      </c>
      <c r="I129" s="48" t="str">
        <f>IFERROR(MINUS(DIVIDE(VLOOKUP($B129,Data!$B$3:$EZ1530,9,FALSE),VLOOKUP($B129,Data!$B$3:$EZ1530,10,FALSE)),1),"")</f>
        <v/>
      </c>
      <c r="J129" s="48">
        <f>IFERROR(MINUS(DIVIDE(VLOOKUP($B129,Data!$B$3:$EZ1530,24,FALSE),VLOOKUP($B129,Data!$B$3:$EZ1530,25,FALSE)),1),"")</f>
        <v>-1</v>
      </c>
      <c r="K129" s="48">
        <f>IFERROR(MINUS(DIVIDE(VLOOKUP($B129,Data!$B$3:$EZ1530,29,FALSE),VLOOKUP($B129,Data!$B$3:$EZ1530,30,FALSE)),1),"")</f>
        <v>-2.251606979</v>
      </c>
      <c r="L129" s="48">
        <f>IFERROR(MINUS(DIVIDE(VLOOKUP($B129,Data!$B$3:$EZ1530,34,FALSE),VLOOKUP($B129,Data!$B$3:$EZ1530,35,FALSE)),1),"")</f>
        <v>-2.280835285</v>
      </c>
      <c r="M129" s="48">
        <f>IFERROR(MINUS(DIVIDE(VLOOKUP($B129,Data!$B$3:$EZ1530,39,FALSE),VLOOKUP($B129,Data!$B$3:$EZ1530,40,FALSE)),1),"")</f>
        <v>-2.248301194</v>
      </c>
      <c r="N129" s="48">
        <f>IFERROR(MINUS(DIVIDE(VLOOKUP($B129,Data!$B$3:$EZ1530,44,FALSE),VLOOKUP($B129,Data!$B$3:$EZ1530,45,FALSE)),1),"")</f>
        <v>-4.664337145</v>
      </c>
      <c r="O129" s="50">
        <f>IFERROR(VLOOKUP($B129,Data!$B$3:$D1530,2,FALSE),"")</f>
        <v>95800</v>
      </c>
      <c r="P129" s="50">
        <f>IFERROR(VLOOKUP($B129,Data!$B$3:$D1530,3,FALSE),"")</f>
        <v>102430</v>
      </c>
      <c r="Q129" s="48">
        <f t="shared" si="2"/>
        <v>-0.06472713072</v>
      </c>
      <c r="R129" s="48"/>
      <c r="S129" s="48"/>
      <c r="T129" s="48"/>
      <c r="U129" s="48"/>
      <c r="V129" s="48"/>
      <c r="W129" s="50"/>
      <c r="Z129" s="15"/>
      <c r="AA129" s="15"/>
    </row>
    <row r="130">
      <c r="A130" s="9">
        <f t="shared" si="1"/>
        <v>127</v>
      </c>
      <c r="B130" s="47" t="s">
        <v>263</v>
      </c>
      <c r="C130" s="48">
        <f>IFERROR(DIVIDE(VLOOKUP($B130,Data!$B$3:$AB$1535,9,FALSE),VLOOKUP($B130,Data!$B$3:$AB$1535,4,FALSE)),"")</f>
        <v>0.1491479743</v>
      </c>
      <c r="D130" s="48">
        <f>IFERROR(DIVIDE(VLOOKUP($B130,Data!$B$3:$AB$1535,24,FALSE),VLOOKUP($B130,Data!$B$3:$AB$1535,4,FALSE)),"")</f>
        <v>0.06794470527</v>
      </c>
      <c r="E130" s="48">
        <f>IFERROR(DIVIDE(VLOOKUP($B130,Data!$B$3:$EZ1530,29,FALSE),VLOOKUP($B130,Data!$B$3:$EZ1530,4,FALSE)),"")</f>
        <v>-0.0991131977</v>
      </c>
      <c r="F130" s="48">
        <f>IFERROR(DIVIDE(VLOOKUP($B130,Data!$B$3:$EZ1530,34,FALSE),VLOOKUP($B130,Data!$B$3:$EZ1530,4,FALSE)),"")</f>
        <v>0.2316553643</v>
      </c>
      <c r="G130" s="48">
        <f>IFERROR(DIVIDE(VLOOKUP($B130,Data!$B$3:$EZ1530,39,FALSE),VLOOKUP($B130,Data!$B$3:$EZ1530,4,FALSE)),"")</f>
        <v>-0.09937402191</v>
      </c>
      <c r="H130" s="48">
        <f>IFERROR(DIVIDE(VLOOKUP($B130,Data!$B$3:$EZ1530,44,FALSE),VLOOKUP($B130,Data!$B$3:$EZ1530,4,FALSE)),"")</f>
        <v>0.07898626326</v>
      </c>
      <c r="I130" s="48">
        <f>IFERROR(MINUS(DIVIDE(VLOOKUP($B130,Data!$B$3:$EZ1530,9,FALSE),VLOOKUP($B130,Data!$B$3:$EZ1530,10,FALSE)),1),"")</f>
        <v>4.498397436</v>
      </c>
      <c r="J130" s="48">
        <f>IFERROR(MINUS(DIVIDE(VLOOKUP($B130,Data!$B$3:$EZ1530,24,FALSE),VLOOKUP($B130,Data!$B$3:$EZ1530,25,FALSE)),1),"")</f>
        <v>-2.315656566</v>
      </c>
      <c r="K130" s="48">
        <f>IFERROR(MINUS(DIVIDE(VLOOKUP($B130,Data!$B$3:$EZ1530,29,FALSE),VLOOKUP($B130,Data!$B$3:$EZ1530,30,FALSE)),1),"")</f>
        <v>-0.4670406732</v>
      </c>
      <c r="L130" s="48">
        <f>IFERROR(MINUS(DIVIDE(VLOOKUP($B130,Data!$B$3:$EZ1530,34,FALSE),VLOOKUP($B130,Data!$B$3:$EZ1530,35,FALSE)),1),"")</f>
        <v>0.8275034294</v>
      </c>
      <c r="M130" s="48">
        <f>IFERROR(MINUS(DIVIDE(VLOOKUP($B130,Data!$B$3:$EZ1530,39,FALSE),VLOOKUP($B130,Data!$B$3:$EZ1530,40,FALSE)),1),"")</f>
        <v>-0.4676292501</v>
      </c>
      <c r="N130" s="48">
        <f>IFERROR(MINUS(DIVIDE(VLOOKUP($B130,Data!$B$3:$EZ1530,44,FALSE),VLOOKUP($B130,Data!$B$3:$EZ1530,45,FALSE)),1),"")</f>
        <v>2.193321617</v>
      </c>
      <c r="O130" s="50">
        <f>IFERROR(VLOOKUP($B130,Data!$B$3:$D1530,2,FALSE),"")</f>
        <v>167000</v>
      </c>
      <c r="P130" s="50">
        <f>IFERROR(VLOOKUP($B130,Data!$B$3:$D1530,3,FALSE),"")</f>
        <v>150240</v>
      </c>
      <c r="Q130" s="48">
        <f t="shared" si="2"/>
        <v>0.1115548456</v>
      </c>
      <c r="R130" s="48"/>
      <c r="S130" s="48"/>
      <c r="T130" s="48"/>
      <c r="U130" s="48"/>
      <c r="V130" s="48"/>
      <c r="W130" s="50"/>
      <c r="Z130" s="11"/>
      <c r="AA130" s="11"/>
    </row>
    <row r="131">
      <c r="A131" s="9">
        <f t="shared" si="1"/>
        <v>128</v>
      </c>
      <c r="B131" s="47" t="s">
        <v>264</v>
      </c>
      <c r="C131" s="48">
        <f>IFERROR(DIVIDE(VLOOKUP($B131,Data!$B$3:$AB$1535,9,FALSE),VLOOKUP($B131,Data!$B$3:$AB$1535,4,FALSE)),"")</f>
        <v>0.3080321285</v>
      </c>
      <c r="D131" s="48">
        <f>IFERROR(DIVIDE(VLOOKUP($B131,Data!$B$3:$AB$1535,24,FALSE),VLOOKUP($B131,Data!$B$3:$AB$1535,4,FALSE)),"")</f>
        <v>0.0686746988</v>
      </c>
      <c r="E131" s="48">
        <f>IFERROR(DIVIDE(VLOOKUP($B131,Data!$B$3:$EZ1530,29,FALSE),VLOOKUP($B131,Data!$B$3:$EZ1530,4,FALSE)),"")</f>
        <v>0.0281124498</v>
      </c>
      <c r="F131" s="48">
        <f>IFERROR(DIVIDE(VLOOKUP($B131,Data!$B$3:$EZ1530,34,FALSE),VLOOKUP($B131,Data!$B$3:$EZ1530,4,FALSE)),"")</f>
        <v>0.224497992</v>
      </c>
      <c r="G131" s="48">
        <f>IFERROR(DIVIDE(VLOOKUP($B131,Data!$B$3:$EZ1530,39,FALSE),VLOOKUP($B131,Data!$B$3:$EZ1530,4,FALSE)),"")</f>
        <v>0.009638554217</v>
      </c>
      <c r="H131" s="48">
        <f>IFERROR(DIVIDE(VLOOKUP($B131,Data!$B$3:$EZ1530,44,FALSE),VLOOKUP($B131,Data!$B$3:$EZ1530,4,FALSE)),"")</f>
        <v>0.09156626506</v>
      </c>
      <c r="I131" s="48">
        <f>IFERROR(MINUS(DIVIDE(VLOOKUP($B131,Data!$B$3:$EZ1530,9,FALSE),VLOOKUP($B131,Data!$B$3:$EZ1530,10,FALSE)),1),"")</f>
        <v>-0.003896103896</v>
      </c>
      <c r="J131" s="48">
        <f>IFERROR(MINUS(DIVIDE(VLOOKUP($B131,Data!$B$3:$EZ1530,24,FALSE),VLOOKUP($B131,Data!$B$3:$EZ1530,25,FALSE)),1),"")</f>
        <v>-5.5</v>
      </c>
      <c r="K131" s="48">
        <f>IFERROR(MINUS(DIVIDE(VLOOKUP($B131,Data!$B$3:$EZ1530,29,FALSE),VLOOKUP($B131,Data!$B$3:$EZ1530,30,FALSE)),1),"")</f>
        <v>5.363636364</v>
      </c>
      <c r="L131" s="48">
        <f>IFERROR(MINUS(DIVIDE(VLOOKUP($B131,Data!$B$3:$EZ1530,34,FALSE),VLOOKUP($B131,Data!$B$3:$EZ1530,35,FALSE)),1),"")</f>
        <v>0.3502415459</v>
      </c>
      <c r="M131" s="48">
        <f>IFERROR(MINUS(DIVIDE(VLOOKUP($B131,Data!$B$3:$EZ1530,39,FALSE),VLOOKUP($B131,Data!$B$3:$EZ1530,40,FALSE)),1),"")</f>
        <v>0.2631578947</v>
      </c>
      <c r="N131" s="48">
        <f>IFERROR(MINUS(DIVIDE(VLOOKUP($B131,Data!$B$3:$EZ1530,44,FALSE),VLOOKUP($B131,Data!$B$3:$EZ1530,45,FALSE)),1),"")</f>
        <v>-0.0460251046</v>
      </c>
      <c r="O131" s="50">
        <f>IFERROR(VLOOKUP($B131,Data!$B$3:$D1530,2,FALSE),"")</f>
        <v>2390000</v>
      </c>
      <c r="P131" s="50">
        <f>IFERROR(VLOOKUP($B131,Data!$B$3:$D1530,3,FALSE),"")</f>
        <v>2280000</v>
      </c>
      <c r="Q131" s="48">
        <f t="shared" si="2"/>
        <v>0.04824561404</v>
      </c>
      <c r="R131" s="48"/>
      <c r="S131" s="48"/>
      <c r="T131" s="48"/>
      <c r="U131" s="48"/>
      <c r="V131" s="48"/>
      <c r="W131" s="50"/>
      <c r="Z131" s="11"/>
      <c r="AA131" s="11"/>
    </row>
    <row r="132">
      <c r="A132" s="9">
        <f t="shared" si="1"/>
        <v>129</v>
      </c>
      <c r="B132" s="47" t="s">
        <v>265</v>
      </c>
      <c r="C132" s="48">
        <f>IFERROR(DIVIDE(VLOOKUP($B132,Data!$B$3:$AB$1535,9,FALSE),VLOOKUP($B132,Data!$B$3:$AB$1535,4,FALSE)),"")</f>
        <v>0</v>
      </c>
      <c r="D132" s="48">
        <f>IFERROR(DIVIDE(VLOOKUP($B132,Data!$B$3:$AB$1535,24,FALSE),VLOOKUP($B132,Data!$B$3:$AB$1535,4,FALSE)),"")</f>
        <v>-6.435463659</v>
      </c>
      <c r="E132" s="48">
        <f>IFERROR(DIVIDE(VLOOKUP($B132,Data!$B$3:$EZ1530,29,FALSE),VLOOKUP($B132,Data!$B$3:$EZ1530,4,FALSE)),"")</f>
        <v>-6.1660401</v>
      </c>
      <c r="F132" s="48">
        <f>IFERROR(DIVIDE(VLOOKUP($B132,Data!$B$3:$EZ1530,34,FALSE),VLOOKUP($B132,Data!$B$3:$EZ1530,4,FALSE)),"")</f>
        <v>-6.273182957</v>
      </c>
      <c r="G132" s="48">
        <f>IFERROR(DIVIDE(VLOOKUP($B132,Data!$B$3:$EZ1530,39,FALSE),VLOOKUP($B132,Data!$B$3:$EZ1530,4,FALSE)),"")</f>
        <v>-6.11716792</v>
      </c>
      <c r="H132" s="48">
        <f>IFERROR(DIVIDE(VLOOKUP($B132,Data!$B$3:$EZ1530,44,FALSE),VLOOKUP($B132,Data!$B$3:$EZ1530,4,FALSE)),"")</f>
        <v>-5</v>
      </c>
      <c r="I132" s="48" t="str">
        <f>IFERROR(MINUS(DIVIDE(VLOOKUP($B132,Data!$B$3:$EZ1530,9,FALSE),VLOOKUP($B132,Data!$B$3:$EZ1530,10,FALSE)),1),"")</f>
        <v/>
      </c>
      <c r="J132" s="48" t="str">
        <f>IFERROR(MINUS(DIVIDE(VLOOKUP($B132,Data!$B$3:$EZ1530,24,FALSE),VLOOKUP($B132,Data!$B$3:$EZ1530,25,FALSE)),1),"")</f>
        <v/>
      </c>
      <c r="K132" s="48">
        <f>IFERROR(MINUS(DIVIDE(VLOOKUP($B132,Data!$B$3:$EZ1530,29,FALSE),VLOOKUP($B132,Data!$B$3:$EZ1530,30,FALSE)),1),"")</f>
        <v>0.09771332962</v>
      </c>
      <c r="L132" s="48">
        <f>IFERROR(MINUS(DIVIDE(VLOOKUP($B132,Data!$B$3:$EZ1530,34,FALSE),VLOOKUP($B132,Data!$B$3:$EZ1530,35,FALSE)),1),"")</f>
        <v>0.08719730698</v>
      </c>
      <c r="M132" s="48">
        <f>IFERROR(MINUS(DIVIDE(VLOOKUP($B132,Data!$B$3:$EZ1530,39,FALSE),VLOOKUP($B132,Data!$B$3:$EZ1530,40,FALSE)),1),"")</f>
        <v>0.07581267218</v>
      </c>
      <c r="N132" s="48">
        <f>IFERROR(MINUS(DIVIDE(VLOOKUP($B132,Data!$B$3:$EZ1530,44,FALSE),VLOOKUP($B132,Data!$B$3:$EZ1530,45,FALSE)),1),"")</f>
        <v>0.2284482759</v>
      </c>
      <c r="O132" s="50">
        <f>IFERROR(VLOOKUP($B132,Data!$B$3:$D1530,2,FALSE),"")</f>
        <v>14000</v>
      </c>
      <c r="P132" s="50">
        <f>IFERROR(VLOOKUP($B132,Data!$B$3:$D1530,3,FALSE),"")</f>
        <v>52450</v>
      </c>
      <c r="Q132" s="48">
        <f t="shared" si="2"/>
        <v>-0.733079123</v>
      </c>
      <c r="R132" s="48"/>
      <c r="S132" s="48"/>
      <c r="T132" s="48"/>
      <c r="U132" s="48"/>
      <c r="V132" s="48"/>
      <c r="W132" s="50"/>
      <c r="Z132" s="11"/>
      <c r="AA132" s="11"/>
    </row>
    <row r="133">
      <c r="A133" s="9">
        <f t="shared" si="1"/>
        <v>130</v>
      </c>
      <c r="B133" s="47" t="s">
        <v>266</v>
      </c>
      <c r="C133" s="48">
        <f>IFERROR(DIVIDE(VLOOKUP($B133,Data!$B$3:$AB$1535,9,FALSE),VLOOKUP($B133,Data!$B$3:$AB$1535,4,FALSE)),"")</f>
        <v>0.4340101523</v>
      </c>
      <c r="D133" s="48">
        <f>IFERROR(DIVIDE(VLOOKUP($B133,Data!$B$3:$AB$1535,24,FALSE),VLOOKUP($B133,Data!$B$3:$AB$1535,4,FALSE)),"")</f>
        <v>0</v>
      </c>
      <c r="E133" s="48">
        <f>IFERROR(DIVIDE(VLOOKUP($B133,Data!$B$3:$EZ1530,29,FALSE),VLOOKUP($B133,Data!$B$3:$EZ1530,4,FALSE)),"")</f>
        <v>0.2343485618</v>
      </c>
      <c r="F133" s="48">
        <f>IFERROR(DIVIDE(VLOOKUP($B133,Data!$B$3:$EZ1530,34,FALSE),VLOOKUP($B133,Data!$B$3:$EZ1530,4,FALSE)),"")</f>
        <v>0.2732656514</v>
      </c>
      <c r="G133" s="48">
        <f>IFERROR(DIVIDE(VLOOKUP($B133,Data!$B$3:$EZ1530,39,FALSE),VLOOKUP($B133,Data!$B$3:$EZ1530,4,FALSE)),"")</f>
        <v>0.2191201354</v>
      </c>
      <c r="H133" s="48">
        <f>IFERROR(DIVIDE(VLOOKUP($B133,Data!$B$3:$EZ1530,44,FALSE),VLOOKUP($B133,Data!$B$3:$EZ1530,4,FALSE)),"")</f>
        <v>0.2774957699</v>
      </c>
      <c r="I133" s="48">
        <f>IFERROR(MINUS(DIVIDE(VLOOKUP($B133,Data!$B$3:$EZ1530,9,FALSE),VLOOKUP($B133,Data!$B$3:$EZ1530,10,FALSE)),1),"")</f>
        <v>0.04693877551</v>
      </c>
      <c r="J133" s="48" t="str">
        <f>IFERROR(MINUS(DIVIDE(VLOOKUP($B133,Data!$B$3:$EZ1530,24,FALSE),VLOOKUP($B133,Data!$B$3:$EZ1530,25,FALSE)),1),"")</f>
        <v/>
      </c>
      <c r="K133" s="48">
        <f>IFERROR(MINUS(DIVIDE(VLOOKUP($B133,Data!$B$3:$EZ1530,29,FALSE),VLOOKUP($B133,Data!$B$3:$EZ1530,30,FALSE)),1),"")</f>
        <v>-0.05782312925</v>
      </c>
      <c r="L133" s="48">
        <f>IFERROR(MINUS(DIVIDE(VLOOKUP($B133,Data!$B$3:$EZ1530,34,FALSE),VLOOKUP($B133,Data!$B$3:$EZ1530,35,FALSE)),1),"")</f>
        <v>-0.04437869822</v>
      </c>
      <c r="M133" s="48">
        <f>IFERROR(MINUS(DIVIDE(VLOOKUP($B133,Data!$B$3:$EZ1530,39,FALSE),VLOOKUP($B133,Data!$B$3:$EZ1530,40,FALSE)),1),"")</f>
        <v>0</v>
      </c>
      <c r="N133" s="48">
        <f>IFERROR(MINUS(DIVIDE(VLOOKUP($B133,Data!$B$3:$EZ1530,44,FALSE),VLOOKUP($B133,Data!$B$3:$EZ1530,45,FALSE)),1),"")</f>
        <v>0.06840390879</v>
      </c>
      <c r="O133" s="50">
        <f>IFERROR(VLOOKUP($B133,Data!$B$3:$D1530,2,FALSE),"")</f>
        <v>17030000</v>
      </c>
      <c r="P133" s="50">
        <f>IFERROR(VLOOKUP($B133,Data!$B$3:$D1530,3,FALSE),"")</f>
        <v>14330000</v>
      </c>
      <c r="Q133" s="48">
        <f t="shared" si="2"/>
        <v>0.1884159107</v>
      </c>
      <c r="R133" s="48"/>
      <c r="S133" s="48"/>
      <c r="T133" s="48"/>
      <c r="U133" s="48"/>
      <c r="V133" s="48"/>
      <c r="W133" s="50"/>
      <c r="Z133" s="15"/>
      <c r="AA133" s="15"/>
    </row>
    <row r="134">
      <c r="A134" s="9">
        <f t="shared" si="1"/>
        <v>131</v>
      </c>
      <c r="B134" s="47" t="s">
        <v>267</v>
      </c>
      <c r="C134" s="48">
        <f>IFERROR(DIVIDE(VLOOKUP($B134,Data!$B$3:$AB$1535,9,FALSE),VLOOKUP($B134,Data!$B$3:$AB$1535,4,FALSE)),"")</f>
        <v>0</v>
      </c>
      <c r="D134" s="48">
        <f>IFERROR(DIVIDE(VLOOKUP($B134,Data!$B$3:$AB$1535,24,FALSE),VLOOKUP($B134,Data!$B$3:$AB$1535,4,FALSE)),"")</f>
        <v>0</v>
      </c>
      <c r="E134" s="48">
        <f>IFERROR(DIVIDE(VLOOKUP($B134,Data!$B$3:$EZ1530,29,FALSE),VLOOKUP($B134,Data!$B$3:$EZ1530,4,FALSE)),"")</f>
        <v>-15.71142285</v>
      </c>
      <c r="F134" s="48">
        <f>IFERROR(DIVIDE(VLOOKUP($B134,Data!$B$3:$EZ1530,34,FALSE),VLOOKUP($B134,Data!$B$3:$EZ1530,4,FALSE)),"")</f>
        <v>-16.4509018</v>
      </c>
      <c r="G134" s="48">
        <f>IFERROR(DIVIDE(VLOOKUP($B134,Data!$B$3:$EZ1530,39,FALSE),VLOOKUP($B134,Data!$B$3:$EZ1530,4,FALSE)),"")</f>
        <v>-16.2999332</v>
      </c>
      <c r="H134" s="48">
        <f>IFERROR(DIVIDE(VLOOKUP($B134,Data!$B$3:$EZ1530,44,FALSE),VLOOKUP($B134,Data!$B$3:$EZ1530,4,FALSE)),"")</f>
        <v>-13.15430862</v>
      </c>
      <c r="I134" s="48" t="str">
        <f>IFERROR(MINUS(DIVIDE(VLOOKUP($B134,Data!$B$3:$EZ1530,9,FALSE),VLOOKUP($B134,Data!$B$3:$EZ1530,10,FALSE)),1),"")</f>
        <v/>
      </c>
      <c r="J134" s="48" t="str">
        <f>IFERROR(MINUS(DIVIDE(VLOOKUP($B134,Data!$B$3:$EZ1530,24,FALSE),VLOOKUP($B134,Data!$B$3:$EZ1530,25,FALSE)),1),"")</f>
        <v/>
      </c>
      <c r="K134" s="48">
        <f>IFERROR(MINUS(DIVIDE(VLOOKUP($B134,Data!$B$3:$EZ1530,29,FALSE),VLOOKUP($B134,Data!$B$3:$EZ1530,30,FALSE)),1),"")</f>
        <v>0.5315491307</v>
      </c>
      <c r="L134" s="48">
        <f>IFERROR(MINUS(DIVIDE(VLOOKUP($B134,Data!$B$3:$EZ1530,34,FALSE),VLOOKUP($B134,Data!$B$3:$EZ1530,35,FALSE)),1),"")</f>
        <v>0.3565605376</v>
      </c>
      <c r="M134" s="48">
        <f>IFERROR(MINUS(DIVIDE(VLOOKUP($B134,Data!$B$3:$EZ1530,39,FALSE),VLOOKUP($B134,Data!$B$3:$EZ1530,40,FALSE)),1),"")</f>
        <v>0.5898488402</v>
      </c>
      <c r="N134" s="48">
        <f>IFERROR(MINUS(DIVIDE(VLOOKUP($B134,Data!$B$3:$EZ1530,44,FALSE),VLOOKUP($B134,Data!$B$3:$EZ1530,45,FALSE)),1),"")</f>
        <v>0.2025648855</v>
      </c>
      <c r="O134" s="50">
        <f>IFERROR(VLOOKUP($B134,Data!$B$3:$D1530,2,FALSE),"")</f>
        <v>94450</v>
      </c>
      <c r="P134" s="50">
        <f>IFERROR(VLOOKUP($B134,Data!$B$3:$D1530,3,FALSE),"")</f>
        <v>11410</v>
      </c>
      <c r="Q134" s="48">
        <f t="shared" si="2"/>
        <v>7.277826468</v>
      </c>
      <c r="R134" s="48"/>
      <c r="S134" s="48"/>
      <c r="T134" s="48"/>
      <c r="U134" s="48"/>
      <c r="V134" s="48"/>
      <c r="W134" s="50"/>
      <c r="Z134" s="11"/>
      <c r="AA134" s="11"/>
    </row>
    <row r="135">
      <c r="A135" s="9">
        <f t="shared" si="1"/>
        <v>132</v>
      </c>
      <c r="B135" s="47" t="s">
        <v>268</v>
      </c>
      <c r="C135" s="48">
        <f>IFERROR(DIVIDE(VLOOKUP($B135,Data!$B$3:$AB$1535,9,FALSE),VLOOKUP($B135,Data!$B$3:$AB$1535,4,FALSE)),"")</f>
        <v>0.1885492897</v>
      </c>
      <c r="D135" s="48">
        <f>IFERROR(DIVIDE(VLOOKUP($B135,Data!$B$3:$AB$1535,24,FALSE),VLOOKUP($B135,Data!$B$3:$AB$1535,4,FALSE)),"")</f>
        <v>0</v>
      </c>
      <c r="E135" s="48">
        <f>IFERROR(DIVIDE(VLOOKUP($B135,Data!$B$3:$EZ1530,29,FALSE),VLOOKUP($B135,Data!$B$3:$EZ1530,4,FALSE)),"")</f>
        <v>-0.1045343665</v>
      </c>
      <c r="F135" s="48">
        <f>IFERROR(DIVIDE(VLOOKUP($B135,Data!$B$3:$EZ1530,34,FALSE),VLOOKUP($B135,Data!$B$3:$EZ1530,4,FALSE)),"")</f>
        <v>-0.02152389152</v>
      </c>
      <c r="G135" s="48">
        <f>IFERROR(DIVIDE(VLOOKUP($B135,Data!$B$3:$EZ1530,39,FALSE),VLOOKUP($B135,Data!$B$3:$EZ1530,4,FALSE)),"")</f>
        <v>-0.1045343665</v>
      </c>
      <c r="H135" s="48">
        <f>IFERROR(DIVIDE(VLOOKUP($B135,Data!$B$3:$EZ1530,44,FALSE),VLOOKUP($B135,Data!$B$3:$EZ1530,4,FALSE)),"")</f>
        <v>-0.0002582866982</v>
      </c>
      <c r="I135" s="48">
        <f>IFERROR(MINUS(DIVIDE(VLOOKUP($B135,Data!$B$3:$EZ1530,9,FALSE),VLOOKUP($B135,Data!$B$3:$EZ1530,10,FALSE)),1),"")</f>
        <v>1.074191002</v>
      </c>
      <c r="J135" s="48">
        <f>IFERROR(MINUS(DIVIDE(VLOOKUP($B135,Data!$B$3:$EZ1530,24,FALSE),VLOOKUP($B135,Data!$B$3:$EZ1530,25,FALSE)),1),"")</f>
        <v>-1</v>
      </c>
      <c r="K135" s="48">
        <f>IFERROR(MINUS(DIVIDE(VLOOKUP($B135,Data!$B$3:$EZ1530,29,FALSE),VLOOKUP($B135,Data!$B$3:$EZ1530,30,FALSE)),1),"")</f>
        <v>-0.5769454123</v>
      </c>
      <c r="L135" s="48">
        <f>IFERROR(MINUS(DIVIDE(VLOOKUP($B135,Data!$B$3:$EZ1530,34,FALSE),VLOOKUP($B135,Data!$B$3:$EZ1530,35,FALSE)),1),"")</f>
        <v>-0.8097653773</v>
      </c>
      <c r="M135" s="48">
        <f>IFERROR(MINUS(DIVIDE(VLOOKUP($B135,Data!$B$3:$EZ1530,39,FALSE),VLOOKUP($B135,Data!$B$3:$EZ1530,40,FALSE)),1),"")</f>
        <v>-0.5769454123</v>
      </c>
      <c r="N135" s="48">
        <f>IFERROR(MINUS(DIVIDE(VLOOKUP($B135,Data!$B$3:$EZ1530,44,FALSE),VLOOKUP($B135,Data!$B$3:$EZ1530,45,FALSE)),1),"")</f>
        <v>-0.9958381503</v>
      </c>
      <c r="O135" s="50">
        <f>IFERROR(VLOOKUP($B135,Data!$B$3:$D1530,2,FALSE),"")</f>
        <v>142570</v>
      </c>
      <c r="P135" s="50">
        <f>IFERROR(VLOOKUP($B135,Data!$B$3:$D1530,3,FALSE),"")</f>
        <v>116700</v>
      </c>
      <c r="Q135" s="48">
        <f t="shared" si="2"/>
        <v>0.2216795201</v>
      </c>
      <c r="R135" s="48"/>
      <c r="S135" s="48"/>
      <c r="T135" s="48"/>
      <c r="U135" s="48"/>
      <c r="V135" s="48"/>
      <c r="W135" s="50"/>
      <c r="Z135" s="15"/>
      <c r="AA135" s="15"/>
    </row>
    <row r="136">
      <c r="A136" s="9">
        <f t="shared" si="1"/>
        <v>133</v>
      </c>
      <c r="B136" s="47" t="s">
        <v>269</v>
      </c>
      <c r="C136" s="48">
        <f>IFERROR(DIVIDE(VLOOKUP($B136,Data!$B$3:$AB$1535,9,FALSE),VLOOKUP($B136,Data!$B$3:$AB$1535,4,FALSE)),"")</f>
        <v>0.5071343639</v>
      </c>
      <c r="D136" s="48">
        <f>IFERROR(DIVIDE(VLOOKUP($B136,Data!$B$3:$AB$1535,24,FALSE),VLOOKUP($B136,Data!$B$3:$AB$1535,4,FALSE)),"")</f>
        <v>0.5041617122</v>
      </c>
      <c r="E136" s="48">
        <f>IFERROR(DIVIDE(VLOOKUP($B136,Data!$B$3:$EZ1530,29,FALSE),VLOOKUP($B136,Data!$B$3:$EZ1530,4,FALSE)),"")</f>
        <v>0.4554102259</v>
      </c>
      <c r="F136" s="48">
        <f>IFERROR(DIVIDE(VLOOKUP($B136,Data!$B$3:$EZ1530,34,FALSE),VLOOKUP($B136,Data!$B$3:$EZ1530,4,FALSE)),"")</f>
        <v>0.6010701546</v>
      </c>
      <c r="G136" s="48">
        <f>IFERROR(DIVIDE(VLOOKUP($B136,Data!$B$3:$EZ1530,39,FALSE),VLOOKUP($B136,Data!$B$3:$EZ1530,4,FALSE)),"")</f>
        <v>0.3252080856</v>
      </c>
      <c r="H136" s="48">
        <f>IFERROR(DIVIDE(VLOOKUP($B136,Data!$B$3:$EZ1530,44,FALSE),VLOOKUP($B136,Data!$B$3:$EZ1530,4,FALSE)),"")</f>
        <v>0.4625445898</v>
      </c>
      <c r="I136" s="48">
        <f>IFERROR(MINUS(DIVIDE(VLOOKUP($B136,Data!$B$3:$EZ1530,9,FALSE),VLOOKUP($B136,Data!$B$3:$EZ1530,10,FALSE)),1),"")</f>
        <v>0.08662420382</v>
      </c>
      <c r="J136" s="48">
        <f>IFERROR(MINUS(DIVIDE(VLOOKUP($B136,Data!$B$3:$EZ1530,24,FALSE),VLOOKUP($B136,Data!$B$3:$EZ1530,25,FALSE)),1),"")</f>
        <v>0.08997429306</v>
      </c>
      <c r="K136" s="48">
        <f>IFERROR(MINUS(DIVIDE(VLOOKUP($B136,Data!$B$3:$EZ1530,29,FALSE),VLOOKUP($B136,Data!$B$3:$EZ1530,30,FALSE)),1),"")</f>
        <v>0.1069364162</v>
      </c>
      <c r="L136" s="48">
        <f>IFERROR(MINUS(DIVIDE(VLOOKUP($B136,Data!$B$3:$EZ1530,34,FALSE),VLOOKUP($B136,Data!$B$3:$EZ1530,35,FALSE)),1),"")</f>
        <v>0.07438894793</v>
      </c>
      <c r="M136" s="48">
        <f>IFERROR(MINUS(DIVIDE(VLOOKUP($B136,Data!$B$3:$EZ1530,39,FALSE),VLOOKUP($B136,Data!$B$3:$EZ1530,40,FALSE)),1),"")</f>
        <v>0.09619238477</v>
      </c>
      <c r="N136" s="48">
        <f>IFERROR(MINUS(DIVIDE(VLOOKUP($B136,Data!$B$3:$EZ1530,44,FALSE),VLOOKUP($B136,Data!$B$3:$EZ1530,45,FALSE)),1),"")</f>
        <v>0.1407624633</v>
      </c>
      <c r="O136" s="50">
        <f>IFERROR(VLOOKUP($B136,Data!$B$3:$D1530,2,FALSE),"")</f>
        <v>591040</v>
      </c>
      <c r="P136" s="50">
        <f>IFERROR(VLOOKUP($B136,Data!$B$3:$D1530,3,FALSE),"")</f>
        <v>546310</v>
      </c>
      <c r="Q136" s="48">
        <f t="shared" si="2"/>
        <v>0.08187659021</v>
      </c>
      <c r="R136" s="48"/>
      <c r="S136" s="48"/>
      <c r="T136" s="48"/>
      <c r="U136" s="48"/>
      <c r="V136" s="48"/>
      <c r="W136" s="50"/>
      <c r="Z136" s="11"/>
      <c r="AA136" s="11"/>
    </row>
    <row r="137">
      <c r="A137" s="9">
        <f t="shared" si="1"/>
        <v>134</v>
      </c>
      <c r="B137" s="47" t="s">
        <v>270</v>
      </c>
      <c r="C137" s="48">
        <f>IFERROR(DIVIDE(VLOOKUP($B137,Data!$B$3:$AB$1535,9,FALSE),VLOOKUP($B137,Data!$B$3:$AB$1535,4,FALSE)),"")</f>
        <v>0.2052136752</v>
      </c>
      <c r="D137" s="48">
        <f>IFERROR(DIVIDE(VLOOKUP($B137,Data!$B$3:$AB$1535,24,FALSE),VLOOKUP($B137,Data!$B$3:$AB$1535,4,FALSE)),"")</f>
        <v>0.02194017094</v>
      </c>
      <c r="E137" s="48">
        <f>IFERROR(DIVIDE(VLOOKUP($B137,Data!$B$3:$EZ1530,29,FALSE),VLOOKUP($B137,Data!$B$3:$EZ1530,4,FALSE)),"")</f>
        <v>0.02152991453</v>
      </c>
      <c r="F137" s="48">
        <f>IFERROR(DIVIDE(VLOOKUP($B137,Data!$B$3:$EZ1530,34,FALSE),VLOOKUP($B137,Data!$B$3:$EZ1530,4,FALSE)),"")</f>
        <v>0.04683760684</v>
      </c>
      <c r="G137" s="48">
        <f>IFERROR(DIVIDE(VLOOKUP($B137,Data!$B$3:$EZ1530,39,FALSE),VLOOKUP($B137,Data!$B$3:$EZ1530,4,FALSE)),"")</f>
        <v>0.01906837607</v>
      </c>
      <c r="H137" s="48">
        <f>IFERROR(DIVIDE(VLOOKUP($B137,Data!$B$3:$EZ1530,44,FALSE),VLOOKUP($B137,Data!$B$3:$EZ1530,4,FALSE)),"")</f>
        <v>0.09683760684</v>
      </c>
      <c r="I137" s="48">
        <f>IFERROR(MINUS(DIVIDE(VLOOKUP($B137,Data!$B$3:$EZ1530,9,FALSE),VLOOKUP($B137,Data!$B$3:$EZ1530,10,FALSE)),1),"")</f>
        <v>0.790721957</v>
      </c>
      <c r="J137" s="48">
        <f>IFERROR(MINUS(DIVIDE(VLOOKUP($B137,Data!$B$3:$EZ1530,24,FALSE),VLOOKUP($B137,Data!$B$3:$EZ1530,25,FALSE)),1),"")</f>
        <v>-1.295193192</v>
      </c>
      <c r="K137" s="48">
        <f>IFERROR(MINUS(DIVIDE(VLOOKUP($B137,Data!$B$3:$EZ1530,29,FALSE),VLOOKUP($B137,Data!$B$3:$EZ1530,30,FALSE)),1),"")</f>
        <v>-1.29297511</v>
      </c>
      <c r="L137" s="48">
        <f>IFERROR(MINUS(DIVIDE(VLOOKUP($B137,Data!$B$3:$EZ1530,34,FALSE),VLOOKUP($B137,Data!$B$3:$EZ1530,35,FALSE)),1),"")</f>
        <v>-2.153441381</v>
      </c>
      <c r="M137" s="48">
        <f>IFERROR(MINUS(DIVIDE(VLOOKUP($B137,Data!$B$3:$EZ1530,39,FALSE),VLOOKUP($B137,Data!$B$3:$EZ1530,40,FALSE)),1),"")</f>
        <v>-1.369065343</v>
      </c>
      <c r="N137" s="48">
        <f>IFERROR(MINUS(DIVIDE(VLOOKUP($B137,Data!$B$3:$EZ1530,44,FALSE),VLOOKUP($B137,Data!$B$3:$EZ1530,45,FALSE)),1),"")</f>
        <v>-4.803289695</v>
      </c>
      <c r="O137" s="50">
        <f>IFERROR(VLOOKUP($B137,Data!$B$3:$D1530,2,FALSE),"")</f>
        <v>1050000</v>
      </c>
      <c r="P137" s="50">
        <f>IFERROR(VLOOKUP($B137,Data!$B$3:$D1530,3,FALSE),"")</f>
        <v>992150</v>
      </c>
      <c r="Q137" s="48">
        <f t="shared" si="2"/>
        <v>0.05830771557</v>
      </c>
      <c r="R137" s="48"/>
      <c r="S137" s="48"/>
      <c r="T137" s="48"/>
      <c r="U137" s="48"/>
      <c r="V137" s="48"/>
      <c r="W137" s="50"/>
      <c r="Z137" s="11"/>
      <c r="AA137" s="11"/>
    </row>
    <row r="138">
      <c r="A138" s="9">
        <f t="shared" si="1"/>
        <v>135</v>
      </c>
      <c r="B138" s="47" t="s">
        <v>271</v>
      </c>
      <c r="C138" s="48">
        <f>IFERROR(DIVIDE(VLOOKUP($B138,Data!$B$3:$AB$1535,9,FALSE),VLOOKUP($B138,Data!$B$3:$AB$1535,4,FALSE)),"")</f>
        <v>0.1458928312</v>
      </c>
      <c r="D138" s="48">
        <f>IFERROR(DIVIDE(VLOOKUP($B138,Data!$B$3:$AB$1535,24,FALSE),VLOOKUP($B138,Data!$B$3:$AB$1535,4,FALSE)),"")</f>
        <v>0.05769882376</v>
      </c>
      <c r="E138" s="48">
        <f>IFERROR(DIVIDE(VLOOKUP($B138,Data!$B$3:$EZ1530,29,FALSE),VLOOKUP($B138,Data!$B$3:$EZ1530,4,FALSE)),"")</f>
        <v>0.05590783678</v>
      </c>
      <c r="F138" s="48">
        <f>IFERROR(DIVIDE(VLOOKUP($B138,Data!$B$3:$EZ1530,34,FALSE),VLOOKUP($B138,Data!$B$3:$EZ1530,4,FALSE)),"")</f>
        <v>0.1790744954</v>
      </c>
      <c r="G138" s="48">
        <f>IFERROR(DIVIDE(VLOOKUP($B138,Data!$B$3:$EZ1530,39,FALSE),VLOOKUP($B138,Data!$B$3:$EZ1530,4,FALSE)),"")</f>
        <v>0.04078125756</v>
      </c>
      <c r="H138" s="48">
        <f>IFERROR(DIVIDE(VLOOKUP($B138,Data!$B$3:$EZ1530,44,FALSE),VLOOKUP($B138,Data!$B$3:$EZ1530,4,FALSE)),"")</f>
        <v>0.160220727</v>
      </c>
      <c r="I138" s="48">
        <f>IFERROR(MINUS(DIVIDE(VLOOKUP($B138,Data!$B$3:$EZ1530,9,FALSE),VLOOKUP($B138,Data!$B$3:$EZ1530,10,FALSE)),1),"")</f>
        <v>0.03645116919</v>
      </c>
      <c r="J138" s="48">
        <f>IFERROR(MINUS(DIVIDE(VLOOKUP($B138,Data!$B$3:$EZ1530,24,FALSE),VLOOKUP($B138,Data!$B$3:$EZ1530,25,FALSE)),1),"")</f>
        <v>-0.2979976443</v>
      </c>
      <c r="K138" s="48">
        <f>IFERROR(MINUS(DIVIDE(VLOOKUP($B138,Data!$B$3:$EZ1530,29,FALSE),VLOOKUP($B138,Data!$B$3:$EZ1530,30,FALSE)),1),"")</f>
        <v>-0.2907583666</v>
      </c>
      <c r="L138" s="48">
        <f>IFERROR(MINUS(DIVIDE(VLOOKUP($B138,Data!$B$3:$EZ1530,34,FALSE),VLOOKUP($B138,Data!$B$3:$EZ1530,35,FALSE)),1),"")</f>
        <v>0.06706085953</v>
      </c>
      <c r="M138" s="48">
        <f>IFERROR(MINUS(DIVIDE(VLOOKUP($B138,Data!$B$3:$EZ1530,39,FALSE),VLOOKUP($B138,Data!$B$3:$EZ1530,40,FALSE)),1),"")</f>
        <v>-0.3329374505</v>
      </c>
      <c r="N138" s="48">
        <f>IFERROR(MINUS(DIVIDE(VLOOKUP($B138,Data!$B$3:$EZ1530,44,FALSE),VLOOKUP($B138,Data!$B$3:$EZ1530,45,FALSE)),1),"")</f>
        <v>0.3049477627</v>
      </c>
      <c r="O138" s="50">
        <f>IFERROR(VLOOKUP($B138,Data!$B$3:$D1530,2,FALSE),"")</f>
        <v>15610000</v>
      </c>
      <c r="P138" s="50">
        <f>IFERROR(VLOOKUP($B138,Data!$B$3:$D1530,3,FALSE),"")</f>
        <v>14200000</v>
      </c>
      <c r="Q138" s="48">
        <f t="shared" si="2"/>
        <v>0.09929577465</v>
      </c>
      <c r="R138" s="48"/>
      <c r="S138" s="48"/>
      <c r="T138" s="48"/>
      <c r="U138" s="48"/>
      <c r="V138" s="48"/>
      <c r="W138" s="50"/>
      <c r="Z138" s="11"/>
      <c r="AA138" s="11"/>
    </row>
    <row r="139">
      <c r="A139" s="9">
        <f t="shared" si="1"/>
        <v>136</v>
      </c>
      <c r="B139" s="47" t="s">
        <v>272</v>
      </c>
      <c r="C139" s="48">
        <f>IFERROR(DIVIDE(VLOOKUP($B139,Data!$B$3:$AB$1535,9,FALSE),VLOOKUP($B139,Data!$B$3:$AB$1535,4,FALSE)),"")</f>
        <v>0.3922859831</v>
      </c>
      <c r="D139" s="48">
        <f>IFERROR(DIVIDE(VLOOKUP($B139,Data!$B$3:$AB$1535,24,FALSE),VLOOKUP($B139,Data!$B$3:$AB$1535,4,FALSE)),"")</f>
        <v>0.05726716839</v>
      </c>
      <c r="E139" s="48">
        <f>IFERROR(DIVIDE(VLOOKUP($B139,Data!$B$3:$EZ1530,29,FALSE),VLOOKUP($B139,Data!$B$3:$EZ1530,4,FALSE)),"")</f>
        <v>0.06785042333</v>
      </c>
      <c r="F139" s="48">
        <f>IFERROR(DIVIDE(VLOOKUP($B139,Data!$B$3:$EZ1530,34,FALSE),VLOOKUP($B139,Data!$B$3:$EZ1530,4,FALSE)),"")</f>
        <v>0.08360771402</v>
      </c>
      <c r="G139" s="48">
        <f>IFERROR(DIVIDE(VLOOKUP($B139,Data!$B$3:$EZ1530,39,FALSE),VLOOKUP($B139,Data!$B$3:$EZ1530,4,FALSE)),"")</f>
        <v>0.03692380056</v>
      </c>
      <c r="H139" s="48">
        <f>IFERROR(DIVIDE(VLOOKUP($B139,Data!$B$3:$EZ1530,44,FALSE),VLOOKUP($B139,Data!$B$3:$EZ1530,4,FALSE)),"")</f>
        <v>0</v>
      </c>
      <c r="I139" s="48">
        <f>IFERROR(MINUS(DIVIDE(VLOOKUP($B139,Data!$B$3:$EZ1530,9,FALSE),VLOOKUP($B139,Data!$B$3:$EZ1530,10,FALSE)),1),"")</f>
        <v>-0.09642470206</v>
      </c>
      <c r="J139" s="48">
        <f>IFERROR(MINUS(DIVIDE(VLOOKUP($B139,Data!$B$3:$EZ1530,24,FALSE),VLOOKUP($B139,Data!$B$3:$EZ1530,25,FALSE)),1),"")</f>
        <v>-3.164444444</v>
      </c>
      <c r="K139" s="48">
        <f>IFERROR(MINUS(DIVIDE(VLOOKUP($B139,Data!$B$3:$EZ1530,29,FALSE),VLOOKUP($B139,Data!$B$3:$EZ1530,30,FALSE)),1),"")</f>
        <v>-0.4189325277</v>
      </c>
      <c r="L139" s="48">
        <f>IFERROR(MINUS(DIVIDE(VLOOKUP($B139,Data!$B$3:$EZ1530,34,FALSE),VLOOKUP($B139,Data!$B$3:$EZ1530,35,FALSE)),1),"")</f>
        <v>-0.2403846154</v>
      </c>
      <c r="M139" s="48">
        <f>IFERROR(MINUS(DIVIDE(VLOOKUP($B139,Data!$B$3:$EZ1530,39,FALSE),VLOOKUP($B139,Data!$B$3:$EZ1530,40,FALSE)),1),"")</f>
        <v>-0.5263951735</v>
      </c>
      <c r="N139" s="48">
        <f>IFERROR(MINUS(DIVIDE(VLOOKUP($B139,Data!$B$3:$EZ1530,44,FALSE),VLOOKUP($B139,Data!$B$3:$EZ1530,45,FALSE)),1),"")</f>
        <v>-1</v>
      </c>
      <c r="O139" s="50">
        <f>IFERROR(VLOOKUP($B139,Data!$B$3:$D1530,2,FALSE),"")</f>
        <v>101110</v>
      </c>
      <c r="P139" s="50">
        <f>IFERROR(VLOOKUP($B139,Data!$B$3:$D1530,3,FALSE),"")</f>
        <v>69810</v>
      </c>
      <c r="Q139" s="48">
        <f t="shared" si="2"/>
        <v>0.4483598338</v>
      </c>
      <c r="R139" s="48"/>
      <c r="S139" s="48"/>
      <c r="T139" s="48"/>
      <c r="U139" s="48"/>
      <c r="V139" s="48"/>
      <c r="W139" s="50"/>
      <c r="Z139" s="11"/>
      <c r="AA139" s="11"/>
    </row>
    <row r="140">
      <c r="A140" s="9">
        <f t="shared" si="1"/>
        <v>137</v>
      </c>
      <c r="B140" s="47" t="s">
        <v>273</v>
      </c>
      <c r="C140" s="48">
        <f>IFERROR(DIVIDE(VLOOKUP($B140,Data!$B$3:$AB$1535,9,FALSE),VLOOKUP($B140,Data!$B$3:$AB$1535,4,FALSE)),"")</f>
        <v>0</v>
      </c>
      <c r="D140" s="48">
        <f>IFERROR(DIVIDE(VLOOKUP($B140,Data!$B$3:$AB$1535,24,FALSE),VLOOKUP($B140,Data!$B$3:$AB$1535,4,FALSE)),"")</f>
        <v>0</v>
      </c>
      <c r="E140" s="48">
        <f>IFERROR(DIVIDE(VLOOKUP($B140,Data!$B$3:$EZ1530,29,FALSE),VLOOKUP($B140,Data!$B$3:$EZ1530,4,FALSE)),"")</f>
        <v>-7.918294849</v>
      </c>
      <c r="F140" s="48">
        <f>IFERROR(DIVIDE(VLOOKUP($B140,Data!$B$3:$EZ1530,34,FALSE),VLOOKUP($B140,Data!$B$3:$EZ1530,4,FALSE)),"")</f>
        <v>-7.955595027</v>
      </c>
      <c r="G140" s="48">
        <f>IFERROR(DIVIDE(VLOOKUP($B140,Data!$B$3:$EZ1530,39,FALSE),VLOOKUP($B140,Data!$B$3:$EZ1530,4,FALSE)),"")</f>
        <v>-7.918294849</v>
      </c>
      <c r="H140" s="48">
        <f>IFERROR(DIVIDE(VLOOKUP($B140,Data!$B$3:$EZ1530,44,FALSE),VLOOKUP($B140,Data!$B$3:$EZ1530,4,FALSE)),"")</f>
        <v>-6.275310835</v>
      </c>
      <c r="I140" s="48" t="str">
        <f>IFERROR(MINUS(DIVIDE(VLOOKUP($B140,Data!$B$3:$EZ1530,9,FALSE),VLOOKUP($B140,Data!$B$3:$EZ1530,10,FALSE)),1),"")</f>
        <v/>
      </c>
      <c r="J140" s="48">
        <f>IFERROR(MINUS(DIVIDE(VLOOKUP($B140,Data!$B$3:$EZ1530,24,FALSE),VLOOKUP($B140,Data!$B$3:$EZ1530,25,FALSE)),1),"")</f>
        <v>-1</v>
      </c>
      <c r="K140" s="48">
        <f>IFERROR(MINUS(DIVIDE(VLOOKUP($B140,Data!$B$3:$EZ1530,29,FALSE),VLOOKUP($B140,Data!$B$3:$EZ1530,30,FALSE)),1),"")</f>
        <v>0.8360790774</v>
      </c>
      <c r="L140" s="48">
        <f>IFERROR(MINUS(DIVIDE(VLOOKUP($B140,Data!$B$3:$EZ1530,34,FALSE),VLOOKUP($B140,Data!$B$3:$EZ1530,35,FALSE)),1),"")</f>
        <v>1.12174325</v>
      </c>
      <c r="M140" s="48">
        <f>IFERROR(MINUS(DIVIDE(VLOOKUP($B140,Data!$B$3:$EZ1530,39,FALSE),VLOOKUP($B140,Data!$B$3:$EZ1530,40,FALSE)),1),"")</f>
        <v>0.8360790774</v>
      </c>
      <c r="N140" s="48">
        <f>IFERROR(MINUS(DIVIDE(VLOOKUP($B140,Data!$B$3:$EZ1530,44,FALSE),VLOOKUP($B140,Data!$B$3:$EZ1530,45,FALSE)),1),"")</f>
        <v>1.646441948</v>
      </c>
      <c r="O140" s="50" t="str">
        <f>IFERROR(VLOOKUP($B140,Data!$B$3:$D1530,2,FALSE),"")</f>
        <v/>
      </c>
      <c r="P140" s="50" t="str">
        <f>IFERROR(VLOOKUP($B140,Data!$B$3:$D1530,3,FALSE),"")</f>
        <v/>
      </c>
      <c r="Q140" s="48" t="str">
        <f t="shared" si="2"/>
        <v/>
      </c>
      <c r="R140" s="48"/>
      <c r="S140" s="48"/>
      <c r="T140" s="48"/>
      <c r="U140" s="48"/>
      <c r="V140" s="48"/>
      <c r="W140" s="50"/>
      <c r="Z140" s="15"/>
      <c r="AA140" s="15"/>
    </row>
    <row r="141">
      <c r="A141" s="9">
        <f t="shared" si="1"/>
        <v>138</v>
      </c>
      <c r="B141" s="47" t="s">
        <v>274</v>
      </c>
      <c r="C141" s="48">
        <f>IFERROR(DIVIDE(VLOOKUP($B141,Data!$B$3:$AB$1535,9,FALSE),VLOOKUP($B141,Data!$B$3:$AB$1535,4,FALSE)),"")</f>
        <v>0.1539320388</v>
      </c>
      <c r="D141" s="48">
        <f>IFERROR(DIVIDE(VLOOKUP($B141,Data!$B$3:$AB$1535,24,FALSE),VLOOKUP($B141,Data!$B$3:$AB$1535,4,FALSE)),"")</f>
        <v>0.08</v>
      </c>
      <c r="E141" s="48">
        <f>IFERROR(DIVIDE(VLOOKUP($B141,Data!$B$3:$EZ1530,29,FALSE),VLOOKUP($B141,Data!$B$3:$EZ1530,4,FALSE)),"")</f>
        <v>0.0586407767</v>
      </c>
      <c r="F141" s="48">
        <f>IFERROR(DIVIDE(VLOOKUP($B141,Data!$B$3:$EZ1530,34,FALSE),VLOOKUP($B141,Data!$B$3:$EZ1530,4,FALSE)),"")</f>
        <v>0.1280582524</v>
      </c>
      <c r="G141" s="48">
        <f>IFERROR(DIVIDE(VLOOKUP($B141,Data!$B$3:$EZ1530,39,FALSE),VLOOKUP($B141,Data!$B$3:$EZ1530,4,FALSE)),"")</f>
        <v>0.06252427184</v>
      </c>
      <c r="H141" s="48">
        <f>IFERROR(DIVIDE(VLOOKUP($B141,Data!$B$3:$EZ1530,44,FALSE),VLOOKUP($B141,Data!$B$3:$EZ1530,4,FALSE)),"")</f>
        <v>0.05584951456</v>
      </c>
      <c r="I141" s="48">
        <f>IFERROR(MINUS(DIVIDE(VLOOKUP($B141,Data!$B$3:$EZ1530,9,FALSE),VLOOKUP($B141,Data!$B$3:$EZ1530,10,FALSE)),1),"")</f>
        <v>0.02621359223</v>
      </c>
      <c r="J141" s="48">
        <f>IFERROR(MINUS(DIVIDE(VLOOKUP($B141,Data!$B$3:$EZ1530,24,FALSE),VLOOKUP($B141,Data!$B$3:$EZ1530,25,FALSE)),1),"")</f>
        <v>-0.05855469866</v>
      </c>
      <c r="K141" s="48">
        <f>IFERROR(MINUS(DIVIDE(VLOOKUP($B141,Data!$B$3:$EZ1530,29,FALSE),VLOOKUP($B141,Data!$B$3:$EZ1530,30,FALSE)),1),"")</f>
        <v>-0.02462656439</v>
      </c>
      <c r="L141" s="48">
        <f>IFERROR(MINUS(DIVIDE(VLOOKUP($B141,Data!$B$3:$EZ1530,34,FALSE),VLOOKUP($B141,Data!$B$3:$EZ1530,35,FALSE)),1),"")</f>
        <v>0.02208446339</v>
      </c>
      <c r="M141" s="48">
        <f>IFERROR(MINUS(DIVIDE(VLOOKUP($B141,Data!$B$3:$EZ1530,39,FALSE),VLOOKUP($B141,Data!$B$3:$EZ1530,40,FALSE)),1),"")</f>
        <v>0.1582733813</v>
      </c>
      <c r="N141" s="48">
        <f>IFERROR(MINUS(DIVIDE(VLOOKUP($B141,Data!$B$3:$EZ1530,44,FALSE),VLOOKUP($B141,Data!$B$3:$EZ1530,45,FALSE)),1),"")</f>
        <v>-0.4142057026</v>
      </c>
      <c r="O141" s="50">
        <f>IFERROR(VLOOKUP($B141,Data!$B$3:$D1530,2,FALSE),"")</f>
        <v>3510000</v>
      </c>
      <c r="P141" s="50">
        <f>IFERROR(VLOOKUP($B141,Data!$B$3:$D1530,3,FALSE),"")</f>
        <v>3200000</v>
      </c>
      <c r="Q141" s="48">
        <f t="shared" si="2"/>
        <v>0.096875</v>
      </c>
      <c r="R141" s="48"/>
      <c r="S141" s="48"/>
      <c r="T141" s="48"/>
      <c r="U141" s="48"/>
      <c r="V141" s="48"/>
      <c r="W141" s="50"/>
      <c r="Z141" s="15"/>
      <c r="AA141" s="15"/>
    </row>
    <row r="142">
      <c r="A142" s="9">
        <f t="shared" si="1"/>
        <v>139</v>
      </c>
      <c r="B142" s="47" t="s">
        <v>275</v>
      </c>
      <c r="C142" s="48">
        <f>IFERROR(DIVIDE(VLOOKUP($B142,Data!$B$3:$AB$1535,9,FALSE),VLOOKUP($B142,Data!$B$3:$AB$1535,4,FALSE)),"")</f>
        <v>0.3122592117</v>
      </c>
      <c r="D142" s="48">
        <f>IFERROR(DIVIDE(VLOOKUP($B142,Data!$B$3:$AB$1535,24,FALSE),VLOOKUP($B142,Data!$B$3:$AB$1535,4,FALSE)),"")</f>
        <v>-1.18077645</v>
      </c>
      <c r="E142" s="48">
        <f>IFERROR(DIVIDE(VLOOKUP($B142,Data!$B$3:$EZ1530,29,FALSE),VLOOKUP($B142,Data!$B$3:$EZ1530,4,FALSE)),"")</f>
        <v>-1.230959202</v>
      </c>
      <c r="F142" s="48">
        <f>IFERROR(DIVIDE(VLOOKUP($B142,Data!$B$3:$EZ1530,34,FALSE),VLOOKUP($B142,Data!$B$3:$EZ1530,4,FALSE)),"")</f>
        <v>-1.141163687</v>
      </c>
      <c r="G142" s="48">
        <f>IFERROR(DIVIDE(VLOOKUP($B142,Data!$B$3:$EZ1530,39,FALSE),VLOOKUP($B142,Data!$B$3:$EZ1530,4,FALSE)),"")</f>
        <v>-1.222463697</v>
      </c>
      <c r="H142" s="48">
        <f>IFERROR(DIVIDE(VLOOKUP($B142,Data!$B$3:$EZ1530,44,FALSE),VLOOKUP($B142,Data!$B$3:$EZ1530,4,FALSE)),"")</f>
        <v>-0.9627580757</v>
      </c>
      <c r="I142" s="48">
        <f>IFERROR(MINUS(DIVIDE(VLOOKUP($B142,Data!$B$3:$EZ1530,9,FALSE),VLOOKUP($B142,Data!$B$3:$EZ1530,10,FALSE)),1),"")</f>
        <v>-0.2491686461</v>
      </c>
      <c r="J142" s="48">
        <f>IFERROR(MINUS(DIVIDE(VLOOKUP($B142,Data!$B$3:$EZ1530,24,FALSE),VLOOKUP($B142,Data!$B$3:$EZ1530,25,FALSE)),1),"")</f>
        <v>-0.05748304684</v>
      </c>
      <c r="K142" s="48">
        <f>IFERROR(MINUS(DIVIDE(VLOOKUP($B142,Data!$B$3:$EZ1530,29,FALSE),VLOOKUP($B142,Data!$B$3:$EZ1530,30,FALSE)),1),"")</f>
        <v>-0.03110178058</v>
      </c>
      <c r="L142" s="48">
        <f>IFERROR(MINUS(DIVIDE(VLOOKUP($B142,Data!$B$3:$EZ1530,34,FALSE),VLOOKUP($B142,Data!$B$3:$EZ1530,35,FALSE)),1),"")</f>
        <v>0.1698227848</v>
      </c>
      <c r="M142" s="48">
        <f>IFERROR(MINUS(DIVIDE(VLOOKUP($B142,Data!$B$3:$EZ1530,39,FALSE),VLOOKUP($B142,Data!$B$3:$EZ1530,40,FALSE)),1),"")</f>
        <v>0.05372956403</v>
      </c>
      <c r="N142" s="48">
        <f>IFERROR(MINUS(DIVIDE(VLOOKUP($B142,Data!$B$3:$EZ1530,44,FALSE),VLOOKUP($B142,Data!$B$3:$EZ1530,45,FALSE)),1),"")</f>
        <v>-0.109059329</v>
      </c>
      <c r="O142" s="50">
        <f>IFERROR(VLOOKUP($B142,Data!$B$3:$D1530,2,FALSE),"")</f>
        <v>178320</v>
      </c>
      <c r="P142" s="50">
        <f>IFERROR(VLOOKUP($B142,Data!$B$3:$D1530,3,FALSE),"")</f>
        <v>131780</v>
      </c>
      <c r="Q142" s="48">
        <f t="shared" si="2"/>
        <v>0.3531643649</v>
      </c>
      <c r="R142" s="48"/>
      <c r="S142" s="48"/>
      <c r="T142" s="48"/>
      <c r="U142" s="48"/>
      <c r="V142" s="48"/>
      <c r="W142" s="50"/>
      <c r="Z142" s="12"/>
      <c r="AA142" s="12"/>
    </row>
    <row r="143">
      <c r="A143" s="9">
        <f t="shared" si="1"/>
        <v>140</v>
      </c>
      <c r="B143" s="47" t="s">
        <v>276</v>
      </c>
      <c r="C143" s="48" t="str">
        <f>IFERROR(DIVIDE(VLOOKUP($B143,Data!$B$3:$AB$1535,9,FALSE),VLOOKUP($B143,Data!$B$3:$AB$1535,4,FALSE)),"")</f>
        <v/>
      </c>
      <c r="D143" s="48" t="str">
        <f>IFERROR(DIVIDE(VLOOKUP($B143,Data!$B$3:$AB$1535,24,FALSE),VLOOKUP($B143,Data!$B$3:$AB$1535,4,FALSE)),"")</f>
        <v/>
      </c>
      <c r="E143" s="48" t="str">
        <f>IFERROR(DIVIDE(VLOOKUP($B143,Data!$B$3:$EZ1530,29,FALSE),VLOOKUP($B143,Data!$B$3:$EZ1530,4,FALSE)),"")</f>
        <v/>
      </c>
      <c r="F143" s="48" t="str">
        <f>IFERROR(DIVIDE(VLOOKUP($B143,Data!$B$3:$EZ1530,34,FALSE),VLOOKUP($B143,Data!$B$3:$EZ1530,4,FALSE)),"")</f>
        <v/>
      </c>
      <c r="G143" s="48" t="str">
        <f>IFERROR(DIVIDE(VLOOKUP($B143,Data!$B$3:$EZ1530,39,FALSE),VLOOKUP($B143,Data!$B$3:$EZ1530,4,FALSE)),"")</f>
        <v/>
      </c>
      <c r="H143" s="48" t="str">
        <f>IFERROR(DIVIDE(VLOOKUP($B143,Data!$B$3:$EZ1530,44,FALSE),VLOOKUP($B143,Data!$B$3:$EZ1530,4,FALSE)),"")</f>
        <v/>
      </c>
      <c r="I143" s="48" t="str">
        <f>IFERROR(MINUS(DIVIDE(VLOOKUP($B143,Data!$B$3:$EZ1530,9,FALSE),VLOOKUP($B143,Data!$B$3:$EZ1530,10,FALSE)),1),"")</f>
        <v/>
      </c>
      <c r="J143" s="48" t="str">
        <f>IFERROR(MINUS(DIVIDE(VLOOKUP($B143,Data!$B$3:$EZ1530,24,FALSE),VLOOKUP($B143,Data!$B$3:$EZ1530,25,FALSE)),1),"")</f>
        <v/>
      </c>
      <c r="K143" s="48">
        <f>IFERROR(MINUS(DIVIDE(VLOOKUP($B143,Data!$B$3:$EZ1530,29,FALSE),VLOOKUP($B143,Data!$B$3:$EZ1530,30,FALSE)),1),"")</f>
        <v>0.03100775194</v>
      </c>
      <c r="L143" s="48">
        <f>IFERROR(MINUS(DIVIDE(VLOOKUP($B143,Data!$B$3:$EZ1530,34,FALSE),VLOOKUP($B143,Data!$B$3:$EZ1530,35,FALSE)),1),"")</f>
        <v>0.02671755725</v>
      </c>
      <c r="M143" s="48">
        <f>IFERROR(MINUS(DIVIDE(VLOOKUP($B143,Data!$B$3:$EZ1530,39,FALSE),VLOOKUP($B143,Data!$B$3:$EZ1530,40,FALSE)),1),"")</f>
        <v>0.03100775194</v>
      </c>
      <c r="N143" s="48">
        <f>IFERROR(MINUS(DIVIDE(VLOOKUP($B143,Data!$B$3:$EZ1530,44,FALSE),VLOOKUP($B143,Data!$B$3:$EZ1530,45,FALSE)),1),"")</f>
        <v>0.06550665302</v>
      </c>
      <c r="O143" s="50">
        <f>IFERROR(VLOOKUP($B143,Data!$B$3:$D1530,2,FALSE),"")</f>
        <v>5450</v>
      </c>
      <c r="P143" s="50">
        <f>IFERROR(VLOOKUP($B143,Data!$B$3:$D1530,3,FALSE),"")</f>
        <v>0</v>
      </c>
      <c r="Q143" s="48" t="str">
        <f t="shared" si="2"/>
        <v/>
      </c>
      <c r="R143" s="48"/>
      <c r="S143" s="48"/>
      <c r="T143" s="48"/>
      <c r="U143" s="48"/>
      <c r="V143" s="48"/>
      <c r="W143" s="50"/>
      <c r="Z143" s="15"/>
      <c r="AA143" s="15"/>
    </row>
    <row r="144">
      <c r="A144" s="9">
        <f t="shared" si="1"/>
        <v>141</v>
      </c>
      <c r="B144" s="47" t="s">
        <v>277</v>
      </c>
      <c r="C144" s="48" t="str">
        <f>IFERROR(DIVIDE(VLOOKUP($B144,Data!$B$3:$AB$1535,9,FALSE),VLOOKUP($B144,Data!$B$3:$AB$1535,4,FALSE)),"")</f>
        <v/>
      </c>
      <c r="D144" s="48" t="str">
        <f>IFERROR(DIVIDE(VLOOKUP($B144,Data!$B$3:$AB$1535,24,FALSE),VLOOKUP($B144,Data!$B$3:$AB$1535,4,FALSE)),"")</f>
        <v/>
      </c>
      <c r="E144" s="48" t="str">
        <f>IFERROR(DIVIDE(VLOOKUP($B144,Data!$B$3:$EZ1530,29,FALSE),VLOOKUP($B144,Data!$B$3:$EZ1530,4,FALSE)),"")</f>
        <v/>
      </c>
      <c r="F144" s="48" t="str">
        <f>IFERROR(DIVIDE(VLOOKUP($B144,Data!$B$3:$EZ1530,34,FALSE),VLOOKUP($B144,Data!$B$3:$EZ1530,4,FALSE)),"")</f>
        <v/>
      </c>
      <c r="G144" s="48" t="str">
        <f>IFERROR(DIVIDE(VLOOKUP($B144,Data!$B$3:$EZ1530,39,FALSE),VLOOKUP($B144,Data!$B$3:$EZ1530,4,FALSE)),"")</f>
        <v/>
      </c>
      <c r="H144" s="48" t="str">
        <f>IFERROR(DIVIDE(VLOOKUP($B144,Data!$B$3:$EZ1530,44,FALSE),VLOOKUP($B144,Data!$B$3:$EZ1530,4,FALSE)),"")</f>
        <v/>
      </c>
      <c r="I144" s="48">
        <f>IFERROR(MINUS(DIVIDE(VLOOKUP($B144,Data!$B$3:$EZ1530,9,FALSE),VLOOKUP($B144,Data!$B$3:$EZ1530,10,FALSE)),1),"")</f>
        <v>1.145502646</v>
      </c>
      <c r="J144" s="48" t="str">
        <f>IFERROR(MINUS(DIVIDE(VLOOKUP($B144,Data!$B$3:$EZ1530,24,FALSE),VLOOKUP($B144,Data!$B$3:$EZ1530,25,FALSE)),1),"")</f>
        <v/>
      </c>
      <c r="K144" s="48">
        <f>IFERROR(MINUS(DIVIDE(VLOOKUP($B144,Data!$B$3:$EZ1530,29,FALSE),VLOOKUP($B144,Data!$B$3:$EZ1530,30,FALSE)),1),"")</f>
        <v>0.2609863916</v>
      </c>
      <c r="L144" s="48">
        <f>IFERROR(MINUS(DIVIDE(VLOOKUP($B144,Data!$B$3:$EZ1530,34,FALSE),VLOOKUP($B144,Data!$B$3:$EZ1530,35,FALSE)),1),"")</f>
        <v>0.2325033215</v>
      </c>
      <c r="M144" s="48">
        <f>IFERROR(MINUS(DIVIDE(VLOOKUP($B144,Data!$B$3:$EZ1530,39,FALSE),VLOOKUP($B144,Data!$B$3:$EZ1530,40,FALSE)),1),"")</f>
        <v>0.2612917208</v>
      </c>
      <c r="N144" s="48">
        <f>IFERROR(MINUS(DIVIDE(VLOOKUP($B144,Data!$B$3:$EZ1530,44,FALSE),VLOOKUP($B144,Data!$B$3:$EZ1530,45,FALSE)),1),"")</f>
        <v>0.3107303777</v>
      </c>
      <c r="O144" s="50">
        <f>IFERROR(VLOOKUP($B144,Data!$B$3:$D1530,2,FALSE),"")</f>
        <v>7860</v>
      </c>
      <c r="P144" s="50" t="str">
        <f>IFERROR(VLOOKUP($B144,Data!$B$3:$D1530,3,FALSE),"")</f>
        <v/>
      </c>
      <c r="Q144" s="48" t="str">
        <f t="shared" si="2"/>
        <v/>
      </c>
      <c r="R144" s="48"/>
      <c r="S144" s="48"/>
      <c r="T144" s="48"/>
      <c r="U144" s="48"/>
      <c r="V144" s="48"/>
      <c r="W144" s="50"/>
      <c r="Z144" s="11"/>
      <c r="AA144" s="11"/>
    </row>
    <row r="145">
      <c r="A145" s="9">
        <f t="shared" si="1"/>
        <v>142</v>
      </c>
      <c r="B145" s="47" t="s">
        <v>278</v>
      </c>
      <c r="C145" s="48">
        <f>IFERROR(DIVIDE(VLOOKUP($B145,Data!$B$3:$AB$1535,9,FALSE),VLOOKUP($B145,Data!$B$3:$AB$1535,4,FALSE)),"")</f>
        <v>0.3628833959</v>
      </c>
      <c r="D145" s="48">
        <f>IFERROR(DIVIDE(VLOOKUP($B145,Data!$B$3:$AB$1535,24,FALSE),VLOOKUP($B145,Data!$B$3:$AB$1535,4,FALSE)),"")</f>
        <v>-0.004270738967</v>
      </c>
      <c r="E145" s="48">
        <f>IFERROR(DIVIDE(VLOOKUP($B145,Data!$B$3:$EZ1530,29,FALSE),VLOOKUP($B145,Data!$B$3:$EZ1530,4,FALSE)),"")</f>
        <v>0.08839135499</v>
      </c>
      <c r="F145" s="48">
        <f>IFERROR(DIVIDE(VLOOKUP($B145,Data!$B$3:$EZ1530,34,FALSE),VLOOKUP($B145,Data!$B$3:$EZ1530,4,FALSE)),"")</f>
        <v>0.1076873301</v>
      </c>
      <c r="G145" s="48">
        <f>IFERROR(DIVIDE(VLOOKUP($B145,Data!$B$3:$EZ1530,39,FALSE),VLOOKUP($B145,Data!$B$3:$EZ1530,4,FALSE)),"")</f>
        <v>0.06732237608</v>
      </c>
      <c r="H145" s="48">
        <f>IFERROR(DIVIDE(VLOOKUP($B145,Data!$B$3:$EZ1530,44,FALSE),VLOOKUP($B145,Data!$B$3:$EZ1530,4,FALSE)),"")</f>
        <v>0.06021741944</v>
      </c>
      <c r="I145" s="48">
        <f>IFERROR(MINUS(DIVIDE(VLOOKUP($B145,Data!$B$3:$EZ1530,9,FALSE),VLOOKUP($B145,Data!$B$3:$EZ1530,10,FALSE)),1),"")</f>
        <v>-0.02503477051</v>
      </c>
      <c r="J145" s="48" t="str">
        <f>IFERROR(MINUS(DIVIDE(VLOOKUP($B145,Data!$B$3:$EZ1530,24,FALSE),VLOOKUP($B145,Data!$B$3:$EZ1530,25,FALSE)),1),"")</f>
        <v/>
      </c>
      <c r="K145" s="48">
        <f>IFERROR(MINUS(DIVIDE(VLOOKUP($B145,Data!$B$3:$EZ1530,29,FALSE),VLOOKUP($B145,Data!$B$3:$EZ1530,30,FALSE)),1),"")</f>
        <v>0.3064269319</v>
      </c>
      <c r="L145" s="48">
        <f>IFERROR(MINUS(DIVIDE(VLOOKUP($B145,Data!$B$3:$EZ1530,34,FALSE),VLOOKUP($B145,Data!$B$3:$EZ1530,35,FALSE)),1),"")</f>
        <v>-0.1569402229</v>
      </c>
      <c r="M145" s="48">
        <f>IFERROR(MINUS(DIVIDE(VLOOKUP($B145,Data!$B$3:$EZ1530,39,FALSE),VLOOKUP($B145,Data!$B$3:$EZ1530,40,FALSE)),1),"")</f>
        <v>0.1115384615</v>
      </c>
      <c r="N145" s="48">
        <f>IFERROR(MINUS(DIVIDE(VLOOKUP($B145,Data!$B$3:$EZ1530,44,FALSE),VLOOKUP($B145,Data!$B$3:$EZ1530,45,FALSE)),1),"")</f>
        <v>-0.1521501458</v>
      </c>
      <c r="O145" s="50">
        <f>IFERROR(VLOOKUP($B145,Data!$B$3:$D1530,2,FALSE),"")</f>
        <v>543310</v>
      </c>
      <c r="P145" s="50">
        <f>IFERROR(VLOOKUP($B145,Data!$B$3:$D1530,3,FALSE),"")</f>
        <v>503420</v>
      </c>
      <c r="Q145" s="48">
        <f t="shared" si="2"/>
        <v>0.079238012</v>
      </c>
      <c r="R145" s="48"/>
      <c r="S145" s="48"/>
      <c r="T145" s="48"/>
      <c r="U145" s="48"/>
      <c r="V145" s="48"/>
      <c r="W145" s="50"/>
      <c r="Z145" s="15"/>
      <c r="AA145" s="15"/>
    </row>
    <row r="146">
      <c r="A146" s="9">
        <f t="shared" si="1"/>
        <v>143</v>
      </c>
      <c r="B146" s="47" t="s">
        <v>279</v>
      </c>
      <c r="C146" s="48">
        <f>IFERROR(DIVIDE(VLOOKUP($B146,Data!$B$3:$AB$1535,9,FALSE),VLOOKUP($B146,Data!$B$3:$AB$1535,4,FALSE)),"")</f>
        <v>0.5896980462</v>
      </c>
      <c r="D146" s="48">
        <f>IFERROR(DIVIDE(VLOOKUP($B146,Data!$B$3:$AB$1535,24,FALSE),VLOOKUP($B146,Data!$B$3:$AB$1535,4,FALSE)),"")</f>
        <v>0</v>
      </c>
      <c r="E146" s="48">
        <f>IFERROR(DIVIDE(VLOOKUP($B146,Data!$B$3:$EZ1530,29,FALSE),VLOOKUP($B146,Data!$B$3:$EZ1530,4,FALSE)),"")</f>
        <v>-0.01638947198</v>
      </c>
      <c r="F146" s="48">
        <f>IFERROR(DIVIDE(VLOOKUP($B146,Data!$B$3:$EZ1530,34,FALSE),VLOOKUP($B146,Data!$B$3:$EZ1530,4,FALSE)),"")</f>
        <v>0.02866139189</v>
      </c>
      <c r="G146" s="48">
        <f>IFERROR(DIVIDE(VLOOKUP($B146,Data!$B$3:$EZ1530,39,FALSE),VLOOKUP($B146,Data!$B$3:$EZ1530,4,FALSE)),"")</f>
        <v>-0.01638947198</v>
      </c>
      <c r="H146" s="48">
        <f>IFERROR(DIVIDE(VLOOKUP($B146,Data!$B$3:$EZ1530,44,FALSE),VLOOKUP($B146,Data!$B$3:$EZ1530,4,FALSE)),"")</f>
        <v>-0.08574196674</v>
      </c>
      <c r="I146" s="48">
        <f>IFERROR(MINUS(DIVIDE(VLOOKUP($B146,Data!$B$3:$EZ1530,9,FALSE),VLOOKUP($B146,Data!$B$3:$EZ1530,10,FALSE)),1),"")</f>
        <v>1.290373158</v>
      </c>
      <c r="J146" s="48" t="str">
        <f>IFERROR(MINUS(DIVIDE(VLOOKUP($B146,Data!$B$3:$EZ1530,24,FALSE),VLOOKUP($B146,Data!$B$3:$EZ1530,25,FALSE)),1),"")</f>
        <v/>
      </c>
      <c r="K146" s="48">
        <f>IFERROR(MINUS(DIVIDE(VLOOKUP($B146,Data!$B$3:$EZ1530,29,FALSE),VLOOKUP($B146,Data!$B$3:$EZ1530,30,FALSE)),1),"")</f>
        <v>-0.6886503067</v>
      </c>
      <c r="L146" s="48">
        <f>IFERROR(MINUS(DIVIDE(VLOOKUP($B146,Data!$B$3:$EZ1530,34,FALSE),VLOOKUP($B146,Data!$B$3:$EZ1530,35,FALSE)),1),"")</f>
        <v>-1.255763689</v>
      </c>
      <c r="M146" s="48">
        <f>IFERROR(MINUS(DIVIDE(VLOOKUP($B146,Data!$B$3:$EZ1530,39,FALSE),VLOOKUP($B146,Data!$B$3:$EZ1530,40,FALSE)),1),"")</f>
        <v>-0.6886503067</v>
      </c>
      <c r="N146" s="48">
        <f>IFERROR(MINUS(DIVIDE(VLOOKUP($B146,Data!$B$3:$EZ1530,44,FALSE),VLOOKUP($B146,Data!$B$3:$EZ1530,45,FALSE)),1),"")</f>
        <v>-0.3868360277</v>
      </c>
      <c r="O146" s="50">
        <f>IFERROR(VLOOKUP($B146,Data!$B$3:$D1530,2,FALSE),"")</f>
        <v>180170</v>
      </c>
      <c r="P146" s="50">
        <f>IFERROR(VLOOKUP($B146,Data!$B$3:$D1530,3,FALSE),"")</f>
        <v>133280</v>
      </c>
      <c r="Q146" s="48">
        <f t="shared" si="2"/>
        <v>0.3518157263</v>
      </c>
      <c r="R146" s="48"/>
      <c r="S146" s="48"/>
      <c r="T146" s="48"/>
      <c r="U146" s="48"/>
      <c r="V146" s="48"/>
      <c r="W146" s="50"/>
      <c r="Z146" s="11"/>
      <c r="AA146" s="12"/>
    </row>
    <row r="147">
      <c r="A147" s="9">
        <f t="shared" si="1"/>
        <v>144</v>
      </c>
      <c r="B147" s="47" t="s">
        <v>280</v>
      </c>
      <c r="C147" s="48">
        <f>IFERROR(DIVIDE(VLOOKUP($B147,Data!$B$3:$AB$1535,9,FALSE),VLOOKUP($B147,Data!$B$3:$AB$1535,4,FALSE)),"")</f>
        <v>0.1223241379</v>
      </c>
      <c r="D147" s="48">
        <f>IFERROR(DIVIDE(VLOOKUP($B147,Data!$B$3:$AB$1535,24,FALSE),VLOOKUP($B147,Data!$B$3:$AB$1535,4,FALSE)),"")</f>
        <v>0.1135862069</v>
      </c>
      <c r="E147" s="48">
        <f>IFERROR(DIVIDE(VLOOKUP($B147,Data!$B$3:$EZ1530,29,FALSE),VLOOKUP($B147,Data!$B$3:$EZ1530,4,FALSE)),"")</f>
        <v>0.04935862069</v>
      </c>
      <c r="F147" s="48">
        <f>IFERROR(DIVIDE(VLOOKUP($B147,Data!$B$3:$EZ1530,34,FALSE),VLOOKUP($B147,Data!$B$3:$EZ1530,4,FALSE)),"")</f>
        <v>0.2999310345</v>
      </c>
      <c r="G147" s="48">
        <f>IFERROR(DIVIDE(VLOOKUP($B147,Data!$B$3:$EZ1530,39,FALSE),VLOOKUP($B147,Data!$B$3:$EZ1530,4,FALSE)),"")</f>
        <v>0.04136551724</v>
      </c>
      <c r="H147" s="48">
        <f>IFERROR(DIVIDE(VLOOKUP($B147,Data!$B$3:$EZ1530,44,FALSE),VLOOKUP($B147,Data!$B$3:$EZ1530,4,FALSE)),"")</f>
        <v>0.2737517241</v>
      </c>
      <c r="I147" s="48">
        <f>IFERROR(MINUS(DIVIDE(VLOOKUP($B147,Data!$B$3:$EZ1530,9,FALSE),VLOOKUP($B147,Data!$B$3:$EZ1530,10,FALSE)),1),"")</f>
        <v>0.525369797</v>
      </c>
      <c r="J147" s="48">
        <f>IFERROR(MINUS(DIVIDE(VLOOKUP($B147,Data!$B$3:$EZ1530,24,FALSE),VLOOKUP($B147,Data!$B$3:$EZ1530,25,FALSE)),1),"")</f>
        <v>0.3921054856</v>
      </c>
      <c r="K147" s="48">
        <f>IFERROR(MINUS(DIVIDE(VLOOKUP($B147,Data!$B$3:$EZ1530,29,FALSE),VLOOKUP($B147,Data!$B$3:$EZ1530,30,FALSE)),1),"")</f>
        <v>-0.1818701417</v>
      </c>
      <c r="L147" s="48">
        <f>IFERROR(MINUS(DIVIDE(VLOOKUP($B147,Data!$B$3:$EZ1530,34,FALSE),VLOOKUP($B147,Data!$B$3:$EZ1530,35,FALSE)),1),"")</f>
        <v>0.4733383021</v>
      </c>
      <c r="M147" s="48">
        <f>IFERROR(MINUS(DIVIDE(VLOOKUP($B147,Data!$B$3:$EZ1530,39,FALSE),VLOOKUP($B147,Data!$B$3:$EZ1530,40,FALSE)),1),"")</f>
        <v>-0.1163818503</v>
      </c>
      <c r="N147" s="48">
        <f>IFERROR(MINUS(DIVIDE(VLOOKUP($B147,Data!$B$3:$EZ1530,44,FALSE),VLOOKUP($B147,Data!$B$3:$EZ1530,45,FALSE)),1),"")</f>
        <v>0.331879341</v>
      </c>
      <c r="O147" s="50">
        <f>IFERROR(VLOOKUP($B147,Data!$B$3:$D1530,2,FALSE),"")</f>
        <v>1690000</v>
      </c>
      <c r="P147" s="50">
        <f>IFERROR(VLOOKUP($B147,Data!$B$3:$D1530,3,FALSE),"")</f>
        <v>1560000</v>
      </c>
      <c r="Q147" s="48">
        <f t="shared" si="2"/>
        <v>0.08333333333</v>
      </c>
      <c r="R147" s="48"/>
      <c r="S147" s="48"/>
      <c r="T147" s="48"/>
      <c r="U147" s="48"/>
      <c r="V147" s="48"/>
      <c r="W147" s="50"/>
      <c r="Z147" s="11"/>
      <c r="AA147" s="11"/>
    </row>
    <row r="148">
      <c r="A148" s="9">
        <f t="shared" si="1"/>
        <v>145</v>
      </c>
      <c r="B148" s="47" t="s">
        <v>281</v>
      </c>
      <c r="C148" s="48">
        <f>IFERROR(DIVIDE(VLOOKUP($B148,Data!$B$3:$AB$1535,9,FALSE),VLOOKUP($B148,Data!$B$3:$AB$1535,4,FALSE)),"")</f>
        <v>0.7161118509</v>
      </c>
      <c r="D148" s="48">
        <f>IFERROR(DIVIDE(VLOOKUP($B148,Data!$B$3:$AB$1535,24,FALSE),VLOOKUP($B148,Data!$B$3:$AB$1535,4,FALSE)),"")</f>
        <v>0</v>
      </c>
      <c r="E148" s="48">
        <f>IFERROR(DIVIDE(VLOOKUP($B148,Data!$B$3:$EZ1530,29,FALSE),VLOOKUP($B148,Data!$B$3:$EZ1530,4,FALSE)),"")</f>
        <v>0.2407456724</v>
      </c>
      <c r="F148" s="48">
        <f>IFERROR(DIVIDE(VLOOKUP($B148,Data!$B$3:$EZ1530,34,FALSE),VLOOKUP($B148,Data!$B$3:$EZ1530,4,FALSE)),"")</f>
        <v>-0.008548601864</v>
      </c>
      <c r="G148" s="48">
        <f>IFERROR(DIVIDE(VLOOKUP($B148,Data!$B$3:$EZ1530,39,FALSE),VLOOKUP($B148,Data!$B$3:$EZ1530,4,FALSE)),"")</f>
        <v>0.2908122503</v>
      </c>
      <c r="H148" s="48">
        <f>IFERROR(DIVIDE(VLOOKUP($B148,Data!$B$3:$EZ1530,44,FALSE),VLOOKUP($B148,Data!$B$3:$EZ1530,4,FALSE)),"")</f>
        <v>0.012436751</v>
      </c>
      <c r="I148" s="48">
        <f>IFERROR(MINUS(DIVIDE(VLOOKUP($B148,Data!$B$3:$EZ1530,9,FALSE),VLOOKUP($B148,Data!$B$3:$EZ1530,10,FALSE)),1),"")</f>
        <v>0.5304496301</v>
      </c>
      <c r="J148" s="48" t="str">
        <f>IFERROR(MINUS(DIVIDE(VLOOKUP($B148,Data!$B$3:$EZ1530,24,FALSE),VLOOKUP($B148,Data!$B$3:$EZ1530,25,FALSE)),1),"")</f>
        <v/>
      </c>
      <c r="K148" s="48">
        <f>IFERROR(MINUS(DIVIDE(VLOOKUP($B148,Data!$B$3:$EZ1530,29,FALSE),VLOOKUP($B148,Data!$B$3:$EZ1530,30,FALSE)),1),"")</f>
        <v>-0.7459960663</v>
      </c>
      <c r="L148" s="48">
        <f>IFERROR(MINUS(DIVIDE(VLOOKUP($B148,Data!$B$3:$EZ1530,34,FALSE),VLOOKUP($B148,Data!$B$3:$EZ1530,35,FALSE)),1),"")</f>
        <v>-1.230935252</v>
      </c>
      <c r="M148" s="48">
        <f>IFERROR(MINUS(DIVIDE(VLOOKUP($B148,Data!$B$3:$EZ1530,39,FALSE),VLOOKUP($B148,Data!$B$3:$EZ1530,40,FALSE)),1),"")</f>
        <v>-0.6597070739</v>
      </c>
      <c r="N148" s="48">
        <f>IFERROR(MINUS(DIVIDE(VLOOKUP($B148,Data!$B$3:$EZ1530,44,FALSE),VLOOKUP($B148,Data!$B$3:$EZ1530,45,FALSE)),1),"")</f>
        <v>-1.130446927</v>
      </c>
      <c r="O148" s="50">
        <f>IFERROR(VLOOKUP($B148,Data!$B$3:$D1530,2,FALSE),"")</f>
        <v>307400</v>
      </c>
      <c r="P148" s="50" t="str">
        <f>IFERROR(VLOOKUP($B148,Data!$B$3:$D1530,3,FALSE),"")</f>
        <v/>
      </c>
      <c r="Q148" s="48" t="str">
        <f t="shared" si="2"/>
        <v/>
      </c>
      <c r="R148" s="48"/>
      <c r="S148" s="48"/>
      <c r="T148" s="48"/>
      <c r="U148" s="48"/>
      <c r="V148" s="48"/>
      <c r="W148" s="50"/>
      <c r="Z148" s="11"/>
      <c r="AA148" s="11"/>
    </row>
    <row r="149">
      <c r="A149" s="9">
        <f t="shared" si="1"/>
        <v>146</v>
      </c>
      <c r="B149" s="47" t="s">
        <v>282</v>
      </c>
      <c r="C149" s="48">
        <f>IFERROR(DIVIDE(VLOOKUP($B149,Data!$B$3:$AB$1535,9,FALSE),VLOOKUP($B149,Data!$B$3:$AB$1535,4,FALSE)),"")</f>
        <v>0.6759689922</v>
      </c>
      <c r="D149" s="48">
        <f>IFERROR(DIVIDE(VLOOKUP($B149,Data!$B$3:$AB$1535,24,FALSE),VLOOKUP($B149,Data!$B$3:$AB$1535,4,FALSE)),"")</f>
        <v>0.2496124031</v>
      </c>
      <c r="E149" s="48">
        <f>IFERROR(DIVIDE(VLOOKUP($B149,Data!$B$3:$EZ1530,29,FALSE),VLOOKUP($B149,Data!$B$3:$EZ1530,4,FALSE)),"")</f>
        <v>0.2527131783</v>
      </c>
      <c r="F149" s="48">
        <f>IFERROR(DIVIDE(VLOOKUP($B149,Data!$B$3:$EZ1530,34,FALSE),VLOOKUP($B149,Data!$B$3:$EZ1530,4,FALSE)),"")</f>
        <v>0.3596899225</v>
      </c>
      <c r="G149" s="48">
        <f>IFERROR(DIVIDE(VLOOKUP($B149,Data!$B$3:$EZ1530,39,FALSE),VLOOKUP($B149,Data!$B$3:$EZ1530,4,FALSE)),"")</f>
        <v>0.2325581395</v>
      </c>
      <c r="H149" s="48">
        <f>IFERROR(DIVIDE(VLOOKUP($B149,Data!$B$3:$EZ1530,44,FALSE),VLOOKUP($B149,Data!$B$3:$EZ1530,4,FALSE)),"")</f>
        <v>0.2837209302</v>
      </c>
      <c r="I149" s="48">
        <f>IFERROR(MINUS(DIVIDE(VLOOKUP($B149,Data!$B$3:$EZ1530,9,FALSE),VLOOKUP($B149,Data!$B$3:$EZ1530,10,FALSE)),1),"")</f>
        <v>-0.124497992</v>
      </c>
      <c r="J149" s="48">
        <f>IFERROR(MINUS(DIVIDE(VLOOKUP($B149,Data!$B$3:$EZ1530,24,FALSE),VLOOKUP($B149,Data!$B$3:$EZ1530,25,FALSE)),1),"")</f>
        <v>-33.2</v>
      </c>
      <c r="K149" s="48">
        <f>IFERROR(MINUS(DIVIDE(VLOOKUP($B149,Data!$B$3:$EZ1530,29,FALSE),VLOOKUP($B149,Data!$B$3:$EZ1530,30,FALSE)),1),"")</f>
        <v>-0.1329787234</v>
      </c>
      <c r="L149" s="48">
        <f>IFERROR(MINUS(DIVIDE(VLOOKUP($B149,Data!$B$3:$EZ1530,34,FALSE),VLOOKUP($B149,Data!$B$3:$EZ1530,35,FALSE)),1),"")</f>
        <v>-0.2240802676</v>
      </c>
      <c r="M149" s="48">
        <f>IFERROR(MINUS(DIVIDE(VLOOKUP($B149,Data!$B$3:$EZ1530,39,FALSE),VLOOKUP($B149,Data!$B$3:$EZ1530,40,FALSE)),1),"")</f>
        <v>-0.1891891892</v>
      </c>
      <c r="N149" s="48">
        <f>IFERROR(MINUS(DIVIDE(VLOOKUP($B149,Data!$B$3:$EZ1530,44,FALSE),VLOOKUP($B149,Data!$B$3:$EZ1530,45,FALSE)),1),"")</f>
        <v>0.02234636872</v>
      </c>
      <c r="O149" s="50">
        <f>IFERROR(VLOOKUP($B149,Data!$B$3:$D1530,2,FALSE),"")</f>
        <v>7650000</v>
      </c>
      <c r="P149" s="50">
        <f>IFERROR(VLOOKUP($B149,Data!$B$3:$D1530,3,FALSE),"")</f>
        <v>7170000</v>
      </c>
      <c r="Q149" s="48">
        <f t="shared" si="2"/>
        <v>0.06694560669</v>
      </c>
      <c r="R149" s="48"/>
      <c r="S149" s="48"/>
      <c r="T149" s="48"/>
      <c r="U149" s="48"/>
      <c r="V149" s="48"/>
      <c r="W149" s="50"/>
      <c r="Z149" s="11"/>
      <c r="AA149" s="11"/>
    </row>
    <row r="150">
      <c r="A150" s="9">
        <f t="shared" si="1"/>
        <v>147</v>
      </c>
      <c r="B150" s="47" t="s">
        <v>283</v>
      </c>
      <c r="C150" s="48" t="str">
        <f>IFERROR(DIVIDE(VLOOKUP($B150,Data!$B$3:$AB$1535,9,FALSE),VLOOKUP($B150,Data!$B$3:$AB$1535,4,FALSE)),"")</f>
        <v/>
      </c>
      <c r="D150" s="48" t="str">
        <f>IFERROR(DIVIDE(VLOOKUP($B150,Data!$B$3:$AB$1535,24,FALSE),VLOOKUP($B150,Data!$B$3:$AB$1535,4,FALSE)),"")</f>
        <v/>
      </c>
      <c r="E150" s="48" t="str">
        <f>IFERROR(DIVIDE(VLOOKUP($B150,Data!$B$3:$EZ1530,29,FALSE),VLOOKUP($B150,Data!$B$3:$EZ1530,4,FALSE)),"")</f>
        <v/>
      </c>
      <c r="F150" s="48" t="str">
        <f>IFERROR(DIVIDE(VLOOKUP($B150,Data!$B$3:$EZ1530,34,FALSE),VLOOKUP($B150,Data!$B$3:$EZ1530,4,FALSE)),"")</f>
        <v/>
      </c>
      <c r="G150" s="48" t="str">
        <f>IFERROR(DIVIDE(VLOOKUP($B150,Data!$B$3:$EZ1530,39,FALSE),VLOOKUP($B150,Data!$B$3:$EZ1530,4,FALSE)),"")</f>
        <v/>
      </c>
      <c r="H150" s="48" t="str">
        <f>IFERROR(DIVIDE(VLOOKUP($B150,Data!$B$3:$EZ1530,44,FALSE),VLOOKUP($B150,Data!$B$3:$EZ1530,4,FALSE)),"")</f>
        <v/>
      </c>
      <c r="I150" s="48" t="str">
        <f>IFERROR(MINUS(DIVIDE(VLOOKUP($B150,Data!$B$3:$EZ1530,9,FALSE),VLOOKUP($B150,Data!$B$3:$EZ1530,10,FALSE)),1),"")</f>
        <v/>
      </c>
      <c r="J150" s="48" t="str">
        <f>IFERROR(MINUS(DIVIDE(VLOOKUP($B150,Data!$B$3:$EZ1530,24,FALSE),VLOOKUP($B150,Data!$B$3:$EZ1530,25,FALSE)),1),"")</f>
        <v/>
      </c>
      <c r="K150" s="48">
        <f>IFERROR(MINUS(DIVIDE(VLOOKUP($B150,Data!$B$3:$EZ1530,29,FALSE),VLOOKUP($B150,Data!$B$3:$EZ1530,30,FALSE)),1),"")</f>
        <v>0.2023201856</v>
      </c>
      <c r="L150" s="48" t="str">
        <f>IFERROR(MINUS(DIVIDE(VLOOKUP($B150,Data!$B$3:$EZ1530,34,FALSE),VLOOKUP($B150,Data!$B$3:$EZ1530,35,FALSE)),1),"")</f>
        <v/>
      </c>
      <c r="M150" s="48">
        <f>IFERROR(MINUS(DIVIDE(VLOOKUP($B150,Data!$B$3:$EZ1530,39,FALSE),VLOOKUP($B150,Data!$B$3:$EZ1530,40,FALSE)),1),"")</f>
        <v>0.2023201856</v>
      </c>
      <c r="N150" s="48">
        <f>IFERROR(MINUS(DIVIDE(VLOOKUP($B150,Data!$B$3:$EZ1530,44,FALSE),VLOOKUP($B150,Data!$B$3:$EZ1530,45,FALSE)),1),"")</f>
        <v>0.441273326</v>
      </c>
      <c r="O150" s="50">
        <f>IFERROR(VLOOKUP($B150,Data!$B$3:$D1530,2,FALSE),"")</f>
        <v>19430</v>
      </c>
      <c r="P150" s="50" t="str">
        <f>IFERROR(VLOOKUP($B150,Data!$B$3:$D1530,3,FALSE),"")</f>
        <v/>
      </c>
      <c r="Q150" s="48" t="str">
        <f t="shared" si="2"/>
        <v/>
      </c>
      <c r="R150" s="48"/>
      <c r="S150" s="48"/>
      <c r="T150" s="48"/>
      <c r="U150" s="48"/>
      <c r="V150" s="48"/>
      <c r="W150" s="50"/>
      <c r="Z150" s="11"/>
      <c r="AA150" s="11"/>
    </row>
    <row r="151">
      <c r="A151" s="9">
        <f t="shared" si="1"/>
        <v>148</v>
      </c>
      <c r="B151" s="47" t="s">
        <v>284</v>
      </c>
      <c r="C151" s="48">
        <f>IFERROR(DIVIDE(VLOOKUP($B151,Data!$B$3:$AB$1535,9,FALSE),VLOOKUP($B151,Data!$B$3:$AB$1535,4,FALSE)),"")</f>
        <v>0.2189279403</v>
      </c>
      <c r="D151" s="48">
        <f>IFERROR(DIVIDE(VLOOKUP($B151,Data!$B$3:$AB$1535,24,FALSE),VLOOKUP($B151,Data!$B$3:$AB$1535,4,FALSE)),"")</f>
        <v>0.1716080895</v>
      </c>
      <c r="E151" s="48">
        <f>IFERROR(DIVIDE(VLOOKUP($B151,Data!$B$3:$EZ1530,29,FALSE),VLOOKUP($B151,Data!$B$3:$EZ1530,4,FALSE)),"")</f>
        <v>0.1280188494</v>
      </c>
      <c r="F151" s="48">
        <f>IFERROR(DIVIDE(VLOOKUP($B151,Data!$B$3:$EZ1530,34,FALSE),VLOOKUP($B151,Data!$B$3:$EZ1530,4,FALSE)),"")</f>
        <v>0.3385038288</v>
      </c>
      <c r="G151" s="48">
        <f>IFERROR(DIVIDE(VLOOKUP($B151,Data!$B$3:$EZ1530,39,FALSE),VLOOKUP($B151,Data!$B$3:$EZ1530,4,FALSE)),"")</f>
        <v>0.1032790104</v>
      </c>
      <c r="H151" s="48">
        <f>IFERROR(DIVIDE(VLOOKUP($B151,Data!$B$3:$EZ1530,44,FALSE),VLOOKUP($B151,Data!$B$3:$EZ1530,4,FALSE)),"")</f>
        <v>0.2603573532</v>
      </c>
      <c r="I151" s="48">
        <f>IFERROR(MINUS(DIVIDE(VLOOKUP($B151,Data!$B$3:$EZ1530,9,FALSE),VLOOKUP($B151,Data!$B$3:$EZ1530,10,FALSE)),1),"")</f>
        <v>0.3273809524</v>
      </c>
      <c r="J151" s="48">
        <f>IFERROR(MINUS(DIVIDE(VLOOKUP($B151,Data!$B$3:$EZ1530,24,FALSE),VLOOKUP($B151,Data!$B$3:$EZ1530,25,FALSE)),1),"")</f>
        <v>-55.95818399</v>
      </c>
      <c r="K151" s="48">
        <f>IFERROR(MINUS(DIVIDE(VLOOKUP($B151,Data!$B$3:$EZ1530,29,FALSE),VLOOKUP($B151,Data!$B$3:$EZ1530,30,FALSE)),1),"")</f>
        <v>0.523364486</v>
      </c>
      <c r="L151" s="48">
        <f>IFERROR(MINUS(DIVIDE(VLOOKUP($B151,Data!$B$3:$EZ1530,34,FALSE),VLOOKUP($B151,Data!$B$3:$EZ1530,35,FALSE)),1),"")</f>
        <v>0.2305496074</v>
      </c>
      <c r="M151" s="48">
        <f>IFERROR(MINUS(DIVIDE(VLOOKUP($B151,Data!$B$3:$EZ1530,39,FALSE),VLOOKUP($B151,Data!$B$3:$EZ1530,40,FALSE)),1),"")</f>
        <v>0.8391608392</v>
      </c>
      <c r="N151" s="48">
        <f>IFERROR(MINUS(DIVIDE(VLOOKUP($B151,Data!$B$3:$EZ1530,44,FALSE),VLOOKUP($B151,Data!$B$3:$EZ1530,45,FALSE)),1),"")</f>
        <v>0.3627954779</v>
      </c>
      <c r="O151" s="50">
        <f>IFERROR(VLOOKUP($B151,Data!$B$3:$D1530,2,FALSE),"")</f>
        <v>4190000</v>
      </c>
      <c r="P151" s="50">
        <f>IFERROR(VLOOKUP($B151,Data!$B$3:$D1530,3,FALSE),"")</f>
        <v>3520000</v>
      </c>
      <c r="Q151" s="48">
        <f t="shared" si="2"/>
        <v>0.1903409091</v>
      </c>
      <c r="R151" s="48"/>
      <c r="S151" s="48"/>
      <c r="T151" s="48"/>
      <c r="U151" s="48"/>
      <c r="V151" s="48"/>
      <c r="W151" s="50"/>
      <c r="Z151" s="15"/>
      <c r="AA151" s="15"/>
    </row>
    <row r="152">
      <c r="A152" s="9">
        <f t="shared" si="1"/>
        <v>149</v>
      </c>
      <c r="B152" s="47" t="s">
        <v>285</v>
      </c>
      <c r="C152" s="48">
        <f>IFERROR(DIVIDE(VLOOKUP($B152,Data!$B$3:$AB$1535,9,FALSE),VLOOKUP($B152,Data!$B$3:$AB$1535,4,FALSE)),"")</f>
        <v>0</v>
      </c>
      <c r="D152" s="48">
        <f>IFERROR(DIVIDE(VLOOKUP($B152,Data!$B$3:$AB$1535,24,FALSE),VLOOKUP($B152,Data!$B$3:$AB$1535,4,FALSE)),"")</f>
        <v>-372.7962085</v>
      </c>
      <c r="E152" s="48">
        <f>IFERROR(DIVIDE(VLOOKUP($B152,Data!$B$3:$EZ1530,29,FALSE),VLOOKUP($B152,Data!$B$3:$EZ1530,4,FALSE)),"")</f>
        <v>-388.957346</v>
      </c>
      <c r="F152" s="48">
        <f>IFERROR(DIVIDE(VLOOKUP($B152,Data!$B$3:$EZ1530,34,FALSE),VLOOKUP($B152,Data!$B$3:$EZ1530,4,FALSE)),"")</f>
        <v>-234.8815166</v>
      </c>
      <c r="G152" s="48">
        <f>IFERROR(DIVIDE(VLOOKUP($B152,Data!$B$3:$EZ1530,39,FALSE),VLOOKUP($B152,Data!$B$3:$EZ1530,4,FALSE)),"")</f>
        <v>-389.4075829</v>
      </c>
      <c r="H152" s="48">
        <f>IFERROR(DIVIDE(VLOOKUP($B152,Data!$B$3:$EZ1530,44,FALSE),VLOOKUP($B152,Data!$B$3:$EZ1530,4,FALSE)),"")</f>
        <v>-199.5260664</v>
      </c>
      <c r="I152" s="48" t="str">
        <f>IFERROR(MINUS(DIVIDE(VLOOKUP($B152,Data!$B$3:$EZ1530,9,FALSE),VLOOKUP($B152,Data!$B$3:$EZ1530,10,FALSE)),1),"")</f>
        <v/>
      </c>
      <c r="J152" s="48">
        <f>IFERROR(MINUS(DIVIDE(VLOOKUP($B152,Data!$B$3:$EZ1530,24,FALSE),VLOOKUP($B152,Data!$B$3:$EZ1530,25,FALSE)),1),"")</f>
        <v>0.8293023256</v>
      </c>
      <c r="K152" s="48">
        <f>IFERROR(MINUS(DIVIDE(VLOOKUP($B152,Data!$B$3:$EZ1530,29,FALSE),VLOOKUP($B152,Data!$B$3:$EZ1530,30,FALSE)),1),"")</f>
        <v>0.9773521262</v>
      </c>
      <c r="L152" s="48">
        <f>IFERROR(MINUS(DIVIDE(VLOOKUP($B152,Data!$B$3:$EZ1530,34,FALSE),VLOOKUP($B152,Data!$B$3:$EZ1530,35,FALSE)),1),"")</f>
        <v>0.4007914076</v>
      </c>
      <c r="M152" s="48">
        <f>IFERROR(MINUS(DIVIDE(VLOOKUP($B152,Data!$B$3:$EZ1530,39,FALSE),VLOOKUP($B152,Data!$B$3:$EZ1530,40,FALSE)),1),"")</f>
        <v>0.9772590543</v>
      </c>
      <c r="N152" s="48">
        <f>IFERROR(MINUS(DIVIDE(VLOOKUP($B152,Data!$B$3:$EZ1530,44,FALSE),VLOOKUP($B152,Data!$B$3:$EZ1530,45,FALSE)),1),"")</f>
        <v>0.2587830767</v>
      </c>
      <c r="O152" s="50">
        <f>IFERROR(VLOOKUP($B152,Data!$B$3:$D1530,2,FALSE),"")</f>
        <v>11010</v>
      </c>
      <c r="P152" s="50" t="str">
        <f>IFERROR(VLOOKUP($B152,Data!$B$3:$D1530,3,FALSE),"")</f>
        <v/>
      </c>
      <c r="Q152" s="48" t="str">
        <f t="shared" si="2"/>
        <v/>
      </c>
      <c r="R152" s="48"/>
      <c r="S152" s="48"/>
      <c r="T152" s="48"/>
      <c r="U152" s="48"/>
      <c r="V152" s="48"/>
      <c r="W152" s="50"/>
      <c r="Z152" s="11"/>
      <c r="AA152" s="12"/>
    </row>
    <row r="153">
      <c r="A153" s="9">
        <f t="shared" si="1"/>
        <v>150</v>
      </c>
      <c r="B153" s="47" t="s">
        <v>286</v>
      </c>
      <c r="C153" s="48" t="str">
        <f>IFERROR(DIVIDE(VLOOKUP($B153,Data!$B$3:$AB$1535,9,FALSE),VLOOKUP($B153,Data!$B$3:$AB$1535,4,FALSE)),"")</f>
        <v/>
      </c>
      <c r="D153" s="48" t="str">
        <f>IFERROR(DIVIDE(VLOOKUP($B153,Data!$B$3:$AB$1535,24,FALSE),VLOOKUP($B153,Data!$B$3:$AB$1535,4,FALSE)),"")</f>
        <v/>
      </c>
      <c r="E153" s="48" t="str">
        <f>IFERROR(DIVIDE(VLOOKUP($B153,Data!$B$3:$EZ1530,29,FALSE),VLOOKUP($B153,Data!$B$3:$EZ1530,4,FALSE)),"")</f>
        <v/>
      </c>
      <c r="F153" s="48" t="str">
        <f>IFERROR(DIVIDE(VLOOKUP($B153,Data!$B$3:$EZ1530,34,FALSE),VLOOKUP($B153,Data!$B$3:$EZ1530,4,FALSE)),"")</f>
        <v/>
      </c>
      <c r="G153" s="48" t="str">
        <f>IFERROR(DIVIDE(VLOOKUP($B153,Data!$B$3:$EZ1530,39,FALSE),VLOOKUP($B153,Data!$B$3:$EZ1530,4,FALSE)),"")</f>
        <v/>
      </c>
      <c r="H153" s="48" t="str">
        <f>IFERROR(DIVIDE(VLOOKUP($B153,Data!$B$3:$EZ1530,44,FALSE),VLOOKUP($B153,Data!$B$3:$EZ1530,4,FALSE)),"")</f>
        <v/>
      </c>
      <c r="I153" s="48">
        <f>IFERROR(MINUS(DIVIDE(VLOOKUP($B153,Data!$B$3:$EZ1530,9,FALSE),VLOOKUP($B153,Data!$B$3:$EZ1530,10,FALSE)),1),"")</f>
        <v>1.707602339</v>
      </c>
      <c r="J153" s="48" t="str">
        <f>IFERROR(MINUS(DIVIDE(VLOOKUP($B153,Data!$B$3:$EZ1530,24,FALSE),VLOOKUP($B153,Data!$B$3:$EZ1530,25,FALSE)),1),"")</f>
        <v/>
      </c>
      <c r="K153" s="48">
        <f>IFERROR(MINUS(DIVIDE(VLOOKUP($B153,Data!$B$3:$EZ1530,29,FALSE),VLOOKUP($B153,Data!$B$3:$EZ1530,30,FALSE)),1),"")</f>
        <v>1.67394636</v>
      </c>
      <c r="L153" s="48">
        <f>IFERROR(MINUS(DIVIDE(VLOOKUP($B153,Data!$B$3:$EZ1530,34,FALSE),VLOOKUP($B153,Data!$B$3:$EZ1530,35,FALSE)),1),"")</f>
        <v>1.453231144</v>
      </c>
      <c r="M153" s="48">
        <f>IFERROR(MINUS(DIVIDE(VLOOKUP($B153,Data!$B$3:$EZ1530,39,FALSE),VLOOKUP($B153,Data!$B$3:$EZ1530,40,FALSE)),1),"")</f>
        <v>1.770327467</v>
      </c>
      <c r="N153" s="48">
        <f>IFERROR(MINUS(DIVIDE(VLOOKUP($B153,Data!$B$3:$EZ1530,44,FALSE),VLOOKUP($B153,Data!$B$3:$EZ1530,45,FALSE)),1),"")</f>
        <v>2.220606827</v>
      </c>
      <c r="O153" s="50">
        <f>IFERROR(VLOOKUP($B153,Data!$B$3:$D1530,2,FALSE),"")</f>
        <v>1290</v>
      </c>
      <c r="P153" s="50">
        <f>IFERROR(VLOOKUP($B153,Data!$B$3:$D1530,3,FALSE),"")</f>
        <v>1260</v>
      </c>
      <c r="Q153" s="48">
        <f t="shared" si="2"/>
        <v>0.02380952381</v>
      </c>
      <c r="R153" s="48"/>
      <c r="S153" s="48"/>
      <c r="T153" s="48"/>
      <c r="U153" s="48"/>
      <c r="V153" s="48"/>
      <c r="W153" s="50"/>
      <c r="Z153" s="15"/>
      <c r="AA153" s="15"/>
    </row>
    <row r="154">
      <c r="A154" s="9">
        <f t="shared" si="1"/>
        <v>151</v>
      </c>
      <c r="B154" s="47" t="s">
        <v>287</v>
      </c>
      <c r="C154" s="48">
        <f>IFERROR(DIVIDE(VLOOKUP($B154,Data!$B$3:$AB$1535,9,FALSE),VLOOKUP($B154,Data!$B$3:$AB$1535,4,FALSE)),"")</f>
        <v>0.2085233645</v>
      </c>
      <c r="D154" s="48">
        <f>IFERROR(DIVIDE(VLOOKUP($B154,Data!$B$3:$AB$1535,24,FALSE),VLOOKUP($B154,Data!$B$3:$AB$1535,4,FALSE)),"")</f>
        <v>0.1404392523</v>
      </c>
      <c r="E154" s="48">
        <f>IFERROR(DIVIDE(VLOOKUP($B154,Data!$B$3:$EZ1530,29,FALSE),VLOOKUP($B154,Data!$B$3:$EZ1530,4,FALSE)),"")</f>
        <v>0.2025046729</v>
      </c>
      <c r="F154" s="48">
        <f>IFERROR(DIVIDE(VLOOKUP($B154,Data!$B$3:$EZ1530,34,FALSE),VLOOKUP($B154,Data!$B$3:$EZ1530,4,FALSE)),"")</f>
        <v>0.4385560748</v>
      </c>
      <c r="G154" s="48">
        <f>IFERROR(DIVIDE(VLOOKUP($B154,Data!$B$3:$EZ1530,39,FALSE),VLOOKUP($B154,Data!$B$3:$EZ1530,4,FALSE)),"")</f>
        <v>0.1398831776</v>
      </c>
      <c r="H154" s="48">
        <f>IFERROR(DIVIDE(VLOOKUP($B154,Data!$B$3:$EZ1530,44,FALSE),VLOOKUP($B154,Data!$B$3:$EZ1530,4,FALSE)),"")</f>
        <v>0.2495046729</v>
      </c>
      <c r="I154" s="48">
        <f>IFERROR(MINUS(DIVIDE(VLOOKUP($B154,Data!$B$3:$EZ1530,9,FALSE),VLOOKUP($B154,Data!$B$3:$EZ1530,10,FALSE)),1),"")</f>
        <v>0.07418997641</v>
      </c>
      <c r="J154" s="48">
        <f>IFERROR(MINUS(DIVIDE(VLOOKUP($B154,Data!$B$3:$EZ1530,24,FALSE),VLOOKUP($B154,Data!$B$3:$EZ1530,25,FALSE)),1),"")</f>
        <v>-2.790527256</v>
      </c>
      <c r="K154" s="48">
        <f>IFERROR(MINUS(DIVIDE(VLOOKUP($B154,Data!$B$3:$EZ1530,29,FALSE),VLOOKUP($B154,Data!$B$3:$EZ1530,30,FALSE)),1),"")</f>
        <v>-2.8350271</v>
      </c>
      <c r="L154" s="48">
        <f>IFERROR(MINUS(DIVIDE(VLOOKUP($B154,Data!$B$3:$EZ1530,34,FALSE),VLOOKUP($B154,Data!$B$3:$EZ1530,35,FALSE)),1),"")</f>
        <v>0.07941710947</v>
      </c>
      <c r="M154" s="48">
        <f>IFERROR(MINUS(DIVIDE(VLOOKUP($B154,Data!$B$3:$EZ1530,39,FALSE),VLOOKUP($B154,Data!$B$3:$EZ1530,40,FALSE)),1),"")</f>
        <v>-1.811510518</v>
      </c>
      <c r="N154" s="48">
        <f>IFERROR(MINUS(DIVIDE(VLOOKUP($B154,Data!$B$3:$EZ1530,44,FALSE),VLOOKUP($B154,Data!$B$3:$EZ1530,45,FALSE)),1),"")</f>
        <v>0.2710436107</v>
      </c>
      <c r="O154" s="50">
        <f>IFERROR(VLOOKUP($B154,Data!$B$3:$D1530,2,FALSE),"")</f>
        <v>2060000</v>
      </c>
      <c r="P154" s="50">
        <f>IFERROR(VLOOKUP($B154,Data!$B$3:$D1530,3,FALSE),"")</f>
        <v>1790000</v>
      </c>
      <c r="Q154" s="48">
        <f t="shared" si="2"/>
        <v>0.1508379888</v>
      </c>
      <c r="R154" s="48"/>
      <c r="S154" s="48"/>
      <c r="T154" s="48"/>
      <c r="U154" s="48"/>
      <c r="V154" s="48"/>
      <c r="W154" s="50"/>
      <c r="Z154" s="11"/>
      <c r="AA154" s="12"/>
    </row>
    <row r="155">
      <c r="A155" s="9">
        <f t="shared" si="1"/>
        <v>152</v>
      </c>
      <c r="B155" s="47" t="s">
        <v>288</v>
      </c>
      <c r="C155" s="48">
        <f>IFERROR(DIVIDE(VLOOKUP($B155,Data!$B$3:$AB$1535,9,FALSE),VLOOKUP($B155,Data!$B$3:$AB$1535,4,FALSE)),"")</f>
        <v>0.4199564389</v>
      </c>
      <c r="D155" s="48">
        <f>IFERROR(DIVIDE(VLOOKUP($B155,Data!$B$3:$AB$1535,24,FALSE),VLOOKUP($B155,Data!$B$3:$AB$1535,4,FALSE)),"")</f>
        <v>0.1283419548</v>
      </c>
      <c r="E155" s="48">
        <f>IFERROR(DIVIDE(VLOOKUP($B155,Data!$B$3:$EZ1530,29,FALSE),VLOOKUP($B155,Data!$B$3:$EZ1530,4,FALSE)),"")</f>
        <v>0.1433977675</v>
      </c>
      <c r="F155" s="48">
        <f>IFERROR(DIVIDE(VLOOKUP($B155,Data!$B$3:$EZ1530,34,FALSE),VLOOKUP($B155,Data!$B$3:$EZ1530,4,FALSE)),"")</f>
        <v>0.1574190035</v>
      </c>
      <c r="G155" s="48">
        <f>IFERROR(DIVIDE(VLOOKUP($B155,Data!$B$3:$EZ1530,39,FALSE),VLOOKUP($B155,Data!$B$3:$EZ1530,4,FALSE)),"")</f>
        <v>0.1125510482</v>
      </c>
      <c r="H155" s="48">
        <f>IFERROR(DIVIDE(VLOOKUP($B155,Data!$B$3:$EZ1530,44,FALSE),VLOOKUP($B155,Data!$B$3:$EZ1530,4,FALSE)),"")</f>
        <v>0.06833650967</v>
      </c>
      <c r="I155" s="48">
        <f>IFERROR(MINUS(DIVIDE(VLOOKUP($B155,Data!$B$3:$EZ1530,9,FALSE),VLOOKUP($B155,Data!$B$3:$EZ1530,10,FALSE)),1),"")</f>
        <v>0.2013239875</v>
      </c>
      <c r="J155" s="48">
        <f>IFERROR(MINUS(DIVIDE(VLOOKUP($B155,Data!$B$3:$EZ1530,24,FALSE),VLOOKUP($B155,Data!$B$3:$EZ1530,25,FALSE)),1),"")</f>
        <v>0.3934377771</v>
      </c>
      <c r="K155" s="48">
        <f>IFERROR(MINUS(DIVIDE(VLOOKUP($B155,Data!$B$3:$EZ1530,29,FALSE),VLOOKUP($B155,Data!$B$3:$EZ1530,30,FALSE)),1),"")</f>
        <v>0.04338351823</v>
      </c>
      <c r="L155" s="48">
        <f>IFERROR(MINUS(DIVIDE(VLOOKUP($B155,Data!$B$3:$EZ1530,34,FALSE),VLOOKUP($B155,Data!$B$3:$EZ1530,35,FALSE)),1),"")</f>
        <v>0.2599694923</v>
      </c>
      <c r="M155" s="48">
        <f>IFERROR(MINUS(DIVIDE(VLOOKUP($B155,Data!$B$3:$EZ1530,39,FALSE),VLOOKUP($B155,Data!$B$3:$EZ1530,40,FALSE)),1),"")</f>
        <v>-0.01360057266</v>
      </c>
      <c r="N155" s="48">
        <f>IFERROR(MINUS(DIVIDE(VLOOKUP($B155,Data!$B$3:$EZ1530,44,FALSE),VLOOKUP($B155,Data!$B$3:$EZ1530,45,FALSE)),1),"")</f>
        <v>0.303219107</v>
      </c>
      <c r="O155" s="50">
        <f>IFERROR(VLOOKUP($B155,Data!$B$3:$D1530,2,FALSE),"")</f>
        <v>446670</v>
      </c>
      <c r="P155" s="50">
        <f>IFERROR(VLOOKUP($B155,Data!$B$3:$D1530,3,FALSE),"")</f>
        <v>402570</v>
      </c>
      <c r="Q155" s="48">
        <f t="shared" si="2"/>
        <v>0.1095461659</v>
      </c>
      <c r="R155" s="48"/>
      <c r="S155" s="48"/>
      <c r="T155" s="48"/>
      <c r="U155" s="48"/>
      <c r="V155" s="48"/>
      <c r="W155" s="50"/>
      <c r="Z155" s="11"/>
      <c r="AA155" s="11"/>
    </row>
    <row r="156">
      <c r="A156" s="9">
        <f t="shared" si="1"/>
        <v>153</v>
      </c>
      <c r="B156" s="47" t="s">
        <v>289</v>
      </c>
      <c r="C156" s="48">
        <f>IFERROR(DIVIDE(VLOOKUP($B156,Data!$B$3:$AB$1535,9,FALSE),VLOOKUP($B156,Data!$B$3:$AB$1535,4,FALSE)),"")</f>
        <v>0.3787992055</v>
      </c>
      <c r="D156" s="48">
        <f>IFERROR(DIVIDE(VLOOKUP($B156,Data!$B$3:$AB$1535,24,FALSE),VLOOKUP($B156,Data!$B$3:$AB$1535,4,FALSE)),"")</f>
        <v>0.0560029048</v>
      </c>
      <c r="E156" s="48">
        <f>IFERROR(DIVIDE(VLOOKUP($B156,Data!$B$3:$EZ1530,29,FALSE),VLOOKUP($B156,Data!$B$3:$EZ1530,4,FALSE)),"")</f>
        <v>0.04060317393</v>
      </c>
      <c r="F156" s="48">
        <f>IFERROR(DIVIDE(VLOOKUP($B156,Data!$B$3:$EZ1530,34,FALSE),VLOOKUP($B156,Data!$B$3:$EZ1530,4,FALSE)),"")</f>
        <v>0.09805848053</v>
      </c>
      <c r="G156" s="48">
        <f>IFERROR(DIVIDE(VLOOKUP($B156,Data!$B$3:$EZ1530,39,FALSE),VLOOKUP($B156,Data!$B$3:$EZ1530,4,FALSE)),"")</f>
        <v>0.02904803605</v>
      </c>
      <c r="H156" s="48">
        <f>IFERROR(DIVIDE(VLOOKUP($B156,Data!$B$3:$EZ1530,44,FALSE),VLOOKUP($B156,Data!$B$3:$EZ1530,4,FALSE)),"")</f>
        <v>0.01975693629</v>
      </c>
      <c r="I156" s="48">
        <f>IFERROR(MINUS(DIVIDE(VLOOKUP($B156,Data!$B$3:$EZ1530,9,FALSE),VLOOKUP($B156,Data!$B$3:$EZ1530,10,FALSE)),1),"")</f>
        <v>-0.02891091277</v>
      </c>
      <c r="J156" s="48">
        <f>IFERROR(MINUS(DIVIDE(VLOOKUP($B156,Data!$B$3:$EZ1530,24,FALSE),VLOOKUP($B156,Data!$B$3:$EZ1530,25,FALSE)),1),"")</f>
        <v>-0.303030303</v>
      </c>
      <c r="K156" s="48">
        <f>IFERROR(MINUS(DIVIDE(VLOOKUP($B156,Data!$B$3:$EZ1530,29,FALSE),VLOOKUP($B156,Data!$B$3:$EZ1530,30,FALSE)),1),"")</f>
        <v>-0.4342261905</v>
      </c>
      <c r="L156" s="48">
        <f>IFERROR(MINUS(DIVIDE(VLOOKUP($B156,Data!$B$3:$EZ1530,34,FALSE),VLOOKUP($B156,Data!$B$3:$EZ1530,35,FALSE)),1),"")</f>
        <v>-0.207218097</v>
      </c>
      <c r="M156" s="48">
        <f>IFERROR(MINUS(DIVIDE(VLOOKUP($B156,Data!$B$3:$EZ1530,39,FALSE),VLOOKUP($B156,Data!$B$3:$EZ1530,40,FALSE)),1),"")</f>
        <v>-0.4380165289</v>
      </c>
      <c r="N156" s="48">
        <f>IFERROR(MINUS(DIVIDE(VLOOKUP($B156,Data!$B$3:$EZ1530,44,FALSE),VLOOKUP($B156,Data!$B$3:$EZ1530,45,FALSE)),1),"")</f>
        <v>-0.1850220264</v>
      </c>
      <c r="O156" s="50">
        <f>IFERROR(VLOOKUP($B156,Data!$B$3:$D1530,2,FALSE),"")</f>
        <v>507400</v>
      </c>
      <c r="P156" s="50">
        <f>IFERROR(VLOOKUP($B156,Data!$B$3:$D1530,3,FALSE),"")</f>
        <v>485750</v>
      </c>
      <c r="Q156" s="48">
        <f t="shared" si="2"/>
        <v>0.04457025219</v>
      </c>
      <c r="R156" s="48"/>
      <c r="S156" s="48"/>
      <c r="T156" s="48"/>
      <c r="U156" s="48"/>
      <c r="V156" s="48"/>
      <c r="W156" s="50"/>
      <c r="Z156" s="15"/>
      <c r="AA156" s="15"/>
    </row>
    <row r="157">
      <c r="A157" s="9">
        <f t="shared" si="1"/>
        <v>154</v>
      </c>
      <c r="B157" s="47" t="s">
        <v>290</v>
      </c>
      <c r="C157" s="48">
        <f>IFERROR(DIVIDE(VLOOKUP($B157,Data!$B$3:$AB$1535,9,FALSE),VLOOKUP($B157,Data!$B$3:$AB$1535,4,FALSE)),"")</f>
        <v>0.7815878378</v>
      </c>
      <c r="D157" s="48">
        <f>IFERROR(DIVIDE(VLOOKUP($B157,Data!$B$3:$AB$1535,24,FALSE),VLOOKUP($B157,Data!$B$3:$AB$1535,4,FALSE)),"")</f>
        <v>-0.4072635135</v>
      </c>
      <c r="E157" s="48">
        <f>IFERROR(DIVIDE(VLOOKUP($B157,Data!$B$3:$EZ1530,29,FALSE),VLOOKUP($B157,Data!$B$3:$EZ1530,4,FALSE)),"")</f>
        <v>-0.6515202703</v>
      </c>
      <c r="F157" s="48">
        <f>IFERROR(DIVIDE(VLOOKUP($B157,Data!$B$3:$EZ1530,34,FALSE),VLOOKUP($B157,Data!$B$3:$EZ1530,4,FALSE)),"")</f>
        <v>-0.2422297297</v>
      </c>
      <c r="G157" s="48">
        <f>IFERROR(DIVIDE(VLOOKUP($B157,Data!$B$3:$EZ1530,39,FALSE),VLOOKUP($B157,Data!$B$3:$EZ1530,4,FALSE)),"")</f>
        <v>-0.5611486486</v>
      </c>
      <c r="H157" s="48">
        <f>IFERROR(DIVIDE(VLOOKUP($B157,Data!$B$3:$EZ1530,44,FALSE),VLOOKUP($B157,Data!$B$3:$EZ1530,4,FALSE)),"")</f>
        <v>-0.6472972973</v>
      </c>
      <c r="I157" s="48">
        <f>IFERROR(MINUS(DIVIDE(VLOOKUP($B157,Data!$B$3:$EZ1530,9,FALSE),VLOOKUP($B157,Data!$B$3:$EZ1530,10,FALSE)),1),"")</f>
        <v>-0.4146742568</v>
      </c>
      <c r="J157" s="48">
        <f>IFERROR(MINUS(DIVIDE(VLOOKUP($B157,Data!$B$3:$EZ1530,24,FALSE),VLOOKUP($B157,Data!$B$3:$EZ1530,25,FALSE)),1),"")</f>
        <v>-0.769964698</v>
      </c>
      <c r="K157" s="48">
        <f>IFERROR(MINUS(DIVIDE(VLOOKUP($B157,Data!$B$3:$EZ1530,29,FALSE),VLOOKUP($B157,Data!$B$3:$EZ1530,30,FALSE)),1),"")</f>
        <v>-0.6589140432</v>
      </c>
      <c r="L157" s="48">
        <f>IFERROR(MINUS(DIVIDE(VLOOKUP($B157,Data!$B$3:$EZ1530,34,FALSE),VLOOKUP($B157,Data!$B$3:$EZ1530,35,FALSE)),1),"")</f>
        <v>-0.7297908423</v>
      </c>
      <c r="M157" s="48">
        <f>IFERROR(MINUS(DIVIDE(VLOOKUP($B157,Data!$B$3:$EZ1530,39,FALSE),VLOOKUP($B157,Data!$B$3:$EZ1530,40,FALSE)),1),"")</f>
        <v>-0.6510504202</v>
      </c>
      <c r="N157" s="48">
        <f>IFERROR(MINUS(DIVIDE(VLOOKUP($B157,Data!$B$3:$EZ1530,44,FALSE),VLOOKUP($B157,Data!$B$3:$EZ1530,45,FALSE)),1),"")</f>
        <v>-0.5362459155</v>
      </c>
      <c r="O157" s="50">
        <f>IFERROR(VLOOKUP($B157,Data!$B$3:$D1530,2,FALSE),"")</f>
        <v>26460</v>
      </c>
      <c r="P157" s="50">
        <f>IFERROR(VLOOKUP($B157,Data!$B$3:$D1530,3,FALSE),"")</f>
        <v>27680</v>
      </c>
      <c r="Q157" s="48">
        <f t="shared" si="2"/>
        <v>-0.04407514451</v>
      </c>
      <c r="R157" s="48"/>
      <c r="S157" s="48"/>
      <c r="T157" s="48"/>
      <c r="U157" s="48"/>
      <c r="V157" s="48"/>
      <c r="W157" s="50"/>
      <c r="Z157" s="11"/>
      <c r="AA157" s="11"/>
    </row>
    <row r="158">
      <c r="A158" s="9">
        <f t="shared" si="1"/>
        <v>155</v>
      </c>
      <c r="B158" s="47" t="s">
        <v>291</v>
      </c>
      <c r="C158" s="48">
        <f>IFERROR(DIVIDE(VLOOKUP($B158,Data!$B$3:$AB$1535,9,FALSE),VLOOKUP($B158,Data!$B$3:$AB$1535,4,FALSE)),"")</f>
        <v>0</v>
      </c>
      <c r="D158" s="48">
        <f>IFERROR(DIVIDE(VLOOKUP($B158,Data!$B$3:$AB$1535,24,FALSE),VLOOKUP($B158,Data!$B$3:$AB$1535,4,FALSE)),"")</f>
        <v>0.3888888889</v>
      </c>
      <c r="E158" s="48">
        <f>IFERROR(DIVIDE(VLOOKUP($B158,Data!$B$3:$EZ1530,29,FALSE),VLOOKUP($B158,Data!$B$3:$EZ1530,4,FALSE)),"")</f>
        <v>0.3260416667</v>
      </c>
      <c r="F158" s="48">
        <f>IFERROR(DIVIDE(VLOOKUP($B158,Data!$B$3:$EZ1530,34,FALSE),VLOOKUP($B158,Data!$B$3:$EZ1530,4,FALSE)),"")</f>
        <v>-0.01298611111</v>
      </c>
      <c r="G158" s="48">
        <f>IFERROR(DIVIDE(VLOOKUP($B158,Data!$B$3:$EZ1530,39,FALSE),VLOOKUP($B158,Data!$B$3:$EZ1530,4,FALSE)),"")</f>
        <v>0.3260416667</v>
      </c>
      <c r="H158" s="48">
        <f>IFERROR(DIVIDE(VLOOKUP($B158,Data!$B$3:$EZ1530,44,FALSE),VLOOKUP($B158,Data!$B$3:$EZ1530,4,FALSE)),"")</f>
        <v>-0.1013888889</v>
      </c>
      <c r="I158" s="48" t="str">
        <f>IFERROR(MINUS(DIVIDE(VLOOKUP($B158,Data!$B$3:$EZ1530,9,FALSE),VLOOKUP($B158,Data!$B$3:$EZ1530,10,FALSE)),1),"")</f>
        <v/>
      </c>
      <c r="J158" s="48">
        <f>IFERROR(MINUS(DIVIDE(VLOOKUP($B158,Data!$B$3:$EZ1530,24,FALSE),VLOOKUP($B158,Data!$B$3:$EZ1530,25,FALSE)),1),"")</f>
        <v>-4.566878981</v>
      </c>
      <c r="K158" s="48">
        <f>IFERROR(MINUS(DIVIDE(VLOOKUP($B158,Data!$B$3:$EZ1530,29,FALSE),VLOOKUP($B158,Data!$B$3:$EZ1530,30,FALSE)),1),"")</f>
        <v>-2.761726079</v>
      </c>
      <c r="L158" s="48">
        <f>IFERROR(MINUS(DIVIDE(VLOOKUP($B158,Data!$B$3:$EZ1530,34,FALSE),VLOOKUP($B158,Data!$B$3:$EZ1530,35,FALSE)),1),"")</f>
        <v>-0.9856264412</v>
      </c>
      <c r="M158" s="48">
        <f>IFERROR(MINUS(DIVIDE(VLOOKUP($B158,Data!$B$3:$EZ1530,39,FALSE),VLOOKUP($B158,Data!$B$3:$EZ1530,40,FALSE)),1),"")</f>
        <v>-2.761726079</v>
      </c>
      <c r="N158" s="48">
        <f>IFERROR(MINUS(DIVIDE(VLOOKUP($B158,Data!$B$3:$EZ1530,44,FALSE),VLOOKUP($B158,Data!$B$3:$EZ1530,45,FALSE)),1),"")</f>
        <v>-0.883339992</v>
      </c>
      <c r="O158" s="50">
        <f>IFERROR(VLOOKUP($B158,Data!$B$3:$D1530,2,FALSE),"")</f>
        <v>19780</v>
      </c>
      <c r="P158" s="50">
        <f>IFERROR(VLOOKUP($B158,Data!$B$3:$D1530,3,FALSE),"")</f>
        <v>7470</v>
      </c>
      <c r="Q158" s="48">
        <f t="shared" si="2"/>
        <v>1.647925033</v>
      </c>
      <c r="R158" s="48"/>
      <c r="S158" s="48"/>
      <c r="T158" s="48"/>
      <c r="U158" s="48"/>
      <c r="V158" s="48"/>
      <c r="W158" s="50"/>
      <c r="Z158" s="15"/>
      <c r="AA158" s="15"/>
    </row>
    <row r="159">
      <c r="A159" s="9">
        <f t="shared" si="1"/>
        <v>156</v>
      </c>
      <c r="B159" s="47" t="s">
        <v>292</v>
      </c>
      <c r="C159" s="48">
        <f>IFERROR(DIVIDE(VLOOKUP($B159,Data!$B$3:$AB$1535,9,FALSE),VLOOKUP($B159,Data!$B$3:$AB$1535,4,FALSE)),"")</f>
        <v>0.4716814159</v>
      </c>
      <c r="D159" s="48">
        <f>IFERROR(DIVIDE(VLOOKUP($B159,Data!$B$3:$AB$1535,24,FALSE),VLOOKUP($B159,Data!$B$3:$AB$1535,4,FALSE)),"")</f>
        <v>0.1915929204</v>
      </c>
      <c r="E159" s="48">
        <f>IFERROR(DIVIDE(VLOOKUP($B159,Data!$B$3:$EZ1530,29,FALSE),VLOOKUP($B159,Data!$B$3:$EZ1530,4,FALSE)),"")</f>
        <v>0.09867256637</v>
      </c>
      <c r="F159" s="48">
        <f>IFERROR(DIVIDE(VLOOKUP($B159,Data!$B$3:$EZ1530,34,FALSE),VLOOKUP($B159,Data!$B$3:$EZ1530,4,FALSE)),"")</f>
        <v>0.4473451327</v>
      </c>
      <c r="G159" s="48">
        <f>IFERROR(DIVIDE(VLOOKUP($B159,Data!$B$3:$EZ1530,39,FALSE),VLOOKUP($B159,Data!$B$3:$EZ1530,4,FALSE)),"")</f>
        <v>0.1212389381</v>
      </c>
      <c r="H159" s="48">
        <f>IFERROR(DIVIDE(VLOOKUP($B159,Data!$B$3:$EZ1530,44,FALSE),VLOOKUP($B159,Data!$B$3:$EZ1530,4,FALSE)),"")</f>
        <v>0.4292035398</v>
      </c>
      <c r="I159" s="48">
        <f>IFERROR(MINUS(DIVIDE(VLOOKUP($B159,Data!$B$3:$EZ1530,9,FALSE),VLOOKUP($B159,Data!$B$3:$EZ1530,10,FALSE)),1),"")</f>
        <v>0.04407443683</v>
      </c>
      <c r="J159" s="48">
        <f>IFERROR(MINUS(DIVIDE(VLOOKUP($B159,Data!$B$3:$EZ1530,24,FALSE),VLOOKUP($B159,Data!$B$3:$EZ1530,25,FALSE)),1),"")</f>
        <v>-0.1752380952</v>
      </c>
      <c r="K159" s="48">
        <f>IFERROR(MINUS(DIVIDE(VLOOKUP($B159,Data!$B$3:$EZ1530,29,FALSE),VLOOKUP($B159,Data!$B$3:$EZ1530,30,FALSE)),1),"")</f>
        <v>-0.5098901099</v>
      </c>
      <c r="L159" s="48">
        <f>IFERROR(MINUS(DIVIDE(VLOOKUP($B159,Data!$B$3:$EZ1530,34,FALSE),VLOOKUP($B159,Data!$B$3:$EZ1530,35,FALSE)),1),"")</f>
        <v>0.06984126984</v>
      </c>
      <c r="M159" s="48">
        <f>IFERROR(MINUS(DIVIDE(VLOOKUP($B159,Data!$B$3:$EZ1530,39,FALSE),VLOOKUP($B159,Data!$B$3:$EZ1530,40,FALSE)),1),"")</f>
        <v>-0.7768729642</v>
      </c>
      <c r="N159" s="48">
        <f>IFERROR(MINUS(DIVIDE(VLOOKUP($B159,Data!$B$3:$EZ1530,44,FALSE),VLOOKUP($B159,Data!$B$3:$EZ1530,45,FALSE)),1),"")</f>
        <v>0.09234234234</v>
      </c>
      <c r="O159" s="50">
        <f>IFERROR(VLOOKUP($B159,Data!$B$3:$D1530,2,FALSE),"")</f>
        <v>25050000</v>
      </c>
      <c r="P159" s="50">
        <f>IFERROR(VLOOKUP($B159,Data!$B$3:$D1530,3,FALSE),"")</f>
        <v>23530000</v>
      </c>
      <c r="Q159" s="48">
        <f t="shared" si="2"/>
        <v>0.06459838504</v>
      </c>
      <c r="R159" s="48"/>
      <c r="S159" s="48"/>
      <c r="T159" s="48"/>
      <c r="U159" s="48"/>
      <c r="V159" s="48"/>
      <c r="W159" s="50"/>
      <c r="Z159" s="11"/>
      <c r="AA159" s="11"/>
    </row>
    <row r="160">
      <c r="A160" s="9">
        <f t="shared" si="1"/>
        <v>157</v>
      </c>
      <c r="B160" s="47" t="s">
        <v>293</v>
      </c>
      <c r="C160" s="48">
        <f>IFERROR(DIVIDE(VLOOKUP($B160,Data!$B$3:$AB$1535,9,FALSE),VLOOKUP($B160,Data!$B$3:$AB$1535,4,FALSE)),"")</f>
        <v>-1.402777778</v>
      </c>
      <c r="D160" s="48">
        <f>IFERROR(DIVIDE(VLOOKUP($B160,Data!$B$3:$AB$1535,24,FALSE),VLOOKUP($B160,Data!$B$3:$AB$1535,4,FALSE)),"")</f>
        <v>-18.45833333</v>
      </c>
      <c r="E160" s="48">
        <f>IFERROR(DIVIDE(VLOOKUP($B160,Data!$B$3:$EZ1530,29,FALSE),VLOOKUP($B160,Data!$B$3:$EZ1530,4,FALSE)),"")</f>
        <v>-20.3125</v>
      </c>
      <c r="F160" s="48">
        <f>IFERROR(DIVIDE(VLOOKUP($B160,Data!$B$3:$EZ1530,34,FALSE),VLOOKUP($B160,Data!$B$3:$EZ1530,4,FALSE)),"")</f>
        <v>-17.375</v>
      </c>
      <c r="G160" s="48">
        <f>IFERROR(DIVIDE(VLOOKUP($B160,Data!$B$3:$EZ1530,39,FALSE),VLOOKUP($B160,Data!$B$3:$EZ1530,4,FALSE)),"")</f>
        <v>-20.3125</v>
      </c>
      <c r="H160" s="48">
        <f>IFERROR(DIVIDE(VLOOKUP($B160,Data!$B$3:$EZ1530,44,FALSE),VLOOKUP($B160,Data!$B$3:$EZ1530,4,FALSE)),"")</f>
        <v>-12.27083333</v>
      </c>
      <c r="I160" s="48">
        <f>IFERROR(MINUS(DIVIDE(VLOOKUP($B160,Data!$B$3:$EZ1530,9,FALSE),VLOOKUP($B160,Data!$B$3:$EZ1530,10,FALSE)),1),"")</f>
        <v>0.9056603774</v>
      </c>
      <c r="J160" s="48">
        <f>IFERROR(MINUS(DIVIDE(VLOOKUP($B160,Data!$B$3:$EZ1530,24,FALSE),VLOOKUP($B160,Data!$B$3:$EZ1530,25,FALSE)),1),"")</f>
        <v>0.2260147601</v>
      </c>
      <c r="K160" s="48">
        <f>IFERROR(MINUS(DIVIDE(VLOOKUP($B160,Data!$B$3:$EZ1530,29,FALSE),VLOOKUP($B160,Data!$B$3:$EZ1530,30,FALSE)),1),"")</f>
        <v>0.3454461822</v>
      </c>
      <c r="L160" s="48">
        <f>IFERROR(MINUS(DIVIDE(VLOOKUP($B160,Data!$B$3:$EZ1530,34,FALSE),VLOOKUP($B160,Data!$B$3:$EZ1530,35,FALSE)),1),"")</f>
        <v>0.213385063</v>
      </c>
      <c r="M160" s="48">
        <f>IFERROR(MINUS(DIVIDE(VLOOKUP($B160,Data!$B$3:$EZ1530,39,FALSE),VLOOKUP($B160,Data!$B$3:$EZ1530,40,FALSE)),1),"")</f>
        <v>0.3454461822</v>
      </c>
      <c r="N160" s="48">
        <f>IFERROR(MINUS(DIVIDE(VLOOKUP($B160,Data!$B$3:$EZ1530,44,FALSE),VLOOKUP($B160,Data!$B$3:$EZ1530,45,FALSE)),1),"")</f>
        <v>0.2443661972</v>
      </c>
      <c r="O160" s="50">
        <f>IFERROR(VLOOKUP($B160,Data!$B$3:$D1530,2,FALSE),"")</f>
        <v>3100000</v>
      </c>
      <c r="P160" s="50">
        <f>IFERROR(VLOOKUP($B160,Data!$B$3:$D1530,3,FALSE),"")</f>
        <v>2100000</v>
      </c>
      <c r="Q160" s="48">
        <f t="shared" si="2"/>
        <v>0.4761904762</v>
      </c>
      <c r="R160" s="48"/>
      <c r="S160" s="48"/>
      <c r="T160" s="48"/>
      <c r="U160" s="48"/>
      <c r="V160" s="48"/>
      <c r="W160" s="50"/>
      <c r="Z160" s="11"/>
      <c r="AA160" s="11"/>
    </row>
    <row r="161">
      <c r="A161" s="9">
        <f t="shared" si="1"/>
        <v>158</v>
      </c>
      <c r="B161" s="47" t="s">
        <v>294</v>
      </c>
      <c r="C161" s="48" t="str">
        <f>IFERROR(DIVIDE(VLOOKUP($B161,Data!$B$3:$AB$1535,9,FALSE),VLOOKUP($B161,Data!$B$3:$AB$1535,4,FALSE)),"")</f>
        <v/>
      </c>
      <c r="D161" s="48" t="str">
        <f>IFERROR(DIVIDE(VLOOKUP($B161,Data!$B$3:$AB$1535,24,FALSE),VLOOKUP($B161,Data!$B$3:$AB$1535,4,FALSE)),"")</f>
        <v/>
      </c>
      <c r="E161" s="48" t="str">
        <f>IFERROR(DIVIDE(VLOOKUP($B161,Data!$B$3:$EZ1530,29,FALSE),VLOOKUP($B161,Data!$B$3:$EZ1530,4,FALSE)),"")</f>
        <v/>
      </c>
      <c r="F161" s="48" t="str">
        <f>IFERROR(DIVIDE(VLOOKUP($B161,Data!$B$3:$EZ1530,34,FALSE),VLOOKUP($B161,Data!$B$3:$EZ1530,4,FALSE)),"")</f>
        <v/>
      </c>
      <c r="G161" s="48" t="str">
        <f>IFERROR(DIVIDE(VLOOKUP($B161,Data!$B$3:$EZ1530,39,FALSE),VLOOKUP($B161,Data!$B$3:$EZ1530,4,FALSE)),"")</f>
        <v/>
      </c>
      <c r="H161" s="48" t="str">
        <f>IFERROR(DIVIDE(VLOOKUP($B161,Data!$B$3:$EZ1530,44,FALSE),VLOOKUP($B161,Data!$B$3:$EZ1530,4,FALSE)),"")</f>
        <v/>
      </c>
      <c r="I161" s="48">
        <f>IFERROR(MINUS(DIVIDE(VLOOKUP($B161,Data!$B$3:$EZ1530,9,FALSE),VLOOKUP($B161,Data!$B$3:$EZ1530,10,FALSE)),1),"")</f>
        <v>1.236842105</v>
      </c>
      <c r="J161" s="48">
        <f>IFERROR(MINUS(DIVIDE(VLOOKUP($B161,Data!$B$3:$EZ1530,24,FALSE),VLOOKUP($B161,Data!$B$3:$EZ1530,25,FALSE)),1),"")</f>
        <v>-1</v>
      </c>
      <c r="K161" s="48">
        <f>IFERROR(MINUS(DIVIDE(VLOOKUP($B161,Data!$B$3:$EZ1530,29,FALSE),VLOOKUP($B161,Data!$B$3:$EZ1530,30,FALSE)),1),"")</f>
        <v>0.573986195</v>
      </c>
      <c r="L161" s="48">
        <f>IFERROR(MINUS(DIVIDE(VLOOKUP($B161,Data!$B$3:$EZ1530,34,FALSE),VLOOKUP($B161,Data!$B$3:$EZ1530,35,FALSE)),1),"")</f>
        <v>0.6345399041</v>
      </c>
      <c r="M161" s="48">
        <f>IFERROR(MINUS(DIVIDE(VLOOKUP($B161,Data!$B$3:$EZ1530,39,FALSE),VLOOKUP($B161,Data!$B$3:$EZ1530,40,FALSE)),1),"")</f>
        <v>0.573986195</v>
      </c>
      <c r="N161" s="48">
        <f>IFERROR(MINUS(DIVIDE(VLOOKUP($B161,Data!$B$3:$EZ1530,44,FALSE),VLOOKUP($B161,Data!$B$3:$EZ1530,45,FALSE)),1),"")</f>
        <v>0.7973439575</v>
      </c>
      <c r="O161" s="50" t="str">
        <f>IFERROR(VLOOKUP($B161,Data!$B$3:$D1530,2,FALSE),"")</f>
        <v/>
      </c>
      <c r="P161" s="50" t="str">
        <f>IFERROR(VLOOKUP($B161,Data!$B$3:$D1530,3,FALSE),"")</f>
        <v/>
      </c>
      <c r="Q161" s="48" t="str">
        <f t="shared" si="2"/>
        <v/>
      </c>
      <c r="R161" s="48"/>
      <c r="S161" s="48"/>
      <c r="T161" s="48"/>
      <c r="U161" s="48"/>
      <c r="V161" s="48"/>
      <c r="W161" s="50"/>
      <c r="Z161" s="15"/>
      <c r="AA161" s="15"/>
    </row>
    <row r="162">
      <c r="A162" s="9">
        <f t="shared" si="1"/>
        <v>159</v>
      </c>
      <c r="B162" s="47" t="s">
        <v>295</v>
      </c>
      <c r="C162" s="48">
        <f>IFERROR(DIVIDE(VLOOKUP($B162,Data!$B$3:$AB$1535,9,FALSE),VLOOKUP($B162,Data!$B$3:$AB$1535,4,FALSE)),"")</f>
        <v>0.2665562914</v>
      </c>
      <c r="D162" s="48">
        <f>IFERROR(DIVIDE(VLOOKUP($B162,Data!$B$3:$AB$1535,24,FALSE),VLOOKUP($B162,Data!$B$3:$AB$1535,4,FALSE)),"")</f>
        <v>0.07915562914</v>
      </c>
      <c r="E162" s="48">
        <f>IFERROR(DIVIDE(VLOOKUP($B162,Data!$B$3:$EZ1530,29,FALSE),VLOOKUP($B162,Data!$B$3:$EZ1530,4,FALSE)),"")</f>
        <v>0.006721854305</v>
      </c>
      <c r="F162" s="48">
        <f>IFERROR(DIVIDE(VLOOKUP($B162,Data!$B$3:$EZ1530,34,FALSE),VLOOKUP($B162,Data!$B$3:$EZ1530,4,FALSE)),"")</f>
        <v>0.1614238411</v>
      </c>
      <c r="G162" s="48">
        <f>IFERROR(DIVIDE(VLOOKUP($B162,Data!$B$3:$EZ1530,39,FALSE),VLOOKUP($B162,Data!$B$3:$EZ1530,4,FALSE)),"")</f>
        <v>0.006258278146</v>
      </c>
      <c r="H162" s="48">
        <f>IFERROR(DIVIDE(VLOOKUP($B162,Data!$B$3:$EZ1530,44,FALSE),VLOOKUP($B162,Data!$B$3:$EZ1530,4,FALSE)),"")</f>
        <v>0.05860927152</v>
      </c>
      <c r="I162" s="48">
        <f>IFERROR(MINUS(DIVIDE(VLOOKUP($B162,Data!$B$3:$EZ1530,9,FALSE),VLOOKUP($B162,Data!$B$3:$EZ1530,10,FALSE)),1),"")</f>
        <v>-0.1153846154</v>
      </c>
      <c r="J162" s="48">
        <f>IFERROR(MINUS(DIVIDE(VLOOKUP($B162,Data!$B$3:$EZ1530,24,FALSE),VLOOKUP($B162,Data!$B$3:$EZ1530,25,FALSE)),1),"")</f>
        <v>0.1562273277</v>
      </c>
      <c r="K162" s="48">
        <f>IFERROR(MINUS(DIVIDE(VLOOKUP($B162,Data!$B$3:$EZ1530,29,FALSE),VLOOKUP($B162,Data!$B$3:$EZ1530,30,FALSE)),1),"")</f>
        <v>-1.356766257</v>
      </c>
      <c r="L162" s="48">
        <f>IFERROR(MINUS(DIVIDE(VLOOKUP($B162,Data!$B$3:$EZ1530,34,FALSE),VLOOKUP($B162,Data!$B$3:$EZ1530,35,FALSE)),1),"")</f>
        <v>0.06685633001</v>
      </c>
      <c r="M162" s="48">
        <f>IFERROR(MINUS(DIVIDE(VLOOKUP($B162,Data!$B$3:$EZ1530,39,FALSE),VLOOKUP($B162,Data!$B$3:$EZ1530,40,FALSE)),1),"")</f>
        <v>-1.434982739</v>
      </c>
      <c r="N162" s="48">
        <f>IFERROR(MINUS(DIVIDE(VLOOKUP($B162,Data!$B$3:$EZ1530,44,FALSE),VLOOKUP($B162,Data!$B$3:$EZ1530,45,FALSE)),1),"")</f>
        <v>0.7655860349</v>
      </c>
      <c r="O162" s="50">
        <f>IFERROR(VLOOKUP($B162,Data!$B$3:$D1530,2,FALSE),"")</f>
        <v>6490000</v>
      </c>
      <c r="P162" s="50">
        <f>IFERROR(VLOOKUP($B162,Data!$B$3:$D1530,3,FALSE),"")</f>
        <v>6120000</v>
      </c>
      <c r="Q162" s="48">
        <f t="shared" si="2"/>
        <v>0.06045751634</v>
      </c>
      <c r="R162" s="48"/>
      <c r="S162" s="48"/>
      <c r="T162" s="48"/>
      <c r="U162" s="48"/>
      <c r="V162" s="48"/>
      <c r="W162" s="50"/>
      <c r="Z162" s="11"/>
      <c r="AA162" s="11"/>
    </row>
    <row r="163">
      <c r="A163" s="9">
        <f t="shared" si="1"/>
        <v>160</v>
      </c>
      <c r="B163" s="47" t="s">
        <v>296</v>
      </c>
      <c r="C163" s="48" t="str">
        <f>IFERROR(DIVIDE(VLOOKUP($B163,Data!$B$3:$AB$1535,9,FALSE),VLOOKUP($B163,Data!$B$3:$AB$1535,4,FALSE)),"")</f>
        <v/>
      </c>
      <c r="D163" s="48" t="str">
        <f>IFERROR(DIVIDE(VLOOKUP($B163,Data!$B$3:$AB$1535,24,FALSE),VLOOKUP($B163,Data!$B$3:$AB$1535,4,FALSE)),"")</f>
        <v/>
      </c>
      <c r="E163" s="48" t="str">
        <f>IFERROR(DIVIDE(VLOOKUP($B163,Data!$B$3:$EZ1530,29,FALSE),VLOOKUP($B163,Data!$B$3:$EZ1530,4,FALSE)),"")</f>
        <v/>
      </c>
      <c r="F163" s="48" t="str">
        <f>IFERROR(DIVIDE(VLOOKUP($B163,Data!$B$3:$EZ1530,34,FALSE),VLOOKUP($B163,Data!$B$3:$EZ1530,4,FALSE)),"")</f>
        <v/>
      </c>
      <c r="G163" s="48" t="str">
        <f>IFERROR(DIVIDE(VLOOKUP($B163,Data!$B$3:$EZ1530,39,FALSE),VLOOKUP($B163,Data!$B$3:$EZ1530,4,FALSE)),"")</f>
        <v/>
      </c>
      <c r="H163" s="48" t="str">
        <f>IFERROR(DIVIDE(VLOOKUP($B163,Data!$B$3:$EZ1530,44,FALSE),VLOOKUP($B163,Data!$B$3:$EZ1530,4,FALSE)),"")</f>
        <v/>
      </c>
      <c r="I163" s="48" t="str">
        <f>IFERROR(MINUS(DIVIDE(VLOOKUP($B163,Data!$B$3:$EZ1530,9,FALSE),VLOOKUP($B163,Data!$B$3:$EZ1530,10,FALSE)),1),"")</f>
        <v/>
      </c>
      <c r="J163" s="48" t="str">
        <f>IFERROR(MINUS(DIVIDE(VLOOKUP($B163,Data!$B$3:$EZ1530,24,FALSE),VLOOKUP($B163,Data!$B$3:$EZ1530,25,FALSE)),1),"")</f>
        <v/>
      </c>
      <c r="K163" s="48">
        <f>IFERROR(MINUS(DIVIDE(VLOOKUP($B163,Data!$B$3:$EZ1530,29,FALSE),VLOOKUP($B163,Data!$B$3:$EZ1530,30,FALSE)),1),"")</f>
        <v>0.5086796423</v>
      </c>
      <c r="L163" s="48">
        <f>IFERROR(MINUS(DIVIDE(VLOOKUP($B163,Data!$B$3:$EZ1530,34,FALSE),VLOOKUP($B163,Data!$B$3:$EZ1530,35,FALSE)),1),"")</f>
        <v>0.5059493016</v>
      </c>
      <c r="M163" s="48">
        <f>IFERROR(MINUS(DIVIDE(VLOOKUP($B163,Data!$B$3:$EZ1530,39,FALSE),VLOOKUP($B163,Data!$B$3:$EZ1530,40,FALSE)),1),"")</f>
        <v>0.524057971</v>
      </c>
      <c r="N163" s="48">
        <f>IFERROR(MINUS(DIVIDE(VLOOKUP($B163,Data!$B$3:$EZ1530,44,FALSE),VLOOKUP($B163,Data!$B$3:$EZ1530,45,FALSE)),1),"")</f>
        <v>0.4652996845</v>
      </c>
      <c r="O163" s="50" t="str">
        <f>IFERROR(VLOOKUP($B163,Data!$B$3:$D1530,2,FALSE),"")</f>
        <v/>
      </c>
      <c r="P163" s="50" t="str">
        <f>IFERROR(VLOOKUP($B163,Data!$B$3:$D1530,3,FALSE),"")</f>
        <v/>
      </c>
      <c r="Q163" s="48" t="str">
        <f t="shared" si="2"/>
        <v/>
      </c>
      <c r="R163" s="48"/>
      <c r="S163" s="48"/>
      <c r="T163" s="48"/>
      <c r="U163" s="48"/>
      <c r="V163" s="48"/>
      <c r="W163" s="50"/>
      <c r="Z163" s="12"/>
      <c r="AA163" s="12"/>
    </row>
    <row r="164">
      <c r="A164" s="9">
        <f t="shared" si="1"/>
        <v>161</v>
      </c>
      <c r="B164" s="47" t="s">
        <v>297</v>
      </c>
      <c r="C164" s="48">
        <f>IFERROR(DIVIDE(VLOOKUP($B164,Data!$B$3:$AB$1535,9,FALSE),VLOOKUP($B164,Data!$B$3:$AB$1535,4,FALSE)),"")</f>
        <v>0.3804807692</v>
      </c>
      <c r="D164" s="48">
        <f>IFERROR(DIVIDE(VLOOKUP($B164,Data!$B$3:$AB$1535,24,FALSE),VLOOKUP($B164,Data!$B$3:$AB$1535,4,FALSE)),"")</f>
        <v>0.2123076923</v>
      </c>
      <c r="E164" s="48">
        <f>IFERROR(DIVIDE(VLOOKUP($B164,Data!$B$3:$EZ1530,29,FALSE),VLOOKUP($B164,Data!$B$3:$EZ1530,4,FALSE)),"")</f>
        <v>0.2878846154</v>
      </c>
      <c r="F164" s="48">
        <f>IFERROR(DIVIDE(VLOOKUP($B164,Data!$B$3:$EZ1530,34,FALSE),VLOOKUP($B164,Data!$B$3:$EZ1530,4,FALSE)),"")</f>
        <v>0.3005769231</v>
      </c>
      <c r="G164" s="48">
        <f>IFERROR(DIVIDE(VLOOKUP($B164,Data!$B$3:$EZ1530,39,FALSE),VLOOKUP($B164,Data!$B$3:$EZ1530,4,FALSE)),"")</f>
        <v>0.2325</v>
      </c>
      <c r="H164" s="48">
        <f>IFERROR(DIVIDE(VLOOKUP($B164,Data!$B$3:$EZ1530,44,FALSE),VLOOKUP($B164,Data!$B$3:$EZ1530,4,FALSE)),"")</f>
        <v>0.1756730769</v>
      </c>
      <c r="I164" s="48">
        <f>IFERROR(MINUS(DIVIDE(VLOOKUP($B164,Data!$B$3:$EZ1530,9,FALSE),VLOOKUP($B164,Data!$B$3:$EZ1530,10,FALSE)),1),"")</f>
        <v>0.1868626275</v>
      </c>
      <c r="J164" s="48" t="str">
        <f>IFERROR(MINUS(DIVIDE(VLOOKUP($B164,Data!$B$3:$EZ1530,24,FALSE),VLOOKUP($B164,Data!$B$3:$EZ1530,25,FALSE)),1),"")</f>
        <v/>
      </c>
      <c r="K164" s="48">
        <f>IFERROR(MINUS(DIVIDE(VLOOKUP($B164,Data!$B$3:$EZ1530,29,FALSE),VLOOKUP($B164,Data!$B$3:$EZ1530,30,FALSE)),1),"")</f>
        <v>0.2336217553</v>
      </c>
      <c r="L164" s="48">
        <f>IFERROR(MINUS(DIVIDE(VLOOKUP($B164,Data!$B$3:$EZ1530,34,FALSE),VLOOKUP($B164,Data!$B$3:$EZ1530,35,FALSE)),1),"")</f>
        <v>0.231678487</v>
      </c>
      <c r="M164" s="48">
        <f>IFERROR(MINUS(DIVIDE(VLOOKUP($B164,Data!$B$3:$EZ1530,39,FALSE),VLOOKUP($B164,Data!$B$3:$EZ1530,40,FALSE)),1),"")</f>
        <v>0.2793650794</v>
      </c>
      <c r="N164" s="48">
        <f>IFERROR(MINUS(DIVIDE(VLOOKUP($B164,Data!$B$3:$EZ1530,44,FALSE),VLOOKUP($B164,Data!$B$3:$EZ1530,45,FALSE)),1),"")</f>
        <v>-0.1008858268</v>
      </c>
      <c r="O164" s="50">
        <f>IFERROR(VLOOKUP($B164,Data!$B$3:$D1530,2,FALSE),"")</f>
        <v>989440</v>
      </c>
      <c r="P164" s="50">
        <f>IFERROR(VLOOKUP($B164,Data!$B$3:$D1530,3,FALSE),"")</f>
        <v>943210</v>
      </c>
      <c r="Q164" s="48">
        <f t="shared" si="2"/>
        <v>0.04901347526</v>
      </c>
      <c r="R164" s="48"/>
      <c r="S164" s="48"/>
      <c r="T164" s="48"/>
      <c r="U164" s="48"/>
      <c r="V164" s="48"/>
      <c r="W164" s="50"/>
      <c r="Z164" s="11"/>
      <c r="AA164" s="11"/>
    </row>
    <row r="165">
      <c r="A165" s="9">
        <f t="shared" si="1"/>
        <v>162</v>
      </c>
      <c r="B165" s="47" t="s">
        <v>298</v>
      </c>
      <c r="C165" s="48">
        <f>IFERROR(DIVIDE(VLOOKUP($B165,Data!$B$3:$AB$1535,9,FALSE),VLOOKUP($B165,Data!$B$3:$AB$1535,4,FALSE)),"")</f>
        <v>0.4731182796</v>
      </c>
      <c r="D165" s="48">
        <f>IFERROR(DIVIDE(VLOOKUP($B165,Data!$B$3:$AB$1535,24,FALSE),VLOOKUP($B165,Data!$B$3:$AB$1535,4,FALSE)),"")</f>
        <v>0</v>
      </c>
      <c r="E165" s="48">
        <f>IFERROR(DIVIDE(VLOOKUP($B165,Data!$B$3:$EZ1530,29,FALSE),VLOOKUP($B165,Data!$B$3:$EZ1530,4,FALSE)),"")</f>
        <v>-9.077419355</v>
      </c>
      <c r="F165" s="48">
        <f>IFERROR(DIVIDE(VLOOKUP($B165,Data!$B$3:$EZ1530,34,FALSE),VLOOKUP($B165,Data!$B$3:$EZ1530,4,FALSE)),"")</f>
        <v>-7.551612903</v>
      </c>
      <c r="G165" s="48">
        <f>IFERROR(DIVIDE(VLOOKUP($B165,Data!$B$3:$EZ1530,39,FALSE),VLOOKUP($B165,Data!$B$3:$EZ1530,4,FALSE)),"")</f>
        <v>-9.065591398</v>
      </c>
      <c r="H165" s="48">
        <f>IFERROR(DIVIDE(VLOOKUP($B165,Data!$B$3:$EZ1530,44,FALSE),VLOOKUP($B165,Data!$B$3:$EZ1530,4,FALSE)),"")</f>
        <v>-6.966666667</v>
      </c>
      <c r="I165" s="48">
        <f>IFERROR(MINUS(DIVIDE(VLOOKUP($B165,Data!$B$3:$EZ1530,9,FALSE),VLOOKUP($B165,Data!$B$3:$EZ1530,10,FALSE)),1),"")</f>
        <v>8.109730849</v>
      </c>
      <c r="J165" s="48" t="str">
        <f>IFERROR(MINUS(DIVIDE(VLOOKUP($B165,Data!$B$3:$EZ1530,24,FALSE),VLOOKUP($B165,Data!$B$3:$EZ1530,25,FALSE)),1),"")</f>
        <v/>
      </c>
      <c r="K165" s="48">
        <f>IFERROR(MINUS(DIVIDE(VLOOKUP($B165,Data!$B$3:$EZ1530,29,FALSE),VLOOKUP($B165,Data!$B$3:$EZ1530,30,FALSE)),1),"")</f>
        <v>-0.04198819791</v>
      </c>
      <c r="L165" s="48">
        <f>IFERROR(MINUS(DIVIDE(VLOOKUP($B165,Data!$B$3:$EZ1530,34,FALSE),VLOOKUP($B165,Data!$B$3:$EZ1530,35,FALSE)),1),"")</f>
        <v>-0.09741678448</v>
      </c>
      <c r="M165" s="48">
        <f>IFERROR(MINUS(DIVIDE(VLOOKUP($B165,Data!$B$3:$EZ1530,39,FALSE),VLOOKUP($B165,Data!$B$3:$EZ1530,40,FALSE)),1),"")</f>
        <v>-0.04551115136</v>
      </c>
      <c r="N165" s="48">
        <f>IFERROR(MINUS(DIVIDE(VLOOKUP($B165,Data!$B$3:$EZ1530,44,FALSE),VLOOKUP($B165,Data!$B$3:$EZ1530,45,FALSE)),1),"")</f>
        <v>-0.04383116883</v>
      </c>
      <c r="O165" s="50">
        <f>IFERROR(VLOOKUP($B165,Data!$B$3:$D1530,2,FALSE),"")</f>
        <v>25930</v>
      </c>
      <c r="P165" s="50">
        <f>IFERROR(VLOOKUP($B165,Data!$B$3:$D1530,3,FALSE),"")</f>
        <v>12240</v>
      </c>
      <c r="Q165" s="48">
        <f t="shared" si="2"/>
        <v>1.118464052</v>
      </c>
      <c r="R165" s="48"/>
      <c r="S165" s="48"/>
      <c r="T165" s="48"/>
      <c r="U165" s="48"/>
      <c r="V165" s="48"/>
      <c r="W165" s="50"/>
      <c r="Z165" s="12"/>
      <c r="AA165" s="12"/>
    </row>
    <row r="166">
      <c r="A166" s="9">
        <f t="shared" si="1"/>
        <v>163</v>
      </c>
      <c r="B166" s="47" t="s">
        <v>299</v>
      </c>
      <c r="C166" s="48">
        <f>IFERROR(DIVIDE(VLOOKUP($B166,Data!$B$3:$AB$1535,9,FALSE),VLOOKUP($B166,Data!$B$3:$AB$1535,4,FALSE)),"")</f>
        <v>0.8374098023</v>
      </c>
      <c r="D166" s="48">
        <f>IFERROR(DIVIDE(VLOOKUP($B166,Data!$B$3:$AB$1535,24,FALSE),VLOOKUP($B166,Data!$B$3:$AB$1535,4,FALSE)),"")</f>
        <v>-0.2943491706</v>
      </c>
      <c r="E166" s="48">
        <f>IFERROR(DIVIDE(VLOOKUP($B166,Data!$B$3:$EZ1530,29,FALSE),VLOOKUP($B166,Data!$B$3:$EZ1530,4,FALSE)),"")</f>
        <v>-0.2730765626</v>
      </c>
      <c r="F166" s="48">
        <f>IFERROR(DIVIDE(VLOOKUP($B166,Data!$B$3:$EZ1530,34,FALSE),VLOOKUP($B166,Data!$B$3:$EZ1530,4,FALSE)),"")</f>
        <v>-0.2442132884</v>
      </c>
      <c r="G166" s="48">
        <f>IFERROR(DIVIDE(VLOOKUP($B166,Data!$B$3:$EZ1530,39,FALSE),VLOOKUP($B166,Data!$B$3:$EZ1530,4,FALSE)),"")</f>
        <v>-0.2730765626</v>
      </c>
      <c r="H166" s="48">
        <f>IFERROR(DIVIDE(VLOOKUP($B166,Data!$B$3:$EZ1530,44,FALSE),VLOOKUP($B166,Data!$B$3:$EZ1530,4,FALSE)),"")</f>
        <v>-0.1696185924</v>
      </c>
      <c r="I166" s="48">
        <f>IFERROR(MINUS(DIVIDE(VLOOKUP($B166,Data!$B$3:$EZ1530,9,FALSE),VLOOKUP($B166,Data!$B$3:$EZ1530,10,FALSE)),1),"")</f>
        <v>0.2584143078</v>
      </c>
      <c r="J166" s="48">
        <f>IFERROR(MINUS(DIVIDE(VLOOKUP($B166,Data!$B$3:$EZ1530,24,FALSE),VLOOKUP($B166,Data!$B$3:$EZ1530,25,FALSE)),1),"")</f>
        <v>0.3843102688</v>
      </c>
      <c r="K166" s="48">
        <f>IFERROR(MINUS(DIVIDE(VLOOKUP($B166,Data!$B$3:$EZ1530,29,FALSE),VLOOKUP($B166,Data!$B$3:$EZ1530,30,FALSE)),1),"")</f>
        <v>0.3008928571</v>
      </c>
      <c r="L166" s="48">
        <f>IFERROR(MINUS(DIVIDE(VLOOKUP($B166,Data!$B$3:$EZ1530,34,FALSE),VLOOKUP($B166,Data!$B$3:$EZ1530,35,FALSE)),1),"")</f>
        <v>0.3262086514</v>
      </c>
      <c r="M166" s="48">
        <f>IFERROR(MINUS(DIVIDE(VLOOKUP($B166,Data!$B$3:$EZ1530,39,FALSE),VLOOKUP($B166,Data!$B$3:$EZ1530,40,FALSE)),1),"")</f>
        <v>0.3008928571</v>
      </c>
      <c r="N166" s="48">
        <f>IFERROR(MINUS(DIVIDE(VLOOKUP($B166,Data!$B$3:$EZ1530,44,FALSE),VLOOKUP($B166,Data!$B$3:$EZ1530,45,FALSE)),1),"")</f>
        <v>0.01343784994</v>
      </c>
      <c r="O166" s="50">
        <f>IFERROR(VLOOKUP($B166,Data!$B$3:$D1530,2,FALSE),"")</f>
        <v>114610</v>
      </c>
      <c r="P166" s="50">
        <f>IFERROR(VLOOKUP($B166,Data!$B$3:$D1530,3,FALSE),"")</f>
        <v>93590</v>
      </c>
      <c r="Q166" s="48">
        <f t="shared" si="2"/>
        <v>0.2245966449</v>
      </c>
      <c r="R166" s="48"/>
      <c r="S166" s="48"/>
      <c r="T166" s="48"/>
      <c r="U166" s="48"/>
      <c r="V166" s="48"/>
      <c r="W166" s="50"/>
      <c r="Z166" s="11"/>
      <c r="AA166" s="11"/>
    </row>
    <row r="167">
      <c r="A167" s="9">
        <f t="shared" si="1"/>
        <v>164</v>
      </c>
      <c r="B167" s="47" t="s">
        <v>300</v>
      </c>
      <c r="C167" s="48" t="str">
        <f>IFERROR(DIVIDE(VLOOKUP($B167,Data!$B$3:$AB$1535,9,FALSE),VLOOKUP($B167,Data!$B$3:$AB$1535,4,FALSE)),"")</f>
        <v/>
      </c>
      <c r="D167" s="48" t="str">
        <f>IFERROR(DIVIDE(VLOOKUP($B167,Data!$B$3:$AB$1535,24,FALSE),VLOOKUP($B167,Data!$B$3:$AB$1535,4,FALSE)),"")</f>
        <v/>
      </c>
      <c r="E167" s="48" t="str">
        <f>IFERROR(DIVIDE(VLOOKUP($B167,Data!$B$3:$EZ1530,29,FALSE),VLOOKUP($B167,Data!$B$3:$EZ1530,4,FALSE)),"")</f>
        <v/>
      </c>
      <c r="F167" s="48" t="str">
        <f>IFERROR(DIVIDE(VLOOKUP($B167,Data!$B$3:$EZ1530,34,FALSE),VLOOKUP($B167,Data!$B$3:$EZ1530,4,FALSE)),"")</f>
        <v/>
      </c>
      <c r="G167" s="48" t="str">
        <f>IFERROR(DIVIDE(VLOOKUP($B167,Data!$B$3:$EZ1530,39,FALSE),VLOOKUP($B167,Data!$B$3:$EZ1530,4,FALSE)),"")</f>
        <v/>
      </c>
      <c r="H167" s="48" t="str">
        <f>IFERROR(DIVIDE(VLOOKUP($B167,Data!$B$3:$EZ1530,44,FALSE),VLOOKUP($B167,Data!$B$3:$EZ1530,4,FALSE)),"")</f>
        <v/>
      </c>
      <c r="I167" s="48">
        <f>IFERROR(MINUS(DIVIDE(VLOOKUP($B167,Data!$B$3:$EZ1530,9,FALSE),VLOOKUP($B167,Data!$B$3:$EZ1530,10,FALSE)),1),"")</f>
        <v>-0.3813084112</v>
      </c>
      <c r="J167" s="48">
        <f>IFERROR(MINUS(DIVIDE(VLOOKUP($B167,Data!$B$3:$EZ1530,24,FALSE),VLOOKUP($B167,Data!$B$3:$EZ1530,25,FALSE)),1),"")</f>
        <v>0.6953700973</v>
      </c>
      <c r="K167" s="48">
        <f>IFERROR(MINUS(DIVIDE(VLOOKUP($B167,Data!$B$3:$EZ1530,29,FALSE),VLOOKUP($B167,Data!$B$3:$EZ1530,30,FALSE)),1),"")</f>
        <v>0.6368172997</v>
      </c>
      <c r="L167" s="48">
        <f>IFERROR(MINUS(DIVIDE(VLOOKUP($B167,Data!$B$3:$EZ1530,34,FALSE),VLOOKUP($B167,Data!$B$3:$EZ1530,35,FALSE)),1),"")</f>
        <v>0.7295156869</v>
      </c>
      <c r="M167" s="48">
        <f>IFERROR(MINUS(DIVIDE(VLOOKUP($B167,Data!$B$3:$EZ1530,39,FALSE),VLOOKUP($B167,Data!$B$3:$EZ1530,40,FALSE)),1),"")</f>
        <v>0.6368172997</v>
      </c>
      <c r="N167" s="48">
        <f>IFERROR(MINUS(DIVIDE(VLOOKUP($B167,Data!$B$3:$EZ1530,44,FALSE),VLOOKUP($B167,Data!$B$3:$EZ1530,45,FALSE)),1),"")</f>
        <v>0.6593943341</v>
      </c>
      <c r="O167" s="50" t="str">
        <f>IFERROR(VLOOKUP($B167,Data!$B$3:$D1530,2,FALSE),"")</f>
        <v/>
      </c>
      <c r="P167" s="50">
        <f>IFERROR(VLOOKUP($B167,Data!$B$3:$D1530,3,FALSE),"")</f>
        <v>20000</v>
      </c>
      <c r="Q167" s="48">
        <f t="shared" si="2"/>
        <v>-1</v>
      </c>
      <c r="R167" s="48"/>
      <c r="S167" s="48"/>
      <c r="T167" s="48"/>
      <c r="U167" s="48"/>
      <c r="V167" s="48"/>
      <c r="W167" s="50"/>
      <c r="Z167" s="11"/>
      <c r="AA167" s="11"/>
    </row>
    <row r="168">
      <c r="A168" s="9">
        <f t="shared" si="1"/>
        <v>165</v>
      </c>
      <c r="B168" s="47" t="s">
        <v>301</v>
      </c>
      <c r="C168" s="48" t="str">
        <f>IFERROR(DIVIDE(VLOOKUP($B168,Data!$B$3:$AB$1535,9,FALSE),VLOOKUP($B168,Data!$B$3:$AB$1535,4,FALSE)),"")</f>
        <v/>
      </c>
      <c r="D168" s="48" t="str">
        <f>IFERROR(DIVIDE(VLOOKUP($B168,Data!$B$3:$AB$1535,24,FALSE),VLOOKUP($B168,Data!$B$3:$AB$1535,4,FALSE)),"")</f>
        <v/>
      </c>
      <c r="E168" s="48" t="str">
        <f>IFERROR(DIVIDE(VLOOKUP($B168,Data!$B$3:$EZ1530,29,FALSE),VLOOKUP($B168,Data!$B$3:$EZ1530,4,FALSE)),"")</f>
        <v/>
      </c>
      <c r="F168" s="48" t="str">
        <f>IFERROR(DIVIDE(VLOOKUP($B168,Data!$B$3:$EZ1530,34,FALSE),VLOOKUP($B168,Data!$B$3:$EZ1530,4,FALSE)),"")</f>
        <v/>
      </c>
      <c r="G168" s="48" t="str">
        <f>IFERROR(DIVIDE(VLOOKUP($B168,Data!$B$3:$EZ1530,39,FALSE),VLOOKUP($B168,Data!$B$3:$EZ1530,4,FALSE)),"")</f>
        <v/>
      </c>
      <c r="H168" s="48" t="str">
        <f>IFERROR(DIVIDE(VLOOKUP($B168,Data!$B$3:$EZ1530,44,FALSE),VLOOKUP($B168,Data!$B$3:$EZ1530,4,FALSE)),"")</f>
        <v/>
      </c>
      <c r="I168" s="48">
        <f>IFERROR(MINUS(DIVIDE(VLOOKUP($B168,Data!$B$3:$EZ1530,9,FALSE),VLOOKUP($B168,Data!$B$3:$EZ1530,10,FALSE)),1),"")</f>
        <v>-0.2448979592</v>
      </c>
      <c r="J168" s="48">
        <f>IFERROR(MINUS(DIVIDE(VLOOKUP($B168,Data!$B$3:$EZ1530,24,FALSE),VLOOKUP($B168,Data!$B$3:$EZ1530,25,FALSE)),1),"")</f>
        <v>-1</v>
      </c>
      <c r="K168" s="48">
        <f>IFERROR(MINUS(DIVIDE(VLOOKUP($B168,Data!$B$3:$EZ1530,29,FALSE),VLOOKUP($B168,Data!$B$3:$EZ1530,30,FALSE)),1),"")</f>
        <v>1.196279666</v>
      </c>
      <c r="L168" s="48">
        <f>IFERROR(MINUS(DIVIDE(VLOOKUP($B168,Data!$B$3:$EZ1530,34,FALSE),VLOOKUP($B168,Data!$B$3:$EZ1530,35,FALSE)),1),"")</f>
        <v>1.049085366</v>
      </c>
      <c r="M168" s="48">
        <f>IFERROR(MINUS(DIVIDE(VLOOKUP($B168,Data!$B$3:$EZ1530,39,FALSE),VLOOKUP($B168,Data!$B$3:$EZ1530,40,FALSE)),1),"")</f>
        <v>1.206974491</v>
      </c>
      <c r="N168" s="48">
        <f>IFERROR(MINUS(DIVIDE(VLOOKUP($B168,Data!$B$3:$EZ1530,44,FALSE),VLOOKUP($B168,Data!$B$3:$EZ1530,45,FALSE)),1),"")</f>
        <v>0.5434276206</v>
      </c>
      <c r="O168" s="50">
        <f>IFERROR(VLOOKUP($B168,Data!$B$3:$D1530,2,FALSE),"")</f>
        <v>24400</v>
      </c>
      <c r="P168" s="50" t="str">
        <f>IFERROR(VLOOKUP($B168,Data!$B$3:$D1530,3,FALSE),"")</f>
        <v/>
      </c>
      <c r="Q168" s="48" t="str">
        <f t="shared" si="2"/>
        <v/>
      </c>
      <c r="R168" s="48"/>
      <c r="S168" s="48"/>
      <c r="T168" s="48"/>
      <c r="U168" s="48"/>
      <c r="V168" s="48"/>
      <c r="W168" s="50"/>
      <c r="Z168" s="11"/>
      <c r="AA168" s="11"/>
    </row>
    <row r="169">
      <c r="A169" s="9">
        <f t="shared" si="1"/>
        <v>166</v>
      </c>
      <c r="B169" s="47" t="s">
        <v>302</v>
      </c>
      <c r="C169" s="48">
        <f>IFERROR(DIVIDE(VLOOKUP($B169,Data!$B$3:$AB$1535,9,FALSE),VLOOKUP($B169,Data!$B$3:$AB$1535,4,FALSE)),"")</f>
        <v>0.3303571429</v>
      </c>
      <c r="D169" s="48">
        <f>IFERROR(DIVIDE(VLOOKUP($B169,Data!$B$3:$AB$1535,24,FALSE),VLOOKUP($B169,Data!$B$3:$AB$1535,4,FALSE)),"")</f>
        <v>0.1114508929</v>
      </c>
      <c r="E169" s="48">
        <f>IFERROR(DIVIDE(VLOOKUP($B169,Data!$B$3:$EZ1530,29,FALSE),VLOOKUP($B169,Data!$B$3:$EZ1530,4,FALSE)),"")</f>
        <v>0.07366071429</v>
      </c>
      <c r="F169" s="48">
        <f>IFERROR(DIVIDE(VLOOKUP($B169,Data!$B$3:$EZ1530,34,FALSE),VLOOKUP($B169,Data!$B$3:$EZ1530,4,FALSE)),"")</f>
        <v>0.2136607143</v>
      </c>
      <c r="G169" s="48">
        <f>IFERROR(DIVIDE(VLOOKUP($B169,Data!$B$3:$EZ1530,39,FALSE),VLOOKUP($B169,Data!$B$3:$EZ1530,4,FALSE)),"")</f>
        <v>0.05558035714</v>
      </c>
      <c r="H169" s="48">
        <f>IFERROR(DIVIDE(VLOOKUP($B169,Data!$B$3:$EZ1530,44,FALSE),VLOOKUP($B169,Data!$B$3:$EZ1530,4,FALSE)),"")</f>
        <v>0.1275892857</v>
      </c>
      <c r="I169" s="48">
        <f>IFERROR(MINUS(DIVIDE(VLOOKUP($B169,Data!$B$3:$EZ1530,9,FALSE),VLOOKUP($B169,Data!$B$3:$EZ1530,10,FALSE)),1),"")</f>
        <v>0.006802721088</v>
      </c>
      <c r="J169" s="48">
        <f>IFERROR(MINUS(DIVIDE(VLOOKUP($B169,Data!$B$3:$EZ1530,24,FALSE),VLOOKUP($B169,Data!$B$3:$EZ1530,25,FALSE)),1),"")</f>
        <v>0.1083240844</v>
      </c>
      <c r="K169" s="48">
        <f>IFERROR(MINUS(DIVIDE(VLOOKUP($B169,Data!$B$3:$EZ1530,29,FALSE),VLOOKUP($B169,Data!$B$3:$EZ1530,30,FALSE)),1),"")</f>
        <v>0.2336448598</v>
      </c>
      <c r="L169" s="48">
        <f>IFERROR(MINUS(DIVIDE(VLOOKUP($B169,Data!$B$3:$EZ1530,34,FALSE),VLOOKUP($B169,Data!$B$3:$EZ1530,35,FALSE)),1),"")</f>
        <v>0.07429854097</v>
      </c>
      <c r="M169" s="48">
        <f>IFERROR(MINUS(DIVIDE(VLOOKUP($B169,Data!$B$3:$EZ1530,39,FALSE),VLOOKUP($B169,Data!$B$3:$EZ1530,40,FALSE)),1),"")</f>
        <v>0.2023177209</v>
      </c>
      <c r="N169" s="48">
        <f>IFERROR(MINUS(DIVIDE(VLOOKUP($B169,Data!$B$3:$EZ1530,44,FALSE),VLOOKUP($B169,Data!$B$3:$EZ1530,45,FALSE)),1),"")</f>
        <v>0.1521870591</v>
      </c>
      <c r="O169" s="50">
        <f>IFERROR(VLOOKUP($B169,Data!$B$3:$D1530,2,FALSE),"")</f>
        <v>4020000</v>
      </c>
      <c r="P169" s="50">
        <f>IFERROR(VLOOKUP($B169,Data!$B$3:$D1530,3,FALSE),"")</f>
        <v>3480000</v>
      </c>
      <c r="Q169" s="48">
        <f t="shared" si="2"/>
        <v>0.1551724138</v>
      </c>
      <c r="R169" s="48"/>
      <c r="S169" s="48"/>
      <c r="T169" s="48"/>
      <c r="U169" s="48"/>
      <c r="V169" s="48"/>
      <c r="W169" s="50"/>
      <c r="Z169" s="12"/>
      <c r="AA169" s="11"/>
    </row>
    <row r="170">
      <c r="A170" s="9">
        <f t="shared" si="1"/>
        <v>167</v>
      </c>
      <c r="B170" s="47" t="s">
        <v>303</v>
      </c>
      <c r="C170" s="48">
        <f>IFERROR(DIVIDE(VLOOKUP($B170,Data!$B$3:$AB$1535,9,FALSE),VLOOKUP($B170,Data!$B$3:$AB$1535,4,FALSE)),"")</f>
        <v>0.2982224357</v>
      </c>
      <c r="D170" s="48">
        <f>IFERROR(DIVIDE(VLOOKUP($B170,Data!$B$3:$AB$1535,24,FALSE),VLOOKUP($B170,Data!$B$3:$AB$1535,4,FALSE)),"")</f>
        <v>0</v>
      </c>
      <c r="E170" s="48">
        <f>IFERROR(DIVIDE(VLOOKUP($B170,Data!$B$3:$EZ1530,29,FALSE),VLOOKUP($B170,Data!$B$3:$EZ1530,4,FALSE)),"")</f>
        <v>-0.01237088638</v>
      </c>
      <c r="F170" s="48">
        <f>IFERROR(DIVIDE(VLOOKUP($B170,Data!$B$3:$EZ1530,34,FALSE),VLOOKUP($B170,Data!$B$3:$EZ1530,4,FALSE)),"")</f>
        <v>0.06269517175</v>
      </c>
      <c r="G170" s="48">
        <f>IFERROR(DIVIDE(VLOOKUP($B170,Data!$B$3:$EZ1530,39,FALSE),VLOOKUP($B170,Data!$B$3:$EZ1530,4,FALSE)),"")</f>
        <v>-0.03122748018</v>
      </c>
      <c r="H170" s="48">
        <f>IFERROR(DIVIDE(VLOOKUP($B170,Data!$B$3:$EZ1530,44,FALSE),VLOOKUP($B170,Data!$B$3:$EZ1530,4,FALSE)),"")</f>
        <v>0.1520538074</v>
      </c>
      <c r="I170" s="48">
        <f>IFERROR(MINUS(DIVIDE(VLOOKUP($B170,Data!$B$3:$EZ1530,9,FALSE),VLOOKUP($B170,Data!$B$3:$EZ1530,10,FALSE)),1),"")</f>
        <v>-0.3298245614</v>
      </c>
      <c r="J170" s="48" t="str">
        <f>IFERROR(MINUS(DIVIDE(VLOOKUP($B170,Data!$B$3:$EZ1530,24,FALSE),VLOOKUP($B170,Data!$B$3:$EZ1530,25,FALSE)),1),"")</f>
        <v/>
      </c>
      <c r="K170" s="48">
        <f>IFERROR(MINUS(DIVIDE(VLOOKUP($B170,Data!$B$3:$EZ1530,29,FALSE),VLOOKUP($B170,Data!$B$3:$EZ1530,30,FALSE)),1),"")</f>
        <v>-1.086192469</v>
      </c>
      <c r="L170" s="48">
        <f>IFERROR(MINUS(DIVIDE(VLOOKUP($B170,Data!$B$3:$EZ1530,34,FALSE),VLOOKUP($B170,Data!$B$3:$EZ1530,35,FALSE)),1),"")</f>
        <v>-0.6933019976</v>
      </c>
      <c r="M170" s="48">
        <f>IFERROR(MINUS(DIVIDE(VLOOKUP($B170,Data!$B$3:$EZ1530,39,FALSE),VLOOKUP($B170,Data!$B$3:$EZ1530,40,FALSE)),1),"")</f>
        <v>-1.269430052</v>
      </c>
      <c r="N170" s="48">
        <f>IFERROR(MINUS(DIVIDE(VLOOKUP($B170,Data!$B$3:$EZ1530,44,FALSE),VLOOKUP($B170,Data!$B$3:$EZ1530,45,FALSE)),1),"")</f>
        <v>2.931677019</v>
      </c>
      <c r="O170" s="50">
        <f>IFERROR(VLOOKUP($B170,Data!$B$3:$D1530,2,FALSE),"")</f>
        <v>102290</v>
      </c>
      <c r="P170" s="50">
        <f>IFERROR(VLOOKUP($B170,Data!$B$3:$D1530,3,FALSE),"")</f>
        <v>91410</v>
      </c>
      <c r="Q170" s="48">
        <f t="shared" si="2"/>
        <v>0.1190241768</v>
      </c>
      <c r="R170" s="48"/>
      <c r="S170" s="48"/>
      <c r="T170" s="48"/>
      <c r="U170" s="48"/>
      <c r="V170" s="48"/>
      <c r="W170" s="50"/>
      <c r="Z170" s="11"/>
      <c r="AA170" s="12"/>
    </row>
    <row r="171">
      <c r="A171" s="9">
        <f t="shared" si="1"/>
        <v>168</v>
      </c>
      <c r="B171" s="47" t="s">
        <v>304</v>
      </c>
      <c r="C171" s="48">
        <f>IFERROR(DIVIDE(VLOOKUP($B171,Data!$B$3:$AB$1535,9,FALSE),VLOOKUP($B171,Data!$B$3:$AB$1535,4,FALSE)),"")</f>
        <v>0.3950953678</v>
      </c>
      <c r="D171" s="48">
        <f>IFERROR(DIVIDE(VLOOKUP($B171,Data!$B$3:$AB$1535,24,FALSE),VLOOKUP($B171,Data!$B$3:$AB$1535,4,FALSE)),"")</f>
        <v>0.1261307902</v>
      </c>
      <c r="E171" s="48">
        <f>IFERROR(DIVIDE(VLOOKUP($B171,Data!$B$3:$EZ1530,29,FALSE),VLOOKUP($B171,Data!$B$3:$EZ1530,4,FALSE)),"")</f>
        <v>0.1157765668</v>
      </c>
      <c r="F171" s="48">
        <f>IFERROR(DIVIDE(VLOOKUP($B171,Data!$B$3:$EZ1530,34,FALSE),VLOOKUP($B171,Data!$B$3:$EZ1530,4,FALSE)),"")</f>
        <v>0.1506811989</v>
      </c>
      <c r="G171" s="48">
        <f>IFERROR(DIVIDE(VLOOKUP($B171,Data!$B$3:$EZ1530,39,FALSE),VLOOKUP($B171,Data!$B$3:$EZ1530,4,FALSE)),"")</f>
        <v>0.09002724796</v>
      </c>
      <c r="H171" s="48">
        <f>IFERROR(DIVIDE(VLOOKUP($B171,Data!$B$3:$EZ1530,44,FALSE),VLOOKUP($B171,Data!$B$3:$EZ1530,4,FALSE)),"")</f>
        <v>0.1347956403</v>
      </c>
      <c r="I171" s="48">
        <f>IFERROR(MINUS(DIVIDE(VLOOKUP($B171,Data!$B$3:$EZ1530,9,FALSE),VLOOKUP($B171,Data!$B$3:$EZ1530,10,FALSE)),1),"")</f>
        <v>-0.006849315068</v>
      </c>
      <c r="J171" s="48">
        <f>IFERROR(MINUS(DIVIDE(VLOOKUP($B171,Data!$B$3:$EZ1530,24,FALSE),VLOOKUP($B171,Data!$B$3:$EZ1530,25,FALSE)),1),"")</f>
        <v>-83.66071429</v>
      </c>
      <c r="K171" s="48">
        <f>IFERROR(MINUS(DIVIDE(VLOOKUP($B171,Data!$B$3:$EZ1530,29,FALSE),VLOOKUP($B171,Data!$B$3:$EZ1530,30,FALSE)),1),"")</f>
        <v>-0.002347969007</v>
      </c>
      <c r="L171" s="48">
        <f>IFERROR(MINUS(DIVIDE(VLOOKUP($B171,Data!$B$3:$EZ1530,34,FALSE),VLOOKUP($B171,Data!$B$3:$EZ1530,35,FALSE)),1),"")</f>
        <v>0.01152368758</v>
      </c>
      <c r="M171" s="48">
        <f>IFERROR(MINUS(DIVIDE(VLOOKUP($B171,Data!$B$3:$EZ1530,39,FALSE),VLOOKUP($B171,Data!$B$3:$EZ1530,40,FALSE)),1),"")</f>
        <v>-0.05491990847</v>
      </c>
      <c r="N171" s="48">
        <f>IFERROR(MINUS(DIVIDE(VLOOKUP($B171,Data!$B$3:$EZ1530,44,FALSE),VLOOKUP($B171,Data!$B$3:$EZ1530,45,FALSE)),1),"")</f>
        <v>0.4073968706</v>
      </c>
      <c r="O171" s="50">
        <f>IFERROR(VLOOKUP($B171,Data!$B$3:$D1530,2,FALSE),"")</f>
        <v>3350000</v>
      </c>
      <c r="P171" s="50">
        <f>IFERROR(VLOOKUP($B171,Data!$B$3:$D1530,3,FALSE),"")</f>
        <v>3270000</v>
      </c>
      <c r="Q171" s="48">
        <f t="shared" si="2"/>
        <v>0.0244648318</v>
      </c>
      <c r="R171" s="48"/>
      <c r="S171" s="48"/>
      <c r="T171" s="48"/>
      <c r="U171" s="48"/>
      <c r="V171" s="48"/>
      <c r="W171" s="50"/>
      <c r="Z171" s="15"/>
      <c r="AA171" s="15"/>
    </row>
    <row r="172">
      <c r="A172" s="9">
        <f t="shared" si="1"/>
        <v>169</v>
      </c>
      <c r="B172" s="47" t="s">
        <v>305</v>
      </c>
      <c r="C172" s="48" t="str">
        <f>IFERROR(DIVIDE(VLOOKUP($B172,Data!$B$3:$AB$1535,9,FALSE),VLOOKUP($B172,Data!$B$3:$AB$1535,4,FALSE)),"")</f>
        <v/>
      </c>
      <c r="D172" s="48" t="str">
        <f>IFERROR(DIVIDE(VLOOKUP($B172,Data!$B$3:$AB$1535,24,FALSE),VLOOKUP($B172,Data!$B$3:$AB$1535,4,FALSE)),"")</f>
        <v/>
      </c>
      <c r="E172" s="48" t="str">
        <f>IFERROR(DIVIDE(VLOOKUP($B172,Data!$B$3:$EZ1530,29,FALSE),VLOOKUP($B172,Data!$B$3:$EZ1530,4,FALSE)),"")</f>
        <v/>
      </c>
      <c r="F172" s="48" t="str">
        <f>IFERROR(DIVIDE(VLOOKUP($B172,Data!$B$3:$EZ1530,34,FALSE),VLOOKUP($B172,Data!$B$3:$EZ1530,4,FALSE)),"")</f>
        <v/>
      </c>
      <c r="G172" s="48" t="str">
        <f>IFERROR(DIVIDE(VLOOKUP($B172,Data!$B$3:$EZ1530,39,FALSE),VLOOKUP($B172,Data!$B$3:$EZ1530,4,FALSE)),"")</f>
        <v/>
      </c>
      <c r="H172" s="48" t="str">
        <f>IFERROR(DIVIDE(VLOOKUP($B172,Data!$B$3:$EZ1530,44,FALSE),VLOOKUP($B172,Data!$B$3:$EZ1530,4,FALSE)),"")</f>
        <v/>
      </c>
      <c r="I172" s="48" t="str">
        <f>IFERROR(MINUS(DIVIDE(VLOOKUP($B172,Data!$B$3:$EZ1530,9,FALSE),VLOOKUP($B172,Data!$B$3:$EZ1530,10,FALSE)),1),"")</f>
        <v/>
      </c>
      <c r="J172" s="48" t="str">
        <f>IFERROR(MINUS(DIVIDE(VLOOKUP($B172,Data!$B$3:$EZ1530,24,FALSE),VLOOKUP($B172,Data!$B$3:$EZ1530,25,FALSE)),1),"")</f>
        <v/>
      </c>
      <c r="K172" s="48" t="str">
        <f>IFERROR(MINUS(DIVIDE(VLOOKUP($B172,Data!$B$3:$EZ1530,29,FALSE),VLOOKUP($B172,Data!$B$3:$EZ1530,30,FALSE)),1),"")</f>
        <v/>
      </c>
      <c r="L172" s="48" t="str">
        <f>IFERROR(MINUS(DIVIDE(VLOOKUP($B172,Data!$B$3:$EZ1530,34,FALSE),VLOOKUP($B172,Data!$B$3:$EZ1530,35,FALSE)),1),"")</f>
        <v/>
      </c>
      <c r="M172" s="48" t="str">
        <f>IFERROR(MINUS(DIVIDE(VLOOKUP($B172,Data!$B$3:$EZ1530,39,FALSE),VLOOKUP($B172,Data!$B$3:$EZ1530,40,FALSE)),1),"")</f>
        <v/>
      </c>
      <c r="N172" s="48" t="str">
        <f>IFERROR(MINUS(DIVIDE(VLOOKUP($B172,Data!$B$3:$EZ1530,44,FALSE),VLOOKUP($B172,Data!$B$3:$EZ1530,45,FALSE)),1),"")</f>
        <v/>
      </c>
      <c r="O172" s="50">
        <f>IFERROR(VLOOKUP($B172,Data!$B$3:$D1530,2,FALSE),"")</f>
        <v>1670</v>
      </c>
      <c r="P172" s="50">
        <f>IFERROR(VLOOKUP($B172,Data!$B$3:$D1530,3,FALSE),"")</f>
        <v>2180</v>
      </c>
      <c r="Q172" s="48">
        <f t="shared" si="2"/>
        <v>-0.2339449541</v>
      </c>
      <c r="R172" s="48"/>
      <c r="S172" s="48"/>
      <c r="T172" s="48"/>
      <c r="U172" s="48"/>
      <c r="V172" s="48"/>
      <c r="W172" s="50"/>
      <c r="Z172" s="15"/>
      <c r="AA172" s="15"/>
    </row>
    <row r="173">
      <c r="A173" s="9">
        <f t="shared" si="1"/>
        <v>170</v>
      </c>
      <c r="B173" s="47" t="s">
        <v>306</v>
      </c>
      <c r="C173" s="48">
        <f>IFERROR(DIVIDE(VLOOKUP($B173,Data!$B$3:$AB$1535,9,FALSE),VLOOKUP($B173,Data!$B$3:$AB$1535,4,FALSE)),"")</f>
        <v>0.4071038251</v>
      </c>
      <c r="D173" s="48">
        <f>IFERROR(DIVIDE(VLOOKUP($B173,Data!$B$3:$AB$1535,24,FALSE),VLOOKUP($B173,Data!$B$3:$AB$1535,4,FALSE)),"")</f>
        <v>-3.633879781</v>
      </c>
      <c r="E173" s="48">
        <f>IFERROR(DIVIDE(VLOOKUP($B173,Data!$B$3:$EZ1530,29,FALSE),VLOOKUP($B173,Data!$B$3:$EZ1530,4,FALSE)),"")</f>
        <v>-3.706284153</v>
      </c>
      <c r="F173" s="48">
        <f>IFERROR(DIVIDE(VLOOKUP($B173,Data!$B$3:$EZ1530,34,FALSE),VLOOKUP($B173,Data!$B$3:$EZ1530,4,FALSE)),"")</f>
        <v>-1.918032787</v>
      </c>
      <c r="G173" s="48">
        <f>IFERROR(DIVIDE(VLOOKUP($B173,Data!$B$3:$EZ1530,39,FALSE),VLOOKUP($B173,Data!$B$3:$EZ1530,4,FALSE)),"")</f>
        <v>-3.706284153</v>
      </c>
      <c r="H173" s="48">
        <f>IFERROR(DIVIDE(VLOOKUP($B173,Data!$B$3:$EZ1530,44,FALSE),VLOOKUP($B173,Data!$B$3:$EZ1530,4,FALSE)),"")</f>
        <v>-1.889344262</v>
      </c>
      <c r="I173" s="48">
        <f>IFERROR(MINUS(DIVIDE(VLOOKUP($B173,Data!$B$3:$EZ1530,9,FALSE),VLOOKUP($B173,Data!$B$3:$EZ1530,10,FALSE)),1),"")</f>
        <v>52.21428571</v>
      </c>
      <c r="J173" s="48">
        <f>IFERROR(MINUS(DIVIDE(VLOOKUP($B173,Data!$B$3:$EZ1530,24,FALSE),VLOOKUP($B173,Data!$B$3:$EZ1530,25,FALSE)),1),"")</f>
        <v>0.6921119593</v>
      </c>
      <c r="K173" s="48">
        <f>IFERROR(MINUS(DIVIDE(VLOOKUP($B173,Data!$B$3:$EZ1530,29,FALSE),VLOOKUP($B173,Data!$B$3:$EZ1530,30,FALSE)),1),"")</f>
        <v>1.662414132</v>
      </c>
      <c r="L173" s="48">
        <f>IFERROR(MINUS(DIVIDE(VLOOKUP($B173,Data!$B$3:$EZ1530,34,FALSE),VLOOKUP($B173,Data!$B$3:$EZ1530,35,FALSE)),1),"")</f>
        <v>-0.07752956636</v>
      </c>
      <c r="M173" s="48">
        <f>IFERROR(MINUS(DIVIDE(VLOOKUP($B173,Data!$B$3:$EZ1530,39,FALSE),VLOOKUP($B173,Data!$B$3:$EZ1530,40,FALSE)),1),"")</f>
        <v>1.662414132</v>
      </c>
      <c r="N173" s="48">
        <f>IFERROR(MINUS(DIVIDE(VLOOKUP($B173,Data!$B$3:$EZ1530,44,FALSE),VLOOKUP($B173,Data!$B$3:$EZ1530,45,FALSE)),1),"")</f>
        <v>-0.1323713927</v>
      </c>
      <c r="O173" s="50">
        <f>IFERROR(VLOOKUP($B173,Data!$B$3:$D1530,2,FALSE),"")</f>
        <v>54530</v>
      </c>
      <c r="P173" s="50">
        <f>IFERROR(VLOOKUP($B173,Data!$B$3:$D1530,3,FALSE),"")</f>
        <v>24020</v>
      </c>
      <c r="Q173" s="48">
        <f t="shared" si="2"/>
        <v>1.270191507</v>
      </c>
      <c r="R173" s="48"/>
      <c r="S173" s="48"/>
      <c r="T173" s="48"/>
      <c r="U173" s="48"/>
      <c r="V173" s="48"/>
      <c r="W173" s="50"/>
      <c r="Z173" s="11"/>
      <c r="AA173" s="11"/>
    </row>
    <row r="174">
      <c r="A174" s="9">
        <f t="shared" si="1"/>
        <v>171</v>
      </c>
      <c r="B174" s="47" t="s">
        <v>307</v>
      </c>
      <c r="C174" s="48">
        <f>IFERROR(DIVIDE(VLOOKUP($B174,Data!$B$3:$AB$1535,9,FALSE),VLOOKUP($B174,Data!$B$3:$AB$1535,4,FALSE)),"")</f>
        <v>0.5370994941</v>
      </c>
      <c r="D174" s="48">
        <f>IFERROR(DIVIDE(VLOOKUP($B174,Data!$B$3:$AB$1535,24,FALSE),VLOOKUP($B174,Data!$B$3:$AB$1535,4,FALSE)),"")</f>
        <v>0.1871838111</v>
      </c>
      <c r="E174" s="48">
        <f>IFERROR(DIVIDE(VLOOKUP($B174,Data!$B$3:$EZ1530,29,FALSE),VLOOKUP($B174,Data!$B$3:$EZ1530,4,FALSE)),"")</f>
        <v>0.171163575</v>
      </c>
      <c r="F174" s="48">
        <f>IFERROR(DIVIDE(VLOOKUP($B174,Data!$B$3:$EZ1530,34,FALSE),VLOOKUP($B174,Data!$B$3:$EZ1530,4,FALSE)),"")</f>
        <v>0.2175379427</v>
      </c>
      <c r="G174" s="48">
        <f>IFERROR(DIVIDE(VLOOKUP($B174,Data!$B$3:$EZ1530,39,FALSE),VLOOKUP($B174,Data!$B$3:$EZ1530,4,FALSE)),"")</f>
        <v>0.1365935919</v>
      </c>
      <c r="H174" s="48">
        <f>IFERROR(DIVIDE(VLOOKUP($B174,Data!$B$3:$EZ1530,44,FALSE),VLOOKUP($B174,Data!$B$3:$EZ1530,4,FALSE)),"")</f>
        <v>0.1795952782</v>
      </c>
      <c r="I174" s="48">
        <f>IFERROR(MINUS(DIVIDE(VLOOKUP($B174,Data!$B$3:$EZ1530,9,FALSE),VLOOKUP($B174,Data!$B$3:$EZ1530,10,FALSE)),1),"")</f>
        <v>0.06700167504</v>
      </c>
      <c r="J174" s="48">
        <f>IFERROR(MINUS(DIVIDE(VLOOKUP($B174,Data!$B$3:$EZ1530,24,FALSE),VLOOKUP($B174,Data!$B$3:$EZ1530,25,FALSE)),1),"")</f>
        <v>0.226519337</v>
      </c>
      <c r="K174" s="48">
        <f>IFERROR(MINUS(DIVIDE(VLOOKUP($B174,Data!$B$3:$EZ1530,29,FALSE),VLOOKUP($B174,Data!$B$3:$EZ1530,30,FALSE)),1),"")</f>
        <v>0.237804878</v>
      </c>
      <c r="L174" s="48">
        <f>IFERROR(MINUS(DIVIDE(VLOOKUP($B174,Data!$B$3:$EZ1530,34,FALSE),VLOOKUP($B174,Data!$B$3:$EZ1530,35,FALSE)),1),"")</f>
        <v>0.04032258065</v>
      </c>
      <c r="M174" s="48">
        <f>IFERROR(MINUS(DIVIDE(VLOOKUP($B174,Data!$B$3:$EZ1530,39,FALSE),VLOOKUP($B174,Data!$B$3:$EZ1530,40,FALSE)),1),"")</f>
        <v>0.2089552239</v>
      </c>
      <c r="N174" s="48">
        <f>IFERROR(MINUS(DIVIDE(VLOOKUP($B174,Data!$B$3:$EZ1530,44,FALSE),VLOOKUP($B174,Data!$B$3:$EZ1530,45,FALSE)),1),"")</f>
        <v>0.02403846154</v>
      </c>
      <c r="O174" s="50">
        <f>IFERROR(VLOOKUP($B174,Data!$B$3:$D1530,2,FALSE),"")</f>
        <v>12560000</v>
      </c>
      <c r="P174" s="50">
        <f>IFERROR(VLOOKUP($B174,Data!$B$3:$D1530,3,FALSE),"")</f>
        <v>12060000</v>
      </c>
      <c r="Q174" s="48">
        <f t="shared" si="2"/>
        <v>0.04145936982</v>
      </c>
      <c r="R174" s="48"/>
      <c r="S174" s="48"/>
      <c r="T174" s="48"/>
      <c r="U174" s="48"/>
      <c r="V174" s="48"/>
      <c r="W174" s="50"/>
      <c r="Z174" s="11"/>
      <c r="AA174" s="11"/>
    </row>
    <row r="175">
      <c r="A175" s="9">
        <f t="shared" si="1"/>
        <v>172</v>
      </c>
      <c r="B175" s="47" t="s">
        <v>308</v>
      </c>
      <c r="C175" s="48">
        <f>IFERROR(DIVIDE(VLOOKUP($B175,Data!$B$3:$AB$1535,9,FALSE),VLOOKUP($B175,Data!$B$3:$AB$1535,4,FALSE)),"")</f>
        <v>0.1800699301</v>
      </c>
      <c r="D175" s="48">
        <f>IFERROR(DIVIDE(VLOOKUP($B175,Data!$B$3:$AB$1535,24,FALSE),VLOOKUP($B175,Data!$B$3:$AB$1535,4,FALSE)),"")</f>
        <v>-0.07604458042</v>
      </c>
      <c r="E175" s="48">
        <f>IFERROR(DIVIDE(VLOOKUP($B175,Data!$B$3:$EZ1530,29,FALSE),VLOOKUP($B175,Data!$B$3:$EZ1530,4,FALSE)),"")</f>
        <v>-0.222027972</v>
      </c>
      <c r="F175" s="48">
        <f>IFERROR(DIVIDE(VLOOKUP($B175,Data!$B$3:$EZ1530,34,FALSE),VLOOKUP($B175,Data!$B$3:$EZ1530,4,FALSE)),"")</f>
        <v>0.2167832168</v>
      </c>
      <c r="G175" s="48">
        <f>IFERROR(DIVIDE(VLOOKUP($B175,Data!$B$3:$EZ1530,39,FALSE),VLOOKUP($B175,Data!$B$3:$EZ1530,4,FALSE)),"")</f>
        <v>-0.2097902098</v>
      </c>
      <c r="H175" s="48">
        <f>IFERROR(DIVIDE(VLOOKUP($B175,Data!$B$3:$EZ1530,44,FALSE),VLOOKUP($B175,Data!$B$3:$EZ1530,4,FALSE)),"")</f>
        <v>0.2263986014</v>
      </c>
      <c r="I175" s="48">
        <f>IFERROR(MINUS(DIVIDE(VLOOKUP($B175,Data!$B$3:$EZ1530,9,FALSE),VLOOKUP($B175,Data!$B$3:$EZ1530,10,FALSE)),1),"")</f>
        <v>-0.09251101322</v>
      </c>
      <c r="J175" s="48">
        <f>IFERROR(MINUS(DIVIDE(VLOOKUP($B175,Data!$B$3:$EZ1530,24,FALSE),VLOOKUP($B175,Data!$B$3:$EZ1530,25,FALSE)),1),"")</f>
        <v>-3.918413902</v>
      </c>
      <c r="K175" s="48">
        <f>IFERROR(MINUS(DIVIDE(VLOOKUP($B175,Data!$B$3:$EZ1530,29,FALSE),VLOOKUP($B175,Data!$B$3:$EZ1530,30,FALSE)),1),"")</f>
        <v>4.607930585</v>
      </c>
      <c r="L175" s="48">
        <f>IFERROR(MINUS(DIVIDE(VLOOKUP($B175,Data!$B$3:$EZ1530,34,FALSE),VLOOKUP($B175,Data!$B$3:$EZ1530,35,FALSE)),1),"")</f>
        <v>0</v>
      </c>
      <c r="M175" s="48">
        <f>IFERROR(MINUS(DIVIDE(VLOOKUP($B175,Data!$B$3:$EZ1530,39,FALSE),VLOOKUP($B175,Data!$B$3:$EZ1530,40,FALSE)),1),"")</f>
        <v>2.77518758</v>
      </c>
      <c r="N175" s="48">
        <f>IFERROR(MINUS(DIVIDE(VLOOKUP($B175,Data!$B$3:$EZ1530,44,FALSE),VLOOKUP($B175,Data!$B$3:$EZ1530,45,FALSE)),1),"")</f>
        <v>0.4715909091</v>
      </c>
      <c r="O175" s="50">
        <f>IFERROR(VLOOKUP($B175,Data!$B$3:$D1530,2,FALSE),"")</f>
        <v>1950000</v>
      </c>
      <c r="P175" s="50">
        <f>IFERROR(VLOOKUP($B175,Data!$B$3:$D1530,3,FALSE),"")</f>
        <v>1350000</v>
      </c>
      <c r="Q175" s="48">
        <f t="shared" si="2"/>
        <v>0.4444444444</v>
      </c>
      <c r="R175" s="48"/>
      <c r="S175" s="48"/>
      <c r="T175" s="48"/>
      <c r="U175" s="48"/>
      <c r="V175" s="48"/>
      <c r="W175" s="50"/>
      <c r="Z175" s="11"/>
      <c r="AA175" s="11"/>
    </row>
    <row r="176">
      <c r="A176" s="9">
        <f t="shared" si="1"/>
        <v>173</v>
      </c>
      <c r="B176" s="47" t="s">
        <v>309</v>
      </c>
      <c r="C176" s="48">
        <f>IFERROR(DIVIDE(VLOOKUP($B176,Data!$B$3:$AB$1535,9,FALSE),VLOOKUP($B176,Data!$B$3:$AB$1535,4,FALSE)),"")</f>
        <v>0.3677315436</v>
      </c>
      <c r="D176" s="48">
        <f>IFERROR(DIVIDE(VLOOKUP($B176,Data!$B$3:$AB$1535,24,FALSE),VLOOKUP($B176,Data!$B$3:$AB$1535,4,FALSE)),"")</f>
        <v>0.1537919463</v>
      </c>
      <c r="E176" s="48">
        <f>IFERROR(DIVIDE(VLOOKUP($B176,Data!$B$3:$EZ1530,29,FALSE),VLOOKUP($B176,Data!$B$3:$EZ1530,4,FALSE)),"")</f>
        <v>0.1388187919</v>
      </c>
      <c r="F176" s="48">
        <f>IFERROR(DIVIDE(VLOOKUP($B176,Data!$B$3:$EZ1530,34,FALSE),VLOOKUP($B176,Data!$B$3:$EZ1530,4,FALSE)),"")</f>
        <v>0.2295704698</v>
      </c>
      <c r="G176" s="48">
        <f>IFERROR(DIVIDE(VLOOKUP($B176,Data!$B$3:$EZ1530,39,FALSE),VLOOKUP($B176,Data!$B$3:$EZ1530,4,FALSE)),"")</f>
        <v>0.1062751678</v>
      </c>
      <c r="H176" s="48">
        <f>IFERROR(DIVIDE(VLOOKUP($B176,Data!$B$3:$EZ1530,44,FALSE),VLOOKUP($B176,Data!$B$3:$EZ1530,4,FALSE)),"")</f>
        <v>0.1666442953</v>
      </c>
      <c r="I176" s="48">
        <f>IFERROR(MINUS(DIVIDE(VLOOKUP($B176,Data!$B$3:$EZ1530,9,FALSE),VLOOKUP($B176,Data!$B$3:$EZ1530,10,FALSE)),1),"")</f>
        <v>0.02706755642</v>
      </c>
      <c r="J176" s="48">
        <f>IFERROR(MINUS(DIVIDE(VLOOKUP($B176,Data!$B$3:$EZ1530,24,FALSE),VLOOKUP($B176,Data!$B$3:$EZ1530,25,FALSE)),1),"")</f>
        <v>0.03819318594</v>
      </c>
      <c r="K176" s="48">
        <f>IFERROR(MINUS(DIVIDE(VLOOKUP($B176,Data!$B$3:$EZ1530,29,FALSE),VLOOKUP($B176,Data!$B$3:$EZ1530,30,FALSE)),1),"")</f>
        <v>-0.003180722892</v>
      </c>
      <c r="L176" s="48">
        <f>IFERROR(MINUS(DIVIDE(VLOOKUP($B176,Data!$B$3:$EZ1530,34,FALSE),VLOOKUP($B176,Data!$B$3:$EZ1530,35,FALSE)),1),"")</f>
        <v>0.02896850465</v>
      </c>
      <c r="M176" s="48">
        <f>IFERROR(MINUS(DIVIDE(VLOOKUP($B176,Data!$B$3:$EZ1530,39,FALSE),VLOOKUP($B176,Data!$B$3:$EZ1530,40,FALSE)),1),"")</f>
        <v>-0.04717492027</v>
      </c>
      <c r="N176" s="48">
        <f>IFERROR(MINUS(DIVIDE(VLOOKUP($B176,Data!$B$3:$EZ1530,44,FALSE),VLOOKUP($B176,Data!$B$3:$EZ1530,45,FALSE)),1),"")</f>
        <v>0.04679595278</v>
      </c>
      <c r="O176" s="50">
        <f>IFERROR(VLOOKUP($B176,Data!$B$3:$D1530,2,FALSE),"")</f>
        <v>1190000</v>
      </c>
      <c r="P176" s="50">
        <f>IFERROR(VLOOKUP($B176,Data!$B$3:$D1530,3,FALSE),"")</f>
        <v>1130000</v>
      </c>
      <c r="Q176" s="48">
        <f t="shared" si="2"/>
        <v>0.05309734513</v>
      </c>
      <c r="R176" s="48"/>
      <c r="S176" s="48"/>
      <c r="T176" s="48"/>
      <c r="U176" s="48"/>
      <c r="V176" s="48"/>
      <c r="W176" s="50"/>
      <c r="Z176" s="11"/>
      <c r="AA176" s="11"/>
    </row>
    <row r="177">
      <c r="A177" s="9">
        <f t="shared" si="1"/>
        <v>174</v>
      </c>
      <c r="B177" s="47" t="s">
        <v>310</v>
      </c>
      <c r="C177" s="48">
        <f>IFERROR(DIVIDE(VLOOKUP($B177,Data!$B$3:$AB$1535,9,FALSE),VLOOKUP($B177,Data!$B$3:$AB$1535,4,FALSE)),"")</f>
        <v>0.05864681296</v>
      </c>
      <c r="D177" s="48">
        <f>IFERROR(DIVIDE(VLOOKUP($B177,Data!$B$3:$AB$1535,24,FALSE),VLOOKUP($B177,Data!$B$3:$AB$1535,4,FALSE)),"")</f>
        <v>0</v>
      </c>
      <c r="E177" s="48">
        <f>IFERROR(DIVIDE(VLOOKUP($B177,Data!$B$3:$EZ1530,29,FALSE),VLOOKUP($B177,Data!$B$3:$EZ1530,4,FALSE)),"")</f>
        <v>0</v>
      </c>
      <c r="F177" s="48">
        <f>IFERROR(DIVIDE(VLOOKUP($B177,Data!$B$3:$EZ1530,34,FALSE),VLOOKUP($B177,Data!$B$3:$EZ1530,4,FALSE)),"")</f>
        <v>0.004375653083</v>
      </c>
      <c r="G177" s="48">
        <f>IFERROR(DIVIDE(VLOOKUP($B177,Data!$B$3:$EZ1530,39,FALSE),VLOOKUP($B177,Data!$B$3:$EZ1530,4,FALSE)),"")</f>
        <v>0</v>
      </c>
      <c r="H177" s="48">
        <f>IFERROR(DIVIDE(VLOOKUP($B177,Data!$B$3:$EZ1530,44,FALSE),VLOOKUP($B177,Data!$B$3:$EZ1530,4,FALSE)),"")</f>
        <v>0</v>
      </c>
      <c r="I177" s="48">
        <f>IFERROR(MINUS(DIVIDE(VLOOKUP($B177,Data!$B$3:$EZ1530,9,FALSE),VLOOKUP($B177,Data!$B$3:$EZ1530,10,FALSE)),1),"")</f>
        <v>-0.7713849287</v>
      </c>
      <c r="J177" s="48" t="str">
        <f>IFERROR(MINUS(DIVIDE(VLOOKUP($B177,Data!$B$3:$EZ1530,24,FALSE),VLOOKUP($B177,Data!$B$3:$EZ1530,25,FALSE)),1),"")</f>
        <v/>
      </c>
      <c r="K177" s="48">
        <f>IFERROR(MINUS(DIVIDE(VLOOKUP($B177,Data!$B$3:$EZ1530,29,FALSE),VLOOKUP($B177,Data!$B$3:$EZ1530,30,FALSE)),1),"")</f>
        <v>-1</v>
      </c>
      <c r="L177" s="48">
        <f>IFERROR(MINUS(DIVIDE(VLOOKUP($B177,Data!$B$3:$EZ1530,34,FALSE),VLOOKUP($B177,Data!$B$3:$EZ1530,35,FALSE)),1),"")</f>
        <v>-0.975933908</v>
      </c>
      <c r="M177" s="48">
        <f>IFERROR(MINUS(DIVIDE(VLOOKUP($B177,Data!$B$3:$EZ1530,39,FALSE),VLOOKUP($B177,Data!$B$3:$EZ1530,40,FALSE)),1),"")</f>
        <v>-1</v>
      </c>
      <c r="N177" s="48">
        <f>IFERROR(MINUS(DIVIDE(VLOOKUP($B177,Data!$B$3:$EZ1530,44,FALSE),VLOOKUP($B177,Data!$B$3:$EZ1530,45,FALSE)),1),"")</f>
        <v>-1</v>
      </c>
      <c r="O177" s="50">
        <f>IFERROR(VLOOKUP($B177,Data!$B$3:$D1530,2,FALSE),"")</f>
        <v>86500000</v>
      </c>
      <c r="P177" s="50">
        <f>IFERROR(VLOOKUP($B177,Data!$B$3:$D1530,3,FALSE),"")</f>
        <v>65750000</v>
      </c>
      <c r="Q177" s="48">
        <f t="shared" si="2"/>
        <v>0.3155893536</v>
      </c>
      <c r="R177" s="48"/>
      <c r="S177" s="48"/>
      <c r="T177" s="48"/>
      <c r="U177" s="48"/>
      <c r="V177" s="48"/>
      <c r="W177" s="50"/>
      <c r="Z177" s="11"/>
      <c r="AA177" s="11"/>
    </row>
    <row r="178">
      <c r="A178" s="9">
        <f t="shared" si="1"/>
        <v>175</v>
      </c>
      <c r="B178" s="47" t="s">
        <v>311</v>
      </c>
      <c r="C178" s="48">
        <f>IFERROR(DIVIDE(VLOOKUP($B178,Data!$B$3:$AB$1535,9,FALSE),VLOOKUP($B178,Data!$B$3:$AB$1535,4,FALSE)),"")</f>
        <v>0.2292225201</v>
      </c>
      <c r="D178" s="48">
        <f>IFERROR(DIVIDE(VLOOKUP($B178,Data!$B$3:$AB$1535,24,FALSE),VLOOKUP($B178,Data!$B$3:$AB$1535,4,FALSE)),"")</f>
        <v>0.0895616622</v>
      </c>
      <c r="E178" s="48">
        <f>IFERROR(DIVIDE(VLOOKUP($B178,Data!$B$3:$EZ1530,29,FALSE),VLOOKUP($B178,Data!$B$3:$EZ1530,4,FALSE)),"")</f>
        <v>0.07767158177</v>
      </c>
      <c r="F178" s="48">
        <f>IFERROR(DIVIDE(VLOOKUP($B178,Data!$B$3:$EZ1530,34,FALSE),VLOOKUP($B178,Data!$B$3:$EZ1530,4,FALSE)),"")</f>
        <v>0.1079597855</v>
      </c>
      <c r="G178" s="48">
        <f>IFERROR(DIVIDE(VLOOKUP($B178,Data!$B$3:$EZ1530,39,FALSE),VLOOKUP($B178,Data!$B$3:$EZ1530,4,FALSE)),"")</f>
        <v>0.06448927614</v>
      </c>
      <c r="H178" s="48">
        <f>IFERROR(DIVIDE(VLOOKUP($B178,Data!$B$3:$EZ1530,44,FALSE),VLOOKUP($B178,Data!$B$3:$EZ1530,4,FALSE)),"")</f>
        <v>0.07896514745</v>
      </c>
      <c r="I178" s="48">
        <f>IFERROR(MINUS(DIVIDE(VLOOKUP($B178,Data!$B$3:$EZ1530,9,FALSE),VLOOKUP($B178,Data!$B$3:$EZ1530,10,FALSE)),1),"")</f>
        <v>0.1176470588</v>
      </c>
      <c r="J178" s="48">
        <f>IFERROR(MINUS(DIVIDE(VLOOKUP($B178,Data!$B$3:$EZ1530,24,FALSE),VLOOKUP($B178,Data!$B$3:$EZ1530,25,FALSE)),1),"")</f>
        <v>0.1091319577</v>
      </c>
      <c r="K178" s="48">
        <f>IFERROR(MINUS(DIVIDE(VLOOKUP($B178,Data!$B$3:$EZ1530,29,FALSE),VLOOKUP($B178,Data!$B$3:$EZ1530,30,FALSE)),1),"")</f>
        <v>0.124233605</v>
      </c>
      <c r="L178" s="48">
        <f>IFERROR(MINUS(DIVIDE(VLOOKUP($B178,Data!$B$3:$EZ1530,34,FALSE),VLOOKUP($B178,Data!$B$3:$EZ1530,35,FALSE)),1),"")</f>
        <v>0.1806148028</v>
      </c>
      <c r="M178" s="48">
        <f>IFERROR(MINUS(DIVIDE(VLOOKUP($B178,Data!$B$3:$EZ1530,39,FALSE),VLOOKUP($B178,Data!$B$3:$EZ1530,40,FALSE)),1),"")</f>
        <v>0.1546344742</v>
      </c>
      <c r="N178" s="48">
        <f>IFERROR(MINUS(DIVIDE(VLOOKUP($B178,Data!$B$3:$EZ1530,44,FALSE),VLOOKUP($B178,Data!$B$3:$EZ1530,45,FALSE)),1),"")</f>
        <v>0.1790796822</v>
      </c>
      <c r="O178" s="50">
        <f>IFERROR(VLOOKUP($B178,Data!$B$3:$D1530,2,FALSE),"")</f>
        <v>8640000</v>
      </c>
      <c r="P178" s="50">
        <f>IFERROR(VLOOKUP($B178,Data!$B$3:$D1530,3,FALSE),"")</f>
        <v>8080000</v>
      </c>
      <c r="Q178" s="48">
        <f t="shared" si="2"/>
        <v>0.06930693069</v>
      </c>
      <c r="R178" s="48"/>
      <c r="S178" s="48"/>
      <c r="T178" s="48"/>
      <c r="U178" s="48"/>
      <c r="V178" s="48"/>
      <c r="W178" s="50"/>
      <c r="Z178" s="11"/>
      <c r="AA178" s="11"/>
    </row>
    <row r="179">
      <c r="A179" s="9">
        <f t="shared" si="1"/>
        <v>176</v>
      </c>
      <c r="B179" s="47" t="s">
        <v>312</v>
      </c>
      <c r="C179" s="48">
        <f>IFERROR(DIVIDE(VLOOKUP($B179,Data!$B$3:$AB$1535,9,FALSE),VLOOKUP($B179,Data!$B$3:$AB$1535,4,FALSE)),"")</f>
        <v>0.124235474</v>
      </c>
      <c r="D179" s="48">
        <f>IFERROR(DIVIDE(VLOOKUP($B179,Data!$B$3:$AB$1535,24,FALSE),VLOOKUP($B179,Data!$B$3:$AB$1535,4,FALSE)),"")</f>
        <v>0.002453555046</v>
      </c>
      <c r="E179" s="48">
        <f>IFERROR(DIVIDE(VLOOKUP($B179,Data!$B$3:$EZ1530,29,FALSE),VLOOKUP($B179,Data!$B$3:$EZ1530,4,FALSE)),"")</f>
        <v>-0.09193425076</v>
      </c>
      <c r="F179" s="48">
        <f>IFERROR(DIVIDE(VLOOKUP($B179,Data!$B$3:$EZ1530,34,FALSE),VLOOKUP($B179,Data!$B$3:$EZ1530,4,FALSE)),"")</f>
        <v>0.1513761468</v>
      </c>
      <c r="G179" s="48">
        <f>IFERROR(DIVIDE(VLOOKUP($B179,Data!$B$3:$EZ1530,39,FALSE),VLOOKUP($B179,Data!$B$3:$EZ1530,4,FALSE)),"")</f>
        <v>-0.05351681957</v>
      </c>
      <c r="H179" s="48">
        <f>IFERROR(DIVIDE(VLOOKUP($B179,Data!$B$3:$EZ1530,44,FALSE),VLOOKUP($B179,Data!$B$3:$EZ1530,4,FALSE)),"")</f>
        <v>0.09843272171</v>
      </c>
      <c r="I179" s="48">
        <f>IFERROR(MINUS(DIVIDE(VLOOKUP($B179,Data!$B$3:$EZ1530,9,FALSE),VLOOKUP($B179,Data!$B$3:$EZ1530,10,FALSE)),1),"")</f>
        <v>-0.4347826087</v>
      </c>
      <c r="J179" s="48">
        <f>IFERROR(MINUS(DIVIDE(VLOOKUP($B179,Data!$B$3:$EZ1530,24,FALSE),VLOOKUP($B179,Data!$B$3:$EZ1530,25,FALSE)),1),"")</f>
        <v>-2.541426513</v>
      </c>
      <c r="K179" s="48">
        <f>IFERROR(MINUS(DIVIDE(VLOOKUP($B179,Data!$B$3:$EZ1530,29,FALSE),VLOOKUP($B179,Data!$B$3:$EZ1530,30,FALSE)),1),"")</f>
        <v>-2.317808219</v>
      </c>
      <c r="L179" s="48">
        <f>IFERROR(MINUS(DIVIDE(VLOOKUP($B179,Data!$B$3:$EZ1530,34,FALSE),VLOOKUP($B179,Data!$B$3:$EZ1530,35,FALSE)),1),"")</f>
        <v>-0.3076923077</v>
      </c>
      <c r="M179" s="48">
        <f>IFERROR(MINUS(DIVIDE(VLOOKUP($B179,Data!$B$3:$EZ1530,39,FALSE),VLOOKUP($B179,Data!$B$3:$EZ1530,40,FALSE)),1),"")</f>
        <v>-1.975609756</v>
      </c>
      <c r="N179" s="48">
        <f>IFERROR(MINUS(DIVIDE(VLOOKUP($B179,Data!$B$3:$EZ1530,44,FALSE),VLOOKUP($B179,Data!$B$3:$EZ1530,45,FALSE)),1),"")</f>
        <v>-0.4396082699</v>
      </c>
      <c r="O179" s="50">
        <f>IFERROR(VLOOKUP($B179,Data!$B$3:$D1530,2,FALSE),"")</f>
        <v>11440000</v>
      </c>
      <c r="P179" s="50">
        <f>IFERROR(VLOOKUP($B179,Data!$B$3:$D1530,3,FALSE),"")</f>
        <v>9730000</v>
      </c>
      <c r="Q179" s="48">
        <f t="shared" si="2"/>
        <v>0.1757451182</v>
      </c>
      <c r="R179" s="48"/>
      <c r="S179" s="48"/>
      <c r="T179" s="48"/>
      <c r="U179" s="48"/>
      <c r="V179" s="48"/>
      <c r="W179" s="50"/>
      <c r="Z179" s="11"/>
      <c r="AA179" s="11"/>
    </row>
    <row r="180">
      <c r="A180" s="9">
        <f t="shared" si="1"/>
        <v>177</v>
      </c>
      <c r="B180" s="47" t="s">
        <v>313</v>
      </c>
      <c r="C180" s="48" t="str">
        <f>IFERROR(DIVIDE(VLOOKUP($B180,Data!$B$3:$AB$1535,9,FALSE),VLOOKUP($B180,Data!$B$3:$AB$1535,4,FALSE)),"")</f>
        <v/>
      </c>
      <c r="D180" s="48" t="str">
        <f>IFERROR(DIVIDE(VLOOKUP($B180,Data!$B$3:$AB$1535,24,FALSE),VLOOKUP($B180,Data!$B$3:$AB$1535,4,FALSE)),"")</f>
        <v/>
      </c>
      <c r="E180" s="48" t="str">
        <f>IFERROR(DIVIDE(VLOOKUP($B180,Data!$B$3:$EZ1530,29,FALSE),VLOOKUP($B180,Data!$B$3:$EZ1530,4,FALSE)),"")</f>
        <v/>
      </c>
      <c r="F180" s="48" t="str">
        <f>IFERROR(DIVIDE(VLOOKUP($B180,Data!$B$3:$EZ1530,34,FALSE),VLOOKUP($B180,Data!$B$3:$EZ1530,4,FALSE)),"")</f>
        <v/>
      </c>
      <c r="G180" s="48" t="str">
        <f>IFERROR(DIVIDE(VLOOKUP($B180,Data!$B$3:$EZ1530,39,FALSE),VLOOKUP($B180,Data!$B$3:$EZ1530,4,FALSE)),"")</f>
        <v/>
      </c>
      <c r="H180" s="48" t="str">
        <f>IFERROR(DIVIDE(VLOOKUP($B180,Data!$B$3:$EZ1530,44,FALSE),VLOOKUP($B180,Data!$B$3:$EZ1530,4,FALSE)),"")</f>
        <v/>
      </c>
      <c r="I180" s="48" t="str">
        <f>IFERROR(MINUS(DIVIDE(VLOOKUP($B180,Data!$B$3:$EZ1530,9,FALSE),VLOOKUP($B180,Data!$B$3:$EZ1530,10,FALSE)),1),"")</f>
        <v/>
      </c>
      <c r="J180" s="48" t="str">
        <f>IFERROR(MINUS(DIVIDE(VLOOKUP($B180,Data!$B$3:$EZ1530,24,FALSE),VLOOKUP($B180,Data!$B$3:$EZ1530,25,FALSE)),1),"")</f>
        <v/>
      </c>
      <c r="K180" s="48" t="str">
        <f>IFERROR(MINUS(DIVIDE(VLOOKUP($B180,Data!$B$3:$EZ1530,29,FALSE),VLOOKUP($B180,Data!$B$3:$EZ1530,30,FALSE)),1),"")</f>
        <v/>
      </c>
      <c r="L180" s="48" t="str">
        <f>IFERROR(MINUS(DIVIDE(VLOOKUP($B180,Data!$B$3:$EZ1530,34,FALSE),VLOOKUP($B180,Data!$B$3:$EZ1530,35,FALSE)),1),"")</f>
        <v/>
      </c>
      <c r="M180" s="48" t="str">
        <f>IFERROR(MINUS(DIVIDE(VLOOKUP($B180,Data!$B$3:$EZ1530,39,FALSE),VLOOKUP($B180,Data!$B$3:$EZ1530,40,FALSE)),1),"")</f>
        <v/>
      </c>
      <c r="N180" s="48" t="str">
        <f>IFERROR(MINUS(DIVIDE(VLOOKUP($B180,Data!$B$3:$EZ1530,44,FALSE),VLOOKUP($B180,Data!$B$3:$EZ1530,45,FALSE)),1),"")</f>
        <v/>
      </c>
      <c r="O180" s="50" t="str">
        <f>IFERROR(VLOOKUP($B180,Data!$B$3:$D1530,2,FALSE),"")</f>
        <v/>
      </c>
      <c r="P180" s="50" t="str">
        <f>IFERROR(VLOOKUP($B180,Data!$B$3:$D1530,3,FALSE),"")</f>
        <v/>
      </c>
      <c r="Q180" s="48" t="str">
        <f t="shared" si="2"/>
        <v/>
      </c>
      <c r="R180" s="48"/>
      <c r="S180" s="48"/>
      <c r="T180" s="48"/>
      <c r="U180" s="48"/>
      <c r="V180" s="48"/>
      <c r="W180" s="50"/>
      <c r="Z180" s="15"/>
      <c r="AA180" s="15"/>
    </row>
    <row r="181">
      <c r="A181" s="9">
        <f t="shared" si="1"/>
        <v>178</v>
      </c>
      <c r="B181" s="47" t="s">
        <v>314</v>
      </c>
      <c r="C181" s="48">
        <f>IFERROR(DIVIDE(VLOOKUP($B181,Data!$B$3:$AB$1535,9,FALSE),VLOOKUP($B181,Data!$B$3:$AB$1535,4,FALSE)),"")</f>
        <v>0.4304577465</v>
      </c>
      <c r="D181" s="48">
        <f>IFERROR(DIVIDE(VLOOKUP($B181,Data!$B$3:$AB$1535,24,FALSE),VLOOKUP($B181,Data!$B$3:$AB$1535,4,FALSE)),"")</f>
        <v>0.1540492958</v>
      </c>
      <c r="E181" s="48">
        <f>IFERROR(DIVIDE(VLOOKUP($B181,Data!$B$3:$EZ1530,29,FALSE),VLOOKUP($B181,Data!$B$3:$EZ1530,4,FALSE)),"")</f>
        <v>0.08538732394</v>
      </c>
      <c r="F181" s="48">
        <f>IFERROR(DIVIDE(VLOOKUP($B181,Data!$B$3:$EZ1530,34,FALSE),VLOOKUP($B181,Data!$B$3:$EZ1530,4,FALSE)),"")</f>
        <v>0.2376760563</v>
      </c>
      <c r="G181" s="48">
        <f>IFERROR(DIVIDE(VLOOKUP($B181,Data!$B$3:$EZ1530,39,FALSE),VLOOKUP($B181,Data!$B$3:$EZ1530,4,FALSE)),"")</f>
        <v>0.08802816901</v>
      </c>
      <c r="H181" s="48">
        <f>IFERROR(DIVIDE(VLOOKUP($B181,Data!$B$3:$EZ1530,44,FALSE),VLOOKUP($B181,Data!$B$3:$EZ1530,4,FALSE)),"")</f>
        <v>0.1848591549</v>
      </c>
      <c r="I181" s="48">
        <f>IFERROR(MINUS(DIVIDE(VLOOKUP($B181,Data!$B$3:$EZ1530,9,FALSE),VLOOKUP($B181,Data!$B$3:$EZ1530,10,FALSE)),1),"")</f>
        <v>0.01452282158</v>
      </c>
      <c r="J181" s="48">
        <f>IFERROR(MINUS(DIVIDE(VLOOKUP($B181,Data!$B$3:$EZ1530,24,FALSE),VLOOKUP($B181,Data!$B$3:$EZ1530,25,FALSE)),1),"")</f>
        <v>-13.06896552</v>
      </c>
      <c r="K181" s="48">
        <f>IFERROR(MINUS(DIVIDE(VLOOKUP($B181,Data!$B$3:$EZ1530,29,FALSE),VLOOKUP($B181,Data!$B$3:$EZ1530,30,FALSE)),1),"")</f>
        <v>-0.4012345679</v>
      </c>
      <c r="L181" s="48">
        <f>IFERROR(MINUS(DIVIDE(VLOOKUP($B181,Data!$B$3:$EZ1530,34,FALSE),VLOOKUP($B181,Data!$B$3:$EZ1530,35,FALSE)),1),"")</f>
        <v>0.07142857143</v>
      </c>
      <c r="M181" s="48">
        <f>IFERROR(MINUS(DIVIDE(VLOOKUP($B181,Data!$B$3:$EZ1530,39,FALSE),VLOOKUP($B181,Data!$B$3:$EZ1530,40,FALSE)),1),"")</f>
        <v>-0.3548387097</v>
      </c>
      <c r="N181" s="48">
        <f>IFERROR(MINUS(DIVIDE(VLOOKUP($B181,Data!$B$3:$EZ1530,44,FALSE),VLOOKUP($B181,Data!$B$3:$EZ1530,45,FALSE)),1),"")</f>
        <v>0.0396039604</v>
      </c>
      <c r="O181" s="50">
        <f>IFERROR(VLOOKUP($B181,Data!$B$3:$D1530,2,FALSE),"")</f>
        <v>12330000</v>
      </c>
      <c r="P181" s="50">
        <f>IFERROR(VLOOKUP($B181,Data!$B$3:$D1530,3,FALSE),"")</f>
        <v>11710000</v>
      </c>
      <c r="Q181" s="48">
        <f t="shared" si="2"/>
        <v>0.05294619983</v>
      </c>
      <c r="R181" s="48"/>
      <c r="S181" s="48"/>
      <c r="T181" s="48"/>
      <c r="U181" s="48"/>
      <c r="V181" s="48"/>
      <c r="W181" s="50"/>
      <c r="Z181" s="15"/>
      <c r="AA181" s="15"/>
    </row>
    <row r="182">
      <c r="A182" s="9">
        <f t="shared" si="1"/>
        <v>179</v>
      </c>
      <c r="B182" s="47" t="s">
        <v>315</v>
      </c>
      <c r="C182" s="48">
        <f>IFERROR(DIVIDE(VLOOKUP($B182,Data!$B$3:$AB$1535,9,FALSE),VLOOKUP($B182,Data!$B$3:$AB$1535,4,FALSE)),"")</f>
        <v>0.3172043011</v>
      </c>
      <c r="D182" s="48">
        <f>IFERROR(DIVIDE(VLOOKUP($B182,Data!$B$3:$AB$1535,24,FALSE),VLOOKUP($B182,Data!$B$3:$AB$1535,4,FALSE)),"")</f>
        <v>-0.05986379928</v>
      </c>
      <c r="E182" s="48">
        <f>IFERROR(DIVIDE(VLOOKUP($B182,Data!$B$3:$EZ1530,29,FALSE),VLOOKUP($B182,Data!$B$3:$EZ1530,4,FALSE)),"")</f>
        <v>-0.06853494624</v>
      </c>
      <c r="F182" s="48">
        <f>IFERROR(DIVIDE(VLOOKUP($B182,Data!$B$3:$EZ1530,34,FALSE),VLOOKUP($B182,Data!$B$3:$EZ1530,4,FALSE)),"")</f>
        <v>0.02303405018</v>
      </c>
      <c r="G182" s="48">
        <f>IFERROR(DIVIDE(VLOOKUP($B182,Data!$B$3:$EZ1530,39,FALSE),VLOOKUP($B182,Data!$B$3:$EZ1530,4,FALSE)),"")</f>
        <v>-0.05500179211</v>
      </c>
      <c r="H182" s="48">
        <f>IFERROR(DIVIDE(VLOOKUP($B182,Data!$B$3:$EZ1530,44,FALSE),VLOOKUP($B182,Data!$B$3:$EZ1530,4,FALSE)),"")</f>
        <v>0.05294982079</v>
      </c>
      <c r="I182" s="48">
        <f>IFERROR(MINUS(DIVIDE(VLOOKUP($B182,Data!$B$3:$EZ1530,9,FALSE),VLOOKUP($B182,Data!$B$3:$EZ1530,10,FALSE)),1),"")</f>
        <v>-0.1365853659</v>
      </c>
      <c r="J182" s="48">
        <f>IFERROR(MINUS(DIVIDE(VLOOKUP($B182,Data!$B$3:$EZ1530,24,FALSE),VLOOKUP($B182,Data!$B$3:$EZ1530,25,FALSE)),1),"")</f>
        <v>6.666743172</v>
      </c>
      <c r="K182" s="48">
        <f>IFERROR(MINUS(DIVIDE(VLOOKUP($B182,Data!$B$3:$EZ1530,29,FALSE),VLOOKUP($B182,Data!$B$3:$EZ1530,30,FALSE)),1),"")</f>
        <v>3.883787753</v>
      </c>
      <c r="L182" s="48">
        <f>IFERROR(MINUS(DIVIDE(VLOOKUP($B182,Data!$B$3:$EZ1530,34,FALSE),VLOOKUP($B182,Data!$B$3:$EZ1530,35,FALSE)),1),"")</f>
        <v>-0.6624737395</v>
      </c>
      <c r="M182" s="48">
        <f>IFERROR(MINUS(DIVIDE(VLOOKUP($B182,Data!$B$3:$EZ1530,39,FALSE),VLOOKUP($B182,Data!$B$3:$EZ1530,40,FALSE)),1),"")</f>
        <v>3.473254628</v>
      </c>
      <c r="N182" s="48">
        <f>IFERROR(MINUS(DIVIDE(VLOOKUP($B182,Data!$B$3:$EZ1530,44,FALSE),VLOOKUP($B182,Data!$B$3:$EZ1530,45,FALSE)),1),"")</f>
        <v>-0.2897596154</v>
      </c>
      <c r="O182" s="50">
        <f>IFERROR(VLOOKUP($B182,Data!$B$3:$D1530,2,FALSE),"")</f>
        <v>10070000</v>
      </c>
      <c r="P182" s="50">
        <f>IFERROR(VLOOKUP($B182,Data!$B$3:$D1530,3,FALSE),"")</f>
        <v>9490000</v>
      </c>
      <c r="Q182" s="48">
        <f t="shared" si="2"/>
        <v>0.06111696523</v>
      </c>
      <c r="R182" s="48"/>
      <c r="S182" s="48"/>
      <c r="T182" s="48"/>
      <c r="U182" s="48"/>
      <c r="V182" s="48"/>
      <c r="W182" s="50"/>
      <c r="Z182" s="12"/>
      <c r="AA182" s="12"/>
    </row>
    <row r="183">
      <c r="A183" s="9">
        <f t="shared" si="1"/>
        <v>180</v>
      </c>
      <c r="B183" s="47" t="s">
        <v>316</v>
      </c>
      <c r="C183" s="48">
        <f>IFERROR(DIVIDE(VLOOKUP($B183,Data!$B$3:$AB$1535,9,FALSE),VLOOKUP($B183,Data!$B$3:$AB$1535,4,FALSE)),"")</f>
        <v>0.9383629191</v>
      </c>
      <c r="D183" s="48">
        <f>IFERROR(DIVIDE(VLOOKUP($B183,Data!$B$3:$AB$1535,24,FALSE),VLOOKUP($B183,Data!$B$3:$AB$1535,4,FALSE)),"")</f>
        <v>-6.590483235</v>
      </c>
      <c r="E183" s="48">
        <f>IFERROR(DIVIDE(VLOOKUP($B183,Data!$B$3:$EZ1530,29,FALSE),VLOOKUP($B183,Data!$B$3:$EZ1530,4,FALSE)),"")</f>
        <v>-7.115138067</v>
      </c>
      <c r="F183" s="48">
        <f>IFERROR(DIVIDE(VLOOKUP($B183,Data!$B$3:$EZ1530,34,FALSE),VLOOKUP($B183,Data!$B$3:$EZ1530,4,FALSE)),"")</f>
        <v>-6.564102564</v>
      </c>
      <c r="G183" s="48">
        <f>IFERROR(DIVIDE(VLOOKUP($B183,Data!$B$3:$EZ1530,39,FALSE),VLOOKUP($B183,Data!$B$3:$EZ1530,4,FALSE)),"")</f>
        <v>-6.424802761</v>
      </c>
      <c r="H183" s="48">
        <f>IFERROR(DIVIDE(VLOOKUP($B183,Data!$B$3:$EZ1530,44,FALSE),VLOOKUP($B183,Data!$B$3:$EZ1530,4,FALSE)),"")</f>
        <v>-6.252218935</v>
      </c>
      <c r="I183" s="48" t="str">
        <f>IFERROR(MINUS(DIVIDE(VLOOKUP($B183,Data!$B$3:$EZ1530,9,FALSE),VLOOKUP($B183,Data!$B$3:$EZ1530,10,FALSE)),1),"")</f>
        <v/>
      </c>
      <c r="J183" s="48">
        <f>IFERROR(MINUS(DIVIDE(VLOOKUP($B183,Data!$B$3:$EZ1530,24,FALSE),VLOOKUP($B183,Data!$B$3:$EZ1530,25,FALSE)),1),"")</f>
        <v>-15.68736264</v>
      </c>
      <c r="K183" s="48">
        <f>IFERROR(MINUS(DIVIDE(VLOOKUP($B183,Data!$B$3:$EZ1530,29,FALSE),VLOOKUP($B183,Data!$B$3:$EZ1530,30,FALSE)),1),"")</f>
        <v>0.7030982591</v>
      </c>
      <c r="L183" s="48">
        <f>IFERROR(MINUS(DIVIDE(VLOOKUP($B183,Data!$B$3:$EZ1530,34,FALSE),VLOOKUP($B183,Data!$B$3:$EZ1530,35,FALSE)),1),"")</f>
        <v>0.4496351955</v>
      </c>
      <c r="M183" s="48">
        <f>IFERROR(MINUS(DIVIDE(VLOOKUP($B183,Data!$B$3:$EZ1530,39,FALSE),VLOOKUP($B183,Data!$B$3:$EZ1530,40,FALSE)),1),"")</f>
        <v>0.993040153</v>
      </c>
      <c r="N183" s="48">
        <f>IFERROR(MINUS(DIVIDE(VLOOKUP($B183,Data!$B$3:$EZ1530,44,FALSE),VLOOKUP($B183,Data!$B$3:$EZ1530,45,FALSE)),1),"")</f>
        <v>0.8558987119</v>
      </c>
      <c r="O183" s="50">
        <f>IFERROR(VLOOKUP($B183,Data!$B$3:$D1530,2,FALSE),"")</f>
        <v>88550</v>
      </c>
      <c r="P183" s="50">
        <f>IFERROR(VLOOKUP($B183,Data!$B$3:$D1530,3,FALSE),"")</f>
        <v>14510</v>
      </c>
      <c r="Q183" s="48">
        <f t="shared" si="2"/>
        <v>5.102687802</v>
      </c>
      <c r="R183" s="48"/>
      <c r="S183" s="48"/>
      <c r="T183" s="48"/>
      <c r="U183" s="48"/>
      <c r="V183" s="48"/>
      <c r="W183" s="50"/>
      <c r="Z183" s="11"/>
      <c r="AA183" s="11"/>
    </row>
    <row r="184">
      <c r="A184" s="9">
        <f t="shared" si="1"/>
        <v>181</v>
      </c>
      <c r="B184" s="47" t="s">
        <v>317</v>
      </c>
      <c r="C184" s="48">
        <f>IFERROR(DIVIDE(VLOOKUP($B184,Data!$B$3:$AB$1535,9,FALSE),VLOOKUP($B184,Data!$B$3:$AB$1535,4,FALSE)),"")</f>
        <v>0.4599649328</v>
      </c>
      <c r="D184" s="48">
        <f>IFERROR(DIVIDE(VLOOKUP($B184,Data!$B$3:$AB$1535,24,FALSE),VLOOKUP($B184,Data!$B$3:$AB$1535,4,FALSE)),"")</f>
        <v>0.3454120397</v>
      </c>
      <c r="E184" s="48">
        <f>IFERROR(DIVIDE(VLOOKUP($B184,Data!$B$3:$EZ1530,29,FALSE),VLOOKUP($B184,Data!$B$3:$EZ1530,4,FALSE)),"")</f>
        <v>0.3308007013</v>
      </c>
      <c r="F184" s="48">
        <f>IFERROR(DIVIDE(VLOOKUP($B184,Data!$B$3:$EZ1530,34,FALSE),VLOOKUP($B184,Data!$B$3:$EZ1530,4,FALSE)),"")</f>
        <v>0.5029222677</v>
      </c>
      <c r="G184" s="48">
        <f>IFERROR(DIVIDE(VLOOKUP($B184,Data!$B$3:$EZ1530,39,FALSE),VLOOKUP($B184,Data!$B$3:$EZ1530,4,FALSE)),"")</f>
        <v>0.195207481</v>
      </c>
      <c r="H184" s="48">
        <f>IFERROR(DIVIDE(VLOOKUP($B184,Data!$B$3:$EZ1530,44,FALSE),VLOOKUP($B184,Data!$B$3:$EZ1530,4,FALSE)),"")</f>
        <v>0.4035651666</v>
      </c>
      <c r="I184" s="48">
        <f>IFERROR(MINUS(DIVIDE(VLOOKUP($B184,Data!$B$3:$EZ1530,9,FALSE),VLOOKUP($B184,Data!$B$3:$EZ1530,10,FALSE)),1),"")</f>
        <v>0.08551724138</v>
      </c>
      <c r="J184" s="48">
        <f>IFERROR(MINUS(DIVIDE(VLOOKUP($B184,Data!$B$3:$EZ1530,24,FALSE),VLOOKUP($B184,Data!$B$3:$EZ1530,25,FALSE)),1),"")</f>
        <v>-17.51460746</v>
      </c>
      <c r="K184" s="48">
        <f>IFERROR(MINUS(DIVIDE(VLOOKUP($B184,Data!$B$3:$EZ1530,29,FALSE),VLOOKUP($B184,Data!$B$3:$EZ1530,30,FALSE)),1),"")</f>
        <v>0.08015267176</v>
      </c>
      <c r="L184" s="48">
        <f>IFERROR(MINUS(DIVIDE(VLOOKUP($B184,Data!$B$3:$EZ1530,34,FALSE),VLOOKUP($B184,Data!$B$3:$EZ1530,35,FALSE)),1),"")</f>
        <v>0.04366282596</v>
      </c>
      <c r="M184" s="48">
        <f>IFERROR(MINUS(DIVIDE(VLOOKUP($B184,Data!$B$3:$EZ1530,39,FALSE),VLOOKUP($B184,Data!$B$3:$EZ1530,40,FALSE)),1),"")</f>
        <v>0.3522267206</v>
      </c>
      <c r="N184" s="48">
        <f>IFERROR(MINUS(DIVIDE(VLOOKUP($B184,Data!$B$3:$EZ1530,44,FALSE),VLOOKUP($B184,Data!$B$3:$EZ1530,45,FALSE)),1),"")</f>
        <v>0.006559766764</v>
      </c>
      <c r="O184" s="50" t="str">
        <f>IFERROR(VLOOKUP($B184,Data!$B$3:$D1530,2,FALSE),"")</f>
        <v/>
      </c>
      <c r="P184" s="50" t="str">
        <f>IFERROR(VLOOKUP($B184,Data!$B$3:$D1530,3,FALSE),"")</f>
        <v/>
      </c>
      <c r="Q184" s="48" t="str">
        <f t="shared" si="2"/>
        <v/>
      </c>
      <c r="R184" s="48"/>
      <c r="S184" s="48"/>
      <c r="T184" s="48"/>
      <c r="U184" s="48"/>
      <c r="V184" s="48"/>
      <c r="W184" s="50"/>
      <c r="Z184" s="11"/>
      <c r="AA184" s="11"/>
    </row>
    <row r="185">
      <c r="A185" s="9">
        <f t="shared" si="1"/>
        <v>182</v>
      </c>
      <c r="B185" s="47" t="s">
        <v>318</v>
      </c>
      <c r="C185" s="48">
        <f>IFERROR(DIVIDE(VLOOKUP($B185,Data!$B$3:$AB$1535,9,FALSE),VLOOKUP($B185,Data!$B$3:$AB$1535,4,FALSE)),"")</f>
        <v>0.453181308</v>
      </c>
      <c r="D185" s="48">
        <f>IFERROR(DIVIDE(VLOOKUP($B185,Data!$B$3:$AB$1535,24,FALSE),VLOOKUP($B185,Data!$B$3:$AB$1535,4,FALSE)),"")</f>
        <v>0</v>
      </c>
      <c r="E185" s="48">
        <f>IFERROR(DIVIDE(VLOOKUP($B185,Data!$B$3:$EZ1530,29,FALSE),VLOOKUP($B185,Data!$B$3:$EZ1530,4,FALSE)),"")</f>
        <v>0.004608022686</v>
      </c>
      <c r="F185" s="48">
        <f>IFERROR(DIVIDE(VLOOKUP($B185,Data!$B$3:$EZ1530,34,FALSE),VLOOKUP($B185,Data!$B$3:$EZ1530,4,FALSE)),"")</f>
        <v>0.0454303775</v>
      </c>
      <c r="G185" s="48">
        <f>IFERROR(DIVIDE(VLOOKUP($B185,Data!$B$3:$EZ1530,39,FALSE),VLOOKUP($B185,Data!$B$3:$EZ1530,4,FALSE)),"")</f>
        <v>0.0007709576416</v>
      </c>
      <c r="H185" s="48">
        <f>IFERROR(DIVIDE(VLOOKUP($B185,Data!$B$3:$EZ1530,44,FALSE),VLOOKUP($B185,Data!$B$3:$EZ1530,4,FALSE)),"")</f>
        <v>0.06383292964</v>
      </c>
      <c r="I185" s="48">
        <f>IFERROR(MINUS(DIVIDE(VLOOKUP($B185,Data!$B$3:$EZ1530,9,FALSE),VLOOKUP($B185,Data!$B$3:$EZ1530,10,FALSE)),1),"")</f>
        <v>0.0657867315</v>
      </c>
      <c r="J185" s="48">
        <f>IFERROR(MINUS(DIVIDE(VLOOKUP($B185,Data!$B$3:$EZ1530,24,FALSE),VLOOKUP($B185,Data!$B$3:$EZ1530,25,FALSE)),1),"")</f>
        <v>-1</v>
      </c>
      <c r="K185" s="48">
        <f>IFERROR(MINUS(DIVIDE(VLOOKUP($B185,Data!$B$3:$EZ1530,29,FALSE),VLOOKUP($B185,Data!$B$3:$EZ1530,30,FALSE)),1),"")</f>
        <v>-1.084278768</v>
      </c>
      <c r="L185" s="48">
        <f>IFERROR(MINUS(DIVIDE(VLOOKUP($B185,Data!$B$3:$EZ1530,34,FALSE),VLOOKUP($B185,Data!$B$3:$EZ1530,35,FALSE)),1),"")</f>
        <v>2.425389755</v>
      </c>
      <c r="M185" s="48">
        <f>IFERROR(MINUS(DIVIDE(VLOOKUP($B185,Data!$B$3:$EZ1530,39,FALSE),VLOOKUP($B185,Data!$B$3:$EZ1530,40,FALSE)),1),"")</f>
        <v>-1.014556609</v>
      </c>
      <c r="N185" s="48">
        <f>IFERROR(MINUS(DIVIDE(VLOOKUP($B185,Data!$B$3:$EZ1530,44,FALSE),VLOOKUP($B185,Data!$B$3:$EZ1530,45,FALSE)),1),"")</f>
        <v>1.232438017</v>
      </c>
      <c r="O185" s="50">
        <f>IFERROR(VLOOKUP($B185,Data!$B$3:$D1530,2,FALSE),"")</f>
        <v>339240</v>
      </c>
      <c r="P185" s="50">
        <f>IFERROR(VLOOKUP($B185,Data!$B$3:$D1530,3,FALSE),"")</f>
        <v>234630</v>
      </c>
      <c r="Q185" s="48">
        <f t="shared" si="2"/>
        <v>0.4458509142</v>
      </c>
      <c r="R185" s="48"/>
      <c r="S185" s="48"/>
      <c r="T185" s="48"/>
      <c r="U185" s="48"/>
      <c r="V185" s="48"/>
      <c r="W185" s="50"/>
      <c r="Z185" s="11"/>
      <c r="AA185" s="11"/>
    </row>
    <row r="186">
      <c r="A186" s="9">
        <f t="shared" si="1"/>
        <v>183</v>
      </c>
      <c r="B186" s="47" t="s">
        <v>319</v>
      </c>
      <c r="C186" s="48">
        <f>IFERROR(DIVIDE(VLOOKUP($B186,Data!$B$3:$AB$1535,9,FALSE),VLOOKUP($B186,Data!$B$3:$AB$1535,4,FALSE)),"")</f>
        <v>0.2286892759</v>
      </c>
      <c r="D186" s="48">
        <f>IFERROR(DIVIDE(VLOOKUP($B186,Data!$B$3:$AB$1535,24,FALSE),VLOOKUP($B186,Data!$B$3:$AB$1535,4,FALSE)),"")</f>
        <v>0.04560036664</v>
      </c>
      <c r="E186" s="48">
        <f>IFERROR(DIVIDE(VLOOKUP($B186,Data!$B$3:$EZ1530,29,FALSE),VLOOKUP($B186,Data!$B$3:$EZ1530,4,FALSE)),"")</f>
        <v>0.04560036664</v>
      </c>
      <c r="F186" s="48">
        <f>IFERROR(DIVIDE(VLOOKUP($B186,Data!$B$3:$EZ1530,34,FALSE),VLOOKUP($B186,Data!$B$3:$EZ1530,4,FALSE)),"")</f>
        <v>0.06530705775</v>
      </c>
      <c r="G186" s="48">
        <f>IFERROR(DIVIDE(VLOOKUP($B186,Data!$B$3:$EZ1530,39,FALSE),VLOOKUP($B186,Data!$B$3:$EZ1530,4,FALSE)),"")</f>
        <v>0.03528872594</v>
      </c>
      <c r="H186" s="48">
        <f>IFERROR(DIVIDE(VLOOKUP($B186,Data!$B$3:$EZ1530,44,FALSE),VLOOKUP($B186,Data!$B$3:$EZ1530,4,FALSE)),"")</f>
        <v>0.05889092576</v>
      </c>
      <c r="I186" s="48">
        <f>IFERROR(MINUS(DIVIDE(VLOOKUP($B186,Data!$B$3:$EZ1530,9,FALSE),VLOOKUP($B186,Data!$B$3:$EZ1530,10,FALSE)),1),"")</f>
        <v>0.002008032129</v>
      </c>
      <c r="J186" s="48">
        <f>IFERROR(MINUS(DIVIDE(VLOOKUP($B186,Data!$B$3:$EZ1530,24,FALSE),VLOOKUP($B186,Data!$B$3:$EZ1530,25,FALSE)),1),"")</f>
        <v>0.04736842105</v>
      </c>
      <c r="K186" s="48">
        <f>IFERROR(MINUS(DIVIDE(VLOOKUP($B186,Data!$B$3:$EZ1530,29,FALSE),VLOOKUP($B186,Data!$B$3:$EZ1530,30,FALSE)),1),"")</f>
        <v>0.05291005291</v>
      </c>
      <c r="L186" s="48">
        <f>IFERROR(MINUS(DIVIDE(VLOOKUP($B186,Data!$B$3:$EZ1530,34,FALSE),VLOOKUP($B186,Data!$B$3:$EZ1530,35,FALSE)),1),"")</f>
        <v>0.04395604396</v>
      </c>
      <c r="M186" s="48">
        <f>IFERROR(MINUS(DIVIDE(VLOOKUP($B186,Data!$B$3:$EZ1530,39,FALSE),VLOOKUP($B186,Data!$B$3:$EZ1530,40,FALSE)),1),"")</f>
        <v>0.05479452055</v>
      </c>
      <c r="N186" s="48">
        <f>IFERROR(MINUS(DIVIDE(VLOOKUP($B186,Data!$B$3:$EZ1530,44,FALSE),VLOOKUP($B186,Data!$B$3:$EZ1530,45,FALSE)),1),"")</f>
        <v>0.06639004149</v>
      </c>
      <c r="O186" s="50">
        <f>IFERROR(VLOOKUP($B186,Data!$B$3:$D1530,2,FALSE),"")</f>
        <v>45030000</v>
      </c>
      <c r="P186" s="50">
        <f>IFERROR(VLOOKUP($B186,Data!$B$3:$D1530,3,FALSE),"")</f>
        <v>43650000</v>
      </c>
      <c r="Q186" s="48">
        <f t="shared" si="2"/>
        <v>0.03161512027</v>
      </c>
      <c r="R186" s="48"/>
      <c r="S186" s="48"/>
      <c r="T186" s="48"/>
      <c r="U186" s="48"/>
      <c r="V186" s="48"/>
      <c r="W186" s="50"/>
      <c r="Z186" s="12"/>
      <c r="AA186" s="12"/>
    </row>
    <row r="187">
      <c r="A187" s="9">
        <f t="shared" si="1"/>
        <v>184</v>
      </c>
      <c r="B187" s="47" t="s">
        <v>320</v>
      </c>
      <c r="C187" s="48">
        <f>IFERROR(DIVIDE(VLOOKUP($B187,Data!$B$3:$AB$1535,9,FALSE),VLOOKUP($B187,Data!$B$3:$AB$1535,4,FALSE)),"")</f>
        <v>0.2627737226</v>
      </c>
      <c r="D187" s="48">
        <f>IFERROR(DIVIDE(VLOOKUP($B187,Data!$B$3:$AB$1535,24,FALSE),VLOOKUP($B187,Data!$B$3:$AB$1535,4,FALSE)),"")</f>
        <v>0.1116788321</v>
      </c>
      <c r="E187" s="48">
        <f>IFERROR(DIVIDE(VLOOKUP($B187,Data!$B$3:$EZ1530,29,FALSE),VLOOKUP($B187,Data!$B$3:$EZ1530,4,FALSE)),"")</f>
        <v>0.02693430657</v>
      </c>
      <c r="F187" s="48">
        <f>IFERROR(DIVIDE(VLOOKUP($B187,Data!$B$3:$EZ1530,34,FALSE),VLOOKUP($B187,Data!$B$3:$EZ1530,4,FALSE)),"")</f>
        <v>0.1503406326</v>
      </c>
      <c r="G187" s="48">
        <f>IFERROR(DIVIDE(VLOOKUP($B187,Data!$B$3:$EZ1530,39,FALSE),VLOOKUP($B187,Data!$B$3:$EZ1530,4,FALSE)),"")</f>
        <v>0.007396593674</v>
      </c>
      <c r="H187" s="48">
        <f>IFERROR(DIVIDE(VLOOKUP($B187,Data!$B$3:$EZ1530,44,FALSE),VLOOKUP($B187,Data!$B$3:$EZ1530,4,FALSE)),"")</f>
        <v>0.1056447689</v>
      </c>
      <c r="I187" s="48">
        <f>IFERROR(MINUS(DIVIDE(VLOOKUP($B187,Data!$B$3:$EZ1530,9,FALSE),VLOOKUP($B187,Data!$B$3:$EZ1530,10,FALSE)),1),"")</f>
        <v>0.04854368932</v>
      </c>
      <c r="J187" s="48">
        <f>IFERROR(MINUS(DIVIDE(VLOOKUP($B187,Data!$B$3:$EZ1530,24,FALSE),VLOOKUP($B187,Data!$B$3:$EZ1530,25,FALSE)),1),"")</f>
        <v>-8.138413686</v>
      </c>
      <c r="K187" s="48">
        <f>IFERROR(MINUS(DIVIDE(VLOOKUP($B187,Data!$B$3:$EZ1530,29,FALSE),VLOOKUP($B187,Data!$B$3:$EZ1530,30,FALSE)),1),"")</f>
        <v>-0.6437077567</v>
      </c>
      <c r="L187" s="48">
        <f>IFERROR(MINUS(DIVIDE(VLOOKUP($B187,Data!$B$3:$EZ1530,34,FALSE),VLOOKUP($B187,Data!$B$3:$EZ1530,35,FALSE)),1),"")</f>
        <v>0.1385664271</v>
      </c>
      <c r="M187" s="48">
        <f>IFERROR(MINUS(DIVIDE(VLOOKUP($B187,Data!$B$3:$EZ1530,39,FALSE),VLOOKUP($B187,Data!$B$3:$EZ1530,40,FALSE)),1),"")</f>
        <v>-0.8800315706</v>
      </c>
      <c r="N187" s="48">
        <f>IFERROR(MINUS(DIVIDE(VLOOKUP($B187,Data!$B$3:$EZ1530,44,FALSE),VLOOKUP($B187,Data!$B$3:$EZ1530,45,FALSE)),1),"")</f>
        <v>0.2884272997</v>
      </c>
      <c r="O187" s="50">
        <f>IFERROR(VLOOKUP($B187,Data!$B$3:$D1530,2,FALSE),"")</f>
        <v>4360000</v>
      </c>
      <c r="P187" s="50">
        <f>IFERROR(VLOOKUP($B187,Data!$B$3:$D1530,3,FALSE),"")</f>
        <v>3980000</v>
      </c>
      <c r="Q187" s="48">
        <f t="shared" si="2"/>
        <v>0.09547738693</v>
      </c>
      <c r="R187" s="48"/>
      <c r="S187" s="48"/>
      <c r="T187" s="48"/>
      <c r="U187" s="48"/>
      <c r="V187" s="48"/>
      <c r="W187" s="50"/>
      <c r="Z187" s="11"/>
      <c r="AA187" s="11"/>
    </row>
    <row r="188">
      <c r="A188" s="9">
        <f t="shared" si="1"/>
        <v>185</v>
      </c>
      <c r="B188" s="47" t="s">
        <v>321</v>
      </c>
      <c r="C188" s="48">
        <f>IFERROR(DIVIDE(VLOOKUP($B188,Data!$B$3:$AB$1535,9,FALSE),VLOOKUP($B188,Data!$B$3:$AB$1535,4,FALSE)),"")</f>
        <v>0.1287693966</v>
      </c>
      <c r="D188" s="48">
        <f>IFERROR(DIVIDE(VLOOKUP($B188,Data!$B$3:$AB$1535,24,FALSE),VLOOKUP($B188,Data!$B$3:$AB$1535,4,FALSE)),"")</f>
        <v>0.0286012931</v>
      </c>
      <c r="E188" s="48">
        <f>IFERROR(DIVIDE(VLOOKUP($B188,Data!$B$3:$EZ1530,29,FALSE),VLOOKUP($B188,Data!$B$3:$EZ1530,4,FALSE)),"")</f>
        <v>0.02332543103</v>
      </c>
      <c r="F188" s="48">
        <f>IFERROR(DIVIDE(VLOOKUP($B188,Data!$B$3:$EZ1530,34,FALSE),VLOOKUP($B188,Data!$B$3:$EZ1530,4,FALSE)),"")</f>
        <v>0.04651293103</v>
      </c>
      <c r="G188" s="48">
        <f>IFERROR(DIVIDE(VLOOKUP($B188,Data!$B$3:$EZ1530,39,FALSE),VLOOKUP($B188,Data!$B$3:$EZ1530,4,FALSE)),"")</f>
        <v>0.01744181034</v>
      </c>
      <c r="H188" s="48">
        <f>IFERROR(DIVIDE(VLOOKUP($B188,Data!$B$3:$EZ1530,44,FALSE),VLOOKUP($B188,Data!$B$3:$EZ1530,4,FALSE)),"")</f>
        <v>0.05294181034</v>
      </c>
      <c r="I188" s="48">
        <f>IFERROR(MINUS(DIVIDE(VLOOKUP($B188,Data!$B$3:$EZ1530,9,FALSE),VLOOKUP($B188,Data!$B$3:$EZ1530,10,FALSE)),1),"")</f>
        <v>0.1047036202</v>
      </c>
      <c r="J188" s="48">
        <f>IFERROR(MINUS(DIVIDE(VLOOKUP($B188,Data!$B$3:$EZ1530,24,FALSE),VLOOKUP($B188,Data!$B$3:$EZ1530,25,FALSE)),1),"")</f>
        <v>0.2124063585</v>
      </c>
      <c r="K188" s="48">
        <f>IFERROR(MINUS(DIVIDE(VLOOKUP($B188,Data!$B$3:$EZ1530,29,FALSE),VLOOKUP($B188,Data!$B$3:$EZ1530,30,FALSE)),1),"")</f>
        <v>3.897285068</v>
      </c>
      <c r="L188" s="48">
        <f>IFERROR(MINUS(DIVIDE(VLOOKUP($B188,Data!$B$3:$EZ1530,34,FALSE),VLOOKUP($B188,Data!$B$3:$EZ1530,35,FALSE)),1),"")</f>
        <v>-0.1561290323</v>
      </c>
      <c r="M188" s="48">
        <f>IFERROR(MINUS(DIVIDE(VLOOKUP($B188,Data!$B$3:$EZ1530,39,FALSE),VLOOKUP($B188,Data!$B$3:$EZ1530,40,FALSE)),1),"")</f>
        <v>2.951660156</v>
      </c>
      <c r="N188" s="48">
        <f>IFERROR(MINUS(DIVIDE(VLOOKUP($B188,Data!$B$3:$EZ1530,44,FALSE),VLOOKUP($B188,Data!$B$3:$EZ1530,45,FALSE)),1),"")</f>
        <v>0.5014363425</v>
      </c>
      <c r="O188" s="50">
        <f>IFERROR(VLOOKUP($B188,Data!$B$3:$D1530,2,FALSE),"")</f>
        <v>4910000</v>
      </c>
      <c r="P188" s="50">
        <f>IFERROR(VLOOKUP($B188,Data!$B$3:$D1530,3,FALSE),"")</f>
        <v>4710000</v>
      </c>
      <c r="Q188" s="48">
        <f t="shared" si="2"/>
        <v>0.04246284501</v>
      </c>
      <c r="R188" s="48"/>
      <c r="S188" s="48"/>
      <c r="T188" s="48"/>
      <c r="U188" s="48"/>
      <c r="V188" s="48"/>
      <c r="W188" s="50"/>
      <c r="Z188" s="11"/>
      <c r="AA188" s="11"/>
    </row>
    <row r="189">
      <c r="A189" s="9">
        <f t="shared" si="1"/>
        <v>186</v>
      </c>
      <c r="B189" s="47" t="s">
        <v>322</v>
      </c>
      <c r="C189" s="48">
        <f>IFERROR(DIVIDE(VLOOKUP($B189,Data!$B$3:$AB$1535,9,FALSE),VLOOKUP($B189,Data!$B$3:$AB$1535,4,FALSE)),"")</f>
        <v>0</v>
      </c>
      <c r="D189" s="48">
        <f>IFERROR(DIVIDE(VLOOKUP($B189,Data!$B$3:$AB$1535,24,FALSE),VLOOKUP($B189,Data!$B$3:$AB$1535,4,FALSE)),"")</f>
        <v>-33.12676056</v>
      </c>
      <c r="E189" s="48">
        <f>IFERROR(DIVIDE(VLOOKUP($B189,Data!$B$3:$EZ1530,29,FALSE),VLOOKUP($B189,Data!$B$3:$EZ1530,4,FALSE)),"")</f>
        <v>-31.68075117</v>
      </c>
      <c r="F189" s="48">
        <f>IFERROR(DIVIDE(VLOOKUP($B189,Data!$B$3:$EZ1530,34,FALSE),VLOOKUP($B189,Data!$B$3:$EZ1530,4,FALSE)),"")</f>
        <v>-32.27230047</v>
      </c>
      <c r="G189" s="48">
        <f>IFERROR(DIVIDE(VLOOKUP($B189,Data!$B$3:$EZ1530,39,FALSE),VLOOKUP($B189,Data!$B$3:$EZ1530,4,FALSE)),"")</f>
        <v>-31.68075117</v>
      </c>
      <c r="H189" s="48">
        <f>IFERROR(DIVIDE(VLOOKUP($B189,Data!$B$3:$EZ1530,44,FALSE),VLOOKUP($B189,Data!$B$3:$EZ1530,4,FALSE)),"")</f>
        <v>-27.48356808</v>
      </c>
      <c r="I189" s="48" t="str">
        <f>IFERROR(MINUS(DIVIDE(VLOOKUP($B189,Data!$B$3:$EZ1530,9,FALSE),VLOOKUP($B189,Data!$B$3:$EZ1530,10,FALSE)),1),"")</f>
        <v/>
      </c>
      <c r="J189" s="48">
        <f>IFERROR(MINUS(DIVIDE(VLOOKUP($B189,Data!$B$3:$EZ1530,24,FALSE),VLOOKUP($B189,Data!$B$3:$EZ1530,25,FALSE)),1),"")</f>
        <v>0.825614489</v>
      </c>
      <c r="K189" s="48">
        <f>IFERROR(MINUS(DIVIDE(VLOOKUP($B189,Data!$B$3:$EZ1530,29,FALSE),VLOOKUP($B189,Data!$B$3:$EZ1530,30,FALSE)),1),"")</f>
        <v>0.778597786</v>
      </c>
      <c r="L189" s="48">
        <f>IFERROR(MINUS(DIVIDE(VLOOKUP($B189,Data!$B$3:$EZ1530,34,FALSE),VLOOKUP($B189,Data!$B$3:$EZ1530,35,FALSE)),1),"")</f>
        <v>0.8478494624</v>
      </c>
      <c r="M189" s="48">
        <f>IFERROR(MINUS(DIVIDE(VLOOKUP($B189,Data!$B$3:$EZ1530,39,FALSE),VLOOKUP($B189,Data!$B$3:$EZ1530,40,FALSE)),1),"")</f>
        <v>0.778597786</v>
      </c>
      <c r="N189" s="48">
        <f>IFERROR(MINUS(DIVIDE(VLOOKUP($B189,Data!$B$3:$EZ1530,44,FALSE),VLOOKUP($B189,Data!$B$3:$EZ1530,45,FALSE)),1),"")</f>
        <v>0.6870317003</v>
      </c>
      <c r="O189" s="50" t="str">
        <f>IFERROR(VLOOKUP($B189,Data!$B$3:$D1530,2,FALSE),"")</f>
        <v/>
      </c>
      <c r="P189" s="50" t="str">
        <f>IFERROR(VLOOKUP($B189,Data!$B$3:$D1530,3,FALSE),"")</f>
        <v/>
      </c>
      <c r="Q189" s="48" t="str">
        <f t="shared" si="2"/>
        <v/>
      </c>
      <c r="R189" s="48"/>
      <c r="S189" s="48"/>
      <c r="T189" s="48"/>
      <c r="U189" s="48"/>
      <c r="V189" s="48"/>
      <c r="W189" s="50"/>
      <c r="Z189" s="15"/>
      <c r="AA189" s="15"/>
    </row>
    <row r="190">
      <c r="A190" s="9">
        <f t="shared" si="1"/>
        <v>187</v>
      </c>
      <c r="B190" s="47" t="s">
        <v>323</v>
      </c>
      <c r="C190" s="48" t="str">
        <f>IFERROR(DIVIDE(VLOOKUP($B190,Data!$B$3:$AB$1535,9,FALSE),VLOOKUP($B190,Data!$B$3:$AB$1535,4,FALSE)),"")</f>
        <v/>
      </c>
      <c r="D190" s="48" t="str">
        <f>IFERROR(DIVIDE(VLOOKUP($B190,Data!$B$3:$AB$1535,24,FALSE),VLOOKUP($B190,Data!$B$3:$AB$1535,4,FALSE)),"")</f>
        <v/>
      </c>
      <c r="E190" s="48" t="str">
        <f>IFERROR(DIVIDE(VLOOKUP($B190,Data!$B$3:$EZ1530,29,FALSE),VLOOKUP($B190,Data!$B$3:$EZ1530,4,FALSE)),"")</f>
        <v/>
      </c>
      <c r="F190" s="48" t="str">
        <f>IFERROR(DIVIDE(VLOOKUP($B190,Data!$B$3:$EZ1530,34,FALSE),VLOOKUP($B190,Data!$B$3:$EZ1530,4,FALSE)),"")</f>
        <v/>
      </c>
      <c r="G190" s="48" t="str">
        <f>IFERROR(DIVIDE(VLOOKUP($B190,Data!$B$3:$EZ1530,39,FALSE),VLOOKUP($B190,Data!$B$3:$EZ1530,4,FALSE)),"")</f>
        <v/>
      </c>
      <c r="H190" s="48" t="str">
        <f>IFERROR(DIVIDE(VLOOKUP($B190,Data!$B$3:$EZ1530,44,FALSE),VLOOKUP($B190,Data!$B$3:$EZ1530,4,FALSE)),"")</f>
        <v/>
      </c>
      <c r="I190" s="48">
        <f>IFERROR(MINUS(DIVIDE(VLOOKUP($B190,Data!$B$3:$EZ1530,9,FALSE),VLOOKUP($B190,Data!$B$3:$EZ1530,10,FALSE)),1),"")</f>
        <v>0.4909090909</v>
      </c>
      <c r="J190" s="48" t="str">
        <f>IFERROR(MINUS(DIVIDE(VLOOKUP($B190,Data!$B$3:$EZ1530,24,FALSE),VLOOKUP($B190,Data!$B$3:$EZ1530,25,FALSE)),1),"")</f>
        <v/>
      </c>
      <c r="K190" s="48">
        <f>IFERROR(MINUS(DIVIDE(VLOOKUP($B190,Data!$B$3:$EZ1530,29,FALSE),VLOOKUP($B190,Data!$B$3:$EZ1530,30,FALSE)),1),"")</f>
        <v>0.6666666667</v>
      </c>
      <c r="L190" s="48">
        <f>IFERROR(MINUS(DIVIDE(VLOOKUP($B190,Data!$B$3:$EZ1530,34,FALSE),VLOOKUP($B190,Data!$B$3:$EZ1530,35,FALSE)),1),"")</f>
        <v>0.6372759857</v>
      </c>
      <c r="M190" s="48">
        <f>IFERROR(MINUS(DIVIDE(VLOOKUP($B190,Data!$B$3:$EZ1530,39,FALSE),VLOOKUP($B190,Data!$B$3:$EZ1530,40,FALSE)),1),"")</f>
        <v>0.6666666667</v>
      </c>
      <c r="N190" s="48">
        <f>IFERROR(MINUS(DIVIDE(VLOOKUP($B190,Data!$B$3:$EZ1530,44,FALSE),VLOOKUP($B190,Data!$B$3:$EZ1530,45,FALSE)),1),"")</f>
        <v>-0.09200968523</v>
      </c>
      <c r="O190" s="50">
        <f>IFERROR(VLOOKUP($B190,Data!$B$3:$D1530,2,FALSE),"")</f>
        <v>50620</v>
      </c>
      <c r="P190" s="50" t="str">
        <f>IFERROR(VLOOKUP($B190,Data!$B$3:$D1530,3,FALSE),"")</f>
        <v/>
      </c>
      <c r="Q190" s="48" t="str">
        <f t="shared" si="2"/>
        <v/>
      </c>
      <c r="R190" s="48"/>
      <c r="S190" s="48"/>
      <c r="T190" s="48"/>
      <c r="U190" s="48"/>
      <c r="V190" s="48"/>
      <c r="W190" s="50"/>
      <c r="Z190" s="11"/>
      <c r="AA190" s="11"/>
    </row>
    <row r="191">
      <c r="A191" s="9">
        <f t="shared" si="1"/>
        <v>188</v>
      </c>
      <c r="B191" s="47" t="s">
        <v>324</v>
      </c>
      <c r="C191" s="48">
        <f>IFERROR(DIVIDE(VLOOKUP($B191,Data!$B$3:$AB$1535,9,FALSE),VLOOKUP($B191,Data!$B$3:$AB$1535,4,FALSE)),"")</f>
        <v>0.3283621507</v>
      </c>
      <c r="D191" s="48">
        <f>IFERROR(DIVIDE(VLOOKUP($B191,Data!$B$3:$AB$1535,24,FALSE),VLOOKUP($B191,Data!$B$3:$AB$1535,4,FALSE)),"")</f>
        <v>0.1593108698</v>
      </c>
      <c r="E191" s="48">
        <f>IFERROR(DIVIDE(VLOOKUP($B191,Data!$B$3:$EZ1530,29,FALSE),VLOOKUP($B191,Data!$B$3:$EZ1530,4,FALSE)),"")</f>
        <v>0.1498811577</v>
      </c>
      <c r="F191" s="48">
        <f>IFERROR(DIVIDE(VLOOKUP($B191,Data!$B$3:$EZ1530,34,FALSE),VLOOKUP($B191,Data!$B$3:$EZ1530,4,FALSE)),"")</f>
        <v>0.2336611207</v>
      </c>
      <c r="G191" s="48">
        <f>IFERROR(DIVIDE(VLOOKUP($B191,Data!$B$3:$EZ1530,39,FALSE),VLOOKUP($B191,Data!$B$3:$EZ1530,4,FALSE)),"")</f>
        <v>0.1237669137</v>
      </c>
      <c r="H191" s="48">
        <f>IFERROR(DIVIDE(VLOOKUP($B191,Data!$B$3:$EZ1530,44,FALSE),VLOOKUP($B191,Data!$B$3:$EZ1530,4,FALSE)),"")</f>
        <v>0.1933479362</v>
      </c>
      <c r="I191" s="48">
        <f>IFERROR(MINUS(DIVIDE(VLOOKUP($B191,Data!$B$3:$EZ1530,9,FALSE),VLOOKUP($B191,Data!$B$3:$EZ1530,10,FALSE)),1),"")</f>
        <v>0.03485924113</v>
      </c>
      <c r="J191" s="48">
        <f>IFERROR(MINUS(DIVIDE(VLOOKUP($B191,Data!$B$3:$EZ1530,24,FALSE),VLOOKUP($B191,Data!$B$3:$EZ1530,25,FALSE)),1),"")</f>
        <v>-0.04506937331</v>
      </c>
      <c r="K191" s="48">
        <f>IFERROR(MINUS(DIVIDE(VLOOKUP($B191,Data!$B$3:$EZ1530,29,FALSE),VLOOKUP($B191,Data!$B$3:$EZ1530,30,FALSE)),1),"")</f>
        <v>-0.0257497728</v>
      </c>
      <c r="L191" s="48">
        <f>IFERROR(MINUS(DIVIDE(VLOOKUP($B191,Data!$B$3:$EZ1530,34,FALSE),VLOOKUP($B191,Data!$B$3:$EZ1530,35,FALSE)),1),"")</f>
        <v>-0.02025794685</v>
      </c>
      <c r="M191" s="48">
        <f>IFERROR(MINUS(DIVIDE(VLOOKUP($B191,Data!$B$3:$EZ1530,39,FALSE),VLOOKUP($B191,Data!$B$3:$EZ1530,40,FALSE)),1),"")</f>
        <v>0.01400025455</v>
      </c>
      <c r="N191" s="48">
        <f>IFERROR(MINUS(DIVIDE(VLOOKUP($B191,Data!$B$3:$EZ1530,44,FALSE),VLOOKUP($B191,Data!$B$3:$EZ1530,45,FALSE)),1),"")</f>
        <v>0.04852569503</v>
      </c>
      <c r="O191" s="50">
        <f>IFERROR(VLOOKUP($B191,Data!$B$3:$D1530,2,FALSE),"")</f>
        <v>723050</v>
      </c>
      <c r="P191" s="50">
        <f>IFERROR(VLOOKUP($B191,Data!$B$3:$D1530,3,FALSE),"")</f>
        <v>674230</v>
      </c>
      <c r="Q191" s="48">
        <f t="shared" si="2"/>
        <v>0.07240852528</v>
      </c>
      <c r="R191" s="48"/>
      <c r="S191" s="48"/>
      <c r="T191" s="48"/>
      <c r="U191" s="48"/>
      <c r="V191" s="48"/>
      <c r="W191" s="50"/>
      <c r="Z191" s="12"/>
      <c r="AA191" s="12"/>
    </row>
    <row r="192">
      <c r="A192" s="9">
        <f t="shared" si="1"/>
        <v>189</v>
      </c>
      <c r="B192" s="47" t="s">
        <v>325</v>
      </c>
      <c r="C192" s="48">
        <f>IFERROR(DIVIDE(VLOOKUP($B192,Data!$B$3:$AB$1535,9,FALSE),VLOOKUP($B192,Data!$B$3:$AB$1535,4,FALSE)),"")</f>
        <v>0.9158476658</v>
      </c>
      <c r="D192" s="48">
        <f>IFERROR(DIVIDE(VLOOKUP($B192,Data!$B$3:$AB$1535,24,FALSE),VLOOKUP($B192,Data!$B$3:$AB$1535,4,FALSE)),"")</f>
        <v>-2.043407043</v>
      </c>
      <c r="E192" s="48">
        <f>IFERROR(DIVIDE(VLOOKUP($B192,Data!$B$3:$EZ1530,29,FALSE),VLOOKUP($B192,Data!$B$3:$EZ1530,4,FALSE)),"")</f>
        <v>-2.22972973</v>
      </c>
      <c r="F192" s="48">
        <f>IFERROR(DIVIDE(VLOOKUP($B192,Data!$B$3:$EZ1530,34,FALSE),VLOOKUP($B192,Data!$B$3:$EZ1530,4,FALSE)),"")</f>
        <v>-2.021498771</v>
      </c>
      <c r="G192" s="48">
        <f>IFERROR(DIVIDE(VLOOKUP($B192,Data!$B$3:$EZ1530,39,FALSE),VLOOKUP($B192,Data!$B$3:$EZ1530,4,FALSE)),"")</f>
        <v>-2.22972973</v>
      </c>
      <c r="H192" s="48">
        <f>IFERROR(DIVIDE(VLOOKUP($B192,Data!$B$3:$EZ1530,44,FALSE),VLOOKUP($B192,Data!$B$3:$EZ1530,4,FALSE)),"")</f>
        <v>-1.834152334</v>
      </c>
      <c r="I192" s="48">
        <f>IFERROR(MINUS(DIVIDE(VLOOKUP($B192,Data!$B$3:$EZ1530,9,FALSE),VLOOKUP($B192,Data!$B$3:$EZ1530,10,FALSE)),1),"")</f>
        <v>1.259090909</v>
      </c>
      <c r="J192" s="48">
        <f>IFERROR(MINUS(DIVIDE(VLOOKUP($B192,Data!$B$3:$EZ1530,24,FALSE),VLOOKUP($B192,Data!$B$3:$EZ1530,25,FALSE)),1),"")</f>
        <v>0.05798791477</v>
      </c>
      <c r="K192" s="48">
        <f>IFERROR(MINUS(DIVIDE(VLOOKUP($B192,Data!$B$3:$EZ1530,29,FALSE),VLOOKUP($B192,Data!$B$3:$EZ1530,30,FALSE)),1),"")</f>
        <v>0.07555555556</v>
      </c>
      <c r="L192" s="48">
        <f>IFERROR(MINUS(DIVIDE(VLOOKUP($B192,Data!$B$3:$EZ1530,34,FALSE),VLOOKUP($B192,Data!$B$3:$EZ1530,35,FALSE)),1),"")</f>
        <v>0.1974530018</v>
      </c>
      <c r="M192" s="48">
        <f>IFERROR(MINUS(DIVIDE(VLOOKUP($B192,Data!$B$3:$EZ1530,39,FALSE),VLOOKUP($B192,Data!$B$3:$EZ1530,40,FALSE)),1),"")</f>
        <v>0.07555555556</v>
      </c>
      <c r="N192" s="48">
        <f>IFERROR(MINUS(DIVIDE(VLOOKUP($B192,Data!$B$3:$EZ1530,44,FALSE),VLOOKUP($B192,Data!$B$3:$EZ1530,45,FALSE)),1),"")</f>
        <v>-0.03229988117</v>
      </c>
      <c r="O192" s="50">
        <f>IFERROR(VLOOKUP($B192,Data!$B$3:$D1530,2,FALSE),"")</f>
        <v>56300</v>
      </c>
      <c r="P192" s="50">
        <f>IFERROR(VLOOKUP($B192,Data!$B$3:$D1530,3,FALSE),"")</f>
        <v>30650</v>
      </c>
      <c r="Q192" s="48">
        <f t="shared" si="2"/>
        <v>0.836867863</v>
      </c>
      <c r="R192" s="48"/>
      <c r="S192" s="48"/>
      <c r="T192" s="48"/>
      <c r="U192" s="48"/>
      <c r="V192" s="48"/>
      <c r="W192" s="50"/>
      <c r="Z192" s="11"/>
      <c r="AA192" s="12"/>
    </row>
    <row r="193">
      <c r="A193" s="9">
        <f t="shared" si="1"/>
        <v>190</v>
      </c>
      <c r="B193" s="47" t="s">
        <v>326</v>
      </c>
      <c r="C193" s="48">
        <f>IFERROR(DIVIDE(VLOOKUP($B193,Data!$B$3:$AB$1535,9,FALSE),VLOOKUP($B193,Data!$B$3:$AB$1535,4,FALSE)),"")</f>
        <v>0</v>
      </c>
      <c r="D193" s="48">
        <f>IFERROR(DIVIDE(VLOOKUP($B193,Data!$B$3:$AB$1535,24,FALSE),VLOOKUP($B193,Data!$B$3:$AB$1535,4,FALSE)),"")</f>
        <v>-2.273448773</v>
      </c>
      <c r="E193" s="48">
        <f>IFERROR(DIVIDE(VLOOKUP($B193,Data!$B$3:$EZ1530,29,FALSE),VLOOKUP($B193,Data!$B$3:$EZ1530,4,FALSE)),"")</f>
        <v>-2.235930736</v>
      </c>
      <c r="F193" s="48">
        <f>IFERROR(DIVIDE(VLOOKUP($B193,Data!$B$3:$EZ1530,34,FALSE),VLOOKUP($B193,Data!$B$3:$EZ1530,4,FALSE)),"")</f>
        <v>-1.813852814</v>
      </c>
      <c r="G193" s="48">
        <f>IFERROR(DIVIDE(VLOOKUP($B193,Data!$B$3:$EZ1530,39,FALSE),VLOOKUP($B193,Data!$B$3:$EZ1530,4,FALSE)),"")</f>
        <v>-2.217171717</v>
      </c>
      <c r="H193" s="48">
        <f>IFERROR(DIVIDE(VLOOKUP($B193,Data!$B$3:$EZ1530,44,FALSE),VLOOKUP($B193,Data!$B$3:$EZ1530,4,FALSE)),"")</f>
        <v>-2.072871573</v>
      </c>
      <c r="I193" s="48" t="str">
        <f>IFERROR(MINUS(DIVIDE(VLOOKUP($B193,Data!$B$3:$EZ1530,9,FALSE),VLOOKUP($B193,Data!$B$3:$EZ1530,10,FALSE)),1),"")</f>
        <v/>
      </c>
      <c r="J193" s="48">
        <f>IFERROR(MINUS(DIVIDE(VLOOKUP($B193,Data!$B$3:$EZ1530,24,FALSE),VLOOKUP($B193,Data!$B$3:$EZ1530,25,FALSE)),1),"")</f>
        <v>0.3899426555</v>
      </c>
      <c r="K193" s="48">
        <f>IFERROR(MINUS(DIVIDE(VLOOKUP($B193,Data!$B$3:$EZ1530,29,FALSE),VLOOKUP($B193,Data!$B$3:$EZ1530,30,FALSE)),1),"")</f>
        <v>0.3959459459</v>
      </c>
      <c r="L193" s="48">
        <f>IFERROR(MINUS(DIVIDE(VLOOKUP($B193,Data!$B$3:$EZ1530,34,FALSE),VLOOKUP($B193,Data!$B$3:$EZ1530,35,FALSE)),1),"")</f>
        <v>0.1802816901</v>
      </c>
      <c r="M193" s="48">
        <f>IFERROR(MINUS(DIVIDE(VLOOKUP($B193,Data!$B$3:$EZ1530,39,FALSE),VLOOKUP($B193,Data!$B$3:$EZ1530,40,FALSE)),1),"")</f>
        <v>0.4089867033</v>
      </c>
      <c r="N193" s="48">
        <f>IFERROR(MINUS(DIVIDE(VLOOKUP($B193,Data!$B$3:$EZ1530,44,FALSE),VLOOKUP($B193,Data!$B$3:$EZ1530,45,FALSE)),1),"")</f>
        <v>0.1037264695</v>
      </c>
      <c r="O193" s="50">
        <f>IFERROR(VLOOKUP($B193,Data!$B$3:$D1530,2,FALSE),"")</f>
        <v>11520</v>
      </c>
      <c r="P193" s="50">
        <f>IFERROR(VLOOKUP($B193,Data!$B$3:$D1530,3,FALSE),"")</f>
        <v>11060</v>
      </c>
      <c r="Q193" s="48">
        <f t="shared" si="2"/>
        <v>0.04159132007</v>
      </c>
      <c r="R193" s="48"/>
      <c r="S193" s="48"/>
      <c r="T193" s="48"/>
      <c r="U193" s="48"/>
      <c r="V193" s="48"/>
      <c r="W193" s="50"/>
      <c r="Z193" s="15"/>
      <c r="AA193" s="15"/>
    </row>
    <row r="194">
      <c r="A194" s="9">
        <f t="shared" si="1"/>
        <v>191</v>
      </c>
      <c r="B194" s="47" t="s">
        <v>327</v>
      </c>
      <c r="C194" s="48">
        <f>IFERROR(DIVIDE(VLOOKUP($B194,Data!$B$3:$AB$1535,9,FALSE),VLOOKUP($B194,Data!$B$3:$AB$1535,4,FALSE)),"")</f>
        <v>0.806176497</v>
      </c>
      <c r="D194" s="48">
        <f>IFERROR(DIVIDE(VLOOKUP($B194,Data!$B$3:$AB$1535,24,FALSE),VLOOKUP($B194,Data!$B$3:$AB$1535,4,FALSE)),"")</f>
        <v>0</v>
      </c>
      <c r="E194" s="48">
        <f>IFERROR(DIVIDE(VLOOKUP($B194,Data!$B$3:$EZ1530,29,FALSE),VLOOKUP($B194,Data!$B$3:$EZ1530,4,FALSE)),"")</f>
        <v>-0.1373552384</v>
      </c>
      <c r="F194" s="48">
        <f>IFERROR(DIVIDE(VLOOKUP($B194,Data!$B$3:$EZ1530,34,FALSE),VLOOKUP($B194,Data!$B$3:$EZ1530,4,FALSE)),"")</f>
        <v>0.11275698</v>
      </c>
      <c r="G194" s="48">
        <f>IFERROR(DIVIDE(VLOOKUP($B194,Data!$B$3:$EZ1530,39,FALSE),VLOOKUP($B194,Data!$B$3:$EZ1530,4,FALSE)),"")</f>
        <v>-0.137445013</v>
      </c>
      <c r="H194" s="48">
        <f>IFERROR(DIVIDE(VLOOKUP($B194,Data!$B$3:$EZ1530,44,FALSE),VLOOKUP($B194,Data!$B$3:$EZ1530,4,FALSE)),"")</f>
        <v>0.09938055481</v>
      </c>
      <c r="I194" s="48">
        <f>IFERROR(MINUS(DIVIDE(VLOOKUP($B194,Data!$B$3:$EZ1530,9,FALSE),VLOOKUP($B194,Data!$B$3:$EZ1530,10,FALSE)),1),"")</f>
        <v>1.252885098</v>
      </c>
      <c r="J194" s="48" t="str">
        <f>IFERROR(MINUS(DIVIDE(VLOOKUP($B194,Data!$B$3:$EZ1530,24,FALSE),VLOOKUP($B194,Data!$B$3:$EZ1530,25,FALSE)),1),"")</f>
        <v/>
      </c>
      <c r="K194" s="48">
        <f>IFERROR(MINUS(DIVIDE(VLOOKUP($B194,Data!$B$3:$EZ1530,29,FALSE),VLOOKUP($B194,Data!$B$3:$EZ1530,30,FALSE)),1),"")</f>
        <v>-0.5480059084</v>
      </c>
      <c r="L194" s="48">
        <f>IFERROR(MINUS(DIVIDE(VLOOKUP($B194,Data!$B$3:$EZ1530,34,FALSE),VLOOKUP($B194,Data!$B$3:$EZ1530,35,FALSE)),1),"")</f>
        <v>-1.707605634</v>
      </c>
      <c r="M194" s="48">
        <f>IFERROR(MINUS(DIVIDE(VLOOKUP($B194,Data!$B$3:$EZ1530,39,FALSE),VLOOKUP($B194,Data!$B$3:$EZ1530,40,FALSE)),1),"")</f>
        <v>-0.5479775613</v>
      </c>
      <c r="N194" s="48">
        <f>IFERROR(MINUS(DIVIDE(VLOOKUP($B194,Data!$B$3:$EZ1530,44,FALSE),VLOOKUP($B194,Data!$B$3:$EZ1530,45,FALSE)),1),"")</f>
        <v>-1.450732899</v>
      </c>
      <c r="O194" s="50">
        <f>IFERROR(VLOOKUP($B194,Data!$B$3:$D1530,2,FALSE),"")</f>
        <v>201670</v>
      </c>
      <c r="P194" s="50">
        <f>IFERROR(VLOOKUP($B194,Data!$B$3:$D1530,3,FALSE),"")</f>
        <v>156130</v>
      </c>
      <c r="Q194" s="48">
        <f t="shared" si="2"/>
        <v>0.2916800102</v>
      </c>
      <c r="R194" s="48"/>
      <c r="S194" s="48"/>
      <c r="T194" s="48"/>
      <c r="U194" s="48"/>
      <c r="V194" s="48"/>
      <c r="W194" s="50"/>
      <c r="Z194" s="11"/>
      <c r="AA194" s="11"/>
    </row>
    <row r="195">
      <c r="A195" s="9">
        <f t="shared" si="1"/>
        <v>192</v>
      </c>
      <c r="B195" s="47" t="s">
        <v>328</v>
      </c>
      <c r="C195" s="48" t="str">
        <f>IFERROR(DIVIDE(VLOOKUP($B195,Data!$B$3:$AB$1535,9,FALSE),VLOOKUP($B195,Data!$B$3:$AB$1535,4,FALSE)),"")</f>
        <v/>
      </c>
      <c r="D195" s="48" t="str">
        <f>IFERROR(DIVIDE(VLOOKUP($B195,Data!$B$3:$AB$1535,24,FALSE),VLOOKUP($B195,Data!$B$3:$AB$1535,4,FALSE)),"")</f>
        <v/>
      </c>
      <c r="E195" s="48" t="str">
        <f>IFERROR(DIVIDE(VLOOKUP($B195,Data!$B$3:$EZ1530,29,FALSE),VLOOKUP($B195,Data!$B$3:$EZ1530,4,FALSE)),"")</f>
        <v/>
      </c>
      <c r="F195" s="48" t="str">
        <f>IFERROR(DIVIDE(VLOOKUP($B195,Data!$B$3:$EZ1530,34,FALSE),VLOOKUP($B195,Data!$B$3:$EZ1530,4,FALSE)),"")</f>
        <v/>
      </c>
      <c r="G195" s="48" t="str">
        <f>IFERROR(DIVIDE(VLOOKUP($B195,Data!$B$3:$EZ1530,39,FALSE),VLOOKUP($B195,Data!$B$3:$EZ1530,4,FALSE)),"")</f>
        <v/>
      </c>
      <c r="H195" s="48" t="str">
        <f>IFERROR(DIVIDE(VLOOKUP($B195,Data!$B$3:$EZ1530,44,FALSE),VLOOKUP($B195,Data!$B$3:$EZ1530,4,FALSE)),"")</f>
        <v/>
      </c>
      <c r="I195" s="48">
        <f>IFERROR(MINUS(DIVIDE(VLOOKUP($B195,Data!$B$3:$EZ1530,9,FALSE),VLOOKUP($B195,Data!$B$3:$EZ1530,10,FALSE)),1),"")</f>
        <v>0.06818181818</v>
      </c>
      <c r="J195" s="48">
        <f>IFERROR(MINUS(DIVIDE(VLOOKUP($B195,Data!$B$3:$EZ1530,24,FALSE),VLOOKUP($B195,Data!$B$3:$EZ1530,25,FALSE)),1),"")</f>
        <v>3.005605381</v>
      </c>
      <c r="K195" s="48">
        <f>IFERROR(MINUS(DIVIDE(VLOOKUP($B195,Data!$B$3:$EZ1530,29,FALSE),VLOOKUP($B195,Data!$B$3:$EZ1530,30,FALSE)),1),"")</f>
        <v>2.948488242</v>
      </c>
      <c r="L195" s="48">
        <f>IFERROR(MINUS(DIVIDE(VLOOKUP($B195,Data!$B$3:$EZ1530,34,FALSE),VLOOKUP($B195,Data!$B$3:$EZ1530,35,FALSE)),1),"")</f>
        <v>2.305869074</v>
      </c>
      <c r="M195" s="48">
        <f>IFERROR(MINUS(DIVIDE(VLOOKUP($B195,Data!$B$3:$EZ1530,39,FALSE),VLOOKUP($B195,Data!$B$3:$EZ1530,40,FALSE)),1),"")</f>
        <v>2.948488242</v>
      </c>
      <c r="N195" s="48">
        <f>IFERROR(MINUS(DIVIDE(VLOOKUP($B195,Data!$B$3:$EZ1530,44,FALSE),VLOOKUP($B195,Data!$B$3:$EZ1530,45,FALSE)),1),"")</f>
        <v>1.919526627</v>
      </c>
      <c r="O195" s="50" t="str">
        <f>IFERROR(VLOOKUP($B195,Data!$B$3:$D1530,2,FALSE),"")</f>
        <v/>
      </c>
      <c r="P195" s="50" t="str">
        <f>IFERROR(VLOOKUP($B195,Data!$B$3:$D1530,3,FALSE),"")</f>
        <v/>
      </c>
      <c r="Q195" s="48" t="str">
        <f t="shared" si="2"/>
        <v/>
      </c>
      <c r="R195" s="48"/>
      <c r="S195" s="48"/>
      <c r="T195" s="48"/>
      <c r="U195" s="48"/>
      <c r="V195" s="48"/>
      <c r="W195" s="50"/>
      <c r="Z195" s="11"/>
      <c r="AA195" s="11"/>
    </row>
    <row r="196">
      <c r="A196" s="9">
        <f t="shared" si="1"/>
        <v>193</v>
      </c>
      <c r="B196" s="47" t="s">
        <v>329</v>
      </c>
      <c r="C196" s="48">
        <f>IFERROR(DIVIDE(VLOOKUP($B196,Data!$B$3:$AB$1535,9,FALSE),VLOOKUP($B196,Data!$B$3:$AB$1535,4,FALSE)),"")</f>
        <v>0.4794679005</v>
      </c>
      <c r="D196" s="48">
        <f>IFERROR(DIVIDE(VLOOKUP($B196,Data!$B$3:$AB$1535,24,FALSE),VLOOKUP($B196,Data!$B$3:$AB$1535,4,FALSE)),"")</f>
        <v>0.1370734529</v>
      </c>
      <c r="E196" s="48">
        <f>IFERROR(DIVIDE(VLOOKUP($B196,Data!$B$3:$EZ1530,29,FALSE),VLOOKUP($B196,Data!$B$3:$EZ1530,4,FALSE)),"")</f>
        <v>0.06824754193</v>
      </c>
      <c r="F196" s="48">
        <f>IFERROR(DIVIDE(VLOOKUP($B196,Data!$B$3:$EZ1530,34,FALSE),VLOOKUP($B196,Data!$B$3:$EZ1530,4,FALSE)),"")</f>
        <v>0.2903412377</v>
      </c>
      <c r="G196" s="48">
        <f>IFERROR(DIVIDE(VLOOKUP($B196,Data!$B$3:$EZ1530,39,FALSE),VLOOKUP($B196,Data!$B$3:$EZ1530,4,FALSE)),"")</f>
        <v>0.07113938693</v>
      </c>
      <c r="H196" s="48">
        <f>IFERROR(DIVIDE(VLOOKUP($B196,Data!$B$3:$EZ1530,44,FALSE),VLOOKUP($B196,Data!$B$3:$EZ1530,4,FALSE)),"")</f>
        <v>0.1925968768</v>
      </c>
      <c r="I196" s="48">
        <f>IFERROR(MINUS(DIVIDE(VLOOKUP($B196,Data!$B$3:$EZ1530,9,FALSE),VLOOKUP($B196,Data!$B$3:$EZ1530,10,FALSE)),1),"")</f>
        <v>0.1403026135</v>
      </c>
      <c r="J196" s="48">
        <f>IFERROR(MINUS(DIVIDE(VLOOKUP($B196,Data!$B$3:$EZ1530,24,FALSE),VLOOKUP($B196,Data!$B$3:$EZ1530,25,FALSE)),1),"")</f>
        <v>-4.077922078</v>
      </c>
      <c r="K196" s="48">
        <f>IFERROR(MINUS(DIVIDE(VLOOKUP($B196,Data!$B$3:$EZ1530,29,FALSE),VLOOKUP($B196,Data!$B$3:$EZ1530,30,FALSE)),1),"")</f>
        <v>0.008547008547</v>
      </c>
      <c r="L196" s="48">
        <f>IFERROR(MINUS(DIVIDE(VLOOKUP($B196,Data!$B$3:$EZ1530,34,FALSE),VLOOKUP($B196,Data!$B$3:$EZ1530,35,FALSE)),1),"")</f>
        <v>0.2243902439</v>
      </c>
      <c r="M196" s="48">
        <f>IFERROR(MINUS(DIVIDE(VLOOKUP($B196,Data!$B$3:$EZ1530,39,FALSE),VLOOKUP($B196,Data!$B$3:$EZ1530,40,FALSE)),1),"")</f>
        <v>2.954983923</v>
      </c>
      <c r="N196" s="48">
        <f>IFERROR(MINUS(DIVIDE(VLOOKUP($B196,Data!$B$3:$EZ1530,44,FALSE),VLOOKUP($B196,Data!$B$3:$EZ1530,45,FALSE)),1),"")</f>
        <v>0.1602787456</v>
      </c>
      <c r="O196" s="50">
        <f>IFERROR(VLOOKUP($B196,Data!$B$3:$D1530,2,FALSE),"")</f>
        <v>18470000</v>
      </c>
      <c r="P196" s="50">
        <f>IFERROR(VLOOKUP($B196,Data!$B$3:$D1530,3,FALSE),"")</f>
        <v>16910000</v>
      </c>
      <c r="Q196" s="48">
        <f t="shared" si="2"/>
        <v>0.09225310467</v>
      </c>
      <c r="R196" s="48"/>
      <c r="S196" s="48"/>
      <c r="T196" s="48"/>
      <c r="U196" s="48"/>
      <c r="V196" s="48"/>
      <c r="W196" s="50"/>
      <c r="Z196" s="11"/>
      <c r="AA196" s="11"/>
    </row>
    <row r="197">
      <c r="A197" s="9">
        <f t="shared" si="1"/>
        <v>194</v>
      </c>
      <c r="B197" s="47" t="s">
        <v>330</v>
      </c>
      <c r="C197" s="48">
        <f>IFERROR(DIVIDE(VLOOKUP($B197,Data!$B$3:$AB$1535,9,FALSE),VLOOKUP($B197,Data!$B$3:$AB$1535,4,FALSE)),"")</f>
        <v>0</v>
      </c>
      <c r="D197" s="48">
        <f>IFERROR(DIVIDE(VLOOKUP($B197,Data!$B$3:$AB$1535,24,FALSE),VLOOKUP($B197,Data!$B$3:$AB$1535,4,FALSE)),"")</f>
        <v>-4475</v>
      </c>
      <c r="E197" s="48">
        <f>IFERROR(DIVIDE(VLOOKUP($B197,Data!$B$3:$EZ1530,29,FALSE),VLOOKUP($B197,Data!$B$3:$EZ1530,4,FALSE)),"")</f>
        <v>-4351.666667</v>
      </c>
      <c r="F197" s="48">
        <f>IFERROR(DIVIDE(VLOOKUP($B197,Data!$B$3:$EZ1530,34,FALSE),VLOOKUP($B197,Data!$B$3:$EZ1530,4,FALSE)),"")</f>
        <v>-3875</v>
      </c>
      <c r="G197" s="48">
        <f>IFERROR(DIVIDE(VLOOKUP($B197,Data!$B$3:$EZ1530,39,FALSE),VLOOKUP($B197,Data!$B$3:$EZ1530,4,FALSE)),"")</f>
        <v>-4351.666667</v>
      </c>
      <c r="H197" s="48">
        <f>IFERROR(DIVIDE(VLOOKUP($B197,Data!$B$3:$EZ1530,44,FALSE),VLOOKUP($B197,Data!$B$3:$EZ1530,4,FALSE)),"")</f>
        <v>-3859.444444</v>
      </c>
      <c r="I197" s="48">
        <f>IFERROR(MINUS(DIVIDE(VLOOKUP($B197,Data!$B$3:$EZ1530,9,FALSE),VLOOKUP($B197,Data!$B$3:$EZ1530,10,FALSE)),1),"")</f>
        <v>-1</v>
      </c>
      <c r="J197" s="48">
        <f>IFERROR(MINUS(DIVIDE(VLOOKUP($B197,Data!$B$3:$EZ1530,24,FALSE),VLOOKUP($B197,Data!$B$3:$EZ1530,25,FALSE)),1),"")</f>
        <v>0.302976383</v>
      </c>
      <c r="K197" s="48">
        <f>IFERROR(MINUS(DIVIDE(VLOOKUP($B197,Data!$B$3:$EZ1530,29,FALSE),VLOOKUP($B197,Data!$B$3:$EZ1530,30,FALSE)),1),"")</f>
        <v>-0.3290217578</v>
      </c>
      <c r="L197" s="48">
        <f>IFERROR(MINUS(DIVIDE(VLOOKUP($B197,Data!$B$3:$EZ1530,34,FALSE),VLOOKUP($B197,Data!$B$3:$EZ1530,35,FALSE)),1),"")</f>
        <v>0.5469061876</v>
      </c>
      <c r="M197" s="48">
        <f>IFERROR(MINUS(DIVIDE(VLOOKUP($B197,Data!$B$3:$EZ1530,39,FALSE),VLOOKUP($B197,Data!$B$3:$EZ1530,40,FALSE)),1),"")</f>
        <v>-0.3204060385</v>
      </c>
      <c r="N197" s="48">
        <f>IFERROR(MINUS(DIVIDE(VLOOKUP($B197,Data!$B$3:$EZ1530,44,FALSE),VLOOKUP($B197,Data!$B$3:$EZ1530,45,FALSE)),1),"")</f>
        <v>2.422167488</v>
      </c>
      <c r="O197" s="50">
        <f>IFERROR(VLOOKUP($B197,Data!$B$3:$D1530,2,FALSE),"")</f>
        <v>3000</v>
      </c>
      <c r="P197" s="50" t="str">
        <f>IFERROR(VLOOKUP($B197,Data!$B$3:$D1530,3,FALSE),"")</f>
        <v/>
      </c>
      <c r="Q197" s="48" t="str">
        <f t="shared" si="2"/>
        <v/>
      </c>
      <c r="R197" s="48"/>
      <c r="S197" s="48"/>
      <c r="T197" s="48"/>
      <c r="U197" s="48"/>
      <c r="V197" s="48"/>
      <c r="W197" s="50"/>
      <c r="Z197" s="12"/>
      <c r="AA197" s="12"/>
    </row>
    <row r="198">
      <c r="A198" s="9">
        <f t="shared" si="1"/>
        <v>195</v>
      </c>
      <c r="B198" s="47" t="s">
        <v>331</v>
      </c>
      <c r="C198" s="48">
        <f>IFERROR(DIVIDE(VLOOKUP($B198,Data!$B$3:$AB$1535,9,FALSE),VLOOKUP($B198,Data!$B$3:$AB$1535,4,FALSE)),"")</f>
        <v>0.2053445851</v>
      </c>
      <c r="D198" s="48">
        <f>IFERROR(DIVIDE(VLOOKUP($B198,Data!$B$3:$AB$1535,24,FALSE),VLOOKUP($B198,Data!$B$3:$AB$1535,4,FALSE)),"")</f>
        <v>0.02078059072</v>
      </c>
      <c r="E198" s="48">
        <f>IFERROR(DIVIDE(VLOOKUP($B198,Data!$B$3:$EZ1530,29,FALSE),VLOOKUP($B198,Data!$B$3:$EZ1530,4,FALSE)),"")</f>
        <v>-0.001516174402</v>
      </c>
      <c r="F198" s="48">
        <f>IFERROR(DIVIDE(VLOOKUP($B198,Data!$B$3:$EZ1530,34,FALSE),VLOOKUP($B198,Data!$B$3:$EZ1530,4,FALSE)),"")</f>
        <v>0.0639535865</v>
      </c>
      <c r="G198" s="48">
        <f>IFERROR(DIVIDE(VLOOKUP($B198,Data!$B$3:$EZ1530,39,FALSE),VLOOKUP($B198,Data!$B$3:$EZ1530,4,FALSE)),"")</f>
        <v>-0.001492264416</v>
      </c>
      <c r="H198" s="48">
        <f>IFERROR(DIVIDE(VLOOKUP($B198,Data!$B$3:$EZ1530,44,FALSE),VLOOKUP($B198,Data!$B$3:$EZ1530,4,FALSE)),"")</f>
        <v>0.02990857947</v>
      </c>
      <c r="I198" s="48">
        <f>IFERROR(MINUS(DIVIDE(VLOOKUP($B198,Data!$B$3:$EZ1530,9,FALSE),VLOOKUP($B198,Data!$B$3:$EZ1530,10,FALSE)),1),"")</f>
        <v>0.05035971223</v>
      </c>
      <c r="J198" s="48">
        <f>IFERROR(MINUS(DIVIDE(VLOOKUP($B198,Data!$B$3:$EZ1530,24,FALSE),VLOOKUP($B198,Data!$B$3:$EZ1530,25,FALSE)),1),"")</f>
        <v>-0.2779651078</v>
      </c>
      <c r="K198" s="48">
        <f>IFERROR(MINUS(DIVIDE(VLOOKUP($B198,Data!$B$3:$EZ1530,29,FALSE),VLOOKUP($B198,Data!$B$3:$EZ1530,30,FALSE)),1),"")</f>
        <v>-1.158343126</v>
      </c>
      <c r="L198" s="48">
        <f>IFERROR(MINUS(DIVIDE(VLOOKUP($B198,Data!$B$3:$EZ1530,34,FALSE),VLOOKUP($B198,Data!$B$3:$EZ1530,35,FALSE)),1),"")</f>
        <v>-0.01263761318</v>
      </c>
      <c r="M198" s="48">
        <f>IFERROR(MINUS(DIVIDE(VLOOKUP($B198,Data!$B$3:$EZ1530,39,FALSE),VLOOKUP($B198,Data!$B$3:$EZ1530,40,FALSE)),1),"")</f>
        <v>-1.116747359</v>
      </c>
      <c r="N198" s="48">
        <f>IFERROR(MINUS(DIVIDE(VLOOKUP($B198,Data!$B$3:$EZ1530,44,FALSE),VLOOKUP($B198,Data!$B$3:$EZ1530,45,FALSE)),1),"")</f>
        <v>-0.6057510475</v>
      </c>
      <c r="O198" s="50">
        <f>IFERROR(VLOOKUP($B198,Data!$B$3:$D1530,2,FALSE),"")</f>
        <v>7050000</v>
      </c>
      <c r="P198" s="50">
        <f>IFERROR(VLOOKUP($B198,Data!$B$3:$D1530,3,FALSE),"")</f>
        <v>6810000</v>
      </c>
      <c r="Q198" s="48">
        <f t="shared" si="2"/>
        <v>0.03524229075</v>
      </c>
      <c r="R198" s="48"/>
      <c r="S198" s="48"/>
      <c r="T198" s="48"/>
      <c r="U198" s="48"/>
      <c r="V198" s="48"/>
      <c r="W198" s="50"/>
      <c r="Z198" s="11"/>
      <c r="AA198" s="11"/>
    </row>
    <row r="199">
      <c r="A199" s="9">
        <f t="shared" si="1"/>
        <v>196</v>
      </c>
      <c r="B199" s="47" t="s">
        <v>332</v>
      </c>
      <c r="C199" s="48" t="str">
        <f>IFERROR(DIVIDE(VLOOKUP($B199,Data!$B$3:$AB$1535,9,FALSE),VLOOKUP($B199,Data!$B$3:$AB$1535,4,FALSE)),"")</f>
        <v/>
      </c>
      <c r="D199" s="48" t="str">
        <f>IFERROR(DIVIDE(VLOOKUP($B199,Data!$B$3:$AB$1535,24,FALSE),VLOOKUP($B199,Data!$B$3:$AB$1535,4,FALSE)),"")</f>
        <v/>
      </c>
      <c r="E199" s="48" t="str">
        <f>IFERROR(DIVIDE(VLOOKUP($B199,Data!$B$3:$EZ1530,29,FALSE),VLOOKUP($B199,Data!$B$3:$EZ1530,4,FALSE)),"")</f>
        <v/>
      </c>
      <c r="F199" s="48" t="str">
        <f>IFERROR(DIVIDE(VLOOKUP($B199,Data!$B$3:$EZ1530,34,FALSE),VLOOKUP($B199,Data!$B$3:$EZ1530,4,FALSE)),"")</f>
        <v/>
      </c>
      <c r="G199" s="48" t="str">
        <f>IFERROR(DIVIDE(VLOOKUP($B199,Data!$B$3:$EZ1530,39,FALSE),VLOOKUP($B199,Data!$B$3:$EZ1530,4,FALSE)),"")</f>
        <v/>
      </c>
      <c r="H199" s="48" t="str">
        <f>IFERROR(DIVIDE(VLOOKUP($B199,Data!$B$3:$EZ1530,44,FALSE),VLOOKUP($B199,Data!$B$3:$EZ1530,4,FALSE)),"")</f>
        <v/>
      </c>
      <c r="I199" s="48" t="str">
        <f>IFERROR(MINUS(DIVIDE(VLOOKUP($B199,Data!$B$3:$EZ1530,9,FALSE),VLOOKUP($B199,Data!$B$3:$EZ1530,10,FALSE)),1),"")</f>
        <v/>
      </c>
      <c r="J199" s="48" t="str">
        <f>IFERROR(MINUS(DIVIDE(VLOOKUP($B199,Data!$B$3:$EZ1530,24,FALSE),VLOOKUP($B199,Data!$B$3:$EZ1530,25,FALSE)),1),"")</f>
        <v/>
      </c>
      <c r="K199" s="48" t="str">
        <f>IFERROR(MINUS(DIVIDE(VLOOKUP($B199,Data!$B$3:$EZ1530,29,FALSE),VLOOKUP($B199,Data!$B$3:$EZ1530,30,FALSE)),1),"")</f>
        <v/>
      </c>
      <c r="L199" s="48" t="str">
        <f>IFERROR(MINUS(DIVIDE(VLOOKUP($B199,Data!$B$3:$EZ1530,34,FALSE),VLOOKUP($B199,Data!$B$3:$EZ1530,35,FALSE)),1),"")</f>
        <v/>
      </c>
      <c r="M199" s="48" t="str">
        <f>IFERROR(MINUS(DIVIDE(VLOOKUP($B199,Data!$B$3:$EZ1530,39,FALSE),VLOOKUP($B199,Data!$B$3:$EZ1530,40,FALSE)),1),"")</f>
        <v/>
      </c>
      <c r="N199" s="48" t="str">
        <f>IFERROR(MINUS(DIVIDE(VLOOKUP($B199,Data!$B$3:$EZ1530,44,FALSE),VLOOKUP($B199,Data!$B$3:$EZ1530,45,FALSE)),1),"")</f>
        <v/>
      </c>
      <c r="O199" s="50" t="str">
        <f>IFERROR(VLOOKUP($B199,Data!$B$3:$D1530,2,FALSE),"")</f>
        <v/>
      </c>
      <c r="P199" s="50" t="str">
        <f>IFERROR(VLOOKUP($B199,Data!$B$3:$D1530,3,FALSE),"")</f>
        <v/>
      </c>
      <c r="Q199" s="48" t="str">
        <f t="shared" si="2"/>
        <v/>
      </c>
      <c r="R199" s="48"/>
      <c r="S199" s="48"/>
      <c r="T199" s="48"/>
      <c r="U199" s="48"/>
      <c r="V199" s="48"/>
      <c r="W199" s="50"/>
      <c r="Z199" s="11"/>
      <c r="AA199" s="12"/>
    </row>
    <row r="200">
      <c r="A200" s="9">
        <f t="shared" si="1"/>
        <v>197</v>
      </c>
      <c r="B200" s="47" t="s">
        <v>333</v>
      </c>
      <c r="C200" s="48">
        <f>IFERROR(DIVIDE(VLOOKUP($B200,Data!$B$3:$AB$1535,9,FALSE),VLOOKUP($B200,Data!$B$3:$AB$1535,4,FALSE)),"")</f>
        <v>0.7435241445</v>
      </c>
      <c r="D200" s="48">
        <f>IFERROR(DIVIDE(VLOOKUP($B200,Data!$B$3:$AB$1535,24,FALSE),VLOOKUP($B200,Data!$B$3:$AB$1535,4,FALSE)),"")</f>
        <v>0</v>
      </c>
      <c r="E200" s="48">
        <f>IFERROR(DIVIDE(VLOOKUP($B200,Data!$B$3:$EZ1530,29,FALSE),VLOOKUP($B200,Data!$B$3:$EZ1530,4,FALSE)),"")</f>
        <v>-0.1528621682</v>
      </c>
      <c r="F200" s="48">
        <f>IFERROR(DIVIDE(VLOOKUP($B200,Data!$B$3:$EZ1530,34,FALSE),VLOOKUP($B200,Data!$B$3:$EZ1530,4,FALSE)),"")</f>
        <v>-0.6466261593</v>
      </c>
      <c r="G200" s="48">
        <f>IFERROR(DIVIDE(VLOOKUP($B200,Data!$B$3:$EZ1530,39,FALSE),VLOOKUP($B200,Data!$B$3:$EZ1530,4,FALSE)),"")</f>
        <v>-0.2353693636</v>
      </c>
      <c r="H200" s="48">
        <f>IFERROR(DIVIDE(VLOOKUP($B200,Data!$B$3:$EZ1530,44,FALSE),VLOOKUP($B200,Data!$B$3:$EZ1530,4,FALSE)),"")</f>
        <v>-1.073233131</v>
      </c>
      <c r="I200" s="48">
        <f>IFERROR(MINUS(DIVIDE(VLOOKUP($B200,Data!$B$3:$EZ1530,9,FALSE),VLOOKUP($B200,Data!$B$3:$EZ1530,10,FALSE)),1),"")</f>
        <v>0.4604271357</v>
      </c>
      <c r="J200" s="48" t="str">
        <f>IFERROR(MINUS(DIVIDE(VLOOKUP($B200,Data!$B$3:$EZ1530,24,FALSE),VLOOKUP($B200,Data!$B$3:$EZ1530,25,FALSE)),1),"")</f>
        <v/>
      </c>
      <c r="K200" s="48">
        <f>IFERROR(MINUS(DIVIDE(VLOOKUP($B200,Data!$B$3:$EZ1530,29,FALSE),VLOOKUP($B200,Data!$B$3:$EZ1530,30,FALSE)),1),"")</f>
        <v>-0.7519460301</v>
      </c>
      <c r="L200" s="48">
        <f>IFERROR(MINUS(DIVIDE(VLOOKUP($B200,Data!$B$3:$EZ1530,34,FALSE),VLOOKUP($B200,Data!$B$3:$EZ1530,35,FALSE)),1),"")</f>
        <v>0.1735345328</v>
      </c>
      <c r="M200" s="48">
        <f>IFERROR(MINUS(DIVIDE(VLOOKUP($B200,Data!$B$3:$EZ1530,39,FALSE),VLOOKUP($B200,Data!$B$3:$EZ1530,40,FALSE)),1),"")</f>
        <v>-0.1711711712</v>
      </c>
      <c r="N200" s="48">
        <f>IFERROR(MINUS(DIVIDE(VLOOKUP($B200,Data!$B$3:$EZ1530,44,FALSE),VLOOKUP($B200,Data!$B$3:$EZ1530,45,FALSE)),1),"")</f>
        <v>1.402290623</v>
      </c>
      <c r="O200" s="50">
        <f>IFERROR(VLOOKUP($B200,Data!$B$3:$D1530,2,FALSE),"")</f>
        <v>42700</v>
      </c>
      <c r="P200" s="50">
        <f>IFERROR(VLOOKUP($B200,Data!$B$3:$D1530,3,FALSE),"")</f>
        <v>26700</v>
      </c>
      <c r="Q200" s="48">
        <f t="shared" si="2"/>
        <v>0.5992509363</v>
      </c>
      <c r="R200" s="48"/>
      <c r="S200" s="48"/>
      <c r="T200" s="48"/>
      <c r="U200" s="48"/>
      <c r="V200" s="48"/>
      <c r="W200" s="50"/>
      <c r="Z200" s="11"/>
      <c r="AA200" s="11"/>
    </row>
    <row r="201">
      <c r="A201" s="9">
        <f t="shared" si="1"/>
        <v>198</v>
      </c>
      <c r="B201" s="47" t="s">
        <v>334</v>
      </c>
      <c r="C201" s="48">
        <f>IFERROR(DIVIDE(VLOOKUP($B201,Data!$B$3:$AB$1535,9,FALSE),VLOOKUP($B201,Data!$B$3:$AB$1535,4,FALSE)),"")</f>
        <v>0.04958677686</v>
      </c>
      <c r="D201" s="48">
        <f>IFERROR(DIVIDE(VLOOKUP($B201,Data!$B$3:$AB$1535,24,FALSE),VLOOKUP($B201,Data!$B$3:$AB$1535,4,FALSE)),"")</f>
        <v>-0.02455031599</v>
      </c>
      <c r="E201" s="48">
        <f>IFERROR(DIVIDE(VLOOKUP($B201,Data!$B$3:$EZ1530,29,FALSE),VLOOKUP($B201,Data!$B$3:$EZ1530,4,FALSE)),"")</f>
        <v>-0.02941176471</v>
      </c>
      <c r="F201" s="48">
        <f>IFERROR(DIVIDE(VLOOKUP($B201,Data!$B$3:$EZ1530,34,FALSE),VLOOKUP($B201,Data!$B$3:$EZ1530,4,FALSE)),"")</f>
        <v>0.03184248906</v>
      </c>
      <c r="G201" s="48">
        <f>IFERROR(DIVIDE(VLOOKUP($B201,Data!$B$3:$EZ1530,39,FALSE),VLOOKUP($B201,Data!$B$3:$EZ1530,4,FALSE)),"")</f>
        <v>-0.03135634419</v>
      </c>
      <c r="H201" s="48">
        <f>IFERROR(DIVIDE(VLOOKUP($B201,Data!$B$3:$EZ1530,44,FALSE),VLOOKUP($B201,Data!$B$3:$EZ1530,4,FALSE)),"")</f>
        <v>-0.01414681575</v>
      </c>
      <c r="I201" s="48">
        <f>IFERROR(MINUS(DIVIDE(VLOOKUP($B201,Data!$B$3:$EZ1530,9,FALSE),VLOOKUP($B201,Data!$B$3:$EZ1530,10,FALSE)),1),"")</f>
        <v>0.004926108374</v>
      </c>
      <c r="J201" s="48">
        <f>IFERROR(MINUS(DIVIDE(VLOOKUP($B201,Data!$B$3:$EZ1530,24,FALSE),VLOOKUP($B201,Data!$B$3:$EZ1530,25,FALSE)),1),"")</f>
        <v>-2.203814064</v>
      </c>
      <c r="K201" s="48">
        <f>IFERROR(MINUS(DIVIDE(VLOOKUP($B201,Data!$B$3:$EZ1530,29,FALSE),VLOOKUP($B201,Data!$B$3:$EZ1530,30,FALSE)),1),"")</f>
        <v>-3.653508772</v>
      </c>
      <c r="L201" s="48">
        <f>IFERROR(MINUS(DIVIDE(VLOOKUP($B201,Data!$B$3:$EZ1530,34,FALSE),VLOOKUP($B201,Data!$B$3:$EZ1530,35,FALSE)),1),"")</f>
        <v>0.0234375</v>
      </c>
      <c r="M201" s="48">
        <f>IFERROR(MINUS(DIVIDE(VLOOKUP($B201,Data!$B$3:$EZ1530,39,FALSE),VLOOKUP($B201,Data!$B$3:$EZ1530,40,FALSE)),1),"")</f>
        <v>-6.019455253</v>
      </c>
      <c r="N201" s="48">
        <f>IFERROR(MINUS(DIVIDE(VLOOKUP($B201,Data!$B$3:$EZ1530,44,FALSE),VLOOKUP($B201,Data!$B$3:$EZ1530,45,FALSE)),1),"")</f>
        <v>-0.5590909091</v>
      </c>
      <c r="O201" s="50">
        <f>IFERROR(VLOOKUP($B201,Data!$B$3:$D1530,2,FALSE),"")</f>
        <v>40460000</v>
      </c>
      <c r="P201" s="50">
        <f>IFERROR(VLOOKUP($B201,Data!$B$3:$D1530,3,FALSE),"")</f>
        <v>39150000</v>
      </c>
      <c r="Q201" s="48">
        <f t="shared" si="2"/>
        <v>0.03346104725</v>
      </c>
      <c r="R201" s="48"/>
      <c r="S201" s="48"/>
      <c r="T201" s="48"/>
      <c r="U201" s="48"/>
      <c r="V201" s="48"/>
      <c r="W201" s="50"/>
      <c r="Z201" s="12"/>
      <c r="AA201" s="12"/>
    </row>
    <row r="202">
      <c r="A202" s="9">
        <f t="shared" si="1"/>
        <v>199</v>
      </c>
      <c r="B202" s="47" t="s">
        <v>335</v>
      </c>
      <c r="C202" s="48">
        <f>IFERROR(DIVIDE(VLOOKUP($B202,Data!$B$3:$AB$1535,9,FALSE),VLOOKUP($B202,Data!$B$3:$AB$1535,4,FALSE)),"")</f>
        <v>0.3131159057</v>
      </c>
      <c r="D202" s="48">
        <f>IFERROR(DIVIDE(VLOOKUP($B202,Data!$B$3:$AB$1535,24,FALSE),VLOOKUP($B202,Data!$B$3:$AB$1535,4,FALSE)),"")</f>
        <v>0.01488208731</v>
      </c>
      <c r="E202" s="48">
        <f>IFERROR(DIVIDE(VLOOKUP($B202,Data!$B$3:$EZ1530,29,FALSE),VLOOKUP($B202,Data!$B$3:$EZ1530,4,FALSE)),"")</f>
        <v>0.01182137481</v>
      </c>
      <c r="F202" s="48">
        <f>IFERROR(DIVIDE(VLOOKUP($B202,Data!$B$3:$EZ1530,34,FALSE),VLOOKUP($B202,Data!$B$3:$EZ1530,4,FALSE)),"")</f>
        <v>0.09757150025</v>
      </c>
      <c r="G202" s="48">
        <f>IFERROR(DIVIDE(VLOOKUP($B202,Data!$B$3:$EZ1530,39,FALSE),VLOOKUP($B202,Data!$B$3:$EZ1530,4,FALSE)),"")</f>
        <v>0.008479678876</v>
      </c>
      <c r="H202" s="48">
        <f>IFERROR(DIVIDE(VLOOKUP($B202,Data!$B$3:$EZ1530,44,FALSE),VLOOKUP($B202,Data!$B$3:$EZ1530,4,FALSE)),"")</f>
        <v>0.07752132464</v>
      </c>
      <c r="I202" s="48">
        <f>IFERROR(MINUS(DIVIDE(VLOOKUP($B202,Data!$B$3:$EZ1530,9,FALSE),VLOOKUP($B202,Data!$B$3:$EZ1530,10,FALSE)),1),"")</f>
        <v>0.03712813695</v>
      </c>
      <c r="J202" s="48">
        <f>IFERROR(MINUS(DIVIDE(VLOOKUP($B202,Data!$B$3:$EZ1530,24,FALSE),VLOOKUP($B202,Data!$B$3:$EZ1530,25,FALSE)),1),"")</f>
        <v>-13.05691057</v>
      </c>
      <c r="K202" s="48">
        <f>IFERROR(MINUS(DIVIDE(VLOOKUP($B202,Data!$B$3:$EZ1530,29,FALSE),VLOOKUP($B202,Data!$B$3:$EZ1530,30,FALSE)),1),"")</f>
        <v>-3.560869565</v>
      </c>
      <c r="L202" s="48">
        <f>IFERROR(MINUS(DIVIDE(VLOOKUP($B202,Data!$B$3:$EZ1530,34,FALSE),VLOOKUP($B202,Data!$B$3:$EZ1530,35,FALSE)),1),"")</f>
        <v>3.79911155</v>
      </c>
      <c r="M202" s="48">
        <f>IFERROR(MINUS(DIVIDE(VLOOKUP($B202,Data!$B$3:$EZ1530,39,FALSE),VLOOKUP($B202,Data!$B$3:$EZ1530,40,FALSE)),1),"")</f>
        <v>-3.393767705</v>
      </c>
      <c r="N202" s="48">
        <f>IFERROR(MINUS(DIVIDE(VLOOKUP($B202,Data!$B$3:$EZ1530,44,FALSE),VLOOKUP($B202,Data!$B$3:$EZ1530,45,FALSE)),1),"")</f>
        <v>2.150489396</v>
      </c>
      <c r="O202" s="50">
        <f>IFERROR(VLOOKUP($B202,Data!$B$3:$D1530,2,FALSE),"")</f>
        <v>1000000</v>
      </c>
      <c r="P202" s="50">
        <f>IFERROR(VLOOKUP($B202,Data!$B$3:$D1530,3,FALSE),"")</f>
        <v>996500</v>
      </c>
      <c r="Q202" s="48">
        <f t="shared" si="2"/>
        <v>0.003512293026</v>
      </c>
      <c r="R202" s="48"/>
      <c r="S202" s="48"/>
      <c r="T202" s="48"/>
      <c r="U202" s="48"/>
      <c r="V202" s="48"/>
      <c r="W202" s="50"/>
      <c r="Z202" s="11"/>
      <c r="AA202" s="11"/>
    </row>
    <row r="203">
      <c r="A203" s="9">
        <f t="shared" si="1"/>
        <v>200</v>
      </c>
      <c r="B203" s="47" t="s">
        <v>336</v>
      </c>
      <c r="C203" s="48">
        <f>IFERROR(DIVIDE(VLOOKUP($B203,Data!$B$3:$AB$1535,9,FALSE),VLOOKUP($B203,Data!$B$3:$AB$1535,4,FALSE)),"")</f>
        <v>0.3590448512</v>
      </c>
      <c r="D203" s="48">
        <f>IFERROR(DIVIDE(VLOOKUP($B203,Data!$B$3:$AB$1535,24,FALSE),VLOOKUP($B203,Data!$B$3:$AB$1535,4,FALSE)),"")</f>
        <v>-0.03157646689</v>
      </c>
      <c r="E203" s="48">
        <f>IFERROR(DIVIDE(VLOOKUP($B203,Data!$B$3:$EZ1530,29,FALSE),VLOOKUP($B203,Data!$B$3:$EZ1530,4,FALSE)),"")</f>
        <v>-0.07218600267</v>
      </c>
      <c r="F203" s="48">
        <f>IFERROR(DIVIDE(VLOOKUP($B203,Data!$B$3:$EZ1530,34,FALSE),VLOOKUP($B203,Data!$B$3:$EZ1530,4,FALSE)),"")</f>
        <v>0.01241065117</v>
      </c>
      <c r="G203" s="48">
        <f>IFERROR(DIVIDE(VLOOKUP($B203,Data!$B$3:$EZ1530,39,FALSE),VLOOKUP($B203,Data!$B$3:$EZ1530,4,FALSE)),"")</f>
        <v>-0.07218600267</v>
      </c>
      <c r="H203" s="48">
        <f>IFERROR(DIVIDE(VLOOKUP($B203,Data!$B$3:$EZ1530,44,FALSE),VLOOKUP($B203,Data!$B$3:$EZ1530,4,FALSE)),"")</f>
        <v>-0.02576388343</v>
      </c>
      <c r="I203" s="48">
        <f>IFERROR(MINUS(DIVIDE(VLOOKUP($B203,Data!$B$3:$EZ1530,9,FALSE),VLOOKUP($B203,Data!$B$3:$EZ1530,10,FALSE)),1),"")</f>
        <v>0.09406414552</v>
      </c>
      <c r="J203" s="48">
        <f>IFERROR(MINUS(DIVIDE(VLOOKUP($B203,Data!$B$3:$EZ1530,24,FALSE),VLOOKUP($B203,Data!$B$3:$EZ1530,25,FALSE)),1),"")</f>
        <v>-0.6097087379</v>
      </c>
      <c r="K203" s="48">
        <f>IFERROR(MINUS(DIVIDE(VLOOKUP($B203,Data!$B$3:$EZ1530,29,FALSE),VLOOKUP($B203,Data!$B$3:$EZ1530,30,FALSE)),1),"")</f>
        <v>-0.341218638</v>
      </c>
      <c r="L203" s="48">
        <f>IFERROR(MINUS(DIVIDE(VLOOKUP($B203,Data!$B$3:$EZ1530,34,FALSE),VLOOKUP($B203,Data!$B$3:$EZ1530,35,FALSE)),1),"")</f>
        <v>-1.246105919</v>
      </c>
      <c r="M203" s="48">
        <f>IFERROR(MINUS(DIVIDE(VLOOKUP($B203,Data!$B$3:$EZ1530,39,FALSE),VLOOKUP($B203,Data!$B$3:$EZ1530,40,FALSE)),1),"")</f>
        <v>-0.341218638</v>
      </c>
      <c r="N203" s="48">
        <f>IFERROR(MINUS(DIVIDE(VLOOKUP($B203,Data!$B$3:$EZ1530,44,FALSE),VLOOKUP($B203,Data!$B$3:$EZ1530,45,FALSE)),1),"")</f>
        <v>-0.08888888889</v>
      </c>
      <c r="O203" s="50" t="str">
        <f>IFERROR(VLOOKUP($B203,Data!$B$3:$D1530,2,FALSE),"")</f>
        <v/>
      </c>
      <c r="P203" s="50" t="str">
        <f>IFERROR(VLOOKUP($B203,Data!$B$3:$D1530,3,FALSE),"")</f>
        <v/>
      </c>
      <c r="Q203" s="48" t="str">
        <f t="shared" si="2"/>
        <v/>
      </c>
      <c r="R203" s="48"/>
      <c r="S203" s="48"/>
      <c r="T203" s="48"/>
      <c r="U203" s="48"/>
      <c r="V203" s="48"/>
      <c r="W203" s="50"/>
      <c r="Z203" s="15"/>
      <c r="AA203" s="15"/>
    </row>
    <row r="204">
      <c r="A204" s="9">
        <f t="shared" si="1"/>
        <v>201</v>
      </c>
      <c r="B204" s="47" t="s">
        <v>337</v>
      </c>
      <c r="C204" s="48">
        <f>IFERROR(DIVIDE(VLOOKUP($B204,Data!$B$3:$AB$1535,9,FALSE),VLOOKUP($B204,Data!$B$3:$AB$1535,4,FALSE)),"")</f>
        <v>0.7886904762</v>
      </c>
      <c r="D204" s="48">
        <f>IFERROR(DIVIDE(VLOOKUP($B204,Data!$B$3:$AB$1535,24,FALSE),VLOOKUP($B204,Data!$B$3:$AB$1535,4,FALSE)),"")</f>
        <v>0</v>
      </c>
      <c r="E204" s="48">
        <f>IFERROR(DIVIDE(VLOOKUP($B204,Data!$B$3:$EZ1530,29,FALSE),VLOOKUP($B204,Data!$B$3:$EZ1530,4,FALSE)),"")</f>
        <v>-2.199404762</v>
      </c>
      <c r="F204" s="48">
        <f>IFERROR(DIVIDE(VLOOKUP($B204,Data!$B$3:$EZ1530,34,FALSE),VLOOKUP($B204,Data!$B$3:$EZ1530,4,FALSE)),"")</f>
        <v>-2.196428571</v>
      </c>
      <c r="G204" s="48">
        <f>IFERROR(DIVIDE(VLOOKUP($B204,Data!$B$3:$EZ1530,39,FALSE),VLOOKUP($B204,Data!$B$3:$EZ1530,4,FALSE)),"")</f>
        <v>-2.211309524</v>
      </c>
      <c r="H204" s="48">
        <f>IFERROR(DIVIDE(VLOOKUP($B204,Data!$B$3:$EZ1530,44,FALSE),VLOOKUP($B204,Data!$B$3:$EZ1530,4,FALSE)),"")</f>
        <v>-1.744047619</v>
      </c>
      <c r="I204" s="48">
        <f>IFERROR(MINUS(DIVIDE(VLOOKUP($B204,Data!$B$3:$EZ1530,9,FALSE),VLOOKUP($B204,Data!$B$3:$EZ1530,10,FALSE)),1),"")</f>
        <v>1.12</v>
      </c>
      <c r="J204" s="48" t="str">
        <f>IFERROR(MINUS(DIVIDE(VLOOKUP($B204,Data!$B$3:$EZ1530,24,FALSE),VLOOKUP($B204,Data!$B$3:$EZ1530,25,FALSE)),1),"")</f>
        <v/>
      </c>
      <c r="K204" s="48">
        <f>IFERROR(MINUS(DIVIDE(VLOOKUP($B204,Data!$B$3:$EZ1530,29,FALSE),VLOOKUP($B204,Data!$B$3:$EZ1530,30,FALSE)),1),"")</f>
        <v>0.3659889094</v>
      </c>
      <c r="L204" s="48">
        <f>IFERROR(MINUS(DIVIDE(VLOOKUP($B204,Data!$B$3:$EZ1530,34,FALSE),VLOOKUP($B204,Data!$B$3:$EZ1530,35,FALSE)),1),"")</f>
        <v>0.3541284404</v>
      </c>
      <c r="M204" s="48">
        <f>IFERROR(MINUS(DIVIDE(VLOOKUP($B204,Data!$B$3:$EZ1530,39,FALSE),VLOOKUP($B204,Data!$B$3:$EZ1530,40,FALSE)),1),"")</f>
        <v>0.4071969697</v>
      </c>
      <c r="N204" s="48">
        <f>IFERROR(MINUS(DIVIDE(VLOOKUP($B204,Data!$B$3:$EZ1530,44,FALSE),VLOOKUP($B204,Data!$B$3:$EZ1530,45,FALSE)),1),"")</f>
        <v>0.365967366</v>
      </c>
      <c r="O204" s="50">
        <f>IFERROR(VLOOKUP($B204,Data!$B$3:$D1530,2,FALSE),"")</f>
        <v>734390</v>
      </c>
      <c r="P204" s="50">
        <f>IFERROR(VLOOKUP($B204,Data!$B$3:$D1530,3,FALSE),"")</f>
        <v>326290</v>
      </c>
      <c r="Q204" s="48">
        <f t="shared" si="2"/>
        <v>1.25072788</v>
      </c>
      <c r="R204" s="48"/>
      <c r="S204" s="48"/>
      <c r="T204" s="48"/>
      <c r="U204" s="48"/>
      <c r="V204" s="48"/>
      <c r="W204" s="50"/>
      <c r="Z204" s="11"/>
      <c r="AA204" s="11"/>
    </row>
    <row r="205">
      <c r="A205" s="9">
        <f t="shared" si="1"/>
        <v>202</v>
      </c>
      <c r="B205" s="47" t="s">
        <v>338</v>
      </c>
      <c r="C205" s="48">
        <f>IFERROR(DIVIDE(VLOOKUP($B205,Data!$B$3:$AB$1535,9,FALSE),VLOOKUP($B205,Data!$B$3:$AB$1535,4,FALSE)),"")</f>
        <v>0.2224759036</v>
      </c>
      <c r="D205" s="48">
        <f>IFERROR(DIVIDE(VLOOKUP($B205,Data!$B$3:$AB$1535,24,FALSE),VLOOKUP($B205,Data!$B$3:$AB$1535,4,FALSE)),"")</f>
        <v>0.1220843373</v>
      </c>
      <c r="E205" s="48">
        <f>IFERROR(DIVIDE(VLOOKUP($B205,Data!$B$3:$EZ1530,29,FALSE),VLOOKUP($B205,Data!$B$3:$EZ1530,4,FALSE)),"")</f>
        <v>0.0636686747</v>
      </c>
      <c r="F205" s="48">
        <f>IFERROR(DIVIDE(VLOOKUP($B205,Data!$B$3:$EZ1530,34,FALSE),VLOOKUP($B205,Data!$B$3:$EZ1530,4,FALSE)),"")</f>
        <v>0.1711385542</v>
      </c>
      <c r="G205" s="48">
        <f>IFERROR(DIVIDE(VLOOKUP($B205,Data!$B$3:$EZ1530,39,FALSE),VLOOKUP($B205,Data!$B$3:$EZ1530,4,FALSE)),"")</f>
        <v>0.04601807229</v>
      </c>
      <c r="H205" s="48">
        <f>IFERROR(DIVIDE(VLOOKUP($B205,Data!$B$3:$EZ1530,44,FALSE),VLOOKUP($B205,Data!$B$3:$EZ1530,4,FALSE)),"")</f>
        <v>0.02801204819</v>
      </c>
      <c r="I205" s="48">
        <f>IFERROR(MINUS(DIVIDE(VLOOKUP($B205,Data!$B$3:$EZ1530,9,FALSE),VLOOKUP($B205,Data!$B$3:$EZ1530,10,FALSE)),1),"")</f>
        <v>0.08257606848</v>
      </c>
      <c r="J205" s="48">
        <f>IFERROR(MINUS(DIVIDE(VLOOKUP($B205,Data!$B$3:$EZ1530,24,FALSE),VLOOKUP($B205,Data!$B$3:$EZ1530,25,FALSE)),1),"")</f>
        <v>-6.0665</v>
      </c>
      <c r="K205" s="48">
        <f>IFERROR(MINUS(DIVIDE(VLOOKUP($B205,Data!$B$3:$EZ1530,29,FALSE),VLOOKUP($B205,Data!$B$3:$EZ1530,30,FALSE)),1),"")</f>
        <v>-0.5245186252</v>
      </c>
      <c r="L205" s="48">
        <f>IFERROR(MINUS(DIVIDE(VLOOKUP($B205,Data!$B$3:$EZ1530,34,FALSE),VLOOKUP($B205,Data!$B$3:$EZ1530,35,FALSE)),1),"")</f>
        <v>0.1630163344</v>
      </c>
      <c r="M205" s="48">
        <f>IFERROR(MINUS(DIVIDE(VLOOKUP($B205,Data!$B$3:$EZ1530,39,FALSE),VLOOKUP($B205,Data!$B$3:$EZ1530,40,FALSE)),1),"")</f>
        <v>-0.5570053352</v>
      </c>
      <c r="N205" s="48">
        <f>IFERROR(MINUS(DIVIDE(VLOOKUP($B205,Data!$B$3:$EZ1530,44,FALSE),VLOOKUP($B205,Data!$B$3:$EZ1530,45,FALSE)),1),"")</f>
        <v>-0.7780005729</v>
      </c>
      <c r="O205" s="50">
        <f>IFERROR(VLOOKUP($B205,Data!$B$3:$D1530,2,FALSE),"")</f>
        <v>1750000</v>
      </c>
      <c r="P205" s="50">
        <f>IFERROR(VLOOKUP($B205,Data!$B$3:$D1530,3,FALSE),"")</f>
        <v>1900000</v>
      </c>
      <c r="Q205" s="48">
        <f t="shared" si="2"/>
        <v>-0.07894736842</v>
      </c>
      <c r="R205" s="48"/>
      <c r="S205" s="48"/>
      <c r="T205" s="48"/>
      <c r="U205" s="48"/>
      <c r="V205" s="48"/>
      <c r="W205" s="50"/>
      <c r="Z205" s="11"/>
      <c r="AA205" s="11"/>
    </row>
    <row r="206">
      <c r="A206" s="9">
        <f t="shared" si="1"/>
        <v>203</v>
      </c>
      <c r="B206" s="47" t="s">
        <v>339</v>
      </c>
      <c r="C206" s="48">
        <f>IFERROR(DIVIDE(VLOOKUP($B206,Data!$B$3:$AB$1535,9,FALSE),VLOOKUP($B206,Data!$B$3:$AB$1535,4,FALSE)),"")</f>
        <v>0.1578852939</v>
      </c>
      <c r="D206" s="48">
        <f>IFERROR(DIVIDE(VLOOKUP($B206,Data!$B$3:$AB$1535,24,FALSE),VLOOKUP($B206,Data!$B$3:$AB$1535,4,FALSE)),"")</f>
        <v>-0.004081693679</v>
      </c>
      <c r="E206" s="48">
        <f>IFERROR(DIVIDE(VLOOKUP($B206,Data!$B$3:$EZ1530,29,FALSE),VLOOKUP($B206,Data!$B$3:$EZ1530,4,FALSE)),"")</f>
        <v>0.08244124155</v>
      </c>
      <c r="F206" s="48">
        <f>IFERROR(DIVIDE(VLOOKUP($B206,Data!$B$3:$EZ1530,34,FALSE),VLOOKUP($B206,Data!$B$3:$EZ1530,4,FALSE)),"")</f>
        <v>0.06485856109</v>
      </c>
      <c r="G206" s="48">
        <f>IFERROR(DIVIDE(VLOOKUP($B206,Data!$B$3:$EZ1530,39,FALSE),VLOOKUP($B206,Data!$B$3:$EZ1530,4,FALSE)),"")</f>
        <v>0.06784881287</v>
      </c>
      <c r="H206" s="48">
        <f>IFERROR(DIVIDE(VLOOKUP($B206,Data!$B$3:$EZ1530,44,FALSE),VLOOKUP($B206,Data!$B$3:$EZ1530,4,FALSE)),"")</f>
        <v>0.1400633933</v>
      </c>
      <c r="I206" s="48">
        <f>IFERROR(MINUS(DIVIDE(VLOOKUP($B206,Data!$B$3:$EZ1530,9,FALSE),VLOOKUP($B206,Data!$B$3:$EZ1530,10,FALSE)),1),"")</f>
        <v>-0.1822827939</v>
      </c>
      <c r="J206" s="48">
        <f>IFERROR(MINUS(DIVIDE(VLOOKUP($B206,Data!$B$3:$EZ1530,24,FALSE),VLOOKUP($B206,Data!$B$3:$EZ1530,25,FALSE)),1),"")</f>
        <v>-0.275862069</v>
      </c>
      <c r="K206" s="48">
        <f>IFERROR(MINUS(DIVIDE(VLOOKUP($B206,Data!$B$3:$EZ1530,29,FALSE),VLOOKUP($B206,Data!$B$3:$EZ1530,30,FALSE)),1),"")</f>
        <v>2.289976134</v>
      </c>
      <c r="L206" s="48">
        <f>IFERROR(MINUS(DIVIDE(VLOOKUP($B206,Data!$B$3:$EZ1530,34,FALSE),VLOOKUP($B206,Data!$B$3:$EZ1530,35,FALSE)),1),"")</f>
        <v>1.044297832</v>
      </c>
      <c r="M206" s="48">
        <f>IFERROR(MINUS(DIVIDE(VLOOKUP($B206,Data!$B$3:$EZ1530,39,FALSE),VLOOKUP($B206,Data!$B$3:$EZ1530,40,FALSE)),1),"")</f>
        <v>1.34038164</v>
      </c>
      <c r="N206" s="48">
        <f>IFERROR(MINUS(DIVIDE(VLOOKUP($B206,Data!$B$3:$EZ1530,44,FALSE),VLOOKUP($B206,Data!$B$3:$EZ1530,45,FALSE)),1),"")</f>
        <v>3.529980658</v>
      </c>
      <c r="O206" s="50">
        <f>IFERROR(VLOOKUP($B206,Data!$B$3:$D1530,2,FALSE),"")</f>
        <v>854100</v>
      </c>
      <c r="P206" s="50">
        <f>IFERROR(VLOOKUP($B206,Data!$B$3:$D1530,3,FALSE),"")</f>
        <v>829830</v>
      </c>
      <c r="Q206" s="48">
        <f t="shared" si="2"/>
        <v>0.0292469542</v>
      </c>
      <c r="R206" s="48"/>
      <c r="S206" s="48"/>
      <c r="T206" s="48"/>
      <c r="U206" s="48"/>
      <c r="V206" s="48"/>
      <c r="W206" s="50"/>
      <c r="Z206" s="11"/>
      <c r="AA206" s="11"/>
    </row>
    <row r="207">
      <c r="A207" s="9">
        <f t="shared" si="1"/>
        <v>204</v>
      </c>
      <c r="B207" s="47" t="s">
        <v>340</v>
      </c>
      <c r="C207" s="48">
        <f>IFERROR(DIVIDE(VLOOKUP($B207,Data!$B$3:$AB$1535,9,FALSE),VLOOKUP($B207,Data!$B$3:$AB$1535,4,FALSE)),"")</f>
        <v>0.4598740513</v>
      </c>
      <c r="D207" s="48">
        <f>IFERROR(DIVIDE(VLOOKUP($B207,Data!$B$3:$AB$1535,24,FALSE),VLOOKUP($B207,Data!$B$3:$AB$1535,4,FALSE)),"")</f>
        <v>0.345551429</v>
      </c>
      <c r="E207" s="48">
        <f>IFERROR(DIVIDE(VLOOKUP($B207,Data!$B$3:$EZ1530,29,FALSE),VLOOKUP($B207,Data!$B$3:$EZ1530,4,FALSE)),"")</f>
        <v>0.3308574197</v>
      </c>
      <c r="F207" s="48">
        <f>IFERROR(DIVIDE(VLOOKUP($B207,Data!$B$3:$EZ1530,34,FALSE),VLOOKUP($B207,Data!$B$3:$EZ1530,4,FALSE)),"")</f>
        <v>0.502825771</v>
      </c>
      <c r="G207" s="48">
        <f>IFERROR(DIVIDE(VLOOKUP($B207,Data!$B$3:$EZ1530,39,FALSE),VLOOKUP($B207,Data!$B$3:$EZ1530,4,FALSE)),"")</f>
        <v>0.1952204101</v>
      </c>
      <c r="H207" s="48">
        <f>IFERROR(DIVIDE(VLOOKUP($B207,Data!$B$3:$EZ1530,44,FALSE),VLOOKUP($B207,Data!$B$3:$EZ1530,4,FALSE)),"")</f>
        <v>0.4035201033</v>
      </c>
      <c r="I207" s="48">
        <f>IFERROR(MINUS(DIVIDE(VLOOKUP($B207,Data!$B$3:$EZ1530,9,FALSE),VLOOKUP($B207,Data!$B$3:$EZ1530,10,FALSE)),1),"")</f>
        <v>0.131056394</v>
      </c>
      <c r="J207" s="48">
        <f>IFERROR(MINUS(DIVIDE(VLOOKUP($B207,Data!$B$3:$EZ1530,24,FALSE),VLOOKUP($B207,Data!$B$3:$EZ1530,25,FALSE)),1),"")</f>
        <v>-18.25806452</v>
      </c>
      <c r="K207" s="48">
        <f>IFERROR(MINUS(DIVIDE(VLOOKUP($B207,Data!$B$3:$EZ1530,29,FALSE),VLOOKUP($B207,Data!$B$3:$EZ1530,30,FALSE)),1),"")</f>
        <v>0.1264431006</v>
      </c>
      <c r="L207" s="48">
        <f>IFERROR(MINUS(DIVIDE(VLOOKUP($B207,Data!$B$3:$EZ1530,34,FALSE),VLOOKUP($B207,Data!$B$3:$EZ1530,35,FALSE)),1),"")</f>
        <v>0.08767027593</v>
      </c>
      <c r="M207" s="48">
        <f>IFERROR(MINUS(DIVIDE(VLOOKUP($B207,Data!$B$3:$EZ1530,39,FALSE),VLOOKUP($B207,Data!$B$3:$EZ1530,40,FALSE)),1),"")</f>
        <v>0.4090909091</v>
      </c>
      <c r="N207" s="48">
        <f>IFERROR(MINUS(DIVIDE(VLOOKUP($B207,Data!$B$3:$EZ1530,44,FALSE),VLOOKUP($B207,Data!$B$3:$EZ1530,45,FALSE)),1),"")</f>
        <v>0.0486781368</v>
      </c>
      <c r="O207" s="50" t="str">
        <f>IFERROR(VLOOKUP($B207,Data!$B$3:$D1530,2,FALSE),"")</f>
        <v/>
      </c>
      <c r="P207" s="50" t="str">
        <f>IFERROR(VLOOKUP($B207,Data!$B$3:$D1530,3,FALSE),"")</f>
        <v/>
      </c>
      <c r="Q207" s="48" t="str">
        <f t="shared" si="2"/>
        <v/>
      </c>
      <c r="R207" s="48"/>
      <c r="S207" s="48"/>
      <c r="T207" s="48"/>
      <c r="U207" s="48"/>
      <c r="V207" s="48"/>
      <c r="W207" s="50"/>
      <c r="Z207" s="15"/>
      <c r="AA207" s="15"/>
    </row>
    <row r="208">
      <c r="A208" s="9">
        <f t="shared" si="1"/>
        <v>205</v>
      </c>
      <c r="B208" s="47" t="s">
        <v>341</v>
      </c>
      <c r="C208" s="48">
        <f>IFERROR(DIVIDE(VLOOKUP($B208,Data!$B$3:$AB$1535,9,FALSE),VLOOKUP($B208,Data!$B$3:$AB$1535,4,FALSE)),"")</f>
        <v>0.3721804511</v>
      </c>
      <c r="D208" s="48">
        <f>IFERROR(DIVIDE(VLOOKUP($B208,Data!$B$3:$AB$1535,24,FALSE),VLOOKUP($B208,Data!$B$3:$AB$1535,4,FALSE)),"")</f>
        <v>0.02956578947</v>
      </c>
      <c r="E208" s="48">
        <f>IFERROR(DIVIDE(VLOOKUP($B208,Data!$B$3:$EZ1530,29,FALSE),VLOOKUP($B208,Data!$B$3:$EZ1530,4,FALSE)),"")</f>
        <v>0.05968984962</v>
      </c>
      <c r="F208" s="48">
        <f>IFERROR(DIVIDE(VLOOKUP($B208,Data!$B$3:$EZ1530,34,FALSE),VLOOKUP($B208,Data!$B$3:$EZ1530,4,FALSE)),"")</f>
        <v>0.09932706767</v>
      </c>
      <c r="G208" s="48">
        <f>IFERROR(DIVIDE(VLOOKUP($B208,Data!$B$3:$EZ1530,39,FALSE),VLOOKUP($B208,Data!$B$3:$EZ1530,4,FALSE)),"")</f>
        <v>0.04557518797</v>
      </c>
      <c r="H208" s="48">
        <f>IFERROR(DIVIDE(VLOOKUP($B208,Data!$B$3:$EZ1530,44,FALSE),VLOOKUP($B208,Data!$B$3:$EZ1530,4,FALSE)),"")</f>
        <v>0.1043101504</v>
      </c>
      <c r="I208" s="48">
        <f>IFERROR(MINUS(DIVIDE(VLOOKUP($B208,Data!$B$3:$EZ1530,9,FALSE),VLOOKUP($B208,Data!$B$3:$EZ1530,10,FALSE)),1),"")</f>
        <v>-0.01</v>
      </c>
      <c r="J208" s="48">
        <f>IFERROR(MINUS(DIVIDE(VLOOKUP($B208,Data!$B$3:$EZ1530,24,FALSE),VLOOKUP($B208,Data!$B$3:$EZ1530,25,FALSE)),1),"")</f>
        <v>-0.2765947661</v>
      </c>
      <c r="K208" s="48">
        <f>IFERROR(MINUS(DIVIDE(VLOOKUP($B208,Data!$B$3:$EZ1530,29,FALSE),VLOOKUP($B208,Data!$B$3:$EZ1530,30,FALSE)),1),"")</f>
        <v>0.5295505997</v>
      </c>
      <c r="L208" s="48">
        <f>IFERROR(MINUS(DIVIDE(VLOOKUP($B208,Data!$B$3:$EZ1530,34,FALSE),VLOOKUP($B208,Data!$B$3:$EZ1530,35,FALSE)),1),"")</f>
        <v>0.5222977645</v>
      </c>
      <c r="M208" s="48">
        <f>IFERROR(MINUS(DIVIDE(VLOOKUP($B208,Data!$B$3:$EZ1530,39,FALSE),VLOOKUP($B208,Data!$B$3:$EZ1530,40,FALSE)),1),"")</f>
        <v>0.5454139843</v>
      </c>
      <c r="N208" s="48">
        <f>IFERROR(MINUS(DIVIDE(VLOOKUP($B208,Data!$B$3:$EZ1530,44,FALSE),VLOOKUP($B208,Data!$B$3:$EZ1530,45,FALSE)),1),"")</f>
        <v>1.370887807</v>
      </c>
      <c r="O208" s="50">
        <f>IFERROR(VLOOKUP($B208,Data!$B$3:$D1530,2,FALSE),"")</f>
        <v>5630000</v>
      </c>
      <c r="P208" s="50">
        <f>IFERROR(VLOOKUP($B208,Data!$B$3:$D1530,3,FALSE),"")</f>
        <v>5940000</v>
      </c>
      <c r="Q208" s="48">
        <f t="shared" si="2"/>
        <v>-0.05218855219</v>
      </c>
      <c r="R208" s="48"/>
      <c r="S208" s="48"/>
      <c r="T208" s="48"/>
      <c r="U208" s="48"/>
      <c r="V208" s="48"/>
      <c r="W208" s="50"/>
      <c r="Z208" s="15"/>
      <c r="AA208" s="15"/>
    </row>
    <row r="209">
      <c r="A209" s="9">
        <f t="shared" si="1"/>
        <v>206</v>
      </c>
      <c r="B209" s="47" t="s">
        <v>342</v>
      </c>
      <c r="C209" s="48">
        <f>IFERROR(DIVIDE(VLOOKUP($B209,Data!$B$3:$AB$1535,9,FALSE),VLOOKUP($B209,Data!$B$3:$AB$1535,4,FALSE)),"")</f>
        <v>0.8095987411</v>
      </c>
      <c r="D209" s="48">
        <f>IFERROR(DIVIDE(VLOOKUP($B209,Data!$B$3:$AB$1535,24,FALSE),VLOOKUP($B209,Data!$B$3:$AB$1535,4,FALSE)),"")</f>
        <v>0.4476789929</v>
      </c>
      <c r="E209" s="48">
        <f>IFERROR(DIVIDE(VLOOKUP($B209,Data!$B$3:$EZ1530,29,FALSE),VLOOKUP($B209,Data!$B$3:$EZ1530,4,FALSE)),"")</f>
        <v>0.5609756098</v>
      </c>
      <c r="F209" s="48">
        <f>IFERROR(DIVIDE(VLOOKUP($B209,Data!$B$3:$EZ1530,34,FALSE),VLOOKUP($B209,Data!$B$3:$EZ1530,4,FALSE)),"")</f>
        <v>0.4948859166</v>
      </c>
      <c r="G209" s="48">
        <f>IFERROR(DIVIDE(VLOOKUP($B209,Data!$B$3:$EZ1530,39,FALSE),VLOOKUP($B209,Data!$B$3:$EZ1530,4,FALSE)),"")</f>
        <v>0.4634146341</v>
      </c>
      <c r="H209" s="48">
        <f>IFERROR(DIVIDE(VLOOKUP($B209,Data!$B$3:$EZ1530,44,FALSE),VLOOKUP($B209,Data!$B$3:$EZ1530,4,FALSE)),"")</f>
        <v>0.5570416994</v>
      </c>
      <c r="I209" s="48">
        <f>IFERROR(MINUS(DIVIDE(VLOOKUP($B209,Data!$B$3:$EZ1530,9,FALSE),VLOOKUP($B209,Data!$B$3:$EZ1530,10,FALSE)),1),"")</f>
        <v>0.04361054767</v>
      </c>
      <c r="J209" s="48">
        <f>IFERROR(MINUS(DIVIDE(VLOOKUP($B209,Data!$B$3:$EZ1530,24,FALSE),VLOOKUP($B209,Data!$B$3:$EZ1530,25,FALSE)),1),"")</f>
        <v>0.2132196162</v>
      </c>
      <c r="K209" s="48">
        <f>IFERROR(MINUS(DIVIDE(VLOOKUP($B209,Data!$B$3:$EZ1530,29,FALSE),VLOOKUP($B209,Data!$B$3:$EZ1530,30,FALSE)),1),"")</f>
        <v>0.2084745763</v>
      </c>
      <c r="L209" s="48">
        <f>IFERROR(MINUS(DIVIDE(VLOOKUP($B209,Data!$B$3:$EZ1530,34,FALSE),VLOOKUP($B209,Data!$B$3:$EZ1530,35,FALSE)),1),"")</f>
        <v>0.082616179</v>
      </c>
      <c r="M209" s="48">
        <f>IFERROR(MINUS(DIVIDE(VLOOKUP($B209,Data!$B$3:$EZ1530,39,FALSE),VLOOKUP($B209,Data!$B$3:$EZ1530,40,FALSE)),1),"")</f>
        <v>0.3295711061</v>
      </c>
      <c r="N209" s="48">
        <f>IFERROR(MINUS(DIVIDE(VLOOKUP($B209,Data!$B$3:$EZ1530,44,FALSE),VLOOKUP($B209,Data!$B$3:$EZ1530,45,FALSE)),1),"")</f>
        <v>0.1437802908</v>
      </c>
      <c r="O209" s="50">
        <f>IFERROR(VLOOKUP($B209,Data!$B$3:$D1530,2,FALSE),"")</f>
        <v>12930000</v>
      </c>
      <c r="P209" s="50">
        <f>IFERROR(VLOOKUP($B209,Data!$B$3:$D1530,3,FALSE),"")</f>
        <v>13960000</v>
      </c>
      <c r="Q209" s="48">
        <f t="shared" si="2"/>
        <v>-0.07378223496</v>
      </c>
      <c r="R209" s="48"/>
      <c r="S209" s="48"/>
      <c r="T209" s="48"/>
      <c r="U209" s="48"/>
      <c r="V209" s="48"/>
      <c r="W209" s="50"/>
      <c r="Z209" s="12"/>
      <c r="AA209" s="12"/>
    </row>
    <row r="210">
      <c r="A210" s="9">
        <f t="shared" si="1"/>
        <v>207</v>
      </c>
      <c r="B210" s="47" t="s">
        <v>343</v>
      </c>
      <c r="C210" s="48">
        <f>IFERROR(DIVIDE(VLOOKUP($B210,Data!$B$3:$AB$1535,9,FALSE),VLOOKUP($B210,Data!$B$3:$AB$1535,4,FALSE)),"")</f>
        <v>0.098</v>
      </c>
      <c r="D210" s="48">
        <f>IFERROR(DIVIDE(VLOOKUP($B210,Data!$B$3:$AB$1535,24,FALSE),VLOOKUP($B210,Data!$B$3:$AB$1535,4,FALSE)),"")</f>
        <v>0</v>
      </c>
      <c r="E210" s="48">
        <f>IFERROR(DIVIDE(VLOOKUP($B210,Data!$B$3:$EZ1530,29,FALSE),VLOOKUP($B210,Data!$B$3:$EZ1530,4,FALSE)),"")</f>
        <v>0.03990517241</v>
      </c>
      <c r="F210" s="48">
        <f>IFERROR(DIVIDE(VLOOKUP($B210,Data!$B$3:$EZ1530,34,FALSE),VLOOKUP($B210,Data!$B$3:$EZ1530,4,FALSE)),"")</f>
        <v>0.1061637931</v>
      </c>
      <c r="G210" s="48">
        <f>IFERROR(DIVIDE(VLOOKUP($B210,Data!$B$3:$EZ1530,39,FALSE),VLOOKUP($B210,Data!$B$3:$EZ1530,4,FALSE)),"")</f>
        <v>0.039</v>
      </c>
      <c r="H210" s="48">
        <f>IFERROR(DIVIDE(VLOOKUP($B210,Data!$B$3:$EZ1530,44,FALSE),VLOOKUP($B210,Data!$B$3:$EZ1530,4,FALSE)),"")</f>
        <v>0.1</v>
      </c>
      <c r="I210" s="48">
        <f>IFERROR(MINUS(DIVIDE(VLOOKUP($B210,Data!$B$3:$EZ1530,9,FALSE),VLOOKUP($B210,Data!$B$3:$EZ1530,10,FALSE)),1),"")</f>
        <v>-0.08595320415</v>
      </c>
      <c r="J210" s="48" t="str">
        <f>IFERROR(MINUS(DIVIDE(VLOOKUP($B210,Data!$B$3:$EZ1530,24,FALSE),VLOOKUP($B210,Data!$B$3:$EZ1530,25,FALSE)),1),"")</f>
        <v/>
      </c>
      <c r="K210" s="48">
        <f>IFERROR(MINUS(DIVIDE(VLOOKUP($B210,Data!$B$3:$EZ1530,29,FALSE),VLOOKUP($B210,Data!$B$3:$EZ1530,30,FALSE)),1),"")</f>
        <v>-0.1098076923</v>
      </c>
      <c r="L210" s="48">
        <f>IFERROR(MINUS(DIVIDE(VLOOKUP($B210,Data!$B$3:$EZ1530,34,FALSE),VLOOKUP($B210,Data!$B$3:$EZ1530,35,FALSE)),1),"")</f>
        <v>-0.08343256922</v>
      </c>
      <c r="M210" s="48">
        <f>IFERROR(MINUS(DIVIDE(VLOOKUP($B210,Data!$B$3:$EZ1530,39,FALSE),VLOOKUP($B210,Data!$B$3:$EZ1530,40,FALSE)),1),"")</f>
        <v>-0.1096240897</v>
      </c>
      <c r="N210" s="48">
        <f>IFERROR(MINUS(DIVIDE(VLOOKUP($B210,Data!$B$3:$EZ1530,44,FALSE),VLOOKUP($B210,Data!$B$3:$EZ1530,45,FALSE)),1),"")</f>
        <v>-0.1272946133</v>
      </c>
      <c r="O210" s="50">
        <f>IFERROR(VLOOKUP($B210,Data!$B$3:$D1530,2,FALSE),"")</f>
        <v>1080000</v>
      </c>
      <c r="P210" s="50">
        <f>IFERROR(VLOOKUP($B210,Data!$B$3:$D1530,3,FALSE),"")</f>
        <v>807330</v>
      </c>
      <c r="Q210" s="48">
        <f t="shared" si="2"/>
        <v>0.3377429304</v>
      </c>
      <c r="R210" s="48"/>
      <c r="S210" s="48"/>
      <c r="T210" s="48"/>
      <c r="U210" s="48"/>
      <c r="V210" s="48"/>
      <c r="W210" s="50"/>
      <c r="Z210" s="11"/>
      <c r="AA210" s="11"/>
    </row>
    <row r="211">
      <c r="A211" s="9">
        <f t="shared" si="1"/>
        <v>208</v>
      </c>
      <c r="B211" s="47" t="s">
        <v>344</v>
      </c>
      <c r="C211" s="48">
        <f>IFERROR(DIVIDE(VLOOKUP($B211,Data!$B$3:$AB$1535,9,FALSE),VLOOKUP($B211,Data!$B$3:$AB$1535,4,FALSE)),"")</f>
        <v>0.4192946404</v>
      </c>
      <c r="D211" s="48">
        <f>IFERROR(DIVIDE(VLOOKUP($B211,Data!$B$3:$AB$1535,24,FALSE),VLOOKUP($B211,Data!$B$3:$AB$1535,4,FALSE)),"")</f>
        <v>0</v>
      </c>
      <c r="E211" s="48">
        <f>IFERROR(DIVIDE(VLOOKUP($B211,Data!$B$3:$EZ1530,29,FALSE),VLOOKUP($B211,Data!$B$3:$EZ1530,4,FALSE)),"")</f>
        <v>0.1529686198</v>
      </c>
      <c r="F211" s="48">
        <f>IFERROR(DIVIDE(VLOOKUP($B211,Data!$B$3:$EZ1530,34,FALSE),VLOOKUP($B211,Data!$B$3:$EZ1530,4,FALSE)),"")</f>
        <v>0.1724965287</v>
      </c>
      <c r="G211" s="48">
        <f>IFERROR(DIVIDE(VLOOKUP($B211,Data!$B$3:$EZ1530,39,FALSE),VLOOKUP($B211,Data!$B$3:$EZ1530,4,FALSE)),"")</f>
        <v>0.1160011108</v>
      </c>
      <c r="H211" s="48">
        <f>IFERROR(DIVIDE(VLOOKUP($B211,Data!$B$3:$EZ1530,44,FALSE),VLOOKUP($B211,Data!$B$3:$EZ1530,4,FALSE)),"")</f>
        <v>0.1451485698</v>
      </c>
      <c r="I211" s="48">
        <f>IFERROR(MINUS(DIVIDE(VLOOKUP($B211,Data!$B$3:$EZ1530,9,FALSE),VLOOKUP($B211,Data!$B$3:$EZ1530,10,FALSE)),1),"")</f>
        <v>0.03114158494</v>
      </c>
      <c r="J211" s="48" t="str">
        <f>IFERROR(MINUS(DIVIDE(VLOOKUP($B211,Data!$B$3:$EZ1530,24,FALSE),VLOOKUP($B211,Data!$B$3:$EZ1530,25,FALSE)),1),"")</f>
        <v/>
      </c>
      <c r="K211" s="48">
        <f>IFERROR(MINUS(DIVIDE(VLOOKUP($B211,Data!$B$3:$EZ1530,29,FALSE),VLOOKUP($B211,Data!$B$3:$EZ1530,30,FALSE)),1),"")</f>
        <v>0.08741313961</v>
      </c>
      <c r="L211" s="48">
        <f>IFERROR(MINUS(DIVIDE(VLOOKUP($B211,Data!$B$3:$EZ1530,34,FALSE),VLOOKUP($B211,Data!$B$3:$EZ1530,35,FALSE)),1),"")</f>
        <v>0.05081878468</v>
      </c>
      <c r="M211" s="48">
        <f>IFERROR(MINUS(DIVIDE(VLOOKUP($B211,Data!$B$3:$EZ1530,39,FALSE),VLOOKUP($B211,Data!$B$3:$EZ1530,40,FALSE)),1),"")</f>
        <v>0.09224976467</v>
      </c>
      <c r="N211" s="48">
        <f>IFERROR(MINUS(DIVIDE(VLOOKUP($B211,Data!$B$3:$EZ1530,44,FALSE),VLOOKUP($B211,Data!$B$3:$EZ1530,45,FALSE)),1),"")</f>
        <v>0.2017842362</v>
      </c>
      <c r="O211" s="50">
        <f>IFERROR(VLOOKUP($B211,Data!$B$3:$D1530,2,FALSE),"")</f>
        <v>900400</v>
      </c>
      <c r="P211" s="50">
        <f>IFERROR(VLOOKUP($B211,Data!$B$3:$D1530,3,FALSE),"")</f>
        <v>759520</v>
      </c>
      <c r="Q211" s="48">
        <f t="shared" si="2"/>
        <v>0.1854855698</v>
      </c>
      <c r="R211" s="48"/>
      <c r="S211" s="48"/>
      <c r="T211" s="48"/>
      <c r="U211" s="48"/>
      <c r="V211" s="48"/>
      <c r="W211" s="50"/>
      <c r="Z211" s="11"/>
      <c r="AA211" s="11"/>
    </row>
    <row r="212">
      <c r="A212" s="9">
        <f t="shared" si="1"/>
        <v>209</v>
      </c>
      <c r="B212" s="47" t="s">
        <v>345</v>
      </c>
      <c r="C212" s="48">
        <f>IFERROR(DIVIDE(VLOOKUP($B212,Data!$B$3:$AB$1535,9,FALSE),VLOOKUP($B212,Data!$B$3:$AB$1535,4,FALSE)),"")</f>
        <v>0.4965986395</v>
      </c>
      <c r="D212" s="48">
        <f>IFERROR(DIVIDE(VLOOKUP($B212,Data!$B$3:$AB$1535,24,FALSE),VLOOKUP($B212,Data!$B$3:$AB$1535,4,FALSE)),"")</f>
        <v>0.1700680272</v>
      </c>
      <c r="E212" s="48">
        <f>IFERROR(DIVIDE(VLOOKUP($B212,Data!$B$3:$EZ1530,29,FALSE),VLOOKUP($B212,Data!$B$3:$EZ1530,4,FALSE)),"")</f>
        <v>0.1414965986</v>
      </c>
      <c r="F212" s="48">
        <f>IFERROR(DIVIDE(VLOOKUP($B212,Data!$B$3:$EZ1530,34,FALSE),VLOOKUP($B212,Data!$B$3:$EZ1530,4,FALSE)),"")</f>
        <v>0.3333333333</v>
      </c>
      <c r="G212" s="48">
        <f>IFERROR(DIVIDE(VLOOKUP($B212,Data!$B$3:$EZ1530,39,FALSE),VLOOKUP($B212,Data!$B$3:$EZ1530,4,FALSE)),"")</f>
        <v>0.1442176871</v>
      </c>
      <c r="H212" s="48">
        <f>IFERROR(DIVIDE(VLOOKUP($B212,Data!$B$3:$EZ1530,44,FALSE),VLOOKUP($B212,Data!$B$3:$EZ1530,4,FALSE)),"")</f>
        <v>0.2653061224</v>
      </c>
      <c r="I212" s="48">
        <f>IFERROR(MINUS(DIVIDE(VLOOKUP($B212,Data!$B$3:$EZ1530,9,FALSE),VLOOKUP($B212,Data!$B$3:$EZ1530,10,FALSE)),1),"")</f>
        <v>0.2248322148</v>
      </c>
      <c r="J212" s="48">
        <f>IFERROR(MINUS(DIVIDE(VLOOKUP($B212,Data!$B$3:$EZ1530,24,FALSE),VLOOKUP($B212,Data!$B$3:$EZ1530,25,FALSE)),1),"")</f>
        <v>0.3661202186</v>
      </c>
      <c r="K212" s="48">
        <f>IFERROR(MINUS(DIVIDE(VLOOKUP($B212,Data!$B$3:$EZ1530,29,FALSE),VLOOKUP($B212,Data!$B$3:$EZ1530,30,FALSE)),1),"")</f>
        <v>0.3922356091</v>
      </c>
      <c r="L212" s="48">
        <f>IFERROR(MINUS(DIVIDE(VLOOKUP($B212,Data!$B$3:$EZ1530,34,FALSE),VLOOKUP($B212,Data!$B$3:$EZ1530,35,FALSE)),1),"")</f>
        <v>0.25</v>
      </c>
      <c r="M212" s="48">
        <f>IFERROR(MINUS(DIVIDE(VLOOKUP($B212,Data!$B$3:$EZ1530,39,FALSE),VLOOKUP($B212,Data!$B$3:$EZ1530,40,FALSE)),1),"")</f>
        <v>0.4002642008</v>
      </c>
      <c r="N212" s="48">
        <f>IFERROR(MINUS(DIVIDE(VLOOKUP($B212,Data!$B$3:$EZ1530,44,FALSE),VLOOKUP($B212,Data!$B$3:$EZ1530,45,FALSE)),1),"")</f>
        <v>5.610169492</v>
      </c>
      <c r="O212" s="50" t="str">
        <f>IFERROR(VLOOKUP($B212,Data!$B$3:$D1530,2,FALSE),"")</f>
        <v/>
      </c>
      <c r="P212" s="50" t="str">
        <f>IFERROR(VLOOKUP($B212,Data!$B$3:$D1530,3,FALSE),"")</f>
        <v/>
      </c>
      <c r="Q212" s="48" t="str">
        <f t="shared" si="2"/>
        <v/>
      </c>
      <c r="R212" s="48"/>
      <c r="S212" s="48"/>
      <c r="T212" s="48"/>
      <c r="U212" s="48"/>
      <c r="V212" s="48"/>
      <c r="W212" s="50"/>
      <c r="Z212" s="15"/>
      <c r="AA212" s="15"/>
    </row>
    <row r="213">
      <c r="A213" s="9">
        <f t="shared" si="1"/>
        <v>210</v>
      </c>
      <c r="B213" s="47" t="s">
        <v>346</v>
      </c>
      <c r="C213" s="48">
        <f>IFERROR(DIVIDE(VLOOKUP($B213,Data!$B$3:$AB$1535,9,FALSE),VLOOKUP($B213,Data!$B$3:$AB$1535,4,FALSE)),"")</f>
        <v>0.2600267176</v>
      </c>
      <c r="D213" s="48">
        <f>IFERROR(DIVIDE(VLOOKUP($B213,Data!$B$3:$AB$1535,24,FALSE),VLOOKUP($B213,Data!$B$3:$AB$1535,4,FALSE)),"")</f>
        <v>0.1105038168</v>
      </c>
      <c r="E213" s="48">
        <f>IFERROR(DIVIDE(VLOOKUP($B213,Data!$B$3:$EZ1530,29,FALSE),VLOOKUP($B213,Data!$B$3:$EZ1530,4,FALSE)),"")</f>
        <v>0.09686259542</v>
      </c>
      <c r="F213" s="48">
        <f>IFERROR(DIVIDE(VLOOKUP($B213,Data!$B$3:$EZ1530,34,FALSE),VLOOKUP($B213,Data!$B$3:$EZ1530,4,FALSE)),"")</f>
        <v>0.1306526718</v>
      </c>
      <c r="G213" s="48">
        <f>IFERROR(DIVIDE(VLOOKUP($B213,Data!$B$3:$EZ1530,39,FALSE),VLOOKUP($B213,Data!$B$3:$EZ1530,4,FALSE)),"")</f>
        <v>0.07290076336</v>
      </c>
      <c r="H213" s="48">
        <f>IFERROR(DIVIDE(VLOOKUP($B213,Data!$B$3:$EZ1530,44,FALSE),VLOOKUP($B213,Data!$B$3:$EZ1530,4,FALSE)),"")</f>
        <v>0.1037328244</v>
      </c>
      <c r="I213" s="48">
        <f>IFERROR(MINUS(DIVIDE(VLOOKUP($B213,Data!$B$3:$EZ1530,9,FALSE),VLOOKUP($B213,Data!$B$3:$EZ1530,10,FALSE)),1),"")</f>
        <v>0.1824524863</v>
      </c>
      <c r="J213" s="48">
        <f>IFERROR(MINUS(DIVIDE(VLOOKUP($B213,Data!$B$3:$EZ1530,24,FALSE),VLOOKUP($B213,Data!$B$3:$EZ1530,25,FALSE)),1),"")</f>
        <v>0.3855946399</v>
      </c>
      <c r="K213" s="48">
        <f>IFERROR(MINUS(DIVIDE(VLOOKUP($B213,Data!$B$3:$EZ1530,29,FALSE),VLOOKUP($B213,Data!$B$3:$EZ1530,30,FALSE)),1),"")</f>
        <v>0.4034951886</v>
      </c>
      <c r="L213" s="48">
        <f>IFERROR(MINUS(DIVIDE(VLOOKUP($B213,Data!$B$3:$EZ1530,34,FALSE),VLOOKUP($B213,Data!$B$3:$EZ1530,35,FALSE)),1),"")</f>
        <v>0.2709215118</v>
      </c>
      <c r="M213" s="48">
        <f>IFERROR(MINUS(DIVIDE(VLOOKUP($B213,Data!$B$3:$EZ1530,39,FALSE),VLOOKUP($B213,Data!$B$3:$EZ1530,40,FALSE)),1),"")</f>
        <v>0.4174397032</v>
      </c>
      <c r="N213" s="48">
        <f>IFERROR(MINUS(DIVIDE(VLOOKUP($B213,Data!$B$3:$EZ1530,44,FALSE),VLOOKUP($B213,Data!$B$3:$EZ1530,45,FALSE)),1),"")</f>
        <v>0.6257701741</v>
      </c>
      <c r="O213" s="50">
        <f>IFERROR(VLOOKUP($B213,Data!$B$3:$D1530,2,FALSE),"")</f>
        <v>2660000</v>
      </c>
      <c r="P213" s="50">
        <f>IFERROR(VLOOKUP($B213,Data!$B$3:$D1530,3,FALSE),"")</f>
        <v>2490000</v>
      </c>
      <c r="Q213" s="48">
        <f t="shared" si="2"/>
        <v>0.06827309237</v>
      </c>
      <c r="R213" s="48"/>
      <c r="S213" s="48"/>
      <c r="T213" s="48"/>
      <c r="U213" s="48"/>
      <c r="V213" s="48"/>
      <c r="W213" s="50"/>
      <c r="Z213" s="11"/>
      <c r="AA213" s="11"/>
    </row>
    <row r="214">
      <c r="A214" s="9">
        <f t="shared" si="1"/>
        <v>211</v>
      </c>
      <c r="B214" s="47" t="s">
        <v>347</v>
      </c>
      <c r="C214" s="48">
        <f>IFERROR(DIVIDE(VLOOKUP($B214,Data!$B$3:$AB$1535,9,FALSE),VLOOKUP($B214,Data!$B$3:$AB$1535,4,FALSE)),"")</f>
        <v>0.2623626374</v>
      </c>
      <c r="D214" s="48">
        <f>IFERROR(DIVIDE(VLOOKUP($B214,Data!$B$3:$AB$1535,24,FALSE),VLOOKUP($B214,Data!$B$3:$AB$1535,4,FALSE)),"")</f>
        <v>0.05276373626</v>
      </c>
      <c r="E214" s="48">
        <f>IFERROR(DIVIDE(VLOOKUP($B214,Data!$B$3:$EZ1530,29,FALSE),VLOOKUP($B214,Data!$B$3:$EZ1530,4,FALSE)),"")</f>
        <v>0.03884065934</v>
      </c>
      <c r="F214" s="48">
        <f>IFERROR(DIVIDE(VLOOKUP($B214,Data!$B$3:$EZ1530,34,FALSE),VLOOKUP($B214,Data!$B$3:$EZ1530,4,FALSE)),"")</f>
        <v>0.06762912088</v>
      </c>
      <c r="G214" s="48">
        <f>IFERROR(DIVIDE(VLOOKUP($B214,Data!$B$3:$EZ1530,39,FALSE),VLOOKUP($B214,Data!$B$3:$EZ1530,4,FALSE)),"")</f>
        <v>0.03046840659</v>
      </c>
      <c r="H214" s="48">
        <f>IFERROR(DIVIDE(VLOOKUP($B214,Data!$B$3:$EZ1530,44,FALSE),VLOOKUP($B214,Data!$B$3:$EZ1530,4,FALSE)),"")</f>
        <v>0.06923763736</v>
      </c>
      <c r="I214" s="48">
        <f>IFERROR(MINUS(DIVIDE(VLOOKUP($B214,Data!$B$3:$EZ1530,9,FALSE),VLOOKUP($B214,Data!$B$3:$EZ1530,10,FALSE)),1),"")</f>
        <v>0.03804347826</v>
      </c>
      <c r="J214" s="48">
        <f>IFERROR(MINUS(DIVIDE(VLOOKUP($B214,Data!$B$3:$EZ1530,24,FALSE),VLOOKUP($B214,Data!$B$3:$EZ1530,25,FALSE)),1),"")</f>
        <v>0.03210898245</v>
      </c>
      <c r="K214" s="48">
        <f>IFERROR(MINUS(DIVIDE(VLOOKUP($B214,Data!$B$3:$EZ1530,29,FALSE),VLOOKUP($B214,Data!$B$3:$EZ1530,30,FALSE)),1),"")</f>
        <v>0.08436876822</v>
      </c>
      <c r="L214" s="48">
        <f>IFERROR(MINUS(DIVIDE(VLOOKUP($B214,Data!$B$3:$EZ1530,34,FALSE),VLOOKUP($B214,Data!$B$3:$EZ1530,35,FALSE)),1),"")</f>
        <v>0.05455480112</v>
      </c>
      <c r="M214" s="48">
        <f>IFERROR(MINUS(DIVIDE(VLOOKUP($B214,Data!$B$3:$EZ1530,39,FALSE),VLOOKUP($B214,Data!$B$3:$EZ1530,40,FALSE)),1),"")</f>
        <v>0.08099809932</v>
      </c>
      <c r="N214" s="48">
        <f>IFERROR(MINUS(DIVIDE(VLOOKUP($B214,Data!$B$3:$EZ1530,44,FALSE),VLOOKUP($B214,Data!$B$3:$EZ1530,45,FALSE)),1),"")</f>
        <v>0.7821659654</v>
      </c>
      <c r="O214" s="50">
        <f>IFERROR(VLOOKUP($B214,Data!$B$3:$D1530,2,FALSE),"")</f>
        <v>7630000</v>
      </c>
      <c r="P214" s="50">
        <f>IFERROR(VLOOKUP($B214,Data!$B$3:$D1530,3,FALSE),"")</f>
        <v>7140000</v>
      </c>
      <c r="Q214" s="48">
        <f t="shared" si="2"/>
        <v>0.06862745098</v>
      </c>
      <c r="R214" s="48"/>
      <c r="S214" s="48"/>
      <c r="T214" s="48"/>
      <c r="U214" s="48"/>
      <c r="V214" s="48"/>
      <c r="W214" s="50"/>
      <c r="Z214" s="12"/>
      <c r="AA214" s="12"/>
    </row>
    <row r="215">
      <c r="A215" s="9">
        <f t="shared" si="1"/>
        <v>212</v>
      </c>
      <c r="B215" s="47" t="s">
        <v>348</v>
      </c>
      <c r="C215" s="48">
        <f>IFERROR(DIVIDE(VLOOKUP($B215,Data!$B$3:$AB$1535,9,FALSE),VLOOKUP($B215,Data!$B$3:$AB$1535,4,FALSE)),"")</f>
        <v>0.6404822799</v>
      </c>
      <c r="D215" s="48">
        <f>IFERROR(DIVIDE(VLOOKUP($B215,Data!$B$3:$AB$1535,24,FALSE),VLOOKUP($B215,Data!$B$3:$AB$1535,4,FALSE)),"")</f>
        <v>-0.1077822433</v>
      </c>
      <c r="E215" s="48">
        <f>IFERROR(DIVIDE(VLOOKUP($B215,Data!$B$3:$EZ1530,29,FALSE),VLOOKUP($B215,Data!$B$3:$EZ1530,4,FALSE)),"")</f>
        <v>-0.1169163318</v>
      </c>
      <c r="F215" s="48">
        <f>IFERROR(DIVIDE(VLOOKUP($B215,Data!$B$3:$EZ1530,34,FALSE),VLOOKUP($B215,Data!$B$3:$EZ1530,4,FALSE)),"")</f>
        <v>0.1125319693</v>
      </c>
      <c r="G215" s="48">
        <f>IFERROR(DIVIDE(VLOOKUP($B215,Data!$B$3:$EZ1530,39,FALSE),VLOOKUP($B215,Data!$B$3:$EZ1530,4,FALSE)),"")</f>
        <v>-0.0606503471</v>
      </c>
      <c r="H215" s="48">
        <f>IFERROR(DIVIDE(VLOOKUP($B215,Data!$B$3:$EZ1530,44,FALSE),VLOOKUP($B215,Data!$B$3:$EZ1530,4,FALSE)),"")</f>
        <v>0.04420898794</v>
      </c>
      <c r="I215" s="48">
        <f>IFERROR(MINUS(DIVIDE(VLOOKUP($B215,Data!$B$3:$EZ1530,9,FALSE),VLOOKUP($B215,Data!$B$3:$EZ1530,10,FALSE)),1),"")</f>
        <v>0.29563932</v>
      </c>
      <c r="J215" s="48">
        <f>IFERROR(MINUS(DIVIDE(VLOOKUP($B215,Data!$B$3:$EZ1530,24,FALSE),VLOOKUP($B215,Data!$B$3:$EZ1530,25,FALSE)),1),"")</f>
        <v>-0.895649098</v>
      </c>
      <c r="K215" s="48">
        <f>IFERROR(MINUS(DIVIDE(VLOOKUP($B215,Data!$B$3:$EZ1530,29,FALSE),VLOOKUP($B215,Data!$B$3:$EZ1530,30,FALSE)),1),"")</f>
        <v>-0.8720511795</v>
      </c>
      <c r="L215" s="48">
        <f>IFERROR(MINUS(DIVIDE(VLOOKUP($B215,Data!$B$3:$EZ1530,34,FALSE),VLOOKUP($B215,Data!$B$3:$EZ1530,35,FALSE)),1),"")</f>
        <v>-0.23</v>
      </c>
      <c r="M215" s="48">
        <f>IFERROR(MINUS(DIVIDE(VLOOKUP($B215,Data!$B$3:$EZ1530,39,FALSE),VLOOKUP($B215,Data!$B$3:$EZ1530,40,FALSE)),1),"")</f>
        <v>-0.9336265494</v>
      </c>
      <c r="N215" s="48">
        <f>IFERROR(MINUS(DIVIDE(VLOOKUP($B215,Data!$B$3:$EZ1530,44,FALSE),VLOOKUP($B215,Data!$B$3:$EZ1530,45,FALSE)),1),"")</f>
        <v>-0.485106383</v>
      </c>
      <c r="O215" s="50">
        <f>IFERROR(VLOOKUP($B215,Data!$B$3:$D1530,2,FALSE),"")</f>
        <v>65760</v>
      </c>
      <c r="P215" s="50">
        <f>IFERROR(VLOOKUP($B215,Data!$B$3:$D1530,3,FALSE),"")</f>
        <v>45880</v>
      </c>
      <c r="Q215" s="48">
        <f t="shared" si="2"/>
        <v>0.433304272</v>
      </c>
      <c r="R215" s="48"/>
      <c r="S215" s="48"/>
      <c r="T215" s="48"/>
      <c r="U215" s="48"/>
      <c r="V215" s="48"/>
      <c r="W215" s="50"/>
      <c r="Z215" s="11"/>
      <c r="AA215" s="11"/>
    </row>
    <row r="216">
      <c r="A216" s="9">
        <f t="shared" si="1"/>
        <v>213</v>
      </c>
      <c r="B216" s="47" t="s">
        <v>349</v>
      </c>
      <c r="C216" s="48">
        <f>IFERROR(DIVIDE(VLOOKUP($B216,Data!$B$3:$AB$1535,9,FALSE),VLOOKUP($B216,Data!$B$3:$AB$1535,4,FALSE)),"")</f>
        <v>0.7669783031</v>
      </c>
      <c r="D216" s="48">
        <f>IFERROR(DIVIDE(VLOOKUP($B216,Data!$B$3:$AB$1535,24,FALSE),VLOOKUP($B216,Data!$B$3:$AB$1535,4,FALSE)),"")</f>
        <v>0</v>
      </c>
      <c r="E216" s="48">
        <f>IFERROR(DIVIDE(VLOOKUP($B216,Data!$B$3:$EZ1530,29,FALSE),VLOOKUP($B216,Data!$B$3:$EZ1530,4,FALSE)),"")</f>
        <v>-0.3215734697</v>
      </c>
      <c r="F216" s="48">
        <f>IFERROR(DIVIDE(VLOOKUP($B216,Data!$B$3:$EZ1530,34,FALSE),VLOOKUP($B216,Data!$B$3:$EZ1530,4,FALSE)),"")</f>
        <v>-0.1767507497</v>
      </c>
      <c r="G216" s="48">
        <f>IFERROR(DIVIDE(VLOOKUP($B216,Data!$B$3:$EZ1530,39,FALSE),VLOOKUP($B216,Data!$B$3:$EZ1530,4,FALSE)),"")</f>
        <v>-0.3228082554</v>
      </c>
      <c r="H216" s="48">
        <f>IFERROR(DIVIDE(VLOOKUP($B216,Data!$B$3:$EZ1530,44,FALSE),VLOOKUP($B216,Data!$B$3:$EZ1530,4,FALSE)),"")</f>
        <v>-0.1547010055</v>
      </c>
      <c r="I216" s="48">
        <f>IFERROR(MINUS(DIVIDE(VLOOKUP($B216,Data!$B$3:$EZ1530,9,FALSE),VLOOKUP($B216,Data!$B$3:$EZ1530,10,FALSE)),1),"")</f>
        <v>0.8806228374</v>
      </c>
      <c r="J216" s="48" t="str">
        <f>IFERROR(MINUS(DIVIDE(VLOOKUP($B216,Data!$B$3:$EZ1530,24,FALSE),VLOOKUP($B216,Data!$B$3:$EZ1530,25,FALSE)),1),"")</f>
        <v/>
      </c>
      <c r="K216" s="48">
        <f>IFERROR(MINUS(DIVIDE(VLOOKUP($B216,Data!$B$3:$EZ1530,29,FALSE),VLOOKUP($B216,Data!$B$3:$EZ1530,30,FALSE)),1),"")</f>
        <v>-0.2165878814</v>
      </c>
      <c r="L216" s="48">
        <f>IFERROR(MINUS(DIVIDE(VLOOKUP($B216,Data!$B$3:$EZ1530,34,FALSE),VLOOKUP($B216,Data!$B$3:$EZ1530,35,FALSE)),1),"")</f>
        <v>-0.4091981132</v>
      </c>
      <c r="M216" s="48">
        <f>IFERROR(MINUS(DIVIDE(VLOOKUP($B216,Data!$B$3:$EZ1530,39,FALSE),VLOOKUP($B216,Data!$B$3:$EZ1530,40,FALSE)),1),"")</f>
        <v>-0.2159383033</v>
      </c>
      <c r="N216" s="48">
        <f>IFERROR(MINUS(DIVIDE(VLOOKUP($B216,Data!$B$3:$EZ1530,44,FALSE),VLOOKUP($B216,Data!$B$3:$EZ1530,45,FALSE)),1),"")</f>
        <v>-0.3522895126</v>
      </c>
      <c r="O216" s="50">
        <f>IFERROR(VLOOKUP($B216,Data!$B$3:$D1530,2,FALSE),"")</f>
        <v>84640</v>
      </c>
      <c r="P216" s="50">
        <f>IFERROR(VLOOKUP($B216,Data!$B$3:$D1530,3,FALSE),"")</f>
        <v>58260</v>
      </c>
      <c r="Q216" s="48">
        <f t="shared" si="2"/>
        <v>0.452797803</v>
      </c>
      <c r="R216" s="48"/>
      <c r="S216" s="48"/>
      <c r="T216" s="48"/>
      <c r="U216" s="48"/>
      <c r="V216" s="48"/>
      <c r="W216" s="50"/>
      <c r="Z216" s="11"/>
      <c r="AA216" s="11"/>
    </row>
    <row r="217">
      <c r="A217" s="9">
        <f t="shared" si="1"/>
        <v>214</v>
      </c>
      <c r="B217" s="47" t="s">
        <v>350</v>
      </c>
      <c r="C217" s="48">
        <f>IFERROR(DIVIDE(VLOOKUP($B217,Data!$B$3:$AB$1535,9,FALSE),VLOOKUP($B217,Data!$B$3:$AB$1535,4,FALSE)),"")</f>
        <v>0.1448516579</v>
      </c>
      <c r="D217" s="48">
        <f>IFERROR(DIVIDE(VLOOKUP($B217,Data!$B$3:$AB$1535,24,FALSE),VLOOKUP($B217,Data!$B$3:$AB$1535,4,FALSE)),"")</f>
        <v>0.07940663176</v>
      </c>
      <c r="E217" s="48">
        <f>IFERROR(DIVIDE(VLOOKUP($B217,Data!$B$3:$EZ1530,29,FALSE),VLOOKUP($B217,Data!$B$3:$EZ1530,4,FALSE)),"")</f>
        <v>0.05305410122</v>
      </c>
      <c r="F217" s="48">
        <f>IFERROR(DIVIDE(VLOOKUP($B217,Data!$B$3:$EZ1530,34,FALSE),VLOOKUP($B217,Data!$B$3:$EZ1530,4,FALSE)),"")</f>
        <v>0.1465968586</v>
      </c>
      <c r="G217" s="48">
        <f>IFERROR(DIVIDE(VLOOKUP($B217,Data!$B$3:$EZ1530,39,FALSE),VLOOKUP($B217,Data!$B$3:$EZ1530,4,FALSE)),"")</f>
        <v>0.04938917976</v>
      </c>
      <c r="H217" s="48">
        <f>IFERROR(DIVIDE(VLOOKUP($B217,Data!$B$3:$EZ1530,44,FALSE),VLOOKUP($B217,Data!$B$3:$EZ1530,4,FALSE)),"")</f>
        <v>0.1352530541</v>
      </c>
      <c r="I217" s="48">
        <f>IFERROR(MINUS(DIVIDE(VLOOKUP($B217,Data!$B$3:$EZ1530,9,FALSE),VLOOKUP($B217,Data!$B$3:$EZ1530,10,FALSE)),1),"")</f>
        <v>0.05732484076</v>
      </c>
      <c r="J217" s="48">
        <f>IFERROR(MINUS(DIVIDE(VLOOKUP($B217,Data!$B$3:$EZ1530,24,FALSE),VLOOKUP($B217,Data!$B$3:$EZ1530,25,FALSE)),1),"")</f>
        <v>0.06807511737</v>
      </c>
      <c r="K217" s="48">
        <f>IFERROR(MINUS(DIVIDE(VLOOKUP($B217,Data!$B$3:$EZ1530,29,FALSE),VLOOKUP($B217,Data!$B$3:$EZ1530,30,FALSE)),1),"")</f>
        <v>-0.03949447077</v>
      </c>
      <c r="L217" s="48">
        <f>IFERROR(MINUS(DIVIDE(VLOOKUP($B217,Data!$B$3:$EZ1530,34,FALSE),VLOOKUP($B217,Data!$B$3:$EZ1530,35,FALSE)),1),"")</f>
        <v>0.03067484663</v>
      </c>
      <c r="M217" s="48">
        <f>IFERROR(MINUS(DIVIDE(VLOOKUP($B217,Data!$B$3:$EZ1530,39,FALSE),VLOOKUP($B217,Data!$B$3:$EZ1530,40,FALSE)),1),"")</f>
        <v>0.2466960352</v>
      </c>
      <c r="N217" s="48">
        <f>IFERROR(MINUS(DIVIDE(VLOOKUP($B217,Data!$B$3:$EZ1530,44,FALSE),VLOOKUP($B217,Data!$B$3:$EZ1530,45,FALSE)),1),"")</f>
        <v>-0.0127388535</v>
      </c>
      <c r="O217" s="50">
        <f>IFERROR(VLOOKUP($B217,Data!$B$3:$D1530,2,FALSE),"")</f>
        <v>12210000</v>
      </c>
      <c r="P217" s="50">
        <f>IFERROR(VLOOKUP($B217,Data!$B$3:$D1530,3,FALSE),"")</f>
        <v>11460000</v>
      </c>
      <c r="Q217" s="48">
        <f t="shared" si="2"/>
        <v>0.06544502618</v>
      </c>
      <c r="R217" s="48"/>
      <c r="S217" s="48"/>
      <c r="T217" s="48"/>
      <c r="U217" s="48"/>
      <c r="V217" s="48"/>
      <c r="W217" s="50"/>
      <c r="Z217" s="11"/>
      <c r="AA217" s="11"/>
    </row>
    <row r="218">
      <c r="A218" s="9">
        <f t="shared" si="1"/>
        <v>215</v>
      </c>
      <c r="B218" s="47" t="s">
        <v>351</v>
      </c>
      <c r="C218" s="48">
        <f>IFERROR(DIVIDE(VLOOKUP($B218,Data!$B$3:$AB$1535,9,FALSE),VLOOKUP($B218,Data!$B$3:$AB$1535,4,FALSE)),"")</f>
        <v>0.1142560386</v>
      </c>
      <c r="D218" s="48">
        <f>IFERROR(DIVIDE(VLOOKUP($B218,Data!$B$3:$AB$1535,24,FALSE),VLOOKUP($B218,Data!$B$3:$AB$1535,4,FALSE)),"")</f>
        <v>0.04469806763</v>
      </c>
      <c r="E218" s="48">
        <f>IFERROR(DIVIDE(VLOOKUP($B218,Data!$B$3:$EZ1530,29,FALSE),VLOOKUP($B218,Data!$B$3:$EZ1530,4,FALSE)),"")</f>
        <v>0.03422463768</v>
      </c>
      <c r="F218" s="48">
        <f>IFERROR(DIVIDE(VLOOKUP($B218,Data!$B$3:$EZ1530,34,FALSE),VLOOKUP($B218,Data!$B$3:$EZ1530,4,FALSE)),"")</f>
        <v>0.1132995169</v>
      </c>
      <c r="G218" s="48">
        <f>IFERROR(DIVIDE(VLOOKUP($B218,Data!$B$3:$EZ1530,39,FALSE),VLOOKUP($B218,Data!$B$3:$EZ1530,4,FALSE)),"")</f>
        <v>0.03153864734</v>
      </c>
      <c r="H218" s="48">
        <f>IFERROR(DIVIDE(VLOOKUP($B218,Data!$B$3:$EZ1530,44,FALSE),VLOOKUP($B218,Data!$B$3:$EZ1530,4,FALSE)),"")</f>
        <v>0.09359661836</v>
      </c>
      <c r="I218" s="48">
        <f>IFERROR(MINUS(DIVIDE(VLOOKUP($B218,Data!$B$3:$EZ1530,9,FALSE),VLOOKUP($B218,Data!$B$3:$EZ1530,10,FALSE)),1),"")</f>
        <v>0.01545661414</v>
      </c>
      <c r="J218" s="48">
        <f>IFERROR(MINUS(DIVIDE(VLOOKUP($B218,Data!$B$3:$EZ1530,24,FALSE),VLOOKUP($B218,Data!$B$3:$EZ1530,25,FALSE)),1),"")</f>
        <v>0.2754152595</v>
      </c>
      <c r="K218" s="48">
        <f>IFERROR(MINUS(DIVIDE(VLOOKUP($B218,Data!$B$3:$EZ1530,29,FALSE),VLOOKUP($B218,Data!$B$3:$EZ1530,30,FALSE)),1),"")</f>
        <v>0.4125211843</v>
      </c>
      <c r="L218" s="48">
        <f>IFERROR(MINUS(DIVIDE(VLOOKUP($B218,Data!$B$3:$EZ1530,34,FALSE),VLOOKUP($B218,Data!$B$3:$EZ1530,35,FALSE)),1),"")</f>
        <v>0.2175154441</v>
      </c>
      <c r="M218" s="48">
        <f>IFERROR(MINUS(DIVIDE(VLOOKUP($B218,Data!$B$3:$EZ1530,39,FALSE),VLOOKUP($B218,Data!$B$3:$EZ1530,40,FALSE)),1),"")</f>
        <v>0.2191409897</v>
      </c>
      <c r="N218" s="48">
        <f>IFERROR(MINUS(DIVIDE(VLOOKUP($B218,Data!$B$3:$EZ1530,44,FALSE),VLOOKUP($B218,Data!$B$3:$EZ1530,45,FALSE)),1),"")</f>
        <v>0.3451244489</v>
      </c>
      <c r="O218" s="50">
        <f>IFERROR(VLOOKUP($B218,Data!$B$3:$D1530,2,FALSE),"")</f>
        <v>3770000</v>
      </c>
      <c r="P218" s="50">
        <f>IFERROR(VLOOKUP($B218,Data!$B$3:$D1530,3,FALSE),"")</f>
        <v>3230000</v>
      </c>
      <c r="Q218" s="48">
        <f t="shared" si="2"/>
        <v>0.1671826625</v>
      </c>
      <c r="R218" s="48"/>
      <c r="S218" s="48"/>
      <c r="T218" s="48"/>
      <c r="U218" s="48"/>
      <c r="V218" s="48"/>
      <c r="W218" s="50"/>
      <c r="Z218" s="11"/>
      <c r="AA218" s="11"/>
    </row>
    <row r="219">
      <c r="A219" s="9">
        <f t="shared" si="1"/>
        <v>216</v>
      </c>
      <c r="B219" s="47" t="s">
        <v>352</v>
      </c>
      <c r="C219" s="48" t="str">
        <f>IFERROR(DIVIDE(VLOOKUP($B219,Data!$B$3:$AB$1535,9,FALSE),VLOOKUP($B219,Data!$B$3:$AB$1535,4,FALSE)),"")</f>
        <v/>
      </c>
      <c r="D219" s="48" t="str">
        <f>IFERROR(DIVIDE(VLOOKUP($B219,Data!$B$3:$AB$1535,24,FALSE),VLOOKUP($B219,Data!$B$3:$AB$1535,4,FALSE)),"")</f>
        <v/>
      </c>
      <c r="E219" s="48" t="str">
        <f>IFERROR(DIVIDE(VLOOKUP($B219,Data!$B$3:$EZ1530,29,FALSE),VLOOKUP($B219,Data!$B$3:$EZ1530,4,FALSE)),"")</f>
        <v/>
      </c>
      <c r="F219" s="48" t="str">
        <f>IFERROR(DIVIDE(VLOOKUP($B219,Data!$B$3:$EZ1530,34,FALSE),VLOOKUP($B219,Data!$B$3:$EZ1530,4,FALSE)),"")</f>
        <v/>
      </c>
      <c r="G219" s="48" t="str">
        <f>IFERROR(DIVIDE(VLOOKUP($B219,Data!$B$3:$EZ1530,39,FALSE),VLOOKUP($B219,Data!$B$3:$EZ1530,4,FALSE)),"")</f>
        <v/>
      </c>
      <c r="H219" s="48" t="str">
        <f>IFERROR(DIVIDE(VLOOKUP($B219,Data!$B$3:$EZ1530,44,FALSE),VLOOKUP($B219,Data!$B$3:$EZ1530,4,FALSE)),"")</f>
        <v/>
      </c>
      <c r="I219" s="48">
        <f>IFERROR(MINUS(DIVIDE(VLOOKUP($B219,Data!$B$3:$EZ1530,9,FALSE),VLOOKUP($B219,Data!$B$3:$EZ1530,10,FALSE)),1),"")</f>
        <v>-0.03867403315</v>
      </c>
      <c r="J219" s="48">
        <f>IFERROR(MINUS(DIVIDE(VLOOKUP($B219,Data!$B$3:$EZ1530,24,FALSE),VLOOKUP($B219,Data!$B$3:$EZ1530,25,FALSE)),1),"")</f>
        <v>3.93</v>
      </c>
      <c r="K219" s="48">
        <f>IFERROR(MINUS(DIVIDE(VLOOKUP($B219,Data!$B$3:$EZ1530,29,FALSE),VLOOKUP($B219,Data!$B$3:$EZ1530,30,FALSE)),1),"")</f>
        <v>4.730038023</v>
      </c>
      <c r="L219" s="48">
        <f>IFERROR(MINUS(DIVIDE(VLOOKUP($B219,Data!$B$3:$EZ1530,34,FALSE),VLOOKUP($B219,Data!$B$3:$EZ1530,35,FALSE)),1),"")</f>
        <v>-0.3775436047</v>
      </c>
      <c r="M219" s="48">
        <f>IFERROR(MINUS(DIVIDE(VLOOKUP($B219,Data!$B$3:$EZ1530,39,FALSE),VLOOKUP($B219,Data!$B$3:$EZ1530,40,FALSE)),1),"")</f>
        <v>-5.722419929</v>
      </c>
      <c r="N219" s="48">
        <f>IFERROR(MINUS(DIVIDE(VLOOKUP($B219,Data!$B$3:$EZ1530,44,FALSE),VLOOKUP($B219,Data!$B$3:$EZ1530,45,FALSE)),1),"")</f>
        <v>-0.1651612903</v>
      </c>
      <c r="O219" s="50">
        <f>IFERROR(VLOOKUP($B219,Data!$B$3:$D1530,2,FALSE),"")</f>
        <v>9820</v>
      </c>
      <c r="P219" s="50">
        <f>IFERROR(VLOOKUP($B219,Data!$B$3:$D1530,3,FALSE),"")</f>
        <v>2880</v>
      </c>
      <c r="Q219" s="48">
        <f t="shared" si="2"/>
        <v>2.409722222</v>
      </c>
      <c r="R219" s="48"/>
      <c r="S219" s="48"/>
      <c r="T219" s="48"/>
      <c r="U219" s="48"/>
      <c r="V219" s="48"/>
      <c r="W219" s="50"/>
      <c r="Z219" s="11"/>
      <c r="AA219" s="11"/>
    </row>
    <row r="220">
      <c r="A220" s="9">
        <f t="shared" si="1"/>
        <v>217</v>
      </c>
      <c r="B220" s="47" t="s">
        <v>353</v>
      </c>
      <c r="C220" s="48" t="str">
        <f>IFERROR(DIVIDE(VLOOKUP($B220,Data!$B$3:$AB$1535,9,FALSE),VLOOKUP($B220,Data!$B$3:$AB$1535,4,FALSE)),"")</f>
        <v/>
      </c>
      <c r="D220" s="48" t="str">
        <f>IFERROR(DIVIDE(VLOOKUP($B220,Data!$B$3:$AB$1535,24,FALSE),VLOOKUP($B220,Data!$B$3:$AB$1535,4,FALSE)),"")</f>
        <v/>
      </c>
      <c r="E220" s="48" t="str">
        <f>IFERROR(DIVIDE(VLOOKUP($B220,Data!$B$3:$EZ1530,29,FALSE),VLOOKUP($B220,Data!$B$3:$EZ1530,4,FALSE)),"")</f>
        <v/>
      </c>
      <c r="F220" s="48" t="str">
        <f>IFERROR(DIVIDE(VLOOKUP($B220,Data!$B$3:$EZ1530,34,FALSE),VLOOKUP($B220,Data!$B$3:$EZ1530,4,FALSE)),"")</f>
        <v/>
      </c>
      <c r="G220" s="48" t="str">
        <f>IFERROR(DIVIDE(VLOOKUP($B220,Data!$B$3:$EZ1530,39,FALSE),VLOOKUP($B220,Data!$B$3:$EZ1530,4,FALSE)),"")</f>
        <v/>
      </c>
      <c r="H220" s="48" t="str">
        <f>IFERROR(DIVIDE(VLOOKUP($B220,Data!$B$3:$EZ1530,44,FALSE),VLOOKUP($B220,Data!$B$3:$EZ1530,4,FALSE)),"")</f>
        <v/>
      </c>
      <c r="I220" s="48">
        <f>IFERROR(MINUS(DIVIDE(VLOOKUP($B220,Data!$B$3:$EZ1530,9,FALSE),VLOOKUP($B220,Data!$B$3:$EZ1530,10,FALSE)),1),"")</f>
        <v>1.067901235</v>
      </c>
      <c r="J220" s="48">
        <f>IFERROR(MINUS(DIVIDE(VLOOKUP($B220,Data!$B$3:$EZ1530,24,FALSE),VLOOKUP($B220,Data!$B$3:$EZ1530,25,FALSE)),1),"")</f>
        <v>-0.02494463224</v>
      </c>
      <c r="K220" s="48">
        <f>IFERROR(MINUS(DIVIDE(VLOOKUP($B220,Data!$B$3:$EZ1530,29,FALSE),VLOOKUP($B220,Data!$B$3:$EZ1530,30,FALSE)),1),"")</f>
        <v>0.09824348879</v>
      </c>
      <c r="L220" s="48">
        <f>IFERROR(MINUS(DIVIDE(VLOOKUP($B220,Data!$B$3:$EZ1530,34,FALSE),VLOOKUP($B220,Data!$B$3:$EZ1530,35,FALSE)),1),"")</f>
        <v>0.07043343653</v>
      </c>
      <c r="M220" s="48">
        <f>IFERROR(MINUS(DIVIDE(VLOOKUP($B220,Data!$B$3:$EZ1530,39,FALSE),VLOOKUP($B220,Data!$B$3:$EZ1530,40,FALSE)),1),"")</f>
        <v>0.09824348879</v>
      </c>
      <c r="N220" s="48">
        <f>IFERROR(MINUS(DIVIDE(VLOOKUP($B220,Data!$B$3:$EZ1530,44,FALSE),VLOOKUP($B220,Data!$B$3:$EZ1530,45,FALSE)),1),"")</f>
        <v>-0.07151069211</v>
      </c>
      <c r="O220" s="50">
        <f>IFERROR(VLOOKUP($B220,Data!$B$3:$D1530,2,FALSE),"")</f>
        <v>2270</v>
      </c>
      <c r="P220" s="50" t="str">
        <f>IFERROR(VLOOKUP($B220,Data!$B$3:$D1530,3,FALSE),"")</f>
        <v/>
      </c>
      <c r="Q220" s="48" t="str">
        <f t="shared" si="2"/>
        <v/>
      </c>
      <c r="R220" s="48"/>
      <c r="S220" s="48"/>
      <c r="T220" s="48"/>
      <c r="U220" s="48"/>
      <c r="V220" s="48"/>
      <c r="W220" s="50"/>
      <c r="Z220" s="15"/>
      <c r="AA220" s="15"/>
    </row>
    <row r="221">
      <c r="A221" s="9">
        <f t="shared" si="1"/>
        <v>218</v>
      </c>
      <c r="B221" s="47" t="s">
        <v>354</v>
      </c>
      <c r="C221" s="48">
        <f>IFERROR(DIVIDE(VLOOKUP($B221,Data!$B$3:$AB$1535,9,FALSE),VLOOKUP($B221,Data!$B$3:$AB$1535,4,FALSE)),"")</f>
        <v>0.543093799</v>
      </c>
      <c r="D221" s="48">
        <f>IFERROR(DIVIDE(VLOOKUP($B221,Data!$B$3:$AB$1535,24,FALSE),VLOOKUP($B221,Data!$B$3:$AB$1535,4,FALSE)),"")</f>
        <v>-18.44907096</v>
      </c>
      <c r="E221" s="48">
        <f>IFERROR(DIVIDE(VLOOKUP($B221,Data!$B$3:$EZ1530,29,FALSE),VLOOKUP($B221,Data!$B$3:$EZ1530,4,FALSE)),"")</f>
        <v>-17.68860533</v>
      </c>
      <c r="F221" s="48">
        <f>IFERROR(DIVIDE(VLOOKUP($B221,Data!$B$3:$EZ1530,34,FALSE),VLOOKUP($B221,Data!$B$3:$EZ1530,4,FALSE)),"")</f>
        <v>-17.78934408</v>
      </c>
      <c r="G221" s="48">
        <f>IFERROR(DIVIDE(VLOOKUP($B221,Data!$B$3:$EZ1530,39,FALSE),VLOOKUP($B221,Data!$B$3:$EZ1530,4,FALSE)),"")</f>
        <v>-17.67651668</v>
      </c>
      <c r="H221" s="48">
        <f>IFERROR(DIVIDE(VLOOKUP($B221,Data!$B$3:$EZ1530,44,FALSE),VLOOKUP($B221,Data!$B$3:$EZ1530,4,FALSE)),"")</f>
        <v>-12.41190956</v>
      </c>
      <c r="I221" s="48">
        <f>IFERROR(MINUS(DIVIDE(VLOOKUP($B221,Data!$B$3:$EZ1530,9,FALSE),VLOOKUP($B221,Data!$B$3:$EZ1530,10,FALSE)),1),"")</f>
        <v>-0.3360700602</v>
      </c>
      <c r="J221" s="48">
        <f>IFERROR(MINUS(DIVIDE(VLOOKUP($B221,Data!$B$3:$EZ1530,24,FALSE),VLOOKUP($B221,Data!$B$3:$EZ1530,25,FALSE)),1),"")</f>
        <v>0.4462812818</v>
      </c>
      <c r="K221" s="48">
        <f>IFERROR(MINUS(DIVIDE(VLOOKUP($B221,Data!$B$3:$EZ1530,29,FALSE),VLOOKUP($B221,Data!$B$3:$EZ1530,30,FALSE)),1),"")</f>
        <v>0.4225658937</v>
      </c>
      <c r="L221" s="48">
        <f>IFERROR(MINUS(DIVIDE(VLOOKUP($B221,Data!$B$3:$EZ1530,34,FALSE),VLOOKUP($B221,Data!$B$3:$EZ1530,35,FALSE)),1),"")</f>
        <v>0.4399224455</v>
      </c>
      <c r="M221" s="48">
        <f>IFERROR(MINUS(DIVIDE(VLOOKUP($B221,Data!$B$3:$EZ1530,39,FALSE),VLOOKUP($B221,Data!$B$3:$EZ1530,40,FALSE)),1),"")</f>
        <v>0.4211075716</v>
      </c>
      <c r="N221" s="48">
        <f>IFERROR(MINUS(DIVIDE(VLOOKUP($B221,Data!$B$3:$EZ1530,44,FALSE),VLOOKUP($B221,Data!$B$3:$EZ1530,45,FALSE)),1),"")</f>
        <v>0.3410734586</v>
      </c>
      <c r="O221" s="50">
        <f>IFERROR(VLOOKUP($B221,Data!$B$3:$D1530,2,FALSE),"")</f>
        <v>177880</v>
      </c>
      <c r="P221" s="50">
        <f>IFERROR(VLOOKUP($B221,Data!$B$3:$D1530,3,FALSE),"")</f>
        <v>266780</v>
      </c>
      <c r="Q221" s="48">
        <f t="shared" si="2"/>
        <v>-0.3332333758</v>
      </c>
      <c r="R221" s="48"/>
      <c r="S221" s="48"/>
      <c r="T221" s="48"/>
      <c r="U221" s="48"/>
      <c r="V221" s="48"/>
      <c r="W221" s="50"/>
      <c r="Z221" s="11"/>
      <c r="AA221" s="11"/>
    </row>
    <row r="222">
      <c r="A222" s="9">
        <f t="shared" si="1"/>
        <v>219</v>
      </c>
      <c r="B222" s="47" t="s">
        <v>355</v>
      </c>
      <c r="C222" s="48">
        <f>IFERROR(DIVIDE(VLOOKUP($B222,Data!$B$3:$AB$1535,9,FALSE),VLOOKUP($B222,Data!$B$3:$AB$1535,4,FALSE)),"")</f>
        <v>0.2457438017</v>
      </c>
      <c r="D222" s="48">
        <f>IFERROR(DIVIDE(VLOOKUP($B222,Data!$B$3:$AB$1535,24,FALSE),VLOOKUP($B222,Data!$B$3:$AB$1535,4,FALSE)),"")</f>
        <v>0.04299173554</v>
      </c>
      <c r="E222" s="48">
        <f>IFERROR(DIVIDE(VLOOKUP($B222,Data!$B$3:$EZ1530,29,FALSE),VLOOKUP($B222,Data!$B$3:$EZ1530,4,FALSE)),"")</f>
        <v>0.04035261708</v>
      </c>
      <c r="F222" s="48">
        <f>IFERROR(DIVIDE(VLOOKUP($B222,Data!$B$3:$EZ1530,34,FALSE),VLOOKUP($B222,Data!$B$3:$EZ1530,4,FALSE)),"")</f>
        <v>0.06575757576</v>
      </c>
      <c r="G222" s="48">
        <f>IFERROR(DIVIDE(VLOOKUP($B222,Data!$B$3:$EZ1530,39,FALSE),VLOOKUP($B222,Data!$B$3:$EZ1530,4,FALSE)),"")</f>
        <v>0.03026170799</v>
      </c>
      <c r="H222" s="48">
        <f>IFERROR(DIVIDE(VLOOKUP($B222,Data!$B$3:$EZ1530,44,FALSE),VLOOKUP($B222,Data!$B$3:$EZ1530,4,FALSE)),"")</f>
        <v>0.06772727273</v>
      </c>
      <c r="I222" s="48">
        <f>IFERROR(MINUS(DIVIDE(VLOOKUP($B222,Data!$B$3:$EZ1530,9,FALSE),VLOOKUP($B222,Data!$B$3:$EZ1530,10,FALSE)),1),"")</f>
        <v>0.04385831471</v>
      </c>
      <c r="J222" s="48">
        <f>IFERROR(MINUS(DIVIDE(VLOOKUP($B222,Data!$B$3:$EZ1530,24,FALSE),VLOOKUP($B222,Data!$B$3:$EZ1530,25,FALSE)),1),"")</f>
        <v>-0.08361714621</v>
      </c>
      <c r="K222" s="48">
        <f>IFERROR(MINUS(DIVIDE(VLOOKUP($B222,Data!$B$3:$EZ1530,29,FALSE),VLOOKUP($B222,Data!$B$3:$EZ1530,30,FALSE)),1),"")</f>
        <v>-0.06647122554</v>
      </c>
      <c r="L222" s="48">
        <f>IFERROR(MINUS(DIVIDE(VLOOKUP($B222,Data!$B$3:$EZ1530,34,FALSE),VLOOKUP($B222,Data!$B$3:$EZ1530,35,FALSE)),1),"")</f>
        <v>-0.004960606945</v>
      </c>
      <c r="M222" s="48">
        <f>IFERROR(MINUS(DIVIDE(VLOOKUP($B222,Data!$B$3:$EZ1530,39,FALSE),VLOOKUP($B222,Data!$B$3:$EZ1530,40,FALSE)),1),"")</f>
        <v>-0.08259562385</v>
      </c>
      <c r="N222" s="48">
        <f>IFERROR(MINUS(DIVIDE(VLOOKUP($B222,Data!$B$3:$EZ1530,44,FALSE),VLOOKUP($B222,Data!$B$3:$EZ1530,45,FALSE)),1),"")</f>
        <v>0.1705470647</v>
      </c>
      <c r="O222" s="50">
        <f>IFERROR(VLOOKUP($B222,Data!$B$3:$D1530,2,FALSE),"")</f>
        <v>3840000</v>
      </c>
      <c r="P222" s="50">
        <f>IFERROR(VLOOKUP($B222,Data!$B$3:$D1530,3,FALSE),"")</f>
        <v>3640000</v>
      </c>
      <c r="Q222" s="48">
        <f t="shared" si="2"/>
        <v>0.05494505495</v>
      </c>
      <c r="R222" s="48"/>
      <c r="S222" s="48"/>
      <c r="T222" s="48"/>
      <c r="U222" s="48"/>
      <c r="V222" s="48"/>
      <c r="W222" s="50"/>
      <c r="Z222" s="11"/>
      <c r="AA222" s="12"/>
    </row>
    <row r="223">
      <c r="A223" s="9">
        <f t="shared" si="1"/>
        <v>220</v>
      </c>
      <c r="B223" s="47" t="s">
        <v>356</v>
      </c>
      <c r="C223" s="48">
        <f>IFERROR(DIVIDE(VLOOKUP($B223,Data!$B$3:$AB$1535,9,FALSE),VLOOKUP($B223,Data!$B$3:$AB$1535,4,FALSE)),"")</f>
        <v>0.7514792899</v>
      </c>
      <c r="D223" s="48">
        <f>IFERROR(DIVIDE(VLOOKUP($B223,Data!$B$3:$AB$1535,24,FALSE),VLOOKUP($B223,Data!$B$3:$AB$1535,4,FALSE)),"")</f>
        <v>-0.08265088757</v>
      </c>
      <c r="E223" s="48">
        <f>IFERROR(DIVIDE(VLOOKUP($B223,Data!$B$3:$EZ1530,29,FALSE),VLOOKUP($B223,Data!$B$3:$EZ1530,4,FALSE)),"")</f>
        <v>-0.05610059172</v>
      </c>
      <c r="F223" s="48">
        <f>IFERROR(DIVIDE(VLOOKUP($B223,Data!$B$3:$EZ1530,34,FALSE),VLOOKUP($B223,Data!$B$3:$EZ1530,4,FALSE)),"")</f>
        <v>-0.005035502959</v>
      </c>
      <c r="G223" s="48">
        <f>IFERROR(DIVIDE(VLOOKUP($B223,Data!$B$3:$EZ1530,39,FALSE),VLOOKUP($B223,Data!$B$3:$EZ1530,4,FALSE)),"")</f>
        <v>-0.01411242604</v>
      </c>
      <c r="H223" s="48">
        <f>IFERROR(DIVIDE(VLOOKUP($B223,Data!$B$3:$EZ1530,44,FALSE),VLOOKUP($B223,Data!$B$3:$EZ1530,4,FALSE)),"")</f>
        <v>0.02855621302</v>
      </c>
      <c r="I223" s="48">
        <f>IFERROR(MINUS(DIVIDE(VLOOKUP($B223,Data!$B$3:$EZ1530,9,FALSE),VLOOKUP($B223,Data!$B$3:$EZ1530,10,FALSE)),1),"")</f>
        <v>0.1043478261</v>
      </c>
      <c r="J223" s="48">
        <f>IFERROR(MINUS(DIVIDE(VLOOKUP($B223,Data!$B$3:$EZ1530,24,FALSE),VLOOKUP($B223,Data!$B$3:$EZ1530,25,FALSE)),1),"")</f>
        <v>-0.1854443667</v>
      </c>
      <c r="K223" s="48">
        <f>IFERROR(MINUS(DIVIDE(VLOOKUP($B223,Data!$B$3:$EZ1530,29,FALSE),VLOOKUP($B223,Data!$B$3:$EZ1530,30,FALSE)),1),"")</f>
        <v>-0.3356457151</v>
      </c>
      <c r="L223" s="48">
        <f>IFERROR(MINUS(DIVIDE(VLOOKUP($B223,Data!$B$3:$EZ1530,34,FALSE),VLOOKUP($B223,Data!$B$3:$EZ1530,35,FALSE)),1),"")</f>
        <v>-0.8652414885</v>
      </c>
      <c r="M223" s="48">
        <f>IFERROR(MINUS(DIVIDE(VLOOKUP($B223,Data!$B$3:$EZ1530,39,FALSE),VLOOKUP($B223,Data!$B$3:$EZ1530,40,FALSE)),1),"")</f>
        <v>-0.6911021888</v>
      </c>
      <c r="N223" s="48">
        <f>IFERROR(MINUS(DIVIDE(VLOOKUP($B223,Data!$B$3:$EZ1530,44,FALSE),VLOOKUP($B223,Data!$B$3:$EZ1530,45,FALSE)),1),"")</f>
        <v>1.387926769</v>
      </c>
      <c r="O223" s="50">
        <f>IFERROR(VLOOKUP($B223,Data!$B$3:$D1530,2,FALSE),"")</f>
        <v>2090000</v>
      </c>
      <c r="P223" s="50">
        <f>IFERROR(VLOOKUP($B223,Data!$B$3:$D1530,3,FALSE),"")</f>
        <v>1870000</v>
      </c>
      <c r="Q223" s="48">
        <f t="shared" si="2"/>
        <v>0.1176470588</v>
      </c>
      <c r="R223" s="48"/>
      <c r="S223" s="48"/>
      <c r="T223" s="48"/>
      <c r="U223" s="48"/>
      <c r="V223" s="48"/>
      <c r="W223" s="50"/>
      <c r="Z223" s="11"/>
      <c r="AA223" s="11"/>
    </row>
    <row r="224">
      <c r="A224" s="9">
        <f t="shared" si="1"/>
        <v>221</v>
      </c>
      <c r="B224" s="47" t="s">
        <v>357</v>
      </c>
      <c r="C224" s="48">
        <f>IFERROR(DIVIDE(VLOOKUP($B224,Data!$B$3:$AB$1535,9,FALSE),VLOOKUP($B224,Data!$B$3:$AB$1535,4,FALSE)),"")</f>
        <v>0.6596558317</v>
      </c>
      <c r="D224" s="48">
        <f>IFERROR(DIVIDE(VLOOKUP($B224,Data!$B$3:$AB$1535,24,FALSE),VLOOKUP($B224,Data!$B$3:$AB$1535,4,FALSE)),"")</f>
        <v>0.1456978967</v>
      </c>
      <c r="E224" s="48">
        <f>IFERROR(DIVIDE(VLOOKUP($B224,Data!$B$3:$EZ1530,29,FALSE),VLOOKUP($B224,Data!$B$3:$EZ1530,4,FALSE)),"")</f>
        <v>0.1904397706</v>
      </c>
      <c r="F224" s="48">
        <f>IFERROR(DIVIDE(VLOOKUP($B224,Data!$B$3:$EZ1530,34,FALSE),VLOOKUP($B224,Data!$B$3:$EZ1530,4,FALSE)),"")</f>
        <v>0.3154875717</v>
      </c>
      <c r="G224" s="48">
        <f>IFERROR(DIVIDE(VLOOKUP($B224,Data!$B$3:$EZ1530,39,FALSE),VLOOKUP($B224,Data!$B$3:$EZ1530,4,FALSE)),"")</f>
        <v>0.1315487572</v>
      </c>
      <c r="H224" s="48">
        <f>IFERROR(DIVIDE(VLOOKUP($B224,Data!$B$3:$EZ1530,44,FALSE),VLOOKUP($B224,Data!$B$3:$EZ1530,4,FALSE)),"")</f>
        <v>0.3086042065</v>
      </c>
      <c r="I224" s="48">
        <f>IFERROR(MINUS(DIVIDE(VLOOKUP($B224,Data!$B$3:$EZ1530,9,FALSE),VLOOKUP($B224,Data!$B$3:$EZ1530,10,FALSE)),1),"")</f>
        <v>0.07276119403</v>
      </c>
      <c r="J224" s="48">
        <f>IFERROR(MINUS(DIVIDE(VLOOKUP($B224,Data!$B$3:$EZ1530,24,FALSE),VLOOKUP($B224,Data!$B$3:$EZ1530,25,FALSE)),1),"")</f>
        <v>-0.2029288703</v>
      </c>
      <c r="K224" s="48">
        <f>IFERROR(MINUS(DIVIDE(VLOOKUP($B224,Data!$B$3:$EZ1530,29,FALSE),VLOOKUP($B224,Data!$B$3:$EZ1530,30,FALSE)),1),"")</f>
        <v>-0.1658291457</v>
      </c>
      <c r="L224" s="48">
        <f>IFERROR(MINUS(DIVIDE(VLOOKUP($B224,Data!$B$3:$EZ1530,34,FALSE),VLOOKUP($B224,Data!$B$3:$EZ1530,35,FALSE)),1),"")</f>
        <v>0.161971831</v>
      </c>
      <c r="M224" s="48">
        <f>IFERROR(MINUS(DIVIDE(VLOOKUP($B224,Data!$B$3:$EZ1530,39,FALSE),VLOOKUP($B224,Data!$B$3:$EZ1530,40,FALSE)),1),"")</f>
        <v>-0.3008130081</v>
      </c>
      <c r="N224" s="48">
        <f>IFERROR(MINUS(DIVIDE(VLOOKUP($B224,Data!$B$3:$EZ1530,44,FALSE),VLOOKUP($B224,Data!$B$3:$EZ1530,45,FALSE)),1),"")</f>
        <v>0.3585858586</v>
      </c>
      <c r="O224" s="50">
        <f>IFERROR(VLOOKUP($B224,Data!$B$3:$D1530,2,FALSE),"")</f>
        <v>45420000</v>
      </c>
      <c r="P224" s="50">
        <f>IFERROR(VLOOKUP($B224,Data!$B$3:$D1530,3,FALSE),"")</f>
        <v>41880000</v>
      </c>
      <c r="Q224" s="48">
        <f t="shared" si="2"/>
        <v>0.08452722063</v>
      </c>
      <c r="R224" s="48"/>
      <c r="S224" s="48"/>
      <c r="T224" s="48"/>
      <c r="U224" s="48"/>
      <c r="V224" s="48"/>
      <c r="W224" s="50"/>
      <c r="Z224" s="11"/>
      <c r="AA224" s="11"/>
    </row>
    <row r="225">
      <c r="A225" s="9">
        <f t="shared" si="1"/>
        <v>222</v>
      </c>
      <c r="B225" s="47" t="s">
        <v>358</v>
      </c>
      <c r="C225" s="48">
        <f>IFERROR(DIVIDE(VLOOKUP($B225,Data!$B$3:$AB$1535,9,FALSE),VLOOKUP($B225,Data!$B$3:$AB$1535,4,FALSE)),"")</f>
        <v>0.2057783784</v>
      </c>
      <c r="D225" s="48">
        <f>IFERROR(DIVIDE(VLOOKUP($B225,Data!$B$3:$AB$1535,24,FALSE),VLOOKUP($B225,Data!$B$3:$AB$1535,4,FALSE)),"")</f>
        <v>-0.02312432432</v>
      </c>
      <c r="E225" s="48">
        <f>IFERROR(DIVIDE(VLOOKUP($B225,Data!$B$3:$EZ1530,29,FALSE),VLOOKUP($B225,Data!$B$3:$EZ1530,4,FALSE)),"")</f>
        <v>-0.02715135135</v>
      </c>
      <c r="F225" s="48">
        <f>IFERROR(DIVIDE(VLOOKUP($B225,Data!$B$3:$EZ1530,34,FALSE),VLOOKUP($B225,Data!$B$3:$EZ1530,4,FALSE)),"")</f>
        <v>0.02278918919</v>
      </c>
      <c r="G225" s="48">
        <f>IFERROR(DIVIDE(VLOOKUP($B225,Data!$B$3:$EZ1530,39,FALSE),VLOOKUP($B225,Data!$B$3:$EZ1530,4,FALSE)),"")</f>
        <v>-0.02067567568</v>
      </c>
      <c r="H225" s="48">
        <f>IFERROR(DIVIDE(VLOOKUP($B225,Data!$B$3:$EZ1530,44,FALSE),VLOOKUP($B225,Data!$B$3:$EZ1530,4,FALSE)),"")</f>
        <v>-0.01864864865</v>
      </c>
      <c r="I225" s="48">
        <f>IFERROR(MINUS(DIVIDE(VLOOKUP($B225,Data!$B$3:$EZ1530,9,FALSE),VLOOKUP($B225,Data!$B$3:$EZ1530,10,FALSE)),1),"")</f>
        <v>-0.175745897</v>
      </c>
      <c r="J225" s="48">
        <f>IFERROR(MINUS(DIVIDE(VLOOKUP($B225,Data!$B$3:$EZ1530,24,FALSE),VLOOKUP($B225,Data!$B$3:$EZ1530,25,FALSE)),1),"")</f>
        <v>0.5471971067</v>
      </c>
      <c r="K225" s="48">
        <f>IFERROR(MINUS(DIVIDE(VLOOKUP($B225,Data!$B$3:$EZ1530,29,FALSE),VLOOKUP($B225,Data!$B$3:$EZ1530,30,FALSE)),1),"")</f>
        <v>0.3419716805</v>
      </c>
      <c r="L225" s="48">
        <f>IFERROR(MINUS(DIVIDE(VLOOKUP($B225,Data!$B$3:$EZ1530,34,FALSE),VLOOKUP($B225,Data!$B$3:$EZ1530,35,FALSE)),1),"")</f>
        <v>-0.5982466171</v>
      </c>
      <c r="M225" s="48">
        <f>IFERROR(MINUS(DIVIDE(VLOOKUP($B225,Data!$B$3:$EZ1530,39,FALSE),VLOOKUP($B225,Data!$B$3:$EZ1530,40,FALSE)),1),"")</f>
        <v>0.5695527288</v>
      </c>
      <c r="N225" s="48">
        <f>IFERROR(MINUS(DIVIDE(VLOOKUP($B225,Data!$B$3:$EZ1530,44,FALSE),VLOOKUP($B225,Data!$B$3:$EZ1530,45,FALSE)),1),"")</f>
        <v>-1.28554875</v>
      </c>
      <c r="O225" s="50" t="str">
        <f>IFERROR(VLOOKUP($B225,Data!$B$3:$D1530,2,FALSE),"")</f>
        <v/>
      </c>
      <c r="P225" s="50">
        <f>IFERROR(VLOOKUP($B225,Data!$B$3:$D1530,3,FALSE),"")</f>
        <v>1550000</v>
      </c>
      <c r="Q225" s="48">
        <f t="shared" si="2"/>
        <v>-1</v>
      </c>
      <c r="R225" s="48"/>
      <c r="S225" s="48"/>
      <c r="T225" s="48"/>
      <c r="U225" s="48"/>
      <c r="V225" s="48"/>
      <c r="W225" s="50"/>
      <c r="Z225" s="11"/>
      <c r="AA225" s="11"/>
    </row>
    <row r="226">
      <c r="A226" s="9">
        <f t="shared" si="1"/>
        <v>223</v>
      </c>
      <c r="B226" s="47" t="s">
        <v>359</v>
      </c>
      <c r="C226" s="48">
        <f>IFERROR(DIVIDE(VLOOKUP($B226,Data!$B$3:$AB$1535,9,FALSE),VLOOKUP($B226,Data!$B$3:$AB$1535,4,FALSE)),"")</f>
        <v>0.5414678295</v>
      </c>
      <c r="D226" s="48">
        <f>IFERROR(DIVIDE(VLOOKUP($B226,Data!$B$3:$AB$1535,24,FALSE),VLOOKUP($B226,Data!$B$3:$AB$1535,4,FALSE)),"")</f>
        <v>-1.693269705</v>
      </c>
      <c r="E226" s="48">
        <f>IFERROR(DIVIDE(VLOOKUP($B226,Data!$B$3:$EZ1530,29,FALSE),VLOOKUP($B226,Data!$B$3:$EZ1530,4,FALSE)),"")</f>
        <v>-1.652460095</v>
      </c>
      <c r="F226" s="48">
        <f>IFERROR(DIVIDE(VLOOKUP($B226,Data!$B$3:$EZ1530,34,FALSE),VLOOKUP($B226,Data!$B$3:$EZ1530,4,FALSE)),"")</f>
        <v>-1.378064835</v>
      </c>
      <c r="G226" s="48">
        <f>IFERROR(DIVIDE(VLOOKUP($B226,Data!$B$3:$EZ1530,39,FALSE),VLOOKUP($B226,Data!$B$3:$EZ1530,4,FALSE)),"")</f>
        <v>-1.648922166</v>
      </c>
      <c r="H226" s="48">
        <f>IFERROR(DIVIDE(VLOOKUP($B226,Data!$B$3:$EZ1530,44,FALSE),VLOOKUP($B226,Data!$B$3:$EZ1530,4,FALSE)),"")</f>
        <v>-1.828286984</v>
      </c>
      <c r="I226" s="48">
        <f>IFERROR(MINUS(DIVIDE(VLOOKUP($B226,Data!$B$3:$EZ1530,9,FALSE),VLOOKUP($B226,Data!$B$3:$EZ1530,10,FALSE)),1),"")</f>
        <v>-0.4018903935</v>
      </c>
      <c r="J226" s="48">
        <f>IFERROR(MINUS(DIVIDE(VLOOKUP($B226,Data!$B$3:$EZ1530,24,FALSE),VLOOKUP($B226,Data!$B$3:$EZ1530,25,FALSE)),1),"")</f>
        <v>1.97786138</v>
      </c>
      <c r="K226" s="48">
        <f>IFERROR(MINUS(DIVIDE(VLOOKUP($B226,Data!$B$3:$EZ1530,29,FALSE),VLOOKUP($B226,Data!$B$3:$EZ1530,30,FALSE)),1),"")</f>
        <v>2.578122216</v>
      </c>
      <c r="L226" s="48">
        <f>IFERROR(MINUS(DIVIDE(VLOOKUP($B226,Data!$B$3:$EZ1530,34,FALSE),VLOOKUP($B226,Data!$B$3:$EZ1530,35,FALSE)),1),"")</f>
        <v>2.884276438</v>
      </c>
      <c r="M226" s="48">
        <f>IFERROR(MINUS(DIVIDE(VLOOKUP($B226,Data!$B$3:$EZ1530,39,FALSE),VLOOKUP($B226,Data!$B$3:$EZ1530,40,FALSE)),1),"")</f>
        <v>2.537687555</v>
      </c>
      <c r="N226" s="48">
        <f>IFERROR(MINUS(DIVIDE(VLOOKUP($B226,Data!$B$3:$EZ1530,44,FALSE),VLOOKUP($B226,Data!$B$3:$EZ1530,45,FALSE)),1),"")</f>
        <v>2.237325175</v>
      </c>
      <c r="O226" s="50">
        <f>IFERROR(VLOOKUP($B226,Data!$B$3:$D1530,2,FALSE),"")</f>
        <v>2510000</v>
      </c>
      <c r="P226" s="50">
        <f>IFERROR(VLOOKUP($B226,Data!$B$3:$D1530,3,FALSE),"")</f>
        <v>521530</v>
      </c>
      <c r="Q226" s="48">
        <f t="shared" si="2"/>
        <v>3.812762449</v>
      </c>
      <c r="R226" s="48"/>
      <c r="S226" s="48"/>
      <c r="T226" s="48"/>
      <c r="U226" s="48"/>
      <c r="V226" s="48"/>
      <c r="W226" s="50"/>
      <c r="Z226" s="11"/>
      <c r="AA226" s="11"/>
    </row>
    <row r="227">
      <c r="A227" s="9">
        <f t="shared" si="1"/>
        <v>224</v>
      </c>
      <c r="B227" s="47" t="s">
        <v>360</v>
      </c>
      <c r="C227" s="48">
        <f>IFERROR(DIVIDE(VLOOKUP($B227,Data!$B$3:$AB$1535,9,FALSE),VLOOKUP($B227,Data!$B$3:$AB$1535,4,FALSE)),"")</f>
        <v>0.3267816174</v>
      </c>
      <c r="D227" s="48">
        <f>IFERROR(DIVIDE(VLOOKUP($B227,Data!$B$3:$AB$1535,24,FALSE),VLOOKUP($B227,Data!$B$3:$AB$1535,4,FALSE)),"")</f>
        <v>0.08711180491</v>
      </c>
      <c r="E227" s="48">
        <f>IFERROR(DIVIDE(VLOOKUP($B227,Data!$B$3:$EZ1530,29,FALSE),VLOOKUP($B227,Data!$B$3:$EZ1530,4,FALSE)),"")</f>
        <v>0.07132382507</v>
      </c>
      <c r="F227" s="48">
        <f>IFERROR(DIVIDE(VLOOKUP($B227,Data!$B$3:$EZ1530,34,FALSE),VLOOKUP($B227,Data!$B$3:$EZ1530,4,FALSE)),"")</f>
        <v>0.1491757137</v>
      </c>
      <c r="G227" s="48">
        <f>IFERROR(DIVIDE(VLOOKUP($B227,Data!$B$3:$EZ1530,39,FALSE),VLOOKUP($B227,Data!$B$3:$EZ1530,4,FALSE)),"")</f>
        <v>0.05670663923</v>
      </c>
      <c r="H227" s="48">
        <f>IFERROR(DIVIDE(VLOOKUP($B227,Data!$B$3:$EZ1530,44,FALSE),VLOOKUP($B227,Data!$B$3:$EZ1530,4,FALSE)),"")</f>
        <v>0.06550533362</v>
      </c>
      <c r="I227" s="48">
        <f>IFERROR(MINUS(DIVIDE(VLOOKUP($B227,Data!$B$3:$EZ1530,9,FALSE),VLOOKUP($B227,Data!$B$3:$EZ1530,10,FALSE)),1),"")</f>
        <v>0.1017983173</v>
      </c>
      <c r="J227" s="48">
        <f>IFERROR(MINUS(DIVIDE(VLOOKUP($B227,Data!$B$3:$EZ1530,24,FALSE),VLOOKUP($B227,Data!$B$3:$EZ1530,25,FALSE)),1),"")</f>
        <v>0.1452114428</v>
      </c>
      <c r="K227" s="48">
        <f>IFERROR(MINUS(DIVIDE(VLOOKUP($B227,Data!$B$3:$EZ1530,29,FALSE),VLOOKUP($B227,Data!$B$3:$EZ1530,30,FALSE)),1),"")</f>
        <v>0.2564583333</v>
      </c>
      <c r="L227" s="48">
        <f>IFERROR(MINUS(DIVIDE(VLOOKUP($B227,Data!$B$3:$EZ1530,34,FALSE),VLOOKUP($B227,Data!$B$3:$EZ1530,35,FALSE)),1),"")</f>
        <v>0.5074091778</v>
      </c>
      <c r="M227" s="48">
        <f>IFERROR(MINUS(DIVIDE(VLOOKUP($B227,Data!$B$3:$EZ1530,39,FALSE),VLOOKUP($B227,Data!$B$3:$EZ1530,40,FALSE)),1),"")</f>
        <v>0.2288569964</v>
      </c>
      <c r="N227" s="48">
        <f>IFERROR(MINUS(DIVIDE(VLOOKUP($B227,Data!$B$3:$EZ1530,44,FALSE),VLOOKUP($B227,Data!$B$3:$EZ1530,45,FALSE)),1),"")</f>
        <v>-0.1244072083</v>
      </c>
      <c r="O227" s="50">
        <f>IFERROR(VLOOKUP($B227,Data!$B$3:$D1530,2,FALSE),"")</f>
        <v>922460</v>
      </c>
      <c r="P227" s="50">
        <f>IFERROR(VLOOKUP($B227,Data!$B$3:$D1530,3,FALSE),"")</f>
        <v>815160</v>
      </c>
      <c r="Q227" s="48">
        <f t="shared" si="2"/>
        <v>0.1316306001</v>
      </c>
      <c r="R227" s="48"/>
      <c r="S227" s="48"/>
      <c r="T227" s="48"/>
      <c r="U227" s="48"/>
      <c r="V227" s="48"/>
      <c r="W227" s="50"/>
      <c r="Z227" s="11"/>
      <c r="AA227" s="11"/>
    </row>
    <row r="228">
      <c r="A228" s="9">
        <f t="shared" si="1"/>
        <v>225</v>
      </c>
      <c r="B228" s="47" t="s">
        <v>361</v>
      </c>
      <c r="C228" s="48">
        <f>IFERROR(DIVIDE(VLOOKUP($B228,Data!$B$3:$AB$1535,9,FALSE),VLOOKUP($B228,Data!$B$3:$AB$1535,4,FALSE)),"")</f>
        <v>0</v>
      </c>
      <c r="D228" s="48">
        <f>IFERROR(DIVIDE(VLOOKUP($B228,Data!$B$3:$AB$1535,24,FALSE),VLOOKUP($B228,Data!$B$3:$AB$1535,4,FALSE)),"")</f>
        <v>0</v>
      </c>
      <c r="E228" s="48">
        <f>IFERROR(DIVIDE(VLOOKUP($B228,Data!$B$3:$EZ1530,29,FALSE),VLOOKUP($B228,Data!$B$3:$EZ1530,4,FALSE)),"")</f>
        <v>-5.227634942</v>
      </c>
      <c r="F228" s="48">
        <f>IFERROR(DIVIDE(VLOOKUP($B228,Data!$B$3:$EZ1530,34,FALSE),VLOOKUP($B228,Data!$B$3:$EZ1530,4,FALSE)),"")</f>
        <v>-5.278604721</v>
      </c>
      <c r="G228" s="48">
        <f>IFERROR(DIVIDE(VLOOKUP($B228,Data!$B$3:$EZ1530,39,FALSE),VLOOKUP($B228,Data!$B$3:$EZ1530,4,FALSE)),"")</f>
        <v>-5.227634942</v>
      </c>
      <c r="H228" s="48">
        <f>IFERROR(DIVIDE(VLOOKUP($B228,Data!$B$3:$EZ1530,44,FALSE),VLOOKUP($B228,Data!$B$3:$EZ1530,4,FALSE)),"")</f>
        <v>-4.14854909</v>
      </c>
      <c r="I228" s="48" t="str">
        <f>IFERROR(MINUS(DIVIDE(VLOOKUP($B228,Data!$B$3:$EZ1530,9,FALSE),VLOOKUP($B228,Data!$B$3:$EZ1530,10,FALSE)),1),"")</f>
        <v/>
      </c>
      <c r="J228" s="48" t="str">
        <f>IFERROR(MINUS(DIVIDE(VLOOKUP($B228,Data!$B$3:$EZ1530,24,FALSE),VLOOKUP($B228,Data!$B$3:$EZ1530,25,FALSE)),1),"")</f>
        <v/>
      </c>
      <c r="K228" s="48">
        <f>IFERROR(MINUS(DIVIDE(VLOOKUP($B228,Data!$B$3:$EZ1530,29,FALSE),VLOOKUP($B228,Data!$B$3:$EZ1530,30,FALSE)),1),"")</f>
        <v>0.4692782285</v>
      </c>
      <c r="L228" s="48">
        <f>IFERROR(MINUS(DIVIDE(VLOOKUP($B228,Data!$B$3:$EZ1530,34,FALSE),VLOOKUP($B228,Data!$B$3:$EZ1530,35,FALSE)),1),"")</f>
        <v>0.4460828734</v>
      </c>
      <c r="M228" s="48">
        <f>IFERROR(MINUS(DIVIDE(VLOOKUP($B228,Data!$B$3:$EZ1530,39,FALSE),VLOOKUP($B228,Data!$B$3:$EZ1530,40,FALSE)),1),"")</f>
        <v>0.4692782285</v>
      </c>
      <c r="N228" s="48">
        <f>IFERROR(MINUS(DIVIDE(VLOOKUP($B228,Data!$B$3:$EZ1530,44,FALSE),VLOOKUP($B228,Data!$B$3:$EZ1530,45,FALSE)),1),"")</f>
        <v>0.5765956231</v>
      </c>
      <c r="O228" s="50">
        <f>IFERROR(VLOOKUP($B228,Data!$B$3:$D1530,2,FALSE),"")</f>
        <v>160980</v>
      </c>
      <c r="P228" s="50">
        <f>IFERROR(VLOOKUP($B228,Data!$B$3:$D1530,3,FALSE),"")</f>
        <v>589980</v>
      </c>
      <c r="Q228" s="48">
        <f t="shared" si="2"/>
        <v>-0.727143293</v>
      </c>
      <c r="R228" s="48"/>
      <c r="S228" s="48"/>
      <c r="T228" s="48"/>
      <c r="U228" s="48"/>
      <c r="V228" s="48"/>
      <c r="W228" s="50"/>
      <c r="Z228" s="11"/>
      <c r="AA228" s="11"/>
    </row>
    <row r="229">
      <c r="A229" s="9">
        <f t="shared" si="1"/>
        <v>226</v>
      </c>
      <c r="B229" s="47" t="s">
        <v>362</v>
      </c>
      <c r="C229" s="48">
        <f>IFERROR(DIVIDE(VLOOKUP($B229,Data!$B$3:$AB$1535,9,FALSE),VLOOKUP($B229,Data!$B$3:$AB$1535,4,FALSE)),"")</f>
        <v>0.3256982951</v>
      </c>
      <c r="D229" s="48">
        <f>IFERROR(DIVIDE(VLOOKUP($B229,Data!$B$3:$AB$1535,24,FALSE),VLOOKUP($B229,Data!$B$3:$AB$1535,4,FALSE)),"")</f>
        <v>-0.09390060631</v>
      </c>
      <c r="E229" s="48">
        <f>IFERROR(DIVIDE(VLOOKUP($B229,Data!$B$3:$EZ1530,29,FALSE),VLOOKUP($B229,Data!$B$3:$EZ1530,4,FALSE)),"")</f>
        <v>-0.1016738353</v>
      </c>
      <c r="F229" s="48">
        <f>IFERROR(DIVIDE(VLOOKUP($B229,Data!$B$3:$EZ1530,34,FALSE),VLOOKUP($B229,Data!$B$3:$EZ1530,4,FALSE)),"")</f>
        <v>-0.01331813235</v>
      </c>
      <c r="G229" s="48">
        <f>IFERROR(DIVIDE(VLOOKUP($B229,Data!$B$3:$EZ1530,39,FALSE),VLOOKUP($B229,Data!$B$3:$EZ1530,4,FALSE)),"")</f>
        <v>-0.06695341245</v>
      </c>
      <c r="H229" s="48">
        <f>IFERROR(DIVIDE(VLOOKUP($B229,Data!$B$3:$EZ1530,44,FALSE),VLOOKUP($B229,Data!$B$3:$EZ1530,4,FALSE)),"")</f>
        <v>0.1399699435</v>
      </c>
      <c r="I229" s="48">
        <f>IFERROR(MINUS(DIVIDE(VLOOKUP($B229,Data!$B$3:$EZ1530,9,FALSE),VLOOKUP($B229,Data!$B$3:$EZ1530,10,FALSE)),1),"")</f>
        <v>-0.08006440281</v>
      </c>
      <c r="J229" s="48" t="str">
        <f>IFERROR(MINUS(DIVIDE(VLOOKUP($B229,Data!$B$3:$EZ1530,24,FALSE),VLOOKUP($B229,Data!$B$3:$EZ1530,25,FALSE)),1),"")</f>
        <v/>
      </c>
      <c r="K229" s="48">
        <f>IFERROR(MINUS(DIVIDE(VLOOKUP($B229,Data!$B$3:$EZ1530,29,FALSE),VLOOKUP($B229,Data!$B$3:$EZ1530,30,FALSE)),1),"")</f>
        <v>-4.613259669</v>
      </c>
      <c r="L229" s="48">
        <f>IFERROR(MINUS(DIVIDE(VLOOKUP($B229,Data!$B$3:$EZ1530,34,FALSE),VLOOKUP($B229,Data!$B$3:$EZ1530,35,FALSE)),1),"")</f>
        <v>-1.157090465</v>
      </c>
      <c r="M229" s="48">
        <f>IFERROR(MINUS(DIVIDE(VLOOKUP($B229,Data!$B$3:$EZ1530,39,FALSE),VLOOKUP($B229,Data!$B$3:$EZ1530,40,FALSE)),1),"")</f>
        <v>-4.120772947</v>
      </c>
      <c r="N229" s="48">
        <f>IFERROR(MINUS(DIVIDE(VLOOKUP($B229,Data!$B$3:$EZ1530,44,FALSE),VLOOKUP($B229,Data!$B$3:$EZ1530,45,FALSE)),1),"")</f>
        <v>1.040030211</v>
      </c>
      <c r="O229" s="50">
        <f>IFERROR(VLOOKUP($B229,Data!$B$3:$D1530,2,FALSE),"")</f>
        <v>206500</v>
      </c>
      <c r="P229" s="50">
        <f>IFERROR(VLOOKUP($B229,Data!$B$3:$D1530,3,FALSE),"")</f>
        <v>195200</v>
      </c>
      <c r="Q229" s="48">
        <f t="shared" si="2"/>
        <v>0.05788934426</v>
      </c>
      <c r="R229" s="48"/>
      <c r="S229" s="48"/>
      <c r="T229" s="48"/>
      <c r="U229" s="48"/>
      <c r="V229" s="48"/>
      <c r="W229" s="50"/>
      <c r="Z229" s="11"/>
      <c r="AA229" s="11"/>
    </row>
    <row r="230">
      <c r="A230" s="9">
        <f t="shared" si="1"/>
        <v>227</v>
      </c>
      <c r="B230" s="47" t="s">
        <v>363</v>
      </c>
      <c r="C230" s="48">
        <f>IFERROR(DIVIDE(VLOOKUP($B230,Data!$B$3:$AB$1535,9,FALSE),VLOOKUP($B230,Data!$B$3:$AB$1535,4,FALSE)),"")</f>
        <v>0.2215246637</v>
      </c>
      <c r="D230" s="48">
        <f>IFERROR(DIVIDE(VLOOKUP($B230,Data!$B$3:$AB$1535,24,FALSE),VLOOKUP($B230,Data!$B$3:$AB$1535,4,FALSE)),"")</f>
        <v>0.0466367713</v>
      </c>
      <c r="E230" s="48">
        <f>IFERROR(DIVIDE(VLOOKUP($B230,Data!$B$3:$EZ1530,29,FALSE),VLOOKUP($B230,Data!$B$3:$EZ1530,4,FALSE)),"")</f>
        <v>0.03408071749</v>
      </c>
      <c r="F230" s="48">
        <f>IFERROR(DIVIDE(VLOOKUP($B230,Data!$B$3:$EZ1530,34,FALSE),VLOOKUP($B230,Data!$B$3:$EZ1530,4,FALSE)),"")</f>
        <v>0.1210762332</v>
      </c>
      <c r="G230" s="48">
        <f>IFERROR(DIVIDE(VLOOKUP($B230,Data!$B$3:$EZ1530,39,FALSE),VLOOKUP($B230,Data!$B$3:$EZ1530,4,FALSE)),"")</f>
        <v>0.03766816143</v>
      </c>
      <c r="H230" s="48">
        <f>IFERROR(DIVIDE(VLOOKUP($B230,Data!$B$3:$EZ1530,44,FALSE),VLOOKUP($B230,Data!$B$3:$EZ1530,4,FALSE)),"")</f>
        <v>0.07533632287</v>
      </c>
      <c r="I230" s="48">
        <f>IFERROR(MINUS(DIVIDE(VLOOKUP($B230,Data!$B$3:$EZ1530,9,FALSE),VLOOKUP($B230,Data!$B$3:$EZ1530,10,FALSE)),1),"")</f>
        <v>0.6179039301</v>
      </c>
      <c r="J230" s="48">
        <f>IFERROR(MINUS(DIVIDE(VLOOKUP($B230,Data!$B$3:$EZ1530,24,FALSE),VLOOKUP($B230,Data!$B$3:$EZ1530,25,FALSE)),1),"")</f>
        <v>-3.321877744</v>
      </c>
      <c r="K230" s="48">
        <f>IFERROR(MINUS(DIVIDE(VLOOKUP($B230,Data!$B$3:$EZ1530,29,FALSE),VLOOKUP($B230,Data!$B$3:$EZ1530,30,FALSE)),1),"")</f>
        <v>-1.465306122</v>
      </c>
      <c r="L230" s="48">
        <f>IFERROR(MINUS(DIVIDE(VLOOKUP($B230,Data!$B$3:$EZ1530,34,FALSE),VLOOKUP($B230,Data!$B$3:$EZ1530,35,FALSE)),1),"")</f>
        <v>2.068181818</v>
      </c>
      <c r="M230" s="48">
        <f>IFERROR(MINUS(DIVIDE(VLOOKUP($B230,Data!$B$3:$EZ1530,39,FALSE),VLOOKUP($B230,Data!$B$3:$EZ1530,40,FALSE)),1),"")</f>
        <v>-1.6</v>
      </c>
      <c r="N230" s="48">
        <f>IFERROR(MINUS(DIVIDE(VLOOKUP($B230,Data!$B$3:$EZ1530,44,FALSE),VLOOKUP($B230,Data!$B$3:$EZ1530,45,FALSE)),1),"")</f>
        <v>7.522439041</v>
      </c>
      <c r="O230" s="50">
        <f>IFERROR(VLOOKUP($B230,Data!$B$3:$D1530,2,FALSE),"")</f>
        <v>7550000</v>
      </c>
      <c r="P230" s="50">
        <f>IFERROR(VLOOKUP($B230,Data!$B$3:$D1530,3,FALSE),"")</f>
        <v>7190000</v>
      </c>
      <c r="Q230" s="48">
        <f t="shared" si="2"/>
        <v>0.05006954103</v>
      </c>
      <c r="R230" s="48"/>
      <c r="S230" s="48"/>
      <c r="T230" s="48"/>
      <c r="U230" s="48"/>
      <c r="V230" s="48"/>
      <c r="W230" s="50"/>
      <c r="Z230" s="11"/>
      <c r="AA230" s="11"/>
    </row>
    <row r="231">
      <c r="A231" s="9">
        <f t="shared" si="1"/>
        <v>228</v>
      </c>
      <c r="B231" s="47" t="s">
        <v>364</v>
      </c>
      <c r="C231" s="48">
        <f>IFERROR(DIVIDE(VLOOKUP($B231,Data!$B$3:$AB$1535,9,FALSE),VLOOKUP($B231,Data!$B$3:$AB$1535,4,FALSE)),"")</f>
        <v>0.3266062821</v>
      </c>
      <c r="D231" s="48">
        <f>IFERROR(DIVIDE(VLOOKUP($B231,Data!$B$3:$AB$1535,24,FALSE),VLOOKUP($B231,Data!$B$3:$AB$1535,4,FALSE)),"")</f>
        <v>0</v>
      </c>
      <c r="E231" s="48">
        <f>IFERROR(DIVIDE(VLOOKUP($B231,Data!$B$3:$EZ1530,29,FALSE),VLOOKUP($B231,Data!$B$3:$EZ1530,4,FALSE)),"")</f>
        <v>0.04523544679</v>
      </c>
      <c r="F231" s="48">
        <f>IFERROR(DIVIDE(VLOOKUP($B231,Data!$B$3:$EZ1530,34,FALSE),VLOOKUP($B231,Data!$B$3:$EZ1530,4,FALSE)),"")</f>
        <v>0.06875364161</v>
      </c>
      <c r="G231" s="48">
        <f>IFERROR(DIVIDE(VLOOKUP($B231,Data!$B$3:$EZ1530,39,FALSE),VLOOKUP($B231,Data!$B$3:$EZ1530,4,FALSE)),"")</f>
        <v>0.0343238519</v>
      </c>
      <c r="H231" s="48">
        <f>IFERROR(DIVIDE(VLOOKUP($B231,Data!$B$3:$EZ1530,44,FALSE),VLOOKUP($B231,Data!$B$3:$EZ1530,4,FALSE)),"")</f>
        <v>0.03840245776</v>
      </c>
      <c r="I231" s="48">
        <f>IFERROR(MINUS(DIVIDE(VLOOKUP($B231,Data!$B$3:$EZ1530,9,FALSE),VLOOKUP($B231,Data!$B$3:$EZ1530,10,FALSE)),1),"")</f>
        <v>0.09113431251</v>
      </c>
      <c r="J231" s="48" t="str">
        <f>IFERROR(MINUS(DIVIDE(VLOOKUP($B231,Data!$B$3:$EZ1530,24,FALSE),VLOOKUP($B231,Data!$B$3:$EZ1530,25,FALSE)),1),"")</f>
        <v/>
      </c>
      <c r="K231" s="48">
        <f>IFERROR(MINUS(DIVIDE(VLOOKUP($B231,Data!$B$3:$EZ1530,29,FALSE),VLOOKUP($B231,Data!$B$3:$EZ1530,30,FALSE)),1),"")</f>
        <v>-0.3333333333</v>
      </c>
      <c r="L231" s="48">
        <f>IFERROR(MINUS(DIVIDE(VLOOKUP($B231,Data!$B$3:$EZ1530,34,FALSE),VLOOKUP($B231,Data!$B$3:$EZ1530,35,FALSE)),1),"")</f>
        <v>0.2338403042</v>
      </c>
      <c r="M231" s="48">
        <f>IFERROR(MINUS(DIVIDE(VLOOKUP($B231,Data!$B$3:$EZ1530,39,FALSE),VLOOKUP($B231,Data!$B$3:$EZ1530,40,FALSE)),1),"")</f>
        <v>-0.006134969325</v>
      </c>
      <c r="N231" s="48">
        <f>IFERROR(MINUS(DIVIDE(VLOOKUP($B231,Data!$B$3:$EZ1530,44,FALSE),VLOOKUP($B231,Data!$B$3:$EZ1530,45,FALSE)),1),"")</f>
        <v>-0.123337364</v>
      </c>
      <c r="O231" s="50" t="str">
        <f>IFERROR(VLOOKUP($B231,Data!$B$3:$D1530,2,FALSE),"")</f>
        <v/>
      </c>
      <c r="P231" s="50" t="str">
        <f>IFERROR(VLOOKUP($B231,Data!$B$3:$D1530,3,FALSE),"")</f>
        <v/>
      </c>
      <c r="Q231" s="48" t="str">
        <f t="shared" si="2"/>
        <v/>
      </c>
      <c r="R231" s="48"/>
      <c r="S231" s="48"/>
      <c r="T231" s="48"/>
      <c r="U231" s="48"/>
      <c r="V231" s="48"/>
      <c r="W231" s="50"/>
      <c r="Z231" s="15"/>
      <c r="AA231" s="15"/>
    </row>
    <row r="232">
      <c r="A232" s="9">
        <f t="shared" si="1"/>
        <v>229</v>
      </c>
      <c r="B232" s="47" t="s">
        <v>365</v>
      </c>
      <c r="C232" s="48">
        <f>IFERROR(DIVIDE(VLOOKUP($B232,Data!$B$3:$AB$1535,9,FALSE),VLOOKUP($B232,Data!$B$3:$AB$1535,4,FALSE)),"")</f>
        <v>0.4830917874</v>
      </c>
      <c r="D232" s="48">
        <f>IFERROR(DIVIDE(VLOOKUP($B232,Data!$B$3:$AB$1535,24,FALSE),VLOOKUP($B232,Data!$B$3:$AB$1535,4,FALSE)),"")</f>
        <v>0.1474879227</v>
      </c>
      <c r="E232" s="48">
        <f>IFERROR(DIVIDE(VLOOKUP($B232,Data!$B$3:$EZ1530,29,FALSE),VLOOKUP($B232,Data!$B$3:$EZ1530,4,FALSE)),"")</f>
        <v>0.1354589372</v>
      </c>
      <c r="F232" s="48">
        <f>IFERROR(DIVIDE(VLOOKUP($B232,Data!$B$3:$EZ1530,34,FALSE),VLOOKUP($B232,Data!$B$3:$EZ1530,4,FALSE)),"")</f>
        <v>0.1881642512</v>
      </c>
      <c r="G232" s="48">
        <f>IFERROR(DIVIDE(VLOOKUP($B232,Data!$B$3:$EZ1530,39,FALSE),VLOOKUP($B232,Data!$B$3:$EZ1530,4,FALSE)),"")</f>
        <v>0.09526570048</v>
      </c>
      <c r="H232" s="48">
        <f>IFERROR(DIVIDE(VLOOKUP($B232,Data!$B$3:$EZ1530,44,FALSE),VLOOKUP($B232,Data!$B$3:$EZ1530,4,FALSE)),"")</f>
        <v>0.1030917874</v>
      </c>
      <c r="I232" s="48">
        <f>IFERROR(MINUS(DIVIDE(VLOOKUP($B232,Data!$B$3:$EZ1530,9,FALSE),VLOOKUP($B232,Data!$B$3:$EZ1530,10,FALSE)),1),"")</f>
        <v>0.1071744907</v>
      </c>
      <c r="J232" s="48">
        <f>IFERROR(MINUS(DIVIDE(VLOOKUP($B232,Data!$B$3:$EZ1530,24,FALSE),VLOOKUP($B232,Data!$B$3:$EZ1530,25,FALSE)),1),"")</f>
        <v>0.1944444444</v>
      </c>
      <c r="K232" s="48">
        <f>IFERROR(MINUS(DIVIDE(VLOOKUP($B232,Data!$B$3:$EZ1530,29,FALSE),VLOOKUP($B232,Data!$B$3:$EZ1530,30,FALSE)),1),"")</f>
        <v>0.1458929301</v>
      </c>
      <c r="L232" s="48">
        <f>IFERROR(MINUS(DIVIDE(VLOOKUP($B232,Data!$B$3:$EZ1530,34,FALSE),VLOOKUP($B232,Data!$B$3:$EZ1530,35,FALSE)),1),"")</f>
        <v>0.1283314021</v>
      </c>
      <c r="M232" s="48">
        <f>IFERROR(MINUS(DIVIDE(VLOOKUP($B232,Data!$B$3:$EZ1530,39,FALSE),VLOOKUP($B232,Data!$B$3:$EZ1530,40,FALSE)),1),"")</f>
        <v>0.09738452977</v>
      </c>
      <c r="N232" s="48">
        <f>IFERROR(MINUS(DIVIDE(VLOOKUP($B232,Data!$B$3:$EZ1530,44,FALSE),VLOOKUP($B232,Data!$B$3:$EZ1530,45,FALSE)),1),"")</f>
        <v>-0.1097204839</v>
      </c>
      <c r="O232" s="50">
        <f>IFERROR(VLOOKUP($B232,Data!$B$3:$D1530,2,FALSE),"")</f>
        <v>2120000</v>
      </c>
      <c r="P232" s="50">
        <f>IFERROR(VLOOKUP($B232,Data!$B$3:$D1530,3,FALSE),"")</f>
        <v>1920000</v>
      </c>
      <c r="Q232" s="48">
        <f t="shared" si="2"/>
        <v>0.1041666667</v>
      </c>
      <c r="R232" s="48"/>
      <c r="S232" s="48"/>
      <c r="T232" s="48"/>
      <c r="U232" s="48"/>
      <c r="V232" s="48"/>
      <c r="W232" s="50"/>
      <c r="Z232" s="15"/>
      <c r="AA232" s="15"/>
    </row>
    <row r="233">
      <c r="A233" s="9">
        <f t="shared" si="1"/>
        <v>230</v>
      </c>
      <c r="B233" s="47" t="s">
        <v>366</v>
      </c>
      <c r="C233" s="48">
        <f>IFERROR(DIVIDE(VLOOKUP($B233,Data!$B$3:$AB$1535,9,FALSE),VLOOKUP($B233,Data!$B$3:$AB$1535,4,FALSE)),"")</f>
        <v>0.3739770763</v>
      </c>
      <c r="D233" s="48">
        <f>IFERROR(DIVIDE(VLOOKUP($B233,Data!$B$3:$AB$1535,24,FALSE),VLOOKUP($B233,Data!$B$3:$AB$1535,4,FALSE)),"")</f>
        <v>0.04059678555</v>
      </c>
      <c r="E233" s="48">
        <f>IFERROR(DIVIDE(VLOOKUP($B233,Data!$B$3:$EZ1530,29,FALSE),VLOOKUP($B233,Data!$B$3:$EZ1530,4,FALSE)),"")</f>
        <v>0.01208938977</v>
      </c>
      <c r="F233" s="48">
        <f>IFERROR(DIVIDE(VLOOKUP($B233,Data!$B$3:$EZ1530,34,FALSE),VLOOKUP($B233,Data!$B$3:$EZ1530,4,FALSE)),"")</f>
        <v>0.1403342511</v>
      </c>
      <c r="G233" s="48">
        <f>IFERROR(DIVIDE(VLOOKUP($B233,Data!$B$3:$EZ1530,39,FALSE),VLOOKUP($B233,Data!$B$3:$EZ1530,4,FALSE)),"")</f>
        <v>0.01223026189</v>
      </c>
      <c r="H233" s="48">
        <f>IFERROR(DIVIDE(VLOOKUP($B233,Data!$B$3:$EZ1530,44,FALSE),VLOOKUP($B233,Data!$B$3:$EZ1530,4,FALSE)),"")</f>
        <v>0.1164116027</v>
      </c>
      <c r="I233" s="48">
        <f>IFERROR(MINUS(DIVIDE(VLOOKUP($B233,Data!$B$3:$EZ1530,9,FALSE),VLOOKUP($B233,Data!$B$3:$EZ1530,10,FALSE)),1),"")</f>
        <v>0.2879068537</v>
      </c>
      <c r="J233" s="48">
        <f>IFERROR(MINUS(DIVIDE(VLOOKUP($B233,Data!$B$3:$EZ1530,24,FALSE),VLOOKUP($B233,Data!$B$3:$EZ1530,25,FALSE)),1),"")</f>
        <v>0.00923272843</v>
      </c>
      <c r="K233" s="48">
        <f>IFERROR(MINUS(DIVIDE(VLOOKUP($B233,Data!$B$3:$EZ1530,29,FALSE),VLOOKUP($B233,Data!$B$3:$EZ1530,30,FALSE)),1),"")</f>
        <v>-0.5388373229</v>
      </c>
      <c r="L233" s="48">
        <f>IFERROR(MINUS(DIVIDE(VLOOKUP($B233,Data!$B$3:$EZ1530,34,FALSE),VLOOKUP($B233,Data!$B$3:$EZ1530,35,FALSE)),1),"")</f>
        <v>0.540776153</v>
      </c>
      <c r="M233" s="48">
        <f>IFERROR(MINUS(DIVIDE(VLOOKUP($B233,Data!$B$3:$EZ1530,39,FALSE),VLOOKUP($B233,Data!$B$3:$EZ1530,40,FALSE)),1),"")</f>
        <v>-0.8592068406</v>
      </c>
      <c r="N233" s="48">
        <f>IFERROR(MINUS(DIVIDE(VLOOKUP($B233,Data!$B$3:$EZ1530,44,FALSE),VLOOKUP($B233,Data!$B$3:$EZ1530,45,FALSE)),1),"")</f>
        <v>0.2290427258</v>
      </c>
      <c r="O233" s="50">
        <f>IFERROR(VLOOKUP($B233,Data!$B$3:$D1530,2,FALSE),"")</f>
        <v>916550</v>
      </c>
      <c r="P233" s="50">
        <f>IFERROR(VLOOKUP($B233,Data!$B$3:$D1530,3,FALSE),"")</f>
        <v>846940</v>
      </c>
      <c r="Q233" s="48">
        <f t="shared" si="2"/>
        <v>0.08219000165</v>
      </c>
      <c r="R233" s="48"/>
      <c r="S233" s="48"/>
      <c r="T233" s="48"/>
      <c r="U233" s="48"/>
      <c r="V233" s="48"/>
      <c r="W233" s="50"/>
      <c r="Z233" s="15"/>
      <c r="AA233" s="15"/>
    </row>
    <row r="234">
      <c r="A234" s="9">
        <f t="shared" si="1"/>
        <v>231</v>
      </c>
      <c r="B234" s="47" t="s">
        <v>367</v>
      </c>
      <c r="C234" s="48">
        <f>IFERROR(DIVIDE(VLOOKUP($B234,Data!$B$3:$AB$1535,9,FALSE),VLOOKUP($B234,Data!$B$3:$AB$1535,4,FALSE)),"")</f>
        <v>0.5790439957</v>
      </c>
      <c r="D234" s="48">
        <f>IFERROR(DIVIDE(VLOOKUP($B234,Data!$B$3:$AB$1535,24,FALSE),VLOOKUP($B234,Data!$B$3:$AB$1535,4,FALSE)),"")</f>
        <v>0.0009467141498</v>
      </c>
      <c r="E234" s="48">
        <f>IFERROR(DIVIDE(VLOOKUP($B234,Data!$B$3:$EZ1530,29,FALSE),VLOOKUP($B234,Data!$B$3:$EZ1530,4,FALSE)),"")</f>
        <v>-0.00384879117</v>
      </c>
      <c r="F234" s="48">
        <f>IFERROR(DIVIDE(VLOOKUP($B234,Data!$B$3:$EZ1530,34,FALSE),VLOOKUP($B234,Data!$B$3:$EZ1530,4,FALSE)),"")</f>
        <v>0.04974673185</v>
      </c>
      <c r="G234" s="48">
        <f>IFERROR(DIVIDE(VLOOKUP($B234,Data!$B$3:$EZ1530,39,FALSE),VLOOKUP($B234,Data!$B$3:$EZ1530,4,FALSE)),"")</f>
        <v>-0.00426906147</v>
      </c>
      <c r="H234" s="48">
        <f>IFERROR(DIVIDE(VLOOKUP($B234,Data!$B$3:$EZ1530,44,FALSE),VLOOKUP($B234,Data!$B$3:$EZ1530,4,FALSE)),"")</f>
        <v>0.02169921918</v>
      </c>
      <c r="I234" s="48">
        <f>IFERROR(MINUS(DIVIDE(VLOOKUP($B234,Data!$B$3:$EZ1530,9,FALSE),VLOOKUP($B234,Data!$B$3:$EZ1530,10,FALSE)),1),"")</f>
        <v>-0.01664099771</v>
      </c>
      <c r="J234" s="48">
        <f>IFERROR(MINUS(DIVIDE(VLOOKUP($B234,Data!$B$3:$EZ1530,24,FALSE),VLOOKUP($B234,Data!$B$3:$EZ1530,25,FALSE)),1),"")</f>
        <v>-0.973081761</v>
      </c>
      <c r="K234" s="48">
        <f>IFERROR(MINUS(DIVIDE(VLOOKUP($B234,Data!$B$3:$EZ1530,29,FALSE),VLOOKUP($B234,Data!$B$3:$EZ1530,30,FALSE)),1),"")</f>
        <v>-1.142506143</v>
      </c>
      <c r="L234" s="48">
        <f>IFERROR(MINUS(DIVIDE(VLOOKUP($B234,Data!$B$3:$EZ1530,34,FALSE),VLOOKUP($B234,Data!$B$3:$EZ1530,35,FALSE)),1),"")</f>
        <v>-0.2777777778</v>
      </c>
      <c r="M234" s="48">
        <f>IFERROR(MINUS(DIVIDE(VLOOKUP($B234,Data!$B$3:$EZ1530,39,FALSE),VLOOKUP($B234,Data!$B$3:$EZ1530,40,FALSE)),1),"")</f>
        <v>-1.234793187</v>
      </c>
      <c r="N234" s="48">
        <f>IFERROR(MINUS(DIVIDE(VLOOKUP($B234,Data!$B$3:$EZ1530,44,FALSE),VLOOKUP($B234,Data!$B$3:$EZ1530,45,FALSE)),1),"")</f>
        <v>-0.6581881533</v>
      </c>
      <c r="O234" s="50">
        <f>IFERROR(VLOOKUP($B234,Data!$B$3:$D1530,2,FALSE),"")</f>
        <v>396530</v>
      </c>
      <c r="P234" s="50">
        <f>IFERROR(VLOOKUP($B234,Data!$B$3:$D1530,3,FALSE),"")</f>
        <v>349120</v>
      </c>
      <c r="Q234" s="48">
        <f t="shared" si="2"/>
        <v>0.1357985793</v>
      </c>
      <c r="R234" s="48"/>
      <c r="S234" s="48"/>
      <c r="T234" s="48"/>
      <c r="U234" s="48"/>
      <c r="V234" s="48"/>
      <c r="W234" s="50"/>
      <c r="Z234" s="11"/>
      <c r="AA234" s="11"/>
    </row>
    <row r="235">
      <c r="A235" s="9">
        <f t="shared" si="1"/>
        <v>232</v>
      </c>
      <c r="B235" s="47" t="s">
        <v>368</v>
      </c>
      <c r="C235" s="48" t="str">
        <f>IFERROR(DIVIDE(VLOOKUP($B235,Data!$B$3:$AB$1535,9,FALSE),VLOOKUP($B235,Data!$B$3:$AB$1535,4,FALSE)),"")</f>
        <v/>
      </c>
      <c r="D235" s="48" t="str">
        <f>IFERROR(DIVIDE(VLOOKUP($B235,Data!$B$3:$AB$1535,24,FALSE),VLOOKUP($B235,Data!$B$3:$AB$1535,4,FALSE)),"")</f>
        <v/>
      </c>
      <c r="E235" s="48" t="str">
        <f>IFERROR(DIVIDE(VLOOKUP($B235,Data!$B$3:$EZ1530,29,FALSE),VLOOKUP($B235,Data!$B$3:$EZ1530,4,FALSE)),"")</f>
        <v/>
      </c>
      <c r="F235" s="48" t="str">
        <f>IFERROR(DIVIDE(VLOOKUP($B235,Data!$B$3:$EZ1530,34,FALSE),VLOOKUP($B235,Data!$B$3:$EZ1530,4,FALSE)),"")</f>
        <v/>
      </c>
      <c r="G235" s="48" t="str">
        <f>IFERROR(DIVIDE(VLOOKUP($B235,Data!$B$3:$EZ1530,39,FALSE),VLOOKUP($B235,Data!$B$3:$EZ1530,4,FALSE)),"")</f>
        <v/>
      </c>
      <c r="H235" s="48" t="str">
        <f>IFERROR(DIVIDE(VLOOKUP($B235,Data!$B$3:$EZ1530,44,FALSE),VLOOKUP($B235,Data!$B$3:$EZ1530,4,FALSE)),"")</f>
        <v/>
      </c>
      <c r="I235" s="48">
        <f>IFERROR(MINUS(DIVIDE(VLOOKUP($B235,Data!$B$3:$EZ1530,9,FALSE),VLOOKUP($B235,Data!$B$3:$EZ1530,10,FALSE)),1),"")</f>
        <v>3.5</v>
      </c>
      <c r="J235" s="48" t="str">
        <f>IFERROR(MINUS(DIVIDE(VLOOKUP($B235,Data!$B$3:$EZ1530,24,FALSE),VLOOKUP($B235,Data!$B$3:$EZ1530,25,FALSE)),1),"")</f>
        <v/>
      </c>
      <c r="K235" s="48">
        <f>IFERROR(MINUS(DIVIDE(VLOOKUP($B235,Data!$B$3:$EZ1530,29,FALSE),VLOOKUP($B235,Data!$B$3:$EZ1530,30,FALSE)),1),"")</f>
        <v>0.9982608696</v>
      </c>
      <c r="L235" s="48">
        <f>IFERROR(MINUS(DIVIDE(VLOOKUP($B235,Data!$B$3:$EZ1530,34,FALSE),VLOOKUP($B235,Data!$B$3:$EZ1530,35,FALSE)),1),"")</f>
        <v>0.8092753623</v>
      </c>
      <c r="M235" s="48">
        <f>IFERROR(MINUS(DIVIDE(VLOOKUP($B235,Data!$B$3:$EZ1530,39,FALSE),VLOOKUP($B235,Data!$B$3:$EZ1530,40,FALSE)),1),"")</f>
        <v>0.9739130435</v>
      </c>
      <c r="N235" s="48">
        <f>IFERROR(MINUS(DIVIDE(VLOOKUP($B235,Data!$B$3:$EZ1530,44,FALSE),VLOOKUP($B235,Data!$B$3:$EZ1530,45,FALSE)),1),"")</f>
        <v>0.5097465887</v>
      </c>
      <c r="O235" s="50">
        <f>IFERROR(VLOOKUP($B235,Data!$B$3:$D1530,2,FALSE),"")</f>
        <v>90990</v>
      </c>
      <c r="P235" s="50">
        <f>IFERROR(VLOOKUP($B235,Data!$B$3:$D1530,3,FALSE),"")</f>
        <v>1340</v>
      </c>
      <c r="Q235" s="48">
        <f t="shared" si="2"/>
        <v>66.90298507</v>
      </c>
      <c r="R235" s="48"/>
      <c r="S235" s="48"/>
      <c r="T235" s="48"/>
      <c r="U235" s="48"/>
      <c r="V235" s="48"/>
      <c r="W235" s="50"/>
      <c r="Z235" s="15"/>
      <c r="AA235" s="15"/>
    </row>
    <row r="236">
      <c r="A236" s="9">
        <f t="shared" si="1"/>
        <v>233</v>
      </c>
      <c r="B236" s="47" t="s">
        <v>369</v>
      </c>
      <c r="C236" s="48">
        <f>IFERROR(DIVIDE(VLOOKUP($B236,Data!$B$3:$AB$1535,9,FALSE),VLOOKUP($B236,Data!$B$3:$AB$1535,4,FALSE)),"")</f>
        <v>0</v>
      </c>
      <c r="D236" s="48">
        <f>IFERROR(DIVIDE(VLOOKUP($B236,Data!$B$3:$AB$1535,24,FALSE),VLOOKUP($B236,Data!$B$3:$AB$1535,4,FALSE)),"")</f>
        <v>0</v>
      </c>
      <c r="E236" s="48">
        <f>IFERROR(DIVIDE(VLOOKUP($B236,Data!$B$3:$EZ1530,29,FALSE),VLOOKUP($B236,Data!$B$3:$EZ1530,4,FALSE)),"")</f>
        <v>0.793401414</v>
      </c>
      <c r="F236" s="48">
        <f>IFERROR(DIVIDE(VLOOKUP($B236,Data!$B$3:$EZ1530,34,FALSE),VLOOKUP($B236,Data!$B$3:$EZ1530,4,FALSE)),"")</f>
        <v>0.7439120189</v>
      </c>
      <c r="G236" s="48">
        <f>IFERROR(DIVIDE(VLOOKUP($B236,Data!$B$3:$EZ1530,39,FALSE),VLOOKUP($B236,Data!$B$3:$EZ1530,4,FALSE)),"")</f>
        <v>0.6407436502</v>
      </c>
      <c r="H236" s="48">
        <f>IFERROR(DIVIDE(VLOOKUP($B236,Data!$B$3:$EZ1530,44,FALSE),VLOOKUP($B236,Data!$B$3:$EZ1530,4,FALSE)),"")</f>
        <v>0.5836606441</v>
      </c>
      <c r="I236" s="48" t="str">
        <f>IFERROR(MINUS(DIVIDE(VLOOKUP($B236,Data!$B$3:$EZ1530,9,FALSE),VLOOKUP($B236,Data!$B$3:$EZ1530,10,FALSE)),1),"")</f>
        <v/>
      </c>
      <c r="J236" s="48" t="str">
        <f>IFERROR(MINUS(DIVIDE(VLOOKUP($B236,Data!$B$3:$EZ1530,24,FALSE),VLOOKUP($B236,Data!$B$3:$EZ1530,25,FALSE)),1),"")</f>
        <v/>
      </c>
      <c r="K236" s="48">
        <f>IFERROR(MINUS(DIVIDE(VLOOKUP($B236,Data!$B$3:$EZ1530,29,FALSE),VLOOKUP($B236,Data!$B$3:$EZ1530,30,FALSE)),1),"")</f>
        <v>0.2217741935</v>
      </c>
      <c r="L236" s="48">
        <f>IFERROR(MINUS(DIVIDE(VLOOKUP($B236,Data!$B$3:$EZ1530,34,FALSE),VLOOKUP($B236,Data!$B$3:$EZ1530,35,FALSE)),1),"")</f>
        <v>0.2104814657</v>
      </c>
      <c r="M236" s="48">
        <f>IFERROR(MINUS(DIVIDE(VLOOKUP($B236,Data!$B$3:$EZ1530,39,FALSE),VLOOKUP($B236,Data!$B$3:$EZ1530,40,FALSE)),1),"")</f>
        <v>0.2204488778</v>
      </c>
      <c r="N236" s="48">
        <f>IFERROR(MINUS(DIVIDE(VLOOKUP($B236,Data!$B$3:$EZ1530,44,FALSE),VLOOKUP($B236,Data!$B$3:$EZ1530,45,FALSE)),1),"")</f>
        <v>0.2571912014</v>
      </c>
      <c r="O236" s="50">
        <f>IFERROR(VLOOKUP($B236,Data!$B$3:$D1530,2,FALSE),"")</f>
        <v>61790</v>
      </c>
      <c r="P236" s="50">
        <f>IFERROR(VLOOKUP($B236,Data!$B$3:$D1530,3,FALSE),"")</f>
        <v>28530</v>
      </c>
      <c r="Q236" s="48">
        <f t="shared" si="2"/>
        <v>1.165790396</v>
      </c>
      <c r="R236" s="48"/>
      <c r="S236" s="48"/>
      <c r="T236" s="48"/>
      <c r="U236" s="48"/>
      <c r="V236" s="48"/>
      <c r="W236" s="50"/>
      <c r="Z236" s="11"/>
      <c r="AA236" s="11"/>
    </row>
    <row r="237">
      <c r="A237" s="9">
        <f t="shared" si="1"/>
        <v>234</v>
      </c>
      <c r="B237" s="47" t="s">
        <v>370</v>
      </c>
      <c r="C237" s="48">
        <f>IFERROR(DIVIDE(VLOOKUP($B237,Data!$B$3:$AB$1535,9,FALSE),VLOOKUP($B237,Data!$B$3:$AB$1535,4,FALSE)),"")</f>
        <v>0.6405959032</v>
      </c>
      <c r="D237" s="48">
        <f>IFERROR(DIVIDE(VLOOKUP($B237,Data!$B$3:$AB$1535,24,FALSE),VLOOKUP($B237,Data!$B$3:$AB$1535,4,FALSE)),"")</f>
        <v>0.1024208566</v>
      </c>
      <c r="E237" s="48">
        <f>IFERROR(DIVIDE(VLOOKUP($B237,Data!$B$3:$EZ1530,29,FALSE),VLOOKUP($B237,Data!$B$3:$EZ1530,4,FALSE)),"")</f>
        <v>0.06396648045</v>
      </c>
      <c r="F237" s="48">
        <f>IFERROR(DIVIDE(VLOOKUP($B237,Data!$B$3:$EZ1530,34,FALSE),VLOOKUP($B237,Data!$B$3:$EZ1530,4,FALSE)),"")</f>
        <v>0.2532588454</v>
      </c>
      <c r="G237" s="48">
        <f>IFERROR(DIVIDE(VLOOKUP($B237,Data!$B$3:$EZ1530,39,FALSE),VLOOKUP($B237,Data!$B$3:$EZ1530,4,FALSE)),"")</f>
        <v>0.4376163873</v>
      </c>
      <c r="H237" s="48">
        <f>IFERROR(DIVIDE(VLOOKUP($B237,Data!$B$3:$EZ1530,44,FALSE),VLOOKUP($B237,Data!$B$3:$EZ1530,4,FALSE)),"")</f>
        <v>0.1713221601</v>
      </c>
      <c r="I237" s="48">
        <f>IFERROR(MINUS(DIVIDE(VLOOKUP($B237,Data!$B$3:$EZ1530,9,FALSE),VLOOKUP($B237,Data!$B$3:$EZ1530,10,FALSE)),1),"")</f>
        <v>0.06172839506</v>
      </c>
      <c r="J237" s="48">
        <f>IFERROR(MINUS(DIVIDE(VLOOKUP($B237,Data!$B$3:$EZ1530,24,FALSE),VLOOKUP($B237,Data!$B$3:$EZ1530,25,FALSE)),1),"")</f>
        <v>-0.2993630573</v>
      </c>
      <c r="K237" s="48">
        <f>IFERROR(MINUS(DIVIDE(VLOOKUP($B237,Data!$B$3:$EZ1530,29,FALSE),VLOOKUP($B237,Data!$B$3:$EZ1530,30,FALSE)),1),"")</f>
        <v>-0.5161971831</v>
      </c>
      <c r="L237" s="48">
        <f>IFERROR(MINUS(DIVIDE(VLOOKUP($B237,Data!$B$3:$EZ1530,34,FALSE),VLOOKUP($B237,Data!$B$3:$EZ1530,35,FALSE)),1),"")</f>
        <v>0.03422053232</v>
      </c>
      <c r="M237" s="48">
        <f>IFERROR(MINUS(DIVIDE(VLOOKUP($B237,Data!$B$3:$EZ1530,39,FALSE),VLOOKUP($B237,Data!$B$3:$EZ1530,40,FALSE)),1),"")</f>
        <v>1.814371257</v>
      </c>
      <c r="N237" s="48">
        <f>IFERROR(MINUS(DIVIDE(VLOOKUP($B237,Data!$B$3:$EZ1530,44,FALSE),VLOOKUP($B237,Data!$B$3:$EZ1530,45,FALSE)),1),"")</f>
        <v>4.935483871</v>
      </c>
      <c r="O237" s="50">
        <f>IFERROR(VLOOKUP($B237,Data!$B$3:$D1530,2,FALSE),"")</f>
        <v>11810000</v>
      </c>
      <c r="P237" s="50">
        <f>IFERROR(VLOOKUP($B237,Data!$B$3:$D1530,3,FALSE),"")</f>
        <v>9710000</v>
      </c>
      <c r="Q237" s="48">
        <f t="shared" si="2"/>
        <v>0.2162718847</v>
      </c>
      <c r="R237" s="48"/>
      <c r="S237" s="48"/>
      <c r="T237" s="48"/>
      <c r="U237" s="48"/>
      <c r="V237" s="48"/>
      <c r="W237" s="50"/>
      <c r="Z237" s="11"/>
      <c r="AA237" s="11"/>
    </row>
    <row r="238">
      <c r="A238" s="9">
        <f t="shared" si="1"/>
        <v>235</v>
      </c>
      <c r="B238" s="47" t="s">
        <v>371</v>
      </c>
      <c r="C238" s="48" t="str">
        <f>IFERROR(DIVIDE(VLOOKUP($B238,Data!$B$3:$AB$1535,9,FALSE),VLOOKUP($B238,Data!$B$3:$AB$1535,4,FALSE)),"")</f>
        <v/>
      </c>
      <c r="D238" s="48" t="str">
        <f>IFERROR(DIVIDE(VLOOKUP($B238,Data!$B$3:$AB$1535,24,FALSE),VLOOKUP($B238,Data!$B$3:$AB$1535,4,FALSE)),"")</f>
        <v/>
      </c>
      <c r="E238" s="48" t="str">
        <f>IFERROR(DIVIDE(VLOOKUP($B238,Data!$B$3:$EZ1530,29,FALSE),VLOOKUP($B238,Data!$B$3:$EZ1530,4,FALSE)),"")</f>
        <v/>
      </c>
      <c r="F238" s="48" t="str">
        <f>IFERROR(DIVIDE(VLOOKUP($B238,Data!$B$3:$EZ1530,34,FALSE),VLOOKUP($B238,Data!$B$3:$EZ1530,4,FALSE)),"")</f>
        <v/>
      </c>
      <c r="G238" s="48" t="str">
        <f>IFERROR(DIVIDE(VLOOKUP($B238,Data!$B$3:$EZ1530,39,FALSE),VLOOKUP($B238,Data!$B$3:$EZ1530,4,FALSE)),"")</f>
        <v/>
      </c>
      <c r="H238" s="48" t="str">
        <f>IFERROR(DIVIDE(VLOOKUP($B238,Data!$B$3:$EZ1530,44,FALSE),VLOOKUP($B238,Data!$B$3:$EZ1530,4,FALSE)),"")</f>
        <v/>
      </c>
      <c r="I238" s="48">
        <f>IFERROR(MINUS(DIVIDE(VLOOKUP($B238,Data!$B$3:$EZ1530,9,FALSE),VLOOKUP($B238,Data!$B$3:$EZ1530,10,FALSE)),1),"")</f>
        <v>8.176470588</v>
      </c>
      <c r="J238" s="48" t="str">
        <f>IFERROR(MINUS(DIVIDE(VLOOKUP($B238,Data!$B$3:$EZ1530,24,FALSE),VLOOKUP($B238,Data!$B$3:$EZ1530,25,FALSE)),1),"")</f>
        <v/>
      </c>
      <c r="K238" s="48">
        <f>IFERROR(MINUS(DIVIDE(VLOOKUP($B238,Data!$B$3:$EZ1530,29,FALSE),VLOOKUP($B238,Data!$B$3:$EZ1530,30,FALSE)),1),"")</f>
        <v>0.7109496627</v>
      </c>
      <c r="L238" s="48">
        <f>IFERROR(MINUS(DIVIDE(VLOOKUP($B238,Data!$B$3:$EZ1530,34,FALSE),VLOOKUP($B238,Data!$B$3:$EZ1530,35,FALSE)),1),"")</f>
        <v>0.6766917293</v>
      </c>
      <c r="M238" s="48">
        <f>IFERROR(MINUS(DIVIDE(VLOOKUP($B238,Data!$B$3:$EZ1530,39,FALSE),VLOOKUP($B238,Data!$B$3:$EZ1530,40,FALSE)),1),"")</f>
        <v>0.7109496627</v>
      </c>
      <c r="N238" s="48">
        <f>IFERROR(MINUS(DIVIDE(VLOOKUP($B238,Data!$B$3:$EZ1530,44,FALSE),VLOOKUP($B238,Data!$B$3:$EZ1530,45,FALSE)),1),"")</f>
        <v>1.019245004</v>
      </c>
      <c r="O238" s="50">
        <f>IFERROR(VLOOKUP($B238,Data!$B$3:$D1530,2,FALSE),"")</f>
        <v>11650</v>
      </c>
      <c r="P238" s="50" t="str">
        <f>IFERROR(VLOOKUP($B238,Data!$B$3:$D1530,3,FALSE),"")</f>
        <v/>
      </c>
      <c r="Q238" s="48" t="str">
        <f t="shared" si="2"/>
        <v/>
      </c>
      <c r="R238" s="48"/>
      <c r="S238" s="48"/>
      <c r="T238" s="48"/>
      <c r="U238" s="48"/>
      <c r="V238" s="48"/>
      <c r="W238" s="50"/>
      <c r="Z238" s="11"/>
      <c r="AA238" s="11"/>
    </row>
    <row r="239">
      <c r="A239" s="9">
        <f t="shared" si="1"/>
        <v>236</v>
      </c>
      <c r="B239" s="47" t="s">
        <v>372</v>
      </c>
      <c r="C239" s="48">
        <f>IFERROR(DIVIDE(VLOOKUP($B239,Data!$B$3:$AB$1535,9,FALSE),VLOOKUP($B239,Data!$B$3:$AB$1535,4,FALSE)),"")</f>
        <v>0.3906601307</v>
      </c>
      <c r="D239" s="48">
        <f>IFERROR(DIVIDE(VLOOKUP($B239,Data!$B$3:$AB$1535,24,FALSE),VLOOKUP($B239,Data!$B$3:$AB$1535,4,FALSE)),"")</f>
        <v>0.4065620915</v>
      </c>
      <c r="E239" s="48">
        <f>IFERROR(DIVIDE(VLOOKUP($B239,Data!$B$3:$EZ1530,29,FALSE),VLOOKUP($B239,Data!$B$3:$EZ1530,4,FALSE)),"")</f>
        <v>0.4173856209</v>
      </c>
      <c r="F239" s="48">
        <f>IFERROR(DIVIDE(VLOOKUP($B239,Data!$B$3:$EZ1530,34,FALSE),VLOOKUP($B239,Data!$B$3:$EZ1530,4,FALSE)),"")</f>
        <v>0.5436797386</v>
      </c>
      <c r="G239" s="48">
        <f>IFERROR(DIVIDE(VLOOKUP($B239,Data!$B$3:$EZ1530,39,FALSE),VLOOKUP($B239,Data!$B$3:$EZ1530,4,FALSE)),"")</f>
        <v>0.248379085</v>
      </c>
      <c r="H239" s="48">
        <f>IFERROR(DIVIDE(VLOOKUP($B239,Data!$B$3:$EZ1530,44,FALSE),VLOOKUP($B239,Data!$B$3:$EZ1530,4,FALSE)),"")</f>
        <v>0.4072614379</v>
      </c>
      <c r="I239" s="48">
        <f>IFERROR(MINUS(DIVIDE(VLOOKUP($B239,Data!$B$3:$EZ1530,9,FALSE),VLOOKUP($B239,Data!$B$3:$EZ1530,10,FALSE)),1),"")</f>
        <v>0.2112387784</v>
      </c>
      <c r="J239" s="48">
        <f>IFERROR(MINUS(DIVIDE(VLOOKUP($B239,Data!$B$3:$EZ1530,24,FALSE),VLOOKUP($B239,Data!$B$3:$EZ1530,25,FALSE)),1),"")</f>
        <v>-40.49460317</v>
      </c>
      <c r="K239" s="48">
        <f>IFERROR(MINUS(DIVIDE(VLOOKUP($B239,Data!$B$3:$EZ1530,29,FALSE),VLOOKUP($B239,Data!$B$3:$EZ1530,30,FALSE)),1),"")</f>
        <v>0.8443853974</v>
      </c>
      <c r="L239" s="48">
        <f>IFERROR(MINUS(DIVIDE(VLOOKUP($B239,Data!$B$3:$EZ1530,34,FALSE),VLOOKUP($B239,Data!$B$3:$EZ1530,35,FALSE)),1),"")</f>
        <v>0.1544375824</v>
      </c>
      <c r="M239" s="48">
        <f>IFERROR(MINUS(DIVIDE(VLOOKUP($B239,Data!$B$3:$EZ1530,39,FALSE),VLOOKUP($B239,Data!$B$3:$EZ1530,40,FALSE)),1),"")</f>
        <v>1.472478855</v>
      </c>
      <c r="N239" s="48">
        <f>IFERROR(MINUS(DIVIDE(VLOOKUP($B239,Data!$B$3:$EZ1530,44,FALSE),VLOOKUP($B239,Data!$B$3:$EZ1530,45,FALSE)),1),"")</f>
        <v>0.1611322302</v>
      </c>
      <c r="O239" s="50">
        <f>IFERROR(VLOOKUP($B239,Data!$B$3:$D1530,2,FALSE),"")</f>
        <v>1200000</v>
      </c>
      <c r="P239" s="50">
        <f>IFERROR(VLOOKUP($B239,Data!$B$3:$D1530,3,FALSE),"")</f>
        <v>683010</v>
      </c>
      <c r="Q239" s="48">
        <f t="shared" si="2"/>
        <v>0.7569288883</v>
      </c>
      <c r="R239" s="48"/>
      <c r="S239" s="48"/>
      <c r="T239" s="48"/>
      <c r="U239" s="48"/>
      <c r="V239" s="48"/>
      <c r="W239" s="50"/>
      <c r="Z239" s="11"/>
      <c r="AA239" s="11"/>
    </row>
    <row r="240">
      <c r="A240" s="9">
        <f t="shared" si="1"/>
        <v>237</v>
      </c>
      <c r="B240" s="47" t="s">
        <v>373</v>
      </c>
      <c r="C240" s="48">
        <f>IFERROR(DIVIDE(VLOOKUP($B240,Data!$B$3:$AB$1535,9,FALSE),VLOOKUP($B240,Data!$B$3:$AB$1535,4,FALSE)),"")</f>
        <v>0.6691148048</v>
      </c>
      <c r="D240" s="48">
        <f>IFERROR(DIVIDE(VLOOKUP($B240,Data!$B$3:$AB$1535,24,FALSE),VLOOKUP($B240,Data!$B$3:$AB$1535,4,FALSE)),"")</f>
        <v>0.3320448396</v>
      </c>
      <c r="E240" s="48">
        <f>IFERROR(DIVIDE(VLOOKUP($B240,Data!$B$3:$EZ1530,29,FALSE),VLOOKUP($B240,Data!$B$3:$EZ1530,4,FALSE)),"")</f>
        <v>0.2864321608</v>
      </c>
      <c r="F240" s="48">
        <f>IFERROR(DIVIDE(VLOOKUP($B240,Data!$B$3:$EZ1530,34,FALSE),VLOOKUP($B240,Data!$B$3:$EZ1530,4,FALSE)),"")</f>
        <v>0.4623115578</v>
      </c>
      <c r="G240" s="48">
        <f>IFERROR(DIVIDE(VLOOKUP($B240,Data!$B$3:$EZ1530,39,FALSE),VLOOKUP($B240,Data!$B$3:$EZ1530,4,FALSE)),"")</f>
        <v>0.2203324314</v>
      </c>
      <c r="H240" s="48">
        <f>IFERROR(DIVIDE(VLOOKUP($B240,Data!$B$3:$EZ1530,44,FALSE),VLOOKUP($B240,Data!$B$3:$EZ1530,4,FALSE)),"")</f>
        <v>0.2891379977</v>
      </c>
      <c r="I240" s="48">
        <f>IFERROR(MINUS(DIVIDE(VLOOKUP($B240,Data!$B$3:$EZ1530,9,FALSE),VLOOKUP($B240,Data!$B$3:$EZ1530,10,FALSE)),1),"")</f>
        <v>0.07582349285</v>
      </c>
      <c r="J240" s="48">
        <f>IFERROR(MINUS(DIVIDE(VLOOKUP($B240,Data!$B$3:$EZ1530,24,FALSE),VLOOKUP($B240,Data!$B$3:$EZ1530,25,FALSE)),1),"")</f>
        <v>-0.087141339</v>
      </c>
      <c r="K240" s="48">
        <f>IFERROR(MINUS(DIVIDE(VLOOKUP($B240,Data!$B$3:$EZ1530,29,FALSE),VLOOKUP($B240,Data!$B$3:$EZ1530,30,FALSE)),1),"")</f>
        <v>-0.06557377049</v>
      </c>
      <c r="L240" s="48">
        <f>IFERROR(MINUS(DIVIDE(VLOOKUP($B240,Data!$B$3:$EZ1530,34,FALSE),VLOOKUP($B240,Data!$B$3:$EZ1530,35,FALSE)),1),"")</f>
        <v>0.1053604436</v>
      </c>
      <c r="M240" s="48">
        <f>IFERROR(MINUS(DIVIDE(VLOOKUP($B240,Data!$B$3:$EZ1530,39,FALSE),VLOOKUP($B240,Data!$B$3:$EZ1530,40,FALSE)),1),"")</f>
        <v>-0.05472636816</v>
      </c>
      <c r="N240" s="48">
        <f>IFERROR(MINUS(DIVIDE(VLOOKUP($B240,Data!$B$3:$EZ1530,44,FALSE),VLOOKUP($B240,Data!$B$3:$EZ1530,45,FALSE)),1),"")</f>
        <v>-0.149032992</v>
      </c>
      <c r="O240" s="50" t="str">
        <f>IFERROR(VLOOKUP($B240,Data!$B$3:$D1530,2,FALSE),"")</f>
        <v/>
      </c>
      <c r="P240" s="50" t="str">
        <f>IFERROR(VLOOKUP($B240,Data!$B$3:$D1530,3,FALSE),"")</f>
        <v/>
      </c>
      <c r="Q240" s="48" t="str">
        <f t="shared" si="2"/>
        <v/>
      </c>
      <c r="R240" s="48"/>
      <c r="S240" s="48"/>
      <c r="T240" s="48"/>
      <c r="U240" s="48"/>
      <c r="V240" s="48"/>
      <c r="W240" s="50"/>
      <c r="Z240" s="11"/>
      <c r="AA240" s="12"/>
    </row>
    <row r="241">
      <c r="A241" s="9">
        <f t="shared" si="1"/>
        <v>238</v>
      </c>
      <c r="B241" s="47" t="s">
        <v>374</v>
      </c>
      <c r="C241" s="48">
        <f>IFERROR(DIVIDE(VLOOKUP($B241,Data!$B$3:$AB$1535,9,FALSE),VLOOKUP($B241,Data!$B$3:$AB$1535,4,FALSE)),"")</f>
        <v>0.295283773</v>
      </c>
      <c r="D241" s="48">
        <f>IFERROR(DIVIDE(VLOOKUP($B241,Data!$B$3:$AB$1535,24,FALSE),VLOOKUP($B241,Data!$B$3:$AB$1535,4,FALSE)),"")</f>
        <v>-0.08872901679</v>
      </c>
      <c r="E241" s="48">
        <f>IFERROR(DIVIDE(VLOOKUP($B241,Data!$B$3:$EZ1530,29,FALSE),VLOOKUP($B241,Data!$B$3:$EZ1530,4,FALSE)),"")</f>
        <v>-0.09288569145</v>
      </c>
      <c r="F241" s="48">
        <f>IFERROR(DIVIDE(VLOOKUP($B241,Data!$B$3:$EZ1530,34,FALSE),VLOOKUP($B241,Data!$B$3:$EZ1530,4,FALSE)),"")</f>
        <v>0.02190247802</v>
      </c>
      <c r="G241" s="48">
        <f>IFERROR(DIVIDE(VLOOKUP($B241,Data!$B$3:$EZ1530,39,FALSE),VLOOKUP($B241,Data!$B$3:$EZ1530,4,FALSE)),"")</f>
        <v>-0.1614708233</v>
      </c>
      <c r="H241" s="48">
        <f>IFERROR(DIVIDE(VLOOKUP($B241,Data!$B$3:$EZ1530,44,FALSE),VLOOKUP($B241,Data!$B$3:$EZ1530,4,FALSE)),"")</f>
        <v>0.06538768985</v>
      </c>
      <c r="I241" s="48">
        <f>IFERROR(MINUS(DIVIDE(VLOOKUP($B241,Data!$B$3:$EZ1530,9,FALSE),VLOOKUP($B241,Data!$B$3:$EZ1530,10,FALSE)),1),"")</f>
        <v>0.5201646091</v>
      </c>
      <c r="J241" s="48">
        <f>IFERROR(MINUS(DIVIDE(VLOOKUP($B241,Data!$B$3:$EZ1530,24,FALSE),VLOOKUP($B241,Data!$B$3:$EZ1530,25,FALSE)),1),"")</f>
        <v>-0.2138810198</v>
      </c>
      <c r="K241" s="48">
        <f>IFERROR(MINUS(DIVIDE(VLOOKUP($B241,Data!$B$3:$EZ1530,29,FALSE),VLOOKUP($B241,Data!$B$3:$EZ1530,30,FALSE)),1),"")</f>
        <v>-0.3786096257</v>
      </c>
      <c r="L241" s="48">
        <f>IFERROR(MINUS(DIVIDE(VLOOKUP($B241,Data!$B$3:$EZ1530,34,FALSE),VLOOKUP($B241,Data!$B$3:$EZ1530,35,FALSE)),1),"")</f>
        <v>-1.250457038</v>
      </c>
      <c r="M241" s="48">
        <f>IFERROR(MINUS(DIVIDE(VLOOKUP($B241,Data!$B$3:$EZ1530,39,FALSE),VLOOKUP($B241,Data!$B$3:$EZ1530,40,FALSE)),1),"")</f>
        <v>-0.1808596918</v>
      </c>
      <c r="N241" s="48">
        <f>IFERROR(MINUS(DIVIDE(VLOOKUP($B241,Data!$B$3:$EZ1530,44,FALSE),VLOOKUP($B241,Data!$B$3:$EZ1530,45,FALSE)),1),"")</f>
        <v>-1.569637883</v>
      </c>
      <c r="O241" s="50" t="str">
        <f>IFERROR(VLOOKUP($B241,Data!$B$3:$D1530,2,FALSE),"")</f>
        <v/>
      </c>
      <c r="P241" s="50" t="str">
        <f>IFERROR(VLOOKUP($B241,Data!$B$3:$D1530,3,FALSE),"")</f>
        <v/>
      </c>
      <c r="Q241" s="48" t="str">
        <f t="shared" si="2"/>
        <v/>
      </c>
      <c r="R241" s="48"/>
      <c r="S241" s="48"/>
      <c r="T241" s="48"/>
      <c r="U241" s="48"/>
      <c r="V241" s="48"/>
      <c r="W241" s="50"/>
      <c r="Z241" s="15"/>
      <c r="AA241" s="15"/>
    </row>
    <row r="242">
      <c r="A242" s="9">
        <f t="shared" si="1"/>
        <v>239</v>
      </c>
      <c r="B242" s="47" t="s">
        <v>375</v>
      </c>
      <c r="C242" s="48">
        <f>IFERROR(DIVIDE(VLOOKUP($B242,Data!$B$3:$AB$1535,9,FALSE),VLOOKUP($B242,Data!$B$3:$AB$1535,4,FALSE)),"")</f>
        <v>0.5762566845</v>
      </c>
      <c r="D242" s="48">
        <f>IFERROR(DIVIDE(VLOOKUP($B242,Data!$B$3:$AB$1535,24,FALSE),VLOOKUP($B242,Data!$B$3:$AB$1535,4,FALSE)),"")</f>
        <v>0.3189304813</v>
      </c>
      <c r="E242" s="48">
        <f>IFERROR(DIVIDE(VLOOKUP($B242,Data!$B$3:$EZ1530,29,FALSE),VLOOKUP($B242,Data!$B$3:$EZ1530,4,FALSE)),"")</f>
        <v>0.2412834225</v>
      </c>
      <c r="F242" s="48">
        <f>IFERROR(DIVIDE(VLOOKUP($B242,Data!$B$3:$EZ1530,34,FALSE),VLOOKUP($B242,Data!$B$3:$EZ1530,4,FALSE)),"")</f>
        <v>0.3845989305</v>
      </c>
      <c r="G242" s="48">
        <f>IFERROR(DIVIDE(VLOOKUP($B242,Data!$B$3:$EZ1530,39,FALSE),VLOOKUP($B242,Data!$B$3:$EZ1530,4,FALSE)),"")</f>
        <v>0.1672727273</v>
      </c>
      <c r="H242" s="48">
        <f>IFERROR(DIVIDE(VLOOKUP($B242,Data!$B$3:$EZ1530,44,FALSE),VLOOKUP($B242,Data!$B$3:$EZ1530,4,FALSE)),"")</f>
        <v>0.2397860963</v>
      </c>
      <c r="I242" s="48">
        <f>IFERROR(MINUS(DIVIDE(VLOOKUP($B242,Data!$B$3:$EZ1530,9,FALSE),VLOOKUP($B242,Data!$B$3:$EZ1530,10,FALSE)),1),"")</f>
        <v>0.01354401806</v>
      </c>
      <c r="J242" s="48" t="str">
        <f>IFERROR(MINUS(DIVIDE(VLOOKUP($B242,Data!$B$3:$EZ1530,24,FALSE),VLOOKUP($B242,Data!$B$3:$EZ1530,25,FALSE)),1),"")</f>
        <v/>
      </c>
      <c r="K242" s="48">
        <f>IFERROR(MINUS(DIVIDE(VLOOKUP($B242,Data!$B$3:$EZ1530,29,FALSE),VLOOKUP($B242,Data!$B$3:$EZ1530,30,FALSE)),1),"")</f>
        <v>0.7542768274</v>
      </c>
      <c r="L242" s="48" t="str">
        <f>IFERROR(MINUS(DIVIDE(VLOOKUP($B242,Data!$B$3:$EZ1530,34,FALSE),VLOOKUP($B242,Data!$B$3:$EZ1530,35,FALSE)),1),"")</f>
        <v/>
      </c>
      <c r="M242" s="48" t="str">
        <f>IFERROR(MINUS(DIVIDE(VLOOKUP($B242,Data!$B$3:$EZ1530,39,FALSE),VLOOKUP($B242,Data!$B$3:$EZ1530,40,FALSE)),1),"")</f>
        <v/>
      </c>
      <c r="N242" s="48" t="str">
        <f>IFERROR(MINUS(DIVIDE(VLOOKUP($B242,Data!$B$3:$EZ1530,44,FALSE),VLOOKUP($B242,Data!$B$3:$EZ1530,45,FALSE)),1),"")</f>
        <v/>
      </c>
      <c r="O242" s="50">
        <f>IFERROR(VLOOKUP($B242,Data!$B$3:$D1530,2,FALSE),"")</f>
        <v>49120000</v>
      </c>
      <c r="P242" s="50">
        <f>IFERROR(VLOOKUP($B242,Data!$B$3:$D1530,3,FALSE),"")</f>
        <v>44950000</v>
      </c>
      <c r="Q242" s="48">
        <f t="shared" si="2"/>
        <v>0.09276974416</v>
      </c>
      <c r="R242" s="48"/>
      <c r="S242" s="48"/>
      <c r="T242" s="48"/>
      <c r="U242" s="48"/>
      <c r="V242" s="48"/>
      <c r="W242" s="50"/>
      <c r="Z242" s="15"/>
      <c r="AA242" s="15"/>
    </row>
    <row r="243">
      <c r="A243" s="9">
        <f t="shared" si="1"/>
        <v>240</v>
      </c>
      <c r="B243" s="47" t="s">
        <v>376</v>
      </c>
      <c r="C243" s="48">
        <f>IFERROR(DIVIDE(VLOOKUP($B243,Data!$B$3:$AB$1535,9,FALSE),VLOOKUP($B243,Data!$B$3:$AB$1535,4,FALSE)),"")</f>
        <v>0.3909465021</v>
      </c>
      <c r="D243" s="48">
        <f>IFERROR(DIVIDE(VLOOKUP($B243,Data!$B$3:$AB$1535,24,FALSE),VLOOKUP($B243,Data!$B$3:$AB$1535,4,FALSE)),"")</f>
        <v>0.08544855967</v>
      </c>
      <c r="E243" s="48">
        <f>IFERROR(DIVIDE(VLOOKUP($B243,Data!$B$3:$EZ1530,29,FALSE),VLOOKUP($B243,Data!$B$3:$EZ1530,4,FALSE)),"")</f>
        <v>0.07963374486</v>
      </c>
      <c r="F243" s="48">
        <f>IFERROR(DIVIDE(VLOOKUP($B243,Data!$B$3:$EZ1530,34,FALSE),VLOOKUP($B243,Data!$B$3:$EZ1530,4,FALSE)),"")</f>
        <v>0.1155116598</v>
      </c>
      <c r="G243" s="48">
        <f>IFERROR(DIVIDE(VLOOKUP($B243,Data!$B$3:$EZ1530,39,FALSE),VLOOKUP($B243,Data!$B$3:$EZ1530,4,FALSE)),"")</f>
        <v>0.06380246914</v>
      </c>
      <c r="H243" s="48">
        <f>IFERROR(DIVIDE(VLOOKUP($B243,Data!$B$3:$EZ1530,44,FALSE),VLOOKUP($B243,Data!$B$3:$EZ1530,4,FALSE)),"")</f>
        <v>0.1223223594</v>
      </c>
      <c r="I243" s="48">
        <f>IFERROR(MINUS(DIVIDE(VLOOKUP($B243,Data!$B$3:$EZ1530,9,FALSE),VLOOKUP($B243,Data!$B$3:$EZ1530,10,FALSE)),1),"")</f>
        <v>0.1046511628</v>
      </c>
      <c r="J243" s="48">
        <f>IFERROR(MINUS(DIVIDE(VLOOKUP($B243,Data!$B$3:$EZ1530,24,FALSE),VLOOKUP($B243,Data!$B$3:$EZ1530,25,FALSE)),1),"")</f>
        <v>0.1206015687</v>
      </c>
      <c r="K243" s="48">
        <f>IFERROR(MINUS(DIVIDE(VLOOKUP($B243,Data!$B$3:$EZ1530,29,FALSE),VLOOKUP($B243,Data!$B$3:$EZ1530,30,FALSE)),1),"")</f>
        <v>0.1437211868</v>
      </c>
      <c r="L243" s="48">
        <f>IFERROR(MINUS(DIVIDE(VLOOKUP($B243,Data!$B$3:$EZ1530,34,FALSE),VLOOKUP($B243,Data!$B$3:$EZ1530,35,FALSE)),1),"")</f>
        <v>0.07735216601</v>
      </c>
      <c r="M243" s="48">
        <f>IFERROR(MINUS(DIVIDE(VLOOKUP($B243,Data!$B$3:$EZ1530,39,FALSE),VLOOKUP($B243,Data!$B$3:$EZ1530,40,FALSE)),1),"")</f>
        <v>0.1214466546</v>
      </c>
      <c r="N243" s="48">
        <f>IFERROR(MINUS(DIVIDE(VLOOKUP($B243,Data!$B$3:$EZ1530,44,FALSE),VLOOKUP($B243,Data!$B$3:$EZ1530,45,FALSE)),1),"")</f>
        <v>0.3940905183</v>
      </c>
      <c r="O243" s="50">
        <f>IFERROR(VLOOKUP($B243,Data!$B$3:$D1530,2,FALSE),"")</f>
        <v>7720000</v>
      </c>
      <c r="P243" s="50">
        <f>IFERROR(VLOOKUP($B243,Data!$B$3:$D1530,3,FALSE),"")</f>
        <v>6000000</v>
      </c>
      <c r="Q243" s="48">
        <f t="shared" si="2"/>
        <v>0.2866666667</v>
      </c>
      <c r="R243" s="48"/>
      <c r="S243" s="48"/>
      <c r="T243" s="48"/>
      <c r="U243" s="48"/>
      <c r="V243" s="48"/>
      <c r="W243" s="50"/>
      <c r="Z243" s="12"/>
      <c r="AA243" s="12"/>
    </row>
    <row r="244">
      <c r="A244" s="9">
        <f t="shared" si="1"/>
        <v>241</v>
      </c>
      <c r="B244" s="47" t="s">
        <v>377</v>
      </c>
      <c r="C244" s="48">
        <f>IFERROR(DIVIDE(VLOOKUP($B244,Data!$B$3:$AB$1535,9,FALSE),VLOOKUP($B244,Data!$B$3:$AB$1535,4,FALSE)),"")</f>
        <v>0.04390972222</v>
      </c>
      <c r="D244" s="48">
        <f>IFERROR(DIVIDE(VLOOKUP($B244,Data!$B$3:$AB$1535,24,FALSE),VLOOKUP($B244,Data!$B$3:$AB$1535,4,FALSE)),"")</f>
        <v>-0.09440277778</v>
      </c>
      <c r="E244" s="48">
        <f>IFERROR(DIVIDE(VLOOKUP($B244,Data!$B$3:$EZ1530,29,FALSE),VLOOKUP($B244,Data!$B$3:$EZ1530,4,FALSE)),"")</f>
        <v>-0.1057395833</v>
      </c>
      <c r="F244" s="48">
        <f>IFERROR(DIVIDE(VLOOKUP($B244,Data!$B$3:$EZ1530,34,FALSE),VLOOKUP($B244,Data!$B$3:$EZ1530,4,FALSE)),"")</f>
        <v>0.1835972222</v>
      </c>
      <c r="G244" s="48">
        <f>IFERROR(DIVIDE(VLOOKUP($B244,Data!$B$3:$EZ1530,39,FALSE),VLOOKUP($B244,Data!$B$3:$EZ1530,4,FALSE)),"")</f>
        <v>-0.001961805556</v>
      </c>
      <c r="H244" s="48">
        <f>IFERROR(DIVIDE(VLOOKUP($B244,Data!$B$3:$EZ1530,44,FALSE),VLOOKUP($B244,Data!$B$3:$EZ1530,4,FALSE)),"")</f>
        <v>0.05454166667</v>
      </c>
      <c r="I244" s="48">
        <f>IFERROR(MINUS(DIVIDE(VLOOKUP($B244,Data!$B$3:$EZ1530,9,FALSE),VLOOKUP($B244,Data!$B$3:$EZ1530,10,FALSE)),1),"")</f>
        <v>-0.6963526785</v>
      </c>
      <c r="J244" s="48">
        <f>IFERROR(MINUS(DIVIDE(VLOOKUP($B244,Data!$B$3:$EZ1530,24,FALSE),VLOOKUP($B244,Data!$B$3:$EZ1530,25,FALSE)),1),"")</f>
        <v>-3.088813768</v>
      </c>
      <c r="K244" s="48">
        <f>IFERROR(MINUS(DIVIDE(VLOOKUP($B244,Data!$B$3:$EZ1530,29,FALSE),VLOOKUP($B244,Data!$B$3:$EZ1530,30,FALSE)),1),"")</f>
        <v>-4.287950767</v>
      </c>
      <c r="L244" s="48">
        <f>IFERROR(MINUS(DIVIDE(VLOOKUP($B244,Data!$B$3:$EZ1530,34,FALSE),VLOOKUP($B244,Data!$B$3:$EZ1530,35,FALSE)),1),"")</f>
        <v>-0.4345054757</v>
      </c>
      <c r="M244" s="48">
        <f>IFERROR(MINUS(DIVIDE(VLOOKUP($B244,Data!$B$3:$EZ1530,39,FALSE),VLOOKUP($B244,Data!$B$3:$EZ1530,40,FALSE)),1),"")</f>
        <v>0.05018587361</v>
      </c>
      <c r="N244" s="48">
        <f>IFERROR(MINUS(DIVIDE(VLOOKUP($B244,Data!$B$3:$EZ1530,44,FALSE),VLOOKUP($B244,Data!$B$3:$EZ1530,45,FALSE)),1),"")</f>
        <v>-0.8622105263</v>
      </c>
      <c r="O244" s="50">
        <f>IFERROR(VLOOKUP($B244,Data!$B$3:$D1530,2,FALSE),"")</f>
        <v>940600</v>
      </c>
      <c r="P244" s="50">
        <f>IFERROR(VLOOKUP($B244,Data!$B$3:$D1530,3,FALSE),"")</f>
        <v>833030</v>
      </c>
      <c r="Q244" s="48">
        <f t="shared" si="2"/>
        <v>0.1291310037</v>
      </c>
      <c r="R244" s="48"/>
      <c r="S244" s="48"/>
      <c r="T244" s="48"/>
      <c r="U244" s="48"/>
      <c r="V244" s="48"/>
      <c r="W244" s="50"/>
      <c r="Z244" s="15"/>
      <c r="AA244" s="15"/>
    </row>
    <row r="245">
      <c r="A245" s="9">
        <f t="shared" si="1"/>
        <v>242</v>
      </c>
      <c r="B245" s="47" t="s">
        <v>378</v>
      </c>
      <c r="C245" s="48" t="str">
        <f>IFERROR(DIVIDE(VLOOKUP($B245,Data!$B$3:$AB$1535,9,FALSE),VLOOKUP($B245,Data!$B$3:$AB$1535,4,FALSE)),"")</f>
        <v/>
      </c>
      <c r="D245" s="48" t="str">
        <f>IFERROR(DIVIDE(VLOOKUP($B245,Data!$B$3:$AB$1535,24,FALSE),VLOOKUP($B245,Data!$B$3:$AB$1535,4,FALSE)),"")</f>
        <v/>
      </c>
      <c r="E245" s="48" t="str">
        <f>IFERROR(DIVIDE(VLOOKUP($B245,Data!$B$3:$EZ1530,29,FALSE),VLOOKUP($B245,Data!$B$3:$EZ1530,4,FALSE)),"")</f>
        <v/>
      </c>
      <c r="F245" s="48" t="str">
        <f>IFERROR(DIVIDE(VLOOKUP($B245,Data!$B$3:$EZ1530,34,FALSE),VLOOKUP($B245,Data!$B$3:$EZ1530,4,FALSE)),"")</f>
        <v/>
      </c>
      <c r="G245" s="48" t="str">
        <f>IFERROR(DIVIDE(VLOOKUP($B245,Data!$B$3:$EZ1530,39,FALSE),VLOOKUP($B245,Data!$B$3:$EZ1530,4,FALSE)),"")</f>
        <v/>
      </c>
      <c r="H245" s="48" t="str">
        <f>IFERROR(DIVIDE(VLOOKUP($B245,Data!$B$3:$EZ1530,44,FALSE),VLOOKUP($B245,Data!$B$3:$EZ1530,4,FALSE)),"")</f>
        <v/>
      </c>
      <c r="I245" s="48">
        <f>IFERROR(MINUS(DIVIDE(VLOOKUP($B245,Data!$B$3:$EZ1530,9,FALSE),VLOOKUP($B245,Data!$B$3:$EZ1530,10,FALSE)),1),"")</f>
        <v>5.416666667</v>
      </c>
      <c r="J245" s="48">
        <f>IFERROR(MINUS(DIVIDE(VLOOKUP($B245,Data!$B$3:$EZ1530,24,FALSE),VLOOKUP($B245,Data!$B$3:$EZ1530,25,FALSE)),1),"")</f>
        <v>0.2064176245</v>
      </c>
      <c r="K245" s="48">
        <f>IFERROR(MINUS(DIVIDE(VLOOKUP($B245,Data!$B$3:$EZ1530,29,FALSE),VLOOKUP($B245,Data!$B$3:$EZ1530,30,FALSE)),1),"")</f>
        <v>0.256147541</v>
      </c>
      <c r="L245" s="48">
        <f>IFERROR(MINUS(DIVIDE(VLOOKUP($B245,Data!$B$3:$EZ1530,34,FALSE),VLOOKUP($B245,Data!$B$3:$EZ1530,35,FALSE)),1),"")</f>
        <v>0.007958801498</v>
      </c>
      <c r="M245" s="48">
        <f>IFERROR(MINUS(DIVIDE(VLOOKUP($B245,Data!$B$3:$EZ1530,39,FALSE),VLOOKUP($B245,Data!$B$3:$EZ1530,40,FALSE)),1),"")</f>
        <v>0.256147541</v>
      </c>
      <c r="N245" s="48">
        <f>IFERROR(MINUS(DIVIDE(VLOOKUP($B245,Data!$B$3:$EZ1530,44,FALSE),VLOOKUP($B245,Data!$B$3:$EZ1530,45,FALSE)),1),"")</f>
        <v>0.359522313</v>
      </c>
      <c r="O245" s="50" t="str">
        <f>IFERROR(VLOOKUP($B245,Data!$B$3:$D1530,2,FALSE),"")</f>
        <v/>
      </c>
      <c r="P245" s="50" t="str">
        <f>IFERROR(VLOOKUP($B245,Data!$B$3:$D1530,3,FALSE),"")</f>
        <v/>
      </c>
      <c r="Q245" s="48" t="str">
        <f t="shared" si="2"/>
        <v/>
      </c>
      <c r="R245" s="48"/>
      <c r="S245" s="48"/>
      <c r="T245" s="48"/>
      <c r="U245" s="48"/>
      <c r="V245" s="48"/>
      <c r="W245" s="50"/>
      <c r="Z245" s="11"/>
      <c r="AA245" s="11"/>
    </row>
    <row r="246">
      <c r="A246" s="9">
        <f t="shared" si="1"/>
        <v>243</v>
      </c>
      <c r="B246" s="47" t="s">
        <v>379</v>
      </c>
      <c r="C246" s="48">
        <f>IFERROR(DIVIDE(VLOOKUP($B246,Data!$B$3:$AB$1535,9,FALSE),VLOOKUP($B246,Data!$B$3:$AB$1535,4,FALSE)),"")</f>
        <v>0.7728101081</v>
      </c>
      <c r="D246" s="48">
        <f>IFERROR(DIVIDE(VLOOKUP($B246,Data!$B$3:$AB$1535,24,FALSE),VLOOKUP($B246,Data!$B$3:$AB$1535,4,FALSE)),"")</f>
        <v>-0.3642327785</v>
      </c>
      <c r="E246" s="48">
        <f>IFERROR(DIVIDE(VLOOKUP($B246,Data!$B$3:$EZ1530,29,FALSE),VLOOKUP($B246,Data!$B$3:$EZ1530,4,FALSE)),"")</f>
        <v>-0.4288664804</v>
      </c>
      <c r="F246" s="48">
        <f>IFERROR(DIVIDE(VLOOKUP($B246,Data!$B$3:$EZ1530,34,FALSE),VLOOKUP($B246,Data!$B$3:$EZ1530,4,FALSE)),"")</f>
        <v>-0.2458996477</v>
      </c>
      <c r="G246" s="48">
        <f>IFERROR(DIVIDE(VLOOKUP($B246,Data!$B$3:$EZ1530,39,FALSE),VLOOKUP($B246,Data!$B$3:$EZ1530,4,FALSE)),"")</f>
        <v>-0.4470902685</v>
      </c>
      <c r="H246" s="48">
        <f>IFERROR(DIVIDE(VLOOKUP($B246,Data!$B$3:$EZ1530,44,FALSE),VLOOKUP($B246,Data!$B$3:$EZ1530,4,FALSE)),"")</f>
        <v>-0.3135706476</v>
      </c>
      <c r="I246" s="48">
        <f>IFERROR(MINUS(DIVIDE(VLOOKUP($B246,Data!$B$3:$EZ1530,9,FALSE),VLOOKUP($B246,Data!$B$3:$EZ1530,10,FALSE)),1),"")</f>
        <v>0.3879554877</v>
      </c>
      <c r="J246" s="48">
        <f>IFERROR(MINUS(DIVIDE(VLOOKUP($B246,Data!$B$3:$EZ1530,24,FALSE),VLOOKUP($B246,Data!$B$3:$EZ1530,25,FALSE)),1),"")</f>
        <v>0.6214169822</v>
      </c>
      <c r="K246" s="48">
        <f>IFERROR(MINUS(DIVIDE(VLOOKUP($B246,Data!$B$3:$EZ1530,29,FALSE),VLOOKUP($B246,Data!$B$3:$EZ1530,30,FALSE)),1),"")</f>
        <v>0.5661047028</v>
      </c>
      <c r="L246" s="48">
        <f>IFERROR(MINUS(DIVIDE(VLOOKUP($B246,Data!$B$3:$EZ1530,34,FALSE),VLOOKUP($B246,Data!$B$3:$EZ1530,35,FALSE)),1),"")</f>
        <v>0.4488188976</v>
      </c>
      <c r="M246" s="48">
        <f>IFERROR(MINUS(DIVIDE(VLOOKUP($B246,Data!$B$3:$EZ1530,39,FALSE),VLOOKUP($B246,Data!$B$3:$EZ1530,40,FALSE)),1),"")</f>
        <v>0.5800772864</v>
      </c>
      <c r="N246" s="48">
        <f>IFERROR(MINUS(DIVIDE(VLOOKUP($B246,Data!$B$3:$EZ1530,44,FALSE),VLOOKUP($B246,Data!$B$3:$EZ1530,45,FALSE)),1),"")</f>
        <v>0.9033923304</v>
      </c>
      <c r="O246" s="50">
        <f>IFERROR(VLOOKUP($B246,Data!$B$3:$D1530,2,FALSE),"")</f>
        <v>29300</v>
      </c>
      <c r="P246" s="50">
        <f>IFERROR(VLOOKUP($B246,Data!$B$3:$D1530,3,FALSE),"")</f>
        <v>21180</v>
      </c>
      <c r="Q246" s="48">
        <f t="shared" si="2"/>
        <v>0.3833805477</v>
      </c>
      <c r="R246" s="48"/>
      <c r="S246" s="48"/>
      <c r="T246" s="48"/>
      <c r="U246" s="48"/>
      <c r="V246" s="48"/>
      <c r="W246" s="50"/>
      <c r="Z246" s="15"/>
      <c r="AA246" s="15"/>
    </row>
    <row r="247">
      <c r="A247" s="9">
        <f t="shared" si="1"/>
        <v>244</v>
      </c>
      <c r="B247" s="47" t="s">
        <v>380</v>
      </c>
      <c r="C247" s="48" t="str">
        <f>IFERROR(DIVIDE(VLOOKUP($B247,Data!$B$3:$AB$1535,9,FALSE),VLOOKUP($B247,Data!$B$3:$AB$1535,4,FALSE)),"")</f>
        <v/>
      </c>
      <c r="D247" s="48" t="str">
        <f>IFERROR(DIVIDE(VLOOKUP($B247,Data!$B$3:$AB$1535,24,FALSE),VLOOKUP($B247,Data!$B$3:$AB$1535,4,FALSE)),"")</f>
        <v/>
      </c>
      <c r="E247" s="48" t="str">
        <f>IFERROR(DIVIDE(VLOOKUP($B247,Data!$B$3:$EZ1530,29,FALSE),VLOOKUP($B247,Data!$B$3:$EZ1530,4,FALSE)),"")</f>
        <v/>
      </c>
      <c r="F247" s="48" t="str">
        <f>IFERROR(DIVIDE(VLOOKUP($B247,Data!$B$3:$EZ1530,34,FALSE),VLOOKUP($B247,Data!$B$3:$EZ1530,4,FALSE)),"")</f>
        <v/>
      </c>
      <c r="G247" s="48" t="str">
        <f>IFERROR(DIVIDE(VLOOKUP($B247,Data!$B$3:$EZ1530,39,FALSE),VLOOKUP($B247,Data!$B$3:$EZ1530,4,FALSE)),"")</f>
        <v/>
      </c>
      <c r="H247" s="48" t="str">
        <f>IFERROR(DIVIDE(VLOOKUP($B247,Data!$B$3:$EZ1530,44,FALSE),VLOOKUP($B247,Data!$B$3:$EZ1530,4,FALSE)),"")</f>
        <v/>
      </c>
      <c r="I247" s="48" t="str">
        <f>IFERROR(MINUS(DIVIDE(VLOOKUP($B247,Data!$B$3:$EZ1530,9,FALSE),VLOOKUP($B247,Data!$B$3:$EZ1530,10,FALSE)),1),"")</f>
        <v/>
      </c>
      <c r="J247" s="48" t="str">
        <f>IFERROR(MINUS(DIVIDE(VLOOKUP($B247,Data!$B$3:$EZ1530,24,FALSE),VLOOKUP($B247,Data!$B$3:$EZ1530,25,FALSE)),1),"")</f>
        <v/>
      </c>
      <c r="K247" s="48" t="str">
        <f>IFERROR(MINUS(DIVIDE(VLOOKUP($B247,Data!$B$3:$EZ1530,29,FALSE),VLOOKUP($B247,Data!$B$3:$EZ1530,30,FALSE)),1),"")</f>
        <v/>
      </c>
      <c r="L247" s="48" t="str">
        <f>IFERROR(MINUS(DIVIDE(VLOOKUP($B247,Data!$B$3:$EZ1530,34,FALSE),VLOOKUP($B247,Data!$B$3:$EZ1530,35,FALSE)),1),"")</f>
        <v/>
      </c>
      <c r="M247" s="48" t="str">
        <f>IFERROR(MINUS(DIVIDE(VLOOKUP($B247,Data!$B$3:$EZ1530,39,FALSE),VLOOKUP($B247,Data!$B$3:$EZ1530,40,FALSE)),1),"")</f>
        <v/>
      </c>
      <c r="N247" s="48" t="str">
        <f>IFERROR(MINUS(DIVIDE(VLOOKUP($B247,Data!$B$3:$EZ1530,44,FALSE),VLOOKUP($B247,Data!$B$3:$EZ1530,45,FALSE)),1),"")</f>
        <v/>
      </c>
      <c r="O247" s="50" t="str">
        <f>IFERROR(VLOOKUP($B247,Data!$B$3:$D1530,2,FALSE),"")</f>
        <v/>
      </c>
      <c r="P247" s="50" t="str">
        <f>IFERROR(VLOOKUP($B247,Data!$B$3:$D1530,3,FALSE),"")</f>
        <v/>
      </c>
      <c r="Q247" s="48" t="str">
        <f t="shared" si="2"/>
        <v/>
      </c>
      <c r="R247" s="48"/>
      <c r="S247" s="48"/>
      <c r="T247" s="48"/>
      <c r="U247" s="48"/>
      <c r="V247" s="48"/>
      <c r="W247" s="50"/>
      <c r="Z247" s="12"/>
      <c r="AA247" s="12"/>
    </row>
    <row r="248">
      <c r="A248" s="9">
        <f t="shared" si="1"/>
        <v>245</v>
      </c>
      <c r="B248" s="47" t="s">
        <v>381</v>
      </c>
      <c r="C248" s="48">
        <f>IFERROR(DIVIDE(VLOOKUP($B248,Data!$B$3:$AB$1535,9,FALSE),VLOOKUP($B248,Data!$B$3:$AB$1535,4,FALSE)),"")</f>
        <v>0.2816105263</v>
      </c>
      <c r="D248" s="48">
        <f>IFERROR(DIVIDE(VLOOKUP($B248,Data!$B$3:$AB$1535,24,FALSE),VLOOKUP($B248,Data!$B$3:$AB$1535,4,FALSE)),"")</f>
        <v>0</v>
      </c>
      <c r="E248" s="48">
        <f>IFERROR(DIVIDE(VLOOKUP($B248,Data!$B$3:$EZ1530,29,FALSE),VLOOKUP($B248,Data!$B$3:$EZ1530,4,FALSE)),"")</f>
        <v>0.1651263158</v>
      </c>
      <c r="F248" s="48">
        <f>IFERROR(DIVIDE(VLOOKUP($B248,Data!$B$3:$EZ1530,34,FALSE),VLOOKUP($B248,Data!$B$3:$EZ1530,4,FALSE)),"")</f>
        <v>0.1907052632</v>
      </c>
      <c r="G248" s="48">
        <f>IFERROR(DIVIDE(VLOOKUP($B248,Data!$B$3:$EZ1530,39,FALSE),VLOOKUP($B248,Data!$B$3:$EZ1530,4,FALSE)),"")</f>
        <v>0.1284842105</v>
      </c>
      <c r="H248" s="48">
        <f>IFERROR(DIVIDE(VLOOKUP($B248,Data!$B$3:$EZ1530,44,FALSE),VLOOKUP($B248,Data!$B$3:$EZ1530,4,FALSE)),"")</f>
        <v>0.1470368421</v>
      </c>
      <c r="I248" s="48">
        <f>IFERROR(MINUS(DIVIDE(VLOOKUP($B248,Data!$B$3:$EZ1530,9,FALSE),VLOOKUP($B248,Data!$B$3:$EZ1530,10,FALSE)),1),"")</f>
        <v>0.0619430386</v>
      </c>
      <c r="J248" s="48">
        <f>IFERROR(MINUS(DIVIDE(VLOOKUP($B248,Data!$B$3:$EZ1530,24,FALSE),VLOOKUP($B248,Data!$B$3:$EZ1530,25,FALSE)),1),"")</f>
        <v>-1</v>
      </c>
      <c r="K248" s="48">
        <f>IFERROR(MINUS(DIVIDE(VLOOKUP($B248,Data!$B$3:$EZ1530,29,FALSE),VLOOKUP($B248,Data!$B$3:$EZ1530,30,FALSE)),1),"")</f>
        <v>0.1199000535</v>
      </c>
      <c r="L248" s="48">
        <f>IFERROR(MINUS(DIVIDE(VLOOKUP($B248,Data!$B$3:$EZ1530,34,FALSE),VLOOKUP($B248,Data!$B$3:$EZ1530,35,FALSE)),1),"")</f>
        <v>0.08280787736</v>
      </c>
      <c r="M248" s="48">
        <f>IFERROR(MINUS(DIVIDE(VLOOKUP($B248,Data!$B$3:$EZ1530,39,FALSE),VLOOKUP($B248,Data!$B$3:$EZ1530,40,FALSE)),1),"")</f>
        <v>0.07560803666</v>
      </c>
      <c r="N248" s="48">
        <f>IFERROR(MINUS(DIVIDE(VLOOKUP($B248,Data!$B$3:$EZ1530,44,FALSE),VLOOKUP($B248,Data!$B$3:$EZ1530,45,FALSE)),1),"")</f>
        <v>0.6502451415</v>
      </c>
      <c r="O248" s="50">
        <f>IFERROR(VLOOKUP($B248,Data!$B$3:$D1530,2,FALSE),"")</f>
        <v>2150000</v>
      </c>
      <c r="P248" s="50">
        <f>IFERROR(VLOOKUP($B248,Data!$B$3:$D1530,3,FALSE),"")</f>
        <v>2030000</v>
      </c>
      <c r="Q248" s="48">
        <f t="shared" si="2"/>
        <v>0.05911330049</v>
      </c>
      <c r="R248" s="48"/>
      <c r="S248" s="48"/>
      <c r="T248" s="48"/>
      <c r="U248" s="48"/>
      <c r="V248" s="48"/>
      <c r="W248" s="50"/>
      <c r="Z248" s="11"/>
      <c r="AA248" s="11"/>
    </row>
    <row r="249">
      <c r="A249" s="9">
        <f t="shared" si="1"/>
        <v>246</v>
      </c>
      <c r="B249" s="47" t="s">
        <v>382</v>
      </c>
      <c r="C249" s="48">
        <f>IFERROR(DIVIDE(VLOOKUP($B249,Data!$B$3:$AB$1535,9,FALSE),VLOOKUP($B249,Data!$B$3:$AB$1535,4,FALSE)),"")</f>
        <v>0.1237424242</v>
      </c>
      <c r="D249" s="48">
        <f>IFERROR(DIVIDE(VLOOKUP($B249,Data!$B$3:$AB$1535,24,FALSE),VLOOKUP($B249,Data!$B$3:$AB$1535,4,FALSE)),"")</f>
        <v>0</v>
      </c>
      <c r="E249" s="48">
        <f>IFERROR(DIVIDE(VLOOKUP($B249,Data!$B$3:$EZ1530,29,FALSE),VLOOKUP($B249,Data!$B$3:$EZ1530,4,FALSE)),"")</f>
        <v>-0.008185606061</v>
      </c>
      <c r="F249" s="48">
        <f>IFERROR(DIVIDE(VLOOKUP($B249,Data!$B$3:$EZ1530,34,FALSE),VLOOKUP($B249,Data!$B$3:$EZ1530,4,FALSE)),"")</f>
        <v>0.01981060606</v>
      </c>
      <c r="G249" s="48">
        <f>IFERROR(DIVIDE(VLOOKUP($B249,Data!$B$3:$EZ1530,39,FALSE),VLOOKUP($B249,Data!$B$3:$EZ1530,4,FALSE)),"")</f>
        <v>-0.006689393939</v>
      </c>
      <c r="H249" s="48">
        <f>IFERROR(DIVIDE(VLOOKUP($B249,Data!$B$3:$EZ1530,44,FALSE),VLOOKUP($B249,Data!$B$3:$EZ1530,4,FALSE)),"")</f>
        <v>-0.003625</v>
      </c>
      <c r="I249" s="48">
        <f>IFERROR(MINUS(DIVIDE(VLOOKUP($B249,Data!$B$3:$EZ1530,9,FALSE),VLOOKUP($B249,Data!$B$3:$EZ1530,10,FALSE)),1),"")</f>
        <v>0.06747704473</v>
      </c>
      <c r="J249" s="48">
        <f>IFERROR(MINUS(DIVIDE(VLOOKUP($B249,Data!$B$3:$EZ1530,24,FALSE),VLOOKUP($B249,Data!$B$3:$EZ1530,25,FALSE)),1),"")</f>
        <v>-1</v>
      </c>
      <c r="K249" s="48">
        <f>IFERROR(MINUS(DIVIDE(VLOOKUP($B249,Data!$B$3:$EZ1530,29,FALSE),VLOOKUP($B249,Data!$B$3:$EZ1530,30,FALSE)),1),"")</f>
        <v>-0.64108952</v>
      </c>
      <c r="L249" s="48">
        <f>IFERROR(MINUS(DIVIDE(VLOOKUP($B249,Data!$B$3:$EZ1530,34,FALSE),VLOOKUP($B249,Data!$B$3:$EZ1530,35,FALSE)),1),"")</f>
        <v>0.3784923564</v>
      </c>
      <c r="M249" s="48">
        <f>IFERROR(MINUS(DIVIDE(VLOOKUP($B249,Data!$B$3:$EZ1530,39,FALSE),VLOOKUP($B249,Data!$B$3:$EZ1530,40,FALSE)),1),"")</f>
        <v>-0.6324661811</v>
      </c>
      <c r="N249" s="48">
        <f>IFERROR(MINUS(DIVIDE(VLOOKUP($B249,Data!$B$3:$EZ1530,44,FALSE),VLOOKUP($B249,Data!$B$3:$EZ1530,45,FALSE)),1),"")</f>
        <v>-1.23026949</v>
      </c>
      <c r="O249" s="50">
        <f>IFERROR(VLOOKUP($B249,Data!$B$3:$D1530,2,FALSE),"")</f>
        <v>2570000</v>
      </c>
      <c r="P249" s="50">
        <f>IFERROR(VLOOKUP($B249,Data!$B$3:$D1530,3,FALSE),"")</f>
        <v>2500000</v>
      </c>
      <c r="Q249" s="48">
        <f t="shared" si="2"/>
        <v>0.028</v>
      </c>
      <c r="R249" s="48"/>
      <c r="S249" s="48"/>
      <c r="T249" s="48"/>
      <c r="U249" s="48"/>
      <c r="V249" s="48"/>
      <c r="W249" s="50"/>
      <c r="Z249" s="12"/>
      <c r="AA249" s="12"/>
    </row>
    <row r="250">
      <c r="A250" s="9">
        <f t="shared" si="1"/>
        <v>247</v>
      </c>
      <c r="B250" s="47" t="s">
        <v>383</v>
      </c>
      <c r="C250" s="48" t="str">
        <f>IFERROR(DIVIDE(VLOOKUP($B250,Data!$B$3:$AB$1535,9,FALSE),VLOOKUP($B250,Data!$B$3:$AB$1535,4,FALSE)),"")</f>
        <v/>
      </c>
      <c r="D250" s="48" t="str">
        <f>IFERROR(DIVIDE(VLOOKUP($B250,Data!$B$3:$AB$1535,24,FALSE),VLOOKUP($B250,Data!$B$3:$AB$1535,4,FALSE)),"")</f>
        <v/>
      </c>
      <c r="E250" s="48" t="str">
        <f>IFERROR(DIVIDE(VLOOKUP($B250,Data!$B$3:$EZ1530,29,FALSE),VLOOKUP($B250,Data!$B$3:$EZ1530,4,FALSE)),"")</f>
        <v/>
      </c>
      <c r="F250" s="48" t="str">
        <f>IFERROR(DIVIDE(VLOOKUP($B250,Data!$B$3:$EZ1530,34,FALSE),VLOOKUP($B250,Data!$B$3:$EZ1530,4,FALSE)),"")</f>
        <v/>
      </c>
      <c r="G250" s="48" t="str">
        <f>IFERROR(DIVIDE(VLOOKUP($B250,Data!$B$3:$EZ1530,39,FALSE),VLOOKUP($B250,Data!$B$3:$EZ1530,4,FALSE)),"")</f>
        <v/>
      </c>
      <c r="H250" s="48" t="str">
        <f>IFERROR(DIVIDE(VLOOKUP($B250,Data!$B$3:$EZ1530,44,FALSE),VLOOKUP($B250,Data!$B$3:$EZ1530,4,FALSE)),"")</f>
        <v/>
      </c>
      <c r="I250" s="48" t="str">
        <f>IFERROR(MINUS(DIVIDE(VLOOKUP($B250,Data!$B$3:$EZ1530,9,FALSE),VLOOKUP($B250,Data!$B$3:$EZ1530,10,FALSE)),1),"")</f>
        <v/>
      </c>
      <c r="J250" s="48" t="str">
        <f>IFERROR(MINUS(DIVIDE(VLOOKUP($B250,Data!$B$3:$EZ1530,24,FALSE),VLOOKUP($B250,Data!$B$3:$EZ1530,25,FALSE)),1),"")</f>
        <v/>
      </c>
      <c r="K250" s="48" t="str">
        <f>IFERROR(MINUS(DIVIDE(VLOOKUP($B250,Data!$B$3:$EZ1530,29,FALSE),VLOOKUP($B250,Data!$B$3:$EZ1530,30,FALSE)),1),"")</f>
        <v/>
      </c>
      <c r="L250" s="48" t="str">
        <f>IFERROR(MINUS(DIVIDE(VLOOKUP($B250,Data!$B$3:$EZ1530,34,FALSE),VLOOKUP($B250,Data!$B$3:$EZ1530,35,FALSE)),1),"")</f>
        <v/>
      </c>
      <c r="M250" s="48" t="str">
        <f>IFERROR(MINUS(DIVIDE(VLOOKUP($B250,Data!$B$3:$EZ1530,39,FALSE),VLOOKUP($B250,Data!$B$3:$EZ1530,40,FALSE)),1),"")</f>
        <v/>
      </c>
      <c r="N250" s="48" t="str">
        <f>IFERROR(MINUS(DIVIDE(VLOOKUP($B250,Data!$B$3:$EZ1530,44,FALSE),VLOOKUP($B250,Data!$B$3:$EZ1530,45,FALSE)),1),"")</f>
        <v/>
      </c>
      <c r="O250" s="50">
        <f>IFERROR(VLOOKUP($B250,Data!$B$3:$D1530,2,FALSE),"")</f>
        <v>630820</v>
      </c>
      <c r="P250" s="50">
        <f>IFERROR(VLOOKUP($B250,Data!$B$3:$D1530,3,FALSE),"")</f>
        <v>522400</v>
      </c>
      <c r="Q250" s="48">
        <f t="shared" si="2"/>
        <v>0.2075421133</v>
      </c>
      <c r="R250" s="48"/>
      <c r="S250" s="48"/>
      <c r="T250" s="48"/>
      <c r="U250" s="48"/>
      <c r="V250" s="48"/>
      <c r="W250" s="50"/>
      <c r="Z250" s="15"/>
      <c r="AA250" s="15"/>
    </row>
    <row r="251">
      <c r="A251" s="9">
        <f t="shared" si="1"/>
        <v>248</v>
      </c>
      <c r="B251" s="47" t="s">
        <v>384</v>
      </c>
      <c r="C251" s="48">
        <f>IFERROR(DIVIDE(VLOOKUP($B251,Data!$B$3:$AB$1535,9,FALSE),VLOOKUP($B251,Data!$B$3:$AB$1535,4,FALSE)),"")</f>
        <v>0.3933933934</v>
      </c>
      <c r="D251" s="48">
        <f>IFERROR(DIVIDE(VLOOKUP($B251,Data!$B$3:$AB$1535,24,FALSE),VLOOKUP($B251,Data!$B$3:$AB$1535,4,FALSE)),"")</f>
        <v>0.1313633634</v>
      </c>
      <c r="E251" s="48">
        <f>IFERROR(DIVIDE(VLOOKUP($B251,Data!$B$3:$EZ1530,29,FALSE),VLOOKUP($B251,Data!$B$3:$EZ1530,4,FALSE)),"")</f>
        <v>0.0606996997</v>
      </c>
      <c r="F251" s="48">
        <f>IFERROR(DIVIDE(VLOOKUP($B251,Data!$B$3:$EZ1530,34,FALSE),VLOOKUP($B251,Data!$B$3:$EZ1530,4,FALSE)),"")</f>
        <v>0.2354534535</v>
      </c>
      <c r="G251" s="48">
        <f>IFERROR(DIVIDE(VLOOKUP($B251,Data!$B$3:$EZ1530,39,FALSE),VLOOKUP($B251,Data!$B$3:$EZ1530,4,FALSE)),"")</f>
        <v>0.04733933934</v>
      </c>
      <c r="H251" s="48">
        <f>IFERROR(DIVIDE(VLOOKUP($B251,Data!$B$3:$EZ1530,44,FALSE),VLOOKUP($B251,Data!$B$3:$EZ1530,4,FALSE)),"")</f>
        <v>0.1743303303</v>
      </c>
      <c r="I251" s="48">
        <f>IFERROR(MINUS(DIVIDE(VLOOKUP($B251,Data!$B$3:$EZ1530,9,FALSE),VLOOKUP($B251,Data!$B$3:$EZ1530,10,FALSE)),1),"")</f>
        <v>0.2718446602</v>
      </c>
      <c r="J251" s="48">
        <f>IFERROR(MINUS(DIVIDE(VLOOKUP($B251,Data!$B$3:$EZ1530,24,FALSE),VLOOKUP($B251,Data!$B$3:$EZ1530,25,FALSE)),1),"")</f>
        <v>0.2323294926</v>
      </c>
      <c r="K251" s="48">
        <f>IFERROR(MINUS(DIVIDE(VLOOKUP($B251,Data!$B$3:$EZ1530,29,FALSE),VLOOKUP($B251,Data!$B$3:$EZ1530,30,FALSE)),1),"")</f>
        <v>0.3038121654</v>
      </c>
      <c r="L251" s="48">
        <f>IFERROR(MINUS(DIVIDE(VLOOKUP($B251,Data!$B$3:$EZ1530,34,FALSE),VLOOKUP($B251,Data!$B$3:$EZ1530,35,FALSE)),1),"")</f>
        <v>0.2971032475</v>
      </c>
      <c r="M251" s="48">
        <f>IFERROR(MINUS(DIVIDE(VLOOKUP($B251,Data!$B$3:$EZ1530,39,FALSE),VLOOKUP($B251,Data!$B$3:$EZ1530,40,FALSE)),1),"")</f>
        <v>0.3743679163</v>
      </c>
      <c r="N251" s="48">
        <f>IFERROR(MINUS(DIVIDE(VLOOKUP($B251,Data!$B$3:$EZ1530,44,FALSE),VLOOKUP($B251,Data!$B$3:$EZ1530,45,FALSE)),1),"")</f>
        <v>0.3359721998</v>
      </c>
      <c r="O251" s="50">
        <f>IFERROR(VLOOKUP($B251,Data!$B$3:$D1530,2,FALSE),"")</f>
        <v>2780000</v>
      </c>
      <c r="P251" s="50">
        <f>IFERROR(VLOOKUP($B251,Data!$B$3:$D1530,3,FALSE),"")</f>
        <v>1830000</v>
      </c>
      <c r="Q251" s="48">
        <f t="shared" si="2"/>
        <v>0.5191256831</v>
      </c>
      <c r="R251" s="48"/>
      <c r="S251" s="48"/>
      <c r="T251" s="48"/>
      <c r="U251" s="48"/>
      <c r="V251" s="48"/>
      <c r="W251" s="50"/>
      <c r="Z251" s="11"/>
      <c r="AA251" s="11"/>
    </row>
    <row r="252">
      <c r="A252" s="9">
        <f t="shared" si="1"/>
        <v>249</v>
      </c>
      <c r="B252" s="47" t="s">
        <v>385</v>
      </c>
      <c r="C252" s="48" t="str">
        <f>IFERROR(DIVIDE(VLOOKUP($B252,Data!$B$3:$AB$1535,9,FALSE),VLOOKUP($B252,Data!$B$3:$AB$1535,4,FALSE)),"")</f>
        <v/>
      </c>
      <c r="D252" s="48" t="str">
        <f>IFERROR(DIVIDE(VLOOKUP($B252,Data!$B$3:$AB$1535,24,FALSE),VLOOKUP($B252,Data!$B$3:$AB$1535,4,FALSE)),"")</f>
        <v/>
      </c>
      <c r="E252" s="48" t="str">
        <f>IFERROR(DIVIDE(VLOOKUP($B252,Data!$B$3:$EZ1530,29,FALSE),VLOOKUP($B252,Data!$B$3:$EZ1530,4,FALSE)),"")</f>
        <v/>
      </c>
      <c r="F252" s="48" t="str">
        <f>IFERROR(DIVIDE(VLOOKUP($B252,Data!$B$3:$EZ1530,34,FALSE),VLOOKUP($B252,Data!$B$3:$EZ1530,4,FALSE)),"")</f>
        <v/>
      </c>
      <c r="G252" s="48" t="str">
        <f>IFERROR(DIVIDE(VLOOKUP($B252,Data!$B$3:$EZ1530,39,FALSE),VLOOKUP($B252,Data!$B$3:$EZ1530,4,FALSE)),"")</f>
        <v/>
      </c>
      <c r="H252" s="48" t="str">
        <f>IFERROR(DIVIDE(VLOOKUP($B252,Data!$B$3:$EZ1530,44,FALSE),VLOOKUP($B252,Data!$B$3:$EZ1530,4,FALSE)),"")</f>
        <v/>
      </c>
      <c r="I252" s="48">
        <f>IFERROR(MINUS(DIVIDE(VLOOKUP($B252,Data!$B$3:$EZ1530,9,FALSE),VLOOKUP($B252,Data!$B$3:$EZ1530,10,FALSE)),1),"")</f>
        <v>0.6041666667</v>
      </c>
      <c r="J252" s="48" t="str">
        <f>IFERROR(MINUS(DIVIDE(VLOOKUP($B252,Data!$B$3:$EZ1530,24,FALSE),VLOOKUP($B252,Data!$B$3:$EZ1530,25,FALSE)),1),"")</f>
        <v/>
      </c>
      <c r="K252" s="48">
        <f>IFERROR(MINUS(DIVIDE(VLOOKUP($B252,Data!$B$3:$EZ1530,29,FALSE),VLOOKUP($B252,Data!$B$3:$EZ1530,30,FALSE)),1),"")</f>
        <v>-0.2982425613</v>
      </c>
      <c r="L252" s="48">
        <f>IFERROR(MINUS(DIVIDE(VLOOKUP($B252,Data!$B$3:$EZ1530,34,FALSE),VLOOKUP($B252,Data!$B$3:$EZ1530,35,FALSE)),1),"")</f>
        <v>-0.3003478261</v>
      </c>
      <c r="M252" s="48">
        <f>IFERROR(MINUS(DIVIDE(VLOOKUP($B252,Data!$B$3:$EZ1530,39,FALSE),VLOOKUP($B252,Data!$B$3:$EZ1530,40,FALSE)),1),"")</f>
        <v>-0.3058137416</v>
      </c>
      <c r="N252" s="48">
        <f>IFERROR(MINUS(DIVIDE(VLOOKUP($B252,Data!$B$3:$EZ1530,44,FALSE),VLOOKUP($B252,Data!$B$3:$EZ1530,45,FALSE)),1),"")</f>
        <v>0.1879379379</v>
      </c>
      <c r="O252" s="50">
        <f>IFERROR(VLOOKUP($B252,Data!$B$3:$D1530,2,FALSE),"")</f>
        <v>18360</v>
      </c>
      <c r="P252" s="50" t="str">
        <f>IFERROR(VLOOKUP($B252,Data!$B$3:$D1530,3,FALSE),"")</f>
        <v/>
      </c>
      <c r="Q252" s="48" t="str">
        <f t="shared" si="2"/>
        <v/>
      </c>
      <c r="R252" s="48"/>
      <c r="S252" s="48"/>
      <c r="T252" s="48"/>
      <c r="U252" s="48"/>
      <c r="V252" s="48"/>
      <c r="W252" s="50"/>
      <c r="Z252" s="15"/>
      <c r="AA252" s="15"/>
    </row>
    <row r="253">
      <c r="A253" s="9">
        <f t="shared" si="1"/>
        <v>250</v>
      </c>
      <c r="B253" s="47" t="s">
        <v>386</v>
      </c>
      <c r="C253" s="48">
        <f>IFERROR(DIVIDE(VLOOKUP($B253,Data!$B$3:$AB$1535,9,FALSE),VLOOKUP($B253,Data!$B$3:$AB$1535,4,FALSE)),"")</f>
        <v>0.07238277512</v>
      </c>
      <c r="D253" s="48">
        <f>IFERROR(DIVIDE(VLOOKUP($B253,Data!$B$3:$AB$1535,24,FALSE),VLOOKUP($B253,Data!$B$3:$AB$1535,4,FALSE)),"")</f>
        <v>-0.05493779904</v>
      </c>
      <c r="E253" s="48">
        <f>IFERROR(DIVIDE(VLOOKUP($B253,Data!$B$3:$EZ1530,29,FALSE),VLOOKUP($B253,Data!$B$3:$EZ1530,4,FALSE)),"")</f>
        <v>-0.05580861244</v>
      </c>
      <c r="F253" s="48">
        <f>IFERROR(DIVIDE(VLOOKUP($B253,Data!$B$3:$EZ1530,34,FALSE),VLOOKUP($B253,Data!$B$3:$EZ1530,4,FALSE)),"")</f>
        <v>-0.03595215311</v>
      </c>
      <c r="G253" s="48">
        <f>IFERROR(DIVIDE(VLOOKUP($B253,Data!$B$3:$EZ1530,39,FALSE),VLOOKUP($B253,Data!$B$3:$EZ1530,4,FALSE)),"")</f>
        <v>-0.038</v>
      </c>
      <c r="H253" s="48">
        <f>IFERROR(DIVIDE(VLOOKUP($B253,Data!$B$3:$EZ1530,44,FALSE),VLOOKUP($B253,Data!$B$3:$EZ1530,4,FALSE)),"")</f>
        <v>0.05437320574</v>
      </c>
      <c r="I253" s="48">
        <f>IFERROR(MINUS(DIVIDE(VLOOKUP($B253,Data!$B$3:$EZ1530,9,FALSE),VLOOKUP($B253,Data!$B$3:$EZ1530,10,FALSE)),1),"")</f>
        <v>-0.5429745325</v>
      </c>
      <c r="J253" s="48">
        <f>IFERROR(MINUS(DIVIDE(VLOOKUP($B253,Data!$B$3:$EZ1530,24,FALSE),VLOOKUP($B253,Data!$B$3:$EZ1530,25,FALSE)),1),"")</f>
        <v>-3.13777695</v>
      </c>
      <c r="K253" s="48">
        <f>IFERROR(MINUS(DIVIDE(VLOOKUP($B253,Data!$B$3:$EZ1530,29,FALSE),VLOOKUP($B253,Data!$B$3:$EZ1530,30,FALSE)),1),"")</f>
        <v>-3.359223301</v>
      </c>
      <c r="L253" s="48">
        <f>IFERROR(MINUS(DIVIDE(VLOOKUP($B253,Data!$B$3:$EZ1530,34,FALSE),VLOOKUP($B253,Data!$B$3:$EZ1530,35,FALSE)),1),"")</f>
        <v>-1.789617486</v>
      </c>
      <c r="M253" s="48">
        <f>IFERROR(MINUS(DIVIDE(VLOOKUP($B253,Data!$B$3:$EZ1530,39,FALSE),VLOOKUP($B253,Data!$B$3:$EZ1530,40,FALSE)),1),"")</f>
        <v>0.7629300777</v>
      </c>
      <c r="N253" s="48">
        <f>IFERROR(MINUS(DIVIDE(VLOOKUP($B253,Data!$B$3:$EZ1530,44,FALSE),VLOOKUP($B253,Data!$B$3:$EZ1530,45,FALSE)),1),"")</f>
        <v>2.751733245</v>
      </c>
      <c r="O253" s="50">
        <f>IFERROR(VLOOKUP($B253,Data!$B$3:$D1530,2,FALSE),"")</f>
        <v>2190000</v>
      </c>
      <c r="P253" s="50">
        <f>IFERROR(VLOOKUP($B253,Data!$B$3:$D1530,3,FALSE),"")</f>
        <v>1920000</v>
      </c>
      <c r="Q253" s="48">
        <f t="shared" si="2"/>
        <v>0.140625</v>
      </c>
      <c r="R253" s="48"/>
      <c r="S253" s="48"/>
      <c r="T253" s="48"/>
      <c r="U253" s="48"/>
      <c r="V253" s="48"/>
      <c r="W253" s="50"/>
      <c r="Z253" s="15"/>
      <c r="AA253" s="15"/>
    </row>
    <row r="254">
      <c r="A254" s="9">
        <f t="shared" si="1"/>
        <v>251</v>
      </c>
      <c r="B254" s="47" t="s">
        <v>387</v>
      </c>
      <c r="C254" s="48">
        <f>IFERROR(DIVIDE(VLOOKUP($B254,Data!$B$3:$AB$1535,9,FALSE),VLOOKUP($B254,Data!$B$3:$AB$1535,4,FALSE)),"")</f>
        <v>0.2643910256</v>
      </c>
      <c r="D254" s="48">
        <f>IFERROR(DIVIDE(VLOOKUP($B254,Data!$B$3:$AB$1535,24,FALSE),VLOOKUP($B254,Data!$B$3:$AB$1535,4,FALSE)),"")</f>
        <v>0.1341153846</v>
      </c>
      <c r="E254" s="48">
        <f>IFERROR(DIVIDE(VLOOKUP($B254,Data!$B$3:$EZ1530,29,FALSE),VLOOKUP($B254,Data!$B$3:$EZ1530,4,FALSE)),"")</f>
        <v>0.0106474359</v>
      </c>
      <c r="F254" s="48">
        <f>IFERROR(DIVIDE(VLOOKUP($B254,Data!$B$3:$EZ1530,34,FALSE),VLOOKUP($B254,Data!$B$3:$EZ1530,4,FALSE)),"")</f>
        <v>0.278275641</v>
      </c>
      <c r="G254" s="48">
        <f>IFERROR(DIVIDE(VLOOKUP($B254,Data!$B$3:$EZ1530,39,FALSE),VLOOKUP($B254,Data!$B$3:$EZ1530,4,FALSE)),"")</f>
        <v>0.005833333333</v>
      </c>
      <c r="H254" s="48">
        <f>IFERROR(DIVIDE(VLOOKUP($B254,Data!$B$3:$EZ1530,44,FALSE),VLOOKUP($B254,Data!$B$3:$EZ1530,4,FALSE)),"")</f>
        <v>0.1635769231</v>
      </c>
      <c r="I254" s="48">
        <f>IFERROR(MINUS(DIVIDE(VLOOKUP($B254,Data!$B$3:$EZ1530,9,FALSE),VLOOKUP($B254,Data!$B$3:$EZ1530,10,FALSE)),1),"")</f>
        <v>-0.07850935007</v>
      </c>
      <c r="J254" s="48" t="str">
        <f>IFERROR(MINUS(DIVIDE(VLOOKUP($B254,Data!$B$3:$EZ1530,24,FALSE),VLOOKUP($B254,Data!$B$3:$EZ1530,25,FALSE)),1),"")</f>
        <v/>
      </c>
      <c r="K254" s="48">
        <f>IFERROR(MINUS(DIVIDE(VLOOKUP($B254,Data!$B$3:$EZ1530,29,FALSE),VLOOKUP($B254,Data!$B$3:$EZ1530,30,FALSE)),1),"")</f>
        <v>1.17124183</v>
      </c>
      <c r="L254" s="48">
        <f>IFERROR(MINUS(DIVIDE(VLOOKUP($B254,Data!$B$3:$EZ1530,34,FALSE),VLOOKUP($B254,Data!$B$3:$EZ1530,35,FALSE)),1),"")</f>
        <v>-0.05350485119</v>
      </c>
      <c r="M254" s="48">
        <f>IFERROR(MINUS(DIVIDE(VLOOKUP($B254,Data!$B$3:$EZ1530,39,FALSE),VLOOKUP($B254,Data!$B$3:$EZ1530,40,FALSE)),1),"")</f>
        <v>0.2762973352</v>
      </c>
      <c r="N254" s="48">
        <f>IFERROR(MINUS(DIVIDE(VLOOKUP($B254,Data!$B$3:$EZ1530,44,FALSE),VLOOKUP($B254,Data!$B$3:$EZ1530,45,FALSE)),1),"")</f>
        <v>-0.2211811384</v>
      </c>
      <c r="O254" s="50">
        <f>IFERROR(VLOOKUP($B254,Data!$B$3:$D1530,2,FALSE),"")</f>
        <v>898660</v>
      </c>
      <c r="P254" s="50">
        <f>IFERROR(VLOOKUP($B254,Data!$B$3:$D1530,3,FALSE),"")</f>
        <v>789580</v>
      </c>
      <c r="Q254" s="48">
        <f t="shared" si="2"/>
        <v>0.1381493959</v>
      </c>
      <c r="R254" s="48"/>
      <c r="S254" s="48"/>
      <c r="T254" s="48"/>
      <c r="U254" s="48"/>
      <c r="V254" s="48"/>
      <c r="W254" s="50"/>
      <c r="Z254" s="11"/>
      <c r="AA254" s="12"/>
    </row>
    <row r="255">
      <c r="A255" s="9">
        <f t="shared" si="1"/>
        <v>252</v>
      </c>
      <c r="B255" s="47" t="s">
        <v>388</v>
      </c>
      <c r="C255" s="48" t="str">
        <f>IFERROR(DIVIDE(VLOOKUP($B255,Data!$B$3:$AB$1535,9,FALSE),VLOOKUP($B255,Data!$B$3:$AB$1535,4,FALSE)),"")</f>
        <v/>
      </c>
      <c r="D255" s="48" t="str">
        <f>IFERROR(DIVIDE(VLOOKUP($B255,Data!$B$3:$AB$1535,24,FALSE),VLOOKUP($B255,Data!$B$3:$AB$1535,4,FALSE)),"")</f>
        <v/>
      </c>
      <c r="E255" s="48" t="str">
        <f>IFERROR(DIVIDE(VLOOKUP($B255,Data!$B$3:$EZ1530,29,FALSE),VLOOKUP($B255,Data!$B$3:$EZ1530,4,FALSE)),"")</f>
        <v/>
      </c>
      <c r="F255" s="48" t="str">
        <f>IFERROR(DIVIDE(VLOOKUP($B255,Data!$B$3:$EZ1530,34,FALSE),VLOOKUP($B255,Data!$B$3:$EZ1530,4,FALSE)),"")</f>
        <v/>
      </c>
      <c r="G255" s="48" t="str">
        <f>IFERROR(DIVIDE(VLOOKUP($B255,Data!$B$3:$EZ1530,39,FALSE),VLOOKUP($B255,Data!$B$3:$EZ1530,4,FALSE)),"")</f>
        <v/>
      </c>
      <c r="H255" s="48" t="str">
        <f>IFERROR(DIVIDE(VLOOKUP($B255,Data!$B$3:$EZ1530,44,FALSE),VLOOKUP($B255,Data!$B$3:$EZ1530,4,FALSE)),"")</f>
        <v/>
      </c>
      <c r="I255" s="48" t="str">
        <f>IFERROR(MINUS(DIVIDE(VLOOKUP($B255,Data!$B$3:$EZ1530,9,FALSE),VLOOKUP($B255,Data!$B$3:$EZ1530,10,FALSE)),1),"")</f>
        <v/>
      </c>
      <c r="J255" s="48">
        <f>IFERROR(MINUS(DIVIDE(VLOOKUP($B255,Data!$B$3:$EZ1530,24,FALSE),VLOOKUP($B255,Data!$B$3:$EZ1530,25,FALSE)),1),"")</f>
        <v>-1</v>
      </c>
      <c r="K255" s="48">
        <f>IFERROR(MINUS(DIVIDE(VLOOKUP($B255,Data!$B$3:$EZ1530,29,FALSE),VLOOKUP($B255,Data!$B$3:$EZ1530,30,FALSE)),1),"")</f>
        <v>0.3885245902</v>
      </c>
      <c r="L255" s="48">
        <f>IFERROR(MINUS(DIVIDE(VLOOKUP($B255,Data!$B$3:$EZ1530,34,FALSE),VLOOKUP($B255,Data!$B$3:$EZ1530,35,FALSE)),1),"")</f>
        <v>2.001615509</v>
      </c>
      <c r="M255" s="48">
        <f>IFERROR(MINUS(DIVIDE(VLOOKUP($B255,Data!$B$3:$EZ1530,39,FALSE),VLOOKUP($B255,Data!$B$3:$EZ1530,40,FALSE)),1),"")</f>
        <v>0.3885245902</v>
      </c>
      <c r="N255" s="48">
        <f>IFERROR(MINUS(DIVIDE(VLOOKUP($B255,Data!$B$3:$EZ1530,44,FALSE),VLOOKUP($B255,Data!$B$3:$EZ1530,45,FALSE)),1),"")</f>
        <v>2.444206009</v>
      </c>
      <c r="O255" s="50" t="str">
        <f>IFERROR(VLOOKUP($B255,Data!$B$3:$D1530,2,FALSE),"")</f>
        <v/>
      </c>
      <c r="P255" s="50" t="str">
        <f>IFERROR(VLOOKUP($B255,Data!$B$3:$D1530,3,FALSE),"")</f>
        <v/>
      </c>
      <c r="Q255" s="48" t="str">
        <f t="shared" si="2"/>
        <v/>
      </c>
      <c r="R255" s="48"/>
      <c r="S255" s="48"/>
      <c r="T255" s="48"/>
      <c r="U255" s="48"/>
      <c r="V255" s="48"/>
      <c r="W255" s="50"/>
      <c r="Z255" s="11"/>
      <c r="AA255" s="11"/>
    </row>
    <row r="256">
      <c r="A256" s="9">
        <f t="shared" si="1"/>
        <v>253</v>
      </c>
      <c r="B256" s="47" t="s">
        <v>389</v>
      </c>
      <c r="C256" s="48">
        <f>IFERROR(DIVIDE(VLOOKUP($B256,Data!$B$3:$AB$1535,9,FALSE),VLOOKUP($B256,Data!$B$3:$AB$1535,4,FALSE)),"")</f>
        <v>0.3206412826</v>
      </c>
      <c r="D256" s="48">
        <f>IFERROR(DIVIDE(VLOOKUP($B256,Data!$B$3:$AB$1535,24,FALSE),VLOOKUP($B256,Data!$B$3:$AB$1535,4,FALSE)),"")</f>
        <v>0.0757254509</v>
      </c>
      <c r="E256" s="48">
        <f>IFERROR(DIVIDE(VLOOKUP($B256,Data!$B$3:$EZ1530,29,FALSE),VLOOKUP($B256,Data!$B$3:$EZ1530,4,FALSE)),"")</f>
        <v>0.06571342685</v>
      </c>
      <c r="F256" s="48">
        <f>IFERROR(DIVIDE(VLOOKUP($B256,Data!$B$3:$EZ1530,34,FALSE),VLOOKUP($B256,Data!$B$3:$EZ1530,4,FALSE)),"")</f>
        <v>0.09593987976</v>
      </c>
      <c r="G256" s="48">
        <f>IFERROR(DIVIDE(VLOOKUP($B256,Data!$B$3:$EZ1530,39,FALSE),VLOOKUP($B256,Data!$B$3:$EZ1530,4,FALSE)),"")</f>
        <v>0.05322645291</v>
      </c>
      <c r="H256" s="48">
        <f>IFERROR(DIVIDE(VLOOKUP($B256,Data!$B$3:$EZ1530,44,FALSE),VLOOKUP($B256,Data!$B$3:$EZ1530,4,FALSE)),"")</f>
        <v>0.1112825651</v>
      </c>
      <c r="I256" s="48">
        <f>IFERROR(MINUS(DIVIDE(VLOOKUP($B256,Data!$B$3:$EZ1530,9,FALSE),VLOOKUP($B256,Data!$B$3:$EZ1530,10,FALSE)),1),"")</f>
        <v>0.1267605634</v>
      </c>
      <c r="J256" s="48">
        <f>IFERROR(MINUS(DIVIDE(VLOOKUP($B256,Data!$B$3:$EZ1530,24,FALSE),VLOOKUP($B256,Data!$B$3:$EZ1530,25,FALSE)),1),"")</f>
        <v>0.109098914</v>
      </c>
      <c r="K256" s="48">
        <f>IFERROR(MINUS(DIVIDE(VLOOKUP($B256,Data!$B$3:$EZ1530,29,FALSE),VLOOKUP($B256,Data!$B$3:$EZ1530,30,FALSE)),1),"")</f>
        <v>0.09793745396</v>
      </c>
      <c r="L256" s="48">
        <f>IFERROR(MINUS(DIVIDE(VLOOKUP($B256,Data!$B$3:$EZ1530,34,FALSE),VLOOKUP($B256,Data!$B$3:$EZ1530,35,FALSE)),1),"")</f>
        <v>0.1594294156</v>
      </c>
      <c r="M256" s="48">
        <f>IFERROR(MINUS(DIVIDE(VLOOKUP($B256,Data!$B$3:$EZ1530,39,FALSE),VLOOKUP($B256,Data!$B$3:$EZ1530,40,FALSE)),1),"")</f>
        <v>-0.1181060531</v>
      </c>
      <c r="N256" s="48">
        <f>IFERROR(MINUS(DIVIDE(VLOOKUP($B256,Data!$B$3:$EZ1530,44,FALSE),VLOOKUP($B256,Data!$B$3:$EZ1530,45,FALSE)),1),"")</f>
        <v>0.7079322117</v>
      </c>
      <c r="O256" s="50">
        <f>IFERROR(VLOOKUP($B256,Data!$B$3:$D1530,2,FALSE),"")</f>
        <v>6070000</v>
      </c>
      <c r="P256" s="50">
        <f>IFERROR(VLOOKUP($B256,Data!$B$3:$D1530,3,FALSE),"")</f>
        <v>5700000</v>
      </c>
      <c r="Q256" s="48">
        <f t="shared" si="2"/>
        <v>0.0649122807</v>
      </c>
      <c r="R256" s="48"/>
      <c r="S256" s="48"/>
      <c r="T256" s="48"/>
      <c r="U256" s="48"/>
      <c r="V256" s="48"/>
      <c r="W256" s="50"/>
      <c r="Z256" s="11"/>
      <c r="AA256" s="11"/>
    </row>
    <row r="257">
      <c r="A257" s="9">
        <f t="shared" si="1"/>
        <v>254</v>
      </c>
      <c r="B257" s="47" t="s">
        <v>390</v>
      </c>
      <c r="C257" s="48">
        <f>IFERROR(DIVIDE(VLOOKUP($B257,Data!$B$3:$AB$1535,9,FALSE),VLOOKUP($B257,Data!$B$3:$AB$1535,4,FALSE)),"")</f>
        <v>0.2872928177</v>
      </c>
      <c r="D257" s="48">
        <f>IFERROR(DIVIDE(VLOOKUP($B257,Data!$B$3:$AB$1535,24,FALSE),VLOOKUP($B257,Data!$B$3:$AB$1535,4,FALSE)),"")</f>
        <v>0.1290883978</v>
      </c>
      <c r="E257" s="48">
        <f>IFERROR(DIVIDE(VLOOKUP($B257,Data!$B$3:$EZ1530,29,FALSE),VLOOKUP($B257,Data!$B$3:$EZ1530,4,FALSE)),"")</f>
        <v>0.1008839779</v>
      </c>
      <c r="F257" s="48">
        <f>IFERROR(DIVIDE(VLOOKUP($B257,Data!$B$3:$EZ1530,34,FALSE),VLOOKUP($B257,Data!$B$3:$EZ1530,4,FALSE)),"")</f>
        <v>0.223480663</v>
      </c>
      <c r="G257" s="48">
        <f>IFERROR(DIVIDE(VLOOKUP($B257,Data!$B$3:$EZ1530,39,FALSE),VLOOKUP($B257,Data!$B$3:$EZ1530,4,FALSE)),"")</f>
        <v>0.08602209945</v>
      </c>
      <c r="H257" s="48">
        <f>IFERROR(DIVIDE(VLOOKUP($B257,Data!$B$3:$EZ1530,44,FALSE),VLOOKUP($B257,Data!$B$3:$EZ1530,4,FALSE)),"")</f>
        <v>0.1568232044</v>
      </c>
      <c r="I257" s="48">
        <f>IFERROR(MINUS(DIVIDE(VLOOKUP($B257,Data!$B$3:$EZ1530,9,FALSE),VLOOKUP($B257,Data!$B$3:$EZ1530,10,FALSE)),1),"")</f>
        <v>0.1424805009</v>
      </c>
      <c r="J257" s="48">
        <f>IFERROR(MINUS(DIVIDE(VLOOKUP($B257,Data!$B$3:$EZ1530,24,FALSE),VLOOKUP($B257,Data!$B$3:$EZ1530,25,FALSE)),1),"")</f>
        <v>0.100047081</v>
      </c>
      <c r="K257" s="48">
        <f>IFERROR(MINUS(DIVIDE(VLOOKUP($B257,Data!$B$3:$EZ1530,29,FALSE),VLOOKUP($B257,Data!$B$3:$EZ1530,30,FALSE)),1),"")</f>
        <v>-0.003003003003</v>
      </c>
      <c r="L257" s="48">
        <f>IFERROR(MINUS(DIVIDE(VLOOKUP($B257,Data!$B$3:$EZ1530,34,FALSE),VLOOKUP($B257,Data!$B$3:$EZ1530,35,FALSE)),1),"")</f>
        <v>0.2599283601</v>
      </c>
      <c r="M257" s="48">
        <f>IFERROR(MINUS(DIVIDE(VLOOKUP($B257,Data!$B$3:$EZ1530,39,FALSE),VLOOKUP($B257,Data!$B$3:$EZ1530,40,FALSE)),1),"")</f>
        <v>-0.05636363636</v>
      </c>
      <c r="N257" s="48">
        <f>IFERROR(MINUS(DIVIDE(VLOOKUP($B257,Data!$B$3:$EZ1530,44,FALSE),VLOOKUP($B257,Data!$B$3:$EZ1530,45,FALSE)),1),"")</f>
        <v>0.02769732078</v>
      </c>
      <c r="O257" s="50">
        <f>IFERROR(VLOOKUP($B257,Data!$B$3:$D1530,2,FALSE),"")</f>
        <v>2380000</v>
      </c>
      <c r="P257" s="50">
        <f>IFERROR(VLOOKUP($B257,Data!$B$3:$D1530,3,FALSE),"")</f>
        <v>2230000</v>
      </c>
      <c r="Q257" s="48">
        <f t="shared" si="2"/>
        <v>0.06726457399</v>
      </c>
      <c r="R257" s="48"/>
      <c r="S257" s="48"/>
      <c r="T257" s="48"/>
      <c r="U257" s="48"/>
      <c r="V257" s="48"/>
      <c r="W257" s="50"/>
      <c r="Z257" s="12"/>
      <c r="AA257" s="12"/>
    </row>
    <row r="258">
      <c r="A258" s="9">
        <f t="shared" si="1"/>
        <v>255</v>
      </c>
      <c r="B258" s="47" t="s">
        <v>391</v>
      </c>
      <c r="C258" s="48">
        <f>IFERROR(DIVIDE(VLOOKUP($B258,Data!$B$3:$AB$1535,9,FALSE),VLOOKUP($B258,Data!$B$3:$AB$1535,4,FALSE)),"")</f>
        <v>0.2814479638</v>
      </c>
      <c r="D258" s="48">
        <f>IFERROR(DIVIDE(VLOOKUP($B258,Data!$B$3:$AB$1535,24,FALSE),VLOOKUP($B258,Data!$B$3:$AB$1535,4,FALSE)),"")</f>
        <v>0.1312217195</v>
      </c>
      <c r="E258" s="48">
        <f>IFERROR(DIVIDE(VLOOKUP($B258,Data!$B$3:$EZ1530,29,FALSE),VLOOKUP($B258,Data!$B$3:$EZ1530,4,FALSE)),"")</f>
        <v>0.08777375566</v>
      </c>
      <c r="F258" s="48">
        <f>IFERROR(DIVIDE(VLOOKUP($B258,Data!$B$3:$EZ1530,34,FALSE),VLOOKUP($B258,Data!$B$3:$EZ1530,4,FALSE)),"")</f>
        <v>0.1990950226</v>
      </c>
      <c r="G258" s="48">
        <f>IFERROR(DIVIDE(VLOOKUP($B258,Data!$B$3:$EZ1530,39,FALSE),VLOOKUP($B258,Data!$B$3:$EZ1530,4,FALSE)),"")</f>
        <v>0.07602714932</v>
      </c>
      <c r="H258" s="48">
        <f>IFERROR(DIVIDE(VLOOKUP($B258,Data!$B$3:$EZ1530,44,FALSE),VLOOKUP($B258,Data!$B$3:$EZ1530,4,FALSE)),"")</f>
        <v>0.1665158371</v>
      </c>
      <c r="I258" s="48">
        <f>IFERROR(MINUS(DIVIDE(VLOOKUP($B258,Data!$B$3:$EZ1530,9,FALSE),VLOOKUP($B258,Data!$B$3:$EZ1530,10,FALSE)),1),"")</f>
        <v>0.1691729323</v>
      </c>
      <c r="J258" s="48">
        <f>IFERROR(MINUS(DIVIDE(VLOOKUP($B258,Data!$B$3:$EZ1530,24,FALSE),VLOOKUP($B258,Data!$B$3:$EZ1530,25,FALSE)),1),"")</f>
        <v>0.3063063063</v>
      </c>
      <c r="K258" s="48">
        <f>IFERROR(MINUS(DIVIDE(VLOOKUP($B258,Data!$B$3:$EZ1530,29,FALSE),VLOOKUP($B258,Data!$B$3:$EZ1530,30,FALSE)),1),"")</f>
        <v>0.1780638892</v>
      </c>
      <c r="L258" s="48">
        <f>IFERROR(MINUS(DIVIDE(VLOOKUP($B258,Data!$B$3:$EZ1530,34,FALSE),VLOOKUP($B258,Data!$B$3:$EZ1530,35,FALSE)),1),"")</f>
        <v>0.2643678161</v>
      </c>
      <c r="M258" s="48">
        <f>IFERROR(MINUS(DIVIDE(VLOOKUP($B258,Data!$B$3:$EZ1530,39,FALSE),VLOOKUP($B258,Data!$B$3:$EZ1530,40,FALSE)),1),"")</f>
        <v>0.2350779183</v>
      </c>
      <c r="N258" s="48">
        <f>IFERROR(MINUS(DIVIDE(VLOOKUP($B258,Data!$B$3:$EZ1530,44,FALSE),VLOOKUP($B258,Data!$B$3:$EZ1530,45,FALSE)),1),"")</f>
        <v>0.6283185841</v>
      </c>
      <c r="O258" s="50">
        <f>IFERROR(VLOOKUP($B258,Data!$B$3:$D1530,2,FALSE),"")</f>
        <v>10830000</v>
      </c>
      <c r="P258" s="50">
        <f>IFERROR(VLOOKUP($B258,Data!$B$3:$D1530,3,FALSE),"")</f>
        <v>10770000</v>
      </c>
      <c r="Q258" s="48">
        <f t="shared" si="2"/>
        <v>0.005571030641</v>
      </c>
      <c r="R258" s="48"/>
      <c r="S258" s="48"/>
      <c r="T258" s="48"/>
      <c r="U258" s="48"/>
      <c r="V258" s="48"/>
      <c r="W258" s="50"/>
      <c r="Z258" s="15"/>
      <c r="AA258" s="15"/>
    </row>
    <row r="259">
      <c r="A259" s="9">
        <f t="shared" si="1"/>
        <v>256</v>
      </c>
      <c r="B259" s="47" t="s">
        <v>392</v>
      </c>
      <c r="C259" s="48">
        <f>IFERROR(DIVIDE(VLOOKUP($B259,Data!$B$3:$AB$1535,9,FALSE),VLOOKUP($B259,Data!$B$3:$AB$1535,4,FALSE)),"")</f>
        <v>0.04329004329</v>
      </c>
      <c r="D259" s="48">
        <f>IFERROR(DIVIDE(VLOOKUP($B259,Data!$B$3:$AB$1535,24,FALSE),VLOOKUP($B259,Data!$B$3:$AB$1535,4,FALSE)),"")</f>
        <v>0.01071943929</v>
      </c>
      <c r="E259" s="48">
        <f>IFERROR(DIVIDE(VLOOKUP($B259,Data!$B$3:$EZ1530,29,FALSE),VLOOKUP($B259,Data!$B$3:$EZ1530,4,FALSE)),"")</f>
        <v>0.01202501203</v>
      </c>
      <c r="F259" s="48">
        <f>IFERROR(DIVIDE(VLOOKUP($B259,Data!$B$3:$EZ1530,34,FALSE),VLOOKUP($B259,Data!$B$3:$EZ1530,4,FALSE)),"")</f>
        <v>0.01930873359</v>
      </c>
      <c r="G259" s="48">
        <f>IFERROR(DIVIDE(VLOOKUP($B259,Data!$B$3:$EZ1530,39,FALSE),VLOOKUP($B259,Data!$B$3:$EZ1530,4,FALSE)),"")</f>
        <v>0.009345152202</v>
      </c>
      <c r="H259" s="48">
        <f>IFERROR(DIVIDE(VLOOKUP($B259,Data!$B$3:$EZ1530,44,FALSE),VLOOKUP($B259,Data!$B$3:$EZ1530,4,FALSE)),"")</f>
        <v>0.0186903044</v>
      </c>
      <c r="I259" s="48">
        <f>IFERROR(MINUS(DIVIDE(VLOOKUP($B259,Data!$B$3:$EZ1530,9,FALSE),VLOOKUP($B259,Data!$B$3:$EZ1530,10,FALSE)),1),"")</f>
        <v>-0.04689863843</v>
      </c>
      <c r="J259" s="48">
        <f>IFERROR(MINUS(DIVIDE(VLOOKUP($B259,Data!$B$3:$EZ1530,24,FALSE),VLOOKUP($B259,Data!$B$3:$EZ1530,25,FALSE)),1),"")</f>
        <v>0.01298701299</v>
      </c>
      <c r="K259" s="48">
        <f>IFERROR(MINUS(DIVIDE(VLOOKUP($B259,Data!$B$3:$EZ1530,29,FALSE),VLOOKUP($B259,Data!$B$3:$EZ1530,30,FALSE)),1),"")</f>
        <v>-8.675438596</v>
      </c>
      <c r="L259" s="48">
        <f>IFERROR(MINUS(DIVIDE(VLOOKUP($B259,Data!$B$3:$EZ1530,34,FALSE),VLOOKUP($B259,Data!$B$3:$EZ1530,35,FALSE)),1),"")</f>
        <v>-0.2106741573</v>
      </c>
      <c r="M259" s="48">
        <f>IFERROR(MINUS(DIVIDE(VLOOKUP($B259,Data!$B$3:$EZ1530,39,FALSE),VLOOKUP($B259,Data!$B$3:$EZ1530,40,FALSE)),1),"")</f>
        <v>4.3125</v>
      </c>
      <c r="N259" s="48">
        <f>IFERROR(MINUS(DIVIDE(VLOOKUP($B259,Data!$B$3:$EZ1530,44,FALSE),VLOOKUP($B259,Data!$B$3:$EZ1530,45,FALSE)),1),"")</f>
        <v>-0.01805054152</v>
      </c>
      <c r="O259" s="50">
        <f>IFERROR(VLOOKUP($B259,Data!$B$3:$D1530,2,FALSE),"")</f>
        <v>159410000</v>
      </c>
      <c r="P259" s="50">
        <f>IFERROR(VLOOKUP($B259,Data!$B$3:$D1530,3,FALSE),"")</f>
        <v>152880000</v>
      </c>
      <c r="Q259" s="48">
        <f t="shared" si="2"/>
        <v>0.04271323914</v>
      </c>
      <c r="R259" s="48"/>
      <c r="S259" s="48"/>
      <c r="T259" s="48"/>
      <c r="U259" s="48"/>
      <c r="V259" s="48"/>
      <c r="W259" s="50"/>
      <c r="Z259" s="11"/>
      <c r="AA259" s="11"/>
    </row>
    <row r="260">
      <c r="A260" s="9">
        <f t="shared" si="1"/>
        <v>257</v>
      </c>
      <c r="B260" s="47" t="s">
        <v>393</v>
      </c>
      <c r="C260" s="48">
        <f>IFERROR(DIVIDE(VLOOKUP($B260,Data!$B$3:$AB$1535,9,FALSE),VLOOKUP($B260,Data!$B$3:$AB$1535,4,FALSE)),"")</f>
        <v>0.4775051616</v>
      </c>
      <c r="D260" s="48">
        <f>IFERROR(DIVIDE(VLOOKUP($B260,Data!$B$3:$AB$1535,24,FALSE),VLOOKUP($B260,Data!$B$3:$AB$1535,4,FALSE)),"")</f>
        <v>0</v>
      </c>
      <c r="E260" s="48">
        <f>IFERROR(DIVIDE(VLOOKUP($B260,Data!$B$3:$EZ1530,29,FALSE),VLOOKUP($B260,Data!$B$3:$EZ1530,4,FALSE)),"")</f>
        <v>0.1325442935</v>
      </c>
      <c r="F260" s="48">
        <f>IFERROR(DIVIDE(VLOOKUP($B260,Data!$B$3:$EZ1530,34,FALSE),VLOOKUP($B260,Data!$B$3:$EZ1530,4,FALSE)),"")</f>
        <v>0.5862822298</v>
      </c>
      <c r="G260" s="48">
        <f>IFERROR(DIVIDE(VLOOKUP($B260,Data!$B$3:$EZ1530,39,FALSE),VLOOKUP($B260,Data!$B$3:$EZ1530,4,FALSE)),"")</f>
        <v>0.1224852355</v>
      </c>
      <c r="H260" s="48">
        <f>IFERROR(DIVIDE(VLOOKUP($B260,Data!$B$3:$EZ1530,44,FALSE),VLOOKUP($B260,Data!$B$3:$EZ1530,4,FALSE)),"")</f>
        <v>0.6097853748</v>
      </c>
      <c r="I260" s="48">
        <f>IFERROR(MINUS(DIVIDE(VLOOKUP($B260,Data!$B$3:$EZ1530,9,FALSE),VLOOKUP($B260,Data!$B$3:$EZ1530,10,FALSE)),1),"")</f>
        <v>0.04612633461</v>
      </c>
      <c r="J260" s="48" t="str">
        <f>IFERROR(MINUS(DIVIDE(VLOOKUP($B260,Data!$B$3:$EZ1530,24,FALSE),VLOOKUP($B260,Data!$B$3:$EZ1530,25,FALSE)),1),"")</f>
        <v/>
      </c>
      <c r="K260" s="48">
        <f>IFERROR(MINUS(DIVIDE(VLOOKUP($B260,Data!$B$3:$EZ1530,29,FALSE),VLOOKUP($B260,Data!$B$3:$EZ1530,30,FALSE)),1),"")</f>
        <v>-0.3400669376</v>
      </c>
      <c r="L260" s="48">
        <f>IFERROR(MINUS(DIVIDE(VLOOKUP($B260,Data!$B$3:$EZ1530,34,FALSE),VLOOKUP($B260,Data!$B$3:$EZ1530,35,FALSE)),1),"")</f>
        <v>-0.008566092887</v>
      </c>
      <c r="M260" s="48">
        <f>IFERROR(MINUS(DIVIDE(VLOOKUP($B260,Data!$B$3:$EZ1530,39,FALSE),VLOOKUP($B260,Data!$B$3:$EZ1530,40,FALSE)),1),"")</f>
        <v>-0.3550752117</v>
      </c>
      <c r="N260" s="48">
        <f>IFERROR(MINUS(DIVIDE(VLOOKUP($B260,Data!$B$3:$EZ1530,44,FALSE),VLOOKUP($B260,Data!$B$3:$EZ1530,45,FALSE)),1),"")</f>
        <v>0.4129165044</v>
      </c>
      <c r="O260" s="50">
        <f>IFERROR(VLOOKUP($B260,Data!$B$3:$D1530,2,FALSE),"")</f>
        <v>325750</v>
      </c>
      <c r="P260" s="50">
        <f>IFERROR(VLOOKUP($B260,Data!$B$3:$D1530,3,FALSE),"")</f>
        <v>335600</v>
      </c>
      <c r="Q260" s="48">
        <f t="shared" si="2"/>
        <v>-0.02935041716</v>
      </c>
      <c r="R260" s="48"/>
      <c r="S260" s="48"/>
      <c r="T260" s="48"/>
      <c r="U260" s="48"/>
      <c r="V260" s="48"/>
      <c r="W260" s="50"/>
      <c r="Z260" s="15"/>
      <c r="AA260" s="15"/>
    </row>
    <row r="261">
      <c r="A261" s="9">
        <f t="shared" si="1"/>
        <v>258</v>
      </c>
      <c r="B261" s="47" t="s">
        <v>394</v>
      </c>
      <c r="C261" s="48" t="str">
        <f>IFERROR(DIVIDE(VLOOKUP($B261,Data!$B$3:$AB$1535,9,FALSE),VLOOKUP($B261,Data!$B$3:$AB$1535,4,FALSE)),"")</f>
        <v/>
      </c>
      <c r="D261" s="48" t="str">
        <f>IFERROR(DIVIDE(VLOOKUP($B261,Data!$B$3:$AB$1535,24,FALSE),VLOOKUP($B261,Data!$B$3:$AB$1535,4,FALSE)),"")</f>
        <v/>
      </c>
      <c r="E261" s="48" t="str">
        <f>IFERROR(DIVIDE(VLOOKUP($B261,Data!$B$3:$EZ1530,29,FALSE),VLOOKUP($B261,Data!$B$3:$EZ1530,4,FALSE)),"")</f>
        <v/>
      </c>
      <c r="F261" s="48" t="str">
        <f>IFERROR(DIVIDE(VLOOKUP($B261,Data!$B$3:$EZ1530,34,FALSE),VLOOKUP($B261,Data!$B$3:$EZ1530,4,FALSE)),"")</f>
        <v/>
      </c>
      <c r="G261" s="48" t="str">
        <f>IFERROR(DIVIDE(VLOOKUP($B261,Data!$B$3:$EZ1530,39,FALSE),VLOOKUP($B261,Data!$B$3:$EZ1530,4,FALSE)),"")</f>
        <v/>
      </c>
      <c r="H261" s="48" t="str">
        <f>IFERROR(DIVIDE(VLOOKUP($B261,Data!$B$3:$EZ1530,44,FALSE),VLOOKUP($B261,Data!$B$3:$EZ1530,4,FALSE)),"")</f>
        <v/>
      </c>
      <c r="I261" s="48" t="str">
        <f>IFERROR(MINUS(DIVIDE(VLOOKUP($B261,Data!$B$3:$EZ1530,9,FALSE),VLOOKUP($B261,Data!$B$3:$EZ1530,10,FALSE)),1),"")</f>
        <v/>
      </c>
      <c r="J261" s="48">
        <f>IFERROR(MINUS(DIVIDE(VLOOKUP($B261,Data!$B$3:$EZ1530,24,FALSE),VLOOKUP($B261,Data!$B$3:$EZ1530,25,FALSE)),1),"")</f>
        <v>-0.4942790443</v>
      </c>
      <c r="K261" s="48">
        <f>IFERROR(MINUS(DIVIDE(VLOOKUP($B261,Data!$B$3:$EZ1530,29,FALSE),VLOOKUP($B261,Data!$B$3:$EZ1530,30,FALSE)),1),"")</f>
        <v>-0.4606078977</v>
      </c>
      <c r="L261" s="48">
        <f>IFERROR(MINUS(DIVIDE(VLOOKUP($B261,Data!$B$3:$EZ1530,34,FALSE),VLOOKUP($B261,Data!$B$3:$EZ1530,35,FALSE)),1),"")</f>
        <v>-0.3070091336</v>
      </c>
      <c r="M261" s="48">
        <f>IFERROR(MINUS(DIVIDE(VLOOKUP($B261,Data!$B$3:$EZ1530,39,FALSE),VLOOKUP($B261,Data!$B$3:$EZ1530,40,FALSE)),1),"")</f>
        <v>-0.5050245292</v>
      </c>
      <c r="N261" s="48">
        <f>IFERROR(MINUS(DIVIDE(VLOOKUP($B261,Data!$B$3:$EZ1530,44,FALSE),VLOOKUP($B261,Data!$B$3:$EZ1530,45,FALSE)),1),"")</f>
        <v>-0.01869747324</v>
      </c>
      <c r="O261" s="50">
        <f>IFERROR(VLOOKUP($B261,Data!$B$3:$D1530,2,FALSE),"")</f>
        <v>32920000</v>
      </c>
      <c r="P261" s="50">
        <f>IFERROR(VLOOKUP($B261,Data!$B$3:$D1530,3,FALSE),"")</f>
        <v>31670000</v>
      </c>
      <c r="Q261" s="48">
        <f t="shared" si="2"/>
        <v>0.03946952952</v>
      </c>
      <c r="R261" s="48"/>
      <c r="S261" s="48"/>
      <c r="T261" s="48"/>
      <c r="U261" s="48"/>
      <c r="V261" s="48"/>
      <c r="W261" s="50"/>
      <c r="Z261" s="11"/>
      <c r="AA261" s="11"/>
    </row>
    <row r="262">
      <c r="A262" s="9">
        <f t="shared" si="1"/>
        <v>259</v>
      </c>
      <c r="B262" s="47" t="s">
        <v>395</v>
      </c>
      <c r="C262" s="48">
        <f>IFERROR(DIVIDE(VLOOKUP($B262,Data!$B$3:$AB$1535,9,FALSE),VLOOKUP($B262,Data!$B$3:$AB$1535,4,FALSE)),"")</f>
        <v>0.1218145161</v>
      </c>
      <c r="D262" s="48">
        <f>IFERROR(DIVIDE(VLOOKUP($B262,Data!$B$3:$AB$1535,24,FALSE),VLOOKUP($B262,Data!$B$3:$AB$1535,4,FALSE)),"")</f>
        <v>0.04743951613</v>
      </c>
      <c r="E262" s="48">
        <f>IFERROR(DIVIDE(VLOOKUP($B262,Data!$B$3:$EZ1530,29,FALSE),VLOOKUP($B262,Data!$B$3:$EZ1530,4,FALSE)),"")</f>
        <v>0.05658467742</v>
      </c>
      <c r="F262" s="48">
        <f>IFERROR(DIVIDE(VLOOKUP($B262,Data!$B$3:$EZ1530,34,FALSE),VLOOKUP($B262,Data!$B$3:$EZ1530,4,FALSE)),"")</f>
        <v>0.09251209677</v>
      </c>
      <c r="G262" s="48">
        <f>IFERROR(DIVIDE(VLOOKUP($B262,Data!$B$3:$EZ1530,39,FALSE),VLOOKUP($B262,Data!$B$3:$EZ1530,4,FALSE)),"")</f>
        <v>0.0513266129</v>
      </c>
      <c r="H262" s="48">
        <f>IFERROR(DIVIDE(VLOOKUP($B262,Data!$B$3:$EZ1530,44,FALSE),VLOOKUP($B262,Data!$B$3:$EZ1530,4,FALSE)),"")</f>
        <v>0.08820967742</v>
      </c>
      <c r="I262" s="48">
        <f>IFERROR(MINUS(DIVIDE(VLOOKUP($B262,Data!$B$3:$EZ1530,9,FALSE),VLOOKUP($B262,Data!$B$3:$EZ1530,10,FALSE)),1),"")</f>
        <v>-0.001388337961</v>
      </c>
      <c r="J262" s="48">
        <f>IFERROR(MINUS(DIVIDE(VLOOKUP($B262,Data!$B$3:$EZ1530,24,FALSE),VLOOKUP($B262,Data!$B$3:$EZ1530,25,FALSE)),1),"")</f>
        <v>-0.09423358226</v>
      </c>
      <c r="K262" s="48">
        <f>IFERROR(MINUS(DIVIDE(VLOOKUP($B262,Data!$B$3:$EZ1530,29,FALSE),VLOOKUP($B262,Data!$B$3:$EZ1530,30,FALSE)),1),"")</f>
        <v>0.3064891537</v>
      </c>
      <c r="L262" s="48">
        <f>IFERROR(MINUS(DIVIDE(VLOOKUP($B262,Data!$B$3:$EZ1530,34,FALSE),VLOOKUP($B262,Data!$B$3:$EZ1530,35,FALSE)),1),"")</f>
        <v>-0.05863285738</v>
      </c>
      <c r="M262" s="48">
        <f>IFERROR(MINUS(DIVIDE(VLOOKUP($B262,Data!$B$3:$EZ1530,39,FALSE),VLOOKUP($B262,Data!$B$3:$EZ1530,40,FALSE)),1),"")</f>
        <v>0.2852382876</v>
      </c>
      <c r="N262" s="48">
        <f>IFERROR(MINUS(DIVIDE(VLOOKUP($B262,Data!$B$3:$EZ1530,44,FALSE),VLOOKUP($B262,Data!$B$3:$EZ1530,45,FALSE)),1),"")</f>
        <v>-0.2490731841</v>
      </c>
      <c r="O262" s="50">
        <f>IFERROR(VLOOKUP($B262,Data!$B$3:$D1530,2,FALSE),"")</f>
        <v>2610000</v>
      </c>
      <c r="P262" s="50">
        <f>IFERROR(VLOOKUP($B262,Data!$B$3:$D1530,3,FALSE),"")</f>
        <v>1980000</v>
      </c>
      <c r="Q262" s="48">
        <f t="shared" si="2"/>
        <v>0.3181818182</v>
      </c>
      <c r="R262" s="48"/>
      <c r="S262" s="48"/>
      <c r="T262" s="48"/>
      <c r="U262" s="48"/>
      <c r="V262" s="48"/>
      <c r="W262" s="50"/>
      <c r="Z262" s="11"/>
      <c r="AA262" s="11"/>
    </row>
    <row r="263">
      <c r="A263" s="9">
        <f t="shared" si="1"/>
        <v>260</v>
      </c>
      <c r="B263" s="47" t="s">
        <v>396</v>
      </c>
      <c r="C263" s="48">
        <f>IFERROR(DIVIDE(VLOOKUP($B263,Data!$B$3:$AB$1535,9,FALSE),VLOOKUP($B263,Data!$B$3:$AB$1535,4,FALSE)),"")</f>
        <v>0.4006849315</v>
      </c>
      <c r="D263" s="48">
        <f>IFERROR(DIVIDE(VLOOKUP($B263,Data!$B$3:$AB$1535,24,FALSE),VLOOKUP($B263,Data!$B$3:$AB$1535,4,FALSE)),"")</f>
        <v>0.03379109589</v>
      </c>
      <c r="E263" s="48">
        <f>IFERROR(DIVIDE(VLOOKUP($B263,Data!$B$3:$EZ1530,29,FALSE),VLOOKUP($B263,Data!$B$3:$EZ1530,4,FALSE)),"")</f>
        <v>0.02691438356</v>
      </c>
      <c r="F263" s="48">
        <f>IFERROR(DIVIDE(VLOOKUP($B263,Data!$B$3:$EZ1530,34,FALSE),VLOOKUP($B263,Data!$B$3:$EZ1530,4,FALSE)),"")</f>
        <v>0.06818150685</v>
      </c>
      <c r="G263" s="48">
        <f>IFERROR(DIVIDE(VLOOKUP($B263,Data!$B$3:$EZ1530,39,FALSE),VLOOKUP($B263,Data!$B$3:$EZ1530,4,FALSE)),"")</f>
        <v>0.02083219178</v>
      </c>
      <c r="H263" s="48">
        <f>IFERROR(DIVIDE(VLOOKUP($B263,Data!$B$3:$EZ1530,44,FALSE),VLOOKUP($B263,Data!$B$3:$EZ1530,4,FALSE)),"")</f>
        <v>0.05848972603</v>
      </c>
      <c r="I263" s="48">
        <f>IFERROR(MINUS(DIVIDE(VLOOKUP($B263,Data!$B$3:$EZ1530,9,FALSE),VLOOKUP($B263,Data!$B$3:$EZ1530,10,FALSE)),1),"")</f>
        <v>0.008620689655</v>
      </c>
      <c r="J263" s="48">
        <f>IFERROR(MINUS(DIVIDE(VLOOKUP($B263,Data!$B$3:$EZ1530,24,FALSE),VLOOKUP($B263,Data!$B$3:$EZ1530,25,FALSE)),1),"")</f>
        <v>266.398374</v>
      </c>
      <c r="K263" s="48">
        <f>IFERROR(MINUS(DIVIDE(VLOOKUP($B263,Data!$B$3:$EZ1530,29,FALSE),VLOOKUP($B263,Data!$B$3:$EZ1530,30,FALSE)),1),"")</f>
        <v>-14.66782609</v>
      </c>
      <c r="L263" s="48">
        <f>IFERROR(MINUS(DIVIDE(VLOOKUP($B263,Data!$B$3:$EZ1530,34,FALSE),VLOOKUP($B263,Data!$B$3:$EZ1530,35,FALSE)),1),"")</f>
        <v>0.09933738266</v>
      </c>
      <c r="M263" s="48">
        <f>IFERROR(MINUS(DIVIDE(VLOOKUP($B263,Data!$B$3:$EZ1530,39,FALSE),VLOOKUP($B263,Data!$B$3:$EZ1530,40,FALSE)),1),"")</f>
        <v>-12.18198529</v>
      </c>
      <c r="N263" s="48">
        <f>IFERROR(MINUS(DIVIDE(VLOOKUP($B263,Data!$B$3:$EZ1530,44,FALSE),VLOOKUP($B263,Data!$B$3:$EZ1530,45,FALSE)),1),"")</f>
        <v>0.3312806922</v>
      </c>
      <c r="O263" s="50">
        <f>IFERROR(VLOOKUP($B263,Data!$B$3:$D1530,2,FALSE),"")</f>
        <v>2700000</v>
      </c>
      <c r="P263" s="50">
        <f>IFERROR(VLOOKUP($B263,Data!$B$3:$D1530,3,FALSE),"")</f>
        <v>2070000</v>
      </c>
      <c r="Q263" s="48">
        <f t="shared" si="2"/>
        <v>0.3043478261</v>
      </c>
      <c r="R263" s="48"/>
      <c r="S263" s="48"/>
      <c r="T263" s="48"/>
      <c r="U263" s="48"/>
      <c r="V263" s="48"/>
      <c r="W263" s="50"/>
      <c r="Z263" s="15"/>
      <c r="AA263" s="15"/>
    </row>
    <row r="264">
      <c r="A264" s="9">
        <f t="shared" si="1"/>
        <v>261</v>
      </c>
      <c r="B264" s="47" t="s">
        <v>397</v>
      </c>
      <c r="C264" s="48" t="str">
        <f>IFERROR(DIVIDE(VLOOKUP($B264,Data!$B$3:$AB$1535,9,FALSE),VLOOKUP($B264,Data!$B$3:$AB$1535,4,FALSE)),"")</f>
        <v/>
      </c>
      <c r="D264" s="48" t="str">
        <f>IFERROR(DIVIDE(VLOOKUP($B264,Data!$B$3:$AB$1535,24,FALSE),VLOOKUP($B264,Data!$B$3:$AB$1535,4,FALSE)),"")</f>
        <v/>
      </c>
      <c r="E264" s="48" t="str">
        <f>IFERROR(DIVIDE(VLOOKUP($B264,Data!$B$3:$EZ1530,29,FALSE),VLOOKUP($B264,Data!$B$3:$EZ1530,4,FALSE)),"")</f>
        <v/>
      </c>
      <c r="F264" s="48" t="str">
        <f>IFERROR(DIVIDE(VLOOKUP($B264,Data!$B$3:$EZ1530,34,FALSE),VLOOKUP($B264,Data!$B$3:$EZ1530,4,FALSE)),"")</f>
        <v/>
      </c>
      <c r="G264" s="48" t="str">
        <f>IFERROR(DIVIDE(VLOOKUP($B264,Data!$B$3:$EZ1530,39,FALSE),VLOOKUP($B264,Data!$B$3:$EZ1530,4,FALSE)),"")</f>
        <v/>
      </c>
      <c r="H264" s="48" t="str">
        <f>IFERROR(DIVIDE(VLOOKUP($B264,Data!$B$3:$EZ1530,44,FALSE),VLOOKUP($B264,Data!$B$3:$EZ1530,4,FALSE)),"")</f>
        <v/>
      </c>
      <c r="I264" s="48" t="str">
        <f>IFERROR(MINUS(DIVIDE(VLOOKUP($B264,Data!$B$3:$EZ1530,9,FALSE),VLOOKUP($B264,Data!$B$3:$EZ1530,10,FALSE)),1),"")</f>
        <v/>
      </c>
      <c r="J264" s="48" t="str">
        <f>IFERROR(MINUS(DIVIDE(VLOOKUP($B264,Data!$B$3:$EZ1530,24,FALSE),VLOOKUP($B264,Data!$B$3:$EZ1530,25,FALSE)),1),"")</f>
        <v/>
      </c>
      <c r="K264" s="48">
        <f>IFERROR(MINUS(DIVIDE(VLOOKUP($B264,Data!$B$3:$EZ1530,29,FALSE),VLOOKUP($B264,Data!$B$3:$EZ1530,30,FALSE)),1),"")</f>
        <v>0.6448837635</v>
      </c>
      <c r="L264" s="48">
        <f>IFERROR(MINUS(DIVIDE(VLOOKUP($B264,Data!$B$3:$EZ1530,34,FALSE),VLOOKUP($B264,Data!$B$3:$EZ1530,35,FALSE)),1),"")</f>
        <v>0.6035575907</v>
      </c>
      <c r="M264" s="48">
        <f>IFERROR(MINUS(DIVIDE(VLOOKUP($B264,Data!$B$3:$EZ1530,39,FALSE),VLOOKUP($B264,Data!$B$3:$EZ1530,40,FALSE)),1),"")</f>
        <v>0.6448837635</v>
      </c>
      <c r="N264" s="48">
        <f>IFERROR(MINUS(DIVIDE(VLOOKUP($B264,Data!$B$3:$EZ1530,44,FALSE),VLOOKUP($B264,Data!$B$3:$EZ1530,45,FALSE)),1),"")</f>
        <v>0.1918568785</v>
      </c>
      <c r="O264" s="50">
        <f>IFERROR(VLOOKUP($B264,Data!$B$3:$D1530,2,FALSE),"")</f>
        <v>6040</v>
      </c>
      <c r="P264" s="50" t="str">
        <f>IFERROR(VLOOKUP($B264,Data!$B$3:$D1530,3,FALSE),"")</f>
        <v/>
      </c>
      <c r="Q264" s="48" t="str">
        <f t="shared" si="2"/>
        <v/>
      </c>
      <c r="R264" s="48"/>
      <c r="S264" s="48"/>
      <c r="T264" s="48"/>
      <c r="U264" s="48"/>
      <c r="V264" s="48"/>
      <c r="W264" s="50"/>
      <c r="Z264" s="15"/>
      <c r="AA264" s="15"/>
    </row>
    <row r="265">
      <c r="A265" s="9">
        <f t="shared" si="1"/>
        <v>262</v>
      </c>
      <c r="B265" s="47" t="s">
        <v>398</v>
      </c>
      <c r="C265" s="48">
        <f>IFERROR(DIVIDE(VLOOKUP($B265,Data!$B$3:$AB$1535,9,FALSE),VLOOKUP($B265,Data!$B$3:$AB$1535,4,FALSE)),"")</f>
        <v>0.1351925926</v>
      </c>
      <c r="D265" s="48">
        <f>IFERROR(DIVIDE(VLOOKUP($B265,Data!$B$3:$AB$1535,24,FALSE),VLOOKUP($B265,Data!$B$3:$AB$1535,4,FALSE)),"")</f>
        <v>0.001</v>
      </c>
      <c r="E265" s="48">
        <f>IFERROR(DIVIDE(VLOOKUP($B265,Data!$B$3:$EZ1530,29,FALSE),VLOOKUP($B265,Data!$B$3:$EZ1530,4,FALSE)),"")</f>
        <v>0.01485925926</v>
      </c>
      <c r="F265" s="48">
        <f>IFERROR(DIVIDE(VLOOKUP($B265,Data!$B$3:$EZ1530,34,FALSE),VLOOKUP($B265,Data!$B$3:$EZ1530,4,FALSE)),"")</f>
        <v>0.04768148148</v>
      </c>
      <c r="G265" s="48">
        <f>IFERROR(DIVIDE(VLOOKUP($B265,Data!$B$3:$EZ1530,39,FALSE),VLOOKUP($B265,Data!$B$3:$EZ1530,4,FALSE)),"")</f>
        <v>0.01362222222</v>
      </c>
      <c r="H265" s="48">
        <f>IFERROR(DIVIDE(VLOOKUP($B265,Data!$B$3:$EZ1530,44,FALSE),VLOOKUP($B265,Data!$B$3:$EZ1530,4,FALSE)),"")</f>
        <v>0.05979259259</v>
      </c>
      <c r="I265" s="48">
        <f>IFERROR(MINUS(DIVIDE(VLOOKUP($B265,Data!$B$3:$EZ1530,9,FALSE),VLOOKUP($B265,Data!$B$3:$EZ1530,10,FALSE)),1),"")</f>
        <v>-0.1810553711</v>
      </c>
      <c r="J265" s="48">
        <f>IFERROR(MINUS(DIVIDE(VLOOKUP($B265,Data!$B$3:$EZ1530,24,FALSE),VLOOKUP($B265,Data!$B$3:$EZ1530,25,FALSE)),1),"")</f>
        <v>-0.9705304519</v>
      </c>
      <c r="K265" s="48">
        <f>IFERROR(MINUS(DIVIDE(VLOOKUP($B265,Data!$B$3:$EZ1530,29,FALSE),VLOOKUP($B265,Data!$B$3:$EZ1530,30,FALSE)),1),"")</f>
        <v>-0.7167066798</v>
      </c>
      <c r="L265" s="48">
        <f>IFERROR(MINUS(DIVIDE(VLOOKUP($B265,Data!$B$3:$EZ1530,34,FALSE),VLOOKUP($B265,Data!$B$3:$EZ1530,35,FALSE)),1),"")</f>
        <v>-0.3732840035</v>
      </c>
      <c r="M265" s="48">
        <f>IFERROR(MINUS(DIVIDE(VLOOKUP($B265,Data!$B$3:$EZ1530,39,FALSE),VLOOKUP($B265,Data!$B$3:$EZ1530,40,FALSE)),1),"")</f>
        <v>-0.6608888069</v>
      </c>
      <c r="N265" s="48">
        <f>IFERROR(MINUS(DIVIDE(VLOOKUP($B265,Data!$B$3:$EZ1530,44,FALSE),VLOOKUP($B265,Data!$B$3:$EZ1530,45,FALSE)),1),"")</f>
        <v>-0.2986358502</v>
      </c>
      <c r="O265" s="50">
        <f>IFERROR(VLOOKUP($B265,Data!$B$3:$D1530,2,FALSE),"")</f>
        <v>1500000</v>
      </c>
      <c r="P265" s="50">
        <f>IFERROR(VLOOKUP($B265,Data!$B$3:$D1530,3,FALSE),"")</f>
        <v>1420000</v>
      </c>
      <c r="Q265" s="48">
        <f t="shared" si="2"/>
        <v>0.05633802817</v>
      </c>
      <c r="R265" s="48"/>
      <c r="S265" s="48"/>
      <c r="T265" s="48"/>
      <c r="U265" s="48"/>
      <c r="V265" s="48"/>
      <c r="W265" s="50"/>
      <c r="Z265" s="11"/>
      <c r="AA265" s="11"/>
    </row>
    <row r="266">
      <c r="A266" s="9">
        <f t="shared" si="1"/>
        <v>263</v>
      </c>
      <c r="B266" s="47" t="s">
        <v>399</v>
      </c>
      <c r="C266" s="48">
        <f>IFERROR(DIVIDE(VLOOKUP($B266,Data!$B$3:$AB$1535,9,FALSE),VLOOKUP($B266,Data!$B$3:$AB$1535,4,FALSE)),"")</f>
        <v>0</v>
      </c>
      <c r="D266" s="48">
        <f>IFERROR(DIVIDE(VLOOKUP($B266,Data!$B$3:$AB$1535,24,FALSE),VLOOKUP($B266,Data!$B$3:$AB$1535,4,FALSE)),"")</f>
        <v>-0.1654493318</v>
      </c>
      <c r="E266" s="48">
        <f>IFERROR(DIVIDE(VLOOKUP($B266,Data!$B$3:$EZ1530,29,FALSE),VLOOKUP($B266,Data!$B$3:$EZ1530,4,FALSE)),"")</f>
        <v>-0.1758372559</v>
      </c>
      <c r="F266" s="48">
        <f>IFERROR(DIVIDE(VLOOKUP($B266,Data!$B$3:$EZ1530,34,FALSE),VLOOKUP($B266,Data!$B$3:$EZ1530,4,FALSE)),"")</f>
        <v>-0.1409944273</v>
      </c>
      <c r="G266" s="48">
        <f>IFERROR(DIVIDE(VLOOKUP($B266,Data!$B$3:$EZ1530,39,FALSE),VLOOKUP($B266,Data!$B$3:$EZ1530,4,FALSE)),"")</f>
        <v>-0.176270086</v>
      </c>
      <c r="H266" s="48">
        <f>IFERROR(DIVIDE(VLOOKUP($B266,Data!$B$3:$EZ1530,44,FALSE),VLOOKUP($B266,Data!$B$3:$EZ1530,4,FALSE)),"")</f>
        <v>-0.3841908781</v>
      </c>
      <c r="I266" s="48">
        <f>IFERROR(MINUS(DIVIDE(VLOOKUP($B266,Data!$B$3:$EZ1530,9,FALSE),VLOOKUP($B266,Data!$B$3:$EZ1530,10,FALSE)),1),"")</f>
        <v>-1</v>
      </c>
      <c r="J266" s="48" t="str">
        <f>IFERROR(MINUS(DIVIDE(VLOOKUP($B266,Data!$B$3:$EZ1530,24,FALSE),VLOOKUP($B266,Data!$B$3:$EZ1530,25,FALSE)),1),"")</f>
        <v/>
      </c>
      <c r="K266" s="48">
        <f>IFERROR(MINUS(DIVIDE(VLOOKUP($B266,Data!$B$3:$EZ1530,29,FALSE),VLOOKUP($B266,Data!$B$3:$EZ1530,30,FALSE)),1),"")</f>
        <v>-0.7538811056</v>
      </c>
      <c r="L266" s="48">
        <f>IFERROR(MINUS(DIVIDE(VLOOKUP($B266,Data!$B$3:$EZ1530,34,FALSE),VLOOKUP($B266,Data!$B$3:$EZ1530,35,FALSE)),1),"")</f>
        <v>-0.8042808862</v>
      </c>
      <c r="M266" s="48">
        <f>IFERROR(MINUS(DIVIDE(VLOOKUP($B266,Data!$B$3:$EZ1530,39,FALSE),VLOOKUP($B266,Data!$B$3:$EZ1530,40,FALSE)),1),"")</f>
        <v>-0.7532752745</v>
      </c>
      <c r="N266" s="48">
        <f>IFERROR(MINUS(DIVIDE(VLOOKUP($B266,Data!$B$3:$EZ1530,44,FALSE),VLOOKUP($B266,Data!$B$3:$EZ1530,45,FALSE)),1),"")</f>
        <v>-0.4460566347</v>
      </c>
      <c r="O266" s="50">
        <f>IFERROR(VLOOKUP($B266,Data!$B$3:$D1530,2,FALSE),"")</f>
        <v>101630</v>
      </c>
      <c r="P266" s="50" t="str">
        <f>IFERROR(VLOOKUP($B266,Data!$B$3:$D1530,3,FALSE),"")</f>
        <v/>
      </c>
      <c r="Q266" s="48" t="str">
        <f t="shared" si="2"/>
        <v/>
      </c>
      <c r="R266" s="48"/>
      <c r="S266" s="48"/>
      <c r="T266" s="48"/>
      <c r="U266" s="48"/>
      <c r="V266" s="48"/>
      <c r="W266" s="50"/>
      <c r="Z266" s="11"/>
      <c r="AA266" s="12"/>
    </row>
    <row r="267">
      <c r="A267" s="9">
        <f t="shared" si="1"/>
        <v>264</v>
      </c>
      <c r="B267" s="47" t="s">
        <v>400</v>
      </c>
      <c r="C267" s="48">
        <f>IFERROR(DIVIDE(VLOOKUP($B267,Data!$B$3:$AB$1535,9,FALSE),VLOOKUP($B267,Data!$B$3:$AB$1535,4,FALSE)),"")</f>
        <v>0.4833606924</v>
      </c>
      <c r="D267" s="48">
        <f>IFERROR(DIVIDE(VLOOKUP($B267,Data!$B$3:$AB$1535,24,FALSE),VLOOKUP($B267,Data!$B$3:$AB$1535,4,FALSE)),"")</f>
        <v>0</v>
      </c>
      <c r="E267" s="48">
        <f>IFERROR(DIVIDE(VLOOKUP($B267,Data!$B$3:$EZ1530,29,FALSE),VLOOKUP($B267,Data!$B$3:$EZ1530,4,FALSE)),"")</f>
        <v>0.1699000149</v>
      </c>
      <c r="F267" s="48">
        <f>IFERROR(DIVIDE(VLOOKUP($B267,Data!$B$3:$EZ1530,34,FALSE),VLOOKUP($B267,Data!$B$3:$EZ1530,4,FALSE)),"")</f>
        <v>0.1877331742</v>
      </c>
      <c r="G267" s="48">
        <f>IFERROR(DIVIDE(VLOOKUP($B267,Data!$B$3:$EZ1530,39,FALSE),VLOOKUP($B267,Data!$B$3:$EZ1530,4,FALSE)),"")</f>
        <v>0.1553499478</v>
      </c>
      <c r="H267" s="48">
        <f>IFERROR(DIVIDE(VLOOKUP($B267,Data!$B$3:$EZ1530,44,FALSE),VLOOKUP($B267,Data!$B$3:$EZ1530,4,FALSE)),"")</f>
        <v>0.1837785405</v>
      </c>
      <c r="I267" s="48">
        <f>IFERROR(MINUS(DIVIDE(VLOOKUP($B267,Data!$B$3:$EZ1530,9,FALSE),VLOOKUP($B267,Data!$B$3:$EZ1530,10,FALSE)),1),"")</f>
        <v>0.06546052632</v>
      </c>
      <c r="J267" s="48" t="str">
        <f>IFERROR(MINUS(DIVIDE(VLOOKUP($B267,Data!$B$3:$EZ1530,24,FALSE),VLOOKUP($B267,Data!$B$3:$EZ1530,25,FALSE)),1),"")</f>
        <v/>
      </c>
      <c r="K267" s="48">
        <f>IFERROR(MINUS(DIVIDE(VLOOKUP($B267,Data!$B$3:$EZ1530,29,FALSE),VLOOKUP($B267,Data!$B$3:$EZ1530,30,FALSE)),1),"")</f>
        <v>0.09682080925</v>
      </c>
      <c r="L267" s="48">
        <f>IFERROR(MINUS(DIVIDE(VLOOKUP($B267,Data!$B$3:$EZ1530,34,FALSE),VLOOKUP($B267,Data!$B$3:$EZ1530,35,FALSE)),1),"")</f>
        <v>0.1436363636</v>
      </c>
      <c r="M267" s="48">
        <f>IFERROR(MINUS(DIVIDE(VLOOKUP($B267,Data!$B$3:$EZ1530,39,FALSE),VLOOKUP($B267,Data!$B$3:$EZ1530,40,FALSE)),1),"")</f>
        <v>0.1115856914</v>
      </c>
      <c r="N267" s="48">
        <f>IFERROR(MINUS(DIVIDE(VLOOKUP($B267,Data!$B$3:$EZ1530,44,FALSE),VLOOKUP($B267,Data!$B$3:$EZ1530,45,FALSE)),1),"")</f>
        <v>0.4669446099</v>
      </c>
      <c r="O267" s="50">
        <f>IFERROR(VLOOKUP($B267,Data!$B$3:$D1530,2,FALSE),"")</f>
        <v>156030</v>
      </c>
      <c r="P267" s="50">
        <f>IFERROR(VLOOKUP($B267,Data!$B$3:$D1530,3,FALSE),"")</f>
        <v>142700</v>
      </c>
      <c r="Q267" s="48">
        <f t="shared" si="2"/>
        <v>0.09341275403</v>
      </c>
      <c r="R267" s="48"/>
      <c r="S267" s="48"/>
      <c r="T267" s="48"/>
      <c r="U267" s="48"/>
      <c r="V267" s="48"/>
      <c r="W267" s="50"/>
      <c r="Z267" s="15"/>
      <c r="AA267" s="15"/>
    </row>
    <row r="268">
      <c r="A268" s="9">
        <f t="shared" si="1"/>
        <v>265</v>
      </c>
      <c r="B268" s="47" t="s">
        <v>401</v>
      </c>
      <c r="C268" s="48">
        <f>IFERROR(DIVIDE(VLOOKUP($B268,Data!$B$3:$AB$1535,9,FALSE),VLOOKUP($B268,Data!$B$3:$AB$1535,4,FALSE)),"")</f>
        <v>0</v>
      </c>
      <c r="D268" s="48">
        <f>IFERROR(DIVIDE(VLOOKUP($B268,Data!$B$3:$AB$1535,24,FALSE),VLOOKUP($B268,Data!$B$3:$AB$1535,4,FALSE)),"")</f>
        <v>0</v>
      </c>
      <c r="E268" s="48">
        <f>IFERROR(DIVIDE(VLOOKUP($B268,Data!$B$3:$EZ1530,29,FALSE),VLOOKUP($B268,Data!$B$3:$EZ1530,4,FALSE)),"")</f>
        <v>-7.564356436</v>
      </c>
      <c r="F268" s="48">
        <f>IFERROR(DIVIDE(VLOOKUP($B268,Data!$B$3:$EZ1530,34,FALSE),VLOOKUP($B268,Data!$B$3:$EZ1530,4,FALSE)),"")</f>
        <v>-7.485148515</v>
      </c>
      <c r="G268" s="48">
        <f>IFERROR(DIVIDE(VLOOKUP($B268,Data!$B$3:$EZ1530,39,FALSE),VLOOKUP($B268,Data!$B$3:$EZ1530,4,FALSE)),"")</f>
        <v>-7.564356436</v>
      </c>
      <c r="H268" s="48">
        <f>IFERROR(DIVIDE(VLOOKUP($B268,Data!$B$3:$EZ1530,44,FALSE),VLOOKUP($B268,Data!$B$3:$EZ1530,4,FALSE)),"")</f>
        <v>-6.752475248</v>
      </c>
      <c r="I268" s="48" t="str">
        <f>IFERROR(MINUS(DIVIDE(VLOOKUP($B268,Data!$B$3:$EZ1530,9,FALSE),VLOOKUP($B268,Data!$B$3:$EZ1530,10,FALSE)),1),"")</f>
        <v/>
      </c>
      <c r="J268" s="48" t="str">
        <f>IFERROR(MINUS(DIVIDE(VLOOKUP($B268,Data!$B$3:$EZ1530,24,FALSE),VLOOKUP($B268,Data!$B$3:$EZ1530,25,FALSE)),1),"")</f>
        <v/>
      </c>
      <c r="K268" s="48">
        <f>IFERROR(MINUS(DIVIDE(VLOOKUP($B268,Data!$B$3:$EZ1530,29,FALSE),VLOOKUP($B268,Data!$B$3:$EZ1530,30,FALSE)),1),"")</f>
        <v>-0.4970375247</v>
      </c>
      <c r="L268" s="48">
        <f>IFERROR(MINUS(DIVIDE(VLOOKUP($B268,Data!$B$3:$EZ1530,34,FALSE),VLOOKUP($B268,Data!$B$3:$EZ1530,35,FALSE)),1),"")</f>
        <v>-0.5026315789</v>
      </c>
      <c r="M268" s="48">
        <f>IFERROR(MINUS(DIVIDE(VLOOKUP($B268,Data!$B$3:$EZ1530,39,FALSE),VLOOKUP($B268,Data!$B$3:$EZ1530,40,FALSE)),1),"")</f>
        <v>-0.4970375247</v>
      </c>
      <c r="N268" s="48">
        <f>IFERROR(MINUS(DIVIDE(VLOOKUP($B268,Data!$B$3:$EZ1530,44,FALSE),VLOOKUP($B268,Data!$B$3:$EZ1530,45,FALSE)),1),"")</f>
        <v>-0.5079365079</v>
      </c>
      <c r="O268" s="50" t="str">
        <f>IFERROR(VLOOKUP($B268,Data!$B$3:$D1530,2,FALSE),"")</f>
        <v/>
      </c>
      <c r="P268" s="50" t="str">
        <f>IFERROR(VLOOKUP($B268,Data!$B$3:$D1530,3,FALSE),"")</f>
        <v/>
      </c>
      <c r="Q268" s="48" t="str">
        <f t="shared" si="2"/>
        <v/>
      </c>
      <c r="R268" s="48"/>
      <c r="S268" s="48"/>
      <c r="T268" s="48"/>
      <c r="U268" s="48"/>
      <c r="V268" s="48"/>
      <c r="W268" s="50"/>
      <c r="Z268" s="11"/>
      <c r="AA268" s="12"/>
    </row>
    <row r="269">
      <c r="A269" s="9">
        <f t="shared" si="1"/>
        <v>266</v>
      </c>
      <c r="B269" s="47" t="s">
        <v>402</v>
      </c>
      <c r="C269" s="48">
        <f>IFERROR(DIVIDE(VLOOKUP($B269,Data!$B$3:$AB$1535,9,FALSE),VLOOKUP($B269,Data!$B$3:$AB$1535,4,FALSE)),"")</f>
        <v>0.2464558342</v>
      </c>
      <c r="D269" s="48">
        <f>IFERROR(DIVIDE(VLOOKUP($B269,Data!$B$3:$AB$1535,24,FALSE),VLOOKUP($B269,Data!$B$3:$AB$1535,4,FALSE)),"")</f>
        <v>0.07186477644</v>
      </c>
      <c r="E269" s="48">
        <f>IFERROR(DIVIDE(VLOOKUP($B269,Data!$B$3:$EZ1530,29,FALSE),VLOOKUP($B269,Data!$B$3:$EZ1530,4,FALSE)),"")</f>
        <v>0.03129770992</v>
      </c>
      <c r="F269" s="48">
        <f>IFERROR(DIVIDE(VLOOKUP($B269,Data!$B$3:$EZ1530,34,FALSE),VLOOKUP($B269,Data!$B$3:$EZ1530,4,FALSE)),"")</f>
        <v>0.4263904035</v>
      </c>
      <c r="G269" s="48">
        <f>IFERROR(DIVIDE(VLOOKUP($B269,Data!$B$3:$EZ1530,39,FALSE),VLOOKUP($B269,Data!$B$3:$EZ1530,4,FALSE)),"")</f>
        <v>0.03293347874</v>
      </c>
      <c r="H269" s="48">
        <f>IFERROR(DIVIDE(VLOOKUP($B269,Data!$B$3:$EZ1530,44,FALSE),VLOOKUP($B269,Data!$B$3:$EZ1530,4,FALSE)),"")</f>
        <v>0.3893129771</v>
      </c>
      <c r="I269" s="48">
        <f>IFERROR(MINUS(DIVIDE(VLOOKUP($B269,Data!$B$3:$EZ1530,9,FALSE),VLOOKUP($B269,Data!$B$3:$EZ1530,10,FALSE)),1),"")</f>
        <v>0.008928571429</v>
      </c>
      <c r="J269" s="48">
        <f>IFERROR(MINUS(DIVIDE(VLOOKUP($B269,Data!$B$3:$EZ1530,24,FALSE),VLOOKUP($B269,Data!$B$3:$EZ1530,25,FALSE)),1),"")</f>
        <v>-0.05722460658</v>
      </c>
      <c r="K269" s="48">
        <f>IFERROR(MINUS(DIVIDE(VLOOKUP($B269,Data!$B$3:$EZ1530,29,FALSE),VLOOKUP($B269,Data!$B$3:$EZ1530,30,FALSE)),1),"")</f>
        <v>0.07490636704</v>
      </c>
      <c r="L269" s="48">
        <f>IFERROR(MINUS(DIVIDE(VLOOKUP($B269,Data!$B$3:$EZ1530,34,FALSE),VLOOKUP($B269,Data!$B$3:$EZ1530,35,FALSE)),1),"")</f>
        <v>0.3033333333</v>
      </c>
      <c r="M269" s="48">
        <f>IFERROR(MINUS(DIVIDE(VLOOKUP($B269,Data!$B$3:$EZ1530,39,FALSE),VLOOKUP($B269,Data!$B$3:$EZ1530,40,FALSE)),1),"")</f>
        <v>0.8303030303</v>
      </c>
      <c r="N269" s="48">
        <f>IFERROR(MINUS(DIVIDE(VLOOKUP($B269,Data!$B$3:$EZ1530,44,FALSE),VLOOKUP($B269,Data!$B$3:$EZ1530,45,FALSE)),1),"")</f>
        <v>0.367816092</v>
      </c>
      <c r="O269" s="50">
        <f>IFERROR(VLOOKUP($B269,Data!$B$3:$D1530,2,FALSE),"")</f>
        <v>7240000</v>
      </c>
      <c r="P269" s="50">
        <f>IFERROR(VLOOKUP($B269,Data!$B$3:$D1530,3,FALSE),"")</f>
        <v>5250000</v>
      </c>
      <c r="Q269" s="48">
        <f t="shared" si="2"/>
        <v>0.379047619</v>
      </c>
      <c r="R269" s="48"/>
      <c r="S269" s="48"/>
      <c r="T269" s="48"/>
      <c r="U269" s="48"/>
      <c r="V269" s="48"/>
      <c r="W269" s="50"/>
      <c r="Z269" s="15"/>
      <c r="AA269" s="15"/>
    </row>
    <row r="270">
      <c r="A270" s="9">
        <f t="shared" si="1"/>
        <v>267</v>
      </c>
      <c r="B270" s="47" t="s">
        <v>403</v>
      </c>
      <c r="C270" s="48">
        <f>IFERROR(DIVIDE(VLOOKUP($B270,Data!$B$3:$AB$1535,9,FALSE),VLOOKUP($B270,Data!$B$3:$AB$1535,4,FALSE)),"")</f>
        <v>0</v>
      </c>
      <c r="D270" s="48">
        <f>IFERROR(DIVIDE(VLOOKUP($B270,Data!$B$3:$AB$1535,24,FALSE),VLOOKUP($B270,Data!$B$3:$AB$1535,4,FALSE)),"")</f>
        <v>0</v>
      </c>
      <c r="E270" s="48">
        <f>IFERROR(DIVIDE(VLOOKUP($B270,Data!$B$3:$EZ1530,29,FALSE),VLOOKUP($B270,Data!$B$3:$EZ1530,4,FALSE)),"")</f>
        <v>-5.389140271</v>
      </c>
      <c r="F270" s="48">
        <f>IFERROR(DIVIDE(VLOOKUP($B270,Data!$B$3:$EZ1530,34,FALSE),VLOOKUP($B270,Data!$B$3:$EZ1530,4,FALSE)),"")</f>
        <v>-5.574660633</v>
      </c>
      <c r="G270" s="48">
        <f>IFERROR(DIVIDE(VLOOKUP($B270,Data!$B$3:$EZ1530,39,FALSE),VLOOKUP($B270,Data!$B$3:$EZ1530,4,FALSE)),"")</f>
        <v>-5.347913524</v>
      </c>
      <c r="H270" s="48">
        <f>IFERROR(DIVIDE(VLOOKUP($B270,Data!$B$3:$EZ1530,44,FALSE),VLOOKUP($B270,Data!$B$3:$EZ1530,4,FALSE)),"")</f>
        <v>-5.447461036</v>
      </c>
      <c r="I270" s="48" t="str">
        <f>IFERROR(MINUS(DIVIDE(VLOOKUP($B270,Data!$B$3:$EZ1530,9,FALSE),VLOOKUP($B270,Data!$B$3:$EZ1530,10,FALSE)),1),"")</f>
        <v/>
      </c>
      <c r="J270" s="48" t="str">
        <f>IFERROR(MINUS(DIVIDE(VLOOKUP($B270,Data!$B$3:$EZ1530,24,FALSE),VLOOKUP($B270,Data!$B$3:$EZ1530,25,FALSE)),1),"")</f>
        <v/>
      </c>
      <c r="K270" s="48">
        <f>IFERROR(MINUS(DIVIDE(VLOOKUP($B270,Data!$B$3:$EZ1530,29,FALSE),VLOOKUP($B270,Data!$B$3:$EZ1530,30,FALSE)),1),"")</f>
        <v>0.4407258065</v>
      </c>
      <c r="L270" s="48">
        <f>IFERROR(MINUS(DIVIDE(VLOOKUP($B270,Data!$B$3:$EZ1530,34,FALSE),VLOOKUP($B270,Data!$B$3:$EZ1530,35,FALSE)),1),"")</f>
        <v>0.4398130113</v>
      </c>
      <c r="M270" s="48">
        <f>IFERROR(MINUS(DIVIDE(VLOOKUP($B270,Data!$B$3:$EZ1530,39,FALSE),VLOOKUP($B270,Data!$B$3:$EZ1530,40,FALSE)),1),"")</f>
        <v>0.4372382111</v>
      </c>
      <c r="N270" s="48">
        <f>IFERROR(MINUS(DIVIDE(VLOOKUP($B270,Data!$B$3:$EZ1530,44,FALSE),VLOOKUP($B270,Data!$B$3:$EZ1530,45,FALSE)),1),"")</f>
        <v>3.858744395</v>
      </c>
      <c r="O270" s="50">
        <f>IFERROR(VLOOKUP($B270,Data!$B$3:$D1530,2,FALSE),"")</f>
        <v>33190</v>
      </c>
      <c r="P270" s="50">
        <f>IFERROR(VLOOKUP($B270,Data!$B$3:$D1530,3,FALSE),"")</f>
        <v>22230</v>
      </c>
      <c r="Q270" s="48">
        <f t="shared" si="2"/>
        <v>0.4930274404</v>
      </c>
      <c r="R270" s="48"/>
      <c r="S270" s="48"/>
      <c r="T270" s="48"/>
      <c r="U270" s="48"/>
      <c r="V270" s="48"/>
      <c r="W270" s="50"/>
      <c r="Z270" s="12"/>
      <c r="AA270" s="12"/>
    </row>
    <row r="271">
      <c r="A271" s="9">
        <f t="shared" si="1"/>
        <v>268</v>
      </c>
      <c r="B271" s="47" t="s">
        <v>404</v>
      </c>
      <c r="C271" s="48">
        <f>IFERROR(DIVIDE(VLOOKUP($B271,Data!$B$3:$AB$1535,9,FALSE),VLOOKUP($B271,Data!$B$3:$AB$1535,4,FALSE)),"")</f>
        <v>-0.3268765133</v>
      </c>
      <c r="D271" s="48">
        <f>IFERROR(DIVIDE(VLOOKUP($B271,Data!$B$3:$AB$1535,24,FALSE),VLOOKUP($B271,Data!$B$3:$AB$1535,4,FALSE)),"")</f>
        <v>-11.53268765</v>
      </c>
      <c r="E271" s="48">
        <f>IFERROR(DIVIDE(VLOOKUP($B271,Data!$B$3:$EZ1530,29,FALSE),VLOOKUP($B271,Data!$B$3:$EZ1530,4,FALSE)),"")</f>
        <v>-10.98305085</v>
      </c>
      <c r="F271" s="48">
        <f>IFERROR(DIVIDE(VLOOKUP($B271,Data!$B$3:$EZ1530,34,FALSE),VLOOKUP($B271,Data!$B$3:$EZ1530,4,FALSE)),"")</f>
        <v>-9.162227603</v>
      </c>
      <c r="G271" s="48">
        <f>IFERROR(DIVIDE(VLOOKUP($B271,Data!$B$3:$EZ1530,39,FALSE),VLOOKUP($B271,Data!$B$3:$EZ1530,4,FALSE)),"")</f>
        <v>-11.14527845</v>
      </c>
      <c r="H271" s="48">
        <f>IFERROR(DIVIDE(VLOOKUP($B271,Data!$B$3:$EZ1530,44,FALSE),VLOOKUP($B271,Data!$B$3:$EZ1530,4,FALSE)),"")</f>
        <v>-5.677966102</v>
      </c>
      <c r="I271" s="48">
        <f>IFERROR(MINUS(DIVIDE(VLOOKUP($B271,Data!$B$3:$EZ1530,9,FALSE),VLOOKUP($B271,Data!$B$3:$EZ1530,10,FALSE)),1),"")</f>
        <v>-0.1916167665</v>
      </c>
      <c r="J271" s="48">
        <f>IFERROR(MINUS(DIVIDE(VLOOKUP($B271,Data!$B$3:$EZ1530,24,FALSE),VLOOKUP($B271,Data!$B$3:$EZ1530,25,FALSE)),1),"")</f>
        <v>0.7313704108</v>
      </c>
      <c r="K271" s="48">
        <f>IFERROR(MINUS(DIVIDE(VLOOKUP($B271,Data!$B$3:$EZ1530,29,FALSE),VLOOKUP($B271,Data!$B$3:$EZ1530,30,FALSE)),1),"")</f>
        <v>0.6512559155</v>
      </c>
      <c r="L271" s="48">
        <f>IFERROR(MINUS(DIVIDE(VLOOKUP($B271,Data!$B$3:$EZ1530,34,FALSE),VLOOKUP($B271,Data!$B$3:$EZ1530,35,FALSE)),1),"")</f>
        <v>0.523962948</v>
      </c>
      <c r="M271" s="48">
        <f>IFERROR(MINUS(DIVIDE(VLOOKUP($B271,Data!$B$3:$EZ1530,39,FALSE),VLOOKUP($B271,Data!$B$3:$EZ1530,40,FALSE)),1),"")</f>
        <v>0.6756461594</v>
      </c>
      <c r="N271" s="48">
        <f>IFERROR(MINUS(DIVIDE(VLOOKUP($B271,Data!$B$3:$EZ1530,44,FALSE),VLOOKUP($B271,Data!$B$3:$EZ1530,45,FALSE)),1),"")</f>
        <v>-0.1794961512</v>
      </c>
      <c r="O271" s="50">
        <f>IFERROR(VLOOKUP($B271,Data!$B$3:$D1530,2,FALSE),"")</f>
        <v>19640</v>
      </c>
      <c r="P271" s="50">
        <f>IFERROR(VLOOKUP($B271,Data!$B$3:$D1530,3,FALSE),"")</f>
        <v>12680</v>
      </c>
      <c r="Q271" s="48">
        <f t="shared" si="2"/>
        <v>0.5488958991</v>
      </c>
      <c r="R271" s="48"/>
      <c r="S271" s="48"/>
      <c r="T271" s="48"/>
      <c r="U271" s="48"/>
      <c r="V271" s="48"/>
      <c r="W271" s="50"/>
      <c r="Z271" s="11"/>
      <c r="AA271" s="11"/>
    </row>
    <row r="272">
      <c r="A272" s="9">
        <f t="shared" si="1"/>
        <v>269</v>
      </c>
      <c r="B272" s="47" t="s">
        <v>405</v>
      </c>
      <c r="C272" s="48">
        <f>IFERROR(DIVIDE(VLOOKUP($B272,Data!$B$3:$AB$1535,9,FALSE),VLOOKUP($B272,Data!$B$3:$AB$1535,4,FALSE)),"")</f>
        <v>0.2058823529</v>
      </c>
      <c r="D272" s="48">
        <f>IFERROR(DIVIDE(VLOOKUP($B272,Data!$B$3:$AB$1535,24,FALSE),VLOOKUP($B272,Data!$B$3:$AB$1535,4,FALSE)),"")</f>
        <v>0.04333224401</v>
      </c>
      <c r="E272" s="48">
        <f>IFERROR(DIVIDE(VLOOKUP($B272,Data!$B$3:$EZ1530,29,FALSE),VLOOKUP($B272,Data!$B$3:$EZ1530,4,FALSE)),"")</f>
        <v>0.03726034858</v>
      </c>
      <c r="F272" s="48">
        <f>IFERROR(DIVIDE(VLOOKUP($B272,Data!$B$3:$EZ1530,34,FALSE),VLOOKUP($B272,Data!$B$3:$EZ1530,4,FALSE)),"")</f>
        <v>0.07082135076</v>
      </c>
      <c r="G272" s="48">
        <f>IFERROR(DIVIDE(VLOOKUP($B272,Data!$B$3:$EZ1530,39,FALSE),VLOOKUP($B272,Data!$B$3:$EZ1530,4,FALSE)),"")</f>
        <v>0.02874183007</v>
      </c>
      <c r="H272" s="48">
        <f>IFERROR(DIVIDE(VLOOKUP($B272,Data!$B$3:$EZ1530,44,FALSE),VLOOKUP($B272,Data!$B$3:$EZ1530,4,FALSE)),"")</f>
        <v>0.05493572985</v>
      </c>
      <c r="I272" s="48">
        <f>IFERROR(MINUS(DIVIDE(VLOOKUP($B272,Data!$B$3:$EZ1530,9,FALSE),VLOOKUP($B272,Data!$B$3:$EZ1530,10,FALSE)),1),"")</f>
        <v>0.1052631579</v>
      </c>
      <c r="J272" s="48">
        <f>IFERROR(MINUS(DIVIDE(VLOOKUP($B272,Data!$B$3:$EZ1530,24,FALSE),VLOOKUP($B272,Data!$B$3:$EZ1530,25,FALSE)),1),"")</f>
        <v>0.246756096</v>
      </c>
      <c r="K272" s="48">
        <f>IFERROR(MINUS(DIVIDE(VLOOKUP($B272,Data!$B$3:$EZ1530,29,FALSE),VLOOKUP($B272,Data!$B$3:$EZ1530,30,FALSE)),1),"")</f>
        <v>0.2985952923</v>
      </c>
      <c r="L272" s="48">
        <f>IFERROR(MINUS(DIVIDE(VLOOKUP($B272,Data!$B$3:$EZ1530,34,FALSE),VLOOKUP($B272,Data!$B$3:$EZ1530,35,FALSE)),1),"")</f>
        <v>0.1514850959</v>
      </c>
      <c r="M272" s="48">
        <f>IFERROR(MINUS(DIVIDE(VLOOKUP($B272,Data!$B$3:$EZ1530,39,FALSE),VLOOKUP($B272,Data!$B$3:$EZ1530,40,FALSE)),1),"")</f>
        <v>0.2940801413</v>
      </c>
      <c r="N272" s="48">
        <f>IFERROR(MINUS(DIVIDE(VLOOKUP($B272,Data!$B$3:$EZ1530,44,FALSE),VLOOKUP($B272,Data!$B$3:$EZ1530,45,FALSE)),1),"")</f>
        <v>-0.04956559432</v>
      </c>
      <c r="O272" s="50">
        <f>IFERROR(VLOOKUP($B272,Data!$B$3:$D1530,2,FALSE),"")</f>
        <v>9670000</v>
      </c>
      <c r="P272" s="50">
        <f>IFERROR(VLOOKUP($B272,Data!$B$3:$D1530,3,FALSE),"")</f>
        <v>8540000</v>
      </c>
      <c r="Q272" s="48">
        <f t="shared" si="2"/>
        <v>0.1323185012</v>
      </c>
      <c r="R272" s="48"/>
      <c r="S272" s="48"/>
      <c r="T272" s="48"/>
      <c r="U272" s="48"/>
      <c r="V272" s="48"/>
      <c r="W272" s="50"/>
      <c r="Z272" s="11"/>
      <c r="AA272" s="11"/>
    </row>
    <row r="273">
      <c r="A273" s="9">
        <f t="shared" si="1"/>
        <v>270</v>
      </c>
      <c r="B273" s="47" t="s">
        <v>406</v>
      </c>
      <c r="C273" s="48">
        <f>IFERROR(DIVIDE(VLOOKUP($B273,Data!$B$3:$AB$1535,9,FALSE),VLOOKUP($B273,Data!$B$3:$AB$1535,4,FALSE)),"")</f>
        <v>0.2916899052</v>
      </c>
      <c r="D273" s="48">
        <f>IFERROR(DIVIDE(VLOOKUP($B273,Data!$B$3:$AB$1535,24,FALSE),VLOOKUP($B273,Data!$B$3:$AB$1535,4,FALSE)),"")</f>
        <v>0.1533742331</v>
      </c>
      <c r="E273" s="48">
        <f>IFERROR(DIVIDE(VLOOKUP($B273,Data!$B$3:$EZ1530,29,FALSE),VLOOKUP($B273,Data!$B$3:$EZ1530,4,FALSE)),"")</f>
        <v>0.145194274</v>
      </c>
      <c r="F273" s="48">
        <f>IFERROR(DIVIDE(VLOOKUP($B273,Data!$B$3:$EZ1530,34,FALSE),VLOOKUP($B273,Data!$B$3:$EZ1530,4,FALSE)),"")</f>
        <v>0.2058003346</v>
      </c>
      <c r="G273" s="48">
        <f>IFERROR(DIVIDE(VLOOKUP($B273,Data!$B$3:$EZ1530,39,FALSE),VLOOKUP($B273,Data!$B$3:$EZ1530,4,FALSE)),"")</f>
        <v>0.1132180703</v>
      </c>
      <c r="H273" s="48">
        <f>IFERROR(DIVIDE(VLOOKUP($B273,Data!$B$3:$EZ1530,44,FALSE),VLOOKUP($B273,Data!$B$3:$EZ1530,4,FALSE)),"")</f>
        <v>0.1284625395</v>
      </c>
      <c r="I273" s="48">
        <f>IFERROR(MINUS(DIVIDE(VLOOKUP($B273,Data!$B$3:$EZ1530,9,FALSE),VLOOKUP($B273,Data!$B$3:$EZ1530,10,FALSE)),1),"")</f>
        <v>-0.04036697248</v>
      </c>
      <c r="J273" s="48">
        <f>IFERROR(MINUS(DIVIDE(VLOOKUP($B273,Data!$B$3:$EZ1530,24,FALSE),VLOOKUP($B273,Data!$B$3:$EZ1530,25,FALSE)),1),"")</f>
        <v>0.004872107186</v>
      </c>
      <c r="K273" s="48">
        <f>IFERROR(MINUS(DIVIDE(VLOOKUP($B273,Data!$B$3:$EZ1530,29,FALSE),VLOOKUP($B273,Data!$B$3:$EZ1530,30,FALSE)),1),"")</f>
        <v>-0.001278772379</v>
      </c>
      <c r="L273" s="48">
        <f>IFERROR(MINUS(DIVIDE(VLOOKUP($B273,Data!$B$3:$EZ1530,34,FALSE),VLOOKUP($B273,Data!$B$3:$EZ1530,35,FALSE)),1),"")</f>
        <v>-0.03149606299</v>
      </c>
      <c r="M273" s="48">
        <f>IFERROR(MINUS(DIVIDE(VLOOKUP($B273,Data!$B$3:$EZ1530,39,FALSE),VLOOKUP($B273,Data!$B$3:$EZ1530,40,FALSE)),1),"")</f>
        <v>-0.009756097561</v>
      </c>
      <c r="N273" s="48">
        <f>IFERROR(MINUS(DIVIDE(VLOOKUP($B273,Data!$B$3:$EZ1530,44,FALSE),VLOOKUP($B273,Data!$B$3:$EZ1530,45,FALSE)),1),"")</f>
        <v>0.05335365854</v>
      </c>
      <c r="O273" s="50">
        <f>IFERROR(VLOOKUP($B273,Data!$B$3:$D1530,2,FALSE),"")</f>
        <v>44320000</v>
      </c>
      <c r="P273" s="50">
        <f>IFERROR(VLOOKUP($B273,Data!$B$3:$D1530,3,FALSE),"")</f>
        <v>40830000</v>
      </c>
      <c r="Q273" s="48">
        <f t="shared" si="2"/>
        <v>0.08547636542</v>
      </c>
      <c r="R273" s="48"/>
      <c r="S273" s="48"/>
      <c r="T273" s="48"/>
      <c r="U273" s="48"/>
      <c r="V273" s="48"/>
      <c r="W273" s="50"/>
      <c r="Z273" s="11"/>
      <c r="AA273" s="11"/>
    </row>
    <row r="274">
      <c r="A274" s="9">
        <f t="shared" si="1"/>
        <v>271</v>
      </c>
      <c r="B274" s="47" t="s">
        <v>407</v>
      </c>
      <c r="C274" s="48" t="str">
        <f>IFERROR(DIVIDE(VLOOKUP($B274,Data!$B$3:$AB$1535,9,FALSE),VLOOKUP($B274,Data!$B$3:$AB$1535,4,FALSE)),"")</f>
        <v/>
      </c>
      <c r="D274" s="48" t="str">
        <f>IFERROR(DIVIDE(VLOOKUP($B274,Data!$B$3:$AB$1535,24,FALSE),VLOOKUP($B274,Data!$B$3:$AB$1535,4,FALSE)),"")</f>
        <v/>
      </c>
      <c r="E274" s="48" t="str">
        <f>IFERROR(DIVIDE(VLOOKUP($B274,Data!$B$3:$EZ1530,29,FALSE),VLOOKUP($B274,Data!$B$3:$EZ1530,4,FALSE)),"")</f>
        <v/>
      </c>
      <c r="F274" s="48" t="str">
        <f>IFERROR(DIVIDE(VLOOKUP($B274,Data!$B$3:$EZ1530,34,FALSE),VLOOKUP($B274,Data!$B$3:$EZ1530,4,FALSE)),"")</f>
        <v/>
      </c>
      <c r="G274" s="48" t="str">
        <f>IFERROR(DIVIDE(VLOOKUP($B274,Data!$B$3:$EZ1530,39,FALSE),VLOOKUP($B274,Data!$B$3:$EZ1530,4,FALSE)),"")</f>
        <v/>
      </c>
      <c r="H274" s="48" t="str">
        <f>IFERROR(DIVIDE(VLOOKUP($B274,Data!$B$3:$EZ1530,44,FALSE),VLOOKUP($B274,Data!$B$3:$EZ1530,4,FALSE)),"")</f>
        <v/>
      </c>
      <c r="I274" s="48">
        <f>IFERROR(MINUS(DIVIDE(VLOOKUP($B274,Data!$B$3:$EZ1530,9,FALSE),VLOOKUP($B274,Data!$B$3:$EZ1530,10,FALSE)),1),"")</f>
        <v>-0.781512605</v>
      </c>
      <c r="J274" s="48">
        <f>IFERROR(MINUS(DIVIDE(VLOOKUP($B274,Data!$B$3:$EZ1530,24,FALSE),VLOOKUP($B274,Data!$B$3:$EZ1530,25,FALSE)),1),"")</f>
        <v>-1</v>
      </c>
      <c r="K274" s="48">
        <f>IFERROR(MINUS(DIVIDE(VLOOKUP($B274,Data!$B$3:$EZ1530,29,FALSE),VLOOKUP($B274,Data!$B$3:$EZ1530,30,FALSE)),1),"")</f>
        <v>0.01623502126</v>
      </c>
      <c r="L274" s="48">
        <f>IFERROR(MINUS(DIVIDE(VLOOKUP($B274,Data!$B$3:$EZ1530,34,FALSE),VLOOKUP($B274,Data!$B$3:$EZ1530,35,FALSE)),1),"")</f>
        <v>0.0674556213</v>
      </c>
      <c r="M274" s="48">
        <f>IFERROR(MINUS(DIVIDE(VLOOKUP($B274,Data!$B$3:$EZ1530,39,FALSE),VLOOKUP($B274,Data!$B$3:$EZ1530,40,FALSE)),1),"")</f>
        <v>0.01623502126</v>
      </c>
      <c r="N274" s="48">
        <f>IFERROR(MINUS(DIVIDE(VLOOKUP($B274,Data!$B$3:$EZ1530,44,FALSE),VLOOKUP($B274,Data!$B$3:$EZ1530,45,FALSE)),1),"")</f>
        <v>0.1320835109</v>
      </c>
      <c r="O274" s="50">
        <f>IFERROR(VLOOKUP($B274,Data!$B$3:$D1530,2,FALSE),"")</f>
        <v>6750</v>
      </c>
      <c r="P274" s="50" t="str">
        <f>IFERROR(VLOOKUP($B274,Data!$B$3:$D1530,3,FALSE),"")</f>
        <v/>
      </c>
      <c r="Q274" s="48" t="str">
        <f t="shared" si="2"/>
        <v/>
      </c>
      <c r="R274" s="48"/>
      <c r="S274" s="48"/>
      <c r="T274" s="48"/>
      <c r="U274" s="48"/>
      <c r="V274" s="48"/>
      <c r="W274" s="50"/>
      <c r="Z274" s="11"/>
      <c r="AA274" s="11"/>
    </row>
    <row r="275">
      <c r="A275" s="9">
        <f t="shared" si="1"/>
        <v>272</v>
      </c>
      <c r="B275" s="47" t="s">
        <v>408</v>
      </c>
      <c r="C275" s="48">
        <f>IFERROR(DIVIDE(VLOOKUP($B275,Data!$B$3:$AB$1535,9,FALSE),VLOOKUP($B275,Data!$B$3:$AB$1535,4,FALSE)),"")</f>
        <v>0.3646254877</v>
      </c>
      <c r="D275" s="48">
        <f>IFERROR(DIVIDE(VLOOKUP($B275,Data!$B$3:$AB$1535,24,FALSE),VLOOKUP($B275,Data!$B$3:$AB$1535,4,FALSE)),"")</f>
        <v>0.04503598517</v>
      </c>
      <c r="E275" s="48">
        <f>IFERROR(DIVIDE(VLOOKUP($B275,Data!$B$3:$EZ1530,29,FALSE),VLOOKUP($B275,Data!$B$3:$EZ1530,4,FALSE)),"")</f>
        <v>0.05235418131</v>
      </c>
      <c r="F275" s="48">
        <f>IFERROR(DIVIDE(VLOOKUP($B275,Data!$B$3:$EZ1530,34,FALSE),VLOOKUP($B275,Data!$B$3:$EZ1530,4,FALSE)),"")</f>
        <v>0.06397363511</v>
      </c>
      <c r="G275" s="48">
        <f>IFERROR(DIVIDE(VLOOKUP($B275,Data!$B$3:$EZ1530,39,FALSE),VLOOKUP($B275,Data!$B$3:$EZ1530,4,FALSE)),"")</f>
        <v>0.04194634938</v>
      </c>
      <c r="H275" s="48">
        <f>IFERROR(DIVIDE(VLOOKUP($B275,Data!$B$3:$EZ1530,44,FALSE),VLOOKUP($B275,Data!$B$3:$EZ1530,4,FALSE)),"")</f>
        <v>0.06470060823</v>
      </c>
      <c r="I275" s="48">
        <f>IFERROR(MINUS(DIVIDE(VLOOKUP($B275,Data!$B$3:$EZ1530,9,FALSE),VLOOKUP($B275,Data!$B$3:$EZ1530,10,FALSE)),1),"")</f>
        <v>0.03533216362</v>
      </c>
      <c r="J275" s="48">
        <f>IFERROR(MINUS(DIVIDE(VLOOKUP($B275,Data!$B$3:$EZ1530,24,FALSE),VLOOKUP($B275,Data!$B$3:$EZ1530,25,FALSE)),1),"")</f>
        <v>0.3199573864</v>
      </c>
      <c r="K275" s="48">
        <f>IFERROR(MINUS(DIVIDE(VLOOKUP($B275,Data!$B$3:$EZ1530,29,FALSE),VLOOKUP($B275,Data!$B$3:$EZ1530,30,FALSE)),1),"")</f>
        <v>0.3074130106</v>
      </c>
      <c r="L275" s="48">
        <f>IFERROR(MINUS(DIVIDE(VLOOKUP($B275,Data!$B$3:$EZ1530,34,FALSE),VLOOKUP($B275,Data!$B$3:$EZ1530,35,FALSE)),1),"")</f>
        <v>0.1435997401</v>
      </c>
      <c r="M275" s="48">
        <f>IFERROR(MINUS(DIVIDE(VLOOKUP($B275,Data!$B$3:$EZ1530,39,FALSE),VLOOKUP($B275,Data!$B$3:$EZ1530,40,FALSE)),1),"")</f>
        <v>0.1695945946</v>
      </c>
      <c r="N275" s="48">
        <f>IFERROR(MINUS(DIVIDE(VLOOKUP($B275,Data!$B$3:$EZ1530,44,FALSE),VLOOKUP($B275,Data!$B$3:$EZ1530,45,FALSE)),1),"")</f>
        <v>-0.1135458167</v>
      </c>
      <c r="O275" s="50" t="str">
        <f>IFERROR(VLOOKUP($B275,Data!$B$3:$D1530,2,FALSE),"")</f>
        <v/>
      </c>
      <c r="P275" s="50" t="str">
        <f>IFERROR(VLOOKUP($B275,Data!$B$3:$D1530,3,FALSE),"")</f>
        <v/>
      </c>
      <c r="Q275" s="48" t="str">
        <f t="shared" si="2"/>
        <v/>
      </c>
      <c r="R275" s="48"/>
      <c r="S275" s="48"/>
      <c r="T275" s="48"/>
      <c r="U275" s="48"/>
      <c r="V275" s="48"/>
      <c r="W275" s="50"/>
      <c r="Z275" s="11"/>
      <c r="AA275" s="11"/>
    </row>
    <row r="276">
      <c r="A276" s="9">
        <f t="shared" si="1"/>
        <v>273</v>
      </c>
      <c r="B276" s="47" t="s">
        <v>409</v>
      </c>
      <c r="C276" s="48" t="str">
        <f>IFERROR(DIVIDE(VLOOKUP($B276,Data!$B$3:$AB$1535,9,FALSE),VLOOKUP($B276,Data!$B$3:$AB$1535,4,FALSE)),"")</f>
        <v/>
      </c>
      <c r="D276" s="48" t="str">
        <f>IFERROR(DIVIDE(VLOOKUP($B276,Data!$B$3:$AB$1535,24,FALSE),VLOOKUP($B276,Data!$B$3:$AB$1535,4,FALSE)),"")</f>
        <v/>
      </c>
      <c r="E276" s="48" t="str">
        <f>IFERROR(DIVIDE(VLOOKUP($B276,Data!$B$3:$EZ1530,29,FALSE),VLOOKUP($B276,Data!$B$3:$EZ1530,4,FALSE)),"")</f>
        <v/>
      </c>
      <c r="F276" s="48" t="str">
        <f>IFERROR(DIVIDE(VLOOKUP($B276,Data!$B$3:$EZ1530,34,FALSE),VLOOKUP($B276,Data!$B$3:$EZ1530,4,FALSE)),"")</f>
        <v/>
      </c>
      <c r="G276" s="48" t="str">
        <f>IFERROR(DIVIDE(VLOOKUP($B276,Data!$B$3:$EZ1530,39,FALSE),VLOOKUP($B276,Data!$B$3:$EZ1530,4,FALSE)),"")</f>
        <v/>
      </c>
      <c r="H276" s="48" t="str">
        <f>IFERROR(DIVIDE(VLOOKUP($B276,Data!$B$3:$EZ1530,44,FALSE),VLOOKUP($B276,Data!$B$3:$EZ1530,4,FALSE)),"")</f>
        <v/>
      </c>
      <c r="I276" s="48">
        <f>IFERROR(MINUS(DIVIDE(VLOOKUP($B276,Data!$B$3:$EZ1530,9,FALSE),VLOOKUP($B276,Data!$B$3:$EZ1530,10,FALSE)),1),"")</f>
        <v>6.619047619</v>
      </c>
      <c r="J276" s="48">
        <f>IFERROR(MINUS(DIVIDE(VLOOKUP($B276,Data!$B$3:$EZ1530,24,FALSE),VLOOKUP($B276,Data!$B$3:$EZ1530,25,FALSE)),1),"")</f>
        <v>0.4833356193</v>
      </c>
      <c r="K276" s="48">
        <f>IFERROR(MINUS(DIVIDE(VLOOKUP($B276,Data!$B$3:$EZ1530,29,FALSE),VLOOKUP($B276,Data!$B$3:$EZ1530,30,FALSE)),1),"")</f>
        <v>0.4170916609</v>
      </c>
      <c r="L276" s="48">
        <f>IFERROR(MINUS(DIVIDE(VLOOKUP($B276,Data!$B$3:$EZ1530,34,FALSE),VLOOKUP($B276,Data!$B$3:$EZ1530,35,FALSE)),1),"")</f>
        <v>0.4127071823</v>
      </c>
      <c r="M276" s="48">
        <f>IFERROR(MINUS(DIVIDE(VLOOKUP($B276,Data!$B$3:$EZ1530,39,FALSE),VLOOKUP($B276,Data!$B$3:$EZ1530,40,FALSE)),1),"")</f>
        <v>0.4170916609</v>
      </c>
      <c r="N276" s="48">
        <f>IFERROR(MINUS(DIVIDE(VLOOKUP($B276,Data!$B$3:$EZ1530,44,FALSE),VLOOKUP($B276,Data!$B$3:$EZ1530,45,FALSE)),1),"")</f>
        <v>0.7821259556</v>
      </c>
      <c r="O276" s="50" t="str">
        <f>IFERROR(VLOOKUP($B276,Data!$B$3:$D1530,2,FALSE),"")</f>
        <v/>
      </c>
      <c r="P276" s="50" t="str">
        <f>IFERROR(VLOOKUP($B276,Data!$B$3:$D1530,3,FALSE),"")</f>
        <v/>
      </c>
      <c r="Q276" s="48" t="str">
        <f t="shared" si="2"/>
        <v/>
      </c>
      <c r="R276" s="48"/>
      <c r="S276" s="48"/>
      <c r="T276" s="48"/>
      <c r="U276" s="48"/>
      <c r="V276" s="48"/>
      <c r="W276" s="50"/>
      <c r="Z276" s="11"/>
      <c r="AA276" s="12"/>
    </row>
    <row r="277">
      <c r="A277" s="9">
        <f t="shared" si="1"/>
        <v>274</v>
      </c>
      <c r="B277" s="47" t="s">
        <v>410</v>
      </c>
      <c r="C277" s="48">
        <f>IFERROR(DIVIDE(VLOOKUP($B277,Data!$B$3:$AB$1535,9,FALSE),VLOOKUP($B277,Data!$B$3:$AB$1535,4,FALSE)),"")</f>
        <v>0.1901483051</v>
      </c>
      <c r="D277" s="48">
        <f>IFERROR(DIVIDE(VLOOKUP($B277,Data!$B$3:$AB$1535,24,FALSE),VLOOKUP($B277,Data!$B$3:$AB$1535,4,FALSE)),"")</f>
        <v>0.03372175141</v>
      </c>
      <c r="E277" s="48">
        <f>IFERROR(DIVIDE(VLOOKUP($B277,Data!$B$3:$EZ1530,29,FALSE),VLOOKUP($B277,Data!$B$3:$EZ1530,4,FALSE)),"")</f>
        <v>0.01327683616</v>
      </c>
      <c r="F277" s="48">
        <f>IFERROR(DIVIDE(VLOOKUP($B277,Data!$B$3:$EZ1530,34,FALSE),VLOOKUP($B277,Data!$B$3:$EZ1530,4,FALSE)),"")</f>
        <v>0.06638418079</v>
      </c>
      <c r="G277" s="48">
        <f>IFERROR(DIVIDE(VLOOKUP($B277,Data!$B$3:$EZ1530,39,FALSE),VLOOKUP($B277,Data!$B$3:$EZ1530,4,FALSE)),"")</f>
        <v>0.008439265537</v>
      </c>
      <c r="H277" s="48">
        <f>IFERROR(DIVIDE(VLOOKUP($B277,Data!$B$3:$EZ1530,44,FALSE),VLOOKUP($B277,Data!$B$3:$EZ1530,4,FALSE)),"")</f>
        <v>0.02012711864</v>
      </c>
      <c r="I277" s="48">
        <f>IFERROR(MINUS(DIVIDE(VLOOKUP($B277,Data!$B$3:$EZ1530,9,FALSE),VLOOKUP($B277,Data!$B$3:$EZ1530,10,FALSE)),1),"")</f>
        <v>0.03458213256</v>
      </c>
      <c r="J277" s="48">
        <f>IFERROR(MINUS(DIVIDE(VLOOKUP($B277,Data!$B$3:$EZ1530,24,FALSE),VLOOKUP($B277,Data!$B$3:$EZ1530,25,FALSE)),1),"")</f>
        <v>-13.99319728</v>
      </c>
      <c r="K277" s="48">
        <f>IFERROR(MINUS(DIVIDE(VLOOKUP($B277,Data!$B$3:$EZ1530,29,FALSE),VLOOKUP($B277,Data!$B$3:$EZ1530,30,FALSE)),1),"")</f>
        <v>-0.5116883117</v>
      </c>
      <c r="L277" s="48">
        <f>IFERROR(MINUS(DIVIDE(VLOOKUP($B277,Data!$B$3:$EZ1530,34,FALSE),VLOOKUP($B277,Data!$B$3:$EZ1530,35,FALSE)),1),"")</f>
        <v>-0.04810126582</v>
      </c>
      <c r="M277" s="48">
        <f>IFERROR(MINUS(DIVIDE(VLOOKUP($B277,Data!$B$3:$EZ1530,39,FALSE),VLOOKUP($B277,Data!$B$3:$EZ1530,40,FALSE)),1),"")</f>
        <v>-0.5879310345</v>
      </c>
      <c r="N277" s="48">
        <f>IFERROR(MINUS(DIVIDE(VLOOKUP($B277,Data!$B$3:$EZ1530,44,FALSE),VLOOKUP($B277,Data!$B$3:$EZ1530,45,FALSE)),1),"")</f>
        <v>-0.7330210773</v>
      </c>
      <c r="O277" s="50">
        <f>IFERROR(VLOOKUP($B277,Data!$B$3:$D1530,2,FALSE),"")</f>
        <v>20850000</v>
      </c>
      <c r="P277" s="50">
        <f>IFERROR(VLOOKUP($B277,Data!$B$3:$D1530,3,FALSE),"")</f>
        <v>19240000</v>
      </c>
      <c r="Q277" s="48">
        <f t="shared" si="2"/>
        <v>0.08367983368</v>
      </c>
      <c r="R277" s="48"/>
      <c r="S277" s="48"/>
      <c r="T277" s="48"/>
      <c r="U277" s="48"/>
      <c r="V277" s="48"/>
      <c r="W277" s="50"/>
      <c r="Z277" s="11"/>
      <c r="AA277" s="11"/>
    </row>
    <row r="278">
      <c r="A278" s="9">
        <f t="shared" si="1"/>
        <v>275</v>
      </c>
      <c r="B278" s="47" t="s">
        <v>411</v>
      </c>
      <c r="C278" s="48" t="str">
        <f>IFERROR(DIVIDE(VLOOKUP($B278,Data!$B$3:$AB$1535,9,FALSE),VLOOKUP($B278,Data!$B$3:$AB$1535,4,FALSE)),"")</f>
        <v/>
      </c>
      <c r="D278" s="48" t="str">
        <f>IFERROR(DIVIDE(VLOOKUP($B278,Data!$B$3:$AB$1535,24,FALSE),VLOOKUP($B278,Data!$B$3:$AB$1535,4,FALSE)),"")</f>
        <v/>
      </c>
      <c r="E278" s="48" t="str">
        <f>IFERROR(DIVIDE(VLOOKUP($B278,Data!$B$3:$EZ1530,29,FALSE),VLOOKUP($B278,Data!$B$3:$EZ1530,4,FALSE)),"")</f>
        <v/>
      </c>
      <c r="F278" s="48" t="str">
        <f>IFERROR(DIVIDE(VLOOKUP($B278,Data!$B$3:$EZ1530,34,FALSE),VLOOKUP($B278,Data!$B$3:$EZ1530,4,FALSE)),"")</f>
        <v/>
      </c>
      <c r="G278" s="48" t="str">
        <f>IFERROR(DIVIDE(VLOOKUP($B278,Data!$B$3:$EZ1530,39,FALSE),VLOOKUP($B278,Data!$B$3:$EZ1530,4,FALSE)),"")</f>
        <v/>
      </c>
      <c r="H278" s="48" t="str">
        <f>IFERROR(DIVIDE(VLOOKUP($B278,Data!$B$3:$EZ1530,44,FALSE),VLOOKUP($B278,Data!$B$3:$EZ1530,4,FALSE)),"")</f>
        <v/>
      </c>
      <c r="I278" s="48" t="str">
        <f>IFERROR(MINUS(DIVIDE(VLOOKUP($B278,Data!$B$3:$EZ1530,9,FALSE),VLOOKUP($B278,Data!$B$3:$EZ1530,10,FALSE)),1),"")</f>
        <v/>
      </c>
      <c r="J278" s="48" t="str">
        <f>IFERROR(MINUS(DIVIDE(VLOOKUP($B278,Data!$B$3:$EZ1530,24,FALSE),VLOOKUP($B278,Data!$B$3:$EZ1530,25,FALSE)),1),"")</f>
        <v/>
      </c>
      <c r="K278" s="48">
        <f>IFERROR(MINUS(DIVIDE(VLOOKUP($B278,Data!$B$3:$EZ1530,29,FALSE),VLOOKUP($B278,Data!$B$3:$EZ1530,30,FALSE)),1),"")</f>
        <v>0.8356620093</v>
      </c>
      <c r="L278" s="48">
        <f>IFERROR(MINUS(DIVIDE(VLOOKUP($B278,Data!$B$3:$EZ1530,34,FALSE),VLOOKUP($B278,Data!$B$3:$EZ1530,35,FALSE)),1),"")</f>
        <v>0.6967626968</v>
      </c>
      <c r="M278" s="48">
        <f>IFERROR(MINUS(DIVIDE(VLOOKUP($B278,Data!$B$3:$EZ1530,39,FALSE),VLOOKUP($B278,Data!$B$3:$EZ1530,40,FALSE)),1),"")</f>
        <v>0.8356620093</v>
      </c>
      <c r="N278" s="48">
        <f>IFERROR(MINUS(DIVIDE(VLOOKUP($B278,Data!$B$3:$EZ1530,44,FALSE),VLOOKUP($B278,Data!$B$3:$EZ1530,45,FALSE)),1),"")</f>
        <v>0.5274956217</v>
      </c>
      <c r="O278" s="50" t="str">
        <f>IFERROR(VLOOKUP($B278,Data!$B$3:$D1530,2,FALSE),"")</f>
        <v/>
      </c>
      <c r="P278" s="50">
        <f>IFERROR(VLOOKUP($B278,Data!$B$3:$D1530,3,FALSE),"")</f>
        <v>20500</v>
      </c>
      <c r="Q278" s="48">
        <f t="shared" si="2"/>
        <v>-1</v>
      </c>
      <c r="R278" s="48"/>
      <c r="S278" s="48"/>
      <c r="T278" s="48"/>
      <c r="U278" s="48"/>
      <c r="V278" s="48"/>
      <c r="W278" s="50"/>
      <c r="Z278" s="12"/>
      <c r="AA278" s="12"/>
    </row>
    <row r="279">
      <c r="A279" s="9">
        <f t="shared" si="1"/>
        <v>276</v>
      </c>
      <c r="B279" s="47" t="s">
        <v>412</v>
      </c>
      <c r="C279" s="48" t="str">
        <f>IFERROR(DIVIDE(VLOOKUP($B279,Data!$B$3:$AB$1535,9,FALSE),VLOOKUP($B279,Data!$B$3:$AB$1535,4,FALSE)),"")</f>
        <v/>
      </c>
      <c r="D279" s="48" t="str">
        <f>IFERROR(DIVIDE(VLOOKUP($B279,Data!$B$3:$AB$1535,24,FALSE),VLOOKUP($B279,Data!$B$3:$AB$1535,4,FALSE)),"")</f>
        <v/>
      </c>
      <c r="E279" s="48" t="str">
        <f>IFERROR(DIVIDE(VLOOKUP($B279,Data!$B$3:$EZ1530,29,FALSE),VLOOKUP($B279,Data!$B$3:$EZ1530,4,FALSE)),"")</f>
        <v/>
      </c>
      <c r="F279" s="48" t="str">
        <f>IFERROR(DIVIDE(VLOOKUP($B279,Data!$B$3:$EZ1530,34,FALSE),VLOOKUP($B279,Data!$B$3:$EZ1530,4,FALSE)),"")</f>
        <v/>
      </c>
      <c r="G279" s="48" t="str">
        <f>IFERROR(DIVIDE(VLOOKUP($B279,Data!$B$3:$EZ1530,39,FALSE),VLOOKUP($B279,Data!$B$3:$EZ1530,4,FALSE)),"")</f>
        <v/>
      </c>
      <c r="H279" s="48" t="str">
        <f>IFERROR(DIVIDE(VLOOKUP($B279,Data!$B$3:$EZ1530,44,FALSE),VLOOKUP($B279,Data!$B$3:$EZ1530,4,FALSE)),"")</f>
        <v/>
      </c>
      <c r="I279" s="48" t="str">
        <f>IFERROR(MINUS(DIVIDE(VLOOKUP($B279,Data!$B$3:$EZ1530,9,FALSE),VLOOKUP($B279,Data!$B$3:$EZ1530,10,FALSE)),1),"")</f>
        <v/>
      </c>
      <c r="J279" s="48" t="str">
        <f>IFERROR(MINUS(DIVIDE(VLOOKUP($B279,Data!$B$3:$EZ1530,24,FALSE),VLOOKUP($B279,Data!$B$3:$EZ1530,25,FALSE)),1),"")</f>
        <v/>
      </c>
      <c r="K279" s="48" t="str">
        <f>IFERROR(MINUS(DIVIDE(VLOOKUP($B279,Data!$B$3:$EZ1530,29,FALSE),VLOOKUP($B279,Data!$B$3:$EZ1530,30,FALSE)),1),"")</f>
        <v/>
      </c>
      <c r="L279" s="48" t="str">
        <f>IFERROR(MINUS(DIVIDE(VLOOKUP($B279,Data!$B$3:$EZ1530,34,FALSE),VLOOKUP($B279,Data!$B$3:$EZ1530,35,FALSE)),1),"")</f>
        <v/>
      </c>
      <c r="M279" s="48" t="str">
        <f>IFERROR(MINUS(DIVIDE(VLOOKUP($B279,Data!$B$3:$EZ1530,39,FALSE),VLOOKUP($B279,Data!$B$3:$EZ1530,40,FALSE)),1),"")</f>
        <v/>
      </c>
      <c r="N279" s="48" t="str">
        <f>IFERROR(MINUS(DIVIDE(VLOOKUP($B279,Data!$B$3:$EZ1530,44,FALSE),VLOOKUP($B279,Data!$B$3:$EZ1530,45,FALSE)),1),"")</f>
        <v/>
      </c>
      <c r="O279" s="50" t="str">
        <f>IFERROR(VLOOKUP($B279,Data!$B$3:$D1530,2,FALSE),"")</f>
        <v/>
      </c>
      <c r="P279" s="50" t="str">
        <f>IFERROR(VLOOKUP($B279,Data!$B$3:$D1530,3,FALSE),"")</f>
        <v/>
      </c>
      <c r="Q279" s="48" t="str">
        <f t="shared" si="2"/>
        <v/>
      </c>
      <c r="R279" s="48"/>
      <c r="S279" s="48"/>
      <c r="T279" s="48"/>
      <c r="U279" s="48"/>
      <c r="V279" s="48"/>
      <c r="W279" s="50"/>
      <c r="Z279" s="15"/>
      <c r="AA279" s="15"/>
    </row>
    <row r="280">
      <c r="A280" s="9">
        <f t="shared" si="1"/>
        <v>277</v>
      </c>
      <c r="B280" s="47" t="s">
        <v>413</v>
      </c>
      <c r="C280" s="48">
        <f>IFERROR(DIVIDE(VLOOKUP($B280,Data!$B$3:$AB$1535,9,FALSE),VLOOKUP($B280,Data!$B$3:$AB$1535,4,FALSE)),"")</f>
        <v>-15.76470588</v>
      </c>
      <c r="D280" s="48">
        <f>IFERROR(DIVIDE(VLOOKUP($B280,Data!$B$3:$AB$1535,24,FALSE),VLOOKUP($B280,Data!$B$3:$AB$1535,4,FALSE)),"")</f>
        <v>0</v>
      </c>
      <c r="E280" s="48">
        <f>IFERROR(DIVIDE(VLOOKUP($B280,Data!$B$3:$EZ1530,29,FALSE),VLOOKUP($B280,Data!$B$3:$EZ1530,4,FALSE)),"")</f>
        <v>-147</v>
      </c>
      <c r="F280" s="48">
        <f>IFERROR(DIVIDE(VLOOKUP($B280,Data!$B$3:$EZ1530,34,FALSE),VLOOKUP($B280,Data!$B$3:$EZ1530,4,FALSE)),"")</f>
        <v>-133.3823529</v>
      </c>
      <c r="G280" s="48">
        <f>IFERROR(DIVIDE(VLOOKUP($B280,Data!$B$3:$EZ1530,39,FALSE),VLOOKUP($B280,Data!$B$3:$EZ1530,4,FALSE)),"")</f>
        <v>-147</v>
      </c>
      <c r="H280" s="48">
        <f>IFERROR(DIVIDE(VLOOKUP($B280,Data!$B$3:$EZ1530,44,FALSE),VLOOKUP($B280,Data!$B$3:$EZ1530,4,FALSE)),"")</f>
        <v>-118</v>
      </c>
      <c r="I280" s="48">
        <f>IFERROR(MINUS(DIVIDE(VLOOKUP($B280,Data!$B$3:$EZ1530,9,FALSE),VLOOKUP($B280,Data!$B$3:$EZ1530,10,FALSE)),1),"")</f>
        <v>0.08064516129</v>
      </c>
      <c r="J280" s="48">
        <f>IFERROR(MINUS(DIVIDE(VLOOKUP($B280,Data!$B$3:$EZ1530,24,FALSE),VLOOKUP($B280,Data!$B$3:$EZ1530,25,FALSE)),1),"")</f>
        <v>-1</v>
      </c>
      <c r="K280" s="48">
        <f>IFERROR(MINUS(DIVIDE(VLOOKUP($B280,Data!$B$3:$EZ1530,29,FALSE),VLOOKUP($B280,Data!$B$3:$EZ1530,30,FALSE)),1),"")</f>
        <v>0.2835130971</v>
      </c>
      <c r="L280" s="48">
        <f>IFERROR(MINUS(DIVIDE(VLOOKUP($B280,Data!$B$3:$EZ1530,34,FALSE),VLOOKUP($B280,Data!$B$3:$EZ1530,35,FALSE)),1),"")</f>
        <v>0.3936693301</v>
      </c>
      <c r="M280" s="48">
        <f>IFERROR(MINUS(DIVIDE(VLOOKUP($B280,Data!$B$3:$EZ1530,39,FALSE),VLOOKUP($B280,Data!$B$3:$EZ1530,40,FALSE)),1),"")</f>
        <v>0.2831835687</v>
      </c>
      <c r="N280" s="48">
        <f>IFERROR(MINUS(DIVIDE(VLOOKUP($B280,Data!$B$3:$EZ1530,44,FALSE),VLOOKUP($B280,Data!$B$3:$EZ1530,45,FALSE)),1),"")</f>
        <v>0.5977698128</v>
      </c>
      <c r="O280" s="50">
        <f>IFERROR(VLOOKUP($B280,Data!$B$3:$D1530,2,FALSE),"")</f>
        <v>4000</v>
      </c>
      <c r="P280" s="50">
        <f>IFERROR(VLOOKUP($B280,Data!$B$3:$D1530,3,FALSE),"")</f>
        <v>2000</v>
      </c>
      <c r="Q280" s="48">
        <f t="shared" si="2"/>
        <v>1</v>
      </c>
      <c r="R280" s="48"/>
      <c r="S280" s="48"/>
      <c r="T280" s="48"/>
      <c r="U280" s="48"/>
      <c r="V280" s="48"/>
      <c r="W280" s="50"/>
      <c r="Z280" s="12"/>
      <c r="AA280" s="11"/>
    </row>
    <row r="281">
      <c r="A281" s="9">
        <f t="shared" si="1"/>
        <v>278</v>
      </c>
      <c r="B281" s="47" t="s">
        <v>414</v>
      </c>
      <c r="C281" s="48" t="str">
        <f>IFERROR(DIVIDE(VLOOKUP($B281,Data!$B$3:$AB$1535,9,FALSE),VLOOKUP($B281,Data!$B$3:$AB$1535,4,FALSE)),"")</f>
        <v/>
      </c>
      <c r="D281" s="48" t="str">
        <f>IFERROR(DIVIDE(VLOOKUP($B281,Data!$B$3:$AB$1535,24,FALSE),VLOOKUP($B281,Data!$B$3:$AB$1535,4,FALSE)),"")</f>
        <v/>
      </c>
      <c r="E281" s="48" t="str">
        <f>IFERROR(DIVIDE(VLOOKUP($B281,Data!$B$3:$EZ1530,29,FALSE),VLOOKUP($B281,Data!$B$3:$EZ1530,4,FALSE)),"")</f>
        <v/>
      </c>
      <c r="F281" s="48" t="str">
        <f>IFERROR(DIVIDE(VLOOKUP($B281,Data!$B$3:$EZ1530,34,FALSE),VLOOKUP($B281,Data!$B$3:$EZ1530,4,FALSE)),"")</f>
        <v/>
      </c>
      <c r="G281" s="48" t="str">
        <f>IFERROR(DIVIDE(VLOOKUP($B281,Data!$B$3:$EZ1530,39,FALSE),VLOOKUP($B281,Data!$B$3:$EZ1530,4,FALSE)),"")</f>
        <v/>
      </c>
      <c r="H281" s="48" t="str">
        <f>IFERROR(DIVIDE(VLOOKUP($B281,Data!$B$3:$EZ1530,44,FALSE),VLOOKUP($B281,Data!$B$3:$EZ1530,4,FALSE)),"")</f>
        <v/>
      </c>
      <c r="I281" s="48" t="str">
        <f>IFERROR(MINUS(DIVIDE(VLOOKUP($B281,Data!$B$3:$EZ1530,9,FALSE),VLOOKUP($B281,Data!$B$3:$EZ1530,10,FALSE)),1),"")</f>
        <v/>
      </c>
      <c r="J281" s="48" t="str">
        <f>IFERROR(MINUS(DIVIDE(VLOOKUP($B281,Data!$B$3:$EZ1530,24,FALSE),VLOOKUP($B281,Data!$B$3:$EZ1530,25,FALSE)),1),"")</f>
        <v/>
      </c>
      <c r="K281" s="48" t="str">
        <f>IFERROR(MINUS(DIVIDE(VLOOKUP($B281,Data!$B$3:$EZ1530,29,FALSE),VLOOKUP($B281,Data!$B$3:$EZ1530,30,FALSE)),1),"")</f>
        <v/>
      </c>
      <c r="L281" s="48" t="str">
        <f>IFERROR(MINUS(DIVIDE(VLOOKUP($B281,Data!$B$3:$EZ1530,34,FALSE),VLOOKUP($B281,Data!$B$3:$EZ1530,35,FALSE)),1),"")</f>
        <v/>
      </c>
      <c r="M281" s="48" t="str">
        <f>IFERROR(MINUS(DIVIDE(VLOOKUP($B281,Data!$B$3:$EZ1530,39,FALSE),VLOOKUP($B281,Data!$B$3:$EZ1530,40,FALSE)),1),"")</f>
        <v/>
      </c>
      <c r="N281" s="48" t="str">
        <f>IFERROR(MINUS(DIVIDE(VLOOKUP($B281,Data!$B$3:$EZ1530,44,FALSE),VLOOKUP($B281,Data!$B$3:$EZ1530,45,FALSE)),1),"")</f>
        <v/>
      </c>
      <c r="O281" s="50">
        <f>IFERROR(VLOOKUP($B281,Data!$B$3:$D1530,2,FALSE),"")</f>
        <v>617970</v>
      </c>
      <c r="P281" s="50">
        <f>IFERROR(VLOOKUP($B281,Data!$B$3:$D1530,3,FALSE),"")</f>
        <v>556650</v>
      </c>
      <c r="Q281" s="48">
        <f t="shared" si="2"/>
        <v>0.1101589868</v>
      </c>
      <c r="R281" s="48"/>
      <c r="S281" s="48"/>
      <c r="T281" s="48"/>
      <c r="U281" s="48"/>
      <c r="V281" s="48"/>
      <c r="W281" s="50"/>
      <c r="Z281" s="12"/>
      <c r="AA281" s="12"/>
    </row>
    <row r="282">
      <c r="A282" s="9">
        <f t="shared" si="1"/>
        <v>279</v>
      </c>
      <c r="B282" s="47" t="s">
        <v>415</v>
      </c>
      <c r="C282" s="48">
        <f>IFERROR(DIVIDE(VLOOKUP($B282,Data!$B$3:$AB$1535,9,FALSE),VLOOKUP($B282,Data!$B$3:$AB$1535,4,FALSE)),"")</f>
        <v>0.1419120521</v>
      </c>
      <c r="D282" s="48">
        <f>IFERROR(DIVIDE(VLOOKUP($B282,Data!$B$3:$AB$1535,24,FALSE),VLOOKUP($B282,Data!$B$3:$AB$1535,4,FALSE)),"")</f>
        <v>0.0920781759</v>
      </c>
      <c r="E282" s="48">
        <f>IFERROR(DIVIDE(VLOOKUP($B282,Data!$B$3:$EZ1530,29,FALSE),VLOOKUP($B282,Data!$B$3:$EZ1530,4,FALSE)),"")</f>
        <v>0.08676221498</v>
      </c>
      <c r="F282" s="48">
        <f>IFERROR(DIVIDE(VLOOKUP($B282,Data!$B$3:$EZ1530,34,FALSE),VLOOKUP($B282,Data!$B$3:$EZ1530,4,FALSE)),"")</f>
        <v>0.1271596091</v>
      </c>
      <c r="G282" s="48">
        <f>IFERROR(DIVIDE(VLOOKUP($B282,Data!$B$3:$EZ1530,39,FALSE),VLOOKUP($B282,Data!$B$3:$EZ1530,4,FALSE)),"")</f>
        <v>0.07276872964</v>
      </c>
      <c r="H282" s="48">
        <f>IFERROR(DIVIDE(VLOOKUP($B282,Data!$B$3:$EZ1530,44,FALSE),VLOOKUP($B282,Data!$B$3:$EZ1530,4,FALSE)),"")</f>
        <v>0.1181758958</v>
      </c>
      <c r="I282" s="48">
        <f>IFERROR(MINUS(DIVIDE(VLOOKUP($B282,Data!$B$3:$EZ1530,9,FALSE),VLOOKUP($B282,Data!$B$3:$EZ1530,10,FALSE)),1),"")</f>
        <v>-0.003841317023</v>
      </c>
      <c r="J282" s="48" t="str">
        <f>IFERROR(MINUS(DIVIDE(VLOOKUP($B282,Data!$B$3:$EZ1530,24,FALSE),VLOOKUP($B282,Data!$B$3:$EZ1530,25,FALSE)),1),"")</f>
        <v/>
      </c>
      <c r="K282" s="48">
        <f>IFERROR(MINUS(DIVIDE(VLOOKUP($B282,Data!$B$3:$EZ1530,29,FALSE),VLOOKUP($B282,Data!$B$3:$EZ1530,30,FALSE)),1),"")</f>
        <v>-0.04331585375</v>
      </c>
      <c r="L282" s="48">
        <f>IFERROR(MINUS(DIVIDE(VLOOKUP($B282,Data!$B$3:$EZ1530,34,FALSE),VLOOKUP($B282,Data!$B$3:$EZ1530,35,FALSE)),1),"")</f>
        <v>0.008004544516</v>
      </c>
      <c r="M282" s="48">
        <f>IFERROR(MINUS(DIVIDE(VLOOKUP($B282,Data!$B$3:$EZ1530,39,FALSE),VLOOKUP($B282,Data!$B$3:$EZ1530,40,FALSE)),1),"")</f>
        <v>-0.09781116226</v>
      </c>
      <c r="N282" s="48">
        <f>IFERROR(MINUS(DIVIDE(VLOOKUP($B282,Data!$B$3:$EZ1530,44,FALSE),VLOOKUP($B282,Data!$B$3:$EZ1530,45,FALSE)),1),"")</f>
        <v>0.0973322848</v>
      </c>
      <c r="O282" s="50">
        <f>IFERROR(VLOOKUP($B282,Data!$B$3:$D1530,2,FALSE),"")</f>
        <v>2760000</v>
      </c>
      <c r="P282" s="50">
        <f>IFERROR(VLOOKUP($B282,Data!$B$3:$D1530,3,FALSE),"")</f>
        <v>2490000</v>
      </c>
      <c r="Q282" s="48">
        <f t="shared" si="2"/>
        <v>0.1084337349</v>
      </c>
      <c r="R282" s="48"/>
      <c r="S282" s="48"/>
      <c r="T282" s="48"/>
      <c r="U282" s="48"/>
      <c r="V282" s="48"/>
      <c r="W282" s="50"/>
      <c r="Z282" s="11"/>
      <c r="AA282" s="11"/>
    </row>
    <row r="283">
      <c r="A283" s="9">
        <f t="shared" si="1"/>
        <v>280</v>
      </c>
      <c r="B283" s="47" t="s">
        <v>416</v>
      </c>
      <c r="C283" s="48">
        <f>IFERROR(DIVIDE(VLOOKUP($B283,Data!$B$3:$AB$1535,9,FALSE),VLOOKUP($B283,Data!$B$3:$AB$1535,4,FALSE)),"")</f>
        <v>0.2077844311</v>
      </c>
      <c r="D283" s="48">
        <f>IFERROR(DIVIDE(VLOOKUP($B283,Data!$B$3:$AB$1535,24,FALSE),VLOOKUP($B283,Data!$B$3:$AB$1535,4,FALSE)),"")</f>
        <v>0.0880239521</v>
      </c>
      <c r="E283" s="48">
        <f>IFERROR(DIVIDE(VLOOKUP($B283,Data!$B$3:$EZ1530,29,FALSE),VLOOKUP($B283,Data!$B$3:$EZ1530,4,FALSE)),"")</f>
        <v>0.07634730539</v>
      </c>
      <c r="F283" s="48">
        <f>IFERROR(DIVIDE(VLOOKUP($B283,Data!$B$3:$EZ1530,34,FALSE),VLOOKUP($B283,Data!$B$3:$EZ1530,4,FALSE)),"")</f>
        <v>0.1532934132</v>
      </c>
      <c r="G283" s="48">
        <f>IFERROR(DIVIDE(VLOOKUP($B283,Data!$B$3:$EZ1530,39,FALSE),VLOOKUP($B283,Data!$B$3:$EZ1530,4,FALSE)),"")</f>
        <v>0.04640718563</v>
      </c>
      <c r="H283" s="48">
        <f>IFERROR(DIVIDE(VLOOKUP($B283,Data!$B$3:$EZ1530,44,FALSE),VLOOKUP($B283,Data!$B$3:$EZ1530,4,FALSE)),"")</f>
        <v>0.1086826347</v>
      </c>
      <c r="I283" s="48">
        <f>IFERROR(MINUS(DIVIDE(VLOOKUP($B283,Data!$B$3:$EZ1530,9,FALSE),VLOOKUP($B283,Data!$B$3:$EZ1530,10,FALSE)),1),"")</f>
        <v>-0.06342780027</v>
      </c>
      <c r="J283" s="48">
        <f>IFERROR(MINUS(DIVIDE(VLOOKUP($B283,Data!$B$3:$EZ1530,24,FALSE),VLOOKUP($B283,Data!$B$3:$EZ1530,25,FALSE)),1),"")</f>
        <v>-2.300884956</v>
      </c>
      <c r="K283" s="48">
        <f>IFERROR(MINUS(DIVIDE(VLOOKUP($B283,Data!$B$3:$EZ1530,29,FALSE),VLOOKUP($B283,Data!$B$3:$EZ1530,30,FALSE)),1),"")</f>
        <v>1.179487179</v>
      </c>
      <c r="L283" s="48">
        <f>IFERROR(MINUS(DIVIDE(VLOOKUP($B283,Data!$B$3:$EZ1530,34,FALSE),VLOOKUP($B283,Data!$B$3:$EZ1530,35,FALSE)),1),"")</f>
        <v>-0.009671179884</v>
      </c>
      <c r="M283" s="48">
        <f>IFERROR(MINUS(DIVIDE(VLOOKUP($B283,Data!$B$3:$EZ1530,39,FALSE),VLOOKUP($B283,Data!$B$3:$EZ1530,40,FALSE)),1),"")</f>
        <v>-2.359649123</v>
      </c>
      <c r="N283" s="48">
        <f>IFERROR(MINUS(DIVIDE(VLOOKUP($B283,Data!$B$3:$EZ1530,44,FALSE),VLOOKUP($B283,Data!$B$3:$EZ1530,45,FALSE)),1),"")</f>
        <v>0.2181208054</v>
      </c>
      <c r="O283" s="50">
        <f>IFERROR(VLOOKUP($B283,Data!$B$3:$D1530,2,FALSE),"")</f>
        <v>2860000</v>
      </c>
      <c r="P283" s="50">
        <f>IFERROR(VLOOKUP($B283,Data!$B$3:$D1530,3,FALSE),"")</f>
        <v>2680000</v>
      </c>
      <c r="Q283" s="48">
        <f t="shared" si="2"/>
        <v>0.0671641791</v>
      </c>
      <c r="R283" s="48"/>
      <c r="S283" s="48"/>
      <c r="T283" s="48"/>
      <c r="U283" s="48"/>
      <c r="V283" s="48"/>
      <c r="W283" s="50"/>
      <c r="Z283" s="11"/>
      <c r="AA283" s="11"/>
    </row>
    <row r="284">
      <c r="A284" s="9">
        <f t="shared" si="1"/>
        <v>281</v>
      </c>
      <c r="B284" s="47" t="s">
        <v>417</v>
      </c>
      <c r="C284" s="48">
        <f>IFERROR(DIVIDE(VLOOKUP($B284,Data!$B$3:$AB$1535,9,FALSE),VLOOKUP($B284,Data!$B$3:$AB$1535,4,FALSE)),"")</f>
        <v>0.1898734177</v>
      </c>
      <c r="D284" s="48">
        <f>IFERROR(DIVIDE(VLOOKUP($B284,Data!$B$3:$AB$1535,24,FALSE),VLOOKUP($B284,Data!$B$3:$AB$1535,4,FALSE)),"")</f>
        <v>0.06075949367</v>
      </c>
      <c r="E284" s="48">
        <f>IFERROR(DIVIDE(VLOOKUP($B284,Data!$B$3:$EZ1530,29,FALSE),VLOOKUP($B284,Data!$B$3:$EZ1530,4,FALSE)),"")</f>
        <v>-0.02242314647</v>
      </c>
      <c r="F284" s="48">
        <f>IFERROR(DIVIDE(VLOOKUP($B284,Data!$B$3:$EZ1530,34,FALSE),VLOOKUP($B284,Data!$B$3:$EZ1530,4,FALSE)),"")</f>
        <v>0.1332730561</v>
      </c>
      <c r="G284" s="48">
        <f>IFERROR(DIVIDE(VLOOKUP($B284,Data!$B$3:$EZ1530,39,FALSE),VLOOKUP($B284,Data!$B$3:$EZ1530,4,FALSE)),"")</f>
        <v>-0.009403254973</v>
      </c>
      <c r="H284" s="48">
        <f>IFERROR(DIVIDE(VLOOKUP($B284,Data!$B$3:$EZ1530,44,FALSE),VLOOKUP($B284,Data!$B$3:$EZ1530,4,FALSE)),"")</f>
        <v>0.1175406872</v>
      </c>
      <c r="I284" s="48">
        <f>IFERROR(MINUS(DIVIDE(VLOOKUP($B284,Data!$B$3:$EZ1530,9,FALSE),VLOOKUP($B284,Data!$B$3:$EZ1530,10,FALSE)),1),"")</f>
        <v>-0.475</v>
      </c>
      <c r="J284" s="48">
        <f>IFERROR(MINUS(DIVIDE(VLOOKUP($B284,Data!$B$3:$EZ1530,24,FALSE),VLOOKUP($B284,Data!$B$3:$EZ1530,25,FALSE)),1),"")</f>
        <v>-0.7052631579</v>
      </c>
      <c r="K284" s="48">
        <f>IFERROR(MINUS(DIVIDE(VLOOKUP($B284,Data!$B$3:$EZ1530,29,FALSE),VLOOKUP($B284,Data!$B$3:$EZ1530,30,FALSE)),1),"")</f>
        <v>-1.106896552</v>
      </c>
      <c r="L284" s="48">
        <f>IFERROR(MINUS(DIVIDE(VLOOKUP($B284,Data!$B$3:$EZ1530,34,FALSE),VLOOKUP($B284,Data!$B$3:$EZ1530,35,FALSE)),1),"")</f>
        <v>-0.5119205298</v>
      </c>
      <c r="M284" s="48">
        <f>IFERROR(MINUS(DIVIDE(VLOOKUP($B284,Data!$B$3:$EZ1530,39,FALSE),VLOOKUP($B284,Data!$B$3:$EZ1530,40,FALSE)),1),"")</f>
        <v>-1.052261307</v>
      </c>
      <c r="N284" s="48">
        <f>IFERROR(MINUS(DIVIDE(VLOOKUP($B284,Data!$B$3:$EZ1530,44,FALSE),VLOOKUP($B284,Data!$B$3:$EZ1530,45,FALSE)),1),"")</f>
        <v>-0.4298245614</v>
      </c>
      <c r="O284" s="50">
        <f>IFERROR(VLOOKUP($B284,Data!$B$3:$D1530,2,FALSE),"")</f>
        <v>5250000</v>
      </c>
      <c r="P284" s="50">
        <f>IFERROR(VLOOKUP($B284,Data!$B$3:$D1530,3,FALSE),"")</f>
        <v>4860000</v>
      </c>
      <c r="Q284" s="48">
        <f t="shared" si="2"/>
        <v>0.08024691358</v>
      </c>
      <c r="R284" s="48"/>
      <c r="S284" s="48"/>
      <c r="T284" s="48"/>
      <c r="U284" s="48"/>
      <c r="V284" s="48"/>
      <c r="W284" s="50"/>
      <c r="Z284" s="15"/>
      <c r="AA284" s="15"/>
    </row>
    <row r="285">
      <c r="A285" s="9">
        <f t="shared" si="1"/>
        <v>282</v>
      </c>
      <c r="B285" s="47" t="s">
        <v>418</v>
      </c>
      <c r="C285" s="48">
        <f>IFERROR(DIVIDE(VLOOKUP($B285,Data!$B$3:$AB$1535,9,FALSE),VLOOKUP($B285,Data!$B$3:$AB$1535,4,FALSE)),"")</f>
        <v>0.315407855</v>
      </c>
      <c r="D285" s="48">
        <f>IFERROR(DIVIDE(VLOOKUP($B285,Data!$B$3:$AB$1535,24,FALSE),VLOOKUP($B285,Data!$B$3:$AB$1535,4,FALSE)),"")</f>
        <v>0.1602274747</v>
      </c>
      <c r="E285" s="48">
        <f>IFERROR(DIVIDE(VLOOKUP($B285,Data!$B$3:$EZ1530,29,FALSE),VLOOKUP($B285,Data!$B$3:$EZ1530,4,FALSE)),"")</f>
        <v>0.1547894082</v>
      </c>
      <c r="F285" s="48">
        <f>IFERROR(DIVIDE(VLOOKUP($B285,Data!$B$3:$EZ1530,34,FALSE),VLOOKUP($B285,Data!$B$3:$EZ1530,4,FALSE)),"")</f>
        <v>0.2334458859</v>
      </c>
      <c r="G285" s="48">
        <f>IFERROR(DIVIDE(VLOOKUP($B285,Data!$B$3:$EZ1530,39,FALSE),VLOOKUP($B285,Data!$B$3:$EZ1530,4,FALSE)),"")</f>
        <v>0.1153367691</v>
      </c>
      <c r="H285" s="48">
        <f>IFERROR(DIVIDE(VLOOKUP($B285,Data!$B$3:$EZ1530,44,FALSE),VLOOKUP($B285,Data!$B$3:$EZ1530,4,FALSE)),"")</f>
        <v>0.1760796161</v>
      </c>
      <c r="I285" s="48">
        <f>IFERROR(MINUS(DIVIDE(VLOOKUP($B285,Data!$B$3:$EZ1530,9,FALSE),VLOOKUP($B285,Data!$B$3:$EZ1530,10,FALSE)),1),"")</f>
        <v>-0.08750642674</v>
      </c>
      <c r="J285" s="48">
        <f>IFERROR(MINUS(DIVIDE(VLOOKUP($B285,Data!$B$3:$EZ1530,24,FALSE),VLOOKUP($B285,Data!$B$3:$EZ1530,25,FALSE)),1),"")</f>
        <v>-27.99401198</v>
      </c>
      <c r="K285" s="48">
        <f>IFERROR(MINUS(DIVIDE(VLOOKUP($B285,Data!$B$3:$EZ1530,29,FALSE),VLOOKUP($B285,Data!$B$3:$EZ1530,30,FALSE)),1),"")</f>
        <v>-0.2355625768</v>
      </c>
      <c r="L285" s="48">
        <f>IFERROR(MINUS(DIVIDE(VLOOKUP($B285,Data!$B$3:$EZ1530,34,FALSE),VLOOKUP($B285,Data!$B$3:$EZ1530,35,FALSE)),1),"")</f>
        <v>-0.1257819779</v>
      </c>
      <c r="M285" s="48">
        <f>IFERROR(MINUS(DIVIDE(VLOOKUP($B285,Data!$B$3:$EZ1530,39,FALSE),VLOOKUP($B285,Data!$B$3:$EZ1530,40,FALSE)),1),"")</f>
        <v>-0.2405803885</v>
      </c>
      <c r="N285" s="48">
        <f>IFERROR(MINUS(DIVIDE(VLOOKUP($B285,Data!$B$3:$EZ1530,44,FALSE),VLOOKUP($B285,Data!$B$3:$EZ1530,45,FALSE)),1),"")</f>
        <v>0.07532016497</v>
      </c>
      <c r="O285" s="50" t="str">
        <f>IFERROR(VLOOKUP($B285,Data!$B$3:$D1530,2,FALSE),"")</f>
        <v/>
      </c>
      <c r="P285" s="50" t="str">
        <f>IFERROR(VLOOKUP($B285,Data!$B$3:$D1530,3,FALSE),"")</f>
        <v/>
      </c>
      <c r="Q285" s="48" t="str">
        <f t="shared" si="2"/>
        <v/>
      </c>
      <c r="R285" s="48"/>
      <c r="S285" s="48"/>
      <c r="T285" s="48"/>
      <c r="U285" s="48"/>
      <c r="V285" s="48"/>
      <c r="W285" s="50"/>
      <c r="Z285" s="15"/>
      <c r="AA285" s="15"/>
    </row>
    <row r="286">
      <c r="A286" s="9">
        <f t="shared" si="1"/>
        <v>283</v>
      </c>
      <c r="B286" s="47" t="s">
        <v>419</v>
      </c>
      <c r="C286" s="48">
        <f>IFERROR(DIVIDE(VLOOKUP($B286,Data!$B$3:$AB$1535,9,FALSE),VLOOKUP($B286,Data!$B$3:$AB$1535,4,FALSE)),"")</f>
        <v>0.1101236559</v>
      </c>
      <c r="D286" s="48">
        <f>IFERROR(DIVIDE(VLOOKUP($B286,Data!$B$3:$AB$1535,24,FALSE),VLOOKUP($B286,Data!$B$3:$AB$1535,4,FALSE)),"")</f>
        <v>0.08533333333</v>
      </c>
      <c r="E286" s="48">
        <f>IFERROR(DIVIDE(VLOOKUP($B286,Data!$B$3:$EZ1530,29,FALSE),VLOOKUP($B286,Data!$B$3:$EZ1530,4,FALSE)),"")</f>
        <v>0.04820430108</v>
      </c>
      <c r="F286" s="48">
        <f>IFERROR(DIVIDE(VLOOKUP($B286,Data!$B$3:$EZ1530,34,FALSE),VLOOKUP($B286,Data!$B$3:$EZ1530,4,FALSE)),"")</f>
        <v>0.2010860215</v>
      </c>
      <c r="G286" s="48">
        <f>IFERROR(DIVIDE(VLOOKUP($B286,Data!$B$3:$EZ1530,39,FALSE),VLOOKUP($B286,Data!$B$3:$EZ1530,4,FALSE)),"")</f>
        <v>0.03978494624</v>
      </c>
      <c r="H286" s="48">
        <f>IFERROR(DIVIDE(VLOOKUP($B286,Data!$B$3:$EZ1530,44,FALSE),VLOOKUP($B286,Data!$B$3:$EZ1530,4,FALSE)),"")</f>
        <v>0.2443763441</v>
      </c>
      <c r="I286" s="48">
        <f>IFERROR(MINUS(DIVIDE(VLOOKUP($B286,Data!$B$3:$EZ1530,9,FALSE),VLOOKUP($B286,Data!$B$3:$EZ1530,10,FALSE)),1),"")</f>
        <v>0.06493709057</v>
      </c>
      <c r="J286" s="48">
        <f>IFERROR(MINUS(DIVIDE(VLOOKUP($B286,Data!$B$3:$EZ1530,24,FALSE),VLOOKUP($B286,Data!$B$3:$EZ1530,25,FALSE)),1),"")</f>
        <v>5.985915493</v>
      </c>
      <c r="K286" s="48">
        <f>IFERROR(MINUS(DIVIDE(VLOOKUP($B286,Data!$B$3:$EZ1530,29,FALSE),VLOOKUP($B286,Data!$B$3:$EZ1530,30,FALSE)),1),"")</f>
        <v>10.78186597</v>
      </c>
      <c r="L286" s="48">
        <f>IFERROR(MINUS(DIVIDE(VLOOKUP($B286,Data!$B$3:$EZ1530,34,FALSE),VLOOKUP($B286,Data!$B$3:$EZ1530,35,FALSE)),1),"")</f>
        <v>-0.2111446228</v>
      </c>
      <c r="M286" s="48">
        <f>IFERROR(MINUS(DIVIDE(VLOOKUP($B286,Data!$B$3:$EZ1530,39,FALSE),VLOOKUP($B286,Data!$B$3:$EZ1530,40,FALSE)),1),"")</f>
        <v>-0.5550745551</v>
      </c>
      <c r="N286" s="48">
        <f>IFERROR(MINUS(DIVIDE(VLOOKUP($B286,Data!$B$3:$EZ1530,44,FALSE),VLOOKUP($B286,Data!$B$3:$EZ1530,45,FALSE)),1),"")</f>
        <v>-0.2354761664</v>
      </c>
      <c r="O286" s="50">
        <f>IFERROR(VLOOKUP($B286,Data!$B$3:$D1530,2,FALSE),"")</f>
        <v>1490000</v>
      </c>
      <c r="P286" s="50">
        <f>IFERROR(VLOOKUP($B286,Data!$B$3:$D1530,3,FALSE),"")</f>
        <v>1500000</v>
      </c>
      <c r="Q286" s="48">
        <f t="shared" si="2"/>
        <v>-0.006666666667</v>
      </c>
      <c r="R286" s="48"/>
      <c r="S286" s="48"/>
      <c r="T286" s="48"/>
      <c r="U286" s="48"/>
      <c r="V286" s="48"/>
      <c r="W286" s="50"/>
      <c r="Z286" s="15"/>
      <c r="AA286" s="15"/>
    </row>
    <row r="287">
      <c r="A287" s="9">
        <f t="shared" si="1"/>
        <v>284</v>
      </c>
      <c r="B287" s="47" t="s">
        <v>420</v>
      </c>
      <c r="C287" s="48">
        <f>IFERROR(DIVIDE(VLOOKUP($B287,Data!$B$3:$AB$1535,9,FALSE),VLOOKUP($B287,Data!$B$3:$AB$1535,4,FALSE)),"")</f>
        <v>0.2765242439</v>
      </c>
      <c r="D287" s="48">
        <f>IFERROR(DIVIDE(VLOOKUP($B287,Data!$B$3:$AB$1535,24,FALSE),VLOOKUP($B287,Data!$B$3:$AB$1535,4,FALSE)),"")</f>
        <v>0.1584253481</v>
      </c>
      <c r="E287" s="48">
        <f>IFERROR(DIVIDE(VLOOKUP($B287,Data!$B$3:$EZ1530,29,FALSE),VLOOKUP($B287,Data!$B$3:$EZ1530,4,FALSE)),"")</f>
        <v>0.1469035046</v>
      </c>
      <c r="F287" s="48">
        <f>IFERROR(DIVIDE(VLOOKUP($B287,Data!$B$3:$EZ1530,34,FALSE),VLOOKUP($B287,Data!$B$3:$EZ1530,4,FALSE)),"")</f>
        <v>0.2611617859</v>
      </c>
      <c r="G287" s="48">
        <f>IFERROR(DIVIDE(VLOOKUP($B287,Data!$B$3:$EZ1530,39,FALSE),VLOOKUP($B287,Data!$B$3:$EZ1530,4,FALSE)),"")</f>
        <v>0.1435429669</v>
      </c>
      <c r="H287" s="48">
        <f>IFERROR(DIVIDE(VLOOKUP($B287,Data!$B$3:$EZ1530,44,FALSE),VLOOKUP($B287,Data!$B$3:$EZ1530,4,FALSE)),"")</f>
        <v>0.2630820931</v>
      </c>
      <c r="I287" s="48">
        <f>IFERROR(MINUS(DIVIDE(VLOOKUP($B287,Data!$B$3:$EZ1530,9,FALSE),VLOOKUP($B287,Data!$B$3:$EZ1530,10,FALSE)),1),"")</f>
        <v>-0.003460207612</v>
      </c>
      <c r="J287" s="48">
        <f>IFERROR(MINUS(DIVIDE(VLOOKUP($B287,Data!$B$3:$EZ1530,24,FALSE),VLOOKUP($B287,Data!$B$3:$EZ1530,25,FALSE)),1),"")</f>
        <v>-0.0350877193</v>
      </c>
      <c r="K287" s="48">
        <f>IFERROR(MINUS(DIVIDE(VLOOKUP($B287,Data!$B$3:$EZ1530,29,FALSE),VLOOKUP($B287,Data!$B$3:$EZ1530,30,FALSE)),1),"")</f>
        <v>-0.04672897196</v>
      </c>
      <c r="L287" s="48">
        <f>IFERROR(MINUS(DIVIDE(VLOOKUP($B287,Data!$B$3:$EZ1530,34,FALSE),VLOOKUP($B287,Data!$B$3:$EZ1530,35,FALSE)),1),"")</f>
        <v>0.01872659176</v>
      </c>
      <c r="M287" s="48">
        <f>IFERROR(MINUS(DIVIDE(VLOOKUP($B287,Data!$B$3:$EZ1530,39,FALSE),VLOOKUP($B287,Data!$B$3:$EZ1530,40,FALSE)),1),"")</f>
        <v>-0.05079365079</v>
      </c>
      <c r="N287" s="48">
        <f>IFERROR(MINUS(DIVIDE(VLOOKUP($B287,Data!$B$3:$EZ1530,44,FALSE),VLOOKUP($B287,Data!$B$3:$EZ1530,45,FALSE)),1),"")</f>
        <v>-0.01261261261</v>
      </c>
      <c r="O287" s="50">
        <f>IFERROR(VLOOKUP($B287,Data!$B$3:$D1530,2,FALSE),"")</f>
        <v>13770000</v>
      </c>
      <c r="P287" s="50">
        <f>IFERROR(VLOOKUP($B287,Data!$B$3:$D1530,3,FALSE),"")</f>
        <v>8890000</v>
      </c>
      <c r="Q287" s="48">
        <f t="shared" si="2"/>
        <v>0.5489313836</v>
      </c>
      <c r="R287" s="48"/>
      <c r="S287" s="48"/>
      <c r="T287" s="48"/>
      <c r="U287" s="48"/>
      <c r="V287" s="48"/>
      <c r="W287" s="50"/>
      <c r="Z287" s="11"/>
      <c r="AA287" s="11"/>
    </row>
    <row r="288">
      <c r="A288" s="9">
        <f t="shared" si="1"/>
        <v>285</v>
      </c>
      <c r="B288" s="47" t="s">
        <v>421</v>
      </c>
      <c r="C288" s="48">
        <f>IFERROR(DIVIDE(VLOOKUP($B288,Data!$B$3:$AB$1535,9,FALSE),VLOOKUP($B288,Data!$B$3:$AB$1535,4,FALSE)),"")</f>
        <v>0.4399230769</v>
      </c>
      <c r="D288" s="48">
        <f>IFERROR(DIVIDE(VLOOKUP($B288,Data!$B$3:$AB$1535,24,FALSE),VLOOKUP($B288,Data!$B$3:$AB$1535,4,FALSE)),"")</f>
        <v>0.1062692308</v>
      </c>
      <c r="E288" s="48">
        <f>IFERROR(DIVIDE(VLOOKUP($B288,Data!$B$3:$EZ1530,29,FALSE),VLOOKUP($B288,Data!$B$3:$EZ1530,4,FALSE)),"")</f>
        <v>0.06068269231</v>
      </c>
      <c r="F288" s="48">
        <f>IFERROR(DIVIDE(VLOOKUP($B288,Data!$B$3:$EZ1530,34,FALSE),VLOOKUP($B288,Data!$B$3:$EZ1530,4,FALSE)),"")</f>
        <v>0.3129711538</v>
      </c>
      <c r="G288" s="48">
        <f>IFERROR(DIVIDE(VLOOKUP($B288,Data!$B$3:$EZ1530,39,FALSE),VLOOKUP($B288,Data!$B$3:$EZ1530,4,FALSE)),"")</f>
        <v>0.03771153846</v>
      </c>
      <c r="H288" s="48">
        <f>IFERROR(DIVIDE(VLOOKUP($B288,Data!$B$3:$EZ1530,44,FALSE),VLOOKUP($B288,Data!$B$3:$EZ1530,4,FALSE)),"")</f>
        <v>0.16825</v>
      </c>
      <c r="I288" s="48">
        <f>IFERROR(MINUS(DIVIDE(VLOOKUP($B288,Data!$B$3:$EZ1530,9,FALSE),VLOOKUP($B288,Data!$B$3:$EZ1530,10,FALSE)),1),"")</f>
        <v>0.4565598039</v>
      </c>
      <c r="J288" s="48">
        <f>IFERROR(MINUS(DIVIDE(VLOOKUP($B288,Data!$B$3:$EZ1530,24,FALSE),VLOOKUP($B288,Data!$B$3:$EZ1530,25,FALSE)),1),"")</f>
        <v>-0.3029328288</v>
      </c>
      <c r="K288" s="48">
        <f>IFERROR(MINUS(DIVIDE(VLOOKUP($B288,Data!$B$3:$EZ1530,29,FALSE),VLOOKUP($B288,Data!$B$3:$EZ1530,30,FALSE)),1),"")</f>
        <v>-0.6097334735</v>
      </c>
      <c r="L288" s="48">
        <f>IFERROR(MINUS(DIVIDE(VLOOKUP($B288,Data!$B$3:$EZ1530,34,FALSE),VLOOKUP($B288,Data!$B$3:$EZ1530,35,FALSE)),1),"")</f>
        <v>0.7246330737</v>
      </c>
      <c r="M288" s="48">
        <f>IFERROR(MINUS(DIVIDE(VLOOKUP($B288,Data!$B$3:$EZ1530,39,FALSE),VLOOKUP($B288,Data!$B$3:$EZ1530,40,FALSE)),1),"")</f>
        <v>-0.6431950509</v>
      </c>
      <c r="N288" s="48">
        <f>IFERROR(MINUS(DIVIDE(VLOOKUP($B288,Data!$B$3:$EZ1530,44,FALSE),VLOOKUP($B288,Data!$B$3:$EZ1530,45,FALSE)),1),"")</f>
        <v>0.03618167821</v>
      </c>
      <c r="O288" s="50">
        <f>IFERROR(VLOOKUP($B288,Data!$B$3:$D1530,2,FALSE),"")</f>
        <v>1130000</v>
      </c>
      <c r="P288" s="50">
        <f>IFERROR(VLOOKUP($B288,Data!$B$3:$D1530,3,FALSE),"")</f>
        <v>1110000</v>
      </c>
      <c r="Q288" s="48">
        <f t="shared" si="2"/>
        <v>0.01801801802</v>
      </c>
      <c r="R288" s="48"/>
      <c r="S288" s="48"/>
      <c r="T288" s="48"/>
      <c r="U288" s="48"/>
      <c r="V288" s="48"/>
      <c r="W288" s="50"/>
      <c r="Z288" s="15"/>
      <c r="AA288" s="15"/>
    </row>
    <row r="289">
      <c r="A289" s="9">
        <f t="shared" si="1"/>
        <v>286</v>
      </c>
      <c r="B289" s="47" t="s">
        <v>422</v>
      </c>
      <c r="C289" s="48">
        <f>IFERROR(DIVIDE(VLOOKUP($B289,Data!$B$3:$AB$1535,9,FALSE),VLOOKUP($B289,Data!$B$3:$AB$1535,4,FALSE)),"")</f>
        <v>0.1738503937</v>
      </c>
      <c r="D289" s="48">
        <f>IFERROR(DIVIDE(VLOOKUP($B289,Data!$B$3:$AB$1535,24,FALSE),VLOOKUP($B289,Data!$B$3:$AB$1535,4,FALSE)),"")</f>
        <v>0.05426377953</v>
      </c>
      <c r="E289" s="48">
        <f>IFERROR(DIVIDE(VLOOKUP($B289,Data!$B$3:$EZ1530,29,FALSE),VLOOKUP($B289,Data!$B$3:$EZ1530,4,FALSE)),"")</f>
        <v>0.05222047244</v>
      </c>
      <c r="F289" s="48">
        <f>IFERROR(DIVIDE(VLOOKUP($B289,Data!$B$3:$EZ1530,34,FALSE),VLOOKUP($B289,Data!$B$3:$EZ1530,4,FALSE)),"")</f>
        <v>0.0648976378</v>
      </c>
      <c r="G289" s="48">
        <f>IFERROR(DIVIDE(VLOOKUP($B289,Data!$B$3:$EZ1530,39,FALSE),VLOOKUP($B289,Data!$B$3:$EZ1530,4,FALSE)),"")</f>
        <v>0.04448425197</v>
      </c>
      <c r="H289" s="48">
        <f>IFERROR(DIVIDE(VLOOKUP($B289,Data!$B$3:$EZ1530,44,FALSE),VLOOKUP($B289,Data!$B$3:$EZ1530,4,FALSE)),"")</f>
        <v>-0.02277165354</v>
      </c>
      <c r="I289" s="48">
        <f>IFERROR(MINUS(DIVIDE(VLOOKUP($B289,Data!$B$3:$EZ1530,9,FALSE),VLOOKUP($B289,Data!$B$3:$EZ1530,10,FALSE)),1),"")</f>
        <v>0.1651187335</v>
      </c>
      <c r="J289" s="48">
        <f>IFERROR(MINUS(DIVIDE(VLOOKUP($B289,Data!$B$3:$EZ1530,24,FALSE),VLOOKUP($B289,Data!$B$3:$EZ1530,25,FALSE)),1),"")</f>
        <v>0.2028100183</v>
      </c>
      <c r="K289" s="48">
        <f>IFERROR(MINUS(DIVIDE(VLOOKUP($B289,Data!$B$3:$EZ1530,29,FALSE),VLOOKUP($B289,Data!$B$3:$EZ1530,30,FALSE)),1),"")</f>
        <v>0.03197697036</v>
      </c>
      <c r="L289" s="48">
        <f>IFERROR(MINUS(DIVIDE(VLOOKUP($B289,Data!$B$3:$EZ1530,34,FALSE),VLOOKUP($B289,Data!$B$3:$EZ1530,35,FALSE)),1),"")</f>
        <v>0.297441952</v>
      </c>
      <c r="M289" s="48">
        <f>IFERROR(MINUS(DIVIDE(VLOOKUP($B289,Data!$B$3:$EZ1530,39,FALSE),VLOOKUP($B289,Data!$B$3:$EZ1530,40,FALSE)),1),"")</f>
        <v>0.1720954357</v>
      </c>
      <c r="N289" s="48">
        <f>IFERROR(MINUS(DIVIDE(VLOOKUP($B289,Data!$B$3:$EZ1530,44,FALSE),VLOOKUP($B289,Data!$B$3:$EZ1530,45,FALSE)),1),"")</f>
        <v>-0.7235445942</v>
      </c>
      <c r="O289" s="50">
        <f>IFERROR(VLOOKUP($B289,Data!$B$3:$D1530,2,FALSE),"")</f>
        <v>2720000</v>
      </c>
      <c r="P289" s="50">
        <f>IFERROR(VLOOKUP($B289,Data!$B$3:$D1530,3,FALSE),"")</f>
        <v>2600000</v>
      </c>
      <c r="Q289" s="48">
        <f t="shared" si="2"/>
        <v>0.04615384615</v>
      </c>
      <c r="R289" s="48"/>
      <c r="S289" s="48"/>
      <c r="T289" s="48"/>
      <c r="U289" s="48"/>
      <c r="V289" s="48"/>
      <c r="W289" s="50"/>
      <c r="Z289" s="15"/>
      <c r="AA289" s="15"/>
    </row>
    <row r="290">
      <c r="A290" s="9">
        <f t="shared" si="1"/>
        <v>287</v>
      </c>
      <c r="B290" s="47" t="s">
        <v>423</v>
      </c>
      <c r="C290" s="48" t="str">
        <f>IFERROR(DIVIDE(VLOOKUP($B290,Data!$B$3:$AB$1535,9,FALSE),VLOOKUP($B290,Data!$B$3:$AB$1535,4,FALSE)),"")</f>
        <v/>
      </c>
      <c r="D290" s="48" t="str">
        <f>IFERROR(DIVIDE(VLOOKUP($B290,Data!$B$3:$AB$1535,24,FALSE),VLOOKUP($B290,Data!$B$3:$AB$1535,4,FALSE)),"")</f>
        <v/>
      </c>
      <c r="E290" s="48" t="str">
        <f>IFERROR(DIVIDE(VLOOKUP($B290,Data!$B$3:$EZ1530,29,FALSE),VLOOKUP($B290,Data!$B$3:$EZ1530,4,FALSE)),"")</f>
        <v/>
      </c>
      <c r="F290" s="48" t="str">
        <f>IFERROR(DIVIDE(VLOOKUP($B290,Data!$B$3:$EZ1530,34,FALSE),VLOOKUP($B290,Data!$B$3:$EZ1530,4,FALSE)),"")</f>
        <v/>
      </c>
      <c r="G290" s="48" t="str">
        <f>IFERROR(DIVIDE(VLOOKUP($B290,Data!$B$3:$EZ1530,39,FALSE),VLOOKUP($B290,Data!$B$3:$EZ1530,4,FALSE)),"")</f>
        <v/>
      </c>
      <c r="H290" s="48" t="str">
        <f>IFERROR(DIVIDE(VLOOKUP($B290,Data!$B$3:$EZ1530,44,FALSE),VLOOKUP($B290,Data!$B$3:$EZ1530,4,FALSE)),"")</f>
        <v/>
      </c>
      <c r="I290" s="48">
        <f>IFERROR(MINUS(DIVIDE(VLOOKUP($B290,Data!$B$3:$EZ1530,9,FALSE),VLOOKUP($B290,Data!$B$3:$EZ1530,10,FALSE)),1),"")</f>
        <v>-0.009802116391</v>
      </c>
      <c r="J290" s="48">
        <f>IFERROR(MINUS(DIVIDE(VLOOKUP($B290,Data!$B$3:$EZ1530,24,FALSE),VLOOKUP($B290,Data!$B$3:$EZ1530,25,FALSE)),1),"")</f>
        <v>-0.5117829392</v>
      </c>
      <c r="K290" s="48">
        <f>IFERROR(MINUS(DIVIDE(VLOOKUP($B290,Data!$B$3:$EZ1530,29,FALSE),VLOOKUP($B290,Data!$B$3:$EZ1530,30,FALSE)),1),"")</f>
        <v>-0.5692173209</v>
      </c>
      <c r="L290" s="48">
        <f>IFERROR(MINUS(DIVIDE(VLOOKUP($B290,Data!$B$3:$EZ1530,34,FALSE),VLOOKUP($B290,Data!$B$3:$EZ1530,35,FALSE)),1),"")</f>
        <v>-0.4084519653</v>
      </c>
      <c r="M290" s="48">
        <f>IFERROR(MINUS(DIVIDE(VLOOKUP($B290,Data!$B$3:$EZ1530,39,FALSE),VLOOKUP($B290,Data!$B$3:$EZ1530,40,FALSE)),1),"")</f>
        <v>-0.5759392616</v>
      </c>
      <c r="N290" s="48">
        <f>IFERROR(MINUS(DIVIDE(VLOOKUP($B290,Data!$B$3:$EZ1530,44,FALSE),VLOOKUP($B290,Data!$B$3:$EZ1530,45,FALSE)),1),"")</f>
        <v>-0.435559386</v>
      </c>
      <c r="O290" s="50">
        <f>IFERROR(VLOOKUP($B290,Data!$B$3:$D1530,2,FALSE),"")</f>
        <v>2260000</v>
      </c>
      <c r="P290" s="50">
        <f>IFERROR(VLOOKUP($B290,Data!$B$3:$D1530,3,FALSE),"")</f>
        <v>2140000</v>
      </c>
      <c r="Q290" s="48">
        <f t="shared" si="2"/>
        <v>0.05607476636</v>
      </c>
      <c r="R290" s="48"/>
      <c r="S290" s="48"/>
      <c r="T290" s="48"/>
      <c r="U290" s="48"/>
      <c r="V290" s="48"/>
      <c r="W290" s="50"/>
      <c r="Z290" s="15"/>
      <c r="AA290" s="15"/>
    </row>
    <row r="291">
      <c r="A291" s="9">
        <f t="shared" si="1"/>
        <v>288</v>
      </c>
      <c r="B291" s="47" t="s">
        <v>424</v>
      </c>
      <c r="C291" s="48">
        <f>IFERROR(DIVIDE(VLOOKUP($B291,Data!$B$3:$AB$1535,9,FALSE),VLOOKUP($B291,Data!$B$3:$AB$1535,4,FALSE)),"")</f>
        <v>0</v>
      </c>
      <c r="D291" s="48">
        <f>IFERROR(DIVIDE(VLOOKUP($B291,Data!$B$3:$AB$1535,24,FALSE),VLOOKUP($B291,Data!$B$3:$AB$1535,4,FALSE)),"")</f>
        <v>0</v>
      </c>
      <c r="E291" s="48">
        <f>IFERROR(DIVIDE(VLOOKUP($B291,Data!$B$3:$EZ1530,29,FALSE),VLOOKUP($B291,Data!$B$3:$EZ1530,4,FALSE)),"")</f>
        <v>-1.53584279</v>
      </c>
      <c r="F291" s="48">
        <f>IFERROR(DIVIDE(VLOOKUP($B291,Data!$B$3:$EZ1530,34,FALSE),VLOOKUP($B291,Data!$B$3:$EZ1530,4,FALSE)),"")</f>
        <v>-1.568225851</v>
      </c>
      <c r="G291" s="48">
        <f>IFERROR(DIVIDE(VLOOKUP($B291,Data!$B$3:$EZ1530,39,FALSE),VLOOKUP($B291,Data!$B$3:$EZ1530,4,FALSE)),"")</f>
        <v>-1.53584279</v>
      </c>
      <c r="H291" s="48">
        <f>IFERROR(DIVIDE(VLOOKUP($B291,Data!$B$3:$EZ1530,44,FALSE),VLOOKUP($B291,Data!$B$3:$EZ1530,4,FALSE)),"")</f>
        <v>-1.940769444</v>
      </c>
      <c r="I291" s="48" t="str">
        <f>IFERROR(MINUS(DIVIDE(VLOOKUP($B291,Data!$B$3:$EZ1530,9,FALSE),VLOOKUP($B291,Data!$B$3:$EZ1530,10,FALSE)),1),"")</f>
        <v/>
      </c>
      <c r="J291" s="48" t="str">
        <f>IFERROR(MINUS(DIVIDE(VLOOKUP($B291,Data!$B$3:$EZ1530,24,FALSE),VLOOKUP($B291,Data!$B$3:$EZ1530,25,FALSE)),1),"")</f>
        <v/>
      </c>
      <c r="K291" s="48">
        <f>IFERROR(MINUS(DIVIDE(VLOOKUP($B291,Data!$B$3:$EZ1530,29,FALSE),VLOOKUP($B291,Data!$B$3:$EZ1530,30,FALSE)),1),"")</f>
        <v>0.4614169081</v>
      </c>
      <c r="L291" s="48">
        <f>IFERROR(MINUS(DIVIDE(VLOOKUP($B291,Data!$B$3:$EZ1530,34,FALSE),VLOOKUP($B291,Data!$B$3:$EZ1530,35,FALSE)),1),"")</f>
        <v>0.4250503018</v>
      </c>
      <c r="M291" s="48">
        <f>IFERROR(MINUS(DIVIDE(VLOOKUP($B291,Data!$B$3:$EZ1530,39,FALSE),VLOOKUP($B291,Data!$B$3:$EZ1530,40,FALSE)),1),"")</f>
        <v>0.4614169081</v>
      </c>
      <c r="N291" s="48">
        <f>IFERROR(MINUS(DIVIDE(VLOOKUP($B291,Data!$B$3:$EZ1530,44,FALSE),VLOOKUP($B291,Data!$B$3:$EZ1530,45,FALSE)),1),"")</f>
        <v>-5.265206813</v>
      </c>
      <c r="O291" s="50">
        <f>IFERROR(VLOOKUP($B291,Data!$B$3:$D1530,2,FALSE),"")</f>
        <v>67130</v>
      </c>
      <c r="P291" s="50">
        <f>IFERROR(VLOOKUP($B291,Data!$B$3:$D1530,3,FALSE),"")</f>
        <v>69070</v>
      </c>
      <c r="Q291" s="48">
        <f t="shared" si="2"/>
        <v>-0.02808744752</v>
      </c>
      <c r="R291" s="48"/>
      <c r="S291" s="48"/>
      <c r="T291" s="48"/>
      <c r="U291" s="48"/>
      <c r="V291" s="48"/>
      <c r="W291" s="50"/>
      <c r="Z291" s="11"/>
      <c r="AA291" s="11"/>
    </row>
    <row r="292">
      <c r="A292" s="9">
        <f t="shared" si="1"/>
        <v>289</v>
      </c>
      <c r="B292" s="47" t="s">
        <v>425</v>
      </c>
      <c r="C292" s="48">
        <f>IFERROR(DIVIDE(VLOOKUP($B292,Data!$B$3:$AB$1535,9,FALSE),VLOOKUP($B292,Data!$B$3:$AB$1535,4,FALSE)),"")</f>
        <v>-0.07507347048</v>
      </c>
      <c r="D292" s="48">
        <f>IFERROR(DIVIDE(VLOOKUP($B292,Data!$B$3:$AB$1535,24,FALSE),VLOOKUP($B292,Data!$B$3:$AB$1535,4,FALSE)),"")</f>
        <v>-0.4665972974</v>
      </c>
      <c r="E292" s="48">
        <f>IFERROR(DIVIDE(VLOOKUP($B292,Data!$B$3:$EZ1530,29,FALSE),VLOOKUP($B292,Data!$B$3:$EZ1530,4,FALSE)),"")</f>
        <v>-0.5034379965</v>
      </c>
      <c r="F292" s="48">
        <f>IFERROR(DIVIDE(VLOOKUP($B292,Data!$B$3:$EZ1530,34,FALSE),VLOOKUP($B292,Data!$B$3:$EZ1530,4,FALSE)),"")</f>
        <v>0.1357059494</v>
      </c>
      <c r="G292" s="48">
        <f>IFERROR(DIVIDE(VLOOKUP($B292,Data!$B$3:$EZ1530,39,FALSE),VLOOKUP($B292,Data!$B$3:$EZ1530,4,FALSE)),"")</f>
        <v>-0.4877877301</v>
      </c>
      <c r="H292" s="48">
        <f>IFERROR(DIVIDE(VLOOKUP($B292,Data!$B$3:$EZ1530,44,FALSE),VLOOKUP($B292,Data!$B$3:$EZ1530,4,FALSE)),"")</f>
        <v>0.129195551</v>
      </c>
      <c r="I292" s="48">
        <f>IFERROR(MINUS(DIVIDE(VLOOKUP($B292,Data!$B$3:$EZ1530,9,FALSE),VLOOKUP($B292,Data!$B$3:$EZ1530,10,FALSE)),1),"")</f>
        <v>-3.677532598</v>
      </c>
      <c r="J292" s="48">
        <f>IFERROR(MINUS(DIVIDE(VLOOKUP($B292,Data!$B$3:$EZ1530,24,FALSE),VLOOKUP($B292,Data!$B$3:$EZ1530,25,FALSE)),1),"")</f>
        <v>5.667269439</v>
      </c>
      <c r="K292" s="48">
        <f>IFERROR(MINUS(DIVIDE(VLOOKUP($B292,Data!$B$3:$EZ1530,29,FALSE),VLOOKUP($B292,Data!$B$3:$EZ1530,30,FALSE)),1),"")</f>
        <v>4.446151506</v>
      </c>
      <c r="L292" s="48">
        <f>IFERROR(MINUS(DIVIDE(VLOOKUP($B292,Data!$B$3:$EZ1530,34,FALSE),VLOOKUP($B292,Data!$B$3:$EZ1530,35,FALSE)),1),"")</f>
        <v>-0.1896725441</v>
      </c>
      <c r="M292" s="48">
        <f>IFERROR(MINUS(DIVIDE(VLOOKUP($B292,Data!$B$3:$EZ1530,39,FALSE),VLOOKUP($B292,Data!$B$3:$EZ1530,40,FALSE)),1),"")</f>
        <v>6.085375817</v>
      </c>
      <c r="N292" s="48">
        <f>IFERROR(MINUS(DIVIDE(VLOOKUP($B292,Data!$B$3:$EZ1530,44,FALSE),VLOOKUP($B292,Data!$B$3:$EZ1530,45,FALSE)),1),"")</f>
        <v>4.274397245</v>
      </c>
      <c r="O292" s="50">
        <f>IFERROR(VLOOKUP($B292,Data!$B$3:$D1530,2,FALSE),"")</f>
        <v>802800</v>
      </c>
      <c r="P292" s="50">
        <f>IFERROR(VLOOKUP($B292,Data!$B$3:$D1530,3,FALSE),"")</f>
        <v>745460</v>
      </c>
      <c r="Q292" s="48">
        <f t="shared" si="2"/>
        <v>0.07691894937</v>
      </c>
      <c r="R292" s="48"/>
      <c r="S292" s="48"/>
      <c r="T292" s="48"/>
      <c r="U292" s="48"/>
      <c r="V292" s="48"/>
      <c r="W292" s="50"/>
      <c r="Z292" s="15"/>
      <c r="AA292" s="15"/>
    </row>
    <row r="293">
      <c r="A293" s="9">
        <f t="shared" si="1"/>
        <v>290</v>
      </c>
      <c r="B293" s="47" t="s">
        <v>426</v>
      </c>
      <c r="C293" s="48">
        <f>IFERROR(DIVIDE(VLOOKUP($B293,Data!$B$3:$AB$1535,9,FALSE),VLOOKUP($B293,Data!$B$3:$AB$1535,4,FALSE)),"")</f>
        <v>0.06582914573</v>
      </c>
      <c r="D293" s="48">
        <f>IFERROR(DIVIDE(VLOOKUP($B293,Data!$B$3:$AB$1535,24,FALSE),VLOOKUP($B293,Data!$B$3:$AB$1535,4,FALSE)),"")</f>
        <v>-0.1832495812</v>
      </c>
      <c r="E293" s="48">
        <f>IFERROR(DIVIDE(VLOOKUP($B293,Data!$B$3:$EZ1530,29,FALSE),VLOOKUP($B293,Data!$B$3:$EZ1530,4,FALSE)),"")</f>
        <v>-0.1753768844</v>
      </c>
      <c r="F293" s="48">
        <f>IFERROR(DIVIDE(VLOOKUP($B293,Data!$B$3:$EZ1530,34,FALSE),VLOOKUP($B293,Data!$B$3:$EZ1530,4,FALSE)),"")</f>
        <v>-0.1254606365</v>
      </c>
      <c r="G293" s="48">
        <f>IFERROR(DIVIDE(VLOOKUP($B293,Data!$B$3:$EZ1530,39,FALSE),VLOOKUP($B293,Data!$B$3:$EZ1530,4,FALSE)),"")</f>
        <v>-0.1753768844</v>
      </c>
      <c r="H293" s="48">
        <f>IFERROR(DIVIDE(VLOOKUP($B293,Data!$B$3:$EZ1530,44,FALSE),VLOOKUP($B293,Data!$B$3:$EZ1530,4,FALSE)),"")</f>
        <v>0.09765494137</v>
      </c>
      <c r="I293" s="48">
        <f>IFERROR(MINUS(DIVIDE(VLOOKUP($B293,Data!$B$3:$EZ1530,9,FALSE),VLOOKUP($B293,Data!$B$3:$EZ1530,10,FALSE)),1),"")</f>
        <v>-0.4556786704</v>
      </c>
      <c r="J293" s="48" t="str">
        <f>IFERROR(MINUS(DIVIDE(VLOOKUP($B293,Data!$B$3:$EZ1530,24,FALSE),VLOOKUP($B293,Data!$B$3:$EZ1530,25,FALSE)),1),"")</f>
        <v/>
      </c>
      <c r="K293" s="48">
        <f>IFERROR(MINUS(DIVIDE(VLOOKUP($B293,Data!$B$3:$EZ1530,29,FALSE),VLOOKUP($B293,Data!$B$3:$EZ1530,30,FALSE)),1),"")</f>
        <v>0.9606741573</v>
      </c>
      <c r="L293" s="48">
        <f>IFERROR(MINUS(DIVIDE(VLOOKUP($B293,Data!$B$3:$EZ1530,34,FALSE),VLOOKUP($B293,Data!$B$3:$EZ1530,35,FALSE)),1),"")</f>
        <v>1.600694444</v>
      </c>
      <c r="M293" s="48">
        <f>IFERROR(MINUS(DIVIDE(VLOOKUP($B293,Data!$B$3:$EZ1530,39,FALSE),VLOOKUP($B293,Data!$B$3:$EZ1530,40,FALSE)),1),"")</f>
        <v>1.06916996</v>
      </c>
      <c r="N293" s="48">
        <f>IFERROR(MINUS(DIVIDE(VLOOKUP($B293,Data!$B$3:$EZ1530,44,FALSE),VLOOKUP($B293,Data!$B$3:$EZ1530,45,FALSE)),1),"")</f>
        <v>-1.502586207</v>
      </c>
      <c r="O293" s="50">
        <f>IFERROR(VLOOKUP($B293,Data!$B$3:$D1530,2,FALSE),"")</f>
        <v>104810</v>
      </c>
      <c r="P293" s="50">
        <f>IFERROR(VLOOKUP($B293,Data!$B$3:$D1530,3,FALSE),"")</f>
        <v>80700</v>
      </c>
      <c r="Q293" s="48">
        <f t="shared" si="2"/>
        <v>0.2987608426</v>
      </c>
      <c r="R293" s="48"/>
      <c r="S293" s="48"/>
      <c r="T293" s="48"/>
      <c r="U293" s="48"/>
      <c r="V293" s="48"/>
      <c r="W293" s="50"/>
      <c r="Z293" s="11"/>
      <c r="AA293" s="11"/>
    </row>
    <row r="294">
      <c r="A294" s="9">
        <f t="shared" si="1"/>
        <v>291</v>
      </c>
      <c r="B294" s="47" t="s">
        <v>427</v>
      </c>
      <c r="C294" s="48">
        <f>IFERROR(DIVIDE(VLOOKUP($B294,Data!$B$3:$AB$1535,9,FALSE),VLOOKUP($B294,Data!$B$3:$AB$1535,4,FALSE)),"")</f>
        <v>0.6320138506</v>
      </c>
      <c r="D294" s="48">
        <f>IFERROR(DIVIDE(VLOOKUP($B294,Data!$B$3:$AB$1535,24,FALSE),VLOOKUP($B294,Data!$B$3:$AB$1535,4,FALSE)),"")</f>
        <v>-0.1905249075</v>
      </c>
      <c r="E294" s="48">
        <f>IFERROR(DIVIDE(VLOOKUP($B294,Data!$B$3:$EZ1530,29,FALSE),VLOOKUP($B294,Data!$B$3:$EZ1530,4,FALSE)),"")</f>
        <v>-0.1884787912</v>
      </c>
      <c r="F294" s="48">
        <f>IFERROR(DIVIDE(VLOOKUP($B294,Data!$B$3:$EZ1530,34,FALSE),VLOOKUP($B294,Data!$B$3:$EZ1530,4,FALSE)),"")</f>
        <v>-0.1448807744</v>
      </c>
      <c r="G294" s="48">
        <f>IFERROR(DIVIDE(VLOOKUP($B294,Data!$B$3:$EZ1530,39,FALSE),VLOOKUP($B294,Data!$B$3:$EZ1530,4,FALSE)),"")</f>
        <v>-0.1728968285</v>
      </c>
      <c r="H294" s="48">
        <f>IFERROR(DIVIDE(VLOOKUP($B294,Data!$B$3:$EZ1530,44,FALSE),VLOOKUP($B294,Data!$B$3:$EZ1530,4,FALSE)),"")</f>
        <v>-0.02179900842</v>
      </c>
      <c r="I294" s="48">
        <f>IFERROR(MINUS(DIVIDE(VLOOKUP($B294,Data!$B$3:$EZ1530,9,FALSE),VLOOKUP($B294,Data!$B$3:$EZ1530,10,FALSE)),1),"")</f>
        <v>0.886096759</v>
      </c>
      <c r="J294" s="48">
        <f>IFERROR(MINUS(DIVIDE(VLOOKUP($B294,Data!$B$3:$EZ1530,24,FALSE),VLOOKUP($B294,Data!$B$3:$EZ1530,25,FALSE)),1),"")</f>
        <v>-0.4539918809</v>
      </c>
      <c r="K294" s="48">
        <f>IFERROR(MINUS(DIVIDE(VLOOKUP($B294,Data!$B$3:$EZ1530,29,FALSE),VLOOKUP($B294,Data!$B$3:$EZ1530,30,FALSE)),1),"")</f>
        <v>-0.5033181253</v>
      </c>
      <c r="L294" s="48">
        <f>IFERROR(MINUS(DIVIDE(VLOOKUP($B294,Data!$B$3:$EZ1530,34,FALSE),VLOOKUP($B294,Data!$B$3:$EZ1530,35,FALSE)),1),"")</f>
        <v>0.7787439614</v>
      </c>
      <c r="M294" s="48">
        <f>IFERROR(MINUS(DIVIDE(VLOOKUP($B294,Data!$B$3:$EZ1530,39,FALSE),VLOOKUP($B294,Data!$B$3:$EZ1530,40,FALSE)),1),"")</f>
        <v>-0.5301539778</v>
      </c>
      <c r="N294" s="48">
        <f>IFERROR(MINUS(DIVIDE(VLOOKUP($B294,Data!$B$3:$EZ1530,44,FALSE),VLOOKUP($B294,Data!$B$3:$EZ1530,45,FALSE)),1),"")</f>
        <v>-0.3092269327</v>
      </c>
      <c r="O294" s="50">
        <f>IFERROR(VLOOKUP($B294,Data!$B$3:$D1530,2,FALSE),"")</f>
        <v>200430</v>
      </c>
      <c r="P294" s="50">
        <f>IFERROR(VLOOKUP($B294,Data!$B$3:$D1530,3,FALSE),"")</f>
        <v>155110</v>
      </c>
      <c r="Q294" s="48">
        <f t="shared" si="2"/>
        <v>0.2921797434</v>
      </c>
      <c r="R294" s="48"/>
      <c r="S294" s="48"/>
      <c r="T294" s="48"/>
      <c r="U294" s="48"/>
      <c r="V294" s="48"/>
      <c r="W294" s="50"/>
      <c r="Z294" s="12"/>
      <c r="AA294" s="12"/>
    </row>
    <row r="295">
      <c r="A295" s="9">
        <f t="shared" si="1"/>
        <v>292</v>
      </c>
      <c r="B295" s="47" t="s">
        <v>428</v>
      </c>
      <c r="C295" s="48">
        <f>IFERROR(DIVIDE(VLOOKUP($B295,Data!$B$3:$AB$1535,9,FALSE),VLOOKUP($B295,Data!$B$3:$AB$1535,4,FALSE)),"")</f>
        <v>0</v>
      </c>
      <c r="D295" s="48">
        <f>IFERROR(DIVIDE(VLOOKUP($B295,Data!$B$3:$AB$1535,24,FALSE),VLOOKUP($B295,Data!$B$3:$AB$1535,4,FALSE)),"")</f>
        <v>-1.974665392</v>
      </c>
      <c r="E295" s="48">
        <f>IFERROR(DIVIDE(VLOOKUP($B295,Data!$B$3:$EZ1530,29,FALSE),VLOOKUP($B295,Data!$B$3:$EZ1530,4,FALSE)),"")</f>
        <v>-1.96414914</v>
      </c>
      <c r="F295" s="48">
        <f>IFERROR(DIVIDE(VLOOKUP($B295,Data!$B$3:$EZ1530,34,FALSE),VLOOKUP($B295,Data!$B$3:$EZ1530,4,FALSE)),"")</f>
        <v>-1.978967495</v>
      </c>
      <c r="G295" s="48">
        <f>IFERROR(DIVIDE(VLOOKUP($B295,Data!$B$3:$EZ1530,39,FALSE),VLOOKUP($B295,Data!$B$3:$EZ1530,4,FALSE)),"")</f>
        <v>-1.96414914</v>
      </c>
      <c r="H295" s="48">
        <f>IFERROR(DIVIDE(VLOOKUP($B295,Data!$B$3:$EZ1530,44,FALSE),VLOOKUP($B295,Data!$B$3:$EZ1530,4,FALSE)),"")</f>
        <v>-1.36376673</v>
      </c>
      <c r="I295" s="48">
        <f>IFERROR(MINUS(DIVIDE(VLOOKUP($B295,Data!$B$3:$EZ1530,9,FALSE),VLOOKUP($B295,Data!$B$3:$EZ1530,10,FALSE)),1),"")</f>
        <v>-1</v>
      </c>
      <c r="J295" s="48">
        <f>IFERROR(MINUS(DIVIDE(VLOOKUP($B295,Data!$B$3:$EZ1530,24,FALSE),VLOOKUP($B295,Data!$B$3:$EZ1530,25,FALSE)),1),"")</f>
        <v>-0.3048965169</v>
      </c>
      <c r="K295" s="48">
        <f>IFERROR(MINUS(DIVIDE(VLOOKUP($B295,Data!$B$3:$EZ1530,29,FALSE),VLOOKUP($B295,Data!$B$3:$EZ1530,30,FALSE)),1),"")</f>
        <v>-0.3037953236</v>
      </c>
      <c r="L295" s="48">
        <f>IFERROR(MINUS(DIVIDE(VLOOKUP($B295,Data!$B$3:$EZ1530,34,FALSE),VLOOKUP($B295,Data!$B$3:$EZ1530,35,FALSE)),1),"")</f>
        <v>-0.3403441683</v>
      </c>
      <c r="M295" s="48">
        <f>IFERROR(MINUS(DIVIDE(VLOOKUP($B295,Data!$B$3:$EZ1530,39,FALSE),VLOOKUP($B295,Data!$B$3:$EZ1530,40,FALSE)),1),"")</f>
        <v>-0.4074981975</v>
      </c>
      <c r="N295" s="48">
        <f>IFERROR(MINUS(DIVIDE(VLOOKUP($B295,Data!$B$3:$EZ1530,44,FALSE),VLOOKUP($B295,Data!$B$3:$EZ1530,45,FALSE)),1),"")</f>
        <v>-0.4969141245</v>
      </c>
      <c r="O295" s="50">
        <f>IFERROR(VLOOKUP($B295,Data!$B$3:$D1530,2,FALSE),"")</f>
        <v>5880</v>
      </c>
      <c r="P295" s="50">
        <f>IFERROR(VLOOKUP($B295,Data!$B$3:$D1530,3,FALSE),"")</f>
        <v>16040</v>
      </c>
      <c r="Q295" s="48">
        <f t="shared" si="2"/>
        <v>-0.6334164589</v>
      </c>
      <c r="R295" s="48"/>
      <c r="S295" s="48"/>
      <c r="T295" s="48"/>
      <c r="U295" s="48"/>
      <c r="V295" s="48"/>
      <c r="W295" s="50"/>
      <c r="Z295" s="11"/>
      <c r="AA295" s="11"/>
    </row>
    <row r="296">
      <c r="A296" s="9">
        <f t="shared" si="1"/>
        <v>293</v>
      </c>
      <c r="B296" s="47" t="s">
        <v>429</v>
      </c>
      <c r="C296" s="48">
        <f>IFERROR(DIVIDE(VLOOKUP($B296,Data!$B$3:$AB$1535,9,FALSE),VLOOKUP($B296,Data!$B$3:$AB$1535,4,FALSE)),"")</f>
        <v>0.5567077122</v>
      </c>
      <c r="D296" s="48">
        <f>IFERROR(DIVIDE(VLOOKUP($B296,Data!$B$3:$AB$1535,24,FALSE),VLOOKUP($B296,Data!$B$3:$AB$1535,4,FALSE)),"")</f>
        <v>-0.6761719594</v>
      </c>
      <c r="E296" s="48">
        <f>IFERROR(DIVIDE(VLOOKUP($B296,Data!$B$3:$EZ1530,29,FALSE),VLOOKUP($B296,Data!$B$3:$EZ1530,4,FALSE)),"")</f>
        <v>-0.6945344567</v>
      </c>
      <c r="F296" s="48">
        <f>IFERROR(DIVIDE(VLOOKUP($B296,Data!$B$3:$EZ1530,34,FALSE),VLOOKUP($B296,Data!$B$3:$EZ1530,4,FALSE)),"")</f>
        <v>-0.3992222942</v>
      </c>
      <c r="G296" s="48">
        <f>IFERROR(DIVIDE(VLOOKUP($B296,Data!$B$3:$EZ1530,39,FALSE),VLOOKUP($B296,Data!$B$3:$EZ1530,4,FALSE)),"")</f>
        <v>-0.6945344567</v>
      </c>
      <c r="H296" s="48">
        <f>IFERROR(DIVIDE(VLOOKUP($B296,Data!$B$3:$EZ1530,44,FALSE),VLOOKUP($B296,Data!$B$3:$EZ1530,4,FALSE)),"")</f>
        <v>-0.4426441996</v>
      </c>
      <c r="I296" s="48">
        <f>IFERROR(MINUS(DIVIDE(VLOOKUP($B296,Data!$B$3:$EZ1530,9,FALSE),VLOOKUP($B296,Data!$B$3:$EZ1530,10,FALSE)),1),"")</f>
        <v>0.604607721</v>
      </c>
      <c r="J296" s="48" t="str">
        <f>IFERROR(MINUS(DIVIDE(VLOOKUP($B296,Data!$B$3:$EZ1530,24,FALSE),VLOOKUP($B296,Data!$B$3:$EZ1530,25,FALSE)),1),"")</f>
        <v/>
      </c>
      <c r="K296" s="48">
        <f>IFERROR(MINUS(DIVIDE(VLOOKUP($B296,Data!$B$3:$EZ1530,29,FALSE),VLOOKUP($B296,Data!$B$3:$EZ1530,30,FALSE)),1),"")</f>
        <v>-0.03511404562</v>
      </c>
      <c r="L296" s="48">
        <f>IFERROR(MINUS(DIVIDE(VLOOKUP($B296,Data!$B$3:$EZ1530,34,FALSE),VLOOKUP($B296,Data!$B$3:$EZ1530,35,FALSE)),1),"")</f>
        <v>-0.4283946799</v>
      </c>
      <c r="M296" s="48">
        <f>IFERROR(MINUS(DIVIDE(VLOOKUP($B296,Data!$B$3:$EZ1530,39,FALSE),VLOOKUP($B296,Data!$B$3:$EZ1530,40,FALSE)),1),"")</f>
        <v>-0.03511404562</v>
      </c>
      <c r="N296" s="48">
        <f>IFERROR(MINUS(DIVIDE(VLOOKUP($B296,Data!$B$3:$EZ1530,44,FALSE),VLOOKUP($B296,Data!$B$3:$EZ1530,45,FALSE)),1),"")</f>
        <v>-0.02102245581</v>
      </c>
      <c r="O296" s="50">
        <f>IFERROR(VLOOKUP($B296,Data!$B$3:$D1530,2,FALSE),"")</f>
        <v>84430</v>
      </c>
      <c r="P296" s="50">
        <f>IFERROR(VLOOKUP($B296,Data!$B$3:$D1530,3,FALSE),"")</f>
        <v>60530</v>
      </c>
      <c r="Q296" s="48">
        <f t="shared" si="2"/>
        <v>0.3948455311</v>
      </c>
      <c r="R296" s="48"/>
      <c r="S296" s="48"/>
      <c r="T296" s="48"/>
      <c r="U296" s="48"/>
      <c r="V296" s="48"/>
      <c r="W296" s="50"/>
      <c r="Z296" s="11"/>
      <c r="AA296" s="11"/>
    </row>
    <row r="297">
      <c r="A297" s="9">
        <f t="shared" si="1"/>
        <v>294</v>
      </c>
      <c r="B297" s="47" t="s">
        <v>430</v>
      </c>
      <c r="C297" s="48">
        <f>IFERROR(DIVIDE(VLOOKUP($B297,Data!$B$3:$AB$1535,9,FALSE),VLOOKUP($B297,Data!$B$3:$AB$1535,4,FALSE)),"")</f>
        <v>0.2507936508</v>
      </c>
      <c r="D297" s="48">
        <f>IFERROR(DIVIDE(VLOOKUP($B297,Data!$B$3:$AB$1535,24,FALSE),VLOOKUP($B297,Data!$B$3:$AB$1535,4,FALSE)),"")</f>
        <v>0.1457142857</v>
      </c>
      <c r="E297" s="48">
        <f>IFERROR(DIVIDE(VLOOKUP($B297,Data!$B$3:$EZ1530,29,FALSE),VLOOKUP($B297,Data!$B$3:$EZ1530,4,FALSE)),"")</f>
        <v>0.1568253968</v>
      </c>
      <c r="F297" s="48">
        <f>IFERROR(DIVIDE(VLOOKUP($B297,Data!$B$3:$EZ1530,34,FALSE),VLOOKUP($B297,Data!$B$3:$EZ1530,4,FALSE)),"")</f>
        <v>0.219047619</v>
      </c>
      <c r="G297" s="48">
        <f>IFERROR(DIVIDE(VLOOKUP($B297,Data!$B$3:$EZ1530,39,FALSE),VLOOKUP($B297,Data!$B$3:$EZ1530,4,FALSE)),"")</f>
        <v>0.1361904762</v>
      </c>
      <c r="H297" s="48">
        <f>IFERROR(DIVIDE(VLOOKUP($B297,Data!$B$3:$EZ1530,44,FALSE),VLOOKUP($B297,Data!$B$3:$EZ1530,4,FALSE)),"")</f>
        <v>0.2301587302</v>
      </c>
      <c r="I297" s="48">
        <f>IFERROR(MINUS(DIVIDE(VLOOKUP($B297,Data!$B$3:$EZ1530,9,FALSE),VLOOKUP($B297,Data!$B$3:$EZ1530,10,FALSE)),1),"")</f>
        <v>-0.1897435897</v>
      </c>
      <c r="J297" s="48">
        <f>IFERROR(MINUS(DIVIDE(VLOOKUP($B297,Data!$B$3:$EZ1530,24,FALSE),VLOOKUP($B297,Data!$B$3:$EZ1530,25,FALSE)),1),"")</f>
        <v>-0.3149253731</v>
      </c>
      <c r="K297" s="48">
        <f>IFERROR(MINUS(DIVIDE(VLOOKUP($B297,Data!$B$3:$EZ1530,29,FALSE),VLOOKUP($B297,Data!$B$3:$EZ1530,30,FALSE)),1),"")</f>
        <v>-0.3456953642</v>
      </c>
      <c r="L297" s="48">
        <f>IFERROR(MINUS(DIVIDE(VLOOKUP($B297,Data!$B$3:$EZ1530,34,FALSE),VLOOKUP($B297,Data!$B$3:$EZ1530,35,FALSE)),1),"")</f>
        <v>-0.1736526946</v>
      </c>
      <c r="M297" s="48">
        <f>IFERROR(MINUS(DIVIDE(VLOOKUP($B297,Data!$B$3:$EZ1530,39,FALSE),VLOOKUP($B297,Data!$B$3:$EZ1530,40,FALSE)),1),"")</f>
        <v>-0.2909090909</v>
      </c>
      <c r="N297" s="48">
        <f>IFERROR(MINUS(DIVIDE(VLOOKUP($B297,Data!$B$3:$EZ1530,44,FALSE),VLOOKUP($B297,Data!$B$3:$EZ1530,45,FALSE)),1),"")</f>
        <v>-0.07051282051</v>
      </c>
      <c r="O297" s="50">
        <f>IFERROR(VLOOKUP($B297,Data!$B$3:$D1530,2,FALSE),"")</f>
        <v>5710000</v>
      </c>
      <c r="P297" s="50">
        <f>IFERROR(VLOOKUP($B297,Data!$B$3:$D1530,3,FALSE),"")</f>
        <v>5150000</v>
      </c>
      <c r="Q297" s="48">
        <f t="shared" si="2"/>
        <v>0.1087378641</v>
      </c>
      <c r="R297" s="48"/>
      <c r="S297" s="48"/>
      <c r="T297" s="48"/>
      <c r="U297" s="48"/>
      <c r="V297" s="48"/>
      <c r="W297" s="50"/>
      <c r="Z297" s="11"/>
      <c r="AA297" s="11"/>
    </row>
    <row r="298">
      <c r="A298" s="9">
        <f t="shared" si="1"/>
        <v>295</v>
      </c>
      <c r="B298" s="47" t="s">
        <v>431</v>
      </c>
      <c r="C298" s="48">
        <f>IFERROR(DIVIDE(VLOOKUP($B298,Data!$B$3:$AB$1535,9,FALSE),VLOOKUP($B298,Data!$B$3:$AB$1535,4,FALSE)),"")</f>
        <v>0.1207085065</v>
      </c>
      <c r="D298" s="48">
        <f>IFERROR(DIVIDE(VLOOKUP($B298,Data!$B$3:$AB$1535,24,FALSE),VLOOKUP($B298,Data!$B$3:$AB$1535,4,FALSE)),"")</f>
        <v>0.02398133975</v>
      </c>
      <c r="E298" s="48">
        <f>IFERROR(DIVIDE(VLOOKUP($B298,Data!$B$3:$EZ1530,29,FALSE),VLOOKUP($B298,Data!$B$3:$EZ1530,4,FALSE)),"")</f>
        <v>0.03316568263</v>
      </c>
      <c r="F298" s="48">
        <f>IFERROR(DIVIDE(VLOOKUP($B298,Data!$B$3:$EZ1530,34,FALSE),VLOOKUP($B298,Data!$B$3:$EZ1530,4,FALSE)),"")</f>
        <v>0.2061374736</v>
      </c>
      <c r="G298" s="48">
        <f>IFERROR(DIVIDE(VLOOKUP($B298,Data!$B$3:$EZ1530,39,FALSE),VLOOKUP($B298,Data!$B$3:$EZ1530,4,FALSE)),"")</f>
        <v>0.02638676288</v>
      </c>
      <c r="H298" s="48">
        <f>IFERROR(DIVIDE(VLOOKUP($B298,Data!$B$3:$EZ1530,44,FALSE),VLOOKUP($B298,Data!$B$3:$EZ1530,4,FALSE)),"")</f>
        <v>0.1960055398</v>
      </c>
      <c r="I298" s="48">
        <f>IFERROR(MINUS(DIVIDE(VLOOKUP($B298,Data!$B$3:$EZ1530,9,FALSE),VLOOKUP($B298,Data!$B$3:$EZ1530,10,FALSE)),1),"")</f>
        <v>0.1358024691</v>
      </c>
      <c r="J298" s="48">
        <f>IFERROR(MINUS(DIVIDE(VLOOKUP($B298,Data!$B$3:$EZ1530,24,FALSE),VLOOKUP($B298,Data!$B$3:$EZ1530,25,FALSE)),1),"")</f>
        <v>-0.1273209549</v>
      </c>
      <c r="K298" s="48">
        <f>IFERROR(MINUS(DIVIDE(VLOOKUP($B298,Data!$B$3:$EZ1530,29,FALSE),VLOOKUP($B298,Data!$B$3:$EZ1530,30,FALSE)),1),"")</f>
        <v>0.05080831409</v>
      </c>
      <c r="L298" s="48">
        <f>IFERROR(MINUS(DIVIDE(VLOOKUP($B298,Data!$B$3:$EZ1530,34,FALSE),VLOOKUP($B298,Data!$B$3:$EZ1530,35,FALSE)),1),"")</f>
        <v>0.347308242</v>
      </c>
      <c r="M298" s="48">
        <f>IFERROR(MINUS(DIVIDE(VLOOKUP($B298,Data!$B$3:$EZ1530,39,FALSE),VLOOKUP($B298,Data!$B$3:$EZ1530,40,FALSE)),1),"")</f>
        <v>0.13125</v>
      </c>
      <c r="N298" s="48">
        <f>IFERROR(MINUS(DIVIDE(VLOOKUP($B298,Data!$B$3:$EZ1530,44,FALSE),VLOOKUP($B298,Data!$B$3:$EZ1530,45,FALSE)),1),"")</f>
        <v>0.2426062847</v>
      </c>
      <c r="O298" s="50" t="str">
        <f>IFERROR(VLOOKUP($B298,Data!$B$3:$D1530,2,FALSE),"")</f>
        <v/>
      </c>
      <c r="P298" s="50" t="str">
        <f>IFERROR(VLOOKUP($B298,Data!$B$3:$D1530,3,FALSE),"")</f>
        <v/>
      </c>
      <c r="Q298" s="48" t="str">
        <f t="shared" si="2"/>
        <v/>
      </c>
      <c r="R298" s="48"/>
      <c r="S298" s="48"/>
      <c r="T298" s="48"/>
      <c r="U298" s="48"/>
      <c r="V298" s="48"/>
      <c r="W298" s="50"/>
      <c r="Z298" s="15"/>
      <c r="AA298" s="15"/>
    </row>
    <row r="299">
      <c r="A299" s="9">
        <f t="shared" si="1"/>
        <v>296</v>
      </c>
      <c r="B299" s="47" t="s">
        <v>432</v>
      </c>
      <c r="C299" s="48">
        <f>IFERROR(DIVIDE(VLOOKUP($B299,Data!$B$3:$AB$1535,9,FALSE),VLOOKUP($B299,Data!$B$3:$AB$1535,4,FALSE)),"")</f>
        <v>0.3502611724</v>
      </c>
      <c r="D299" s="48">
        <f>IFERROR(DIVIDE(VLOOKUP($B299,Data!$B$3:$AB$1535,24,FALSE),VLOOKUP($B299,Data!$B$3:$AB$1535,4,FALSE)),"")</f>
        <v>-0.3868253047</v>
      </c>
      <c r="E299" s="48">
        <f>IFERROR(DIVIDE(VLOOKUP($B299,Data!$B$3:$EZ1530,29,FALSE),VLOOKUP($B299,Data!$B$3:$EZ1530,4,FALSE)),"")</f>
        <v>-0.4114915844</v>
      </c>
      <c r="F299" s="48">
        <f>IFERROR(DIVIDE(VLOOKUP($B299,Data!$B$3:$EZ1530,34,FALSE),VLOOKUP($B299,Data!$B$3:$EZ1530,4,FALSE)),"")</f>
        <v>-0.3102147417</v>
      </c>
      <c r="G299" s="48">
        <f>IFERROR(DIVIDE(VLOOKUP($B299,Data!$B$3:$EZ1530,39,FALSE),VLOOKUP($B299,Data!$B$3:$EZ1530,4,FALSE)),"")</f>
        <v>-0.3969820081</v>
      </c>
      <c r="H299" s="48">
        <f>IFERROR(DIVIDE(VLOOKUP($B299,Data!$B$3:$EZ1530,44,FALSE),VLOOKUP($B299,Data!$B$3:$EZ1530,4,FALSE)),"")</f>
        <v>-0.2629135229</v>
      </c>
      <c r="I299" s="48">
        <f>IFERROR(MINUS(DIVIDE(VLOOKUP($B299,Data!$B$3:$EZ1530,9,FALSE),VLOOKUP($B299,Data!$B$3:$EZ1530,10,FALSE)),1),"")</f>
        <v>0.007512520868</v>
      </c>
      <c r="J299" s="48">
        <f>IFERROR(MINUS(DIVIDE(VLOOKUP($B299,Data!$B$3:$EZ1530,24,FALSE),VLOOKUP($B299,Data!$B$3:$EZ1530,25,FALSE)),1),"")</f>
        <v>38.43786982</v>
      </c>
      <c r="K299" s="48">
        <f>IFERROR(MINUS(DIVIDE(VLOOKUP($B299,Data!$B$3:$EZ1530,29,FALSE),VLOOKUP($B299,Data!$B$3:$EZ1530,30,FALSE)),1),"")</f>
        <v>0.7881462799</v>
      </c>
      <c r="L299" s="48">
        <f>IFERROR(MINUS(DIVIDE(VLOOKUP($B299,Data!$B$3:$EZ1530,34,FALSE),VLOOKUP($B299,Data!$B$3:$EZ1530,35,FALSE)),1),"")</f>
        <v>0.5860534125</v>
      </c>
      <c r="M299" s="48">
        <f>IFERROR(MINUS(DIVIDE(VLOOKUP($B299,Data!$B$3:$EZ1530,39,FALSE),VLOOKUP($B299,Data!$B$3:$EZ1530,40,FALSE)),1),"")</f>
        <v>0.7382465057</v>
      </c>
      <c r="N299" s="48">
        <f>IFERROR(MINUS(DIVIDE(VLOOKUP($B299,Data!$B$3:$EZ1530,44,FALSE),VLOOKUP($B299,Data!$B$3:$EZ1530,45,FALSE)),1),"")</f>
        <v>-0.2308998302</v>
      </c>
      <c r="O299" s="50">
        <f>IFERROR(VLOOKUP($B299,Data!$B$3:$D1530,2,FALSE),"")</f>
        <v>34310</v>
      </c>
      <c r="P299" s="50">
        <f>IFERROR(VLOOKUP($B299,Data!$B$3:$D1530,3,FALSE),"")</f>
        <v>21690</v>
      </c>
      <c r="Q299" s="48">
        <f t="shared" si="2"/>
        <v>0.581834947</v>
      </c>
      <c r="R299" s="48"/>
      <c r="S299" s="48"/>
      <c r="T299" s="48"/>
      <c r="U299" s="48"/>
      <c r="V299" s="48"/>
      <c r="W299" s="50"/>
      <c r="Z299" s="15"/>
      <c r="AA299" s="15"/>
    </row>
    <row r="300">
      <c r="A300" s="9">
        <f t="shared" si="1"/>
        <v>297</v>
      </c>
      <c r="B300" s="47" t="s">
        <v>433</v>
      </c>
      <c r="C300" s="48">
        <f>IFERROR(DIVIDE(VLOOKUP($B300,Data!$B$3:$AB$1535,9,FALSE),VLOOKUP($B300,Data!$B$3:$AB$1535,4,FALSE)),"")</f>
        <v>0.2897226891</v>
      </c>
      <c r="D300" s="48">
        <f>IFERROR(DIVIDE(VLOOKUP($B300,Data!$B$3:$AB$1535,24,FALSE),VLOOKUP($B300,Data!$B$3:$AB$1535,4,FALSE)),"")</f>
        <v>0.06389495798</v>
      </c>
      <c r="E300" s="48">
        <f>IFERROR(DIVIDE(VLOOKUP($B300,Data!$B$3:$EZ1530,29,FALSE),VLOOKUP($B300,Data!$B$3:$EZ1530,4,FALSE)),"")</f>
        <v>0.05010504202</v>
      </c>
      <c r="F300" s="48">
        <f>IFERROR(DIVIDE(VLOOKUP($B300,Data!$B$3:$EZ1530,34,FALSE),VLOOKUP($B300,Data!$B$3:$EZ1530,4,FALSE)),"")</f>
        <v>0.08495798319</v>
      </c>
      <c r="G300" s="48">
        <f>IFERROR(DIVIDE(VLOOKUP($B300,Data!$B$3:$EZ1530,39,FALSE),VLOOKUP($B300,Data!$B$3:$EZ1530,4,FALSE)),"")</f>
        <v>0.03898739496</v>
      </c>
      <c r="H300" s="48">
        <f>IFERROR(DIVIDE(VLOOKUP($B300,Data!$B$3:$EZ1530,44,FALSE),VLOOKUP($B300,Data!$B$3:$EZ1530,4,FALSE)),"")</f>
        <v>0.08612184874</v>
      </c>
      <c r="I300" s="48">
        <f>IFERROR(MINUS(DIVIDE(VLOOKUP($B300,Data!$B$3:$EZ1530,9,FALSE),VLOOKUP($B300,Data!$B$3:$EZ1530,10,FALSE)),1),"")</f>
        <v>0.02096597471</v>
      </c>
      <c r="J300" s="48" t="str">
        <f>IFERROR(MINUS(DIVIDE(VLOOKUP($B300,Data!$B$3:$EZ1530,24,FALSE),VLOOKUP($B300,Data!$B$3:$EZ1530,25,FALSE)),1),"")</f>
        <v/>
      </c>
      <c r="K300" s="48">
        <f>IFERROR(MINUS(DIVIDE(VLOOKUP($B300,Data!$B$3:$EZ1530,29,FALSE),VLOOKUP($B300,Data!$B$3:$EZ1530,30,FALSE)),1),"")</f>
        <v>-0.06419210547</v>
      </c>
      <c r="L300" s="48">
        <f>IFERROR(MINUS(DIVIDE(VLOOKUP($B300,Data!$B$3:$EZ1530,34,FALSE),VLOOKUP($B300,Data!$B$3:$EZ1530,35,FALSE)),1),"")</f>
        <v>-0.05751841149</v>
      </c>
      <c r="M300" s="48">
        <f>IFERROR(MINUS(DIVIDE(VLOOKUP($B300,Data!$B$3:$EZ1530,39,FALSE),VLOOKUP($B300,Data!$B$3:$EZ1530,40,FALSE)),1),"")</f>
        <v>-0.2492111012</v>
      </c>
      <c r="N300" s="48">
        <f>IFERROR(MINUS(DIVIDE(VLOOKUP($B300,Data!$B$3:$EZ1530,44,FALSE),VLOOKUP($B300,Data!$B$3:$EZ1530,45,FALSE)),1),"")</f>
        <v>0.7962492332</v>
      </c>
      <c r="O300" s="50">
        <f>IFERROR(VLOOKUP($B300,Data!$B$3:$D1530,2,FALSE),"")</f>
        <v>2590000</v>
      </c>
      <c r="P300" s="50">
        <f>IFERROR(VLOOKUP($B300,Data!$B$3:$D1530,3,FALSE),"")</f>
        <v>2610000</v>
      </c>
      <c r="Q300" s="48">
        <f t="shared" si="2"/>
        <v>-0.007662835249</v>
      </c>
      <c r="R300" s="48"/>
      <c r="S300" s="48"/>
      <c r="T300" s="48"/>
      <c r="U300" s="48"/>
      <c r="V300" s="48"/>
      <c r="W300" s="50"/>
      <c r="Z300" s="11"/>
      <c r="AA300" s="11"/>
    </row>
    <row r="301">
      <c r="A301" s="9">
        <f t="shared" si="1"/>
        <v>298</v>
      </c>
      <c r="B301" s="47" t="s">
        <v>434</v>
      </c>
      <c r="C301" s="48">
        <f>IFERROR(DIVIDE(VLOOKUP($B301,Data!$B$3:$AB$1535,9,FALSE),VLOOKUP($B301,Data!$B$3:$AB$1535,4,FALSE)),"")</f>
        <v>-0.01288043478</v>
      </c>
      <c r="D301" s="48">
        <f>IFERROR(DIVIDE(VLOOKUP($B301,Data!$B$3:$AB$1535,24,FALSE),VLOOKUP($B301,Data!$B$3:$AB$1535,4,FALSE)),"")</f>
        <v>-0.03255434783</v>
      </c>
      <c r="E301" s="48">
        <f>IFERROR(DIVIDE(VLOOKUP($B301,Data!$B$3:$EZ1530,29,FALSE),VLOOKUP($B301,Data!$B$3:$EZ1530,4,FALSE)),"")</f>
        <v>-0.0464673913</v>
      </c>
      <c r="F301" s="48">
        <f>IFERROR(DIVIDE(VLOOKUP($B301,Data!$B$3:$EZ1530,34,FALSE),VLOOKUP($B301,Data!$B$3:$EZ1530,4,FALSE)),"")</f>
        <v>0.006141304348</v>
      </c>
      <c r="G301" s="48">
        <f>IFERROR(DIVIDE(VLOOKUP($B301,Data!$B$3:$EZ1530,39,FALSE),VLOOKUP($B301,Data!$B$3:$EZ1530,4,FALSE)),"")</f>
        <v>-0.04157608696</v>
      </c>
      <c r="H301" s="48">
        <f>IFERROR(DIVIDE(VLOOKUP($B301,Data!$B$3:$EZ1530,44,FALSE),VLOOKUP($B301,Data!$B$3:$EZ1530,4,FALSE)),"")</f>
        <v>0.009619565217</v>
      </c>
      <c r="I301" s="48">
        <f>IFERROR(MINUS(DIVIDE(VLOOKUP($B301,Data!$B$3:$EZ1530,9,FALSE),VLOOKUP($B301,Data!$B$3:$EZ1530,10,FALSE)),1),"")</f>
        <v>0.04405286344</v>
      </c>
      <c r="J301" s="48">
        <f>IFERROR(MINUS(DIVIDE(VLOOKUP($B301,Data!$B$3:$EZ1530,24,FALSE),VLOOKUP($B301,Data!$B$3:$EZ1530,25,FALSE)),1),"")</f>
        <v>0.140952381</v>
      </c>
      <c r="K301" s="48">
        <f>IFERROR(MINUS(DIVIDE(VLOOKUP($B301,Data!$B$3:$EZ1530,29,FALSE),VLOOKUP($B301,Data!$B$3:$EZ1530,30,FALSE)),1),"")</f>
        <v>0.2110481586</v>
      </c>
      <c r="L301" s="48">
        <f>IFERROR(MINUS(DIVIDE(VLOOKUP($B301,Data!$B$3:$EZ1530,34,FALSE),VLOOKUP($B301,Data!$B$3:$EZ1530,35,FALSE)),1),"")</f>
        <v>-0.578358209</v>
      </c>
      <c r="M301" s="48">
        <f>IFERROR(MINUS(DIVIDE(VLOOKUP($B301,Data!$B$3:$EZ1530,39,FALSE),VLOOKUP($B301,Data!$B$3:$EZ1530,40,FALSE)),1),"")</f>
        <v>0.1555891239</v>
      </c>
      <c r="N301" s="48">
        <f>IFERROR(MINUS(DIVIDE(VLOOKUP($B301,Data!$B$3:$EZ1530,44,FALSE),VLOOKUP($B301,Data!$B$3:$EZ1530,45,FALSE)),1),"")</f>
        <v>-1.256150507</v>
      </c>
      <c r="O301" s="50">
        <f>IFERROR(VLOOKUP($B301,Data!$B$3:$D1530,2,FALSE),"")</f>
        <v>1710000</v>
      </c>
      <c r="P301" s="50">
        <f>IFERROR(VLOOKUP($B301,Data!$B$3:$D1530,3,FALSE),"")</f>
        <v>1560000</v>
      </c>
      <c r="Q301" s="48">
        <f t="shared" si="2"/>
        <v>0.09615384615</v>
      </c>
      <c r="R301" s="48"/>
      <c r="S301" s="48"/>
      <c r="T301" s="48"/>
      <c r="U301" s="48"/>
      <c r="V301" s="48"/>
      <c r="W301" s="50"/>
      <c r="Z301" s="11"/>
      <c r="AA301" s="11"/>
    </row>
    <row r="302">
      <c r="A302" s="9">
        <f t="shared" si="1"/>
        <v>299</v>
      </c>
      <c r="B302" s="47" t="s">
        <v>435</v>
      </c>
      <c r="C302" s="48">
        <f>IFERROR(DIVIDE(VLOOKUP($B302,Data!$B$3:$AB$1535,9,FALSE),VLOOKUP($B302,Data!$B$3:$AB$1535,4,FALSE)),"")</f>
        <v>0.6311111111</v>
      </c>
      <c r="D302" s="48">
        <f>IFERROR(DIVIDE(VLOOKUP($B302,Data!$B$3:$AB$1535,24,FALSE),VLOOKUP($B302,Data!$B$3:$AB$1535,4,FALSE)),"")</f>
        <v>-2.383703704</v>
      </c>
      <c r="E302" s="48">
        <f>IFERROR(DIVIDE(VLOOKUP($B302,Data!$B$3:$EZ1530,29,FALSE),VLOOKUP($B302,Data!$B$3:$EZ1530,4,FALSE)),"")</f>
        <v>-2.368888889</v>
      </c>
      <c r="F302" s="48">
        <f>IFERROR(DIVIDE(VLOOKUP($B302,Data!$B$3:$EZ1530,34,FALSE),VLOOKUP($B302,Data!$B$3:$EZ1530,4,FALSE)),"")</f>
        <v>-2.598518519</v>
      </c>
      <c r="G302" s="48">
        <f>IFERROR(DIVIDE(VLOOKUP($B302,Data!$B$3:$EZ1530,39,FALSE),VLOOKUP($B302,Data!$B$3:$EZ1530,4,FALSE)),"")</f>
        <v>-2.41037037</v>
      </c>
      <c r="H302" s="48">
        <f>IFERROR(DIVIDE(VLOOKUP($B302,Data!$B$3:$EZ1530,44,FALSE),VLOOKUP($B302,Data!$B$3:$EZ1530,4,FALSE)),"")</f>
        <v>-2.853333333</v>
      </c>
      <c r="I302" s="48">
        <f>IFERROR(MINUS(DIVIDE(VLOOKUP($B302,Data!$B$3:$EZ1530,9,FALSE),VLOOKUP($B302,Data!$B$3:$EZ1530,10,FALSE)),1),"")</f>
        <v>1.195876289</v>
      </c>
      <c r="J302" s="48">
        <f>IFERROR(MINUS(DIVIDE(VLOOKUP($B302,Data!$B$3:$EZ1530,24,FALSE),VLOOKUP($B302,Data!$B$3:$EZ1530,25,FALSE)),1),"")</f>
        <v>-0.2208232446</v>
      </c>
      <c r="K302" s="48">
        <f>IFERROR(MINUS(DIVIDE(VLOOKUP($B302,Data!$B$3:$EZ1530,29,FALSE),VLOOKUP($B302,Data!$B$3:$EZ1530,30,FALSE)),1),"")</f>
        <v>-0.5472819932</v>
      </c>
      <c r="L302" s="48">
        <f>IFERROR(MINUS(DIVIDE(VLOOKUP($B302,Data!$B$3:$EZ1530,34,FALSE),VLOOKUP($B302,Data!$B$3:$EZ1530,35,FALSE)),1),"")</f>
        <v>0.3649805447</v>
      </c>
      <c r="M302" s="48">
        <f>IFERROR(MINUS(DIVIDE(VLOOKUP($B302,Data!$B$3:$EZ1530,39,FALSE),VLOOKUP($B302,Data!$B$3:$EZ1530,40,FALSE)),1),"")</f>
        <v>-0.5594367723</v>
      </c>
      <c r="N302" s="48">
        <f>IFERROR(MINUS(DIVIDE(VLOOKUP($B302,Data!$B$3:$EZ1530,44,FALSE),VLOOKUP($B302,Data!$B$3:$EZ1530,45,FALSE)),1),"")</f>
        <v>5.153354633</v>
      </c>
      <c r="O302" s="50">
        <f>IFERROR(VLOOKUP($B302,Data!$B$3:$D1530,2,FALSE),"")</f>
        <v>4000</v>
      </c>
      <c r="P302" s="50">
        <f>IFERROR(VLOOKUP($B302,Data!$B$3:$D1530,3,FALSE),"")</f>
        <v>6600</v>
      </c>
      <c r="Q302" s="48">
        <f t="shared" si="2"/>
        <v>-0.3939393939</v>
      </c>
      <c r="R302" s="48"/>
      <c r="S302" s="48"/>
      <c r="T302" s="48"/>
      <c r="U302" s="48"/>
      <c r="V302" s="48"/>
      <c r="W302" s="50"/>
      <c r="Z302" s="15"/>
      <c r="AA302" s="15"/>
    </row>
    <row r="303">
      <c r="A303" s="9">
        <f t="shared" si="1"/>
        <v>300</v>
      </c>
      <c r="B303" s="47" t="s">
        <v>436</v>
      </c>
      <c r="C303" s="48">
        <f>IFERROR(DIVIDE(VLOOKUP($B303,Data!$B$3:$AB$1535,9,FALSE),VLOOKUP($B303,Data!$B$3:$AB$1535,4,FALSE)),"")</f>
        <v>0.7574692443</v>
      </c>
      <c r="D303" s="48">
        <f>IFERROR(DIVIDE(VLOOKUP($B303,Data!$B$3:$AB$1535,24,FALSE),VLOOKUP($B303,Data!$B$3:$AB$1535,4,FALSE)),"")</f>
        <v>0.1080456942</v>
      </c>
      <c r="E303" s="48">
        <f>IFERROR(DIVIDE(VLOOKUP($B303,Data!$B$3:$EZ1530,29,FALSE),VLOOKUP($B303,Data!$B$3:$EZ1530,4,FALSE)),"")</f>
        <v>0.1150281195</v>
      </c>
      <c r="F303" s="48">
        <f>IFERROR(DIVIDE(VLOOKUP($B303,Data!$B$3:$EZ1530,34,FALSE),VLOOKUP($B303,Data!$B$3:$EZ1530,4,FALSE)),"")</f>
        <v>0.2407732865</v>
      </c>
      <c r="G303" s="48">
        <f>IFERROR(DIVIDE(VLOOKUP($B303,Data!$B$3:$EZ1530,39,FALSE),VLOOKUP($B303,Data!$B$3:$EZ1530,4,FALSE)),"")</f>
        <v>0.09304920914</v>
      </c>
      <c r="H303" s="48">
        <f>IFERROR(DIVIDE(VLOOKUP($B303,Data!$B$3:$EZ1530,44,FALSE),VLOOKUP($B303,Data!$B$3:$EZ1530,4,FALSE)),"")</f>
        <v>0.230228471</v>
      </c>
      <c r="I303" s="48">
        <f>IFERROR(MINUS(DIVIDE(VLOOKUP($B303,Data!$B$3:$EZ1530,9,FALSE),VLOOKUP($B303,Data!$B$3:$EZ1530,10,FALSE)),1),"")</f>
        <v>0.04358353511</v>
      </c>
      <c r="J303" s="48" t="str">
        <f>IFERROR(MINUS(DIVIDE(VLOOKUP($B303,Data!$B$3:$EZ1530,24,FALSE),VLOOKUP($B303,Data!$B$3:$EZ1530,25,FALSE)),1),"")</f>
        <v/>
      </c>
      <c r="K303" s="48">
        <f>IFERROR(MINUS(DIVIDE(VLOOKUP($B303,Data!$B$3:$EZ1530,29,FALSE),VLOOKUP($B303,Data!$B$3:$EZ1530,30,FALSE)),1),"")</f>
        <v>-0.1827308485</v>
      </c>
      <c r="L303" s="48">
        <f>IFERROR(MINUS(DIVIDE(VLOOKUP($B303,Data!$B$3:$EZ1530,34,FALSE),VLOOKUP($B303,Data!$B$3:$EZ1530,35,FALSE)),1),"")</f>
        <v>-0.03521126761</v>
      </c>
      <c r="M303" s="48">
        <f>IFERROR(MINUS(DIVIDE(VLOOKUP($B303,Data!$B$3:$EZ1530,39,FALSE),VLOOKUP($B303,Data!$B$3:$EZ1530,40,FALSE)),1),"")</f>
        <v>-0.1596832048</v>
      </c>
      <c r="N303" s="48">
        <f>IFERROR(MINUS(DIVIDE(VLOOKUP($B303,Data!$B$3:$EZ1530,44,FALSE),VLOOKUP($B303,Data!$B$3:$EZ1530,45,FALSE)),1),"")</f>
        <v>-0.09655172414</v>
      </c>
      <c r="O303" s="50">
        <f>IFERROR(VLOOKUP($B303,Data!$B$3:$D1530,2,FALSE),"")</f>
        <v>5920000</v>
      </c>
      <c r="P303" s="50">
        <f>IFERROR(VLOOKUP($B303,Data!$B$3:$D1530,3,FALSE),"")</f>
        <v>5610000</v>
      </c>
      <c r="Q303" s="48">
        <f t="shared" si="2"/>
        <v>0.05525846702</v>
      </c>
      <c r="R303" s="48"/>
      <c r="S303" s="48"/>
      <c r="T303" s="48"/>
      <c r="U303" s="48"/>
      <c r="V303" s="48"/>
      <c r="W303" s="50"/>
      <c r="Z303" s="15"/>
      <c r="AA303" s="15"/>
    </row>
    <row r="304">
      <c r="A304" s="9">
        <f t="shared" si="1"/>
        <v>301</v>
      </c>
      <c r="B304" s="47" t="s">
        <v>437</v>
      </c>
      <c r="C304" s="48">
        <f>IFERROR(DIVIDE(VLOOKUP($B304,Data!$B$3:$AB$1535,9,FALSE),VLOOKUP($B304,Data!$B$3:$AB$1535,4,FALSE)),"")</f>
        <v>0.8619621343</v>
      </c>
      <c r="D304" s="48">
        <f>IFERROR(DIVIDE(VLOOKUP($B304,Data!$B$3:$AB$1535,24,FALSE),VLOOKUP($B304,Data!$B$3:$AB$1535,4,FALSE)),"")</f>
        <v>-0.183935743</v>
      </c>
      <c r="E304" s="48">
        <f>IFERROR(DIVIDE(VLOOKUP($B304,Data!$B$3:$EZ1530,29,FALSE),VLOOKUP($B304,Data!$B$3:$EZ1530,4,FALSE)),"")</f>
        <v>-0.07791164659</v>
      </c>
      <c r="F304" s="48">
        <f>IFERROR(DIVIDE(VLOOKUP($B304,Data!$B$3:$EZ1530,34,FALSE),VLOOKUP($B304,Data!$B$3:$EZ1530,4,FALSE)),"")</f>
        <v>-0.1181870338</v>
      </c>
      <c r="G304" s="48">
        <f>IFERROR(DIVIDE(VLOOKUP($B304,Data!$B$3:$EZ1530,39,FALSE),VLOOKUP($B304,Data!$B$3:$EZ1530,4,FALSE)),"")</f>
        <v>0</v>
      </c>
      <c r="H304" s="48">
        <f>IFERROR(DIVIDE(VLOOKUP($B304,Data!$B$3:$EZ1530,44,FALSE),VLOOKUP($B304,Data!$B$3:$EZ1530,4,FALSE)),"")</f>
        <v>0.09764773379</v>
      </c>
      <c r="I304" s="48">
        <f>IFERROR(MINUS(DIVIDE(VLOOKUP($B304,Data!$B$3:$EZ1530,9,FALSE),VLOOKUP($B304,Data!$B$3:$EZ1530,10,FALSE)),1),"")</f>
        <v>0.08822251195</v>
      </c>
      <c r="J304" s="48">
        <f>IFERROR(MINUS(DIVIDE(VLOOKUP($B304,Data!$B$3:$EZ1530,24,FALSE),VLOOKUP($B304,Data!$B$3:$EZ1530,25,FALSE)),1),"")</f>
        <v>1.183923706</v>
      </c>
      <c r="K304" s="48">
        <f>IFERROR(MINUS(DIVIDE(VLOOKUP($B304,Data!$B$3:$EZ1530,29,FALSE),VLOOKUP($B304,Data!$B$3:$EZ1530,30,FALSE)),1),"")</f>
        <v>0.5901639344</v>
      </c>
      <c r="L304" s="48">
        <f>IFERROR(MINUS(DIVIDE(VLOOKUP($B304,Data!$B$3:$EZ1530,34,FALSE),VLOOKUP($B304,Data!$B$3:$EZ1530,35,FALSE)),1),"")</f>
        <v>3.458874459</v>
      </c>
      <c r="M304" s="48" t="str">
        <f>IFERROR(MINUS(DIVIDE(VLOOKUP($B304,Data!$B$3:$EZ1530,39,FALSE),VLOOKUP($B304,Data!$B$3:$EZ1530,40,FALSE)),1),"")</f>
        <v/>
      </c>
      <c r="N304" s="48">
        <f>IFERROR(MINUS(DIVIDE(VLOOKUP($B304,Data!$B$3:$EZ1530,44,FALSE),VLOOKUP($B304,Data!$B$3:$EZ1530,45,FALSE)),1),"")</f>
        <v>-0.01161440186</v>
      </c>
      <c r="O304" s="50">
        <f>IFERROR(VLOOKUP($B304,Data!$B$3:$D1530,2,FALSE),"")</f>
        <v>103050</v>
      </c>
      <c r="P304" s="50">
        <f>IFERROR(VLOOKUP($B304,Data!$B$3:$D1530,3,FALSE),"")</f>
        <v>91410</v>
      </c>
      <c r="Q304" s="48">
        <f t="shared" si="2"/>
        <v>0.1273383656</v>
      </c>
      <c r="R304" s="48"/>
      <c r="S304" s="48"/>
      <c r="T304" s="48"/>
      <c r="U304" s="48"/>
      <c r="V304" s="48"/>
      <c r="W304" s="50"/>
      <c r="Z304" s="11"/>
      <c r="AA304" s="11"/>
    </row>
    <row r="305">
      <c r="A305" s="9">
        <f t="shared" si="1"/>
        <v>302</v>
      </c>
      <c r="B305" s="47" t="s">
        <v>438</v>
      </c>
      <c r="C305" s="48">
        <f>IFERROR(DIVIDE(VLOOKUP($B305,Data!$B$3:$AB$1535,9,FALSE),VLOOKUP($B305,Data!$B$3:$AB$1535,4,FALSE)),"")</f>
        <v>0.25708061</v>
      </c>
      <c r="D305" s="48">
        <f>IFERROR(DIVIDE(VLOOKUP($B305,Data!$B$3:$AB$1535,24,FALSE),VLOOKUP($B305,Data!$B$3:$AB$1535,4,FALSE)),"")</f>
        <v>0.2054466231</v>
      </c>
      <c r="E305" s="48">
        <f>IFERROR(DIVIDE(VLOOKUP($B305,Data!$B$3:$EZ1530,29,FALSE),VLOOKUP($B305,Data!$B$3:$EZ1530,4,FALSE)),"")</f>
        <v>0.1681917211</v>
      </c>
      <c r="F305" s="48">
        <f>IFERROR(DIVIDE(VLOOKUP($B305,Data!$B$3:$EZ1530,34,FALSE),VLOOKUP($B305,Data!$B$3:$EZ1530,4,FALSE)),"")</f>
        <v>0.394335512</v>
      </c>
      <c r="G305" s="48">
        <f>IFERROR(DIVIDE(VLOOKUP($B305,Data!$B$3:$EZ1530,39,FALSE),VLOOKUP($B305,Data!$B$3:$EZ1530,4,FALSE)),"")</f>
        <v>0.1074074074</v>
      </c>
      <c r="H305" s="48">
        <f>IFERROR(DIVIDE(VLOOKUP($B305,Data!$B$3:$EZ1530,44,FALSE),VLOOKUP($B305,Data!$B$3:$EZ1530,4,FALSE)),"")</f>
        <v>0.3289760349</v>
      </c>
      <c r="I305" s="48">
        <f>IFERROR(MINUS(DIVIDE(VLOOKUP($B305,Data!$B$3:$EZ1530,9,FALSE),VLOOKUP($B305,Data!$B$3:$EZ1530,10,FALSE)),1),"")</f>
        <v>0.3024282561</v>
      </c>
      <c r="J305" s="48">
        <f>IFERROR(MINUS(DIVIDE(VLOOKUP($B305,Data!$B$3:$EZ1530,24,FALSE),VLOOKUP($B305,Data!$B$3:$EZ1530,25,FALSE)),1),"")</f>
        <v>0.3207282913</v>
      </c>
      <c r="K305" s="48">
        <f>IFERROR(MINUS(DIVIDE(VLOOKUP($B305,Data!$B$3:$EZ1530,29,FALSE),VLOOKUP($B305,Data!$B$3:$EZ1530,30,FALSE)),1),"")</f>
        <v>0.4113345521</v>
      </c>
      <c r="L305" s="48">
        <f>IFERROR(MINUS(DIVIDE(VLOOKUP($B305,Data!$B$3:$EZ1530,34,FALSE),VLOOKUP($B305,Data!$B$3:$EZ1530,35,FALSE)),1),"")</f>
        <v>0.152866242</v>
      </c>
      <c r="M305" s="48">
        <f>IFERROR(MINUS(DIVIDE(VLOOKUP($B305,Data!$B$3:$EZ1530,39,FALSE),VLOOKUP($B305,Data!$B$3:$EZ1530,40,FALSE)),1),"")</f>
        <v>0.7</v>
      </c>
      <c r="N305" s="48">
        <f>IFERROR(MINUS(DIVIDE(VLOOKUP($B305,Data!$B$3:$EZ1530,44,FALSE),VLOOKUP($B305,Data!$B$3:$EZ1530,45,FALSE)),1),"")</f>
        <v>0</v>
      </c>
      <c r="O305" s="50">
        <f>IFERROR(VLOOKUP($B305,Data!$B$3:$D1530,2,FALSE),"")</f>
        <v>4380000</v>
      </c>
      <c r="P305" s="50">
        <f>IFERROR(VLOOKUP($B305,Data!$B$3:$D1530,3,FALSE),"")</f>
        <v>4130000</v>
      </c>
      <c r="Q305" s="48">
        <f t="shared" si="2"/>
        <v>0.06053268765</v>
      </c>
      <c r="R305" s="48"/>
      <c r="S305" s="48"/>
      <c r="T305" s="48"/>
      <c r="U305" s="48"/>
      <c r="V305" s="48"/>
      <c r="W305" s="50"/>
      <c r="Z305" s="11"/>
      <c r="AA305" s="11"/>
    </row>
    <row r="306">
      <c r="A306" s="9">
        <f t="shared" si="1"/>
        <v>303</v>
      </c>
      <c r="B306" s="47" t="s">
        <v>439</v>
      </c>
      <c r="C306" s="48" t="str">
        <f>IFERROR(DIVIDE(VLOOKUP($B306,Data!$B$3:$AB$1535,9,FALSE),VLOOKUP($B306,Data!$B$3:$AB$1535,4,FALSE)),"")</f>
        <v/>
      </c>
      <c r="D306" s="48" t="str">
        <f>IFERROR(DIVIDE(VLOOKUP($B306,Data!$B$3:$AB$1535,24,FALSE),VLOOKUP($B306,Data!$B$3:$AB$1535,4,FALSE)),"")</f>
        <v/>
      </c>
      <c r="E306" s="48" t="str">
        <f>IFERROR(DIVIDE(VLOOKUP($B306,Data!$B$3:$EZ1530,29,FALSE),VLOOKUP($B306,Data!$B$3:$EZ1530,4,FALSE)),"")</f>
        <v/>
      </c>
      <c r="F306" s="48" t="str">
        <f>IFERROR(DIVIDE(VLOOKUP($B306,Data!$B$3:$EZ1530,34,FALSE),VLOOKUP($B306,Data!$B$3:$EZ1530,4,FALSE)),"")</f>
        <v/>
      </c>
      <c r="G306" s="48" t="str">
        <f>IFERROR(DIVIDE(VLOOKUP($B306,Data!$B$3:$EZ1530,39,FALSE),VLOOKUP($B306,Data!$B$3:$EZ1530,4,FALSE)),"")</f>
        <v/>
      </c>
      <c r="H306" s="48" t="str">
        <f>IFERROR(DIVIDE(VLOOKUP($B306,Data!$B$3:$EZ1530,44,FALSE),VLOOKUP($B306,Data!$B$3:$EZ1530,4,FALSE)),"")</f>
        <v/>
      </c>
      <c r="I306" s="48">
        <f>IFERROR(MINUS(DIVIDE(VLOOKUP($B306,Data!$B$3:$EZ1530,9,FALSE),VLOOKUP($B306,Data!$B$3:$EZ1530,10,FALSE)),1),"")</f>
        <v>0.119205298</v>
      </c>
      <c r="J306" s="48">
        <f>IFERROR(MINUS(DIVIDE(VLOOKUP($B306,Data!$B$3:$EZ1530,24,FALSE),VLOOKUP($B306,Data!$B$3:$EZ1530,25,FALSE)),1),"")</f>
        <v>-0.6677614957</v>
      </c>
      <c r="K306" s="48">
        <f>IFERROR(MINUS(DIVIDE(VLOOKUP($B306,Data!$B$3:$EZ1530,29,FALSE),VLOOKUP($B306,Data!$B$3:$EZ1530,30,FALSE)),1),"")</f>
        <v>-0.6605626327</v>
      </c>
      <c r="L306" s="48">
        <f>IFERROR(MINUS(DIVIDE(VLOOKUP($B306,Data!$B$3:$EZ1530,34,FALSE),VLOOKUP($B306,Data!$B$3:$EZ1530,35,FALSE)),1),"")</f>
        <v>-0.1397515528</v>
      </c>
      <c r="M306" s="48">
        <f>IFERROR(MINUS(DIVIDE(VLOOKUP($B306,Data!$B$3:$EZ1530,39,FALSE),VLOOKUP($B306,Data!$B$3:$EZ1530,40,FALSE)),1),"")</f>
        <v>-0.6605626327</v>
      </c>
      <c r="N306" s="48">
        <f>IFERROR(MINUS(DIVIDE(VLOOKUP($B306,Data!$B$3:$EZ1530,44,FALSE),VLOOKUP($B306,Data!$B$3:$EZ1530,45,FALSE)),1),"")</f>
        <v>0.04455445545</v>
      </c>
      <c r="O306" s="50">
        <f>IFERROR(VLOOKUP($B306,Data!$B$3:$D1530,2,FALSE),"")</f>
        <v>6750</v>
      </c>
      <c r="P306" s="50">
        <f>IFERROR(VLOOKUP($B306,Data!$B$3:$D1530,3,FALSE),"")</f>
        <v>1080</v>
      </c>
      <c r="Q306" s="48">
        <f t="shared" si="2"/>
        <v>5.25</v>
      </c>
      <c r="R306" s="48"/>
      <c r="S306" s="48"/>
      <c r="T306" s="48"/>
      <c r="U306" s="48"/>
      <c r="V306" s="48"/>
      <c r="W306" s="50"/>
      <c r="Z306" s="15"/>
      <c r="AA306" s="15"/>
    </row>
    <row r="307">
      <c r="A307" s="9">
        <f t="shared" si="1"/>
        <v>304</v>
      </c>
      <c r="B307" s="47" t="s">
        <v>440</v>
      </c>
      <c r="C307" s="48">
        <f>IFERROR(DIVIDE(VLOOKUP($B307,Data!$B$3:$AB$1535,9,FALSE),VLOOKUP($B307,Data!$B$3:$AB$1535,4,FALSE)),"")</f>
        <v>0.2196248981</v>
      </c>
      <c r="D307" s="48">
        <f>IFERROR(DIVIDE(VLOOKUP($B307,Data!$B$3:$AB$1535,24,FALSE),VLOOKUP($B307,Data!$B$3:$AB$1535,4,FALSE)),"")</f>
        <v>0</v>
      </c>
      <c r="E307" s="48">
        <f>IFERROR(DIVIDE(VLOOKUP($B307,Data!$B$3:$EZ1530,29,FALSE),VLOOKUP($B307,Data!$B$3:$EZ1530,4,FALSE)),"")</f>
        <v>0.06146371297</v>
      </c>
      <c r="F307" s="48">
        <f>IFERROR(DIVIDE(VLOOKUP($B307,Data!$B$3:$EZ1530,34,FALSE),VLOOKUP($B307,Data!$B$3:$EZ1530,4,FALSE)),"")</f>
        <v>0.08062652895</v>
      </c>
      <c r="G307" s="48">
        <f>IFERROR(DIVIDE(VLOOKUP($B307,Data!$B$3:$EZ1530,39,FALSE),VLOOKUP($B307,Data!$B$3:$EZ1530,4,FALSE)),"")</f>
        <v>0.03937890731</v>
      </c>
      <c r="H307" s="48">
        <f>IFERROR(DIVIDE(VLOOKUP($B307,Data!$B$3:$EZ1530,44,FALSE),VLOOKUP($B307,Data!$B$3:$EZ1530,4,FALSE)),"")</f>
        <v>-0.2426270726</v>
      </c>
      <c r="I307" s="48">
        <f>IFERROR(MINUS(DIVIDE(VLOOKUP($B307,Data!$B$3:$EZ1530,9,FALSE),VLOOKUP($B307,Data!$B$3:$EZ1530,10,FALSE)),1),"")</f>
        <v>-0.1277830252</v>
      </c>
      <c r="J307" s="48" t="str">
        <f>IFERROR(MINUS(DIVIDE(VLOOKUP($B307,Data!$B$3:$EZ1530,24,FALSE),VLOOKUP($B307,Data!$B$3:$EZ1530,25,FALSE)),1),"")</f>
        <v/>
      </c>
      <c r="K307" s="48">
        <f>IFERROR(MINUS(DIVIDE(VLOOKUP($B307,Data!$B$3:$EZ1530,29,FALSE),VLOOKUP($B307,Data!$B$3:$EZ1530,30,FALSE)),1),"")</f>
        <v>-0.380691544</v>
      </c>
      <c r="L307" s="48">
        <f>IFERROR(MINUS(DIVIDE(VLOOKUP($B307,Data!$B$3:$EZ1530,34,FALSE),VLOOKUP($B307,Data!$B$3:$EZ1530,35,FALSE)),1),"")</f>
        <v>-0.3408333333</v>
      </c>
      <c r="M307" s="48">
        <f>IFERROR(MINUS(DIVIDE(VLOOKUP($B307,Data!$B$3:$EZ1530,39,FALSE),VLOOKUP($B307,Data!$B$3:$EZ1530,40,FALSE)),1),"")</f>
        <v>-2.745481928</v>
      </c>
      <c r="N307" s="48">
        <f>IFERROR(MINUS(DIVIDE(VLOOKUP($B307,Data!$B$3:$EZ1530,44,FALSE),VLOOKUP($B307,Data!$B$3:$EZ1530,45,FALSE)),1),"")</f>
        <v>-3.537668799</v>
      </c>
      <c r="O307" s="50" t="str">
        <f>IFERROR(VLOOKUP($B307,Data!$B$3:$D1530,2,FALSE),"")</f>
        <v/>
      </c>
      <c r="P307" s="50" t="str">
        <f>IFERROR(VLOOKUP($B307,Data!$B$3:$D1530,3,FALSE),"")</f>
        <v/>
      </c>
      <c r="Q307" s="48" t="str">
        <f t="shared" si="2"/>
        <v/>
      </c>
      <c r="R307" s="48"/>
      <c r="S307" s="48"/>
      <c r="T307" s="48"/>
      <c r="U307" s="48"/>
      <c r="V307" s="48"/>
      <c r="W307" s="50"/>
      <c r="Z307" s="15"/>
      <c r="AA307" s="15"/>
    </row>
    <row r="308">
      <c r="A308" s="9">
        <f t="shared" si="1"/>
        <v>305</v>
      </c>
      <c r="B308" s="47" t="s">
        <v>441</v>
      </c>
      <c r="C308" s="48" t="str">
        <f>IFERROR(DIVIDE(VLOOKUP($B308,Data!$B$3:$AB$1535,9,FALSE),VLOOKUP($B308,Data!$B$3:$AB$1535,4,FALSE)),"")</f>
        <v/>
      </c>
      <c r="D308" s="48" t="str">
        <f>IFERROR(DIVIDE(VLOOKUP($B308,Data!$B$3:$AB$1535,24,FALSE),VLOOKUP($B308,Data!$B$3:$AB$1535,4,FALSE)),"")</f>
        <v/>
      </c>
      <c r="E308" s="48" t="str">
        <f>IFERROR(DIVIDE(VLOOKUP($B308,Data!$B$3:$EZ1530,29,FALSE),VLOOKUP($B308,Data!$B$3:$EZ1530,4,FALSE)),"")</f>
        <v/>
      </c>
      <c r="F308" s="48" t="str">
        <f>IFERROR(DIVIDE(VLOOKUP($B308,Data!$B$3:$EZ1530,34,FALSE),VLOOKUP($B308,Data!$B$3:$EZ1530,4,FALSE)),"")</f>
        <v/>
      </c>
      <c r="G308" s="48" t="str">
        <f>IFERROR(DIVIDE(VLOOKUP($B308,Data!$B$3:$EZ1530,39,FALSE),VLOOKUP($B308,Data!$B$3:$EZ1530,4,FALSE)),"")</f>
        <v/>
      </c>
      <c r="H308" s="48" t="str">
        <f>IFERROR(DIVIDE(VLOOKUP($B308,Data!$B$3:$EZ1530,44,FALSE),VLOOKUP($B308,Data!$B$3:$EZ1530,4,FALSE)),"")</f>
        <v/>
      </c>
      <c r="I308" s="48">
        <f>IFERROR(MINUS(DIVIDE(VLOOKUP($B308,Data!$B$3:$EZ1530,9,FALSE),VLOOKUP($B308,Data!$B$3:$EZ1530,10,FALSE)),1),"")</f>
        <v>-1.064346129</v>
      </c>
      <c r="J308" s="48" t="str">
        <f>IFERROR(MINUS(DIVIDE(VLOOKUP($B308,Data!$B$3:$EZ1530,24,FALSE),VLOOKUP($B308,Data!$B$3:$EZ1530,25,FALSE)),1),"")</f>
        <v/>
      </c>
      <c r="K308" s="48">
        <f>IFERROR(MINUS(DIVIDE(VLOOKUP($B308,Data!$B$3:$EZ1530,29,FALSE),VLOOKUP($B308,Data!$B$3:$EZ1530,30,FALSE)),1),"")</f>
        <v>0.2415929204</v>
      </c>
      <c r="L308" s="48">
        <f>IFERROR(MINUS(DIVIDE(VLOOKUP($B308,Data!$B$3:$EZ1530,34,FALSE),VLOOKUP($B308,Data!$B$3:$EZ1530,35,FALSE)),1),"")</f>
        <v>0.2775996335</v>
      </c>
      <c r="M308" s="48">
        <f>IFERROR(MINUS(DIVIDE(VLOOKUP($B308,Data!$B$3:$EZ1530,39,FALSE),VLOOKUP($B308,Data!$B$3:$EZ1530,40,FALSE)),1),"")</f>
        <v>0.2097345133</v>
      </c>
      <c r="N308" s="48">
        <f>IFERROR(MINUS(DIVIDE(VLOOKUP($B308,Data!$B$3:$EZ1530,44,FALSE),VLOOKUP($B308,Data!$B$3:$EZ1530,45,FALSE)),1),"")</f>
        <v>1.009230769</v>
      </c>
      <c r="O308" s="50" t="str">
        <f>IFERROR(VLOOKUP($B308,Data!$B$3:$D1530,2,FALSE),"")</f>
        <v/>
      </c>
      <c r="P308" s="50" t="str">
        <f>IFERROR(VLOOKUP($B308,Data!$B$3:$D1530,3,FALSE),"")</f>
        <v/>
      </c>
      <c r="Q308" s="48" t="str">
        <f t="shared" si="2"/>
        <v/>
      </c>
      <c r="R308" s="48"/>
      <c r="S308" s="48"/>
      <c r="T308" s="48"/>
      <c r="U308" s="48"/>
      <c r="V308" s="48"/>
      <c r="W308" s="50"/>
      <c r="Z308" s="11"/>
      <c r="AA308" s="11"/>
    </row>
    <row r="309">
      <c r="A309" s="9">
        <f t="shared" si="1"/>
        <v>306</v>
      </c>
      <c r="B309" s="47" t="s">
        <v>442</v>
      </c>
      <c r="C309" s="48">
        <f>IFERROR(DIVIDE(VLOOKUP($B309,Data!$B$3:$AB$1535,9,FALSE),VLOOKUP($B309,Data!$B$3:$AB$1535,4,FALSE)),"")</f>
        <v>0.7384893127</v>
      </c>
      <c r="D309" s="48">
        <f>IFERROR(DIVIDE(VLOOKUP($B309,Data!$B$3:$AB$1535,24,FALSE),VLOOKUP($B309,Data!$B$3:$AB$1535,4,FALSE)),"")</f>
        <v>0.2002535728</v>
      </c>
      <c r="E309" s="48">
        <f>IFERROR(DIVIDE(VLOOKUP($B309,Data!$B$3:$EZ1530,29,FALSE),VLOOKUP($B309,Data!$B$3:$EZ1530,4,FALSE)),"")</f>
        <v>0.2246186073</v>
      </c>
      <c r="F309" s="48">
        <f>IFERROR(DIVIDE(VLOOKUP($B309,Data!$B$3:$EZ1530,34,FALSE),VLOOKUP($B309,Data!$B$3:$EZ1530,4,FALSE)),"")</f>
        <v>0.2308338961</v>
      </c>
      <c r="G309" s="48">
        <f>IFERROR(DIVIDE(VLOOKUP($B309,Data!$B$3:$EZ1530,39,FALSE),VLOOKUP($B309,Data!$B$3:$EZ1530,4,FALSE)),"")</f>
        <v>0.280955859</v>
      </c>
      <c r="H309" s="48">
        <f>IFERROR(DIVIDE(VLOOKUP($B309,Data!$B$3:$EZ1530,44,FALSE),VLOOKUP($B309,Data!$B$3:$EZ1530,4,FALSE)),"")</f>
        <v>0.3489795075</v>
      </c>
      <c r="I309" s="48">
        <f>IFERROR(MINUS(DIVIDE(VLOOKUP($B309,Data!$B$3:$EZ1530,9,FALSE),VLOOKUP($B309,Data!$B$3:$EZ1530,10,FALSE)),1),"")</f>
        <v>-0.1017031549</v>
      </c>
      <c r="J309" s="48">
        <f>IFERROR(MINUS(DIVIDE(VLOOKUP($B309,Data!$B$3:$EZ1530,24,FALSE),VLOOKUP($B309,Data!$B$3:$EZ1530,25,FALSE)),1),"")</f>
        <v>-0.3420719008</v>
      </c>
      <c r="K309" s="48">
        <f>IFERROR(MINUS(DIVIDE(VLOOKUP($B309,Data!$B$3:$EZ1530,29,FALSE),VLOOKUP($B309,Data!$B$3:$EZ1530,30,FALSE)),1),"")</f>
        <v>-0.3051541118</v>
      </c>
      <c r="L309" s="48">
        <f>IFERROR(MINUS(DIVIDE(VLOOKUP($B309,Data!$B$3:$EZ1530,34,FALSE),VLOOKUP($B309,Data!$B$3:$EZ1530,35,FALSE)),1),"")</f>
        <v>-0.3098191108</v>
      </c>
      <c r="M309" s="48">
        <f>IFERROR(MINUS(DIVIDE(VLOOKUP($B309,Data!$B$3:$EZ1530,39,FALSE),VLOOKUP($B309,Data!$B$3:$EZ1530,40,FALSE)),1),"")</f>
        <v>-0.07023304602</v>
      </c>
      <c r="N309" s="48">
        <f>IFERROR(MINUS(DIVIDE(VLOOKUP($B309,Data!$B$3:$EZ1530,44,FALSE),VLOOKUP($B309,Data!$B$3:$EZ1530,45,FALSE)),1),"")</f>
        <v>0.133273663</v>
      </c>
      <c r="O309" s="50">
        <f>IFERROR(VLOOKUP($B309,Data!$B$3:$D1530,2,FALSE),"")</f>
        <v>835790</v>
      </c>
      <c r="P309" s="50">
        <f>IFERROR(VLOOKUP($B309,Data!$B$3:$D1530,3,FALSE),"")</f>
        <v>730720</v>
      </c>
      <c r="Q309" s="48">
        <f t="shared" si="2"/>
        <v>0.1437896869</v>
      </c>
      <c r="R309" s="48"/>
      <c r="S309" s="48"/>
      <c r="T309" s="48"/>
      <c r="U309" s="48"/>
      <c r="V309" s="48"/>
      <c r="W309" s="50"/>
      <c r="Z309" s="15"/>
      <c r="AA309" s="15"/>
    </row>
    <row r="310">
      <c r="A310" s="9">
        <f t="shared" si="1"/>
        <v>307</v>
      </c>
      <c r="B310" s="47" t="s">
        <v>443</v>
      </c>
      <c r="C310" s="48">
        <f>IFERROR(DIVIDE(VLOOKUP($B310,Data!$B$3:$AB$1535,9,FALSE),VLOOKUP($B310,Data!$B$3:$AB$1535,4,FALSE)),"")</f>
        <v>0.4334862385</v>
      </c>
      <c r="D310" s="48">
        <f>IFERROR(DIVIDE(VLOOKUP($B310,Data!$B$3:$AB$1535,24,FALSE),VLOOKUP($B310,Data!$B$3:$AB$1535,4,FALSE)),"")</f>
        <v>0.1944495413</v>
      </c>
      <c r="E310" s="48">
        <f>IFERROR(DIVIDE(VLOOKUP($B310,Data!$B$3:$EZ1530,29,FALSE),VLOOKUP($B310,Data!$B$3:$EZ1530,4,FALSE)),"")</f>
        <v>0.1774541284</v>
      </c>
      <c r="F310" s="48">
        <f>IFERROR(DIVIDE(VLOOKUP($B310,Data!$B$3:$EZ1530,34,FALSE),VLOOKUP($B310,Data!$B$3:$EZ1530,4,FALSE)),"")</f>
        <v>0.2339449541</v>
      </c>
      <c r="G310" s="48">
        <f>IFERROR(DIVIDE(VLOOKUP($B310,Data!$B$3:$EZ1530,39,FALSE),VLOOKUP($B310,Data!$B$3:$EZ1530,4,FALSE)),"")</f>
        <v>0.1412614679</v>
      </c>
      <c r="H310" s="48">
        <f>IFERROR(DIVIDE(VLOOKUP($B310,Data!$B$3:$EZ1530,44,FALSE),VLOOKUP($B310,Data!$B$3:$EZ1530,4,FALSE)),"")</f>
        <v>0.1982798165</v>
      </c>
      <c r="I310" s="48">
        <f>IFERROR(MINUS(DIVIDE(VLOOKUP($B310,Data!$B$3:$EZ1530,9,FALSE),VLOOKUP($B310,Data!$B$3:$EZ1530,10,FALSE)),1),"")</f>
        <v>0.06779661017</v>
      </c>
      <c r="J310" s="48" t="str">
        <f>IFERROR(MINUS(DIVIDE(VLOOKUP($B310,Data!$B$3:$EZ1530,24,FALSE),VLOOKUP($B310,Data!$B$3:$EZ1530,25,FALSE)),1),"")</f>
        <v/>
      </c>
      <c r="K310" s="48">
        <f>IFERROR(MINUS(DIVIDE(VLOOKUP($B310,Data!$B$3:$EZ1530,29,FALSE),VLOOKUP($B310,Data!$B$3:$EZ1530,30,FALSE)),1),"")</f>
        <v>0.07533009034</v>
      </c>
      <c r="L310" s="48">
        <f>IFERROR(MINUS(DIVIDE(VLOOKUP($B310,Data!$B$3:$EZ1530,34,FALSE),VLOOKUP($B310,Data!$B$3:$EZ1530,35,FALSE)),1),"")</f>
        <v>0.09996764801</v>
      </c>
      <c r="M310" s="48">
        <f>IFERROR(MINUS(DIVIDE(VLOOKUP($B310,Data!$B$3:$EZ1530,39,FALSE),VLOOKUP($B310,Data!$B$3:$EZ1530,40,FALSE)),1),"")</f>
        <v>0.08318677453</v>
      </c>
      <c r="N310" s="48">
        <f>IFERROR(MINUS(DIVIDE(VLOOKUP($B310,Data!$B$3:$EZ1530,44,FALSE),VLOOKUP($B310,Data!$B$3:$EZ1530,45,FALSE)),1),"")</f>
        <v>0.1321372446</v>
      </c>
      <c r="O310" s="50">
        <f>IFERROR(VLOOKUP($B310,Data!$B$3:$D1530,2,FALSE),"")</f>
        <v>4920000</v>
      </c>
      <c r="P310" s="50">
        <f>IFERROR(VLOOKUP($B310,Data!$B$3:$D1530,3,FALSE),"")</f>
        <v>4780000</v>
      </c>
      <c r="Q310" s="48">
        <f t="shared" si="2"/>
        <v>0.02928870293</v>
      </c>
      <c r="R310" s="48"/>
      <c r="S310" s="48"/>
      <c r="T310" s="48"/>
      <c r="U310" s="48"/>
      <c r="V310" s="48"/>
      <c r="W310" s="50"/>
      <c r="Z310" s="12"/>
      <c r="AA310" s="12"/>
    </row>
    <row r="311">
      <c r="A311" s="9">
        <f t="shared" si="1"/>
        <v>308</v>
      </c>
      <c r="B311" s="47" t="s">
        <v>444</v>
      </c>
      <c r="C311" s="48">
        <f>IFERROR(DIVIDE(VLOOKUP($B311,Data!$B$3:$AB$1535,9,FALSE),VLOOKUP($B311,Data!$B$3:$AB$1535,4,FALSE)),"")</f>
        <v>0.2578947368</v>
      </c>
      <c r="D311" s="48">
        <f>IFERROR(DIVIDE(VLOOKUP($B311,Data!$B$3:$AB$1535,24,FALSE),VLOOKUP($B311,Data!$B$3:$AB$1535,4,FALSE)),"")</f>
        <v>0.1621804511</v>
      </c>
      <c r="E311" s="48">
        <f>IFERROR(DIVIDE(VLOOKUP($B311,Data!$B$3:$EZ1530,29,FALSE),VLOOKUP($B311,Data!$B$3:$EZ1530,4,FALSE)),"")</f>
        <v>0.1476691729</v>
      </c>
      <c r="F311" s="48">
        <f>IFERROR(DIVIDE(VLOOKUP($B311,Data!$B$3:$EZ1530,34,FALSE),VLOOKUP($B311,Data!$B$3:$EZ1530,4,FALSE)),"")</f>
        <v>0.2442105263</v>
      </c>
      <c r="G311" s="48">
        <f>IFERROR(DIVIDE(VLOOKUP($B311,Data!$B$3:$EZ1530,39,FALSE),VLOOKUP($B311,Data!$B$3:$EZ1530,4,FALSE)),"")</f>
        <v>0.1051879699</v>
      </c>
      <c r="H311" s="48">
        <f>IFERROR(DIVIDE(VLOOKUP($B311,Data!$B$3:$EZ1530,44,FALSE),VLOOKUP($B311,Data!$B$3:$EZ1530,4,FALSE)),"")</f>
        <v>0.2177443609</v>
      </c>
      <c r="I311" s="48">
        <f>IFERROR(MINUS(DIVIDE(VLOOKUP($B311,Data!$B$3:$EZ1530,9,FALSE),VLOOKUP($B311,Data!$B$3:$EZ1530,10,FALSE)),1),"")</f>
        <v>0.1843922652</v>
      </c>
      <c r="J311" s="48">
        <f>IFERROR(MINUS(DIVIDE(VLOOKUP($B311,Data!$B$3:$EZ1530,24,FALSE),VLOOKUP($B311,Data!$B$3:$EZ1530,25,FALSE)),1),"")</f>
        <v>0.1424788136</v>
      </c>
      <c r="K311" s="48">
        <f>IFERROR(MINUS(DIVIDE(VLOOKUP($B311,Data!$B$3:$EZ1530,29,FALSE),VLOOKUP($B311,Data!$B$3:$EZ1530,30,FALSE)),1),"")</f>
        <v>-0.1603249252</v>
      </c>
      <c r="L311" s="48">
        <f>IFERROR(MINUS(DIVIDE(VLOOKUP($B311,Data!$B$3:$EZ1530,34,FALSE),VLOOKUP($B311,Data!$B$3:$EZ1530,35,FALSE)),1),"")</f>
        <v>0.2345115926</v>
      </c>
      <c r="M311" s="48">
        <f>IFERROR(MINUS(DIVIDE(VLOOKUP($B311,Data!$B$3:$EZ1530,39,FALSE),VLOOKUP($B311,Data!$B$3:$EZ1530,40,FALSE)),1),"")</f>
        <v>-0.2338444688</v>
      </c>
      <c r="N311" s="48">
        <f>IFERROR(MINUS(DIVIDE(VLOOKUP($B311,Data!$B$3:$EZ1530,44,FALSE),VLOOKUP($B311,Data!$B$3:$EZ1530,45,FALSE)),1),"")</f>
        <v>0.4641051567</v>
      </c>
      <c r="O311" s="50">
        <f>IFERROR(VLOOKUP($B311,Data!$B$3:$D1530,2,FALSE),"")</f>
        <v>1520000</v>
      </c>
      <c r="P311" s="50">
        <f>IFERROR(VLOOKUP($B311,Data!$B$3:$D1530,3,FALSE),"")</f>
        <v>1060000</v>
      </c>
      <c r="Q311" s="48">
        <f t="shared" si="2"/>
        <v>0.4339622642</v>
      </c>
      <c r="R311" s="48"/>
      <c r="S311" s="48"/>
      <c r="T311" s="48"/>
      <c r="U311" s="48"/>
      <c r="V311" s="48"/>
      <c r="W311" s="50"/>
      <c r="Z311" s="11"/>
      <c r="AA311" s="11"/>
    </row>
    <row r="312">
      <c r="A312" s="9">
        <f t="shared" si="1"/>
        <v>309</v>
      </c>
      <c r="B312" s="47" t="s">
        <v>445</v>
      </c>
      <c r="C312" s="48">
        <f>IFERROR(DIVIDE(VLOOKUP($B312,Data!$B$3:$AB$1535,9,FALSE),VLOOKUP($B312,Data!$B$3:$AB$1535,4,FALSE)),"")</f>
        <v>0.2949587629</v>
      </c>
      <c r="D312" s="48">
        <f>IFERROR(DIVIDE(VLOOKUP($B312,Data!$B$3:$AB$1535,24,FALSE),VLOOKUP($B312,Data!$B$3:$AB$1535,4,FALSE)),"")</f>
        <v>0.1331185567</v>
      </c>
      <c r="E312" s="48">
        <f>IFERROR(DIVIDE(VLOOKUP($B312,Data!$B$3:$EZ1530,29,FALSE),VLOOKUP($B312,Data!$B$3:$EZ1530,4,FALSE)),"")</f>
        <v>0.1348505155</v>
      </c>
      <c r="F312" s="48">
        <f>IFERROR(DIVIDE(VLOOKUP($B312,Data!$B$3:$EZ1530,34,FALSE),VLOOKUP($B312,Data!$B$3:$EZ1530,4,FALSE)),"")</f>
        <v>0.1631701031</v>
      </c>
      <c r="G312" s="48">
        <f>IFERROR(DIVIDE(VLOOKUP($B312,Data!$B$3:$EZ1530,39,FALSE),VLOOKUP($B312,Data!$B$3:$EZ1530,4,FALSE)),"")</f>
        <v>0.1133608247</v>
      </c>
      <c r="H312" s="48">
        <f>IFERROR(DIVIDE(VLOOKUP($B312,Data!$B$3:$EZ1530,44,FALSE),VLOOKUP($B312,Data!$B$3:$EZ1530,4,FALSE)),"")</f>
        <v>0.1536804124</v>
      </c>
      <c r="I312" s="48">
        <f>IFERROR(MINUS(DIVIDE(VLOOKUP($B312,Data!$B$3:$EZ1530,9,FALSE),VLOOKUP($B312,Data!$B$3:$EZ1530,10,FALSE)),1),"")</f>
        <v>0.1086526911</v>
      </c>
      <c r="J312" s="48">
        <f>IFERROR(MINUS(DIVIDE(VLOOKUP($B312,Data!$B$3:$EZ1530,24,FALSE),VLOOKUP($B312,Data!$B$3:$EZ1530,25,FALSE)),1),"")</f>
        <v>-167.6129032</v>
      </c>
      <c r="K312" s="48">
        <f>IFERROR(MINUS(DIVIDE(VLOOKUP($B312,Data!$B$3:$EZ1530,29,FALSE),VLOOKUP($B312,Data!$B$3:$EZ1530,30,FALSE)),1),"")</f>
        <v>0.09186143573</v>
      </c>
      <c r="L312" s="48">
        <f>IFERROR(MINUS(DIVIDE(VLOOKUP($B312,Data!$B$3:$EZ1530,34,FALSE),VLOOKUP($B312,Data!$B$3:$EZ1530,35,FALSE)),1),"")</f>
        <v>0.1124582674</v>
      </c>
      <c r="M312" s="48">
        <f>IFERROR(MINUS(DIVIDE(VLOOKUP($B312,Data!$B$3:$EZ1530,39,FALSE),VLOOKUP($B312,Data!$B$3:$EZ1530,40,FALSE)),1),"")</f>
        <v>0.06996205118</v>
      </c>
      <c r="N312" s="48">
        <f>IFERROR(MINUS(DIVIDE(VLOOKUP($B312,Data!$B$3:$EZ1530,44,FALSE),VLOOKUP($B312,Data!$B$3:$EZ1530,45,FALSE)),1),"")</f>
        <v>0.03830883889</v>
      </c>
      <c r="O312" s="50">
        <f>IFERROR(VLOOKUP($B312,Data!$B$3:$D1530,2,FALSE),"")</f>
        <v>2270000</v>
      </c>
      <c r="P312" s="50">
        <f>IFERROR(VLOOKUP($B312,Data!$B$3:$D1530,3,FALSE),"")</f>
        <v>2110000</v>
      </c>
      <c r="Q312" s="48">
        <f t="shared" si="2"/>
        <v>0.07582938389</v>
      </c>
      <c r="R312" s="48"/>
      <c r="S312" s="48"/>
      <c r="T312" s="48"/>
      <c r="U312" s="48"/>
      <c r="V312" s="48"/>
      <c r="W312" s="50"/>
      <c r="Z312" s="15"/>
      <c r="AA312" s="15"/>
    </row>
    <row r="313">
      <c r="A313" s="9">
        <f t="shared" si="1"/>
        <v>310</v>
      </c>
      <c r="B313" s="47" t="s">
        <v>446</v>
      </c>
      <c r="C313" s="48">
        <f>IFERROR(DIVIDE(VLOOKUP($B313,Data!$B$3:$AB$1535,9,FALSE),VLOOKUP($B313,Data!$B$3:$AB$1535,4,FALSE)),"")</f>
        <v>0.2555660377</v>
      </c>
      <c r="D313" s="48">
        <f>IFERROR(DIVIDE(VLOOKUP($B313,Data!$B$3:$AB$1535,24,FALSE),VLOOKUP($B313,Data!$B$3:$AB$1535,4,FALSE)),"")</f>
        <v>0.03193081761</v>
      </c>
      <c r="E313" s="48">
        <f>IFERROR(DIVIDE(VLOOKUP($B313,Data!$B$3:$EZ1530,29,FALSE),VLOOKUP($B313,Data!$B$3:$EZ1530,4,FALSE)),"")</f>
        <v>0.02037735849</v>
      </c>
      <c r="F313" s="48">
        <f>IFERROR(DIVIDE(VLOOKUP($B313,Data!$B$3:$EZ1530,34,FALSE),VLOOKUP($B313,Data!$B$3:$EZ1530,4,FALSE)),"")</f>
        <v>0.05197484277</v>
      </c>
      <c r="G313" s="48">
        <f>IFERROR(DIVIDE(VLOOKUP($B313,Data!$B$3:$EZ1530,39,FALSE),VLOOKUP($B313,Data!$B$3:$EZ1530,4,FALSE)),"")</f>
        <v>0.01521383648</v>
      </c>
      <c r="H313" s="48">
        <f>IFERROR(DIVIDE(VLOOKUP($B313,Data!$B$3:$EZ1530,44,FALSE),VLOOKUP($B313,Data!$B$3:$EZ1530,4,FALSE)),"")</f>
        <v>0.0283081761</v>
      </c>
      <c r="I313" s="48">
        <f>IFERROR(MINUS(DIVIDE(VLOOKUP($B313,Data!$B$3:$EZ1530,9,FALSE),VLOOKUP($B313,Data!$B$3:$EZ1530,10,FALSE)),1),"")</f>
        <v>0.1070698815</v>
      </c>
      <c r="J313" s="48">
        <f>IFERROR(MINUS(DIVIDE(VLOOKUP($B313,Data!$B$3:$EZ1530,24,FALSE),VLOOKUP($B313,Data!$B$3:$EZ1530,25,FALSE)),1),"")</f>
        <v>0.04122231337</v>
      </c>
      <c r="K313" s="48">
        <f>IFERROR(MINUS(DIVIDE(VLOOKUP($B313,Data!$B$3:$EZ1530,29,FALSE),VLOOKUP($B313,Data!$B$3:$EZ1530,30,FALSE)),1),"")</f>
        <v>0.1637931034</v>
      </c>
      <c r="L313" s="48">
        <f>IFERROR(MINUS(DIVIDE(VLOOKUP($B313,Data!$B$3:$EZ1530,34,FALSE),VLOOKUP($B313,Data!$B$3:$EZ1530,35,FALSE)),1),"")</f>
        <v>0.1412788289</v>
      </c>
      <c r="M313" s="48">
        <f>IFERROR(MINUS(DIVIDE(VLOOKUP($B313,Data!$B$3:$EZ1530,39,FALSE),VLOOKUP($B313,Data!$B$3:$EZ1530,40,FALSE)),1),"")</f>
        <v>0.1857843137</v>
      </c>
      <c r="N313" s="48">
        <f>IFERROR(MINUS(DIVIDE(VLOOKUP($B313,Data!$B$3:$EZ1530,44,FALSE),VLOOKUP($B313,Data!$B$3:$EZ1530,45,FALSE)),1),"")</f>
        <v>-0.001552795031</v>
      </c>
      <c r="O313" s="50">
        <f>IFERROR(VLOOKUP($B313,Data!$B$3:$D1530,2,FALSE),"")</f>
        <v>1420000</v>
      </c>
      <c r="P313" s="50">
        <f>IFERROR(VLOOKUP($B313,Data!$B$3:$D1530,3,FALSE),"")</f>
        <v>1160000</v>
      </c>
      <c r="Q313" s="48">
        <f t="shared" si="2"/>
        <v>0.224137931</v>
      </c>
      <c r="R313" s="48"/>
      <c r="S313" s="48"/>
      <c r="T313" s="48"/>
      <c r="U313" s="48"/>
      <c r="V313" s="48"/>
      <c r="W313" s="50"/>
      <c r="Z313" s="15"/>
      <c r="AA313" s="15"/>
    </row>
    <row r="314">
      <c r="A314" s="9">
        <f t="shared" si="1"/>
        <v>311</v>
      </c>
      <c r="B314" s="47" t="s">
        <v>447</v>
      </c>
      <c r="C314" s="48">
        <f>IFERROR(DIVIDE(VLOOKUP($B314,Data!$B$3:$AB$1535,9,FALSE),VLOOKUP($B314,Data!$B$3:$AB$1535,4,FALSE)),"")</f>
        <v>0.4526216216</v>
      </c>
      <c r="D314" s="48">
        <f>IFERROR(DIVIDE(VLOOKUP($B314,Data!$B$3:$AB$1535,24,FALSE),VLOOKUP($B314,Data!$B$3:$AB$1535,4,FALSE)),"")</f>
        <v>0.2897027027</v>
      </c>
      <c r="E314" s="48">
        <f>IFERROR(DIVIDE(VLOOKUP($B314,Data!$B$3:$EZ1530,29,FALSE),VLOOKUP($B314,Data!$B$3:$EZ1530,4,FALSE)),"")</f>
        <v>0.2431801802</v>
      </c>
      <c r="F314" s="48">
        <f>IFERROR(DIVIDE(VLOOKUP($B314,Data!$B$3:$EZ1530,34,FALSE),VLOOKUP($B314,Data!$B$3:$EZ1530,4,FALSE)),"")</f>
        <v>0.3330540541</v>
      </c>
      <c r="G314" s="48">
        <f>IFERROR(DIVIDE(VLOOKUP($B314,Data!$B$3:$EZ1530,39,FALSE),VLOOKUP($B314,Data!$B$3:$EZ1530,4,FALSE)),"")</f>
        <v>0.1995765766</v>
      </c>
      <c r="H314" s="48">
        <f>IFERROR(DIVIDE(VLOOKUP($B314,Data!$B$3:$EZ1530,44,FALSE),VLOOKUP($B314,Data!$B$3:$EZ1530,4,FALSE)),"")</f>
        <v>0.252972973</v>
      </c>
      <c r="I314" s="48">
        <f>IFERROR(MINUS(DIVIDE(VLOOKUP($B314,Data!$B$3:$EZ1530,9,FALSE),VLOOKUP($B314,Data!$B$3:$EZ1530,10,FALSE)),1),"")</f>
        <v>0.019687037</v>
      </c>
      <c r="J314" s="48">
        <f>IFERROR(MINUS(DIVIDE(VLOOKUP($B314,Data!$B$3:$EZ1530,24,FALSE),VLOOKUP($B314,Data!$B$3:$EZ1530,25,FALSE)),1),"")</f>
        <v>0.01412848087</v>
      </c>
      <c r="K314" s="48">
        <f>IFERROR(MINUS(DIVIDE(VLOOKUP($B314,Data!$B$3:$EZ1530,29,FALSE),VLOOKUP($B314,Data!$B$3:$EZ1530,30,FALSE)),1),"")</f>
        <v>-0.0121861963</v>
      </c>
      <c r="L314" s="48">
        <f>IFERROR(MINUS(DIVIDE(VLOOKUP($B314,Data!$B$3:$EZ1530,34,FALSE),VLOOKUP($B314,Data!$B$3:$EZ1530,35,FALSE)),1),"")</f>
        <v>0.03667872466</v>
      </c>
      <c r="M314" s="48">
        <f>IFERROR(MINUS(DIVIDE(VLOOKUP($B314,Data!$B$3:$EZ1530,39,FALSE),VLOOKUP($B314,Data!$B$3:$EZ1530,40,FALSE)),1),"")</f>
        <v>0.02984519548</v>
      </c>
      <c r="N314" s="48">
        <f>IFERROR(MINUS(DIVIDE(VLOOKUP($B314,Data!$B$3:$EZ1530,44,FALSE),VLOOKUP($B314,Data!$B$3:$EZ1530,45,FALSE)),1),"")</f>
        <v>0.1615785555</v>
      </c>
      <c r="O314" s="50">
        <f>IFERROR(VLOOKUP($B314,Data!$B$3:$D1530,2,FALSE),"")</f>
        <v>1060000</v>
      </c>
      <c r="P314" s="50">
        <f>IFERROR(VLOOKUP($B314,Data!$B$3:$D1530,3,FALSE),"")</f>
        <v>845690</v>
      </c>
      <c r="Q314" s="48">
        <f t="shared" si="2"/>
        <v>0.2534143717</v>
      </c>
      <c r="R314" s="48"/>
      <c r="S314" s="48"/>
      <c r="T314" s="48"/>
      <c r="U314" s="48"/>
      <c r="V314" s="48"/>
      <c r="W314" s="50"/>
      <c r="Z314" s="11"/>
      <c r="AA314" s="11"/>
    </row>
    <row r="315">
      <c r="A315" s="9">
        <f t="shared" si="1"/>
        <v>312</v>
      </c>
      <c r="B315" s="47" t="s">
        <v>448</v>
      </c>
      <c r="C315" s="48" t="str">
        <f>IFERROR(DIVIDE(VLOOKUP($B315,Data!$B$3:$AB$1535,9,FALSE),VLOOKUP($B315,Data!$B$3:$AB$1535,4,FALSE)),"")</f>
        <v/>
      </c>
      <c r="D315" s="48" t="str">
        <f>IFERROR(DIVIDE(VLOOKUP($B315,Data!$B$3:$AB$1535,24,FALSE),VLOOKUP($B315,Data!$B$3:$AB$1535,4,FALSE)),"")</f>
        <v/>
      </c>
      <c r="E315" s="48" t="str">
        <f>IFERROR(DIVIDE(VLOOKUP($B315,Data!$B$3:$EZ1530,29,FALSE),VLOOKUP($B315,Data!$B$3:$EZ1530,4,FALSE)),"")</f>
        <v/>
      </c>
      <c r="F315" s="48" t="str">
        <f>IFERROR(DIVIDE(VLOOKUP($B315,Data!$B$3:$EZ1530,34,FALSE),VLOOKUP($B315,Data!$B$3:$EZ1530,4,FALSE)),"")</f>
        <v/>
      </c>
      <c r="G315" s="48" t="str">
        <f>IFERROR(DIVIDE(VLOOKUP($B315,Data!$B$3:$EZ1530,39,FALSE),VLOOKUP($B315,Data!$B$3:$EZ1530,4,FALSE)),"")</f>
        <v/>
      </c>
      <c r="H315" s="48" t="str">
        <f>IFERROR(DIVIDE(VLOOKUP($B315,Data!$B$3:$EZ1530,44,FALSE),VLOOKUP($B315,Data!$B$3:$EZ1530,4,FALSE)),"")</f>
        <v/>
      </c>
      <c r="I315" s="48">
        <f>IFERROR(MINUS(DIVIDE(VLOOKUP($B315,Data!$B$3:$EZ1530,9,FALSE),VLOOKUP($B315,Data!$B$3:$EZ1530,10,FALSE)),1),"")</f>
        <v>3.25</v>
      </c>
      <c r="J315" s="48" t="str">
        <f>IFERROR(MINUS(DIVIDE(VLOOKUP($B315,Data!$B$3:$EZ1530,24,FALSE),VLOOKUP($B315,Data!$B$3:$EZ1530,25,FALSE)),1),"")</f>
        <v/>
      </c>
      <c r="K315" s="48">
        <f>IFERROR(MINUS(DIVIDE(VLOOKUP($B315,Data!$B$3:$EZ1530,29,FALSE),VLOOKUP($B315,Data!$B$3:$EZ1530,30,FALSE)),1),"")</f>
        <v>0.1518056887</v>
      </c>
      <c r="L315" s="48">
        <f>IFERROR(MINUS(DIVIDE(VLOOKUP($B315,Data!$B$3:$EZ1530,34,FALSE),VLOOKUP($B315,Data!$B$3:$EZ1530,35,FALSE)),1),"")</f>
        <v>0.1537984496</v>
      </c>
      <c r="M315" s="48">
        <f>IFERROR(MINUS(DIVIDE(VLOOKUP($B315,Data!$B$3:$EZ1530,39,FALSE),VLOOKUP($B315,Data!$B$3:$EZ1530,40,FALSE)),1),"")</f>
        <v>0.1618682022</v>
      </c>
      <c r="N315" s="48">
        <f>IFERROR(MINUS(DIVIDE(VLOOKUP($B315,Data!$B$3:$EZ1530,44,FALSE),VLOOKUP($B315,Data!$B$3:$EZ1530,45,FALSE)),1),"")</f>
        <v>0.4533001245</v>
      </c>
      <c r="O315" s="50">
        <f>IFERROR(VLOOKUP($B315,Data!$B$3:$D1530,2,FALSE),"")</f>
        <v>33480</v>
      </c>
      <c r="P315" s="50">
        <f>IFERROR(VLOOKUP($B315,Data!$B$3:$D1530,3,FALSE),"")</f>
        <v>1960</v>
      </c>
      <c r="Q315" s="48">
        <f t="shared" si="2"/>
        <v>16.08163265</v>
      </c>
      <c r="R315" s="48"/>
      <c r="S315" s="48"/>
      <c r="T315" s="48"/>
      <c r="U315" s="48"/>
      <c r="V315" s="48"/>
      <c r="W315" s="50"/>
      <c r="Z315" s="15"/>
      <c r="AA315" s="15"/>
    </row>
    <row r="316">
      <c r="A316" s="9">
        <f t="shared" si="1"/>
        <v>313</v>
      </c>
      <c r="B316" s="47" t="s">
        <v>449</v>
      </c>
      <c r="C316" s="48">
        <f>IFERROR(DIVIDE(VLOOKUP($B316,Data!$B$3:$AB$1535,9,FALSE),VLOOKUP($B316,Data!$B$3:$AB$1535,4,FALSE)),"")</f>
        <v>0.4735929648</v>
      </c>
      <c r="D316" s="48">
        <f>IFERROR(DIVIDE(VLOOKUP($B316,Data!$B$3:$AB$1535,24,FALSE),VLOOKUP($B316,Data!$B$3:$AB$1535,4,FALSE)),"")</f>
        <v>-0.005648241206</v>
      </c>
      <c r="E316" s="48">
        <f>IFERROR(DIVIDE(VLOOKUP($B316,Data!$B$3:$EZ1530,29,FALSE),VLOOKUP($B316,Data!$B$3:$EZ1530,4,FALSE)),"")</f>
        <v>0.002527638191</v>
      </c>
      <c r="F316" s="48">
        <f>IFERROR(DIVIDE(VLOOKUP($B316,Data!$B$3:$EZ1530,34,FALSE),VLOOKUP($B316,Data!$B$3:$EZ1530,4,FALSE)),"")</f>
        <v>0.04167336683</v>
      </c>
      <c r="G316" s="48">
        <f>IFERROR(DIVIDE(VLOOKUP($B316,Data!$B$3:$EZ1530,39,FALSE),VLOOKUP($B316,Data!$B$3:$EZ1530,4,FALSE)),"")</f>
        <v>-0.001015075377</v>
      </c>
      <c r="H316" s="48">
        <f>IFERROR(DIVIDE(VLOOKUP($B316,Data!$B$3:$EZ1530,44,FALSE),VLOOKUP($B316,Data!$B$3:$EZ1530,4,FALSE)),"")</f>
        <v>0.04683417085</v>
      </c>
      <c r="I316" s="48">
        <f>IFERROR(MINUS(DIVIDE(VLOOKUP($B316,Data!$B$3:$EZ1530,9,FALSE),VLOOKUP($B316,Data!$B$3:$EZ1530,10,FALSE)),1),"")</f>
        <v>-0.004447214417</v>
      </c>
      <c r="J316" s="48">
        <f>IFERROR(MINUS(DIVIDE(VLOOKUP($B316,Data!$B$3:$EZ1530,24,FALSE),VLOOKUP($B316,Data!$B$3:$EZ1530,25,FALSE)),1),"")</f>
        <v>-0.5301003344</v>
      </c>
      <c r="K316" s="48">
        <f>IFERROR(MINUS(DIVIDE(VLOOKUP($B316,Data!$B$3:$EZ1530,29,FALSE),VLOOKUP($B316,Data!$B$3:$EZ1530,30,FALSE)),1),"")</f>
        <v>-1.088462891</v>
      </c>
      <c r="L316" s="48">
        <f>IFERROR(MINUS(DIVIDE(VLOOKUP($B316,Data!$B$3:$EZ1530,34,FALSE),VLOOKUP($B316,Data!$B$3:$EZ1530,35,FALSE)),1),"")</f>
        <v>0.5966499807</v>
      </c>
      <c r="M316" s="48">
        <f>IFERROR(MINUS(DIVIDE(VLOOKUP($B316,Data!$B$3:$EZ1530,39,FALSE),VLOOKUP($B316,Data!$B$3:$EZ1530,40,FALSE)),1),"")</f>
        <v>-0.9625787329</v>
      </c>
      <c r="N316" s="48">
        <f>IFERROR(MINUS(DIVIDE(VLOOKUP($B316,Data!$B$3:$EZ1530,44,FALSE),VLOOKUP($B316,Data!$B$3:$EZ1530,45,FALSE)),1),"")</f>
        <v>16.58490566</v>
      </c>
      <c r="O316" s="50">
        <f>IFERROR(VLOOKUP($B316,Data!$B$3:$D1530,2,FALSE),"")</f>
        <v>479250</v>
      </c>
      <c r="P316" s="50">
        <f>IFERROR(VLOOKUP($B316,Data!$B$3:$D1530,3,FALSE),"")</f>
        <v>494580</v>
      </c>
      <c r="Q316" s="48">
        <f t="shared" si="2"/>
        <v>-0.0309959966</v>
      </c>
      <c r="R316" s="48"/>
      <c r="S316" s="48"/>
      <c r="T316" s="48"/>
      <c r="U316" s="48"/>
      <c r="V316" s="48"/>
      <c r="W316" s="50"/>
      <c r="Z316" s="15"/>
      <c r="AA316" s="15"/>
    </row>
    <row r="317">
      <c r="A317" s="9">
        <f t="shared" si="1"/>
        <v>314</v>
      </c>
      <c r="B317" s="47" t="s">
        <v>450</v>
      </c>
      <c r="C317" s="48">
        <f>IFERROR(DIVIDE(VLOOKUP($B317,Data!$B$3:$AB$1535,9,FALSE),VLOOKUP($B317,Data!$B$3:$AB$1535,4,FALSE)),"")</f>
        <v>0.08425865447</v>
      </c>
      <c r="D317" s="48">
        <f>IFERROR(DIVIDE(VLOOKUP($B317,Data!$B$3:$AB$1535,24,FALSE),VLOOKUP($B317,Data!$B$3:$AB$1535,4,FALSE)),"")</f>
        <v>0</v>
      </c>
      <c r="E317" s="48">
        <f>IFERROR(DIVIDE(VLOOKUP($B317,Data!$B$3:$EZ1530,29,FALSE),VLOOKUP($B317,Data!$B$3:$EZ1530,4,FALSE)),"")</f>
        <v>0.04848203788</v>
      </c>
      <c r="F317" s="48">
        <f>IFERROR(DIVIDE(VLOOKUP($B317,Data!$B$3:$EZ1530,34,FALSE),VLOOKUP($B317,Data!$B$3:$EZ1530,4,FALSE)),"")</f>
        <v>0.05816002613</v>
      </c>
      <c r="G317" s="48">
        <f>IFERROR(DIVIDE(VLOOKUP($B317,Data!$B$3:$EZ1530,39,FALSE),VLOOKUP($B317,Data!$B$3:$EZ1530,4,FALSE)),"")</f>
        <v>0.03768582626</v>
      </c>
      <c r="H317" s="48">
        <f>IFERROR(DIVIDE(VLOOKUP($B317,Data!$B$3:$EZ1530,44,FALSE),VLOOKUP($B317,Data!$B$3:$EZ1530,4,FALSE)),"")</f>
        <v>0.05456694971</v>
      </c>
      <c r="I317" s="48">
        <f>IFERROR(MINUS(DIVIDE(VLOOKUP($B317,Data!$B$3:$EZ1530,9,FALSE),VLOOKUP($B317,Data!$B$3:$EZ1530,10,FALSE)),1),"")</f>
        <v>-0.05147058824</v>
      </c>
      <c r="J317" s="48" t="str">
        <f>IFERROR(MINUS(DIVIDE(VLOOKUP($B317,Data!$B$3:$EZ1530,24,FALSE),VLOOKUP($B317,Data!$B$3:$EZ1530,25,FALSE)),1),"")</f>
        <v/>
      </c>
      <c r="K317" s="48">
        <f>IFERROR(MINUS(DIVIDE(VLOOKUP($B317,Data!$B$3:$EZ1530,29,FALSE),VLOOKUP($B317,Data!$B$3:$EZ1530,30,FALSE)),1),"")</f>
        <v>-0.1567814421</v>
      </c>
      <c r="L317" s="48">
        <f>IFERROR(MINUS(DIVIDE(VLOOKUP($B317,Data!$B$3:$EZ1530,34,FALSE),VLOOKUP($B317,Data!$B$3:$EZ1530,35,FALSE)),1),"")</f>
        <v>-0.1183861386</v>
      </c>
      <c r="M317" s="48">
        <f>IFERROR(MINUS(DIVIDE(VLOOKUP($B317,Data!$B$3:$EZ1530,39,FALSE),VLOOKUP($B317,Data!$B$3:$EZ1530,40,FALSE)),1),"")</f>
        <v>-0.1317361665</v>
      </c>
      <c r="N317" s="48">
        <f>IFERROR(MINUS(DIVIDE(VLOOKUP($B317,Data!$B$3:$EZ1530,44,FALSE),VLOOKUP($B317,Data!$B$3:$EZ1530,45,FALSE)),1),"")</f>
        <v>0.05362593013</v>
      </c>
      <c r="O317" s="50">
        <f>IFERROR(VLOOKUP($B317,Data!$B$3:$D1530,2,FALSE),"")</f>
        <v>15940000</v>
      </c>
      <c r="P317" s="50">
        <f>IFERROR(VLOOKUP($B317,Data!$B$3:$D1530,3,FALSE),"")</f>
        <v>15000000</v>
      </c>
      <c r="Q317" s="48">
        <f t="shared" si="2"/>
        <v>0.06266666667</v>
      </c>
      <c r="R317" s="48"/>
      <c r="S317" s="48"/>
      <c r="T317" s="48"/>
      <c r="U317" s="48"/>
      <c r="V317" s="48"/>
      <c r="W317" s="50"/>
      <c r="Z317" s="11"/>
      <c r="AA317" s="11"/>
    </row>
    <row r="318">
      <c r="A318" s="9">
        <f t="shared" si="1"/>
        <v>315</v>
      </c>
      <c r="B318" s="47" t="s">
        <v>451</v>
      </c>
      <c r="C318" s="48">
        <f>IFERROR(DIVIDE(VLOOKUP($B318,Data!$B$3:$AB$1535,9,FALSE),VLOOKUP($B318,Data!$B$3:$AB$1535,4,FALSE)),"")</f>
        <v>0.3501372549</v>
      </c>
      <c r="D318" s="48">
        <f>IFERROR(DIVIDE(VLOOKUP($B318,Data!$B$3:$AB$1535,24,FALSE),VLOOKUP($B318,Data!$B$3:$AB$1535,4,FALSE)),"")</f>
        <v>-0.005916666667</v>
      </c>
      <c r="E318" s="48">
        <f>IFERROR(DIVIDE(VLOOKUP($B318,Data!$B$3:$EZ1530,29,FALSE),VLOOKUP($B318,Data!$B$3:$EZ1530,4,FALSE)),"")</f>
        <v>-0.005857843137</v>
      </c>
      <c r="F318" s="48">
        <f>IFERROR(DIVIDE(VLOOKUP($B318,Data!$B$3:$EZ1530,34,FALSE),VLOOKUP($B318,Data!$B$3:$EZ1530,4,FALSE)),"")</f>
        <v>0.1486911765</v>
      </c>
      <c r="G318" s="48">
        <f>IFERROR(DIVIDE(VLOOKUP($B318,Data!$B$3:$EZ1530,39,FALSE),VLOOKUP($B318,Data!$B$3:$EZ1530,4,FALSE)),"")</f>
        <v>-0.00625</v>
      </c>
      <c r="H318" s="48">
        <f>IFERROR(DIVIDE(VLOOKUP($B318,Data!$B$3:$EZ1530,44,FALSE),VLOOKUP($B318,Data!$B$3:$EZ1530,4,FALSE)),"")</f>
        <v>0.1281715686</v>
      </c>
      <c r="I318" s="48">
        <f>IFERROR(MINUS(DIVIDE(VLOOKUP($B318,Data!$B$3:$EZ1530,9,FALSE),VLOOKUP($B318,Data!$B$3:$EZ1530,10,FALSE)),1),"")</f>
        <v>-0.09288562648</v>
      </c>
      <c r="J318" s="48">
        <f>IFERROR(MINUS(DIVIDE(VLOOKUP($B318,Data!$B$3:$EZ1530,24,FALSE),VLOOKUP($B318,Data!$B$3:$EZ1530,25,FALSE)),1),"")</f>
        <v>-1.276391115</v>
      </c>
      <c r="K318" s="48">
        <f>IFERROR(MINUS(DIVIDE(VLOOKUP($B318,Data!$B$3:$EZ1530,29,FALSE),VLOOKUP($B318,Data!$B$3:$EZ1530,30,FALSE)),1),"")</f>
        <v>-1.275917802</v>
      </c>
      <c r="L318" s="48">
        <f>IFERROR(MINUS(DIVIDE(VLOOKUP($B318,Data!$B$3:$EZ1530,34,FALSE),VLOOKUP($B318,Data!$B$3:$EZ1530,35,FALSE)),1),"")</f>
        <v>0.9077358491</v>
      </c>
      <c r="M318" s="48">
        <f>IFERROR(MINUS(DIVIDE(VLOOKUP($B318,Data!$B$3:$EZ1530,39,FALSE),VLOOKUP($B318,Data!$B$3:$EZ1530,40,FALSE)),1),"")</f>
        <v>-1.367117766</v>
      </c>
      <c r="N318" s="48">
        <f>IFERROR(MINUS(DIVIDE(VLOOKUP($B318,Data!$B$3:$EZ1530,44,FALSE),VLOOKUP($B318,Data!$B$3:$EZ1530,45,FALSE)),1),"")</f>
        <v>0.6541405706</v>
      </c>
      <c r="O318" s="50">
        <f>IFERROR(VLOOKUP($B318,Data!$B$3:$D1530,2,FALSE),"")</f>
        <v>1810000</v>
      </c>
      <c r="P318" s="50">
        <f>IFERROR(VLOOKUP($B318,Data!$B$3:$D1530,3,FALSE),"")</f>
        <v>1580000</v>
      </c>
      <c r="Q318" s="48">
        <f t="shared" si="2"/>
        <v>0.1455696203</v>
      </c>
      <c r="R318" s="48"/>
      <c r="S318" s="48"/>
      <c r="T318" s="48"/>
      <c r="U318" s="48"/>
      <c r="V318" s="48"/>
      <c r="W318" s="50"/>
      <c r="Z318" s="11"/>
      <c r="AA318" s="11"/>
    </row>
    <row r="319">
      <c r="A319" s="9">
        <f t="shared" si="1"/>
        <v>316</v>
      </c>
      <c r="B319" s="47" t="s">
        <v>452</v>
      </c>
      <c r="C319" s="48">
        <f>IFERROR(DIVIDE(VLOOKUP($B319,Data!$B$3:$AB$1535,9,FALSE),VLOOKUP($B319,Data!$B$3:$AB$1535,4,FALSE)),"")</f>
        <v>0.1182568721</v>
      </c>
      <c r="D319" s="48">
        <f>IFERROR(DIVIDE(VLOOKUP($B319,Data!$B$3:$AB$1535,24,FALSE),VLOOKUP($B319,Data!$B$3:$AB$1535,4,FALSE)),"")</f>
        <v>0.01498733465</v>
      </c>
      <c r="E319" s="48">
        <f>IFERROR(DIVIDE(VLOOKUP($B319,Data!$B$3:$EZ1530,29,FALSE),VLOOKUP($B319,Data!$B$3:$EZ1530,4,FALSE)),"")</f>
        <v>0.007763392438</v>
      </c>
      <c r="F319" s="48">
        <f>IFERROR(DIVIDE(VLOOKUP($B319,Data!$B$3:$EZ1530,34,FALSE),VLOOKUP($B319,Data!$B$3:$EZ1530,4,FALSE)),"")</f>
        <v>0.1007130125</v>
      </c>
      <c r="G319" s="48">
        <f>IFERROR(DIVIDE(VLOOKUP($B319,Data!$B$3:$EZ1530,39,FALSE),VLOOKUP($B319,Data!$B$3:$EZ1530,4,FALSE)),"")</f>
        <v>0.01458861056</v>
      </c>
      <c r="H319" s="48">
        <f>IFERROR(DIVIDE(VLOOKUP($B319,Data!$B$3:$EZ1530,44,FALSE),VLOOKUP($B319,Data!$B$3:$EZ1530,4,FALSE)),"")</f>
        <v>0.1036917159</v>
      </c>
      <c r="I319" s="48">
        <f>IFERROR(MINUS(DIVIDE(VLOOKUP($B319,Data!$B$3:$EZ1530,9,FALSE),VLOOKUP($B319,Data!$B$3:$EZ1530,10,FALSE)),1),"")</f>
        <v>0.1294802867</v>
      </c>
      <c r="J319" s="48">
        <f>IFERROR(MINUS(DIVIDE(VLOOKUP($B319,Data!$B$3:$EZ1530,24,FALSE),VLOOKUP($B319,Data!$B$3:$EZ1530,25,FALSE)),1),"")</f>
        <v>-0.1647058824</v>
      </c>
      <c r="K319" s="48">
        <f>IFERROR(MINUS(DIVIDE(VLOOKUP($B319,Data!$B$3:$EZ1530,29,FALSE),VLOOKUP($B319,Data!$B$3:$EZ1530,30,FALSE)),1),"")</f>
        <v>0.03761755486</v>
      </c>
      <c r="L319" s="48">
        <f>IFERROR(MINUS(DIVIDE(VLOOKUP($B319,Data!$B$3:$EZ1530,34,FALSE),VLOOKUP($B319,Data!$B$3:$EZ1530,35,FALSE)),1),"")</f>
        <v>0.0791656195</v>
      </c>
      <c r="M319" s="48">
        <f>IFERROR(MINUS(DIVIDE(VLOOKUP($B319,Data!$B$3:$EZ1530,39,FALSE),VLOOKUP($B319,Data!$B$3:$EZ1530,40,FALSE)),1),"")</f>
        <v>0.1227436823</v>
      </c>
      <c r="N319" s="48">
        <f>IFERROR(MINUS(DIVIDE(VLOOKUP($B319,Data!$B$3:$EZ1530,44,FALSE),VLOOKUP($B319,Data!$B$3:$EZ1530,45,FALSE)),1),"")</f>
        <v>-0.07664995823</v>
      </c>
      <c r="O319" s="50">
        <f>IFERROR(VLOOKUP($B319,Data!$B$3:$D1530,2,FALSE),"")</f>
        <v>409240</v>
      </c>
      <c r="P319" s="50">
        <f>IFERROR(VLOOKUP($B319,Data!$B$3:$D1530,3,FALSE),"")</f>
        <v>330150</v>
      </c>
      <c r="Q319" s="48">
        <f t="shared" si="2"/>
        <v>0.2395577768</v>
      </c>
      <c r="R319" s="48"/>
      <c r="S319" s="48"/>
      <c r="T319" s="48"/>
      <c r="U319" s="48"/>
      <c r="V319" s="48"/>
      <c r="W319" s="50"/>
      <c r="Z319" s="11"/>
      <c r="AA319" s="11"/>
    </row>
    <row r="320">
      <c r="A320" s="9">
        <f t="shared" si="1"/>
        <v>317</v>
      </c>
      <c r="B320" s="47" t="s">
        <v>453</v>
      </c>
      <c r="C320" s="48">
        <f>IFERROR(DIVIDE(VLOOKUP($B320,Data!$B$3:$AB$1535,9,FALSE),VLOOKUP($B320,Data!$B$3:$AB$1535,4,FALSE)),"")</f>
        <v>0.4419951429</v>
      </c>
      <c r="D320" s="48">
        <f>IFERROR(DIVIDE(VLOOKUP($B320,Data!$B$3:$AB$1535,24,FALSE),VLOOKUP($B320,Data!$B$3:$AB$1535,4,FALSE)),"")</f>
        <v>0</v>
      </c>
      <c r="E320" s="48">
        <f>IFERROR(DIVIDE(VLOOKUP($B320,Data!$B$3:$EZ1530,29,FALSE),VLOOKUP($B320,Data!$B$3:$EZ1530,4,FALSE)),"")</f>
        <v>-0.2983373809</v>
      </c>
      <c r="F320" s="48">
        <f>IFERROR(DIVIDE(VLOOKUP($B320,Data!$B$3:$EZ1530,34,FALSE),VLOOKUP($B320,Data!$B$3:$EZ1530,4,FALSE)),"")</f>
        <v>0.1518774519</v>
      </c>
      <c r="G320" s="48">
        <f>IFERROR(DIVIDE(VLOOKUP($B320,Data!$B$3:$EZ1530,39,FALSE),VLOOKUP($B320,Data!$B$3:$EZ1530,4,FALSE)),"")</f>
        <v>-0.3031944704</v>
      </c>
      <c r="H320" s="48">
        <f>IFERROR(DIVIDE(VLOOKUP($B320,Data!$B$3:$EZ1530,44,FALSE),VLOOKUP($B320,Data!$B$3:$EZ1530,4,FALSE)),"")</f>
        <v>0.2071735475</v>
      </c>
      <c r="I320" s="48">
        <f>IFERROR(MINUS(DIVIDE(VLOOKUP($B320,Data!$B$3:$EZ1530,9,FALSE),VLOOKUP($B320,Data!$B$3:$EZ1530,10,FALSE)),1),"")</f>
        <v>-0.2157772622</v>
      </c>
      <c r="J320" s="48">
        <f>IFERROR(MINUS(DIVIDE(VLOOKUP($B320,Data!$B$3:$EZ1530,24,FALSE),VLOOKUP($B320,Data!$B$3:$EZ1530,25,FALSE)),1),"")</f>
        <v>-1</v>
      </c>
      <c r="K320" s="48">
        <f>IFERROR(MINUS(DIVIDE(VLOOKUP($B320,Data!$B$3:$EZ1530,29,FALSE),VLOOKUP($B320,Data!$B$3:$EZ1530,30,FALSE)),1),"")</f>
        <v>-0.1171918187</v>
      </c>
      <c r="L320" s="48">
        <f>IFERROR(MINUS(DIVIDE(VLOOKUP($B320,Data!$B$3:$EZ1530,34,FALSE),VLOOKUP($B320,Data!$B$3:$EZ1530,35,FALSE)),1),"")</f>
        <v>-0.5657051282</v>
      </c>
      <c r="M320" s="48">
        <f>IFERROR(MINUS(DIVIDE(VLOOKUP($B320,Data!$B$3:$EZ1530,39,FALSE),VLOOKUP($B320,Data!$B$3:$EZ1530,40,FALSE)),1),"")</f>
        <v>-0.1203252033</v>
      </c>
      <c r="N320" s="48">
        <f>IFERROR(MINUS(DIVIDE(VLOOKUP($B320,Data!$B$3:$EZ1530,44,FALSE),VLOOKUP($B320,Data!$B$3:$EZ1530,45,FALSE)),1),"")</f>
        <v>-0.5049107143</v>
      </c>
      <c r="O320" s="50">
        <f>IFERROR(VLOOKUP($B320,Data!$B$3:$D1530,2,FALSE),"")</f>
        <v>119800</v>
      </c>
      <c r="P320" s="50">
        <f>IFERROR(VLOOKUP($B320,Data!$B$3:$D1530,3,FALSE),"")</f>
        <v>44100</v>
      </c>
      <c r="Q320" s="48">
        <f t="shared" si="2"/>
        <v>1.716553288</v>
      </c>
      <c r="R320" s="48"/>
      <c r="S320" s="48"/>
      <c r="T320" s="48"/>
      <c r="U320" s="48"/>
      <c r="V320" s="48"/>
      <c r="W320" s="50"/>
      <c r="Z320" s="11"/>
      <c r="AA320" s="11"/>
    </row>
    <row r="321">
      <c r="A321" s="9">
        <f t="shared" si="1"/>
        <v>318</v>
      </c>
      <c r="B321" s="47" t="s">
        <v>454</v>
      </c>
      <c r="C321" s="48">
        <f>IFERROR(DIVIDE(VLOOKUP($B321,Data!$B$3:$AB$1535,9,FALSE),VLOOKUP($B321,Data!$B$3:$AB$1535,4,FALSE)),"")</f>
        <v>0.2494261668</v>
      </c>
      <c r="D321" s="48">
        <f>IFERROR(DIVIDE(VLOOKUP($B321,Data!$B$3:$AB$1535,24,FALSE),VLOOKUP($B321,Data!$B$3:$AB$1535,4,FALSE)),"")</f>
        <v>0</v>
      </c>
      <c r="E321" s="48">
        <f>IFERROR(DIVIDE(VLOOKUP($B321,Data!$B$3:$EZ1530,29,FALSE),VLOOKUP($B321,Data!$B$3:$EZ1530,4,FALSE)),"")</f>
        <v>0.194338179</v>
      </c>
      <c r="F321" s="48">
        <f>IFERROR(DIVIDE(VLOOKUP($B321,Data!$B$3:$EZ1530,34,FALSE),VLOOKUP($B321,Data!$B$3:$EZ1530,4,FALSE)),"")</f>
        <v>0.2559296098</v>
      </c>
      <c r="G321" s="48">
        <f>IFERROR(DIVIDE(VLOOKUP($B321,Data!$B$3:$EZ1530,39,FALSE),VLOOKUP($B321,Data!$B$3:$EZ1530,4,FALSE)),"")</f>
        <v>0.09296097934</v>
      </c>
      <c r="H321" s="48">
        <f>IFERROR(DIVIDE(VLOOKUP($B321,Data!$B$3:$EZ1530,44,FALSE),VLOOKUP($B321,Data!$B$3:$EZ1530,4,FALSE)),"")</f>
        <v>0.1985462892</v>
      </c>
      <c r="I321" s="48">
        <f>IFERROR(MINUS(DIVIDE(VLOOKUP($B321,Data!$B$3:$EZ1530,9,FALSE),VLOOKUP($B321,Data!$B$3:$EZ1530,10,FALSE)),1),"")</f>
        <v>0.2684824903</v>
      </c>
      <c r="J321" s="48">
        <f>IFERROR(MINUS(DIVIDE(VLOOKUP($B321,Data!$B$3:$EZ1530,24,FALSE),VLOOKUP($B321,Data!$B$3:$EZ1530,25,FALSE)),1),"")</f>
        <v>-1</v>
      </c>
      <c r="K321" s="48">
        <f>IFERROR(MINUS(DIVIDE(VLOOKUP($B321,Data!$B$3:$EZ1530,29,FALSE),VLOOKUP($B321,Data!$B$3:$EZ1530,30,FALSE)),1),"")</f>
        <v>-0.01359223301</v>
      </c>
      <c r="L321" s="48">
        <f>IFERROR(MINUS(DIVIDE(VLOOKUP($B321,Data!$B$3:$EZ1530,34,FALSE),VLOOKUP($B321,Data!$B$3:$EZ1530,35,FALSE)),1),"")</f>
        <v>0.2504672897</v>
      </c>
      <c r="M321" s="48">
        <f>IFERROR(MINUS(DIVIDE(VLOOKUP($B321,Data!$B$3:$EZ1530,39,FALSE),VLOOKUP($B321,Data!$B$3:$EZ1530,40,FALSE)),1),"")</f>
        <v>-0.006134969325</v>
      </c>
      <c r="N321" s="48">
        <f>IFERROR(MINUS(DIVIDE(VLOOKUP($B321,Data!$B$3:$EZ1530,44,FALSE),VLOOKUP($B321,Data!$B$3:$EZ1530,45,FALSE)),1),"")</f>
        <v>-0.3600493218</v>
      </c>
      <c r="O321" s="50">
        <f>IFERROR(VLOOKUP($B321,Data!$B$3:$D1530,2,FALSE),"")</f>
        <v>531300</v>
      </c>
      <c r="P321" s="50" t="str">
        <f>IFERROR(VLOOKUP($B321,Data!$B$3:$D1530,3,FALSE),"")</f>
        <v/>
      </c>
      <c r="Q321" s="48" t="str">
        <f t="shared" si="2"/>
        <v/>
      </c>
      <c r="R321" s="48"/>
      <c r="S321" s="48"/>
      <c r="T321" s="48"/>
      <c r="U321" s="48"/>
      <c r="V321" s="48"/>
      <c r="W321" s="50"/>
      <c r="Z321" s="15"/>
      <c r="AA321" s="15"/>
    </row>
    <row r="322">
      <c r="A322" s="9">
        <f t="shared" si="1"/>
        <v>319</v>
      </c>
      <c r="B322" s="47" t="s">
        <v>455</v>
      </c>
      <c r="C322" s="48">
        <f>IFERROR(DIVIDE(VLOOKUP($B322,Data!$B$3:$AB$1535,9,FALSE),VLOOKUP($B322,Data!$B$3:$AB$1535,4,FALSE)),"")</f>
        <v>0.2175914088</v>
      </c>
      <c r="D322" s="48">
        <f>IFERROR(DIVIDE(VLOOKUP($B322,Data!$B$3:$AB$1535,24,FALSE),VLOOKUP($B322,Data!$B$3:$AB$1535,4,FALSE)),"")</f>
        <v>-0.05625159806</v>
      </c>
      <c r="E322" s="48">
        <f>IFERROR(DIVIDE(VLOOKUP($B322,Data!$B$3:$EZ1530,29,FALSE),VLOOKUP($B322,Data!$B$3:$EZ1530,4,FALSE)),"")</f>
        <v>-0.05488792295</v>
      </c>
      <c r="F322" s="48">
        <f>IFERROR(DIVIDE(VLOOKUP($B322,Data!$B$3:$EZ1530,34,FALSE),VLOOKUP($B322,Data!$B$3:$EZ1530,4,FALSE)),"")</f>
        <v>-0.03656353874</v>
      </c>
      <c r="G322" s="48">
        <f>IFERROR(DIVIDE(VLOOKUP($B322,Data!$B$3:$EZ1530,39,FALSE),VLOOKUP($B322,Data!$B$3:$EZ1530,4,FALSE)),"")</f>
        <v>-0.04951845223</v>
      </c>
      <c r="H322" s="48">
        <f>IFERROR(DIVIDE(VLOOKUP($B322,Data!$B$3:$EZ1530,44,FALSE),VLOOKUP($B322,Data!$B$3:$EZ1530,4,FALSE)),"")</f>
        <v>-0.05889371857</v>
      </c>
      <c r="I322" s="48">
        <f>IFERROR(MINUS(DIVIDE(VLOOKUP($B322,Data!$B$3:$EZ1530,9,FALSE),VLOOKUP($B322,Data!$B$3:$EZ1530,10,FALSE)),1),"")</f>
        <v>0.01672640382</v>
      </c>
      <c r="J322" s="48">
        <f>IFERROR(MINUS(DIVIDE(VLOOKUP($B322,Data!$B$3:$EZ1530,24,FALSE),VLOOKUP($B322,Data!$B$3:$EZ1530,25,FALSE)),1),"")</f>
        <v>4.5</v>
      </c>
      <c r="K322" s="48">
        <f>IFERROR(MINUS(DIVIDE(VLOOKUP($B322,Data!$B$3:$EZ1530,29,FALSE),VLOOKUP($B322,Data!$B$3:$EZ1530,30,FALSE)),1),"")</f>
        <v>4.457627119</v>
      </c>
      <c r="L322" s="48">
        <f>IFERROR(MINUS(DIVIDE(VLOOKUP($B322,Data!$B$3:$EZ1530,34,FALSE),VLOOKUP($B322,Data!$B$3:$EZ1530,35,FALSE)),1),"")</f>
        <v>-8.486910995</v>
      </c>
      <c r="M322" s="48">
        <f>IFERROR(MINUS(DIVIDE(VLOOKUP($B322,Data!$B$3:$EZ1530,39,FALSE),VLOOKUP($B322,Data!$B$3:$EZ1530,40,FALSE)),1),"")</f>
        <v>5.274298056</v>
      </c>
      <c r="N322" s="48">
        <f>IFERROR(MINUS(DIVIDE(VLOOKUP($B322,Data!$B$3:$EZ1530,44,FALSE),VLOOKUP($B322,Data!$B$3:$EZ1530,45,FALSE)),1),"")</f>
        <v>0.2339285714</v>
      </c>
      <c r="O322" s="50" t="str">
        <f>IFERROR(VLOOKUP($B322,Data!$B$3:$D1530,2,FALSE),"")</f>
        <v/>
      </c>
      <c r="P322" s="50" t="str">
        <f>IFERROR(VLOOKUP($B322,Data!$B$3:$D1530,3,FALSE),"")</f>
        <v/>
      </c>
      <c r="Q322" s="48" t="str">
        <f t="shared" si="2"/>
        <v/>
      </c>
      <c r="R322" s="48"/>
      <c r="S322" s="48"/>
      <c r="T322" s="48"/>
      <c r="U322" s="48"/>
      <c r="V322" s="48"/>
      <c r="W322" s="50"/>
      <c r="Z322" s="12"/>
      <c r="AA322" s="12"/>
    </row>
    <row r="323">
      <c r="A323" s="9">
        <f t="shared" si="1"/>
        <v>320</v>
      </c>
      <c r="B323" s="47" t="s">
        <v>456</v>
      </c>
      <c r="C323" s="48">
        <f>IFERROR(DIVIDE(VLOOKUP($B323,Data!$B$3:$AB$1535,9,FALSE),VLOOKUP($B323,Data!$B$3:$AB$1535,4,FALSE)),"")</f>
        <v>0.1847069265</v>
      </c>
      <c r="D323" s="48">
        <f>IFERROR(DIVIDE(VLOOKUP($B323,Data!$B$3:$AB$1535,24,FALSE),VLOOKUP($B323,Data!$B$3:$AB$1535,4,FALSE)),"")</f>
        <v>0.05000187507</v>
      </c>
      <c r="E323" s="48">
        <f>IFERROR(DIVIDE(VLOOKUP($B323,Data!$B$3:$EZ1530,29,FALSE),VLOOKUP($B323,Data!$B$3:$EZ1530,4,FALSE)),"")</f>
        <v>0.06137730165</v>
      </c>
      <c r="F323" s="48">
        <f>IFERROR(DIVIDE(VLOOKUP($B323,Data!$B$3:$EZ1530,34,FALSE),VLOOKUP($B323,Data!$B$3:$EZ1530,4,FALSE)),"")</f>
        <v>0.1385301949</v>
      </c>
      <c r="G323" s="48">
        <f>IFERROR(DIVIDE(VLOOKUP($B323,Data!$B$3:$EZ1530,39,FALSE),VLOOKUP($B323,Data!$B$3:$EZ1530,4,FALSE)),"")</f>
        <v>0.03346375489</v>
      </c>
      <c r="H323" s="48">
        <f>IFERROR(DIVIDE(VLOOKUP($B323,Data!$B$3:$EZ1530,44,FALSE),VLOOKUP($B323,Data!$B$3:$EZ1530,4,FALSE)),"")</f>
        <v>0.149093091</v>
      </c>
      <c r="I323" s="48">
        <f>IFERROR(MINUS(DIVIDE(VLOOKUP($B323,Data!$B$3:$EZ1530,9,FALSE),VLOOKUP($B323,Data!$B$3:$EZ1530,10,FALSE)),1),"")</f>
        <v>-0.1273328609</v>
      </c>
      <c r="J323" s="48">
        <f>IFERROR(MINUS(DIVIDE(VLOOKUP($B323,Data!$B$3:$EZ1530,24,FALSE),VLOOKUP($B323,Data!$B$3:$EZ1530,25,FALSE)),1),"")</f>
        <v>-0.26993977</v>
      </c>
      <c r="K323" s="48">
        <f>IFERROR(MINUS(DIVIDE(VLOOKUP($B323,Data!$B$3:$EZ1530,29,FALSE),VLOOKUP($B323,Data!$B$3:$EZ1530,30,FALSE)),1),"")</f>
        <v>-0.4644999455</v>
      </c>
      <c r="L323" s="48">
        <f>IFERROR(MINUS(DIVIDE(VLOOKUP($B323,Data!$B$3:$EZ1530,34,FALSE),VLOOKUP($B323,Data!$B$3:$EZ1530,35,FALSE)),1),"")</f>
        <v>-0.2140425532</v>
      </c>
      <c r="M323" s="48">
        <f>IFERROR(MINUS(DIVIDE(VLOOKUP($B323,Data!$B$3:$EZ1530,39,FALSE),VLOOKUP($B323,Data!$B$3:$EZ1530,40,FALSE)),1),"")</f>
        <v>-0.5404291845</v>
      </c>
      <c r="N323" s="48">
        <f>IFERROR(MINUS(DIVIDE(VLOOKUP($B323,Data!$B$3:$EZ1530,44,FALSE),VLOOKUP($B323,Data!$B$3:$EZ1530,45,FALSE)),1),"")</f>
        <v>1.412907141</v>
      </c>
      <c r="O323" s="50">
        <f>IFERROR(VLOOKUP($B323,Data!$B$3:$D1530,2,FALSE),"")</f>
        <v>803760</v>
      </c>
      <c r="P323" s="50">
        <f>IFERROR(VLOOKUP($B323,Data!$B$3:$D1530,3,FALSE),"")</f>
        <v>751180</v>
      </c>
      <c r="Q323" s="48">
        <f t="shared" si="2"/>
        <v>0.06999653878</v>
      </c>
      <c r="R323" s="48"/>
      <c r="S323" s="48"/>
      <c r="T323" s="48"/>
      <c r="U323" s="48"/>
      <c r="V323" s="48"/>
      <c r="W323" s="50"/>
      <c r="Z323" s="12"/>
      <c r="AA323" s="12"/>
    </row>
    <row r="324">
      <c r="A324" s="9">
        <f t="shared" si="1"/>
        <v>321</v>
      </c>
      <c r="B324" s="47" t="s">
        <v>457</v>
      </c>
      <c r="C324" s="48">
        <f>IFERROR(DIVIDE(VLOOKUP($B324,Data!$B$3:$AB$1535,9,FALSE),VLOOKUP($B324,Data!$B$3:$AB$1535,4,FALSE)),"")</f>
        <v>0</v>
      </c>
      <c r="D324" s="48">
        <f>IFERROR(DIVIDE(VLOOKUP($B324,Data!$B$3:$AB$1535,24,FALSE),VLOOKUP($B324,Data!$B$3:$AB$1535,4,FALSE)),"")</f>
        <v>0</v>
      </c>
      <c r="E324" s="48">
        <f>IFERROR(DIVIDE(VLOOKUP($B324,Data!$B$3:$EZ1530,29,FALSE),VLOOKUP($B324,Data!$B$3:$EZ1530,4,FALSE)),"")</f>
        <v>-14.4502924</v>
      </c>
      <c r="F324" s="48">
        <f>IFERROR(DIVIDE(VLOOKUP($B324,Data!$B$3:$EZ1530,34,FALSE),VLOOKUP($B324,Data!$B$3:$EZ1530,4,FALSE)),"")</f>
        <v>-14.53216374</v>
      </c>
      <c r="G324" s="48">
        <f>IFERROR(DIVIDE(VLOOKUP($B324,Data!$B$3:$EZ1530,39,FALSE),VLOOKUP($B324,Data!$B$3:$EZ1530,4,FALSE)),"")</f>
        <v>-14.4502924</v>
      </c>
      <c r="H324" s="48">
        <f>IFERROR(DIVIDE(VLOOKUP($B324,Data!$B$3:$EZ1530,44,FALSE),VLOOKUP($B324,Data!$B$3:$EZ1530,4,FALSE)),"")</f>
        <v>-12.49707602</v>
      </c>
      <c r="I324" s="48" t="str">
        <f>IFERROR(MINUS(DIVIDE(VLOOKUP($B324,Data!$B$3:$EZ1530,9,FALSE),VLOOKUP($B324,Data!$B$3:$EZ1530,10,FALSE)),1),"")</f>
        <v/>
      </c>
      <c r="J324" s="48" t="str">
        <f>IFERROR(MINUS(DIVIDE(VLOOKUP($B324,Data!$B$3:$EZ1530,24,FALSE),VLOOKUP($B324,Data!$B$3:$EZ1530,25,FALSE)),1),"")</f>
        <v/>
      </c>
      <c r="K324" s="48">
        <f>IFERROR(MINUS(DIVIDE(VLOOKUP($B324,Data!$B$3:$EZ1530,29,FALSE),VLOOKUP($B324,Data!$B$3:$EZ1530,30,FALSE)),1),"")</f>
        <v>-0.3205938961</v>
      </c>
      <c r="L324" s="48" t="str">
        <f>IFERROR(MINUS(DIVIDE(VLOOKUP($B324,Data!$B$3:$EZ1530,34,FALSE),VLOOKUP($B324,Data!$B$3:$EZ1530,35,FALSE)),1),"")</f>
        <v/>
      </c>
      <c r="M324" s="48">
        <f>IFERROR(MINUS(DIVIDE(VLOOKUP($B324,Data!$B$3:$EZ1530,39,FALSE),VLOOKUP($B324,Data!$B$3:$EZ1530,40,FALSE)),1),"")</f>
        <v>-0.3205938961</v>
      </c>
      <c r="N324" s="48">
        <f>IFERROR(MINUS(DIVIDE(VLOOKUP($B324,Data!$B$3:$EZ1530,44,FALSE),VLOOKUP($B324,Data!$B$3:$EZ1530,45,FALSE)),1),"")</f>
        <v>-0.1720263464</v>
      </c>
      <c r="O324" s="50">
        <f>IFERROR(VLOOKUP($B324,Data!$B$3:$D1530,2,FALSE),"")</f>
        <v>1030</v>
      </c>
      <c r="P324" s="50">
        <f>IFERROR(VLOOKUP($B324,Data!$B$3:$D1530,3,FALSE),"")</f>
        <v>1500</v>
      </c>
      <c r="Q324" s="48">
        <f t="shared" si="2"/>
        <v>-0.3133333333</v>
      </c>
      <c r="R324" s="48"/>
      <c r="S324" s="48"/>
      <c r="T324" s="48"/>
      <c r="U324" s="48"/>
      <c r="V324" s="48"/>
      <c r="W324" s="50"/>
      <c r="Z324" s="11"/>
      <c r="AA324" s="11"/>
    </row>
    <row r="325">
      <c r="A325" s="9">
        <f t="shared" si="1"/>
        <v>322</v>
      </c>
      <c r="B325" s="47" t="s">
        <v>458</v>
      </c>
      <c r="C325" s="48">
        <f>IFERROR(DIVIDE(VLOOKUP($B325,Data!$B$3:$AB$1535,9,FALSE),VLOOKUP($B325,Data!$B$3:$AB$1535,4,FALSE)),"")</f>
        <v>0.5914595284</v>
      </c>
      <c r="D325" s="48">
        <f>IFERROR(DIVIDE(VLOOKUP($B325,Data!$B$3:$AB$1535,24,FALSE),VLOOKUP($B325,Data!$B$3:$AB$1535,4,FALSE)),"")</f>
        <v>0.2288081581</v>
      </c>
      <c r="E325" s="48">
        <f>IFERROR(DIVIDE(VLOOKUP($B325,Data!$B$3:$EZ1530,29,FALSE),VLOOKUP($B325,Data!$B$3:$EZ1530,4,FALSE)),"")</f>
        <v>0.2103250478</v>
      </c>
      <c r="F325" s="48">
        <f>IFERROR(DIVIDE(VLOOKUP($B325,Data!$B$3:$EZ1530,34,FALSE),VLOOKUP($B325,Data!$B$3:$EZ1530,4,FALSE)),"")</f>
        <v>0.2727852135</v>
      </c>
      <c r="G325" s="48">
        <f>IFERROR(DIVIDE(VLOOKUP($B325,Data!$B$3:$EZ1530,39,FALSE),VLOOKUP($B325,Data!$B$3:$EZ1530,4,FALSE)),"")</f>
        <v>0.1510516252</v>
      </c>
      <c r="H325" s="48">
        <f>IFERROR(DIVIDE(VLOOKUP($B325,Data!$B$3:$EZ1530,44,FALSE),VLOOKUP($B325,Data!$B$3:$EZ1530,4,FALSE)),"")</f>
        <v>0.1994901211</v>
      </c>
      <c r="I325" s="48">
        <f>IFERROR(MINUS(DIVIDE(VLOOKUP($B325,Data!$B$3:$EZ1530,9,FALSE),VLOOKUP($B325,Data!$B$3:$EZ1530,10,FALSE)),1),"")</f>
        <v>0.007600434311</v>
      </c>
      <c r="J325" s="48">
        <f>IFERROR(MINUS(DIVIDE(VLOOKUP($B325,Data!$B$3:$EZ1530,24,FALSE),VLOOKUP($B325,Data!$B$3:$EZ1530,25,FALSE)),1),"")</f>
        <v>-0.027100271</v>
      </c>
      <c r="K325" s="48">
        <f>IFERROR(MINUS(DIVIDE(VLOOKUP($B325,Data!$B$3:$EZ1530,29,FALSE),VLOOKUP($B325,Data!$B$3:$EZ1530,30,FALSE)),1),"")</f>
        <v>-0.04624277457</v>
      </c>
      <c r="L325" s="48">
        <f>IFERROR(MINUS(DIVIDE(VLOOKUP($B325,Data!$B$3:$EZ1530,34,FALSE),VLOOKUP($B325,Data!$B$3:$EZ1530,35,FALSE)),1),"")</f>
        <v>-0.01834862385</v>
      </c>
      <c r="M325" s="48">
        <f>IFERROR(MINUS(DIVIDE(VLOOKUP($B325,Data!$B$3:$EZ1530,39,FALSE),VLOOKUP($B325,Data!$B$3:$EZ1530,40,FALSE)),1),"")</f>
        <v>-0.0125</v>
      </c>
      <c r="N325" s="48">
        <f>IFERROR(MINUS(DIVIDE(VLOOKUP($B325,Data!$B$3:$EZ1530,44,FALSE),VLOOKUP($B325,Data!$B$3:$EZ1530,45,FALSE)),1),"")</f>
        <v>0.02287581699</v>
      </c>
      <c r="O325" s="50">
        <f>IFERROR(VLOOKUP($B325,Data!$B$3:$D1530,2,FALSE),"")</f>
        <v>16460000</v>
      </c>
      <c r="P325" s="50">
        <f>IFERROR(VLOOKUP($B325,Data!$B$3:$D1530,3,FALSE),"")</f>
        <v>16000000</v>
      </c>
      <c r="Q325" s="48">
        <f t="shared" si="2"/>
        <v>0.02875</v>
      </c>
      <c r="R325" s="48"/>
      <c r="S325" s="48"/>
      <c r="T325" s="48"/>
      <c r="U325" s="48"/>
      <c r="V325" s="48"/>
      <c r="W325" s="50"/>
      <c r="Z325" s="11"/>
      <c r="AA325" s="11"/>
    </row>
    <row r="326">
      <c r="A326" s="9">
        <f t="shared" si="1"/>
        <v>323</v>
      </c>
      <c r="B326" s="47" t="s">
        <v>459</v>
      </c>
      <c r="C326" s="48">
        <f>IFERROR(DIVIDE(VLOOKUP($B326,Data!$B$3:$AB$1535,9,FALSE),VLOOKUP($B326,Data!$B$3:$AB$1535,4,FALSE)),"")</f>
        <v>-0.06857009127</v>
      </c>
      <c r="D326" s="48">
        <f>IFERROR(DIVIDE(VLOOKUP($B326,Data!$B$3:$AB$1535,24,FALSE),VLOOKUP($B326,Data!$B$3:$AB$1535,4,FALSE)),"")</f>
        <v>-0.1083547859</v>
      </c>
      <c r="E326" s="48">
        <f>IFERROR(DIVIDE(VLOOKUP($B326,Data!$B$3:$EZ1530,29,FALSE),VLOOKUP($B326,Data!$B$3:$EZ1530,4,FALSE)),"")</f>
        <v>-0.1151415867</v>
      </c>
      <c r="F326" s="48">
        <f>IFERROR(DIVIDE(VLOOKUP($B326,Data!$B$3:$EZ1530,34,FALSE),VLOOKUP($B326,Data!$B$3:$EZ1530,4,FALSE)),"")</f>
        <v>0</v>
      </c>
      <c r="G326" s="48">
        <f>IFERROR(DIVIDE(VLOOKUP($B326,Data!$B$3:$EZ1530,39,FALSE),VLOOKUP($B326,Data!$B$3:$EZ1530,4,FALSE)),"")</f>
        <v>-0.1104610344</v>
      </c>
      <c r="H326" s="48">
        <f>IFERROR(DIVIDE(VLOOKUP($B326,Data!$B$3:$EZ1530,44,FALSE),VLOOKUP($B326,Data!$B$3:$EZ1530,4,FALSE)),"")</f>
        <v>0.4296747016</v>
      </c>
      <c r="I326" s="48">
        <f>IFERROR(MINUS(DIVIDE(VLOOKUP($B326,Data!$B$3:$EZ1530,9,FALSE),VLOOKUP($B326,Data!$B$3:$EZ1530,10,FALSE)),1),"")</f>
        <v>-2.457711443</v>
      </c>
      <c r="J326" s="48" t="str">
        <f>IFERROR(MINUS(DIVIDE(VLOOKUP($B326,Data!$B$3:$EZ1530,24,FALSE),VLOOKUP($B326,Data!$B$3:$EZ1530,25,FALSE)),1),"")</f>
        <v/>
      </c>
      <c r="K326" s="48">
        <f>IFERROR(MINUS(DIVIDE(VLOOKUP($B326,Data!$B$3:$EZ1530,29,FALSE),VLOOKUP($B326,Data!$B$3:$EZ1530,30,FALSE)),1),"")</f>
        <v>-4.055900621</v>
      </c>
      <c r="L326" s="48" t="str">
        <f>IFERROR(MINUS(DIVIDE(VLOOKUP($B326,Data!$B$3:$EZ1530,34,FALSE),VLOOKUP($B326,Data!$B$3:$EZ1530,35,FALSE)),1),"")</f>
        <v/>
      </c>
      <c r="M326" s="48" t="str">
        <f>IFERROR(MINUS(DIVIDE(VLOOKUP($B326,Data!$B$3:$EZ1530,39,FALSE),VLOOKUP($B326,Data!$B$3:$EZ1530,40,FALSE)),1),"")</f>
        <v/>
      </c>
      <c r="N326" s="48">
        <f>IFERROR(MINUS(DIVIDE(VLOOKUP($B326,Data!$B$3:$EZ1530,44,FALSE),VLOOKUP($B326,Data!$B$3:$EZ1530,45,FALSE)),1),"")</f>
        <v>-7.954545455</v>
      </c>
      <c r="O326" s="50" t="str">
        <f>IFERROR(VLOOKUP($B326,Data!$B$3:$D1530,2,FALSE),"")</f>
        <v/>
      </c>
      <c r="P326" s="50" t="str">
        <f>IFERROR(VLOOKUP($B326,Data!$B$3:$D1530,3,FALSE),"")</f>
        <v/>
      </c>
      <c r="Q326" s="48" t="str">
        <f t="shared" si="2"/>
        <v/>
      </c>
      <c r="R326" s="48"/>
      <c r="S326" s="48"/>
      <c r="T326" s="48"/>
      <c r="U326" s="48"/>
      <c r="V326" s="48"/>
      <c r="W326" s="50"/>
      <c r="Z326" s="11"/>
      <c r="AA326" s="11"/>
    </row>
    <row r="327">
      <c r="A327" s="9">
        <f t="shared" si="1"/>
        <v>324</v>
      </c>
      <c r="B327" s="47" t="s">
        <v>460</v>
      </c>
      <c r="C327" s="48">
        <f>IFERROR(DIVIDE(VLOOKUP($B327,Data!$B$3:$AB$1535,9,FALSE),VLOOKUP($B327,Data!$B$3:$AB$1535,4,FALSE)),"")</f>
        <v>0</v>
      </c>
      <c r="D327" s="48">
        <f>IFERROR(DIVIDE(VLOOKUP($B327,Data!$B$3:$AB$1535,24,FALSE),VLOOKUP($B327,Data!$B$3:$AB$1535,4,FALSE)),"")</f>
        <v>-15.41456583</v>
      </c>
      <c r="E327" s="48">
        <f>IFERROR(DIVIDE(VLOOKUP($B327,Data!$B$3:$EZ1530,29,FALSE),VLOOKUP($B327,Data!$B$3:$EZ1530,4,FALSE)),"")</f>
        <v>-14.25210084</v>
      </c>
      <c r="F327" s="48">
        <f>IFERROR(DIVIDE(VLOOKUP($B327,Data!$B$3:$EZ1530,34,FALSE),VLOOKUP($B327,Data!$B$3:$EZ1530,4,FALSE)),"")</f>
        <v>-13.91316527</v>
      </c>
      <c r="G327" s="48">
        <f>IFERROR(DIVIDE(VLOOKUP($B327,Data!$B$3:$EZ1530,39,FALSE),VLOOKUP($B327,Data!$B$3:$EZ1530,4,FALSE)),"")</f>
        <v>-14.25210084</v>
      </c>
      <c r="H327" s="48">
        <f>IFERROR(DIVIDE(VLOOKUP($B327,Data!$B$3:$EZ1530,44,FALSE),VLOOKUP($B327,Data!$B$3:$EZ1530,4,FALSE)),"")</f>
        <v>-13.00280112</v>
      </c>
      <c r="I327" s="48" t="str">
        <f>IFERROR(MINUS(DIVIDE(VLOOKUP($B327,Data!$B$3:$EZ1530,9,FALSE),VLOOKUP($B327,Data!$B$3:$EZ1530,10,FALSE)),1),"")</f>
        <v/>
      </c>
      <c r="J327" s="48">
        <f>IFERROR(MINUS(DIVIDE(VLOOKUP($B327,Data!$B$3:$EZ1530,24,FALSE),VLOOKUP($B327,Data!$B$3:$EZ1530,25,FALSE)),1),"")</f>
        <v>-0.6482357453</v>
      </c>
      <c r="K327" s="48">
        <f>IFERROR(MINUS(DIVIDE(VLOOKUP($B327,Data!$B$3:$EZ1530,29,FALSE),VLOOKUP($B327,Data!$B$3:$EZ1530,30,FALSE)),1),"")</f>
        <v>-0.6651530109</v>
      </c>
      <c r="L327" s="48">
        <f>IFERROR(MINUS(DIVIDE(VLOOKUP($B327,Data!$B$3:$EZ1530,34,FALSE),VLOOKUP($B327,Data!$B$3:$EZ1530,35,FALSE)),1),"")</f>
        <v>-0.3158402204</v>
      </c>
      <c r="M327" s="48">
        <f>IFERROR(MINUS(DIVIDE(VLOOKUP($B327,Data!$B$3:$EZ1530,39,FALSE),VLOOKUP($B327,Data!$B$3:$EZ1530,40,FALSE)),1),"")</f>
        <v>-0.663447546</v>
      </c>
      <c r="N327" s="48">
        <f>IFERROR(MINUS(DIVIDE(VLOOKUP($B327,Data!$B$3:$EZ1530,44,FALSE),VLOOKUP($B327,Data!$B$3:$EZ1530,45,FALSE)),1),"")</f>
        <v>-0.3830409357</v>
      </c>
      <c r="O327" s="50">
        <f>IFERROR(VLOOKUP($B327,Data!$B$3:$D1530,2,FALSE),"")</f>
        <v>3850</v>
      </c>
      <c r="P327" s="50">
        <f>IFERROR(VLOOKUP($B327,Data!$B$3:$D1530,3,FALSE),"")</f>
        <v>4200</v>
      </c>
      <c r="Q327" s="48">
        <f t="shared" si="2"/>
        <v>-0.08333333333</v>
      </c>
      <c r="R327" s="48"/>
      <c r="S327" s="48"/>
      <c r="T327" s="48"/>
      <c r="U327" s="48"/>
      <c r="V327" s="48"/>
      <c r="W327" s="50"/>
      <c r="Z327" s="15"/>
      <c r="AA327" s="15"/>
    </row>
    <row r="328">
      <c r="A328" s="9">
        <f t="shared" si="1"/>
        <v>325</v>
      </c>
      <c r="B328" s="47" t="s">
        <v>461</v>
      </c>
      <c r="C328" s="48">
        <f>IFERROR(DIVIDE(VLOOKUP($B328,Data!$B$3:$AB$1535,9,FALSE),VLOOKUP($B328,Data!$B$3:$AB$1535,4,FALSE)),"")</f>
        <v>0.2882323232</v>
      </c>
      <c r="D328" s="48">
        <f>IFERROR(DIVIDE(VLOOKUP($B328,Data!$B$3:$AB$1535,24,FALSE),VLOOKUP($B328,Data!$B$3:$AB$1535,4,FALSE)),"")</f>
        <v>0.2076262626</v>
      </c>
      <c r="E328" s="48">
        <f>IFERROR(DIVIDE(VLOOKUP($B328,Data!$B$3:$EZ1530,29,FALSE),VLOOKUP($B328,Data!$B$3:$EZ1530,4,FALSE)),"")</f>
        <v>0.1576262626</v>
      </c>
      <c r="F328" s="48">
        <f>IFERROR(DIVIDE(VLOOKUP($B328,Data!$B$3:$EZ1530,34,FALSE),VLOOKUP($B328,Data!$B$3:$EZ1530,4,FALSE)),"")</f>
        <v>0.2572727273</v>
      </c>
      <c r="G328" s="48">
        <f>IFERROR(DIVIDE(VLOOKUP($B328,Data!$B$3:$EZ1530,39,FALSE),VLOOKUP($B328,Data!$B$3:$EZ1530,4,FALSE)),"")</f>
        <v>0.1487373737</v>
      </c>
      <c r="H328" s="48">
        <f>IFERROR(DIVIDE(VLOOKUP($B328,Data!$B$3:$EZ1530,44,FALSE),VLOOKUP($B328,Data!$B$3:$EZ1530,4,FALSE)),"")</f>
        <v>0.2840909091</v>
      </c>
      <c r="I328" s="48">
        <f>IFERROR(MINUS(DIVIDE(VLOOKUP($B328,Data!$B$3:$EZ1530,9,FALSE),VLOOKUP($B328,Data!$B$3:$EZ1530,10,FALSE)),1),"")</f>
        <v>0.4682274247</v>
      </c>
      <c r="J328" s="48">
        <f>IFERROR(MINUS(DIVIDE(VLOOKUP($B328,Data!$B$3:$EZ1530,24,FALSE),VLOOKUP($B328,Data!$B$3:$EZ1530,25,FALSE)),1),"")</f>
        <v>-0.3778753027</v>
      </c>
      <c r="K328" s="48">
        <f>IFERROR(MINUS(DIVIDE(VLOOKUP($B328,Data!$B$3:$EZ1530,29,FALSE),VLOOKUP($B328,Data!$B$3:$EZ1530,30,FALSE)),1),"")</f>
        <v>-0.4473171596</v>
      </c>
      <c r="L328" s="48">
        <f>IFERROR(MINUS(DIVIDE(VLOOKUP($B328,Data!$B$3:$EZ1530,34,FALSE),VLOOKUP($B328,Data!$B$3:$EZ1530,35,FALSE)),1),"")</f>
        <v>0.4114713217</v>
      </c>
      <c r="M328" s="48">
        <f>IFERROR(MINUS(DIVIDE(VLOOKUP($B328,Data!$B$3:$EZ1530,39,FALSE),VLOOKUP($B328,Data!$B$3:$EZ1530,40,FALSE)),1),"")</f>
        <v>-0.7168269231</v>
      </c>
      <c r="N328" s="48">
        <f>IFERROR(MINUS(DIVIDE(VLOOKUP($B328,Data!$B$3:$EZ1530,44,FALSE),VLOOKUP($B328,Data!$B$3:$EZ1530,45,FALSE)),1),"")</f>
        <v>0.1755485893</v>
      </c>
      <c r="O328" s="50">
        <f>IFERROR(VLOOKUP($B328,Data!$B$3:$D1530,2,FALSE),"")</f>
        <v>7640000</v>
      </c>
      <c r="P328" s="50">
        <f>IFERROR(VLOOKUP($B328,Data!$B$3:$D1530,3,FALSE),"")</f>
        <v>4800000</v>
      </c>
      <c r="Q328" s="48">
        <f t="shared" si="2"/>
        <v>0.5916666667</v>
      </c>
      <c r="R328" s="48"/>
      <c r="S328" s="48"/>
      <c r="T328" s="48"/>
      <c r="U328" s="48"/>
      <c r="V328" s="48"/>
      <c r="W328" s="50"/>
      <c r="Z328" s="12"/>
      <c r="AA328" s="12"/>
    </row>
    <row r="329">
      <c r="A329" s="9">
        <f t="shared" si="1"/>
        <v>326</v>
      </c>
      <c r="B329" s="47" t="s">
        <v>462</v>
      </c>
      <c r="C329" s="48">
        <f>IFERROR(DIVIDE(VLOOKUP($B329,Data!$B$3:$AB$1535,9,FALSE),VLOOKUP($B329,Data!$B$3:$AB$1535,4,FALSE)),"")</f>
        <v>0.2498157701</v>
      </c>
      <c r="D329" s="48">
        <f>IFERROR(DIVIDE(VLOOKUP($B329,Data!$B$3:$AB$1535,24,FALSE),VLOOKUP($B329,Data!$B$3:$AB$1535,4,FALSE)),"")</f>
        <v>0</v>
      </c>
      <c r="E329" s="48">
        <f>IFERROR(DIVIDE(VLOOKUP($B329,Data!$B$3:$EZ1530,29,FALSE),VLOOKUP($B329,Data!$B$3:$EZ1530,4,FALSE)),"")</f>
        <v>-8.099484156</v>
      </c>
      <c r="F329" s="48">
        <f>IFERROR(DIVIDE(VLOOKUP($B329,Data!$B$3:$EZ1530,34,FALSE),VLOOKUP($B329,Data!$B$3:$EZ1530,4,FALSE)),"")</f>
        <v>-8.189388357</v>
      </c>
      <c r="G329" s="48">
        <f>IFERROR(DIVIDE(VLOOKUP($B329,Data!$B$3:$EZ1530,39,FALSE),VLOOKUP($B329,Data!$B$3:$EZ1530,4,FALSE)),"")</f>
        <v>-6.721444363</v>
      </c>
      <c r="H329" s="48">
        <f>IFERROR(DIVIDE(VLOOKUP($B329,Data!$B$3:$EZ1530,44,FALSE),VLOOKUP($B329,Data!$B$3:$EZ1530,4,FALSE)),"")</f>
        <v>-4.552689757</v>
      </c>
      <c r="I329" s="48">
        <f>IFERROR(MINUS(DIVIDE(VLOOKUP($B329,Data!$B$3:$EZ1530,9,FALSE),VLOOKUP($B329,Data!$B$3:$EZ1530,10,FALSE)),1),"")</f>
        <v>-0.5997638725</v>
      </c>
      <c r="J329" s="48" t="str">
        <f>IFERROR(MINUS(DIVIDE(VLOOKUP($B329,Data!$B$3:$EZ1530,24,FALSE),VLOOKUP($B329,Data!$B$3:$EZ1530,25,FALSE)),1),"")</f>
        <v/>
      </c>
      <c r="K329" s="48">
        <f>IFERROR(MINUS(DIVIDE(VLOOKUP($B329,Data!$B$3:$EZ1530,29,FALSE),VLOOKUP($B329,Data!$B$3:$EZ1530,30,FALSE)),1),"")</f>
        <v>0.3382442469</v>
      </c>
      <c r="L329" s="48">
        <f>IFERROR(MINUS(DIVIDE(VLOOKUP($B329,Data!$B$3:$EZ1530,34,FALSE),VLOOKUP($B329,Data!$B$3:$EZ1530,35,FALSE)),1),"")</f>
        <v>0.1763522811</v>
      </c>
      <c r="M329" s="48">
        <f>IFERROR(MINUS(DIVIDE(VLOOKUP($B329,Data!$B$3:$EZ1530,39,FALSE),VLOOKUP($B329,Data!$B$3:$EZ1530,40,FALSE)),1),"")</f>
        <v>0.3674662669</v>
      </c>
      <c r="N329" s="48">
        <f>IFERROR(MINUS(DIVIDE(VLOOKUP($B329,Data!$B$3:$EZ1530,44,FALSE),VLOOKUP($B329,Data!$B$3:$EZ1530,45,FALSE)),1),"")</f>
        <v>0.06959833795</v>
      </c>
      <c r="O329" s="50">
        <f>IFERROR(VLOOKUP($B329,Data!$B$3:$D1530,2,FALSE),"")</f>
        <v>66810</v>
      </c>
      <c r="P329" s="50">
        <f>IFERROR(VLOOKUP($B329,Data!$B$3:$D1530,3,FALSE),"")</f>
        <v>82300</v>
      </c>
      <c r="Q329" s="48">
        <f t="shared" si="2"/>
        <v>-0.1882138518</v>
      </c>
      <c r="R329" s="48"/>
      <c r="S329" s="48"/>
      <c r="T329" s="48"/>
      <c r="U329" s="48"/>
      <c r="V329" s="48"/>
      <c r="W329" s="50"/>
      <c r="Z329" s="11"/>
      <c r="AA329" s="11"/>
    </row>
    <row r="330">
      <c r="A330" s="9">
        <f t="shared" si="1"/>
        <v>327</v>
      </c>
      <c r="B330" s="47" t="s">
        <v>463</v>
      </c>
      <c r="C330" s="48">
        <f>IFERROR(DIVIDE(VLOOKUP($B330,Data!$B$3:$AB$1535,9,FALSE),VLOOKUP($B330,Data!$B$3:$AB$1535,4,FALSE)),"")</f>
        <v>0.06116633816</v>
      </c>
      <c r="D330" s="48">
        <f>IFERROR(DIVIDE(VLOOKUP($B330,Data!$B$3:$AB$1535,24,FALSE),VLOOKUP($B330,Data!$B$3:$AB$1535,4,FALSE)),"")</f>
        <v>-0.01381866484</v>
      </c>
      <c r="E330" s="48">
        <f>IFERROR(DIVIDE(VLOOKUP($B330,Data!$B$3:$EZ1530,29,FALSE),VLOOKUP($B330,Data!$B$3:$EZ1530,4,FALSE)),"")</f>
        <v>-0.04085611449</v>
      </c>
      <c r="F330" s="48">
        <f>IFERROR(DIVIDE(VLOOKUP($B330,Data!$B$3:$EZ1530,34,FALSE),VLOOKUP($B330,Data!$B$3:$EZ1530,4,FALSE)),"")</f>
        <v>0.08451881052</v>
      </c>
      <c r="G330" s="48">
        <f>IFERROR(DIVIDE(VLOOKUP($B330,Data!$B$3:$EZ1530,39,FALSE),VLOOKUP($B330,Data!$B$3:$EZ1530,4,FALSE)),"")</f>
        <v>-0.03976347588</v>
      </c>
      <c r="H330" s="48">
        <f>IFERROR(DIVIDE(VLOOKUP($B330,Data!$B$3:$EZ1530,44,FALSE),VLOOKUP($B330,Data!$B$3:$EZ1530,4,FALSE)),"")</f>
        <v>0.06553689262</v>
      </c>
      <c r="I330" s="48">
        <f>IFERROR(MINUS(DIVIDE(VLOOKUP($B330,Data!$B$3:$EZ1530,9,FALSE),VLOOKUP($B330,Data!$B$3:$EZ1530,10,FALSE)),1),"")</f>
        <v>-0.2799495586</v>
      </c>
      <c r="J330" s="48">
        <f>IFERROR(MINUS(DIVIDE(VLOOKUP($B330,Data!$B$3:$EZ1530,24,FALSE),VLOOKUP($B330,Data!$B$3:$EZ1530,25,FALSE)),1),"")</f>
        <v>-1.515175719</v>
      </c>
      <c r="K330" s="48" t="str">
        <f>IFERROR(MINUS(DIVIDE(VLOOKUP($B330,Data!$B$3:$EZ1530,29,FALSE),VLOOKUP($B330,Data!$B$3:$EZ1530,30,FALSE)),1),"")</f>
        <v/>
      </c>
      <c r="L330" s="48">
        <f>IFERROR(MINUS(DIVIDE(VLOOKUP($B330,Data!$B$3:$EZ1530,34,FALSE),VLOOKUP($B330,Data!$B$3:$EZ1530,35,FALSE)),1),"")</f>
        <v>-0.2848078318</v>
      </c>
      <c r="M330" s="48" t="str">
        <f>IFERROR(MINUS(DIVIDE(VLOOKUP($B330,Data!$B$3:$EZ1530,39,FALSE),VLOOKUP($B330,Data!$B$3:$EZ1530,40,FALSE)),1),"")</f>
        <v/>
      </c>
      <c r="N330" s="48">
        <f>IFERROR(MINUS(DIVIDE(VLOOKUP($B330,Data!$B$3:$EZ1530,44,FALSE),VLOOKUP($B330,Data!$B$3:$EZ1530,45,FALSE)),1),"")</f>
        <v>-0.5227024497</v>
      </c>
      <c r="O330" s="50">
        <f>IFERROR(VLOOKUP($B330,Data!$B$3:$D1530,2,FALSE),"")</f>
        <v>467330</v>
      </c>
      <c r="P330" s="50" t="str">
        <f>IFERROR(VLOOKUP($B330,Data!$B$3:$D1530,3,FALSE),"")</f>
        <v/>
      </c>
      <c r="Q330" s="48" t="str">
        <f t="shared" si="2"/>
        <v/>
      </c>
      <c r="R330" s="48"/>
      <c r="S330" s="48"/>
      <c r="T330" s="48"/>
      <c r="U330" s="48"/>
      <c r="V330" s="48"/>
      <c r="W330" s="50"/>
      <c r="Z330" s="15"/>
      <c r="AA330" s="15"/>
    </row>
    <row r="331">
      <c r="A331" s="9">
        <f t="shared" si="1"/>
        <v>328</v>
      </c>
      <c r="B331" s="47" t="s">
        <v>464</v>
      </c>
      <c r="C331" s="48">
        <f>IFERROR(DIVIDE(VLOOKUP($B331,Data!$B$3:$AB$1535,9,FALSE),VLOOKUP($B331,Data!$B$3:$AB$1535,4,FALSE)),"")</f>
        <v>0.7574295504</v>
      </c>
      <c r="D331" s="48">
        <f>IFERROR(DIVIDE(VLOOKUP($B331,Data!$B$3:$AB$1535,24,FALSE),VLOOKUP($B331,Data!$B$3:$AB$1535,4,FALSE)),"")</f>
        <v>-2.692259283</v>
      </c>
      <c r="E331" s="48">
        <f>IFERROR(DIVIDE(VLOOKUP($B331,Data!$B$3:$EZ1530,29,FALSE),VLOOKUP($B331,Data!$B$3:$EZ1530,4,FALSE)),"")</f>
        <v>-2.787427453</v>
      </c>
      <c r="F331" s="48">
        <f>IFERROR(DIVIDE(VLOOKUP($B331,Data!$B$3:$EZ1530,34,FALSE),VLOOKUP($B331,Data!$B$3:$EZ1530,4,FALSE)),"")</f>
        <v>-2.514089924</v>
      </c>
      <c r="G331" s="48">
        <f>IFERROR(DIVIDE(VLOOKUP($B331,Data!$B$3:$EZ1530,39,FALSE),VLOOKUP($B331,Data!$B$3:$EZ1530,4,FALSE)),"")</f>
        <v>-2.79994406</v>
      </c>
      <c r="H331" s="48">
        <f>IFERROR(DIVIDE(VLOOKUP($B331,Data!$B$3:$EZ1530,44,FALSE),VLOOKUP($B331,Data!$B$3:$EZ1530,4,FALSE)),"")</f>
        <v>-2.262918677</v>
      </c>
      <c r="I331" s="48">
        <f>IFERROR(MINUS(DIVIDE(VLOOKUP($B331,Data!$B$3:$EZ1530,9,FALSE),VLOOKUP($B331,Data!$B$3:$EZ1530,10,FALSE)),1),"")</f>
        <v>0.4775610421</v>
      </c>
      <c r="J331" s="48">
        <f>IFERROR(MINUS(DIVIDE(VLOOKUP($B331,Data!$B$3:$EZ1530,24,FALSE),VLOOKUP($B331,Data!$B$3:$EZ1530,25,FALSE)),1),"")</f>
        <v>0.06420851875</v>
      </c>
      <c r="K331" s="48">
        <f>IFERROR(MINUS(DIVIDE(VLOOKUP($B331,Data!$B$3:$EZ1530,29,FALSE),VLOOKUP($B331,Data!$B$3:$EZ1530,30,FALSE)),1),"")</f>
        <v>0.08500272183</v>
      </c>
      <c r="L331" s="48">
        <f>IFERROR(MINUS(DIVIDE(VLOOKUP($B331,Data!$B$3:$EZ1530,34,FALSE),VLOOKUP($B331,Data!$B$3:$EZ1530,35,FALSE)),1),"")</f>
        <v>0.09212964369</v>
      </c>
      <c r="M331" s="48">
        <f>IFERROR(MINUS(DIVIDE(VLOOKUP($B331,Data!$B$3:$EZ1530,39,FALSE),VLOOKUP($B331,Data!$B$3:$EZ1530,40,FALSE)),1),"")</f>
        <v>0.08806825901</v>
      </c>
      <c r="N331" s="48">
        <f>IFERROR(MINUS(DIVIDE(VLOOKUP($B331,Data!$B$3:$EZ1530,44,FALSE),VLOOKUP($B331,Data!$B$3:$EZ1530,45,FALSE)),1),"")</f>
        <v>-0.1157923497</v>
      </c>
      <c r="O331" s="50">
        <f>IFERROR(VLOOKUP($B331,Data!$B$3:$D1530,2,FALSE),"")</f>
        <v>260790</v>
      </c>
      <c r="P331" s="50">
        <f>IFERROR(VLOOKUP($B331,Data!$B$3:$D1530,3,FALSE),"")</f>
        <v>175150</v>
      </c>
      <c r="Q331" s="48">
        <f t="shared" si="2"/>
        <v>0.4889523266</v>
      </c>
      <c r="R331" s="48"/>
      <c r="S331" s="48"/>
      <c r="T331" s="48"/>
      <c r="U331" s="48"/>
      <c r="V331" s="48"/>
      <c r="W331" s="50"/>
      <c r="Z331" s="11"/>
      <c r="AA331" s="11"/>
    </row>
    <row r="332">
      <c r="A332" s="9">
        <f t="shared" si="1"/>
        <v>329</v>
      </c>
      <c r="B332" s="47" t="s">
        <v>465</v>
      </c>
      <c r="C332" s="48">
        <f>IFERROR(DIVIDE(VLOOKUP($B332,Data!$B$3:$AB$1535,9,FALSE),VLOOKUP($B332,Data!$B$3:$AB$1535,4,FALSE)),"")</f>
        <v>0.4553571429</v>
      </c>
      <c r="D332" s="48">
        <f>IFERROR(DIVIDE(VLOOKUP($B332,Data!$B$3:$AB$1535,24,FALSE),VLOOKUP($B332,Data!$B$3:$AB$1535,4,FALSE)),"")</f>
        <v>0</v>
      </c>
      <c r="E332" s="48">
        <f>IFERROR(DIVIDE(VLOOKUP($B332,Data!$B$3:$EZ1530,29,FALSE),VLOOKUP($B332,Data!$B$3:$EZ1530,4,FALSE)),"")</f>
        <v>0.1770833333</v>
      </c>
      <c r="F332" s="48">
        <f>IFERROR(DIVIDE(VLOOKUP($B332,Data!$B$3:$EZ1530,34,FALSE),VLOOKUP($B332,Data!$B$3:$EZ1530,4,FALSE)),"")</f>
        <v>0</v>
      </c>
      <c r="G332" s="48">
        <f>IFERROR(DIVIDE(VLOOKUP($B332,Data!$B$3:$EZ1530,39,FALSE),VLOOKUP($B332,Data!$B$3:$EZ1530,4,FALSE)),"")</f>
        <v>0.1397321429</v>
      </c>
      <c r="H332" s="48">
        <f>IFERROR(DIVIDE(VLOOKUP($B332,Data!$B$3:$EZ1530,44,FALSE),VLOOKUP($B332,Data!$B$3:$EZ1530,4,FALSE)),"")</f>
        <v>0</v>
      </c>
      <c r="I332" s="48">
        <f>IFERROR(MINUS(DIVIDE(VLOOKUP($B332,Data!$B$3:$EZ1530,9,FALSE),VLOOKUP($B332,Data!$B$3:$EZ1530,10,FALSE)),1),"")</f>
        <v>0.1291512915</v>
      </c>
      <c r="J332" s="48" t="str">
        <f>IFERROR(MINUS(DIVIDE(VLOOKUP($B332,Data!$B$3:$EZ1530,24,FALSE),VLOOKUP($B332,Data!$B$3:$EZ1530,25,FALSE)),1),"")</f>
        <v/>
      </c>
      <c r="K332" s="48">
        <f>IFERROR(MINUS(DIVIDE(VLOOKUP($B332,Data!$B$3:$EZ1530,29,FALSE),VLOOKUP($B332,Data!$B$3:$EZ1530,30,FALSE)),1),"")</f>
        <v>0.1666666667</v>
      </c>
      <c r="L332" s="48">
        <f>IFERROR(MINUS(DIVIDE(VLOOKUP($B332,Data!$B$3:$EZ1530,34,FALSE),VLOOKUP($B332,Data!$B$3:$EZ1530,35,FALSE)),1),"")</f>
        <v>-1</v>
      </c>
      <c r="M332" s="48">
        <f>IFERROR(MINUS(DIVIDE(VLOOKUP($B332,Data!$B$3:$EZ1530,39,FALSE),VLOOKUP($B332,Data!$B$3:$EZ1530,40,FALSE)),1),"")</f>
        <v>0.1451219512</v>
      </c>
      <c r="N332" s="48">
        <f>IFERROR(MINUS(DIVIDE(VLOOKUP($B332,Data!$B$3:$EZ1530,44,FALSE),VLOOKUP($B332,Data!$B$3:$EZ1530,45,FALSE)),1),"")</f>
        <v>-1</v>
      </c>
      <c r="O332" s="50">
        <f>IFERROR(VLOOKUP($B332,Data!$B$3:$D1530,2,FALSE),"")</f>
        <v>7140000</v>
      </c>
      <c r="P332" s="50">
        <f>IFERROR(VLOOKUP($B332,Data!$B$3:$D1530,3,FALSE),"")</f>
        <v>6940000</v>
      </c>
      <c r="Q332" s="48">
        <f t="shared" si="2"/>
        <v>0.0288184438</v>
      </c>
      <c r="R332" s="48"/>
      <c r="S332" s="48"/>
      <c r="T332" s="48"/>
      <c r="U332" s="48"/>
      <c r="V332" s="48"/>
      <c r="W332" s="50"/>
      <c r="Z332" s="12"/>
      <c r="AA332" s="12"/>
    </row>
    <row r="333">
      <c r="A333" s="9">
        <f t="shared" si="1"/>
        <v>330</v>
      </c>
      <c r="B333" s="47" t="s">
        <v>466</v>
      </c>
      <c r="C333" s="48">
        <f>IFERROR(DIVIDE(VLOOKUP($B333,Data!$B$3:$AB$1535,9,FALSE),VLOOKUP($B333,Data!$B$3:$AB$1535,4,FALSE)),"")</f>
        <v>-0.2602739726</v>
      </c>
      <c r="D333" s="48">
        <f>IFERROR(DIVIDE(VLOOKUP($B333,Data!$B$3:$AB$1535,24,FALSE),VLOOKUP($B333,Data!$B$3:$AB$1535,4,FALSE)),"")</f>
        <v>0</v>
      </c>
      <c r="E333" s="48">
        <f>IFERROR(DIVIDE(VLOOKUP($B333,Data!$B$3:$EZ1530,29,FALSE),VLOOKUP($B333,Data!$B$3:$EZ1530,4,FALSE)),"")</f>
        <v>-5.426027397</v>
      </c>
      <c r="F333" s="48">
        <f>IFERROR(DIVIDE(VLOOKUP($B333,Data!$B$3:$EZ1530,34,FALSE),VLOOKUP($B333,Data!$B$3:$EZ1530,4,FALSE)),"")</f>
        <v>-5.204109589</v>
      </c>
      <c r="G333" s="48">
        <f>IFERROR(DIVIDE(VLOOKUP($B333,Data!$B$3:$EZ1530,39,FALSE),VLOOKUP($B333,Data!$B$3:$EZ1530,4,FALSE)),"")</f>
        <v>-5.426027397</v>
      </c>
      <c r="H333" s="48">
        <f>IFERROR(DIVIDE(VLOOKUP($B333,Data!$B$3:$EZ1530,44,FALSE),VLOOKUP($B333,Data!$B$3:$EZ1530,4,FALSE)),"")</f>
        <v>-4.376712329</v>
      </c>
      <c r="I333" s="48" t="str">
        <f>IFERROR(MINUS(DIVIDE(VLOOKUP($B333,Data!$B$3:$EZ1530,9,FALSE),VLOOKUP($B333,Data!$B$3:$EZ1530,10,FALSE)),1),"")</f>
        <v/>
      </c>
      <c r="J333" s="48" t="str">
        <f>IFERROR(MINUS(DIVIDE(VLOOKUP($B333,Data!$B$3:$EZ1530,24,FALSE),VLOOKUP($B333,Data!$B$3:$EZ1530,25,FALSE)),1),"")</f>
        <v/>
      </c>
      <c r="K333" s="48">
        <f>IFERROR(MINUS(DIVIDE(VLOOKUP($B333,Data!$B$3:$EZ1530,29,FALSE),VLOOKUP($B333,Data!$B$3:$EZ1530,30,FALSE)),1),"")</f>
        <v>0.4197132616</v>
      </c>
      <c r="L333" s="48">
        <f>IFERROR(MINUS(DIVIDE(VLOOKUP($B333,Data!$B$3:$EZ1530,34,FALSE),VLOOKUP($B333,Data!$B$3:$EZ1530,35,FALSE)),1),"")</f>
        <v>0.4054753977</v>
      </c>
      <c r="M333" s="48">
        <f>IFERROR(MINUS(DIVIDE(VLOOKUP($B333,Data!$B$3:$EZ1530,39,FALSE),VLOOKUP($B333,Data!$B$3:$EZ1530,40,FALSE)),1),"")</f>
        <v>0.4197132616</v>
      </c>
      <c r="N333" s="48">
        <f>IFERROR(MINUS(DIVIDE(VLOOKUP($B333,Data!$B$3:$EZ1530,44,FALSE),VLOOKUP($B333,Data!$B$3:$EZ1530,45,FALSE)),1),"")</f>
        <v>0.5777777778</v>
      </c>
      <c r="O333" s="50">
        <f>IFERROR(VLOOKUP($B333,Data!$B$3:$D1530,2,FALSE),"")</f>
        <v>43000</v>
      </c>
      <c r="P333" s="50">
        <f>IFERROR(VLOOKUP($B333,Data!$B$3:$D1530,3,FALSE),"")</f>
        <v>12220</v>
      </c>
      <c r="Q333" s="48">
        <f t="shared" si="2"/>
        <v>2.518821604</v>
      </c>
      <c r="R333" s="48"/>
      <c r="S333" s="48"/>
      <c r="T333" s="48"/>
      <c r="U333" s="48"/>
      <c r="V333" s="48"/>
      <c r="W333" s="50"/>
      <c r="Z333" s="11"/>
      <c r="AA333" s="11"/>
    </row>
    <row r="334">
      <c r="A334" s="9">
        <f t="shared" si="1"/>
        <v>331</v>
      </c>
      <c r="B334" s="47" t="s">
        <v>467</v>
      </c>
      <c r="C334" s="48">
        <f>IFERROR(DIVIDE(VLOOKUP($B334,Data!$B$3:$AB$1535,9,FALSE),VLOOKUP($B334,Data!$B$3:$AB$1535,4,FALSE)),"")</f>
        <v>0.1375248714</v>
      </c>
      <c r="D334" s="48">
        <f>IFERROR(DIVIDE(VLOOKUP($B334,Data!$B$3:$AB$1535,24,FALSE),VLOOKUP($B334,Data!$B$3:$AB$1535,4,FALSE)),"")</f>
        <v>0.05828987993</v>
      </c>
      <c r="E334" s="48">
        <f>IFERROR(DIVIDE(VLOOKUP($B334,Data!$B$3:$EZ1530,29,FALSE),VLOOKUP($B334,Data!$B$3:$EZ1530,4,FALSE)),"")</f>
        <v>0.04604802744</v>
      </c>
      <c r="F334" s="48">
        <f>IFERROR(DIVIDE(VLOOKUP($B334,Data!$B$3:$EZ1530,34,FALSE),VLOOKUP($B334,Data!$B$3:$EZ1530,4,FALSE)),"")</f>
        <v>0.08537221269</v>
      </c>
      <c r="G334" s="48">
        <f>IFERROR(DIVIDE(VLOOKUP($B334,Data!$B$3:$EZ1530,39,FALSE),VLOOKUP($B334,Data!$B$3:$EZ1530,4,FALSE)),"")</f>
        <v>0.03409605489</v>
      </c>
      <c r="H334" s="48">
        <f>IFERROR(DIVIDE(VLOOKUP($B334,Data!$B$3:$EZ1530,44,FALSE),VLOOKUP($B334,Data!$B$3:$EZ1530,4,FALSE)),"")</f>
        <v>0.006346483705</v>
      </c>
      <c r="I334" s="48">
        <f>IFERROR(MINUS(DIVIDE(VLOOKUP($B334,Data!$B$3:$EZ1530,9,FALSE),VLOOKUP($B334,Data!$B$3:$EZ1530,10,FALSE)),1),"")</f>
        <v>0.3033307866</v>
      </c>
      <c r="J334" s="48">
        <f>IFERROR(MINUS(DIVIDE(VLOOKUP($B334,Data!$B$3:$EZ1530,24,FALSE),VLOOKUP($B334,Data!$B$3:$EZ1530,25,FALSE)),1),"")</f>
        <v>0.6614354161</v>
      </c>
      <c r="K334" s="48">
        <f>IFERROR(MINUS(DIVIDE(VLOOKUP($B334,Data!$B$3:$EZ1530,29,FALSE),VLOOKUP($B334,Data!$B$3:$EZ1530,30,FALSE)),1),"")</f>
        <v>0.6232918128</v>
      </c>
      <c r="L334" s="48">
        <f>IFERROR(MINUS(DIVIDE(VLOOKUP($B334,Data!$B$3:$EZ1530,34,FALSE),VLOOKUP($B334,Data!$B$3:$EZ1530,35,FALSE)),1),"")</f>
        <v>0.4213667647</v>
      </c>
      <c r="M334" s="48">
        <f>IFERROR(MINUS(DIVIDE(VLOOKUP($B334,Data!$B$3:$EZ1530,39,FALSE),VLOOKUP($B334,Data!$B$3:$EZ1530,40,FALSE)),1),"")</f>
        <v>0.4698314108</v>
      </c>
      <c r="N334" s="48">
        <f>IFERROR(MINUS(DIVIDE(VLOOKUP($B334,Data!$B$3:$EZ1530,44,FALSE),VLOOKUP($B334,Data!$B$3:$EZ1530,45,FALSE)),1),"")</f>
        <v>-0.7668263171</v>
      </c>
      <c r="O334" s="50">
        <f>IFERROR(VLOOKUP($B334,Data!$B$3:$D1530,2,FALSE),"")</f>
        <v>5450000</v>
      </c>
      <c r="P334" s="50">
        <f>IFERROR(VLOOKUP($B334,Data!$B$3:$D1530,3,FALSE),"")</f>
        <v>5430000</v>
      </c>
      <c r="Q334" s="48">
        <f t="shared" si="2"/>
        <v>0.003683241252</v>
      </c>
      <c r="R334" s="48"/>
      <c r="S334" s="48"/>
      <c r="T334" s="48"/>
      <c r="U334" s="48"/>
      <c r="V334" s="48"/>
      <c r="W334" s="50"/>
      <c r="Z334" s="15"/>
      <c r="AA334" s="15"/>
    </row>
    <row r="335">
      <c r="A335" s="9">
        <f t="shared" si="1"/>
        <v>332</v>
      </c>
      <c r="B335" s="47" t="s">
        <v>468</v>
      </c>
      <c r="C335" s="48">
        <f>IFERROR(DIVIDE(VLOOKUP($B335,Data!$B$3:$AB$1535,9,FALSE),VLOOKUP($B335,Data!$B$3:$AB$1535,4,FALSE)),"")</f>
        <v>0.3334569183</v>
      </c>
      <c r="D335" s="48">
        <f>IFERROR(DIVIDE(VLOOKUP($B335,Data!$B$3:$AB$1535,24,FALSE),VLOOKUP($B335,Data!$B$3:$AB$1535,4,FALSE)),"")</f>
        <v>0.1110163626</v>
      </c>
      <c r="E335" s="48">
        <f>IFERROR(DIVIDE(VLOOKUP($B335,Data!$B$3:$EZ1530,29,FALSE),VLOOKUP($B335,Data!$B$3:$EZ1530,4,FALSE)),"")</f>
        <v>0.09535814919</v>
      </c>
      <c r="F335" s="48">
        <f>IFERROR(DIVIDE(VLOOKUP($B335,Data!$B$3:$EZ1530,34,FALSE),VLOOKUP($B335,Data!$B$3:$EZ1530,4,FALSE)),"")</f>
        <v>0.1564956251</v>
      </c>
      <c r="G335" s="48">
        <f>IFERROR(DIVIDE(VLOOKUP($B335,Data!$B$3:$EZ1530,39,FALSE),VLOOKUP($B335,Data!$B$3:$EZ1530,4,FALSE)),"")</f>
        <v>0.07374314104</v>
      </c>
      <c r="H335" s="48">
        <f>IFERROR(DIVIDE(VLOOKUP($B335,Data!$B$3:$EZ1530,44,FALSE),VLOOKUP($B335,Data!$B$3:$EZ1530,4,FALSE)),"")</f>
        <v>0.1319887291</v>
      </c>
      <c r="I335" s="48">
        <f>IFERROR(MINUS(DIVIDE(VLOOKUP($B335,Data!$B$3:$EZ1530,9,FALSE),VLOOKUP($B335,Data!$B$3:$EZ1530,10,FALSE)),1),"")</f>
        <v>-0.06997104646</v>
      </c>
      <c r="J335" s="48">
        <f>IFERROR(MINUS(DIVIDE(VLOOKUP($B335,Data!$B$3:$EZ1530,24,FALSE),VLOOKUP($B335,Data!$B$3:$EZ1530,25,FALSE)),1),"")</f>
        <v>-0.05591171834</v>
      </c>
      <c r="K335" s="48">
        <f>IFERROR(MINUS(DIVIDE(VLOOKUP($B335,Data!$B$3:$EZ1530,29,FALSE),VLOOKUP($B335,Data!$B$3:$EZ1530,30,FALSE)),1),"")</f>
        <v>0.4586011342</v>
      </c>
      <c r="L335" s="48">
        <f>IFERROR(MINUS(DIVIDE(VLOOKUP($B335,Data!$B$3:$EZ1530,34,FALSE),VLOOKUP($B335,Data!$B$3:$EZ1530,35,FALSE)),1),"")</f>
        <v>-0.009232454425</v>
      </c>
      <c r="M335" s="48">
        <f>IFERROR(MINUS(DIVIDE(VLOOKUP($B335,Data!$B$3:$EZ1530,39,FALSE),VLOOKUP($B335,Data!$B$3:$EZ1530,40,FALSE)),1),"")</f>
        <v>0.4013621419</v>
      </c>
      <c r="N335" s="48">
        <f>IFERROR(MINUS(DIVIDE(VLOOKUP($B335,Data!$B$3:$EZ1530,44,FALSE),VLOOKUP($B335,Data!$B$3:$EZ1530,45,FALSE)),1),"")</f>
        <v>0.3433962264</v>
      </c>
      <c r="O335" s="50">
        <f>IFERROR(VLOOKUP($B335,Data!$B$3:$D1530,2,FALSE),"")</f>
        <v>693380</v>
      </c>
      <c r="P335" s="50">
        <f>IFERROR(VLOOKUP($B335,Data!$B$3:$D1530,3,FALSE),"")</f>
        <v>619480</v>
      </c>
      <c r="Q335" s="48">
        <f t="shared" si="2"/>
        <v>0.1192936011</v>
      </c>
      <c r="R335" s="48"/>
      <c r="S335" s="48"/>
      <c r="T335" s="48"/>
      <c r="U335" s="48"/>
      <c r="V335" s="48"/>
      <c r="W335" s="50"/>
      <c r="Z335" s="15"/>
      <c r="AA335" s="15"/>
    </row>
    <row r="336">
      <c r="A336" s="9">
        <f t="shared" si="1"/>
        <v>333</v>
      </c>
      <c r="B336" s="47" t="s">
        <v>469</v>
      </c>
      <c r="C336" s="48">
        <f>IFERROR(DIVIDE(VLOOKUP($B336,Data!$B$3:$AB$1535,9,FALSE),VLOOKUP($B336,Data!$B$3:$AB$1535,4,FALSE)),"")</f>
        <v>0.5649899027</v>
      </c>
      <c r="D336" s="48">
        <f>IFERROR(DIVIDE(VLOOKUP($B336,Data!$B$3:$AB$1535,24,FALSE),VLOOKUP($B336,Data!$B$3:$AB$1535,4,FALSE)),"")</f>
        <v>0</v>
      </c>
      <c r="E336" s="48">
        <f>IFERROR(DIVIDE(VLOOKUP($B336,Data!$B$3:$EZ1530,29,FALSE),VLOOKUP($B336,Data!$B$3:$EZ1530,4,FALSE)),"")</f>
        <v>0.1560492014</v>
      </c>
      <c r="F336" s="48">
        <f>IFERROR(DIVIDE(VLOOKUP($B336,Data!$B$3:$EZ1530,34,FALSE),VLOOKUP($B336,Data!$B$3:$EZ1530,4,FALSE)),"")</f>
        <v>0.312832752</v>
      </c>
      <c r="G336" s="48">
        <f>IFERROR(DIVIDE(VLOOKUP($B336,Data!$B$3:$EZ1530,39,FALSE),VLOOKUP($B336,Data!$B$3:$EZ1530,4,FALSE)),"")</f>
        <v>0.1198825041</v>
      </c>
      <c r="H336" s="48">
        <f>IFERROR(DIVIDE(VLOOKUP($B336,Data!$B$3:$EZ1530,44,FALSE),VLOOKUP($B336,Data!$B$3:$EZ1530,4,FALSE)),"")</f>
        <v>0.2359096751</v>
      </c>
      <c r="I336" s="48">
        <f>IFERROR(MINUS(DIVIDE(VLOOKUP($B336,Data!$B$3:$EZ1530,9,FALSE),VLOOKUP($B336,Data!$B$3:$EZ1530,10,FALSE)),1),"")</f>
        <v>0.1440520446</v>
      </c>
      <c r="J336" s="48">
        <f>IFERROR(MINUS(DIVIDE(VLOOKUP($B336,Data!$B$3:$EZ1530,24,FALSE),VLOOKUP($B336,Data!$B$3:$EZ1530,25,FALSE)),1),"")</f>
        <v>-1</v>
      </c>
      <c r="K336" s="48">
        <f>IFERROR(MINUS(DIVIDE(VLOOKUP($B336,Data!$B$3:$EZ1530,29,FALSE),VLOOKUP($B336,Data!$B$3:$EZ1530,30,FALSE)),1),"")</f>
        <v>0.1154855643</v>
      </c>
      <c r="L336" s="48">
        <f>IFERROR(MINUS(DIVIDE(VLOOKUP($B336,Data!$B$3:$EZ1530,34,FALSE),VLOOKUP($B336,Data!$B$3:$EZ1530,35,FALSE)),1),"")</f>
        <v>0.1352431712</v>
      </c>
      <c r="M336" s="48">
        <f>IFERROR(MINUS(DIVIDE(VLOOKUP($B336,Data!$B$3:$EZ1530,39,FALSE),VLOOKUP($B336,Data!$B$3:$EZ1530,40,FALSE)),1),"")</f>
        <v>0.1133844842</v>
      </c>
      <c r="N336" s="48">
        <f>IFERROR(MINUS(DIVIDE(VLOOKUP($B336,Data!$B$3:$EZ1530,44,FALSE),VLOOKUP($B336,Data!$B$3:$EZ1530,45,FALSE)),1),"")</f>
        <v>0.05761316872</v>
      </c>
      <c r="O336" s="50" t="str">
        <f>IFERROR(VLOOKUP($B336,Data!$B$3:$D1530,2,FALSE),"")</f>
        <v/>
      </c>
      <c r="P336" s="50" t="str">
        <f>IFERROR(VLOOKUP($B336,Data!$B$3:$D1530,3,FALSE),"")</f>
        <v/>
      </c>
      <c r="Q336" s="48" t="str">
        <f t="shared" si="2"/>
        <v/>
      </c>
      <c r="R336" s="48"/>
      <c r="S336" s="48"/>
      <c r="T336" s="48"/>
      <c r="U336" s="48"/>
      <c r="V336" s="48"/>
      <c r="W336" s="50"/>
      <c r="Z336" s="15"/>
      <c r="AA336" s="15"/>
    </row>
    <row r="337">
      <c r="A337" s="9">
        <f t="shared" si="1"/>
        <v>334</v>
      </c>
      <c r="B337" s="47" t="s">
        <v>470</v>
      </c>
      <c r="C337" s="48">
        <f>IFERROR(DIVIDE(VLOOKUP($B337,Data!$B$3:$AB$1535,9,FALSE),VLOOKUP($B337,Data!$B$3:$AB$1535,4,FALSE)),"")</f>
        <v>0.1663166369</v>
      </c>
      <c r="D337" s="48">
        <f>IFERROR(DIVIDE(VLOOKUP($B337,Data!$B$3:$AB$1535,24,FALSE),VLOOKUP($B337,Data!$B$3:$AB$1535,4,FALSE)),"")</f>
        <v>0.08462611807</v>
      </c>
      <c r="E337" s="48">
        <f>IFERROR(DIVIDE(VLOOKUP($B337,Data!$B$3:$EZ1530,29,FALSE),VLOOKUP($B337,Data!$B$3:$EZ1530,4,FALSE)),"")</f>
        <v>0.08198389982</v>
      </c>
      <c r="F337" s="48">
        <f>IFERROR(DIVIDE(VLOOKUP($B337,Data!$B$3:$EZ1530,34,FALSE),VLOOKUP($B337,Data!$B$3:$EZ1530,4,FALSE)),"")</f>
        <v>0.1545545617</v>
      </c>
      <c r="G337" s="48">
        <f>IFERROR(DIVIDE(VLOOKUP($B337,Data!$B$3:$EZ1530,39,FALSE),VLOOKUP($B337,Data!$B$3:$EZ1530,4,FALSE)),"")</f>
        <v>0.06264042934</v>
      </c>
      <c r="H337" s="48">
        <f>IFERROR(DIVIDE(VLOOKUP($B337,Data!$B$3:$EZ1530,44,FALSE),VLOOKUP($B337,Data!$B$3:$EZ1530,4,FALSE)),"")</f>
        <v>0.1562057245</v>
      </c>
      <c r="I337" s="48">
        <f>IFERROR(MINUS(DIVIDE(VLOOKUP($B337,Data!$B$3:$EZ1530,9,FALSE),VLOOKUP($B337,Data!$B$3:$EZ1530,10,FALSE)),1),"")</f>
        <v>0.3112791075</v>
      </c>
      <c r="J337" s="48">
        <f>IFERROR(MINUS(DIVIDE(VLOOKUP($B337,Data!$B$3:$EZ1530,24,FALSE),VLOOKUP($B337,Data!$B$3:$EZ1530,25,FALSE)),1),"")</f>
        <v>-9.396521122</v>
      </c>
      <c r="K337" s="48">
        <f>IFERROR(MINUS(DIVIDE(VLOOKUP($B337,Data!$B$3:$EZ1530,29,FALSE),VLOOKUP($B337,Data!$B$3:$EZ1530,30,FALSE)),1),"")</f>
        <v>0.7072343913</v>
      </c>
      <c r="L337" s="48">
        <f>IFERROR(MINUS(DIVIDE(VLOOKUP($B337,Data!$B$3:$EZ1530,34,FALSE),VLOOKUP($B337,Data!$B$3:$EZ1530,35,FALSE)),1),"")</f>
        <v>0.4597124369</v>
      </c>
      <c r="M337" s="48">
        <f>IFERROR(MINUS(DIVIDE(VLOOKUP($B337,Data!$B$3:$EZ1530,39,FALSE),VLOOKUP($B337,Data!$B$3:$EZ1530,40,FALSE)),1),"")</f>
        <v>0.9833474936</v>
      </c>
      <c r="N337" s="48">
        <f>IFERROR(MINUS(DIVIDE(VLOOKUP($B337,Data!$B$3:$EZ1530,44,FALSE),VLOOKUP($B337,Data!$B$3:$EZ1530,45,FALSE)),1),"")</f>
        <v>0.4048588207</v>
      </c>
      <c r="O337" s="50">
        <f>IFERROR(VLOOKUP($B337,Data!$B$3:$D1530,2,FALSE),"")</f>
        <v>6910000</v>
      </c>
      <c r="P337" s="50">
        <f>IFERROR(VLOOKUP($B337,Data!$B$3:$D1530,3,FALSE),"")</f>
        <v>5970000</v>
      </c>
      <c r="Q337" s="48">
        <f t="shared" si="2"/>
        <v>0.1574539363</v>
      </c>
      <c r="R337" s="48"/>
      <c r="S337" s="48"/>
      <c r="T337" s="48"/>
      <c r="U337" s="48"/>
      <c r="V337" s="48"/>
      <c r="W337" s="50"/>
      <c r="Z337" s="11"/>
      <c r="AA337" s="11"/>
    </row>
    <row r="338">
      <c r="A338" s="9">
        <f t="shared" si="1"/>
        <v>335</v>
      </c>
      <c r="B338" s="47" t="s">
        <v>471</v>
      </c>
      <c r="C338" s="48">
        <f>IFERROR(DIVIDE(VLOOKUP($B338,Data!$B$3:$AB$1535,9,FALSE),VLOOKUP($B338,Data!$B$3:$AB$1535,4,FALSE)),"")</f>
        <v>0.2254362416</v>
      </c>
      <c r="D338" s="48">
        <f>IFERROR(DIVIDE(VLOOKUP($B338,Data!$B$3:$AB$1535,24,FALSE),VLOOKUP($B338,Data!$B$3:$AB$1535,4,FALSE)),"")</f>
        <v>0</v>
      </c>
      <c r="E338" s="48">
        <f>IFERROR(DIVIDE(VLOOKUP($B338,Data!$B$3:$EZ1530,29,FALSE),VLOOKUP($B338,Data!$B$3:$EZ1530,4,FALSE)),"")</f>
        <v>0.05677852349</v>
      </c>
      <c r="F338" s="48">
        <f>IFERROR(DIVIDE(VLOOKUP($B338,Data!$B$3:$EZ1530,34,FALSE),VLOOKUP($B338,Data!$B$3:$EZ1530,4,FALSE)),"")</f>
        <v>0.2017449664</v>
      </c>
      <c r="G338" s="48">
        <f>IFERROR(DIVIDE(VLOOKUP($B338,Data!$B$3:$EZ1530,39,FALSE),VLOOKUP($B338,Data!$B$3:$EZ1530,4,FALSE)),"")</f>
        <v>0.04120805369</v>
      </c>
      <c r="H338" s="48">
        <f>IFERROR(DIVIDE(VLOOKUP($B338,Data!$B$3:$EZ1530,44,FALSE),VLOOKUP($B338,Data!$B$3:$EZ1530,4,FALSE)),"")</f>
        <v>0.107114094</v>
      </c>
      <c r="I338" s="48">
        <f>IFERROR(MINUS(DIVIDE(VLOOKUP($B338,Data!$B$3:$EZ1530,9,FALSE),VLOOKUP($B338,Data!$B$3:$EZ1530,10,FALSE)),1),"")</f>
        <v>0.1421285277</v>
      </c>
      <c r="J338" s="48">
        <f>IFERROR(MINUS(DIVIDE(VLOOKUP($B338,Data!$B$3:$EZ1530,24,FALSE),VLOOKUP($B338,Data!$B$3:$EZ1530,25,FALSE)),1),"")</f>
        <v>-1</v>
      </c>
      <c r="K338" s="48">
        <f>IFERROR(MINUS(DIVIDE(VLOOKUP($B338,Data!$B$3:$EZ1530,29,FALSE),VLOOKUP($B338,Data!$B$3:$EZ1530,30,FALSE)),1),"")</f>
        <v>0.09020618557</v>
      </c>
      <c r="L338" s="48">
        <f>IFERROR(MINUS(DIVIDE(VLOOKUP($B338,Data!$B$3:$EZ1530,34,FALSE),VLOOKUP($B338,Data!$B$3:$EZ1530,35,FALSE)),1),"")</f>
        <v>0.1031192661</v>
      </c>
      <c r="M338" s="48">
        <f>IFERROR(MINUS(DIVIDE(VLOOKUP($B338,Data!$B$3:$EZ1530,39,FALSE),VLOOKUP($B338,Data!$B$3:$EZ1530,40,FALSE)),1),"")</f>
        <v>-0.1010248902</v>
      </c>
      <c r="N338" s="48">
        <f>IFERROR(MINUS(DIVIDE(VLOOKUP($B338,Data!$B$3:$EZ1530,44,FALSE),VLOOKUP($B338,Data!$B$3:$EZ1530,45,FALSE)),1),"")</f>
        <v>-0.163083377</v>
      </c>
      <c r="O338" s="50">
        <f>IFERROR(VLOOKUP($B338,Data!$B$3:$D1530,2,FALSE),"")</f>
        <v>1580000</v>
      </c>
      <c r="P338" s="50">
        <f>IFERROR(VLOOKUP($B338,Data!$B$3:$D1530,3,FALSE),"")</f>
        <v>1500000</v>
      </c>
      <c r="Q338" s="48">
        <f t="shared" si="2"/>
        <v>0.05333333333</v>
      </c>
      <c r="R338" s="48"/>
      <c r="S338" s="48"/>
      <c r="T338" s="48"/>
      <c r="U338" s="48"/>
      <c r="V338" s="48"/>
      <c r="W338" s="50"/>
      <c r="Z338" s="12"/>
      <c r="AA338" s="12"/>
    </row>
    <row r="339">
      <c r="A339" s="9">
        <f t="shared" si="1"/>
        <v>336</v>
      </c>
      <c r="B339" s="47" t="s">
        <v>472</v>
      </c>
      <c r="C339" s="48">
        <f>IFERROR(DIVIDE(VLOOKUP($B339,Data!$B$3:$AB$1535,9,FALSE),VLOOKUP($B339,Data!$B$3:$AB$1535,4,FALSE)),"")</f>
        <v>0.4790320219</v>
      </c>
      <c r="D339" s="48">
        <f>IFERROR(DIVIDE(VLOOKUP($B339,Data!$B$3:$AB$1535,24,FALSE),VLOOKUP($B339,Data!$B$3:$AB$1535,4,FALSE)),"")</f>
        <v>0.4071866307</v>
      </c>
      <c r="E339" s="48">
        <f>IFERROR(DIVIDE(VLOOKUP($B339,Data!$B$3:$EZ1530,29,FALSE),VLOOKUP($B339,Data!$B$3:$EZ1530,4,FALSE)),"")</f>
        <v>0.1832841815</v>
      </c>
      <c r="F339" s="48">
        <f>IFERROR(DIVIDE(VLOOKUP($B339,Data!$B$3:$EZ1530,34,FALSE),VLOOKUP($B339,Data!$B$3:$EZ1530,4,FALSE)),"")</f>
        <v>0.670745226</v>
      </c>
      <c r="G339" s="48">
        <f>IFERROR(DIVIDE(VLOOKUP($B339,Data!$B$3:$EZ1530,39,FALSE),VLOOKUP($B339,Data!$B$3:$EZ1530,4,FALSE)),"")</f>
        <v>0.2070653197</v>
      </c>
      <c r="H339" s="48">
        <f>IFERROR(DIVIDE(VLOOKUP($B339,Data!$B$3:$EZ1530,44,FALSE),VLOOKUP($B339,Data!$B$3:$EZ1530,4,FALSE)),"")</f>
        <v>0.5668779151</v>
      </c>
      <c r="I339" s="48">
        <f>IFERROR(MINUS(DIVIDE(VLOOKUP($B339,Data!$B$3:$EZ1530,9,FALSE),VLOOKUP($B339,Data!$B$3:$EZ1530,10,FALSE)),1),"")</f>
        <v>-0.07749627422</v>
      </c>
      <c r="J339" s="48">
        <f>IFERROR(MINUS(DIVIDE(VLOOKUP($B339,Data!$B$3:$EZ1530,24,FALSE),VLOOKUP($B339,Data!$B$3:$EZ1530,25,FALSE)),1),"")</f>
        <v>-0.1528285466</v>
      </c>
      <c r="K339" s="48">
        <f>IFERROR(MINUS(DIVIDE(VLOOKUP($B339,Data!$B$3:$EZ1530,29,FALSE),VLOOKUP($B339,Data!$B$3:$EZ1530,30,FALSE)),1),"")</f>
        <v>0.5877876427</v>
      </c>
      <c r="L339" s="48">
        <f>IFERROR(MINUS(DIVIDE(VLOOKUP($B339,Data!$B$3:$EZ1530,34,FALSE),VLOOKUP($B339,Data!$B$3:$EZ1530,35,FALSE)),1),"")</f>
        <v>-0.03956274334</v>
      </c>
      <c r="M339" s="48">
        <f>IFERROR(MINUS(DIVIDE(VLOOKUP($B339,Data!$B$3:$EZ1530,39,FALSE),VLOOKUP($B339,Data!$B$3:$EZ1530,40,FALSE)),1),"")</f>
        <v>0.4723378941</v>
      </c>
      <c r="N339" s="48">
        <f>IFERROR(MINUS(DIVIDE(VLOOKUP($B339,Data!$B$3:$EZ1530,44,FALSE),VLOOKUP($B339,Data!$B$3:$EZ1530,45,FALSE)),1),"")</f>
        <v>0.9385594736</v>
      </c>
      <c r="O339" s="50">
        <f>IFERROR(VLOOKUP($B339,Data!$B$3:$D1530,2,FALSE),"")</f>
        <v>528740</v>
      </c>
      <c r="P339" s="50">
        <f>IFERROR(VLOOKUP($B339,Data!$B$3:$D1530,3,FALSE),"")</f>
        <v>473470</v>
      </c>
      <c r="Q339" s="48">
        <f t="shared" si="2"/>
        <v>0.1167339008</v>
      </c>
      <c r="R339" s="48"/>
      <c r="S339" s="48"/>
      <c r="T339" s="48"/>
      <c r="U339" s="48"/>
      <c r="V339" s="48"/>
      <c r="W339" s="50"/>
      <c r="Z339" s="15"/>
      <c r="AA339" s="15"/>
    </row>
    <row r="340">
      <c r="A340" s="9">
        <f t="shared" si="1"/>
        <v>337</v>
      </c>
      <c r="B340" s="47" t="s">
        <v>473</v>
      </c>
      <c r="C340" s="48">
        <f>IFERROR(DIVIDE(VLOOKUP($B340,Data!$B$3:$AB$1535,9,FALSE),VLOOKUP($B340,Data!$B$3:$AB$1535,4,FALSE)),"")</f>
        <v>0</v>
      </c>
      <c r="D340" s="48">
        <f>IFERROR(DIVIDE(VLOOKUP($B340,Data!$B$3:$AB$1535,24,FALSE),VLOOKUP($B340,Data!$B$3:$AB$1535,4,FALSE)),"")</f>
        <v>-9.283546326</v>
      </c>
      <c r="E340" s="48">
        <f>IFERROR(DIVIDE(VLOOKUP($B340,Data!$B$3:$EZ1530,29,FALSE),VLOOKUP($B340,Data!$B$3:$EZ1530,4,FALSE)),"")</f>
        <v>-8.99201278</v>
      </c>
      <c r="F340" s="48">
        <f>IFERROR(DIVIDE(VLOOKUP($B340,Data!$B$3:$EZ1530,34,FALSE),VLOOKUP($B340,Data!$B$3:$EZ1530,4,FALSE)),"")</f>
        <v>-3.573482428</v>
      </c>
      <c r="G340" s="48">
        <f>IFERROR(DIVIDE(VLOOKUP($B340,Data!$B$3:$EZ1530,39,FALSE),VLOOKUP($B340,Data!$B$3:$EZ1530,4,FALSE)),"")</f>
        <v>-8.99201278</v>
      </c>
      <c r="H340" s="48">
        <f>IFERROR(DIVIDE(VLOOKUP($B340,Data!$B$3:$EZ1530,44,FALSE),VLOOKUP($B340,Data!$B$3:$EZ1530,4,FALSE)),"")</f>
        <v>-6.004792332</v>
      </c>
      <c r="I340" s="48" t="str">
        <f>IFERROR(MINUS(DIVIDE(VLOOKUP($B340,Data!$B$3:$EZ1530,9,FALSE),VLOOKUP($B340,Data!$B$3:$EZ1530,10,FALSE)),1),"")</f>
        <v/>
      </c>
      <c r="J340" s="48">
        <f>IFERROR(MINUS(DIVIDE(VLOOKUP($B340,Data!$B$3:$EZ1530,24,FALSE),VLOOKUP($B340,Data!$B$3:$EZ1530,25,FALSE)),1),"")</f>
        <v>0.6154273801</v>
      </c>
      <c r="K340" s="48">
        <f>IFERROR(MINUS(DIVIDE(VLOOKUP($B340,Data!$B$3:$EZ1530,29,FALSE),VLOOKUP($B340,Data!$B$3:$EZ1530,30,FALSE)),1),"")</f>
        <v>0.6205556355</v>
      </c>
      <c r="L340" s="48">
        <f>IFERROR(MINUS(DIVIDE(VLOOKUP($B340,Data!$B$3:$EZ1530,34,FALSE),VLOOKUP($B340,Data!$B$3:$EZ1530,35,FALSE)),1),"")</f>
        <v>-0.3676325088</v>
      </c>
      <c r="M340" s="48">
        <f>IFERROR(MINUS(DIVIDE(VLOOKUP($B340,Data!$B$3:$EZ1530,39,FALSE),VLOOKUP($B340,Data!$B$3:$EZ1530,40,FALSE)),1),"")</f>
        <v>0.6205556355</v>
      </c>
      <c r="N340" s="48">
        <f>IFERROR(MINUS(DIVIDE(VLOOKUP($B340,Data!$B$3:$EZ1530,44,FALSE),VLOOKUP($B340,Data!$B$3:$EZ1530,45,FALSE)),1),"")</f>
        <v>0.3888786255</v>
      </c>
      <c r="O340" s="50">
        <f>IFERROR(VLOOKUP($B340,Data!$B$3:$D1530,2,FALSE),"")</f>
        <v>36670</v>
      </c>
      <c r="P340" s="50">
        <f>IFERROR(VLOOKUP($B340,Data!$B$3:$D1530,3,FALSE),"")</f>
        <v>4560</v>
      </c>
      <c r="Q340" s="48">
        <f t="shared" si="2"/>
        <v>7.041666667</v>
      </c>
      <c r="R340" s="48"/>
      <c r="S340" s="48"/>
      <c r="T340" s="48"/>
      <c r="U340" s="48"/>
      <c r="V340" s="48"/>
      <c r="W340" s="50"/>
      <c r="Z340" s="15"/>
      <c r="AA340" s="15"/>
    </row>
    <row r="341">
      <c r="A341" s="9">
        <f t="shared" si="1"/>
        <v>338</v>
      </c>
      <c r="B341" s="47" t="s">
        <v>474</v>
      </c>
      <c r="C341" s="48">
        <f>IFERROR(DIVIDE(VLOOKUP($B341,Data!$B$3:$AB$1535,9,FALSE),VLOOKUP($B341,Data!$B$3:$AB$1535,4,FALSE)),"")</f>
        <v>0</v>
      </c>
      <c r="D341" s="48">
        <f>IFERROR(DIVIDE(VLOOKUP($B341,Data!$B$3:$AB$1535,24,FALSE),VLOOKUP($B341,Data!$B$3:$AB$1535,4,FALSE)),"")</f>
        <v>-75.15740741</v>
      </c>
      <c r="E341" s="48">
        <f>IFERROR(DIVIDE(VLOOKUP($B341,Data!$B$3:$EZ1530,29,FALSE),VLOOKUP($B341,Data!$B$3:$EZ1530,4,FALSE)),"")</f>
        <v>-72.37962963</v>
      </c>
      <c r="F341" s="48">
        <f>IFERROR(DIVIDE(VLOOKUP($B341,Data!$B$3:$EZ1530,34,FALSE),VLOOKUP($B341,Data!$B$3:$EZ1530,4,FALSE)),"")</f>
        <v>-71.41666667</v>
      </c>
      <c r="G341" s="48">
        <f>IFERROR(DIVIDE(VLOOKUP($B341,Data!$B$3:$EZ1530,39,FALSE),VLOOKUP($B341,Data!$B$3:$EZ1530,4,FALSE)),"")</f>
        <v>-72.37962963</v>
      </c>
      <c r="H341" s="48">
        <f>IFERROR(DIVIDE(VLOOKUP($B341,Data!$B$3:$EZ1530,44,FALSE),VLOOKUP($B341,Data!$B$3:$EZ1530,4,FALSE)),"")</f>
        <v>-44.59259259</v>
      </c>
      <c r="I341" s="48" t="str">
        <f>IFERROR(MINUS(DIVIDE(VLOOKUP($B341,Data!$B$3:$EZ1530,9,FALSE),VLOOKUP($B341,Data!$B$3:$EZ1530,10,FALSE)),1),"")</f>
        <v/>
      </c>
      <c r="J341" s="48">
        <f>IFERROR(MINUS(DIVIDE(VLOOKUP($B341,Data!$B$3:$EZ1530,24,FALSE),VLOOKUP($B341,Data!$B$3:$EZ1530,25,FALSE)),1),"")</f>
        <v>0.3872842249</v>
      </c>
      <c r="K341" s="48">
        <f>IFERROR(MINUS(DIVIDE(VLOOKUP($B341,Data!$B$3:$EZ1530,29,FALSE),VLOOKUP($B341,Data!$B$3:$EZ1530,30,FALSE)),1),"")</f>
        <v>0.4031592174</v>
      </c>
      <c r="L341" s="48">
        <f>IFERROR(MINUS(DIVIDE(VLOOKUP($B341,Data!$B$3:$EZ1530,34,FALSE),VLOOKUP($B341,Data!$B$3:$EZ1530,35,FALSE)),1),"")</f>
        <v>0.4193963931</v>
      </c>
      <c r="M341" s="48">
        <f>IFERROR(MINUS(DIVIDE(VLOOKUP($B341,Data!$B$3:$EZ1530,39,FALSE),VLOOKUP($B341,Data!$B$3:$EZ1530,40,FALSE)),1),"")</f>
        <v>0.395394502</v>
      </c>
      <c r="N341" s="48">
        <f>IFERROR(MINUS(DIVIDE(VLOOKUP($B341,Data!$B$3:$EZ1530,44,FALSE),VLOOKUP($B341,Data!$B$3:$EZ1530,45,FALSE)),1),"")</f>
        <v>0.002706641682</v>
      </c>
      <c r="O341" s="50">
        <f>IFERROR(VLOOKUP($B341,Data!$B$3:$D1530,2,FALSE),"")</f>
        <v>9690</v>
      </c>
      <c r="P341" s="50">
        <f>IFERROR(VLOOKUP($B341,Data!$B$3:$D1530,3,FALSE),"")</f>
        <v>6390</v>
      </c>
      <c r="Q341" s="48">
        <f t="shared" si="2"/>
        <v>0.5164319249</v>
      </c>
      <c r="R341" s="48"/>
      <c r="S341" s="48"/>
      <c r="T341" s="48"/>
      <c r="U341" s="48"/>
      <c r="V341" s="48"/>
      <c r="W341" s="50"/>
      <c r="Z341" s="11"/>
      <c r="AA341" s="11"/>
    </row>
    <row r="342">
      <c r="A342" s="9">
        <f t="shared" si="1"/>
        <v>339</v>
      </c>
      <c r="B342" s="47" t="s">
        <v>475</v>
      </c>
      <c r="C342" s="48">
        <f>IFERROR(DIVIDE(VLOOKUP($B342,Data!$B$3:$AB$1535,9,FALSE),VLOOKUP($B342,Data!$B$3:$AB$1535,4,FALSE)),"")</f>
        <v>0.4376675603</v>
      </c>
      <c r="D342" s="48">
        <f>IFERROR(DIVIDE(VLOOKUP($B342,Data!$B$3:$AB$1535,24,FALSE),VLOOKUP($B342,Data!$B$3:$AB$1535,4,FALSE)),"")</f>
        <v>0.3699731903</v>
      </c>
      <c r="E342" s="48">
        <f>IFERROR(DIVIDE(VLOOKUP($B342,Data!$B$3:$EZ1530,29,FALSE),VLOOKUP($B342,Data!$B$3:$EZ1530,4,FALSE)),"")</f>
        <v>0.3639410188</v>
      </c>
      <c r="F342" s="48">
        <f>IFERROR(DIVIDE(VLOOKUP($B342,Data!$B$3:$EZ1530,34,FALSE),VLOOKUP($B342,Data!$B$3:$EZ1530,4,FALSE)),"")</f>
        <v>0.4798927614</v>
      </c>
      <c r="G342" s="48">
        <f>IFERROR(DIVIDE(VLOOKUP($B342,Data!$B$3:$EZ1530,39,FALSE),VLOOKUP($B342,Data!$B$3:$EZ1530,4,FALSE)),"")</f>
        <v>0.2828418231</v>
      </c>
      <c r="H342" s="48">
        <f>IFERROR(DIVIDE(VLOOKUP($B342,Data!$B$3:$EZ1530,44,FALSE),VLOOKUP($B342,Data!$B$3:$EZ1530,4,FALSE)),"")</f>
        <v>0.3967828418</v>
      </c>
      <c r="I342" s="48">
        <f>IFERROR(MINUS(DIVIDE(VLOOKUP($B342,Data!$B$3:$EZ1530,9,FALSE),VLOOKUP($B342,Data!$B$3:$EZ1530,10,FALSE)),1),"")</f>
        <v>0.01555209953</v>
      </c>
      <c r="J342" s="48">
        <f>IFERROR(MINUS(DIVIDE(VLOOKUP($B342,Data!$B$3:$EZ1530,24,FALSE),VLOOKUP($B342,Data!$B$3:$EZ1530,25,FALSE)),1),"")</f>
        <v>-0.02300884956</v>
      </c>
      <c r="K342" s="48">
        <f>IFERROR(MINUS(DIVIDE(VLOOKUP($B342,Data!$B$3:$EZ1530,29,FALSE),VLOOKUP($B342,Data!$B$3:$EZ1530,30,FALSE)),1),"")</f>
        <v>-0.04401408451</v>
      </c>
      <c r="L342" s="48">
        <f>IFERROR(MINUS(DIVIDE(VLOOKUP($B342,Data!$B$3:$EZ1530,34,FALSE),VLOOKUP($B342,Data!$B$3:$EZ1530,35,FALSE)),1),"")</f>
        <v>0.04985337243</v>
      </c>
      <c r="M342" s="48">
        <f>IFERROR(MINUS(DIVIDE(VLOOKUP($B342,Data!$B$3:$EZ1530,39,FALSE),VLOOKUP($B342,Data!$B$3:$EZ1530,40,FALSE)),1),"")</f>
        <v>-0.02540415704</v>
      </c>
      <c r="N342" s="48">
        <f>IFERROR(MINUS(DIVIDE(VLOOKUP($B342,Data!$B$3:$EZ1530,44,FALSE),VLOOKUP($B342,Data!$B$3:$EZ1530,45,FALSE)),1),"")</f>
        <v>0</v>
      </c>
      <c r="O342" s="50">
        <f>IFERROR(VLOOKUP($B342,Data!$B$3:$D1530,2,FALSE),"")</f>
        <v>11470000</v>
      </c>
      <c r="P342" s="50">
        <f>IFERROR(VLOOKUP($B342,Data!$B$3:$D1530,3,FALSE),"")</f>
        <v>10450000</v>
      </c>
      <c r="Q342" s="48">
        <f t="shared" si="2"/>
        <v>0.0976076555</v>
      </c>
      <c r="R342" s="48"/>
      <c r="S342" s="48"/>
      <c r="T342" s="48"/>
      <c r="U342" s="48"/>
      <c r="V342" s="48"/>
      <c r="W342" s="50"/>
      <c r="Z342" s="11"/>
      <c r="AA342" s="11"/>
    </row>
    <row r="343">
      <c r="A343" s="9">
        <f t="shared" si="1"/>
        <v>340</v>
      </c>
      <c r="B343" s="47" t="s">
        <v>476</v>
      </c>
      <c r="C343" s="48">
        <f>IFERROR(DIVIDE(VLOOKUP($B343,Data!$B$3:$AB$1535,9,FALSE),VLOOKUP($B343,Data!$B$3:$AB$1535,4,FALSE)),"")</f>
        <v>0.1770670732</v>
      </c>
      <c r="D343" s="48">
        <f>IFERROR(DIVIDE(VLOOKUP($B343,Data!$B$3:$AB$1535,24,FALSE),VLOOKUP($B343,Data!$B$3:$AB$1535,4,FALSE)),"")</f>
        <v>0.1068292683</v>
      </c>
      <c r="E343" s="48">
        <f>IFERROR(DIVIDE(VLOOKUP($B343,Data!$B$3:$EZ1530,29,FALSE),VLOOKUP($B343,Data!$B$3:$EZ1530,4,FALSE)),"")</f>
        <v>0.08346341463</v>
      </c>
      <c r="F343" s="48">
        <f>IFERROR(DIVIDE(VLOOKUP($B343,Data!$B$3:$EZ1530,34,FALSE),VLOOKUP($B343,Data!$B$3:$EZ1530,4,FALSE)),"")</f>
        <v>0.2038262195</v>
      </c>
      <c r="G343" s="48">
        <f>IFERROR(DIVIDE(VLOOKUP($B343,Data!$B$3:$EZ1530,39,FALSE),VLOOKUP($B343,Data!$B$3:$EZ1530,4,FALSE)),"")</f>
        <v>0.05799085366</v>
      </c>
      <c r="H343" s="48">
        <f>IFERROR(DIVIDE(VLOOKUP($B343,Data!$B$3:$EZ1530,44,FALSE),VLOOKUP($B343,Data!$B$3:$EZ1530,4,FALSE)),"")</f>
        <v>0.1713414634</v>
      </c>
      <c r="I343" s="48">
        <f>IFERROR(MINUS(DIVIDE(VLOOKUP($B343,Data!$B$3:$EZ1530,9,FALSE),VLOOKUP($B343,Data!$B$3:$EZ1530,10,FALSE)),1),"")</f>
        <v>-0.07015690042</v>
      </c>
      <c r="J343" s="48">
        <f>IFERROR(MINUS(DIVIDE(VLOOKUP($B343,Data!$B$3:$EZ1530,24,FALSE),VLOOKUP($B343,Data!$B$3:$EZ1530,25,FALSE)),1),"")</f>
        <v>-11.3484938</v>
      </c>
      <c r="K343" s="48">
        <f>IFERROR(MINUS(DIVIDE(VLOOKUP($B343,Data!$B$3:$EZ1530,29,FALSE),VLOOKUP($B343,Data!$B$3:$EZ1530,30,FALSE)),1),"")</f>
        <v>-0.1189778908</v>
      </c>
      <c r="L343" s="48">
        <f>IFERROR(MINUS(DIVIDE(VLOOKUP($B343,Data!$B$3:$EZ1530,34,FALSE),VLOOKUP($B343,Data!$B$3:$EZ1530,35,FALSE)),1),"")</f>
        <v>-0.07221859865</v>
      </c>
      <c r="M343" s="48">
        <f>IFERROR(MINUS(DIVIDE(VLOOKUP($B343,Data!$B$3:$EZ1530,39,FALSE),VLOOKUP($B343,Data!$B$3:$EZ1530,40,FALSE)),1),"")</f>
        <v>-0.1055675727</v>
      </c>
      <c r="N343" s="48">
        <f>IFERROR(MINUS(DIVIDE(VLOOKUP($B343,Data!$B$3:$EZ1530,44,FALSE),VLOOKUP($B343,Data!$B$3:$EZ1530,45,FALSE)),1),"")</f>
        <v>0.01998221383</v>
      </c>
      <c r="O343" s="50">
        <f>IFERROR(VLOOKUP($B343,Data!$B$3:$D1530,2,FALSE),"")</f>
        <v>2790000</v>
      </c>
      <c r="P343" s="50">
        <f>IFERROR(VLOOKUP($B343,Data!$B$3:$D1530,3,FALSE),"")</f>
        <v>1460000</v>
      </c>
      <c r="Q343" s="48">
        <f t="shared" si="2"/>
        <v>0.9109589041</v>
      </c>
      <c r="R343" s="48"/>
      <c r="S343" s="48"/>
      <c r="T343" s="48"/>
      <c r="U343" s="48"/>
      <c r="V343" s="48"/>
      <c r="W343" s="50"/>
      <c r="Z343" s="11"/>
      <c r="AA343" s="11"/>
    </row>
    <row r="344">
      <c r="A344" s="9">
        <f t="shared" si="1"/>
        <v>341</v>
      </c>
      <c r="B344" s="47" t="s">
        <v>477</v>
      </c>
      <c r="C344" s="48">
        <f>IFERROR(DIVIDE(VLOOKUP($B344,Data!$B$3:$AB$1535,9,FALSE),VLOOKUP($B344,Data!$B$3:$AB$1535,4,FALSE)),"")</f>
        <v>0.51524078</v>
      </c>
      <c r="D344" s="48">
        <f>IFERROR(DIVIDE(VLOOKUP($B344,Data!$B$3:$AB$1535,24,FALSE),VLOOKUP($B344,Data!$B$3:$AB$1535,4,FALSE)),"")</f>
        <v>0.07031769662</v>
      </c>
      <c r="E344" s="48">
        <f>IFERROR(DIVIDE(VLOOKUP($B344,Data!$B$3:$EZ1530,29,FALSE),VLOOKUP($B344,Data!$B$3:$EZ1530,4,FALSE)),"")</f>
        <v>0.03297329828</v>
      </c>
      <c r="F344" s="48">
        <f>IFERROR(DIVIDE(VLOOKUP($B344,Data!$B$3:$EZ1530,34,FALSE),VLOOKUP($B344,Data!$B$3:$EZ1530,4,FALSE)),"")</f>
        <v>0.1477938615</v>
      </c>
      <c r="G344" s="48">
        <f>IFERROR(DIVIDE(VLOOKUP($B344,Data!$B$3:$EZ1530,39,FALSE),VLOOKUP($B344,Data!$B$3:$EZ1530,4,FALSE)),"")</f>
        <v>0.03021760476</v>
      </c>
      <c r="H344" s="48">
        <f>IFERROR(DIVIDE(VLOOKUP($B344,Data!$B$3:$EZ1530,44,FALSE),VLOOKUP($B344,Data!$B$3:$EZ1530,4,FALSE)),"")</f>
        <v>0.1004402775</v>
      </c>
      <c r="I344" s="48">
        <f>IFERROR(MINUS(DIVIDE(VLOOKUP($B344,Data!$B$3:$EZ1530,9,FALSE),VLOOKUP($B344,Data!$B$3:$EZ1530,10,FALSE)),1),"")</f>
        <v>0.04228961982</v>
      </c>
      <c r="J344" s="48">
        <f>IFERROR(MINUS(DIVIDE(VLOOKUP($B344,Data!$B$3:$EZ1530,24,FALSE),VLOOKUP($B344,Data!$B$3:$EZ1530,25,FALSE)),1),"")</f>
        <v>-0.05249679898</v>
      </c>
      <c r="K344" s="48">
        <f>IFERROR(MINUS(DIVIDE(VLOOKUP($B344,Data!$B$3:$EZ1530,29,FALSE),VLOOKUP($B344,Data!$B$3:$EZ1530,30,FALSE)),1),"")</f>
        <v>-0.3834155972</v>
      </c>
      <c r="L344" s="48">
        <f>IFERROR(MINUS(DIVIDE(VLOOKUP($B344,Data!$B$3:$EZ1530,34,FALSE),VLOOKUP($B344,Data!$B$3:$EZ1530,35,FALSE)),1),"")</f>
        <v>-0.05533810231</v>
      </c>
      <c r="M344" s="48">
        <f>IFERROR(MINUS(DIVIDE(VLOOKUP($B344,Data!$B$3:$EZ1530,39,FALSE),VLOOKUP($B344,Data!$B$3:$EZ1530,40,FALSE)),1),"")</f>
        <v>-0.2993880049</v>
      </c>
      <c r="N344" s="48">
        <f>IFERROR(MINUS(DIVIDE(VLOOKUP($B344,Data!$B$3:$EZ1530,44,FALSE),VLOOKUP($B344,Data!$B$3:$EZ1530,45,FALSE)),1),"")</f>
        <v>0.2734939759</v>
      </c>
      <c r="O344" s="50">
        <f>IFERROR(VLOOKUP($B344,Data!$B$3:$D1530,2,FALSE),"")</f>
        <v>1020000</v>
      </c>
      <c r="P344" s="50">
        <f>IFERROR(VLOOKUP($B344,Data!$B$3:$D1530,3,FALSE),"")</f>
        <v>839220</v>
      </c>
      <c r="Q344" s="48">
        <f t="shared" si="2"/>
        <v>0.2154143133</v>
      </c>
      <c r="R344" s="48"/>
      <c r="S344" s="48"/>
      <c r="T344" s="48"/>
      <c r="U344" s="48"/>
      <c r="V344" s="48"/>
      <c r="W344" s="50"/>
      <c r="Z344" s="11"/>
      <c r="AA344" s="11"/>
    </row>
    <row r="345">
      <c r="A345" s="9">
        <f t="shared" si="1"/>
        <v>342</v>
      </c>
      <c r="B345" s="47" t="s">
        <v>478</v>
      </c>
      <c r="C345" s="48" t="str">
        <f>IFERROR(DIVIDE(VLOOKUP($B345,Data!$B$3:$AB$1535,9,FALSE),VLOOKUP($B345,Data!$B$3:$AB$1535,4,FALSE)),"")</f>
        <v/>
      </c>
      <c r="D345" s="48" t="str">
        <f>IFERROR(DIVIDE(VLOOKUP($B345,Data!$B$3:$AB$1535,24,FALSE),VLOOKUP($B345,Data!$B$3:$AB$1535,4,FALSE)),"")</f>
        <v/>
      </c>
      <c r="E345" s="48" t="str">
        <f>IFERROR(DIVIDE(VLOOKUP($B345,Data!$B$3:$EZ1530,29,FALSE),VLOOKUP($B345,Data!$B$3:$EZ1530,4,FALSE)),"")</f>
        <v/>
      </c>
      <c r="F345" s="48" t="str">
        <f>IFERROR(DIVIDE(VLOOKUP($B345,Data!$B$3:$EZ1530,34,FALSE),VLOOKUP($B345,Data!$B$3:$EZ1530,4,FALSE)),"")</f>
        <v/>
      </c>
      <c r="G345" s="48" t="str">
        <f>IFERROR(DIVIDE(VLOOKUP($B345,Data!$B$3:$EZ1530,39,FALSE),VLOOKUP($B345,Data!$B$3:$EZ1530,4,FALSE)),"")</f>
        <v/>
      </c>
      <c r="H345" s="48" t="str">
        <f>IFERROR(DIVIDE(VLOOKUP($B345,Data!$B$3:$EZ1530,44,FALSE),VLOOKUP($B345,Data!$B$3:$EZ1530,4,FALSE)),"")</f>
        <v/>
      </c>
      <c r="I345" s="48">
        <f>IFERROR(MINUS(DIVIDE(VLOOKUP($B345,Data!$B$3:$EZ1530,9,FALSE),VLOOKUP($B345,Data!$B$3:$EZ1530,10,FALSE)),1),"")</f>
        <v>0.3487544484</v>
      </c>
      <c r="J345" s="48" t="str">
        <f>IFERROR(MINUS(DIVIDE(VLOOKUP($B345,Data!$B$3:$EZ1530,24,FALSE),VLOOKUP($B345,Data!$B$3:$EZ1530,25,FALSE)),1),"")</f>
        <v/>
      </c>
      <c r="K345" s="48">
        <f>IFERROR(MINUS(DIVIDE(VLOOKUP($B345,Data!$B$3:$EZ1530,29,FALSE),VLOOKUP($B345,Data!$B$3:$EZ1530,30,FALSE)),1),"")</f>
        <v>0.4271650259</v>
      </c>
      <c r="L345" s="48">
        <f>IFERROR(MINUS(DIVIDE(VLOOKUP($B345,Data!$B$3:$EZ1530,34,FALSE),VLOOKUP($B345,Data!$B$3:$EZ1530,35,FALSE)),1),"")</f>
        <v>0.4057350033</v>
      </c>
      <c r="M345" s="48">
        <f>IFERROR(MINUS(DIVIDE(VLOOKUP($B345,Data!$B$3:$EZ1530,39,FALSE),VLOOKUP($B345,Data!$B$3:$EZ1530,40,FALSE)),1),"")</f>
        <v>0.4274987485</v>
      </c>
      <c r="N345" s="48">
        <f>IFERROR(MINUS(DIVIDE(VLOOKUP($B345,Data!$B$3:$EZ1530,44,FALSE),VLOOKUP($B345,Data!$B$3:$EZ1530,45,FALSE)),1),"")</f>
        <v>0.4151986891</v>
      </c>
      <c r="O345" s="50" t="str">
        <f>IFERROR(VLOOKUP($B345,Data!$B$3:$D1530,2,FALSE),"")</f>
        <v/>
      </c>
      <c r="P345" s="50" t="str">
        <f>IFERROR(VLOOKUP($B345,Data!$B$3:$D1530,3,FALSE),"")</f>
        <v/>
      </c>
      <c r="Q345" s="48" t="str">
        <f t="shared" si="2"/>
        <v/>
      </c>
      <c r="R345" s="48"/>
      <c r="S345" s="48"/>
      <c r="T345" s="48"/>
      <c r="U345" s="48"/>
      <c r="V345" s="48"/>
      <c r="W345" s="50"/>
      <c r="Z345" s="15"/>
      <c r="AA345" s="15"/>
    </row>
    <row r="346">
      <c r="A346" s="9">
        <f t="shared" si="1"/>
        <v>343</v>
      </c>
      <c r="B346" s="47" t="s">
        <v>479</v>
      </c>
      <c r="C346" s="48">
        <f>IFERROR(DIVIDE(VLOOKUP($B346,Data!$B$3:$AB$1535,9,FALSE),VLOOKUP($B346,Data!$B$3:$AB$1535,4,FALSE)),"")</f>
        <v>0.4668498168</v>
      </c>
      <c r="D346" s="48">
        <f>IFERROR(DIVIDE(VLOOKUP($B346,Data!$B$3:$AB$1535,24,FALSE),VLOOKUP($B346,Data!$B$3:$AB$1535,4,FALSE)),"")</f>
        <v>0</v>
      </c>
      <c r="E346" s="48">
        <f>IFERROR(DIVIDE(VLOOKUP($B346,Data!$B$3:$EZ1530,29,FALSE),VLOOKUP($B346,Data!$B$3:$EZ1530,4,FALSE)),"")</f>
        <v>-0.4243589744</v>
      </c>
      <c r="F346" s="48">
        <f>IFERROR(DIVIDE(VLOOKUP($B346,Data!$B$3:$EZ1530,34,FALSE),VLOOKUP($B346,Data!$B$3:$EZ1530,4,FALSE)),"")</f>
        <v>-0.2974358974</v>
      </c>
      <c r="G346" s="48">
        <f>IFERROR(DIVIDE(VLOOKUP($B346,Data!$B$3:$EZ1530,39,FALSE),VLOOKUP($B346,Data!$B$3:$EZ1530,4,FALSE)),"")</f>
        <v>-0.4238095238</v>
      </c>
      <c r="H346" s="48">
        <f>IFERROR(DIVIDE(VLOOKUP($B346,Data!$B$3:$EZ1530,44,FALSE),VLOOKUP($B346,Data!$B$3:$EZ1530,4,FALSE)),"")</f>
        <v>-0.2007326007</v>
      </c>
      <c r="I346" s="48">
        <f>IFERROR(MINUS(DIVIDE(VLOOKUP($B346,Data!$B$3:$EZ1530,9,FALSE),VLOOKUP($B346,Data!$B$3:$EZ1530,10,FALSE)),1),"")</f>
        <v>0.05200165085</v>
      </c>
      <c r="J346" s="48" t="str">
        <f>IFERROR(MINUS(DIVIDE(VLOOKUP($B346,Data!$B$3:$EZ1530,24,FALSE),VLOOKUP($B346,Data!$B$3:$EZ1530,25,FALSE)),1),"")</f>
        <v/>
      </c>
      <c r="K346" s="48">
        <f>IFERROR(MINUS(DIVIDE(VLOOKUP($B346,Data!$B$3:$EZ1530,29,FALSE),VLOOKUP($B346,Data!$B$3:$EZ1530,30,FALSE)),1),"")</f>
        <v>0.6863173217</v>
      </c>
      <c r="L346" s="48">
        <f>IFERROR(MINUS(DIVIDE(VLOOKUP($B346,Data!$B$3:$EZ1530,34,FALSE),VLOOKUP($B346,Data!$B$3:$EZ1530,35,FALSE)),1),"")</f>
        <v>0.9241706161</v>
      </c>
      <c r="M346" s="48">
        <f>IFERROR(MINUS(DIVIDE(VLOOKUP($B346,Data!$B$3:$EZ1530,39,FALSE),VLOOKUP($B346,Data!$B$3:$EZ1530,40,FALSE)),1),"")</f>
        <v>0.7896365043</v>
      </c>
      <c r="N346" s="48">
        <f>IFERROR(MINUS(DIVIDE(VLOOKUP($B346,Data!$B$3:$EZ1530,44,FALSE),VLOOKUP($B346,Data!$B$3:$EZ1530,45,FALSE)),1),"")</f>
        <v>0.653092006</v>
      </c>
      <c r="O346" s="50">
        <f>IFERROR(VLOOKUP($B346,Data!$B$3:$D1530,2,FALSE),"")</f>
        <v>84830</v>
      </c>
      <c r="P346" s="50">
        <f>IFERROR(VLOOKUP($B346,Data!$B$3:$D1530,3,FALSE),"")</f>
        <v>64570</v>
      </c>
      <c r="Q346" s="48">
        <f t="shared" si="2"/>
        <v>0.3137680037</v>
      </c>
      <c r="R346" s="48"/>
      <c r="S346" s="48"/>
      <c r="T346" s="48"/>
      <c r="U346" s="48"/>
      <c r="V346" s="48"/>
      <c r="W346" s="50"/>
      <c r="Z346" s="11"/>
      <c r="AA346" s="11"/>
    </row>
    <row r="347">
      <c r="A347" s="9">
        <f t="shared" si="1"/>
        <v>344</v>
      </c>
      <c r="B347" s="47" t="s">
        <v>480</v>
      </c>
      <c r="C347" s="48">
        <f>IFERROR(DIVIDE(VLOOKUP($B347,Data!$B$3:$AB$1535,9,FALSE),VLOOKUP($B347,Data!$B$3:$AB$1535,4,FALSE)),"")</f>
        <v>0.4318837923</v>
      </c>
      <c r="D347" s="48">
        <f>IFERROR(DIVIDE(VLOOKUP($B347,Data!$B$3:$AB$1535,24,FALSE),VLOOKUP($B347,Data!$B$3:$AB$1535,4,FALSE)),"")</f>
        <v>-0.02066626953</v>
      </c>
      <c r="E347" s="48">
        <f>IFERROR(DIVIDE(VLOOKUP($B347,Data!$B$3:$EZ1530,29,FALSE),VLOOKUP($B347,Data!$B$3:$EZ1530,4,FALSE)),"")</f>
        <v>-0.05485038721</v>
      </c>
      <c r="F347" s="48">
        <f>IFERROR(DIVIDE(VLOOKUP($B347,Data!$B$3:$EZ1530,34,FALSE),VLOOKUP($B347,Data!$B$3:$EZ1530,4,FALSE)),"")</f>
        <v>0.1530953581</v>
      </c>
      <c r="G347" s="48">
        <f>IFERROR(DIVIDE(VLOOKUP($B347,Data!$B$3:$EZ1530,39,FALSE),VLOOKUP($B347,Data!$B$3:$EZ1530,4,FALSE)),"")</f>
        <v>-0.0877972781</v>
      </c>
      <c r="H347" s="48">
        <f>IFERROR(DIVIDE(VLOOKUP($B347,Data!$B$3:$EZ1530,44,FALSE),VLOOKUP($B347,Data!$B$3:$EZ1530,4,FALSE)),"")</f>
        <v>0.08605599597</v>
      </c>
      <c r="I347" s="48">
        <f>IFERROR(MINUS(DIVIDE(VLOOKUP($B347,Data!$B$3:$EZ1530,9,FALSE),VLOOKUP($B347,Data!$B$3:$EZ1530,10,FALSE)),1),"")</f>
        <v>0.3535832256</v>
      </c>
      <c r="J347" s="48">
        <f>IFERROR(MINUS(DIVIDE(VLOOKUP($B347,Data!$B$3:$EZ1530,24,FALSE),VLOOKUP($B347,Data!$B$3:$EZ1530,25,FALSE)),1),"")</f>
        <v>-1.434071222</v>
      </c>
      <c r="K347" s="48">
        <f>IFERROR(MINUS(DIVIDE(VLOOKUP($B347,Data!$B$3:$EZ1530,29,FALSE),VLOOKUP($B347,Data!$B$3:$EZ1530,30,FALSE)),1),"")</f>
        <v>-3.021959459</v>
      </c>
      <c r="L347" s="48">
        <f>IFERROR(MINUS(DIVIDE(VLOOKUP($B347,Data!$B$3:$EZ1530,34,FALSE),VLOOKUP($B347,Data!$B$3:$EZ1530,35,FALSE)),1),"")</f>
        <v>0.7733545648</v>
      </c>
      <c r="M347" s="48">
        <f>IFERROR(MINUS(DIVIDE(VLOOKUP($B347,Data!$B$3:$EZ1530,39,FALSE),VLOOKUP($B347,Data!$B$3:$EZ1530,40,FALSE)),1),"")</f>
        <v>-6.651917404</v>
      </c>
      <c r="N347" s="48">
        <f>IFERROR(MINUS(DIVIDE(VLOOKUP($B347,Data!$B$3:$EZ1530,44,FALSE),VLOOKUP($B347,Data!$B$3:$EZ1530,45,FALSE)),1),"")</f>
        <v>-0.1589789521</v>
      </c>
      <c r="O347" s="50">
        <f>IFERROR(VLOOKUP($B347,Data!$B$3:$D1530,2,FALSE),"")</f>
        <v>351100</v>
      </c>
      <c r="P347" s="50">
        <f>IFERROR(VLOOKUP($B347,Data!$B$3:$D1530,3,FALSE),"")</f>
        <v>243080</v>
      </c>
      <c r="Q347" s="48">
        <f t="shared" si="2"/>
        <v>0.4443804509</v>
      </c>
      <c r="R347" s="48"/>
      <c r="S347" s="48"/>
      <c r="T347" s="48"/>
      <c r="U347" s="48"/>
      <c r="V347" s="48"/>
      <c r="W347" s="50"/>
      <c r="Z347" s="12"/>
      <c r="AA347" s="12"/>
    </row>
    <row r="348">
      <c r="A348" s="9">
        <f t="shared" si="1"/>
        <v>345</v>
      </c>
      <c r="B348" s="47" t="s">
        <v>481</v>
      </c>
      <c r="C348" s="48">
        <f>IFERROR(DIVIDE(VLOOKUP($B348,Data!$B$3:$AB$1535,9,FALSE),VLOOKUP($B348,Data!$B$3:$AB$1535,4,FALSE)),"")</f>
        <v>0.3093612903</v>
      </c>
      <c r="D348" s="48">
        <f>IFERROR(DIVIDE(VLOOKUP($B348,Data!$B$3:$AB$1535,24,FALSE),VLOOKUP($B348,Data!$B$3:$AB$1535,4,FALSE)),"")</f>
        <v>0.0700516129</v>
      </c>
      <c r="E348" s="48">
        <f>IFERROR(DIVIDE(VLOOKUP($B348,Data!$B$3:$EZ1530,29,FALSE),VLOOKUP($B348,Data!$B$3:$EZ1530,4,FALSE)),"")</f>
        <v>0.03850322581</v>
      </c>
      <c r="F348" s="48">
        <f>IFERROR(DIVIDE(VLOOKUP($B348,Data!$B$3:$EZ1530,34,FALSE),VLOOKUP($B348,Data!$B$3:$EZ1530,4,FALSE)),"")</f>
        <v>0.4942967742</v>
      </c>
      <c r="G348" s="48">
        <f>IFERROR(DIVIDE(VLOOKUP($B348,Data!$B$3:$EZ1530,39,FALSE),VLOOKUP($B348,Data!$B$3:$EZ1530,4,FALSE)),"")</f>
        <v>-0.05208387097</v>
      </c>
      <c r="H348" s="48">
        <f>IFERROR(DIVIDE(VLOOKUP($B348,Data!$B$3:$EZ1530,44,FALSE),VLOOKUP($B348,Data!$B$3:$EZ1530,4,FALSE)),"")</f>
        <v>0.6326193548</v>
      </c>
      <c r="I348" s="48">
        <f>IFERROR(MINUS(DIVIDE(VLOOKUP($B348,Data!$B$3:$EZ1530,9,FALSE),VLOOKUP($B348,Data!$B$3:$EZ1530,10,FALSE)),1),"")</f>
        <v>-0.3637159804</v>
      </c>
      <c r="J348" s="48">
        <f>IFERROR(MINUS(DIVIDE(VLOOKUP($B348,Data!$B$3:$EZ1530,24,FALSE),VLOOKUP($B348,Data!$B$3:$EZ1530,25,FALSE)),1),"")</f>
        <v>-0.904754386</v>
      </c>
      <c r="K348" s="48">
        <f>IFERROR(MINUS(DIVIDE(VLOOKUP($B348,Data!$B$3:$EZ1530,29,FALSE),VLOOKUP($B348,Data!$B$3:$EZ1530,30,FALSE)),1),"")</f>
        <v>-0.9457454545</v>
      </c>
      <c r="L348" s="48">
        <f>IFERROR(MINUS(DIVIDE(VLOOKUP($B348,Data!$B$3:$EZ1530,34,FALSE),VLOOKUP($B348,Data!$B$3:$EZ1530,35,FALSE)),1),"")</f>
        <v>-0.2633076923</v>
      </c>
      <c r="M348" s="48">
        <f>IFERROR(MINUS(DIVIDE(VLOOKUP($B348,Data!$B$3:$EZ1530,39,FALSE),VLOOKUP($B348,Data!$B$3:$EZ1530,40,FALSE)),1),"")</f>
        <v>-1.101352115</v>
      </c>
      <c r="N348" s="48">
        <f>IFERROR(MINUS(DIVIDE(VLOOKUP($B348,Data!$B$3:$EZ1530,44,FALSE),VLOOKUP($B348,Data!$B$3:$EZ1530,45,FALSE)),1),"")</f>
        <v>0.09551208285</v>
      </c>
      <c r="O348" s="50">
        <f>IFERROR(VLOOKUP($B348,Data!$B$3:$D1530,2,FALSE),"")</f>
        <v>1560000</v>
      </c>
      <c r="P348" s="50">
        <f>IFERROR(VLOOKUP($B348,Data!$B$3:$D1530,3,FALSE),"")</f>
        <v>1430000</v>
      </c>
      <c r="Q348" s="48">
        <f t="shared" si="2"/>
        <v>0.09090909091</v>
      </c>
      <c r="R348" s="48"/>
      <c r="S348" s="48"/>
      <c r="T348" s="48"/>
      <c r="U348" s="48"/>
      <c r="V348" s="48"/>
      <c r="W348" s="50"/>
      <c r="Z348" s="11"/>
      <c r="AA348" s="11"/>
    </row>
    <row r="349">
      <c r="A349" s="9">
        <f t="shared" si="1"/>
        <v>346</v>
      </c>
      <c r="B349" s="47" t="s">
        <v>482</v>
      </c>
      <c r="C349" s="48">
        <f>IFERROR(DIVIDE(VLOOKUP($B349,Data!$B$3:$AB$1535,9,FALSE),VLOOKUP($B349,Data!$B$3:$AB$1535,4,FALSE)),"")</f>
        <v>0.3305664336</v>
      </c>
      <c r="D349" s="48">
        <f>IFERROR(DIVIDE(VLOOKUP($B349,Data!$B$3:$AB$1535,24,FALSE),VLOOKUP($B349,Data!$B$3:$AB$1535,4,FALSE)),"")</f>
        <v>0.05405594406</v>
      </c>
      <c r="E349" s="48">
        <f>IFERROR(DIVIDE(VLOOKUP($B349,Data!$B$3:$EZ1530,29,FALSE),VLOOKUP($B349,Data!$B$3:$EZ1530,4,FALSE)),"")</f>
        <v>0.04199300699</v>
      </c>
      <c r="F349" s="48">
        <f>IFERROR(DIVIDE(VLOOKUP($B349,Data!$B$3:$EZ1530,34,FALSE),VLOOKUP($B349,Data!$B$3:$EZ1530,4,FALSE)),"")</f>
        <v>0.1394965035</v>
      </c>
      <c r="G349" s="48">
        <f>IFERROR(DIVIDE(VLOOKUP($B349,Data!$B$3:$EZ1530,39,FALSE),VLOOKUP($B349,Data!$B$3:$EZ1530,4,FALSE)),"")</f>
        <v>0.03764335664</v>
      </c>
      <c r="H349" s="48">
        <f>IFERROR(DIVIDE(VLOOKUP($B349,Data!$B$3:$EZ1530,44,FALSE),VLOOKUP($B349,Data!$B$3:$EZ1530,4,FALSE)),"")</f>
        <v>0.1268531469</v>
      </c>
      <c r="I349" s="48">
        <f>IFERROR(MINUS(DIVIDE(VLOOKUP($B349,Data!$B$3:$EZ1530,9,FALSE),VLOOKUP($B349,Data!$B$3:$EZ1530,10,FALSE)),1),"")</f>
        <v>-0.4578640732</v>
      </c>
      <c r="J349" s="48">
        <f>IFERROR(MINUS(DIVIDE(VLOOKUP($B349,Data!$B$3:$EZ1530,24,FALSE),VLOOKUP($B349,Data!$B$3:$EZ1530,25,FALSE)),1),"")</f>
        <v>-0.8005264244</v>
      </c>
      <c r="K349" s="48">
        <f>IFERROR(MINUS(DIVIDE(VLOOKUP($B349,Data!$B$3:$EZ1530,29,FALSE),VLOOKUP($B349,Data!$B$3:$EZ1530,30,FALSE)),1),"")</f>
        <v>-0.8339141498</v>
      </c>
      <c r="L349" s="48">
        <f>IFERROR(MINUS(DIVIDE(VLOOKUP($B349,Data!$B$3:$EZ1530,34,FALSE),VLOOKUP($B349,Data!$B$3:$EZ1530,35,FALSE)),1),"")</f>
        <v>-0.6071372302</v>
      </c>
      <c r="M349" s="48">
        <f>IFERROR(MINUS(DIVIDE(VLOOKUP($B349,Data!$B$3:$EZ1530,39,FALSE),VLOOKUP($B349,Data!$B$3:$EZ1530,40,FALSE)),1),"")</f>
        <v>-0.7823819534</v>
      </c>
      <c r="N349" s="48">
        <f>IFERROR(MINUS(DIVIDE(VLOOKUP($B349,Data!$B$3:$EZ1530,44,FALSE),VLOOKUP($B349,Data!$B$3:$EZ1530,45,FALSE)),1),"")</f>
        <v>-0.2317140316</v>
      </c>
      <c r="O349" s="50">
        <f>IFERROR(VLOOKUP($B349,Data!$B$3:$D1530,2,FALSE),"")</f>
        <v>1460000</v>
      </c>
      <c r="P349" s="50">
        <f>IFERROR(VLOOKUP($B349,Data!$B$3:$D1530,3,FALSE),"")</f>
        <v>1220000</v>
      </c>
      <c r="Q349" s="48">
        <f t="shared" si="2"/>
        <v>0.1967213115</v>
      </c>
      <c r="R349" s="48"/>
      <c r="S349" s="48"/>
      <c r="T349" s="48"/>
      <c r="U349" s="48"/>
      <c r="V349" s="48"/>
      <c r="W349" s="50"/>
      <c r="Z349" s="15"/>
      <c r="AA349" s="15"/>
    </row>
    <row r="350">
      <c r="A350" s="9">
        <f t="shared" si="1"/>
        <v>347</v>
      </c>
      <c r="B350" s="47" t="s">
        <v>483</v>
      </c>
      <c r="C350" s="48">
        <f>IFERROR(DIVIDE(VLOOKUP($B350,Data!$B$3:$AB$1535,9,FALSE),VLOOKUP($B350,Data!$B$3:$AB$1535,4,FALSE)),"")</f>
        <v>0.3314933228</v>
      </c>
      <c r="D350" s="48">
        <f>IFERROR(DIVIDE(VLOOKUP($B350,Data!$B$3:$AB$1535,24,FALSE),VLOOKUP($B350,Data!$B$3:$AB$1535,4,FALSE)),"")</f>
        <v>-0.08970908405</v>
      </c>
      <c r="E350" s="48">
        <f>IFERROR(DIVIDE(VLOOKUP($B350,Data!$B$3:$EZ1530,29,FALSE),VLOOKUP($B350,Data!$B$3:$EZ1530,4,FALSE)),"")</f>
        <v>-0.1235664204</v>
      </c>
      <c r="F350" s="48">
        <f>IFERROR(DIVIDE(VLOOKUP($B350,Data!$B$3:$EZ1530,34,FALSE),VLOOKUP($B350,Data!$B$3:$EZ1530,4,FALSE)),"")</f>
        <v>0.03970308402</v>
      </c>
      <c r="G350" s="48">
        <f>IFERROR(DIVIDE(VLOOKUP($B350,Data!$B$3:$EZ1530,39,FALSE),VLOOKUP($B350,Data!$B$3:$EZ1530,4,FALSE)),"")</f>
        <v>-0.1182863902</v>
      </c>
      <c r="H350" s="48">
        <f>IFERROR(DIVIDE(VLOOKUP($B350,Data!$B$3:$EZ1530,44,FALSE),VLOOKUP($B350,Data!$B$3:$EZ1530,4,FALSE)),"")</f>
        <v>0.04002880016</v>
      </c>
      <c r="I350" s="48">
        <f>IFERROR(MINUS(DIVIDE(VLOOKUP($B350,Data!$B$3:$EZ1530,9,FALSE),VLOOKUP($B350,Data!$B$3:$EZ1530,10,FALSE)),1),"")</f>
        <v>0.1998634897</v>
      </c>
      <c r="J350" s="48">
        <f>IFERROR(MINUS(DIVIDE(VLOOKUP($B350,Data!$B$3:$EZ1530,24,FALSE),VLOOKUP($B350,Data!$B$3:$EZ1530,25,FALSE)),1),"")</f>
        <v>0.7572196105</v>
      </c>
      <c r="K350" s="48">
        <f>IFERROR(MINUS(DIVIDE(VLOOKUP($B350,Data!$B$3:$EZ1530,29,FALSE),VLOOKUP($B350,Data!$B$3:$EZ1530,30,FALSE)),1),"")</f>
        <v>1.258853024</v>
      </c>
      <c r="L350" s="48">
        <f>IFERROR(MINUS(DIVIDE(VLOOKUP($B350,Data!$B$3:$EZ1530,34,FALSE),VLOOKUP($B350,Data!$B$3:$EZ1530,35,FALSE)),1),"")</f>
        <v>-0.4793165468</v>
      </c>
      <c r="M350" s="48">
        <f>IFERROR(MINUS(DIVIDE(VLOOKUP($B350,Data!$B$3:$EZ1530,39,FALSE),VLOOKUP($B350,Data!$B$3:$EZ1530,40,FALSE)),1),"")</f>
        <v>1.13622291</v>
      </c>
      <c r="N350" s="48">
        <f>IFERROR(MINUS(DIVIDE(VLOOKUP($B350,Data!$B$3:$EZ1530,44,FALSE),VLOOKUP($B350,Data!$B$3:$EZ1530,45,FALSE)),1),"")</f>
        <v>-0.3220092915</v>
      </c>
      <c r="O350" s="50">
        <f>IFERROR(VLOOKUP($B350,Data!$B$3:$D1530,2,FALSE),"")</f>
        <v>670090</v>
      </c>
      <c r="P350" s="50">
        <f>IFERROR(VLOOKUP($B350,Data!$B$3:$D1530,3,FALSE),"")</f>
        <v>552380</v>
      </c>
      <c r="Q350" s="48">
        <f t="shared" si="2"/>
        <v>0.2130960571</v>
      </c>
      <c r="R350" s="48"/>
      <c r="S350" s="48"/>
      <c r="T350" s="48"/>
      <c r="U350" s="48"/>
      <c r="V350" s="48"/>
      <c r="W350" s="50"/>
      <c r="Z350" s="15"/>
      <c r="AA350" s="15"/>
    </row>
    <row r="351">
      <c r="A351" s="9">
        <f t="shared" si="1"/>
        <v>348</v>
      </c>
      <c r="B351" s="47" t="s">
        <v>484</v>
      </c>
      <c r="C351" s="48">
        <f>IFERROR(DIVIDE(VLOOKUP($B351,Data!$B$3:$AB$1535,9,FALSE),VLOOKUP($B351,Data!$B$3:$AB$1535,4,FALSE)),"")</f>
        <v>0.3436853002</v>
      </c>
      <c r="D351" s="48">
        <f>IFERROR(DIVIDE(VLOOKUP($B351,Data!$B$3:$AB$1535,24,FALSE),VLOOKUP($B351,Data!$B$3:$AB$1535,4,FALSE)),"")</f>
        <v>0.01821325052</v>
      </c>
      <c r="E351" s="48">
        <f>IFERROR(DIVIDE(VLOOKUP($B351,Data!$B$3:$EZ1530,29,FALSE),VLOOKUP($B351,Data!$B$3:$EZ1530,4,FALSE)),"")</f>
        <v>0.007086956522</v>
      </c>
      <c r="F351" s="48">
        <f>IFERROR(DIVIDE(VLOOKUP($B351,Data!$B$3:$EZ1530,34,FALSE),VLOOKUP($B351,Data!$B$3:$EZ1530,4,FALSE)),"")</f>
        <v>0.07257349896</v>
      </c>
      <c r="G351" s="48">
        <f>IFERROR(DIVIDE(VLOOKUP($B351,Data!$B$3:$EZ1530,39,FALSE),VLOOKUP($B351,Data!$B$3:$EZ1530,4,FALSE)),"")</f>
        <v>0.00235610766</v>
      </c>
      <c r="H351" s="48">
        <f>IFERROR(DIVIDE(VLOOKUP($B351,Data!$B$3:$EZ1530,44,FALSE),VLOOKUP($B351,Data!$B$3:$EZ1530,4,FALSE)),"")</f>
        <v>0.06011801242</v>
      </c>
      <c r="I351" s="48">
        <f>IFERROR(MINUS(DIVIDE(VLOOKUP($B351,Data!$B$3:$EZ1530,9,FALSE),VLOOKUP($B351,Data!$B$3:$EZ1530,10,FALSE)),1),"")</f>
        <v>0.05732484076</v>
      </c>
      <c r="J351" s="48">
        <f>IFERROR(MINUS(DIVIDE(VLOOKUP($B351,Data!$B$3:$EZ1530,24,FALSE),VLOOKUP($B351,Data!$B$3:$EZ1530,25,FALSE)),1),"")</f>
        <v>2.017838765</v>
      </c>
      <c r="K351" s="48">
        <f>IFERROR(MINUS(DIVIDE(VLOOKUP($B351,Data!$B$3:$EZ1530,29,FALSE),VLOOKUP($B351,Data!$B$3:$EZ1530,30,FALSE)),1),"")</f>
        <v>-3.575620767</v>
      </c>
      <c r="L351" s="48">
        <f>IFERROR(MINUS(DIVIDE(VLOOKUP($B351,Data!$B$3:$EZ1530,34,FALSE),VLOOKUP($B351,Data!$B$3:$EZ1530,35,FALSE)),1),"")</f>
        <v>0.3487110427</v>
      </c>
      <c r="M351" s="48">
        <f>IFERROR(MINUS(DIVIDE(VLOOKUP($B351,Data!$B$3:$EZ1530,39,FALSE),VLOOKUP($B351,Data!$B$3:$EZ1530,40,FALSE)),1),"")</f>
        <v>-1.570998495</v>
      </c>
      <c r="N351" s="48">
        <f>IFERROR(MINUS(DIVIDE(VLOOKUP($B351,Data!$B$3:$EZ1530,44,FALSE),VLOOKUP($B351,Data!$B$3:$EZ1530,45,FALSE)),1),"")</f>
        <v>0.7193865467</v>
      </c>
      <c r="O351" s="50" t="str">
        <f>IFERROR(VLOOKUP($B351,Data!$B$3:$D1530,2,FALSE),"")</f>
        <v/>
      </c>
      <c r="P351" s="50" t="str">
        <f>IFERROR(VLOOKUP($B351,Data!$B$3:$D1530,3,FALSE),"")</f>
        <v/>
      </c>
      <c r="Q351" s="48" t="str">
        <f t="shared" si="2"/>
        <v/>
      </c>
      <c r="R351" s="48"/>
      <c r="S351" s="48"/>
      <c r="T351" s="48"/>
      <c r="U351" s="48"/>
      <c r="V351" s="48"/>
      <c r="W351" s="50"/>
      <c r="Z351" s="11"/>
      <c r="AA351" s="11"/>
    </row>
    <row r="352">
      <c r="A352" s="9">
        <f t="shared" si="1"/>
        <v>349</v>
      </c>
      <c r="B352" s="47" t="s">
        <v>485</v>
      </c>
      <c r="C352" s="48">
        <f>IFERROR(DIVIDE(VLOOKUP($B352,Data!$B$3:$AB$1535,9,FALSE),VLOOKUP($B352,Data!$B$3:$AB$1535,4,FALSE)),"")</f>
        <v>0.3472868217</v>
      </c>
      <c r="D352" s="48">
        <f>IFERROR(DIVIDE(VLOOKUP($B352,Data!$B$3:$AB$1535,24,FALSE),VLOOKUP($B352,Data!$B$3:$AB$1535,4,FALSE)),"")</f>
        <v>0</v>
      </c>
      <c r="E352" s="48">
        <f>IFERROR(DIVIDE(VLOOKUP($B352,Data!$B$3:$EZ1530,29,FALSE),VLOOKUP($B352,Data!$B$3:$EZ1530,4,FALSE)),"")</f>
        <v>-0.07657566566</v>
      </c>
      <c r="F352" s="48">
        <f>IFERROR(DIVIDE(VLOOKUP($B352,Data!$B$3:$EZ1530,34,FALSE),VLOOKUP($B352,Data!$B$3:$EZ1530,4,FALSE)),"")</f>
        <v>-0.02679474216</v>
      </c>
      <c r="G352" s="48">
        <f>IFERROR(DIVIDE(VLOOKUP($B352,Data!$B$3:$EZ1530,39,FALSE),VLOOKUP($B352,Data!$B$3:$EZ1530,4,FALSE)),"")</f>
        <v>-0.07657566566</v>
      </c>
      <c r="H352" s="48">
        <f>IFERROR(DIVIDE(VLOOKUP($B352,Data!$B$3:$EZ1530,44,FALSE),VLOOKUP($B352,Data!$B$3:$EZ1530,4,FALSE)),"")</f>
        <v>0.09362992922</v>
      </c>
      <c r="I352" s="48">
        <f>IFERROR(MINUS(DIVIDE(VLOOKUP($B352,Data!$B$3:$EZ1530,9,FALSE),VLOOKUP($B352,Data!$B$3:$EZ1530,10,FALSE)),1),"")</f>
        <v>-0.1019696706</v>
      </c>
      <c r="J352" s="48" t="str">
        <f>IFERROR(MINUS(DIVIDE(VLOOKUP($B352,Data!$B$3:$EZ1530,24,FALSE),VLOOKUP($B352,Data!$B$3:$EZ1530,25,FALSE)),1),"")</f>
        <v/>
      </c>
      <c r="K352" s="48">
        <f>IFERROR(MINUS(DIVIDE(VLOOKUP($B352,Data!$B$3:$EZ1530,29,FALSE),VLOOKUP($B352,Data!$B$3:$EZ1530,30,FALSE)),1),"")</f>
        <v>-0.4193713263</v>
      </c>
      <c r="L352" s="48">
        <f>IFERROR(MINUS(DIVIDE(VLOOKUP($B352,Data!$B$3:$EZ1530,34,FALSE),VLOOKUP($B352,Data!$B$3:$EZ1530,35,FALSE)),1),"")</f>
        <v>-1.088117934</v>
      </c>
      <c r="M352" s="48">
        <f>IFERROR(MINUS(DIVIDE(VLOOKUP($B352,Data!$B$3:$EZ1530,39,FALSE),VLOOKUP($B352,Data!$B$3:$EZ1530,40,FALSE)),1),"")</f>
        <v>-0.4193713263</v>
      </c>
      <c r="N352" s="48">
        <f>IFERROR(MINUS(DIVIDE(VLOOKUP($B352,Data!$B$3:$EZ1530,44,FALSE),VLOOKUP($B352,Data!$B$3:$EZ1530,45,FALSE)),1),"")</f>
        <v>-0.8359997639</v>
      </c>
      <c r="O352" s="50">
        <f>IFERROR(VLOOKUP($B352,Data!$B$3:$D1530,2,FALSE),"")</f>
        <v>344150</v>
      </c>
      <c r="P352" s="50">
        <f>IFERROR(VLOOKUP($B352,Data!$B$3:$D1530,3,FALSE),"")</f>
        <v>310250</v>
      </c>
      <c r="Q352" s="48">
        <f t="shared" si="2"/>
        <v>0.1092667204</v>
      </c>
      <c r="R352" s="48"/>
      <c r="S352" s="48"/>
      <c r="T352" s="48"/>
      <c r="U352" s="48"/>
      <c r="V352" s="48"/>
      <c r="W352" s="50"/>
      <c r="Z352" s="15"/>
      <c r="AA352" s="15"/>
    </row>
    <row r="353">
      <c r="A353" s="9">
        <f t="shared" si="1"/>
        <v>350</v>
      </c>
      <c r="B353" s="47" t="s">
        <v>486</v>
      </c>
      <c r="C353" s="48">
        <f>IFERROR(DIVIDE(VLOOKUP($B353,Data!$B$3:$AB$1535,9,FALSE),VLOOKUP($B353,Data!$B$3:$AB$1535,4,FALSE)),"")</f>
        <v>0.4736842105</v>
      </c>
      <c r="D353" s="48">
        <f>IFERROR(DIVIDE(VLOOKUP($B353,Data!$B$3:$AB$1535,24,FALSE),VLOOKUP($B353,Data!$B$3:$AB$1535,4,FALSE)),"")</f>
        <v>0.1217105263</v>
      </c>
      <c r="E353" s="48">
        <f>IFERROR(DIVIDE(VLOOKUP($B353,Data!$B$3:$EZ1530,29,FALSE),VLOOKUP($B353,Data!$B$3:$EZ1530,4,FALSE)),"")</f>
        <v>0.1333651316</v>
      </c>
      <c r="F353" s="48">
        <f>IFERROR(DIVIDE(VLOOKUP($B353,Data!$B$3:$EZ1530,34,FALSE),VLOOKUP($B353,Data!$B$3:$EZ1530,4,FALSE)),"")</f>
        <v>0.1608486842</v>
      </c>
      <c r="G353" s="48">
        <f>IFERROR(DIVIDE(VLOOKUP($B353,Data!$B$3:$EZ1530,39,FALSE),VLOOKUP($B353,Data!$B$3:$EZ1530,4,FALSE)),"")</f>
        <v>0.1087138158</v>
      </c>
      <c r="H353" s="48">
        <f>IFERROR(DIVIDE(VLOOKUP($B353,Data!$B$3:$EZ1530,44,FALSE),VLOOKUP($B353,Data!$B$3:$EZ1530,4,FALSE)),"")</f>
        <v>0.09389802632</v>
      </c>
      <c r="I353" s="48">
        <f>IFERROR(MINUS(DIVIDE(VLOOKUP($B353,Data!$B$3:$EZ1530,9,FALSE),VLOOKUP($B353,Data!$B$3:$EZ1530,10,FALSE)),1),"")</f>
        <v>0.08270676692</v>
      </c>
      <c r="J353" s="48">
        <f>IFERROR(MINUS(DIVIDE(VLOOKUP($B353,Data!$B$3:$EZ1530,24,FALSE),VLOOKUP($B353,Data!$B$3:$EZ1530,25,FALSE)),1),"")</f>
        <v>0.06914786026</v>
      </c>
      <c r="K353" s="48">
        <f>IFERROR(MINUS(DIVIDE(VLOOKUP($B353,Data!$B$3:$EZ1530,29,FALSE),VLOOKUP($B353,Data!$B$3:$EZ1530,30,FALSE)),1),"")</f>
        <v>0.1239465513</v>
      </c>
      <c r="L353" s="48">
        <f>IFERROR(MINUS(DIVIDE(VLOOKUP($B353,Data!$B$3:$EZ1530,34,FALSE),VLOOKUP($B353,Data!$B$3:$EZ1530,35,FALSE)),1),"")</f>
        <v>0.2347667988</v>
      </c>
      <c r="M353" s="48">
        <f>IFERROR(MINUS(DIVIDE(VLOOKUP($B353,Data!$B$3:$EZ1530,39,FALSE),VLOOKUP($B353,Data!$B$3:$EZ1530,40,FALSE)),1),"")</f>
        <v>0.2319764408</v>
      </c>
      <c r="N353" s="48">
        <f>IFERROR(MINUS(DIVIDE(VLOOKUP($B353,Data!$B$3:$EZ1530,44,FALSE),VLOOKUP($B353,Data!$B$3:$EZ1530,45,FALSE)),1),"")</f>
        <v>-0.01422799323</v>
      </c>
      <c r="O353" s="50">
        <f>IFERROR(VLOOKUP($B353,Data!$B$3:$D1530,2,FALSE),"")</f>
        <v>2970000</v>
      </c>
      <c r="P353" s="50">
        <f>IFERROR(VLOOKUP($B353,Data!$B$3:$D1530,3,FALSE),"")</f>
        <v>2540000</v>
      </c>
      <c r="Q353" s="48">
        <f t="shared" si="2"/>
        <v>0.1692913386</v>
      </c>
      <c r="R353" s="48"/>
      <c r="S353" s="48"/>
      <c r="T353" s="48"/>
      <c r="U353" s="48"/>
      <c r="V353" s="48"/>
      <c r="W353" s="50"/>
      <c r="Z353" s="15"/>
      <c r="AA353" s="15"/>
    </row>
    <row r="354">
      <c r="A354" s="9">
        <f t="shared" si="1"/>
        <v>351</v>
      </c>
      <c r="B354" s="47" t="s">
        <v>487</v>
      </c>
      <c r="C354" s="48">
        <f>IFERROR(DIVIDE(VLOOKUP($B354,Data!$B$3:$AB$1535,9,FALSE),VLOOKUP($B354,Data!$B$3:$AB$1535,4,FALSE)),"")</f>
        <v>0.5492857143</v>
      </c>
      <c r="D354" s="48">
        <f>IFERROR(DIVIDE(VLOOKUP($B354,Data!$B$3:$AB$1535,24,FALSE),VLOOKUP($B354,Data!$B$3:$AB$1535,4,FALSE)),"")</f>
        <v>0.08664285714</v>
      </c>
      <c r="E354" s="48">
        <f>IFERROR(DIVIDE(VLOOKUP($B354,Data!$B$3:$EZ1530,29,FALSE),VLOOKUP($B354,Data!$B$3:$EZ1530,4,FALSE)),"")</f>
        <v>0.04825974026</v>
      </c>
      <c r="F354" s="48">
        <f>IFERROR(DIVIDE(VLOOKUP($B354,Data!$B$3:$EZ1530,34,FALSE),VLOOKUP($B354,Data!$B$3:$EZ1530,4,FALSE)),"")</f>
        <v>0.1312207792</v>
      </c>
      <c r="G354" s="48">
        <f>IFERROR(DIVIDE(VLOOKUP($B354,Data!$B$3:$EZ1530,39,FALSE),VLOOKUP($B354,Data!$B$3:$EZ1530,4,FALSE)),"")</f>
        <v>0.03636363636</v>
      </c>
      <c r="H354" s="48">
        <f>IFERROR(DIVIDE(VLOOKUP($B354,Data!$B$3:$EZ1530,44,FALSE),VLOOKUP($B354,Data!$B$3:$EZ1530,4,FALSE)),"")</f>
        <v>0.07524675325</v>
      </c>
      <c r="I354" s="48">
        <f>IFERROR(MINUS(DIVIDE(VLOOKUP($B354,Data!$B$3:$EZ1530,9,FALSE),VLOOKUP($B354,Data!$B$3:$EZ1530,10,FALSE)),1),"")</f>
        <v>-0.002099849</v>
      </c>
      <c r="J354" s="48">
        <f>IFERROR(MINUS(DIVIDE(VLOOKUP($B354,Data!$B$3:$EZ1530,24,FALSE),VLOOKUP($B354,Data!$B$3:$EZ1530,25,FALSE)),1),"")</f>
        <v>-0.1633433659</v>
      </c>
      <c r="K354" s="48">
        <f>IFERROR(MINUS(DIVIDE(VLOOKUP($B354,Data!$B$3:$EZ1530,29,FALSE),VLOOKUP($B354,Data!$B$3:$EZ1530,30,FALSE)),1),"")</f>
        <v>-0.2320727423</v>
      </c>
      <c r="L354" s="48">
        <f>IFERROR(MINUS(DIVIDE(VLOOKUP($B354,Data!$B$3:$EZ1530,34,FALSE),VLOOKUP($B354,Data!$B$3:$EZ1530,35,FALSE)),1),"")</f>
        <v>0.007277439936</v>
      </c>
      <c r="M354" s="48">
        <f>IFERROR(MINUS(DIVIDE(VLOOKUP($B354,Data!$B$3:$EZ1530,39,FALSE),VLOOKUP($B354,Data!$B$3:$EZ1530,40,FALSE)),1),"")</f>
        <v>-0.2417061611</v>
      </c>
      <c r="N354" s="48">
        <f>IFERROR(MINUS(DIVIDE(VLOOKUP($B354,Data!$B$3:$EZ1530,44,FALSE),VLOOKUP($B354,Data!$B$3:$EZ1530,45,FALSE)),1),"")</f>
        <v>-0.236627141</v>
      </c>
      <c r="O354" s="50">
        <f>IFERROR(VLOOKUP($B354,Data!$B$3:$D1530,2,FALSE),"")</f>
        <v>1520000</v>
      </c>
      <c r="P354" s="50">
        <f>IFERROR(VLOOKUP($B354,Data!$B$3:$D1530,3,FALSE),"")</f>
        <v>1440000</v>
      </c>
      <c r="Q354" s="48">
        <f t="shared" si="2"/>
        <v>0.05555555556</v>
      </c>
      <c r="R354" s="48"/>
      <c r="S354" s="48"/>
      <c r="T354" s="48"/>
      <c r="U354" s="48"/>
      <c r="V354" s="48"/>
      <c r="W354" s="50"/>
      <c r="Z354" s="11"/>
      <c r="AA354" s="11"/>
    </row>
    <row r="355">
      <c r="A355" s="9">
        <f t="shared" si="1"/>
        <v>352</v>
      </c>
      <c r="B355" s="47" t="s">
        <v>488</v>
      </c>
      <c r="C355" s="48">
        <f>IFERROR(DIVIDE(VLOOKUP($B355,Data!$B$3:$AB$1535,9,FALSE),VLOOKUP($B355,Data!$B$3:$AB$1535,4,FALSE)),"")</f>
        <v>-1.144607843</v>
      </c>
      <c r="D355" s="48">
        <f>IFERROR(DIVIDE(VLOOKUP($B355,Data!$B$3:$AB$1535,24,FALSE),VLOOKUP($B355,Data!$B$3:$AB$1535,4,FALSE)),"")</f>
        <v>0</v>
      </c>
      <c r="E355" s="48">
        <f>IFERROR(DIVIDE(VLOOKUP($B355,Data!$B$3:$EZ1530,29,FALSE),VLOOKUP($B355,Data!$B$3:$EZ1530,4,FALSE)),"")</f>
        <v>-3.223039216</v>
      </c>
      <c r="F355" s="48">
        <f>IFERROR(DIVIDE(VLOOKUP($B355,Data!$B$3:$EZ1530,34,FALSE),VLOOKUP($B355,Data!$B$3:$EZ1530,4,FALSE)),"")</f>
        <v>-3.205882353</v>
      </c>
      <c r="G355" s="48">
        <f>IFERROR(DIVIDE(VLOOKUP($B355,Data!$B$3:$EZ1530,39,FALSE),VLOOKUP($B355,Data!$B$3:$EZ1530,4,FALSE)),"")</f>
        <v>-3.012254902</v>
      </c>
      <c r="H355" s="48">
        <f>IFERROR(DIVIDE(VLOOKUP($B355,Data!$B$3:$EZ1530,44,FALSE),VLOOKUP($B355,Data!$B$3:$EZ1530,4,FALSE)),"")</f>
        <v>-2.490196078</v>
      </c>
      <c r="I355" s="48" t="str">
        <f>IFERROR(MINUS(DIVIDE(VLOOKUP($B355,Data!$B$3:$EZ1530,9,FALSE),VLOOKUP($B355,Data!$B$3:$EZ1530,10,FALSE)),1),"")</f>
        <v/>
      </c>
      <c r="J355" s="48" t="str">
        <f>IFERROR(MINUS(DIVIDE(VLOOKUP($B355,Data!$B$3:$EZ1530,24,FALSE),VLOOKUP($B355,Data!$B$3:$EZ1530,25,FALSE)),1),"")</f>
        <v/>
      </c>
      <c r="K355" s="48">
        <f>IFERROR(MINUS(DIVIDE(VLOOKUP($B355,Data!$B$3:$EZ1530,29,FALSE),VLOOKUP($B355,Data!$B$3:$EZ1530,30,FALSE)),1),"")</f>
        <v>-0.0007598784195</v>
      </c>
      <c r="L355" s="48">
        <f>IFERROR(MINUS(DIVIDE(VLOOKUP($B355,Data!$B$3:$EZ1530,34,FALSE),VLOOKUP($B355,Data!$B$3:$EZ1530,35,FALSE)),1),"")</f>
        <v>0.009259259259</v>
      </c>
      <c r="M355" s="48">
        <f>IFERROR(MINUS(DIVIDE(VLOOKUP($B355,Data!$B$3:$EZ1530,39,FALSE),VLOOKUP($B355,Data!$B$3:$EZ1530,40,FALSE)),1),"")</f>
        <v>-0.0246031746</v>
      </c>
      <c r="N355" s="48">
        <f>IFERROR(MINUS(DIVIDE(VLOOKUP($B355,Data!$B$3:$EZ1530,44,FALSE),VLOOKUP($B355,Data!$B$3:$EZ1530,45,FALSE)),1),"")</f>
        <v>0.9500959693</v>
      </c>
      <c r="O355" s="50" t="str">
        <f>IFERROR(VLOOKUP($B355,Data!$B$3:$D1530,2,FALSE),"")</f>
        <v/>
      </c>
      <c r="P355" s="50" t="str">
        <f>IFERROR(VLOOKUP($B355,Data!$B$3:$D1530,3,FALSE),"")</f>
        <v/>
      </c>
      <c r="Q355" s="48" t="str">
        <f t="shared" si="2"/>
        <v/>
      </c>
      <c r="R355" s="48"/>
      <c r="S355" s="48"/>
      <c r="T355" s="48"/>
      <c r="U355" s="48"/>
      <c r="V355" s="48"/>
      <c r="W355" s="50"/>
      <c r="Z355" s="11"/>
      <c r="AA355" s="11"/>
    </row>
    <row r="356">
      <c r="A356" s="9">
        <f t="shared" si="1"/>
        <v>353</v>
      </c>
      <c r="B356" s="47" t="s">
        <v>489</v>
      </c>
      <c r="C356" s="48">
        <f>IFERROR(DIVIDE(VLOOKUP($B356,Data!$B$3:$AB$1535,9,FALSE),VLOOKUP($B356,Data!$B$3:$AB$1535,4,FALSE)),"")</f>
        <v>0.05650869826</v>
      </c>
      <c r="D356" s="48">
        <f>IFERROR(DIVIDE(VLOOKUP($B356,Data!$B$3:$AB$1535,24,FALSE),VLOOKUP($B356,Data!$B$3:$AB$1535,4,FALSE)),"")</f>
        <v>0</v>
      </c>
      <c r="E356" s="48">
        <f>IFERROR(DIVIDE(VLOOKUP($B356,Data!$B$3:$EZ1530,29,FALSE),VLOOKUP($B356,Data!$B$3:$EZ1530,4,FALSE)),"")</f>
        <v>0.004643071386</v>
      </c>
      <c r="F356" s="48">
        <f>IFERROR(DIVIDE(VLOOKUP($B356,Data!$B$3:$EZ1530,34,FALSE),VLOOKUP($B356,Data!$B$3:$EZ1530,4,FALSE)),"")</f>
        <v>0.009208158368</v>
      </c>
      <c r="G356" s="48">
        <f>IFERROR(DIVIDE(VLOOKUP($B356,Data!$B$3:$EZ1530,39,FALSE),VLOOKUP($B356,Data!$B$3:$EZ1530,4,FALSE)),"")</f>
        <v>0.003461307738</v>
      </c>
      <c r="H356" s="48">
        <f>IFERROR(DIVIDE(VLOOKUP($B356,Data!$B$3:$EZ1530,44,FALSE),VLOOKUP($B356,Data!$B$3:$EZ1530,4,FALSE)),"")</f>
        <v>0.005380923815</v>
      </c>
      <c r="I356" s="48">
        <f>IFERROR(MINUS(DIVIDE(VLOOKUP($B356,Data!$B$3:$EZ1530,9,FALSE),VLOOKUP($B356,Data!$B$3:$EZ1530,10,FALSE)),1),"")</f>
        <v>0.09854227405</v>
      </c>
      <c r="J356" s="48">
        <f>IFERROR(MINUS(DIVIDE(VLOOKUP($B356,Data!$B$3:$EZ1530,24,FALSE),VLOOKUP($B356,Data!$B$3:$EZ1530,25,FALSE)),1),"")</f>
        <v>-1</v>
      </c>
      <c r="K356" s="48">
        <f>IFERROR(MINUS(DIVIDE(VLOOKUP($B356,Data!$B$3:$EZ1530,29,FALSE),VLOOKUP($B356,Data!$B$3:$EZ1530,30,FALSE)),1),"")</f>
        <v>0.2921535893</v>
      </c>
      <c r="L356" s="48">
        <f>IFERROR(MINUS(DIVIDE(VLOOKUP($B356,Data!$B$3:$EZ1530,34,FALSE),VLOOKUP($B356,Data!$B$3:$EZ1530,35,FALSE)),1),"")</f>
        <v>0.1204379562</v>
      </c>
      <c r="M356" s="48">
        <f>IFERROR(MINUS(DIVIDE(VLOOKUP($B356,Data!$B$3:$EZ1530,39,FALSE),VLOOKUP($B356,Data!$B$3:$EZ1530,40,FALSE)),1),"")</f>
        <v>0.2681318681</v>
      </c>
      <c r="N356" s="48">
        <f>IFERROR(MINUS(DIVIDE(VLOOKUP($B356,Data!$B$3:$EZ1530,44,FALSE),VLOOKUP($B356,Data!$B$3:$EZ1530,45,FALSE)),1),"")</f>
        <v>-0.5752840909</v>
      </c>
      <c r="O356" s="50">
        <f>IFERROR(VLOOKUP($B356,Data!$B$3:$D1530,2,FALSE),"")</f>
        <v>17120000</v>
      </c>
      <c r="P356" s="50">
        <f>IFERROR(VLOOKUP($B356,Data!$B$3:$D1530,3,FALSE),"")</f>
        <v>16580000</v>
      </c>
      <c r="Q356" s="48">
        <f t="shared" si="2"/>
        <v>0.03256936068</v>
      </c>
      <c r="R356" s="48"/>
      <c r="S356" s="48"/>
      <c r="T356" s="48"/>
      <c r="U356" s="48"/>
      <c r="V356" s="48"/>
      <c r="W356" s="50"/>
      <c r="Z356" s="11"/>
      <c r="AA356" s="11"/>
    </row>
    <row r="357">
      <c r="A357" s="9">
        <f t="shared" si="1"/>
        <v>354</v>
      </c>
      <c r="B357" s="47" t="s">
        <v>490</v>
      </c>
      <c r="C357" s="48">
        <f>IFERROR(DIVIDE(VLOOKUP($B357,Data!$B$3:$AB$1535,9,FALSE),VLOOKUP($B357,Data!$B$3:$AB$1535,4,FALSE)),"")</f>
        <v>0.9820222519</v>
      </c>
      <c r="D357" s="48">
        <f>IFERROR(DIVIDE(VLOOKUP($B357,Data!$B$3:$AB$1535,24,FALSE),VLOOKUP($B357,Data!$B$3:$AB$1535,4,FALSE)),"")</f>
        <v>0</v>
      </c>
      <c r="E357" s="48">
        <f>IFERROR(DIVIDE(VLOOKUP($B357,Data!$B$3:$EZ1530,29,FALSE),VLOOKUP($B357,Data!$B$3:$EZ1530,4,FALSE)),"")</f>
        <v>0.3806975758</v>
      </c>
      <c r="F357" s="48">
        <f>IFERROR(DIVIDE(VLOOKUP($B357,Data!$B$3:$EZ1530,34,FALSE),VLOOKUP($B357,Data!$B$3:$EZ1530,4,FALSE)),"")</f>
        <v>0.3712356031</v>
      </c>
      <c r="G357" s="48">
        <f>IFERROR(DIVIDE(VLOOKUP($B357,Data!$B$3:$EZ1530,39,FALSE),VLOOKUP($B357,Data!$B$3:$EZ1530,4,FALSE)),"")</f>
        <v>0.3072857189</v>
      </c>
      <c r="H357" s="48">
        <f>IFERROR(DIVIDE(VLOOKUP($B357,Data!$B$3:$EZ1530,44,FALSE),VLOOKUP($B357,Data!$B$3:$EZ1530,4,FALSE)),"")</f>
        <v>0.4488564064</v>
      </c>
      <c r="I357" s="48">
        <f>IFERROR(MINUS(DIVIDE(VLOOKUP($B357,Data!$B$3:$EZ1530,9,FALSE),VLOOKUP($B357,Data!$B$3:$EZ1530,10,FALSE)),1),"")</f>
        <v>0.2233467463</v>
      </c>
      <c r="J357" s="48" t="str">
        <f>IFERROR(MINUS(DIVIDE(VLOOKUP($B357,Data!$B$3:$EZ1530,24,FALSE),VLOOKUP($B357,Data!$B$3:$EZ1530,25,FALSE)),1),"")</f>
        <v/>
      </c>
      <c r="K357" s="48">
        <f>IFERROR(MINUS(DIVIDE(VLOOKUP($B357,Data!$B$3:$EZ1530,29,FALSE),VLOOKUP($B357,Data!$B$3:$EZ1530,30,FALSE)),1),"")</f>
        <v>0.2661964189</v>
      </c>
      <c r="L357" s="48">
        <f>IFERROR(MINUS(DIVIDE(VLOOKUP($B357,Data!$B$3:$EZ1530,34,FALSE),VLOOKUP($B357,Data!$B$3:$EZ1530,35,FALSE)),1),"")</f>
        <v>0.2680263011</v>
      </c>
      <c r="M357" s="48">
        <f>IFERROR(MINUS(DIVIDE(VLOOKUP($B357,Data!$B$3:$EZ1530,39,FALSE),VLOOKUP($B357,Data!$B$3:$EZ1530,40,FALSE)),1),"")</f>
        <v>0.2489059806</v>
      </c>
      <c r="N357" s="48">
        <f>IFERROR(MINUS(DIVIDE(VLOOKUP($B357,Data!$B$3:$EZ1530,44,FALSE),VLOOKUP($B357,Data!$B$3:$EZ1530,45,FALSE)),1),"")</f>
        <v>0.1893317195</v>
      </c>
      <c r="O357" s="50">
        <f>IFERROR(VLOOKUP($B357,Data!$B$3:$D1530,2,FALSE),"")</f>
        <v>360970</v>
      </c>
      <c r="P357" s="50">
        <f>IFERROR(VLOOKUP($B357,Data!$B$3:$D1530,3,FALSE),"")</f>
        <v>366220</v>
      </c>
      <c r="Q357" s="48">
        <f t="shared" si="2"/>
        <v>-0.01433564524</v>
      </c>
      <c r="R357" s="48"/>
      <c r="S357" s="48"/>
      <c r="T357" s="48"/>
      <c r="U357" s="48"/>
      <c r="V357" s="48"/>
      <c r="W357" s="50"/>
      <c r="Z357" s="12"/>
      <c r="AA357" s="12"/>
    </row>
    <row r="358">
      <c r="A358" s="9">
        <f t="shared" si="1"/>
        <v>355</v>
      </c>
      <c r="B358" s="47" t="s">
        <v>491</v>
      </c>
      <c r="C358" s="48">
        <f>IFERROR(DIVIDE(VLOOKUP($B358,Data!$B$3:$AB$1535,9,FALSE),VLOOKUP($B358,Data!$B$3:$AB$1535,4,FALSE)),"")</f>
        <v>0.1297969876</v>
      </c>
      <c r="D358" s="48">
        <f>IFERROR(DIVIDE(VLOOKUP($B358,Data!$B$3:$AB$1535,24,FALSE),VLOOKUP($B358,Data!$B$3:$AB$1535,4,FALSE)),"")</f>
        <v>0</v>
      </c>
      <c r="E358" s="48">
        <f>IFERROR(DIVIDE(VLOOKUP($B358,Data!$B$3:$EZ1530,29,FALSE),VLOOKUP($B358,Data!$B$3:$EZ1530,4,FALSE)),"")</f>
        <v>0.03123772102</v>
      </c>
      <c r="F358" s="48">
        <f>IFERROR(DIVIDE(VLOOKUP($B358,Data!$B$3:$EZ1530,34,FALSE),VLOOKUP($B358,Data!$B$3:$EZ1530,4,FALSE)),"")</f>
        <v>0.04138834316</v>
      </c>
      <c r="G358" s="48">
        <f>IFERROR(DIVIDE(VLOOKUP($B358,Data!$B$3:$EZ1530,39,FALSE),VLOOKUP($B358,Data!$B$3:$EZ1530,4,FALSE)),"")</f>
        <v>0.02396856582</v>
      </c>
      <c r="H358" s="48">
        <f>IFERROR(DIVIDE(VLOOKUP($B358,Data!$B$3:$EZ1530,44,FALSE),VLOOKUP($B358,Data!$B$3:$EZ1530,4,FALSE)),"")</f>
        <v>0.0416502947</v>
      </c>
      <c r="I358" s="48">
        <f>IFERROR(MINUS(DIVIDE(VLOOKUP($B358,Data!$B$3:$EZ1530,9,FALSE),VLOOKUP($B358,Data!$B$3:$EZ1530,10,FALSE)),1),"")</f>
        <v>0.07600434311</v>
      </c>
      <c r="J358" s="48" t="str">
        <f>IFERROR(MINUS(DIVIDE(VLOOKUP($B358,Data!$B$3:$EZ1530,24,FALSE),VLOOKUP($B358,Data!$B$3:$EZ1530,25,FALSE)),1),"")</f>
        <v/>
      </c>
      <c r="K358" s="48">
        <f>IFERROR(MINUS(DIVIDE(VLOOKUP($B358,Data!$B$3:$EZ1530,29,FALSE),VLOOKUP($B358,Data!$B$3:$EZ1530,30,FALSE)),1),"")</f>
        <v>0.07432432432</v>
      </c>
      <c r="L358" s="48">
        <f>IFERROR(MINUS(DIVIDE(VLOOKUP($B358,Data!$B$3:$EZ1530,34,FALSE),VLOOKUP($B358,Data!$B$3:$EZ1530,35,FALSE)),1),"")</f>
        <v>0.0550918197</v>
      </c>
      <c r="M358" s="48">
        <f>IFERROR(MINUS(DIVIDE(VLOOKUP($B358,Data!$B$3:$EZ1530,39,FALSE),VLOOKUP($B358,Data!$B$3:$EZ1530,40,FALSE)),1),"")</f>
        <v>0.1693290735</v>
      </c>
      <c r="N358" s="48">
        <f>IFERROR(MINUS(DIVIDE(VLOOKUP($B358,Data!$B$3:$EZ1530,44,FALSE),VLOOKUP($B358,Data!$B$3:$EZ1530,45,FALSE)),1),"")</f>
        <v>0.1022530329</v>
      </c>
      <c r="O358" s="50">
        <f>IFERROR(VLOOKUP($B358,Data!$B$3:$D1530,2,FALSE),"")</f>
        <v>175550000</v>
      </c>
      <c r="P358" s="50">
        <f>IFERROR(VLOOKUP($B358,Data!$B$3:$D1530,3,FALSE),"")</f>
        <v>165000000</v>
      </c>
      <c r="Q358" s="48">
        <f t="shared" si="2"/>
        <v>0.06393939394</v>
      </c>
      <c r="R358" s="48"/>
      <c r="S358" s="48"/>
      <c r="T358" s="48"/>
      <c r="U358" s="48"/>
      <c r="V358" s="48"/>
      <c r="W358" s="50"/>
      <c r="Z358" s="15"/>
      <c r="AA358" s="15"/>
    </row>
    <row r="359">
      <c r="A359" s="9">
        <f t="shared" si="1"/>
        <v>356</v>
      </c>
      <c r="B359" s="47" t="s">
        <v>492</v>
      </c>
      <c r="C359" s="48">
        <f>IFERROR(DIVIDE(VLOOKUP($B359,Data!$B$3:$AB$1535,9,FALSE),VLOOKUP($B359,Data!$B$3:$AB$1535,4,FALSE)),"")</f>
        <v>0.5780346821</v>
      </c>
      <c r="D359" s="48">
        <f>IFERROR(DIVIDE(VLOOKUP($B359,Data!$B$3:$AB$1535,24,FALSE),VLOOKUP($B359,Data!$B$3:$AB$1535,4,FALSE)),"")</f>
        <v>-0.4011560694</v>
      </c>
      <c r="E359" s="48">
        <f>IFERROR(DIVIDE(VLOOKUP($B359,Data!$B$3:$EZ1530,29,FALSE),VLOOKUP($B359,Data!$B$3:$EZ1530,4,FALSE)),"")</f>
        <v>-0.4369942197</v>
      </c>
      <c r="F359" s="48">
        <f>IFERROR(DIVIDE(VLOOKUP($B359,Data!$B$3:$EZ1530,34,FALSE),VLOOKUP($B359,Data!$B$3:$EZ1530,4,FALSE)),"")</f>
        <v>0.1537572254</v>
      </c>
      <c r="G359" s="48">
        <f>IFERROR(DIVIDE(VLOOKUP($B359,Data!$B$3:$EZ1530,39,FALSE),VLOOKUP($B359,Data!$B$3:$EZ1530,4,FALSE)),"")</f>
        <v>-0.4369942197</v>
      </c>
      <c r="H359" s="48">
        <f>IFERROR(DIVIDE(VLOOKUP($B359,Data!$B$3:$EZ1530,44,FALSE),VLOOKUP($B359,Data!$B$3:$EZ1530,4,FALSE)),"")</f>
        <v>0.07394219653</v>
      </c>
      <c r="I359" s="48">
        <f>IFERROR(MINUS(DIVIDE(VLOOKUP($B359,Data!$B$3:$EZ1530,9,FALSE),VLOOKUP($B359,Data!$B$3:$EZ1530,10,FALSE)),1),"")</f>
        <v>-0.08925318761</v>
      </c>
      <c r="J359" s="48">
        <f>IFERROR(MINUS(DIVIDE(VLOOKUP($B359,Data!$B$3:$EZ1530,24,FALSE),VLOOKUP($B359,Data!$B$3:$EZ1530,25,FALSE)),1),"")</f>
        <v>6.685492802</v>
      </c>
      <c r="K359" s="48">
        <f>IFERROR(MINUS(DIVIDE(VLOOKUP($B359,Data!$B$3:$EZ1530,29,FALSE),VLOOKUP($B359,Data!$B$3:$EZ1530,30,FALSE)),1),"")</f>
        <v>23.78688525</v>
      </c>
      <c r="L359" s="48">
        <f>IFERROR(MINUS(DIVIDE(VLOOKUP($B359,Data!$B$3:$EZ1530,34,FALSE),VLOOKUP($B359,Data!$B$3:$EZ1530,35,FALSE)),1),"")</f>
        <v>-0.03623188406</v>
      </c>
      <c r="M359" s="48">
        <f>IFERROR(MINUS(DIVIDE(VLOOKUP($B359,Data!$B$3:$EZ1530,39,FALSE),VLOOKUP($B359,Data!$B$3:$EZ1530,40,FALSE)),1),"")</f>
        <v>21.39336493</v>
      </c>
      <c r="N359" s="48">
        <f>IFERROR(MINUS(DIVIDE(VLOOKUP($B359,Data!$B$3:$EZ1530,44,FALSE),VLOOKUP($B359,Data!$B$3:$EZ1530,45,FALSE)),1),"")</f>
        <v>0.5460478608</v>
      </c>
      <c r="O359" s="50">
        <f>IFERROR(VLOOKUP($B359,Data!$B$3:$D1530,2,FALSE),"")</f>
        <v>7340000</v>
      </c>
      <c r="P359" s="50">
        <f>IFERROR(VLOOKUP($B359,Data!$B$3:$D1530,3,FALSE),"")</f>
        <v>7100000</v>
      </c>
      <c r="Q359" s="48">
        <f t="shared" si="2"/>
        <v>0.0338028169</v>
      </c>
      <c r="R359" s="48"/>
      <c r="S359" s="48"/>
      <c r="T359" s="48"/>
      <c r="U359" s="48"/>
      <c r="V359" s="48"/>
      <c r="W359" s="50"/>
      <c r="Z359" s="11"/>
      <c r="AA359" s="11"/>
    </row>
    <row r="360">
      <c r="A360" s="9">
        <f t="shared" si="1"/>
        <v>357</v>
      </c>
      <c r="B360" s="47" t="s">
        <v>493</v>
      </c>
      <c r="C360" s="48">
        <f>IFERROR(DIVIDE(VLOOKUP($B360,Data!$B$3:$AB$1535,9,FALSE),VLOOKUP($B360,Data!$B$3:$AB$1535,4,FALSE)),"")</f>
        <v>0.4159178434</v>
      </c>
      <c r="D360" s="48">
        <f>IFERROR(DIVIDE(VLOOKUP($B360,Data!$B$3:$AB$1535,24,FALSE),VLOOKUP($B360,Data!$B$3:$AB$1535,4,FALSE)),"")</f>
        <v>0.3966623877</v>
      </c>
      <c r="E360" s="48">
        <f>IFERROR(DIVIDE(VLOOKUP($B360,Data!$B$3:$EZ1530,29,FALSE),VLOOKUP($B360,Data!$B$3:$EZ1530,4,FALSE)),"")</f>
        <v>0.40436457</v>
      </c>
      <c r="F360" s="48">
        <f>IFERROR(DIVIDE(VLOOKUP($B360,Data!$B$3:$EZ1530,34,FALSE),VLOOKUP($B360,Data!$B$3:$EZ1530,4,FALSE)),"")</f>
        <v>0.4903722721</v>
      </c>
      <c r="G360" s="48">
        <f>IFERROR(DIVIDE(VLOOKUP($B360,Data!$B$3:$EZ1530,39,FALSE),VLOOKUP($B360,Data!$B$3:$EZ1530,4,FALSE)),"")</f>
        <v>0.3132220796</v>
      </c>
      <c r="H360" s="48">
        <f>IFERROR(DIVIDE(VLOOKUP($B360,Data!$B$3:$EZ1530,44,FALSE),VLOOKUP($B360,Data!$B$3:$EZ1530,4,FALSE)),"")</f>
        <v>0.3838254172</v>
      </c>
      <c r="I360" s="48">
        <f>IFERROR(MINUS(DIVIDE(VLOOKUP($B360,Data!$B$3:$EZ1530,9,FALSE),VLOOKUP($B360,Data!$B$3:$EZ1530,10,FALSE)),1),"")</f>
        <v>0.1058020478</v>
      </c>
      <c r="J360" s="48" t="str">
        <f>IFERROR(MINUS(DIVIDE(VLOOKUP($B360,Data!$B$3:$EZ1530,24,FALSE),VLOOKUP($B360,Data!$B$3:$EZ1530,25,FALSE)),1),"")</f>
        <v/>
      </c>
      <c r="K360" s="48">
        <f>IFERROR(MINUS(DIVIDE(VLOOKUP($B360,Data!$B$3:$EZ1530,29,FALSE),VLOOKUP($B360,Data!$B$3:$EZ1530,30,FALSE)),1),"")</f>
        <v>0.2162162162</v>
      </c>
      <c r="L360" s="48">
        <f>IFERROR(MINUS(DIVIDE(VLOOKUP($B360,Data!$B$3:$EZ1530,34,FALSE),VLOOKUP($B360,Data!$B$3:$EZ1530,35,FALSE)),1),"")</f>
        <v>0.09142857143</v>
      </c>
      <c r="M360" s="48">
        <f>IFERROR(MINUS(DIVIDE(VLOOKUP($B360,Data!$B$3:$EZ1530,39,FALSE),VLOOKUP($B360,Data!$B$3:$EZ1530,40,FALSE)),1),"")</f>
        <v>0.2512820513</v>
      </c>
      <c r="N360" s="48">
        <f>IFERROR(MINUS(DIVIDE(VLOOKUP($B360,Data!$B$3:$EZ1530,44,FALSE),VLOOKUP($B360,Data!$B$3:$EZ1530,45,FALSE)),1),"")</f>
        <v>0.1033210332</v>
      </c>
      <c r="O360" s="50">
        <f>IFERROR(VLOOKUP($B360,Data!$B$3:$D1530,2,FALSE),"")</f>
        <v>6190000</v>
      </c>
      <c r="P360" s="50">
        <f>IFERROR(VLOOKUP($B360,Data!$B$3:$D1530,3,FALSE),"")</f>
        <v>5810000</v>
      </c>
      <c r="Q360" s="48">
        <f t="shared" si="2"/>
        <v>0.06540447504</v>
      </c>
      <c r="R360" s="48"/>
      <c r="S360" s="48"/>
      <c r="T360" s="48"/>
      <c r="U360" s="48"/>
      <c r="V360" s="48"/>
      <c r="W360" s="50"/>
      <c r="Z360" s="11"/>
      <c r="AA360" s="11"/>
    </row>
    <row r="361">
      <c r="A361" s="9">
        <f t="shared" si="1"/>
        <v>358</v>
      </c>
      <c r="B361" s="47" t="s">
        <v>494</v>
      </c>
      <c r="C361" s="48">
        <f>IFERROR(DIVIDE(VLOOKUP($B361,Data!$B$3:$AB$1535,9,FALSE),VLOOKUP($B361,Data!$B$3:$AB$1535,4,FALSE)),"")</f>
        <v>0.28199631</v>
      </c>
      <c r="D361" s="48">
        <f>IFERROR(DIVIDE(VLOOKUP($B361,Data!$B$3:$AB$1535,24,FALSE),VLOOKUP($B361,Data!$B$3:$AB$1535,4,FALSE)),"")</f>
        <v>0.1277306273</v>
      </c>
      <c r="E361" s="48">
        <f>IFERROR(DIVIDE(VLOOKUP($B361,Data!$B$3:$EZ1530,29,FALSE),VLOOKUP($B361,Data!$B$3:$EZ1530,4,FALSE)),"")</f>
        <v>0.1082804428</v>
      </c>
      <c r="F361" s="48">
        <f>IFERROR(DIVIDE(VLOOKUP($B361,Data!$B$3:$EZ1530,34,FALSE),VLOOKUP($B361,Data!$B$3:$EZ1530,4,FALSE)),"")</f>
        <v>0.2647896679</v>
      </c>
      <c r="G361" s="48">
        <f>IFERROR(DIVIDE(VLOOKUP($B361,Data!$B$3:$EZ1530,39,FALSE),VLOOKUP($B361,Data!$B$3:$EZ1530,4,FALSE)),"")</f>
        <v>0.09114391144</v>
      </c>
      <c r="H361" s="48">
        <f>IFERROR(DIVIDE(VLOOKUP($B361,Data!$B$3:$EZ1530,44,FALSE),VLOOKUP($B361,Data!$B$3:$EZ1530,4,FALSE)),"")</f>
        <v>0.2896236162</v>
      </c>
      <c r="I361" s="48">
        <f>IFERROR(MINUS(DIVIDE(VLOOKUP($B361,Data!$B$3:$EZ1530,9,FALSE),VLOOKUP($B361,Data!$B$3:$EZ1530,10,FALSE)),1),"")</f>
        <v>0.1204110955</v>
      </c>
      <c r="J361" s="48">
        <f>IFERROR(MINUS(DIVIDE(VLOOKUP($B361,Data!$B$3:$EZ1530,24,FALSE),VLOOKUP($B361,Data!$B$3:$EZ1530,25,FALSE)),1),"")</f>
        <v>-2.835171244</v>
      </c>
      <c r="K361" s="48">
        <f>IFERROR(MINUS(DIVIDE(VLOOKUP($B361,Data!$B$3:$EZ1530,29,FALSE),VLOOKUP($B361,Data!$B$3:$EZ1530,30,FALSE)),1),"")</f>
        <v>1.390939461</v>
      </c>
      <c r="L361" s="48">
        <f>IFERROR(MINUS(DIVIDE(VLOOKUP($B361,Data!$B$3:$EZ1530,34,FALSE),VLOOKUP($B361,Data!$B$3:$EZ1530,35,FALSE)),1),"")</f>
        <v>0.148587435</v>
      </c>
      <c r="M361" s="48">
        <f>IFERROR(MINUS(DIVIDE(VLOOKUP($B361,Data!$B$3:$EZ1530,39,FALSE),VLOOKUP($B361,Data!$B$3:$EZ1530,40,FALSE)),1),"")</f>
        <v>1.800453515</v>
      </c>
      <c r="N361" s="48">
        <f>IFERROR(MINUS(DIVIDE(VLOOKUP($B361,Data!$B$3:$EZ1530,44,FALSE),VLOOKUP($B361,Data!$B$3:$EZ1530,45,FALSE)),1),"")</f>
        <v>0.4454245778</v>
      </c>
      <c r="O361" s="50">
        <f>IFERROR(VLOOKUP($B361,Data!$B$3:$D1530,2,FALSE),"")</f>
        <v>1600000</v>
      </c>
      <c r="P361" s="50">
        <f>IFERROR(VLOOKUP($B361,Data!$B$3:$D1530,3,FALSE),"")</f>
        <v>878530</v>
      </c>
      <c r="Q361" s="48">
        <f t="shared" si="2"/>
        <v>0.8212240902</v>
      </c>
      <c r="R361" s="48"/>
      <c r="S361" s="48"/>
      <c r="T361" s="48"/>
      <c r="U361" s="48"/>
      <c r="V361" s="48"/>
      <c r="W361" s="50"/>
      <c r="Z361" s="15"/>
      <c r="AA361" s="15"/>
    </row>
    <row r="362">
      <c r="A362" s="9">
        <f t="shared" si="1"/>
        <v>359</v>
      </c>
      <c r="B362" s="47" t="s">
        <v>495</v>
      </c>
      <c r="C362" s="48">
        <f>IFERROR(DIVIDE(VLOOKUP($B362,Data!$B$3:$AB$1535,9,FALSE),VLOOKUP($B362,Data!$B$3:$AB$1535,4,FALSE)),"")</f>
        <v>0.3392446043</v>
      </c>
      <c r="D362" s="48">
        <f>IFERROR(DIVIDE(VLOOKUP($B362,Data!$B$3:$AB$1535,24,FALSE),VLOOKUP($B362,Data!$B$3:$AB$1535,4,FALSE)),"")</f>
        <v>0.1983669065</v>
      </c>
      <c r="E362" s="48">
        <f>IFERROR(DIVIDE(VLOOKUP($B362,Data!$B$3:$EZ1530,29,FALSE),VLOOKUP($B362,Data!$B$3:$EZ1530,4,FALSE)),"")</f>
        <v>0.1398201439</v>
      </c>
      <c r="F362" s="48">
        <f>IFERROR(DIVIDE(VLOOKUP($B362,Data!$B$3:$EZ1530,34,FALSE),VLOOKUP($B362,Data!$B$3:$EZ1530,4,FALSE)),"")</f>
        <v>0.293647482</v>
      </c>
      <c r="G362" s="48">
        <f>IFERROR(DIVIDE(VLOOKUP($B362,Data!$B$3:$EZ1530,39,FALSE),VLOOKUP($B362,Data!$B$3:$EZ1530,4,FALSE)),"")</f>
        <v>0.095</v>
      </c>
      <c r="H362" s="48">
        <f>IFERROR(DIVIDE(VLOOKUP($B362,Data!$B$3:$EZ1530,44,FALSE),VLOOKUP($B362,Data!$B$3:$EZ1530,4,FALSE)),"")</f>
        <v>0.1378848921</v>
      </c>
      <c r="I362" s="48">
        <f>IFERROR(MINUS(DIVIDE(VLOOKUP($B362,Data!$B$3:$EZ1530,9,FALSE),VLOOKUP($B362,Data!$B$3:$EZ1530,10,FALSE)),1),"")</f>
        <v>0.03762790186</v>
      </c>
      <c r="J362" s="48">
        <f>IFERROR(MINUS(DIVIDE(VLOOKUP($B362,Data!$B$3:$EZ1530,24,FALSE),VLOOKUP($B362,Data!$B$3:$EZ1530,25,FALSE)),1),"")</f>
        <v>0.3178320509</v>
      </c>
      <c r="K362" s="48">
        <f>IFERROR(MINUS(DIVIDE(VLOOKUP($B362,Data!$B$3:$EZ1530,29,FALSE),VLOOKUP($B362,Data!$B$3:$EZ1530,30,FALSE)),1),"")</f>
        <v>0.6734114</v>
      </c>
      <c r="L362" s="48">
        <f>IFERROR(MINUS(DIVIDE(VLOOKUP($B362,Data!$B$3:$EZ1530,34,FALSE),VLOOKUP($B362,Data!$B$3:$EZ1530,35,FALSE)),1),"")</f>
        <v>0.08156018972</v>
      </c>
      <c r="M362" s="48">
        <f>IFERROR(MINUS(DIVIDE(VLOOKUP($B362,Data!$B$3:$EZ1530,39,FALSE),VLOOKUP($B362,Data!$B$3:$EZ1530,40,FALSE)),1),"")</f>
        <v>0.721642764</v>
      </c>
      <c r="N362" s="48">
        <f>IFERROR(MINUS(DIVIDE(VLOOKUP($B362,Data!$B$3:$EZ1530,44,FALSE),VLOOKUP($B362,Data!$B$3:$EZ1530,45,FALSE)),1),"")</f>
        <v>-0.04155623344</v>
      </c>
      <c r="O362" s="50">
        <f>IFERROR(VLOOKUP($B362,Data!$B$3:$D1530,2,FALSE),"")</f>
        <v>403150</v>
      </c>
      <c r="P362" s="50">
        <f>IFERROR(VLOOKUP($B362,Data!$B$3:$D1530,3,FALSE),"")</f>
        <v>354580</v>
      </c>
      <c r="Q362" s="48">
        <f t="shared" si="2"/>
        <v>0.136978961</v>
      </c>
      <c r="R362" s="48"/>
      <c r="S362" s="48"/>
      <c r="T362" s="48"/>
      <c r="U362" s="48"/>
      <c r="V362" s="48"/>
      <c r="W362" s="50"/>
      <c r="Z362" s="11"/>
      <c r="AA362" s="11"/>
    </row>
    <row r="363">
      <c r="A363" s="9">
        <f t="shared" si="1"/>
        <v>360</v>
      </c>
      <c r="B363" s="47" t="s">
        <v>496</v>
      </c>
      <c r="C363" s="48">
        <f>IFERROR(DIVIDE(VLOOKUP($B363,Data!$B$3:$AB$1535,9,FALSE),VLOOKUP($B363,Data!$B$3:$AB$1535,4,FALSE)),"")</f>
        <v>0.3292231813</v>
      </c>
      <c r="D363" s="48">
        <f>IFERROR(DIVIDE(VLOOKUP($B363,Data!$B$3:$AB$1535,24,FALSE),VLOOKUP($B363,Data!$B$3:$AB$1535,4,FALSE)),"")</f>
        <v>0.1294697904</v>
      </c>
      <c r="E363" s="48">
        <f>IFERROR(DIVIDE(VLOOKUP($B363,Data!$B$3:$EZ1530,29,FALSE),VLOOKUP($B363,Data!$B$3:$EZ1530,4,FALSE)),"")</f>
        <v>0.07706535142</v>
      </c>
      <c r="F363" s="48">
        <f>IFERROR(DIVIDE(VLOOKUP($B363,Data!$B$3:$EZ1530,34,FALSE),VLOOKUP($B363,Data!$B$3:$EZ1530,4,FALSE)),"")</f>
        <v>0.1923551171</v>
      </c>
      <c r="G363" s="48">
        <f>IFERROR(DIVIDE(VLOOKUP($B363,Data!$B$3:$EZ1530,39,FALSE),VLOOKUP($B363,Data!$B$3:$EZ1530,4,FALSE)),"")</f>
        <v>0.05844636252</v>
      </c>
      <c r="H363" s="48">
        <f>IFERROR(DIVIDE(VLOOKUP($B363,Data!$B$3:$EZ1530,44,FALSE),VLOOKUP($B363,Data!$B$3:$EZ1530,4,FALSE)),"")</f>
        <v>0.1726263872</v>
      </c>
      <c r="I363" s="48">
        <f>IFERROR(MINUS(DIVIDE(VLOOKUP($B363,Data!$B$3:$EZ1530,9,FALSE),VLOOKUP($B363,Data!$B$3:$EZ1530,10,FALSE)),1),"")</f>
        <v>0.1125</v>
      </c>
      <c r="J363" s="48">
        <f>IFERROR(MINUS(DIVIDE(VLOOKUP($B363,Data!$B$3:$EZ1530,24,FALSE),VLOOKUP($B363,Data!$B$3:$EZ1530,25,FALSE)),1),"")</f>
        <v>-4.398058252</v>
      </c>
      <c r="K363" s="48">
        <f>IFERROR(MINUS(DIVIDE(VLOOKUP($B363,Data!$B$3:$EZ1530,29,FALSE),VLOOKUP($B363,Data!$B$3:$EZ1530,30,FALSE)),1),"")</f>
        <v>-0.2469879518</v>
      </c>
      <c r="L363" s="48">
        <f>IFERROR(MINUS(DIVIDE(VLOOKUP($B363,Data!$B$3:$EZ1530,34,FALSE),VLOOKUP($B363,Data!$B$3:$EZ1530,35,FALSE)),1),"")</f>
        <v>0.1142857143</v>
      </c>
      <c r="M363" s="48">
        <f>IFERROR(MINUS(DIVIDE(VLOOKUP($B363,Data!$B$3:$EZ1530,39,FALSE),VLOOKUP($B363,Data!$B$3:$EZ1530,40,FALSE)),1),"")</f>
        <v>-0.3453038674</v>
      </c>
      <c r="N363" s="48">
        <f>IFERROR(MINUS(DIVIDE(VLOOKUP($B363,Data!$B$3:$EZ1530,44,FALSE),VLOOKUP($B363,Data!$B$3:$EZ1530,45,FALSE)),1),"")</f>
        <v>0.06870229008</v>
      </c>
      <c r="O363" s="50">
        <f>IFERROR(VLOOKUP($B363,Data!$B$3:$D1530,2,FALSE),"")</f>
        <v>8200000</v>
      </c>
      <c r="P363" s="50">
        <f>IFERROR(VLOOKUP($B363,Data!$B$3:$D1530,3,FALSE),"")</f>
        <v>8620000</v>
      </c>
      <c r="Q363" s="48">
        <f t="shared" si="2"/>
        <v>-0.04872389791</v>
      </c>
      <c r="R363" s="48"/>
      <c r="S363" s="48"/>
      <c r="T363" s="48"/>
      <c r="U363" s="48"/>
      <c r="V363" s="48"/>
      <c r="W363" s="50"/>
      <c r="Z363" s="11"/>
      <c r="AA363" s="11"/>
    </row>
    <row r="364">
      <c r="A364" s="9">
        <f t="shared" si="1"/>
        <v>361</v>
      </c>
      <c r="B364" s="47" t="s">
        <v>497</v>
      </c>
      <c r="C364" s="48">
        <f>IFERROR(DIVIDE(VLOOKUP($B364,Data!$B$3:$AB$1535,9,FALSE),VLOOKUP($B364,Data!$B$3:$AB$1535,4,FALSE)),"")</f>
        <v>0.2968090495</v>
      </c>
      <c r="D364" s="48">
        <f>IFERROR(DIVIDE(VLOOKUP($B364,Data!$B$3:$AB$1535,24,FALSE),VLOOKUP($B364,Data!$B$3:$AB$1535,4,FALSE)),"")</f>
        <v>0.06567617761</v>
      </c>
      <c r="E364" s="48">
        <f>IFERROR(DIVIDE(VLOOKUP($B364,Data!$B$3:$EZ1530,29,FALSE),VLOOKUP($B364,Data!$B$3:$EZ1530,4,FALSE)),"")</f>
        <v>0.06685801114</v>
      </c>
      <c r="F364" s="48">
        <f>IFERROR(DIVIDE(VLOOKUP($B364,Data!$B$3:$EZ1530,34,FALSE),VLOOKUP($B364,Data!$B$3:$EZ1530,4,FALSE)),"")</f>
        <v>0.1075468513</v>
      </c>
      <c r="G364" s="48">
        <f>IFERROR(DIVIDE(VLOOKUP($B364,Data!$B$3:$EZ1530,39,FALSE),VLOOKUP($B364,Data!$B$3:$EZ1530,4,FALSE)),"")</f>
        <v>0.04592267432</v>
      </c>
      <c r="H364" s="48">
        <f>IFERROR(DIVIDE(VLOOKUP($B364,Data!$B$3:$EZ1530,44,FALSE),VLOOKUP($B364,Data!$B$3:$EZ1530,4,FALSE)),"")</f>
        <v>0.1143001857</v>
      </c>
      <c r="I364" s="48">
        <f>IFERROR(MINUS(DIVIDE(VLOOKUP($B364,Data!$B$3:$EZ1530,9,FALSE),VLOOKUP($B364,Data!$B$3:$EZ1530,10,FALSE)),1),"")</f>
        <v>-0.07570977918</v>
      </c>
      <c r="J364" s="48">
        <f>IFERROR(MINUS(DIVIDE(VLOOKUP($B364,Data!$B$3:$EZ1530,24,FALSE),VLOOKUP($B364,Data!$B$3:$EZ1530,25,FALSE)),1),"")</f>
        <v>-0.2796296296</v>
      </c>
      <c r="K364" s="48">
        <f>IFERROR(MINUS(DIVIDE(VLOOKUP($B364,Data!$B$3:$EZ1530,29,FALSE),VLOOKUP($B364,Data!$B$3:$EZ1530,30,FALSE)),1),"")</f>
        <v>-0.486381323</v>
      </c>
      <c r="L364" s="48">
        <f>IFERROR(MINUS(DIVIDE(VLOOKUP($B364,Data!$B$3:$EZ1530,34,FALSE),VLOOKUP($B364,Data!$B$3:$EZ1530,35,FALSE)),1),"")</f>
        <v>-0.1977329975</v>
      </c>
      <c r="M364" s="48">
        <f>IFERROR(MINUS(DIVIDE(VLOOKUP($B364,Data!$B$3:$EZ1530,39,FALSE),VLOOKUP($B364,Data!$B$3:$EZ1530,40,FALSE)),1),"")</f>
        <v>-0.5244755245</v>
      </c>
      <c r="N364" s="48">
        <f>IFERROR(MINUS(DIVIDE(VLOOKUP($B364,Data!$B$3:$EZ1530,44,FALSE),VLOOKUP($B364,Data!$B$3:$EZ1530,45,FALSE)),1),"")</f>
        <v>0.06951026856</v>
      </c>
      <c r="O364" s="50" t="str">
        <f>IFERROR(VLOOKUP($B364,Data!$B$3:$D1530,2,FALSE),"")</f>
        <v/>
      </c>
      <c r="P364" s="50" t="str">
        <f>IFERROR(VLOOKUP($B364,Data!$B$3:$D1530,3,FALSE),"")</f>
        <v/>
      </c>
      <c r="Q364" s="48" t="str">
        <f t="shared" si="2"/>
        <v/>
      </c>
      <c r="R364" s="48"/>
      <c r="S364" s="48"/>
      <c r="T364" s="48"/>
      <c r="U364" s="48"/>
      <c r="V364" s="48"/>
      <c r="W364" s="50"/>
      <c r="Z364" s="11"/>
      <c r="AA364" s="11"/>
    </row>
    <row r="365">
      <c r="A365" s="9">
        <f t="shared" si="1"/>
        <v>362</v>
      </c>
      <c r="B365" s="47" t="s">
        <v>498</v>
      </c>
      <c r="C365" s="48">
        <f>IFERROR(DIVIDE(VLOOKUP($B365,Data!$B$3:$AB$1535,9,FALSE),VLOOKUP($B365,Data!$B$3:$AB$1535,4,FALSE)),"")</f>
        <v>0.3717311609</v>
      </c>
      <c r="D365" s="48">
        <f>IFERROR(DIVIDE(VLOOKUP($B365,Data!$B$3:$AB$1535,24,FALSE),VLOOKUP($B365,Data!$B$3:$AB$1535,4,FALSE)),"")</f>
        <v>0</v>
      </c>
      <c r="E365" s="48">
        <f>IFERROR(DIVIDE(VLOOKUP($B365,Data!$B$3:$EZ1530,29,FALSE),VLOOKUP($B365,Data!$B$3:$EZ1530,4,FALSE)),"")</f>
        <v>0.1989409369</v>
      </c>
      <c r="F365" s="48">
        <f>IFERROR(DIVIDE(VLOOKUP($B365,Data!$B$3:$EZ1530,34,FALSE),VLOOKUP($B365,Data!$B$3:$EZ1530,4,FALSE)),"")</f>
        <v>0.6824439919</v>
      </c>
      <c r="G365" s="48">
        <f>IFERROR(DIVIDE(VLOOKUP($B365,Data!$B$3:$EZ1530,39,FALSE),VLOOKUP($B365,Data!$B$3:$EZ1530,4,FALSE)),"")</f>
        <v>0.1970672098</v>
      </c>
      <c r="H365" s="48">
        <f>IFERROR(DIVIDE(VLOOKUP($B365,Data!$B$3:$EZ1530,44,FALSE),VLOOKUP($B365,Data!$B$3:$EZ1530,4,FALSE)),"")</f>
        <v>0.4349490835</v>
      </c>
      <c r="I365" s="48">
        <f>IFERROR(MINUS(DIVIDE(VLOOKUP($B365,Data!$B$3:$EZ1530,9,FALSE),VLOOKUP($B365,Data!$B$3:$EZ1530,10,FALSE)),1),"")</f>
        <v>0.01354953354</v>
      </c>
      <c r="J365" s="48">
        <f>IFERROR(MINUS(DIVIDE(VLOOKUP($B365,Data!$B$3:$EZ1530,24,FALSE),VLOOKUP($B365,Data!$B$3:$EZ1530,25,FALSE)),1),"")</f>
        <v>-1</v>
      </c>
      <c r="K365" s="48">
        <f>IFERROR(MINUS(DIVIDE(VLOOKUP($B365,Data!$B$3:$EZ1530,29,FALSE),VLOOKUP($B365,Data!$B$3:$EZ1530,30,FALSE)),1),"")</f>
        <v>-4.208935611</v>
      </c>
      <c r="L365" s="48">
        <f>IFERROR(MINUS(DIVIDE(VLOOKUP($B365,Data!$B$3:$EZ1530,34,FALSE),VLOOKUP($B365,Data!$B$3:$EZ1530,35,FALSE)),1),"")</f>
        <v>-0.03156069364</v>
      </c>
      <c r="M365" s="48">
        <f>IFERROR(MINUS(DIVIDE(VLOOKUP($B365,Data!$B$3:$EZ1530,39,FALSE),VLOOKUP($B365,Data!$B$3:$EZ1530,40,FALSE)),1),"")</f>
        <v>-4.331955923</v>
      </c>
      <c r="N365" s="48">
        <f>IFERROR(MINUS(DIVIDE(VLOOKUP($B365,Data!$B$3:$EZ1530,44,FALSE),VLOOKUP($B365,Data!$B$3:$EZ1530,45,FALSE)),1),"")</f>
        <v>-0.4542015948</v>
      </c>
      <c r="O365" s="50">
        <f>IFERROR(VLOOKUP($B365,Data!$B$3:$D1530,2,FALSE),"")</f>
        <v>131020</v>
      </c>
      <c r="P365" s="50">
        <f>IFERROR(VLOOKUP($B365,Data!$B$3:$D1530,3,FALSE),"")</f>
        <v>136020</v>
      </c>
      <c r="Q365" s="48">
        <f t="shared" si="2"/>
        <v>-0.0367593001</v>
      </c>
      <c r="R365" s="48"/>
      <c r="S365" s="48"/>
      <c r="T365" s="48"/>
      <c r="U365" s="48"/>
      <c r="V365" s="48"/>
      <c r="W365" s="50"/>
      <c r="Z365" s="15"/>
      <c r="AA365" s="15"/>
    </row>
    <row r="366">
      <c r="A366" s="9">
        <f t="shared" si="1"/>
        <v>363</v>
      </c>
      <c r="B366" s="47" t="s">
        <v>499</v>
      </c>
      <c r="C366" s="48">
        <f>IFERROR(DIVIDE(VLOOKUP($B366,Data!$B$3:$AB$1535,9,FALSE),VLOOKUP($B366,Data!$B$3:$AB$1535,4,FALSE)),"")</f>
        <v>0.4297107843</v>
      </c>
      <c r="D366" s="48">
        <f>IFERROR(DIVIDE(VLOOKUP($B366,Data!$B$3:$AB$1535,24,FALSE),VLOOKUP($B366,Data!$B$3:$AB$1535,4,FALSE)),"")</f>
        <v>0</v>
      </c>
      <c r="E366" s="48">
        <f>IFERROR(DIVIDE(VLOOKUP($B366,Data!$B$3:$EZ1530,29,FALSE),VLOOKUP($B366,Data!$B$3:$EZ1530,4,FALSE)),"")</f>
        <v>0.3455637255</v>
      </c>
      <c r="F366" s="48">
        <f>IFERROR(DIVIDE(VLOOKUP($B366,Data!$B$3:$EZ1530,34,FALSE),VLOOKUP($B366,Data!$B$3:$EZ1530,4,FALSE)),"")</f>
        <v>0.3928284314</v>
      </c>
      <c r="G366" s="48">
        <f>IFERROR(DIVIDE(VLOOKUP($B366,Data!$B$3:$EZ1530,39,FALSE),VLOOKUP($B366,Data!$B$3:$EZ1530,4,FALSE)),"")</f>
        <v>0.2900441176</v>
      </c>
      <c r="H366" s="48">
        <f>IFERROR(DIVIDE(VLOOKUP($B366,Data!$B$3:$EZ1530,44,FALSE),VLOOKUP($B366,Data!$B$3:$EZ1530,4,FALSE)),"")</f>
        <v>0.3169852941</v>
      </c>
      <c r="I366" s="48">
        <f>IFERROR(MINUS(DIVIDE(VLOOKUP($B366,Data!$B$3:$EZ1530,9,FALSE),VLOOKUP($B366,Data!$B$3:$EZ1530,10,FALSE)),1),"")</f>
        <v>0.08276926877</v>
      </c>
      <c r="J366" s="48">
        <f>IFERROR(MINUS(DIVIDE(VLOOKUP($B366,Data!$B$3:$EZ1530,24,FALSE),VLOOKUP($B366,Data!$B$3:$EZ1530,25,FALSE)),1),"")</f>
        <v>-1</v>
      </c>
      <c r="K366" s="48">
        <f>IFERROR(MINUS(DIVIDE(VLOOKUP($B366,Data!$B$3:$EZ1530,29,FALSE),VLOOKUP($B366,Data!$B$3:$EZ1530,30,FALSE)),1),"")</f>
        <v>0.2532221649</v>
      </c>
      <c r="L366" s="48">
        <f>IFERROR(MINUS(DIVIDE(VLOOKUP($B366,Data!$B$3:$EZ1530,34,FALSE),VLOOKUP($B366,Data!$B$3:$EZ1530,35,FALSE)),1),"")</f>
        <v>0.09376663436</v>
      </c>
      <c r="M366" s="48">
        <f>IFERROR(MINUS(DIVIDE(VLOOKUP($B366,Data!$B$3:$EZ1530,39,FALSE),VLOOKUP($B366,Data!$B$3:$EZ1530,40,FALSE)),1),"")</f>
        <v>0.4159666882</v>
      </c>
      <c r="N366" s="48">
        <f>IFERROR(MINUS(DIVIDE(VLOOKUP($B366,Data!$B$3:$EZ1530,44,FALSE),VLOOKUP($B366,Data!$B$3:$EZ1530,45,FALSE)),1),"")</f>
        <v>0.2085334629</v>
      </c>
      <c r="O366" s="50">
        <f>IFERROR(VLOOKUP($B366,Data!$B$3:$D1530,2,FALSE),"")</f>
        <v>2280000</v>
      </c>
      <c r="P366" s="50">
        <f>IFERROR(VLOOKUP($B366,Data!$B$3:$D1530,3,FALSE),"")</f>
        <v>2110000</v>
      </c>
      <c r="Q366" s="48">
        <f t="shared" si="2"/>
        <v>0.08056872038</v>
      </c>
      <c r="R366" s="48"/>
      <c r="S366" s="48"/>
      <c r="T366" s="48"/>
      <c r="U366" s="48"/>
      <c r="V366" s="48"/>
      <c r="W366" s="50"/>
      <c r="Z366" s="12"/>
      <c r="AA366" s="12"/>
    </row>
    <row r="367">
      <c r="A367" s="9">
        <f t="shared" si="1"/>
        <v>364</v>
      </c>
      <c r="B367" s="47" t="s">
        <v>500</v>
      </c>
      <c r="C367" s="48">
        <f>IFERROR(DIVIDE(VLOOKUP($B367,Data!$B$3:$AB$1535,9,FALSE),VLOOKUP($B367,Data!$B$3:$AB$1535,4,FALSE)),"")</f>
        <v>0.8557325775</v>
      </c>
      <c r="D367" s="48">
        <f>IFERROR(DIVIDE(VLOOKUP($B367,Data!$B$3:$AB$1535,24,FALSE),VLOOKUP($B367,Data!$B$3:$AB$1535,4,FALSE)),"")</f>
        <v>0.3119929626</v>
      </c>
      <c r="E367" s="48">
        <f>IFERROR(DIVIDE(VLOOKUP($B367,Data!$B$3:$EZ1530,29,FALSE),VLOOKUP($B367,Data!$B$3:$EZ1530,4,FALSE)),"")</f>
        <v>0.3265565438</v>
      </c>
      <c r="F367" s="48">
        <f>IFERROR(DIVIDE(VLOOKUP($B367,Data!$B$3:$EZ1530,34,FALSE),VLOOKUP($B367,Data!$B$3:$EZ1530,4,FALSE)),"")</f>
        <v>0.3139478057</v>
      </c>
      <c r="G367" s="48">
        <f>IFERROR(DIVIDE(VLOOKUP($B367,Data!$B$3:$EZ1530,39,FALSE),VLOOKUP($B367,Data!$B$3:$EZ1530,4,FALSE)),"")</f>
        <v>0.3116019939</v>
      </c>
      <c r="H367" s="48">
        <f>IFERROR(DIVIDE(VLOOKUP($B367,Data!$B$3:$EZ1530,44,FALSE),VLOOKUP($B367,Data!$B$3:$EZ1530,4,FALSE)),"")</f>
        <v>0.341022383</v>
      </c>
      <c r="I367" s="48" t="str">
        <f>IFERROR(MINUS(DIVIDE(VLOOKUP($B367,Data!$B$3:$EZ1530,9,FALSE),VLOOKUP($B367,Data!$B$3:$EZ1530,10,FALSE)),1),"")</f>
        <v/>
      </c>
      <c r="J367" s="48">
        <f>IFERROR(MINUS(DIVIDE(VLOOKUP($B367,Data!$B$3:$EZ1530,24,FALSE),VLOOKUP($B367,Data!$B$3:$EZ1530,25,FALSE)),1),"")</f>
        <v>-1.903737259</v>
      </c>
      <c r="K367" s="48">
        <f>IFERROR(MINUS(DIVIDE(VLOOKUP($B367,Data!$B$3:$EZ1530,29,FALSE),VLOOKUP($B367,Data!$B$3:$EZ1530,30,FALSE)),1),"")</f>
        <v>-1.982647059</v>
      </c>
      <c r="L367" s="48">
        <f>IFERROR(MINUS(DIVIDE(VLOOKUP($B367,Data!$B$3:$EZ1530,34,FALSE),VLOOKUP($B367,Data!$B$3:$EZ1530,35,FALSE)),1),"")</f>
        <v>-1.910947249</v>
      </c>
      <c r="M367" s="48">
        <f>IFERROR(MINUS(DIVIDE(VLOOKUP($B367,Data!$B$3:$EZ1530,39,FALSE),VLOOKUP($B367,Data!$B$3:$EZ1530,40,FALSE)),1),"")</f>
        <v>-1.937647059</v>
      </c>
      <c r="N367" s="48">
        <f>IFERROR(MINUS(DIVIDE(VLOOKUP($B367,Data!$B$3:$EZ1530,44,FALSE),VLOOKUP($B367,Data!$B$3:$EZ1530,45,FALSE)),1),"")</f>
        <v>-2.357587549</v>
      </c>
      <c r="O367" s="50">
        <f>IFERROR(VLOOKUP($B367,Data!$B$3:$D1530,2,FALSE),"")</f>
        <v>151910</v>
      </c>
      <c r="P367" s="50">
        <f>IFERROR(VLOOKUP($B367,Data!$B$3:$D1530,3,FALSE),"")</f>
        <v>126570</v>
      </c>
      <c r="Q367" s="48">
        <f t="shared" si="2"/>
        <v>0.2002054199</v>
      </c>
      <c r="R367" s="48"/>
      <c r="S367" s="48"/>
      <c r="T367" s="48"/>
      <c r="U367" s="48"/>
      <c r="V367" s="48"/>
      <c r="W367" s="50"/>
      <c r="Z367" s="11"/>
      <c r="AA367" s="11"/>
    </row>
    <row r="368">
      <c r="A368" s="9">
        <f t="shared" si="1"/>
        <v>365</v>
      </c>
      <c r="B368" s="47" t="s">
        <v>501</v>
      </c>
      <c r="C368" s="48">
        <f>IFERROR(DIVIDE(VLOOKUP($B368,Data!$B$3:$AB$1535,9,FALSE),VLOOKUP($B368,Data!$B$3:$AB$1535,4,FALSE)),"")</f>
        <v>0</v>
      </c>
      <c r="D368" s="48">
        <f>IFERROR(DIVIDE(VLOOKUP($B368,Data!$B$3:$AB$1535,24,FALSE),VLOOKUP($B368,Data!$B$3:$AB$1535,4,FALSE)),"")</f>
        <v>0</v>
      </c>
      <c r="E368" s="48">
        <f>IFERROR(DIVIDE(VLOOKUP($B368,Data!$B$3:$EZ1530,29,FALSE),VLOOKUP($B368,Data!$B$3:$EZ1530,4,FALSE)),"")</f>
        <v>-2.104039845</v>
      </c>
      <c r="F368" s="48">
        <f>IFERROR(DIVIDE(VLOOKUP($B368,Data!$B$3:$EZ1530,34,FALSE),VLOOKUP($B368,Data!$B$3:$EZ1530,4,FALSE)),"")</f>
        <v>-2.226342003</v>
      </c>
      <c r="G368" s="48">
        <f>IFERROR(DIVIDE(VLOOKUP($B368,Data!$B$3:$EZ1530,39,FALSE),VLOOKUP($B368,Data!$B$3:$EZ1530,4,FALSE)),"")</f>
        <v>-1.977033758</v>
      </c>
      <c r="H368" s="48">
        <f>IFERROR(DIVIDE(VLOOKUP($B368,Data!$B$3:$EZ1530,44,FALSE),VLOOKUP($B368,Data!$B$3:$EZ1530,4,FALSE)),"")</f>
        <v>-1.29192031</v>
      </c>
      <c r="I368" s="48" t="str">
        <f>IFERROR(MINUS(DIVIDE(VLOOKUP($B368,Data!$B$3:$EZ1530,9,FALSE),VLOOKUP($B368,Data!$B$3:$EZ1530,10,FALSE)),1),"")</f>
        <v/>
      </c>
      <c r="J368" s="48">
        <f>IFERROR(MINUS(DIVIDE(VLOOKUP($B368,Data!$B$3:$EZ1530,24,FALSE),VLOOKUP($B368,Data!$B$3:$EZ1530,25,FALSE)),1),"")</f>
        <v>-1</v>
      </c>
      <c r="K368" s="48">
        <f>IFERROR(MINUS(DIVIDE(VLOOKUP($B368,Data!$B$3:$EZ1530,29,FALSE),VLOOKUP($B368,Data!$B$3:$EZ1530,30,FALSE)),1),"")</f>
        <v>0.3659062332</v>
      </c>
      <c r="L368" s="48">
        <f>IFERROR(MINUS(DIVIDE(VLOOKUP($B368,Data!$B$3:$EZ1530,34,FALSE),VLOOKUP($B368,Data!$B$3:$EZ1530,35,FALSE)),1),"")</f>
        <v>0.4304</v>
      </c>
      <c r="M368" s="48">
        <f>IFERROR(MINUS(DIVIDE(VLOOKUP($B368,Data!$B$3:$EZ1530,39,FALSE),VLOOKUP($B368,Data!$B$3:$EZ1530,40,FALSE)),1),"")</f>
        <v>0.2834560805</v>
      </c>
      <c r="N368" s="48">
        <f>IFERROR(MINUS(DIVIDE(VLOOKUP($B368,Data!$B$3:$EZ1530,44,FALSE),VLOOKUP($B368,Data!$B$3:$EZ1530,45,FALSE)),1),"")</f>
        <v>0.5527103425</v>
      </c>
      <c r="O368" s="50">
        <f>IFERROR(VLOOKUP($B368,Data!$B$3:$D1530,2,FALSE),"")</f>
        <v>9980</v>
      </c>
      <c r="P368" s="50">
        <f>IFERROR(VLOOKUP($B368,Data!$B$3:$D1530,3,FALSE),"")</f>
        <v>5320</v>
      </c>
      <c r="Q368" s="48">
        <f t="shared" si="2"/>
        <v>0.8759398496</v>
      </c>
      <c r="R368" s="48"/>
      <c r="S368" s="48"/>
      <c r="T368" s="48"/>
      <c r="U368" s="48"/>
      <c r="V368" s="48"/>
      <c r="W368" s="50"/>
      <c r="Z368" s="11"/>
      <c r="AA368" s="11"/>
    </row>
    <row r="369">
      <c r="A369" s="9">
        <f t="shared" si="1"/>
        <v>366</v>
      </c>
      <c r="B369" s="47" t="s">
        <v>502</v>
      </c>
      <c r="C369" s="48">
        <f>IFERROR(DIVIDE(VLOOKUP($B369,Data!$B$3:$AB$1535,9,FALSE),VLOOKUP($B369,Data!$B$3:$AB$1535,4,FALSE)),"")</f>
        <v>0.3475925926</v>
      </c>
      <c r="D369" s="48">
        <f>IFERROR(DIVIDE(VLOOKUP($B369,Data!$B$3:$AB$1535,24,FALSE),VLOOKUP($B369,Data!$B$3:$AB$1535,4,FALSE)),"")</f>
        <v>-0.02490740741</v>
      </c>
      <c r="E369" s="48">
        <f>IFERROR(DIVIDE(VLOOKUP($B369,Data!$B$3:$EZ1530,29,FALSE),VLOOKUP($B369,Data!$B$3:$EZ1530,4,FALSE)),"")</f>
        <v>-0.04185185185</v>
      </c>
      <c r="F369" s="48">
        <f>IFERROR(DIVIDE(VLOOKUP($B369,Data!$B$3:$EZ1530,34,FALSE),VLOOKUP($B369,Data!$B$3:$EZ1530,4,FALSE)),"")</f>
        <v>0.1276851852</v>
      </c>
      <c r="G369" s="48">
        <f>IFERROR(DIVIDE(VLOOKUP($B369,Data!$B$3:$EZ1530,39,FALSE),VLOOKUP($B369,Data!$B$3:$EZ1530,4,FALSE)),"")</f>
        <v>-0.05361111111</v>
      </c>
      <c r="H369" s="48">
        <f>IFERROR(DIVIDE(VLOOKUP($B369,Data!$B$3:$EZ1530,44,FALSE),VLOOKUP($B369,Data!$B$3:$EZ1530,4,FALSE)),"")</f>
        <v>0.1873148148</v>
      </c>
      <c r="I369" s="48">
        <f>IFERROR(MINUS(DIVIDE(VLOOKUP($B369,Data!$B$3:$EZ1530,9,FALSE),VLOOKUP($B369,Data!$B$3:$EZ1530,10,FALSE)),1),"")</f>
        <v>0.2504996669</v>
      </c>
      <c r="J369" s="48">
        <f>IFERROR(MINUS(DIVIDE(VLOOKUP($B369,Data!$B$3:$EZ1530,24,FALSE),VLOOKUP($B369,Data!$B$3:$EZ1530,25,FALSE)),1),"")</f>
        <v>0.7933333333</v>
      </c>
      <c r="K369" s="48">
        <f>IFERROR(MINUS(DIVIDE(VLOOKUP($B369,Data!$B$3:$EZ1530,29,FALSE),VLOOKUP($B369,Data!$B$3:$EZ1530,30,FALSE)),1),"")</f>
        <v>1.568181818</v>
      </c>
      <c r="L369" s="48">
        <f>IFERROR(MINUS(DIVIDE(VLOOKUP($B369,Data!$B$3:$EZ1530,34,FALSE),VLOOKUP($B369,Data!$B$3:$EZ1530,35,FALSE)),1),"")</f>
        <v>0.2149779736</v>
      </c>
      <c r="M369" s="48">
        <f>IFERROR(MINUS(DIVIDE(VLOOKUP($B369,Data!$B$3:$EZ1530,39,FALSE),VLOOKUP($B369,Data!$B$3:$EZ1530,40,FALSE)),1),"")</f>
        <v>2.509090909</v>
      </c>
      <c r="N369" s="48">
        <f>IFERROR(MINUS(DIVIDE(VLOOKUP($B369,Data!$B$3:$EZ1530,44,FALSE),VLOOKUP($B369,Data!$B$3:$EZ1530,45,FALSE)),1),"")</f>
        <v>0.1659942363</v>
      </c>
      <c r="O369" s="50">
        <f>IFERROR(VLOOKUP($B369,Data!$B$3:$D1530,2,FALSE),"")</f>
        <v>924790</v>
      </c>
      <c r="P369" s="50">
        <f>IFERROR(VLOOKUP($B369,Data!$B$3:$D1530,3,FALSE),"")</f>
        <v>896980</v>
      </c>
      <c r="Q369" s="48">
        <f t="shared" si="2"/>
        <v>0.03100403576</v>
      </c>
      <c r="R369" s="48"/>
      <c r="S369" s="48"/>
      <c r="T369" s="48"/>
      <c r="U369" s="48"/>
      <c r="V369" s="48"/>
      <c r="W369" s="50"/>
      <c r="Z369" s="11"/>
      <c r="AA369" s="11"/>
    </row>
    <row r="370">
      <c r="A370" s="9">
        <f t="shared" si="1"/>
        <v>367</v>
      </c>
      <c r="B370" s="47" t="s">
        <v>503</v>
      </c>
      <c r="C370" s="48">
        <f>IFERROR(DIVIDE(VLOOKUP($B370,Data!$B$3:$AB$1535,9,FALSE),VLOOKUP($B370,Data!$B$3:$AB$1535,4,FALSE)),"")</f>
        <v>0.3183673469</v>
      </c>
      <c r="D370" s="48">
        <f>IFERROR(DIVIDE(VLOOKUP($B370,Data!$B$3:$AB$1535,24,FALSE),VLOOKUP($B370,Data!$B$3:$AB$1535,4,FALSE)),"")</f>
        <v>0.09841269841</v>
      </c>
      <c r="E370" s="48">
        <f>IFERROR(DIVIDE(VLOOKUP($B370,Data!$B$3:$EZ1530,29,FALSE),VLOOKUP($B370,Data!$B$3:$EZ1530,4,FALSE)),"")</f>
        <v>0.08163265306</v>
      </c>
      <c r="F370" s="48">
        <f>IFERROR(DIVIDE(VLOOKUP($B370,Data!$B$3:$EZ1530,34,FALSE),VLOOKUP($B370,Data!$B$3:$EZ1530,4,FALSE)),"")</f>
        <v>0.1591836735</v>
      </c>
      <c r="G370" s="48">
        <f>IFERROR(DIVIDE(VLOOKUP($B370,Data!$B$3:$EZ1530,39,FALSE),VLOOKUP($B370,Data!$B$3:$EZ1530,4,FALSE)),"")</f>
        <v>0.06439909297</v>
      </c>
      <c r="H370" s="48">
        <f>IFERROR(DIVIDE(VLOOKUP($B370,Data!$B$3:$EZ1530,44,FALSE),VLOOKUP($B370,Data!$B$3:$EZ1530,4,FALSE)),"")</f>
        <v>0.1401360544</v>
      </c>
      <c r="I370" s="48">
        <f>IFERROR(MINUS(DIVIDE(VLOOKUP($B370,Data!$B$3:$EZ1530,9,FALSE),VLOOKUP($B370,Data!$B$3:$EZ1530,10,FALSE)),1),"")</f>
        <v>0.05722891566</v>
      </c>
      <c r="J370" s="48">
        <f>IFERROR(MINUS(DIVIDE(VLOOKUP($B370,Data!$B$3:$EZ1530,24,FALSE),VLOOKUP($B370,Data!$B$3:$EZ1530,25,FALSE)),1),"")</f>
        <v>-29.51885925</v>
      </c>
      <c r="K370" s="48">
        <f>IFERROR(MINUS(DIVIDE(VLOOKUP($B370,Data!$B$3:$EZ1530,29,FALSE),VLOOKUP($B370,Data!$B$3:$EZ1530,30,FALSE)),1),"")</f>
        <v>0.2</v>
      </c>
      <c r="L370" s="48">
        <f>IFERROR(MINUS(DIVIDE(VLOOKUP($B370,Data!$B$3:$EZ1530,34,FALSE),VLOOKUP($B370,Data!$B$3:$EZ1530,35,FALSE)),1),"")</f>
        <v>0.2272727273</v>
      </c>
      <c r="M370" s="48">
        <f>IFERROR(MINUS(DIVIDE(VLOOKUP($B370,Data!$B$3:$EZ1530,39,FALSE),VLOOKUP($B370,Data!$B$3:$EZ1530,40,FALSE)),1),"")</f>
        <v>0.1932773109</v>
      </c>
      <c r="N370" s="48">
        <f>IFERROR(MINUS(DIVIDE(VLOOKUP($B370,Data!$B$3:$EZ1530,44,FALSE),VLOOKUP($B370,Data!$B$3:$EZ1530,45,FALSE)),1),"")</f>
        <v>0.7657142857</v>
      </c>
      <c r="O370" s="50">
        <f>IFERROR(VLOOKUP($B370,Data!$B$3:$D1530,2,FALSE),"")</f>
        <v>30740000</v>
      </c>
      <c r="P370" s="50">
        <f>IFERROR(VLOOKUP($B370,Data!$B$3:$D1530,3,FALSE),"")</f>
        <v>28770000</v>
      </c>
      <c r="Q370" s="48">
        <f t="shared" si="2"/>
        <v>0.06847410497</v>
      </c>
      <c r="R370" s="48"/>
      <c r="S370" s="48"/>
      <c r="T370" s="48"/>
      <c r="U370" s="48"/>
      <c r="V370" s="48"/>
      <c r="W370" s="50"/>
      <c r="Z370" s="11"/>
      <c r="AA370" s="11"/>
    </row>
    <row r="371">
      <c r="A371" s="9">
        <f t="shared" si="1"/>
        <v>368</v>
      </c>
      <c r="B371" s="47" t="s">
        <v>504</v>
      </c>
      <c r="C371" s="48">
        <f>IFERROR(DIVIDE(VLOOKUP($B371,Data!$B$3:$AB$1535,9,FALSE),VLOOKUP($B371,Data!$B$3:$AB$1535,4,FALSE)),"")</f>
        <v>0.4289772727</v>
      </c>
      <c r="D371" s="48">
        <f>IFERROR(DIVIDE(VLOOKUP($B371,Data!$B$3:$AB$1535,24,FALSE),VLOOKUP($B371,Data!$B$3:$AB$1535,4,FALSE)),"")</f>
        <v>0.09358238636</v>
      </c>
      <c r="E371" s="48">
        <f>IFERROR(DIVIDE(VLOOKUP($B371,Data!$B$3:$EZ1530,29,FALSE),VLOOKUP($B371,Data!$B$3:$EZ1530,4,FALSE)),"")</f>
        <v>0.09316761364</v>
      </c>
      <c r="F371" s="48">
        <f>IFERROR(DIVIDE(VLOOKUP($B371,Data!$B$3:$EZ1530,34,FALSE),VLOOKUP($B371,Data!$B$3:$EZ1530,4,FALSE)),"")</f>
        <v>0.1322698864</v>
      </c>
      <c r="G371" s="48">
        <f>IFERROR(DIVIDE(VLOOKUP($B371,Data!$B$3:$EZ1530,39,FALSE),VLOOKUP($B371,Data!$B$3:$EZ1530,4,FALSE)),"")</f>
        <v>0.07425284091</v>
      </c>
      <c r="H371" s="48">
        <f>IFERROR(DIVIDE(VLOOKUP($B371,Data!$B$3:$EZ1530,44,FALSE),VLOOKUP($B371,Data!$B$3:$EZ1530,4,FALSE)),"")</f>
        <v>0.1100056818</v>
      </c>
      <c r="I371" s="48">
        <f>IFERROR(MINUS(DIVIDE(VLOOKUP($B371,Data!$B$3:$EZ1530,9,FALSE),VLOOKUP($B371,Data!$B$3:$EZ1530,10,FALSE)),1),"")</f>
        <v>0.006666666667</v>
      </c>
      <c r="J371" s="48">
        <f>IFERROR(MINUS(DIVIDE(VLOOKUP($B371,Data!$B$3:$EZ1530,24,FALSE),VLOOKUP($B371,Data!$B$3:$EZ1530,25,FALSE)),1),"")</f>
        <v>-0.0655035461</v>
      </c>
      <c r="K371" s="48">
        <f>IFERROR(MINUS(DIVIDE(VLOOKUP($B371,Data!$B$3:$EZ1530,29,FALSE),VLOOKUP($B371,Data!$B$3:$EZ1530,30,FALSE)),1),"")</f>
        <v>-0.07874037867</v>
      </c>
      <c r="L371" s="48">
        <f>IFERROR(MINUS(DIVIDE(VLOOKUP($B371,Data!$B$3:$EZ1530,34,FALSE),VLOOKUP($B371,Data!$B$3:$EZ1530,35,FALSE)),1),"")</f>
        <v>0.04144857514</v>
      </c>
      <c r="M371" s="48">
        <f>IFERROR(MINUS(DIVIDE(VLOOKUP($B371,Data!$B$3:$EZ1530,39,FALSE),VLOOKUP($B371,Data!$B$3:$EZ1530,40,FALSE)),1),"")</f>
        <v>-0.06626893398</v>
      </c>
      <c r="N371" s="48">
        <f>IFERROR(MINUS(DIVIDE(VLOOKUP($B371,Data!$B$3:$EZ1530,44,FALSE),VLOOKUP($B371,Data!$B$3:$EZ1530,45,FALSE)),1),"")</f>
        <v>0.08708590679</v>
      </c>
      <c r="O371" s="50">
        <f>IFERROR(VLOOKUP($B371,Data!$B$3:$D1530,2,FALSE),"")</f>
        <v>3480000</v>
      </c>
      <c r="P371" s="50">
        <f>IFERROR(VLOOKUP($B371,Data!$B$3:$D1530,3,FALSE),"")</f>
        <v>3150000</v>
      </c>
      <c r="Q371" s="48">
        <f t="shared" si="2"/>
        <v>0.1047619048</v>
      </c>
      <c r="R371" s="48"/>
      <c r="S371" s="48"/>
      <c r="T371" s="48"/>
      <c r="U371" s="48"/>
      <c r="V371" s="48"/>
      <c r="W371" s="50"/>
      <c r="Z371" s="15"/>
      <c r="AA371" s="15"/>
    </row>
    <row r="372">
      <c r="A372" s="9">
        <f t="shared" si="1"/>
        <v>369</v>
      </c>
      <c r="B372" s="47" t="s">
        <v>505</v>
      </c>
      <c r="C372" s="48">
        <f>IFERROR(DIVIDE(VLOOKUP($B372,Data!$B$3:$AB$1535,9,FALSE),VLOOKUP($B372,Data!$B$3:$AB$1535,4,FALSE)),"")</f>
        <v>0.4731335867</v>
      </c>
      <c r="D372" s="48">
        <f>IFERROR(DIVIDE(VLOOKUP($B372,Data!$B$3:$AB$1535,24,FALSE),VLOOKUP($B372,Data!$B$3:$AB$1535,4,FALSE)),"")</f>
        <v>0</v>
      </c>
      <c r="E372" s="48">
        <f>IFERROR(DIVIDE(VLOOKUP($B372,Data!$B$3:$EZ1530,29,FALSE),VLOOKUP($B372,Data!$B$3:$EZ1530,4,FALSE)),"")</f>
        <v>0.08642107949</v>
      </c>
      <c r="F372" s="48">
        <f>IFERROR(DIVIDE(VLOOKUP($B372,Data!$B$3:$EZ1530,34,FALSE),VLOOKUP($B372,Data!$B$3:$EZ1530,4,FALSE)),"")</f>
        <v>0.1022414418</v>
      </c>
      <c r="G372" s="48">
        <f>IFERROR(DIVIDE(VLOOKUP($B372,Data!$B$3:$EZ1530,39,FALSE),VLOOKUP($B372,Data!$B$3:$EZ1530,4,FALSE)),"")</f>
        <v>0.0689488457</v>
      </c>
      <c r="H372" s="48">
        <f>IFERROR(DIVIDE(VLOOKUP($B372,Data!$B$3:$EZ1530,44,FALSE),VLOOKUP($B372,Data!$B$3:$EZ1530,4,FALSE)),"")</f>
        <v>0.02809524449</v>
      </c>
      <c r="I372" s="48">
        <f>IFERROR(MINUS(DIVIDE(VLOOKUP($B372,Data!$B$3:$EZ1530,9,FALSE),VLOOKUP($B372,Data!$B$3:$EZ1530,10,FALSE)),1),"")</f>
        <v>0.09661956048</v>
      </c>
      <c r="J372" s="48" t="str">
        <f>IFERROR(MINUS(DIVIDE(VLOOKUP($B372,Data!$B$3:$EZ1530,24,FALSE),VLOOKUP($B372,Data!$B$3:$EZ1530,25,FALSE)),1),"")</f>
        <v/>
      </c>
      <c r="K372" s="48">
        <f>IFERROR(MINUS(DIVIDE(VLOOKUP($B372,Data!$B$3:$EZ1530,29,FALSE),VLOOKUP($B372,Data!$B$3:$EZ1530,30,FALSE)),1),"")</f>
        <v>0.07518796992</v>
      </c>
      <c r="L372" s="48">
        <f>IFERROR(MINUS(DIVIDE(VLOOKUP($B372,Data!$B$3:$EZ1530,34,FALSE),VLOOKUP($B372,Data!$B$3:$EZ1530,35,FALSE)),1),"")</f>
        <v>0.06311967602</v>
      </c>
      <c r="M372" s="48">
        <f>IFERROR(MINUS(DIVIDE(VLOOKUP($B372,Data!$B$3:$EZ1530,39,FALSE),VLOOKUP($B372,Data!$B$3:$EZ1530,40,FALSE)),1),"")</f>
        <v>0.07789208482</v>
      </c>
      <c r="N372" s="48">
        <f>IFERROR(MINUS(DIVIDE(VLOOKUP($B372,Data!$B$3:$EZ1530,44,FALSE),VLOOKUP($B372,Data!$B$3:$EZ1530,45,FALSE)),1),"")</f>
        <v>-0.1598393574</v>
      </c>
      <c r="O372" s="50">
        <f>IFERROR(VLOOKUP($B372,Data!$B$3:$D1530,2,FALSE),"")</f>
        <v>765040</v>
      </c>
      <c r="P372" s="50">
        <f>IFERROR(VLOOKUP($B372,Data!$B$3:$D1530,3,FALSE),"")</f>
        <v>748630</v>
      </c>
      <c r="Q372" s="48">
        <f t="shared" si="2"/>
        <v>0.02192004061</v>
      </c>
      <c r="R372" s="48"/>
      <c r="S372" s="48"/>
      <c r="T372" s="48"/>
      <c r="U372" s="48"/>
      <c r="V372" s="48"/>
      <c r="W372" s="50"/>
      <c r="Z372" s="11"/>
      <c r="AA372" s="11"/>
    </row>
    <row r="373">
      <c r="A373" s="9">
        <f t="shared" si="1"/>
        <v>370</v>
      </c>
      <c r="B373" s="47" t="s">
        <v>506</v>
      </c>
      <c r="C373" s="48" t="str">
        <f>IFERROR(DIVIDE(VLOOKUP($B373,Data!$B$3:$AB$1535,9,FALSE),VLOOKUP($B373,Data!$B$3:$AB$1535,4,FALSE)),"")</f>
        <v/>
      </c>
      <c r="D373" s="48" t="str">
        <f>IFERROR(DIVIDE(VLOOKUP($B373,Data!$B$3:$AB$1535,24,FALSE),VLOOKUP($B373,Data!$B$3:$AB$1535,4,FALSE)),"")</f>
        <v/>
      </c>
      <c r="E373" s="48" t="str">
        <f>IFERROR(DIVIDE(VLOOKUP($B373,Data!$B$3:$EZ1530,29,FALSE),VLOOKUP($B373,Data!$B$3:$EZ1530,4,FALSE)),"")</f>
        <v/>
      </c>
      <c r="F373" s="48" t="str">
        <f>IFERROR(DIVIDE(VLOOKUP($B373,Data!$B$3:$EZ1530,34,FALSE),VLOOKUP($B373,Data!$B$3:$EZ1530,4,FALSE)),"")</f>
        <v/>
      </c>
      <c r="G373" s="48" t="str">
        <f>IFERROR(DIVIDE(VLOOKUP($B373,Data!$B$3:$EZ1530,39,FALSE),VLOOKUP($B373,Data!$B$3:$EZ1530,4,FALSE)),"")</f>
        <v/>
      </c>
      <c r="H373" s="48" t="str">
        <f>IFERROR(DIVIDE(VLOOKUP($B373,Data!$B$3:$EZ1530,44,FALSE),VLOOKUP($B373,Data!$B$3:$EZ1530,4,FALSE)),"")</f>
        <v/>
      </c>
      <c r="I373" s="48">
        <f>IFERROR(MINUS(DIVIDE(VLOOKUP($B373,Data!$B$3:$EZ1530,9,FALSE),VLOOKUP($B373,Data!$B$3:$EZ1530,10,FALSE)),1),"")</f>
        <v>1.356687898</v>
      </c>
      <c r="J373" s="48" t="str">
        <f>IFERROR(MINUS(DIVIDE(VLOOKUP($B373,Data!$B$3:$EZ1530,24,FALSE),VLOOKUP($B373,Data!$B$3:$EZ1530,25,FALSE)),1),"")</f>
        <v/>
      </c>
      <c r="K373" s="48">
        <f>IFERROR(MINUS(DIVIDE(VLOOKUP($B373,Data!$B$3:$EZ1530,29,FALSE),VLOOKUP($B373,Data!$B$3:$EZ1530,30,FALSE)),1),"")</f>
        <v>0.8591445428</v>
      </c>
      <c r="L373" s="48">
        <f>IFERROR(MINUS(DIVIDE(VLOOKUP($B373,Data!$B$3:$EZ1530,34,FALSE),VLOOKUP($B373,Data!$B$3:$EZ1530,35,FALSE)),1),"")</f>
        <v>0.7577437235</v>
      </c>
      <c r="M373" s="48">
        <f>IFERROR(MINUS(DIVIDE(VLOOKUP($B373,Data!$B$3:$EZ1530,39,FALSE),VLOOKUP($B373,Data!$B$3:$EZ1530,40,FALSE)),1),"")</f>
        <v>0.8591445428</v>
      </c>
      <c r="N373" s="48">
        <f>IFERROR(MINUS(DIVIDE(VLOOKUP($B373,Data!$B$3:$EZ1530,44,FALSE),VLOOKUP($B373,Data!$B$3:$EZ1530,45,FALSE)),1),"")</f>
        <v>1.352004111</v>
      </c>
      <c r="O373" s="50" t="str">
        <f>IFERROR(VLOOKUP($B373,Data!$B$3:$D1530,2,FALSE),"")</f>
        <v/>
      </c>
      <c r="P373" s="50" t="str">
        <f>IFERROR(VLOOKUP($B373,Data!$B$3:$D1530,3,FALSE),"")</f>
        <v/>
      </c>
      <c r="Q373" s="48" t="str">
        <f t="shared" si="2"/>
        <v/>
      </c>
      <c r="R373" s="48"/>
      <c r="S373" s="48"/>
      <c r="T373" s="48"/>
      <c r="U373" s="48"/>
      <c r="V373" s="48"/>
      <c r="W373" s="50"/>
      <c r="Z373" s="11"/>
      <c r="AA373" s="11"/>
    </row>
    <row r="374">
      <c r="A374" s="9">
        <f t="shared" si="1"/>
        <v>371</v>
      </c>
      <c r="B374" s="47" t="s">
        <v>507</v>
      </c>
      <c r="C374" s="48">
        <f>IFERROR(DIVIDE(VLOOKUP($B374,Data!$B$3:$AB$1535,9,FALSE),VLOOKUP($B374,Data!$B$3:$AB$1535,4,FALSE)),"")</f>
        <v>0.4861382114</v>
      </c>
      <c r="D374" s="48">
        <f>IFERROR(DIVIDE(VLOOKUP($B374,Data!$B$3:$AB$1535,24,FALSE),VLOOKUP($B374,Data!$B$3:$AB$1535,4,FALSE)),"")</f>
        <v>0</v>
      </c>
      <c r="E374" s="48">
        <f>IFERROR(DIVIDE(VLOOKUP($B374,Data!$B$3:$EZ1530,29,FALSE),VLOOKUP($B374,Data!$B$3:$EZ1530,4,FALSE)),"")</f>
        <v>0.09700813008</v>
      </c>
      <c r="F374" s="48">
        <f>IFERROR(DIVIDE(VLOOKUP($B374,Data!$B$3:$EZ1530,34,FALSE),VLOOKUP($B374,Data!$B$3:$EZ1530,4,FALSE)),"")</f>
        <v>0.1241138211</v>
      </c>
      <c r="G374" s="48">
        <f>IFERROR(DIVIDE(VLOOKUP($B374,Data!$B$3:$EZ1530,39,FALSE),VLOOKUP($B374,Data!$B$3:$EZ1530,4,FALSE)),"")</f>
        <v>0.09715447154</v>
      </c>
      <c r="H374" s="48">
        <f>IFERROR(DIVIDE(VLOOKUP($B374,Data!$B$3:$EZ1530,44,FALSE),VLOOKUP($B374,Data!$B$3:$EZ1530,4,FALSE)),"")</f>
        <v>0.1254227642</v>
      </c>
      <c r="I374" s="48">
        <f>IFERROR(MINUS(DIVIDE(VLOOKUP($B374,Data!$B$3:$EZ1530,9,FALSE),VLOOKUP($B374,Data!$B$3:$EZ1530,10,FALSE)),1),"")</f>
        <v>0.1151206594</v>
      </c>
      <c r="J374" s="48">
        <f>IFERROR(MINUS(DIVIDE(VLOOKUP($B374,Data!$B$3:$EZ1530,24,FALSE),VLOOKUP($B374,Data!$B$3:$EZ1530,25,FALSE)),1),"")</f>
        <v>-1</v>
      </c>
      <c r="K374" s="48">
        <f>IFERROR(MINUS(DIVIDE(VLOOKUP($B374,Data!$B$3:$EZ1530,29,FALSE),VLOOKUP($B374,Data!$B$3:$EZ1530,30,FALSE)),1),"")</f>
        <v>0.8311847759</v>
      </c>
      <c r="L374" s="48">
        <f>IFERROR(MINUS(DIVIDE(VLOOKUP($B374,Data!$B$3:$EZ1530,34,FALSE),VLOOKUP($B374,Data!$B$3:$EZ1530,35,FALSE)),1),"")</f>
        <v>0.5392216173</v>
      </c>
      <c r="M374" s="48">
        <f>IFERROR(MINUS(DIVIDE(VLOOKUP($B374,Data!$B$3:$EZ1530,39,FALSE),VLOOKUP($B374,Data!$B$3:$EZ1530,40,FALSE)),1),"")</f>
        <v>1.369151467</v>
      </c>
      <c r="N374" s="48">
        <f>IFERROR(MINUS(DIVIDE(VLOOKUP($B374,Data!$B$3:$EZ1530,44,FALSE),VLOOKUP($B374,Data!$B$3:$EZ1530,45,FALSE)),1),"")</f>
        <v>0.3513489839</v>
      </c>
      <c r="O374" s="50">
        <f>IFERROR(VLOOKUP($B374,Data!$B$3:$D1530,2,FALSE),"")</f>
        <v>1380000</v>
      </c>
      <c r="P374" s="50">
        <f>IFERROR(VLOOKUP($B374,Data!$B$3:$D1530,3,FALSE),"")</f>
        <v>1190000</v>
      </c>
      <c r="Q374" s="48">
        <f t="shared" si="2"/>
        <v>0.1596638655</v>
      </c>
      <c r="R374" s="48"/>
      <c r="S374" s="48"/>
      <c r="T374" s="48"/>
      <c r="U374" s="48"/>
      <c r="V374" s="48"/>
      <c r="W374" s="50"/>
      <c r="Z374" s="11"/>
      <c r="AA374" s="11"/>
    </row>
    <row r="375">
      <c r="A375" s="9">
        <f t="shared" si="1"/>
        <v>372</v>
      </c>
      <c r="B375" s="47" t="s">
        <v>508</v>
      </c>
      <c r="C375" s="48">
        <f>IFERROR(DIVIDE(VLOOKUP($B375,Data!$B$3:$AB$1535,9,FALSE),VLOOKUP($B375,Data!$B$3:$AB$1535,4,FALSE)),"")</f>
        <v>0.1893277311</v>
      </c>
      <c r="D375" s="48">
        <f>IFERROR(DIVIDE(VLOOKUP($B375,Data!$B$3:$AB$1535,24,FALSE),VLOOKUP($B375,Data!$B$3:$AB$1535,4,FALSE)),"")</f>
        <v>0.09920168067</v>
      </c>
      <c r="E375" s="48">
        <f>IFERROR(DIVIDE(VLOOKUP($B375,Data!$B$3:$EZ1530,29,FALSE),VLOOKUP($B375,Data!$B$3:$EZ1530,4,FALSE)),"")</f>
        <v>0.09075630252</v>
      </c>
      <c r="F375" s="48">
        <f>IFERROR(DIVIDE(VLOOKUP($B375,Data!$B$3:$EZ1530,34,FALSE),VLOOKUP($B375,Data!$B$3:$EZ1530,4,FALSE)),"")</f>
        <v>0.1456302521</v>
      </c>
      <c r="G375" s="48">
        <f>IFERROR(DIVIDE(VLOOKUP($B375,Data!$B$3:$EZ1530,39,FALSE),VLOOKUP($B375,Data!$B$3:$EZ1530,4,FALSE)),"")</f>
        <v>0.0693697479</v>
      </c>
      <c r="H375" s="48">
        <f>IFERROR(DIVIDE(VLOOKUP($B375,Data!$B$3:$EZ1530,44,FALSE),VLOOKUP($B375,Data!$B$3:$EZ1530,4,FALSE)),"")</f>
        <v>0.09764705882</v>
      </c>
      <c r="I375" s="48">
        <f>IFERROR(MINUS(DIVIDE(VLOOKUP($B375,Data!$B$3:$EZ1530,9,FALSE),VLOOKUP($B375,Data!$B$3:$EZ1530,10,FALSE)),1),"")</f>
        <v>0.129889669</v>
      </c>
      <c r="J375" s="48">
        <f>IFERROR(MINUS(DIVIDE(VLOOKUP($B375,Data!$B$3:$EZ1530,24,FALSE),VLOOKUP($B375,Data!$B$3:$EZ1530,25,FALSE)),1),"")</f>
        <v>156.4</v>
      </c>
      <c r="K375" s="48">
        <f>IFERROR(MINUS(DIVIDE(VLOOKUP($B375,Data!$B$3:$EZ1530,29,FALSE),VLOOKUP($B375,Data!$B$3:$EZ1530,30,FALSE)),1),"")</f>
        <v>0.3483146067</v>
      </c>
      <c r="L375" s="48">
        <f>IFERROR(MINUS(DIVIDE(VLOOKUP($B375,Data!$B$3:$EZ1530,34,FALSE),VLOOKUP($B375,Data!$B$3:$EZ1530,35,FALSE)),1),"")</f>
        <v>0.1435169911</v>
      </c>
      <c r="M375" s="48">
        <f>IFERROR(MINUS(DIVIDE(VLOOKUP($B375,Data!$B$3:$EZ1530,39,FALSE),VLOOKUP($B375,Data!$B$3:$EZ1530,40,FALSE)),1),"")</f>
        <v>-0.1161670236</v>
      </c>
      <c r="N375" s="48">
        <f>IFERROR(MINUS(DIVIDE(VLOOKUP($B375,Data!$B$3:$EZ1530,44,FALSE),VLOOKUP($B375,Data!$B$3:$EZ1530,45,FALSE)),1),"")</f>
        <v>0.1108986616</v>
      </c>
      <c r="O375" s="50">
        <f>IFERROR(VLOOKUP($B375,Data!$B$3:$D1530,2,FALSE),"")</f>
        <v>2060000</v>
      </c>
      <c r="P375" s="50">
        <f>IFERROR(VLOOKUP($B375,Data!$B$3:$D1530,3,FALSE),"")</f>
        <v>2240000</v>
      </c>
      <c r="Q375" s="48">
        <f t="shared" si="2"/>
        <v>-0.08035714286</v>
      </c>
      <c r="R375" s="48"/>
      <c r="S375" s="48"/>
      <c r="T375" s="48"/>
      <c r="U375" s="48"/>
      <c r="V375" s="48"/>
      <c r="W375" s="50"/>
      <c r="Z375" s="12"/>
      <c r="AA375" s="12"/>
    </row>
    <row r="376">
      <c r="A376" s="9">
        <f t="shared" si="1"/>
        <v>373</v>
      </c>
      <c r="B376" s="47" t="s">
        <v>509</v>
      </c>
      <c r="C376" s="48">
        <f>IFERROR(DIVIDE(VLOOKUP($B376,Data!$B$3:$AB$1535,9,FALSE),VLOOKUP($B376,Data!$B$3:$AB$1535,4,FALSE)),"")</f>
        <v>0</v>
      </c>
      <c r="D376" s="48">
        <f>IFERROR(DIVIDE(VLOOKUP($B376,Data!$B$3:$AB$1535,24,FALSE),VLOOKUP($B376,Data!$B$3:$AB$1535,4,FALSE)),"")</f>
        <v>0</v>
      </c>
      <c r="E376" s="48">
        <f>IFERROR(DIVIDE(VLOOKUP($B376,Data!$B$3:$EZ1530,29,FALSE),VLOOKUP($B376,Data!$B$3:$EZ1530,4,FALSE)),"")</f>
        <v>0.2324320591</v>
      </c>
      <c r="F376" s="48">
        <f>IFERROR(DIVIDE(VLOOKUP($B376,Data!$B$3:$EZ1530,34,FALSE),VLOOKUP($B376,Data!$B$3:$EZ1530,4,FALSE)),"")</f>
        <v>0.1777340378</v>
      </c>
      <c r="G376" s="48">
        <f>IFERROR(DIVIDE(VLOOKUP($B376,Data!$B$3:$EZ1530,39,FALSE),VLOOKUP($B376,Data!$B$3:$EZ1530,4,FALSE)),"")</f>
        <v>0.2308781381</v>
      </c>
      <c r="H376" s="48">
        <f>IFERROR(DIVIDE(VLOOKUP($B376,Data!$B$3:$EZ1530,44,FALSE),VLOOKUP($B376,Data!$B$3:$EZ1530,4,FALSE)),"")</f>
        <v>0.1957249905</v>
      </c>
      <c r="I376" s="48" t="str">
        <f>IFERROR(MINUS(DIVIDE(VLOOKUP($B376,Data!$B$3:$EZ1530,9,FALSE),VLOOKUP($B376,Data!$B$3:$EZ1530,10,FALSE)),1),"")</f>
        <v/>
      </c>
      <c r="J376" s="48" t="str">
        <f>IFERROR(MINUS(DIVIDE(VLOOKUP($B376,Data!$B$3:$EZ1530,24,FALSE),VLOOKUP($B376,Data!$B$3:$EZ1530,25,FALSE)),1),"")</f>
        <v/>
      </c>
      <c r="K376" s="48">
        <f>IFERROR(MINUS(DIVIDE(VLOOKUP($B376,Data!$B$3:$EZ1530,29,FALSE),VLOOKUP($B376,Data!$B$3:$EZ1530,30,FALSE)),1),"")</f>
        <v>-1.409353524</v>
      </c>
      <c r="L376" s="48">
        <f>IFERROR(MINUS(DIVIDE(VLOOKUP($B376,Data!$B$3:$EZ1530,34,FALSE),VLOOKUP($B376,Data!$B$3:$EZ1530,35,FALSE)),1),"")</f>
        <v>-1.33116716</v>
      </c>
      <c r="M376" s="48">
        <f>IFERROR(MINUS(DIVIDE(VLOOKUP($B376,Data!$B$3:$EZ1530,39,FALSE),VLOOKUP($B376,Data!$B$3:$EZ1530,40,FALSE)),1),"")</f>
        <v>-1.405261244</v>
      </c>
      <c r="N376" s="48">
        <f>IFERROR(MINUS(DIVIDE(VLOOKUP($B376,Data!$B$3:$EZ1530,44,FALSE),VLOOKUP($B376,Data!$B$3:$EZ1530,45,FALSE)),1),"")</f>
        <v>-1.588944306</v>
      </c>
      <c r="O376" s="50">
        <f>IFERROR(VLOOKUP($B376,Data!$B$3:$D1530,2,FALSE),"")</f>
        <v>18470</v>
      </c>
      <c r="P376" s="50">
        <f>IFERROR(VLOOKUP($B376,Data!$B$3:$D1530,3,FALSE),"")</f>
        <v>4880</v>
      </c>
      <c r="Q376" s="48">
        <f t="shared" si="2"/>
        <v>2.784836066</v>
      </c>
      <c r="R376" s="48"/>
      <c r="S376" s="48"/>
      <c r="T376" s="48"/>
      <c r="U376" s="48"/>
      <c r="V376" s="48"/>
      <c r="W376" s="50"/>
      <c r="Z376" s="11"/>
      <c r="AA376" s="11"/>
    </row>
    <row r="377">
      <c r="A377" s="9">
        <f t="shared" si="1"/>
        <v>374</v>
      </c>
      <c r="B377" s="47" t="s">
        <v>510</v>
      </c>
      <c r="C377" s="48" t="str">
        <f>IFERROR(DIVIDE(VLOOKUP($B377,Data!$B$3:$AB$1535,9,FALSE),VLOOKUP($B377,Data!$B$3:$AB$1535,4,FALSE)),"")</f>
        <v/>
      </c>
      <c r="D377" s="48" t="str">
        <f>IFERROR(DIVIDE(VLOOKUP($B377,Data!$B$3:$AB$1535,24,FALSE),VLOOKUP($B377,Data!$B$3:$AB$1535,4,FALSE)),"")</f>
        <v/>
      </c>
      <c r="E377" s="48" t="str">
        <f>IFERROR(DIVIDE(VLOOKUP($B377,Data!$B$3:$EZ1530,29,FALSE),VLOOKUP($B377,Data!$B$3:$EZ1530,4,FALSE)),"")</f>
        <v/>
      </c>
      <c r="F377" s="48" t="str">
        <f>IFERROR(DIVIDE(VLOOKUP($B377,Data!$B$3:$EZ1530,34,FALSE),VLOOKUP($B377,Data!$B$3:$EZ1530,4,FALSE)),"")</f>
        <v/>
      </c>
      <c r="G377" s="48" t="str">
        <f>IFERROR(DIVIDE(VLOOKUP($B377,Data!$B$3:$EZ1530,39,FALSE),VLOOKUP($B377,Data!$B$3:$EZ1530,4,FALSE)),"")</f>
        <v/>
      </c>
      <c r="H377" s="48" t="str">
        <f>IFERROR(DIVIDE(VLOOKUP($B377,Data!$B$3:$EZ1530,44,FALSE),VLOOKUP($B377,Data!$B$3:$EZ1530,4,FALSE)),"")</f>
        <v/>
      </c>
      <c r="I377" s="48">
        <f>IFERROR(MINUS(DIVIDE(VLOOKUP($B377,Data!$B$3:$EZ1530,9,FALSE),VLOOKUP($B377,Data!$B$3:$EZ1530,10,FALSE)),1),"")</f>
        <v>2.68627451</v>
      </c>
      <c r="J377" s="48">
        <f>IFERROR(MINUS(DIVIDE(VLOOKUP($B377,Data!$B$3:$EZ1530,24,FALSE),VLOOKUP($B377,Data!$B$3:$EZ1530,25,FALSE)),1),"")</f>
        <v>-1</v>
      </c>
      <c r="K377" s="48">
        <f>IFERROR(MINUS(DIVIDE(VLOOKUP($B377,Data!$B$3:$EZ1530,29,FALSE),VLOOKUP($B377,Data!$B$3:$EZ1530,30,FALSE)),1),"")</f>
        <v>1.963141026</v>
      </c>
      <c r="L377" s="48">
        <f>IFERROR(MINUS(DIVIDE(VLOOKUP($B377,Data!$B$3:$EZ1530,34,FALSE),VLOOKUP($B377,Data!$B$3:$EZ1530,35,FALSE)),1),"")</f>
        <v>2.229494615</v>
      </c>
      <c r="M377" s="48">
        <f>IFERROR(MINUS(DIVIDE(VLOOKUP($B377,Data!$B$3:$EZ1530,39,FALSE),VLOOKUP($B377,Data!$B$3:$EZ1530,40,FALSE)),1),"")</f>
        <v>1.963141026</v>
      </c>
      <c r="N377" s="48">
        <f>IFERROR(MINUS(DIVIDE(VLOOKUP($B377,Data!$B$3:$EZ1530,44,FALSE),VLOOKUP($B377,Data!$B$3:$EZ1530,45,FALSE)),1),"")</f>
        <v>1.844444444</v>
      </c>
      <c r="O377" s="50" t="str">
        <f>IFERROR(VLOOKUP($B377,Data!$B$3:$D1530,2,FALSE),"")</f>
        <v/>
      </c>
      <c r="P377" s="50" t="str">
        <f>IFERROR(VLOOKUP($B377,Data!$B$3:$D1530,3,FALSE),"")</f>
        <v/>
      </c>
      <c r="Q377" s="48" t="str">
        <f t="shared" si="2"/>
        <v/>
      </c>
      <c r="R377" s="48"/>
      <c r="S377" s="48"/>
      <c r="T377" s="48"/>
      <c r="U377" s="48"/>
      <c r="V377" s="48"/>
      <c r="W377" s="50"/>
      <c r="Z377" s="15"/>
      <c r="AA377" s="15"/>
    </row>
    <row r="378">
      <c r="A378" s="9">
        <f t="shared" si="1"/>
        <v>375</v>
      </c>
      <c r="B378" s="47" t="s">
        <v>511</v>
      </c>
      <c r="C378" s="48">
        <f>IFERROR(DIVIDE(VLOOKUP($B378,Data!$B$3:$AB$1535,9,FALSE),VLOOKUP($B378,Data!$B$3:$AB$1535,4,FALSE)),"")</f>
        <v>0.5266953125</v>
      </c>
      <c r="D378" s="48">
        <f>IFERROR(DIVIDE(VLOOKUP($B378,Data!$B$3:$AB$1535,24,FALSE),VLOOKUP($B378,Data!$B$3:$AB$1535,4,FALSE)),"")</f>
        <v>0.1322265625</v>
      </c>
      <c r="E378" s="48">
        <f>IFERROR(DIVIDE(VLOOKUP($B378,Data!$B$3:$EZ1530,29,FALSE),VLOOKUP($B378,Data!$B$3:$EZ1530,4,FALSE)),"")</f>
        <v>0.1416171875</v>
      </c>
      <c r="F378" s="48">
        <f>IFERROR(DIVIDE(VLOOKUP($B378,Data!$B$3:$EZ1530,34,FALSE),VLOOKUP($B378,Data!$B$3:$EZ1530,4,FALSE)),"")</f>
        <v>0.1996953125</v>
      </c>
      <c r="G378" s="48">
        <f>IFERROR(DIVIDE(VLOOKUP($B378,Data!$B$3:$EZ1530,39,FALSE),VLOOKUP($B378,Data!$B$3:$EZ1530,4,FALSE)),"")</f>
        <v>0.124609375</v>
      </c>
      <c r="H378" s="48">
        <f>IFERROR(DIVIDE(VLOOKUP($B378,Data!$B$3:$EZ1530,44,FALSE),VLOOKUP($B378,Data!$B$3:$EZ1530,4,FALSE)),"")</f>
        <v>0.231109375</v>
      </c>
      <c r="I378" s="48">
        <f>IFERROR(MINUS(DIVIDE(VLOOKUP($B378,Data!$B$3:$EZ1530,9,FALSE),VLOOKUP($B378,Data!$B$3:$EZ1530,10,FALSE)),1),"")</f>
        <v>0.1283179916</v>
      </c>
      <c r="J378" s="48">
        <f>IFERROR(MINUS(DIVIDE(VLOOKUP($B378,Data!$B$3:$EZ1530,24,FALSE),VLOOKUP($B378,Data!$B$3:$EZ1530,25,FALSE)),1),"")</f>
        <v>1.061761481</v>
      </c>
      <c r="K378" s="48">
        <f>IFERROR(MINUS(DIVIDE(VLOOKUP($B378,Data!$B$3:$EZ1530,29,FALSE),VLOOKUP($B378,Data!$B$3:$EZ1530,30,FALSE)),1),"")</f>
        <v>0.9337529336</v>
      </c>
      <c r="L378" s="48">
        <f>IFERROR(MINUS(DIVIDE(VLOOKUP($B378,Data!$B$3:$EZ1530,34,FALSE),VLOOKUP($B378,Data!$B$3:$EZ1530,35,FALSE)),1),"")</f>
        <v>0.4549749545</v>
      </c>
      <c r="M378" s="48">
        <f>IFERROR(MINUS(DIVIDE(VLOOKUP($B378,Data!$B$3:$EZ1530,39,FALSE),VLOOKUP($B378,Data!$B$3:$EZ1530,40,FALSE)),1),"")</f>
        <v>0.7724191577</v>
      </c>
      <c r="N378" s="48">
        <f>IFERROR(MINUS(DIVIDE(VLOOKUP($B378,Data!$B$3:$EZ1530,44,FALSE),VLOOKUP($B378,Data!$B$3:$EZ1530,45,FALSE)),1),"")</f>
        <v>0.4312255068</v>
      </c>
      <c r="O378" s="50">
        <f>IFERROR(VLOOKUP($B378,Data!$B$3:$D1530,2,FALSE),"")</f>
        <v>1330000</v>
      </c>
      <c r="P378" s="50">
        <f>IFERROR(VLOOKUP($B378,Data!$B$3:$D1530,3,FALSE),"")</f>
        <v>1190000</v>
      </c>
      <c r="Q378" s="48">
        <f t="shared" si="2"/>
        <v>0.1176470588</v>
      </c>
      <c r="R378" s="48"/>
      <c r="S378" s="48"/>
      <c r="T378" s="48"/>
      <c r="U378" s="48"/>
      <c r="V378" s="48"/>
      <c r="W378" s="50"/>
      <c r="Z378" s="11"/>
      <c r="AA378" s="11"/>
    </row>
    <row r="379">
      <c r="A379" s="9">
        <f t="shared" si="1"/>
        <v>376</v>
      </c>
      <c r="B379" s="47" t="s">
        <v>512</v>
      </c>
      <c r="C379" s="48">
        <f>IFERROR(DIVIDE(VLOOKUP($B379,Data!$B$3:$AB$1535,9,FALSE),VLOOKUP($B379,Data!$B$3:$AB$1535,4,FALSE)),"")</f>
        <v>0.1746112152</v>
      </c>
      <c r="D379" s="48">
        <f>IFERROR(DIVIDE(VLOOKUP($B379,Data!$B$3:$AB$1535,24,FALSE),VLOOKUP($B379,Data!$B$3:$AB$1535,4,FALSE)),"")</f>
        <v>0</v>
      </c>
      <c r="E379" s="48">
        <f>IFERROR(DIVIDE(VLOOKUP($B379,Data!$B$3:$EZ1530,29,FALSE),VLOOKUP($B379,Data!$B$3:$EZ1530,4,FALSE)),"")</f>
        <v>0.1025108488</v>
      </c>
      <c r="F379" s="48">
        <f>IFERROR(DIVIDE(VLOOKUP($B379,Data!$B$3:$EZ1530,34,FALSE),VLOOKUP($B379,Data!$B$3:$EZ1530,4,FALSE)),"")</f>
        <v>0.1405366158</v>
      </c>
      <c r="G379" s="48">
        <f>IFERROR(DIVIDE(VLOOKUP($B379,Data!$B$3:$EZ1530,39,FALSE),VLOOKUP($B379,Data!$B$3:$EZ1530,4,FALSE)),"")</f>
        <v>0.08000270165</v>
      </c>
      <c r="H379" s="48">
        <f>IFERROR(DIVIDE(VLOOKUP($B379,Data!$B$3:$EZ1530,44,FALSE),VLOOKUP($B379,Data!$B$3:$EZ1530,4,FALSE)),"")</f>
        <v>0.145889266</v>
      </c>
      <c r="I379" s="48">
        <f>IFERROR(MINUS(DIVIDE(VLOOKUP($B379,Data!$B$3:$EZ1530,9,FALSE),VLOOKUP($B379,Data!$B$3:$EZ1530,10,FALSE)),1),"")</f>
        <v>-0.1714606201</v>
      </c>
      <c r="J379" s="48" t="str">
        <f>IFERROR(MINUS(DIVIDE(VLOOKUP($B379,Data!$B$3:$EZ1530,24,FALSE),VLOOKUP($B379,Data!$B$3:$EZ1530,25,FALSE)),1),"")</f>
        <v/>
      </c>
      <c r="K379" s="48">
        <f>IFERROR(MINUS(DIVIDE(VLOOKUP($B379,Data!$B$3:$EZ1530,29,FALSE),VLOOKUP($B379,Data!$B$3:$EZ1530,30,FALSE)),1),"")</f>
        <v>-0.01300601528</v>
      </c>
      <c r="L379" s="48">
        <f>IFERROR(MINUS(DIVIDE(VLOOKUP($B379,Data!$B$3:$EZ1530,34,FALSE),VLOOKUP($B379,Data!$B$3:$EZ1530,35,FALSE)),1),"")</f>
        <v>-0.0150295858</v>
      </c>
      <c r="M379" s="48">
        <f>IFERROR(MINUS(DIVIDE(VLOOKUP($B379,Data!$B$3:$EZ1530,39,FALSE),VLOOKUP($B379,Data!$B$3:$EZ1530,40,FALSE)),1),"")</f>
        <v>0.01456102784</v>
      </c>
      <c r="N379" s="48">
        <f>IFERROR(MINUS(DIVIDE(VLOOKUP($B379,Data!$B$3:$EZ1530,44,FALSE),VLOOKUP($B379,Data!$B$3:$EZ1530,45,FALSE)),1),"")</f>
        <v>0.0986775178</v>
      </c>
      <c r="O379" s="50" t="str">
        <f>IFERROR(VLOOKUP($B379,Data!$B$3:$D1530,2,FALSE),"")</f>
        <v/>
      </c>
      <c r="P379" s="50" t="str">
        <f>IFERROR(VLOOKUP($B379,Data!$B$3:$D1530,3,FALSE),"")</f>
        <v/>
      </c>
      <c r="Q379" s="48" t="str">
        <f t="shared" si="2"/>
        <v/>
      </c>
      <c r="R379" s="48"/>
      <c r="S379" s="48"/>
      <c r="T379" s="48"/>
      <c r="U379" s="48"/>
      <c r="V379" s="48"/>
      <c r="W379" s="50"/>
      <c r="Z379" s="12"/>
      <c r="AA379" s="12"/>
    </row>
    <row r="380">
      <c r="A380" s="9">
        <f t="shared" si="1"/>
        <v>377</v>
      </c>
      <c r="B380" s="47" t="s">
        <v>513</v>
      </c>
      <c r="C380" s="48" t="str">
        <f>IFERROR(DIVIDE(VLOOKUP($B380,Data!$B$3:$AB$1535,9,FALSE),VLOOKUP($B380,Data!$B$3:$AB$1535,4,FALSE)),"")</f>
        <v/>
      </c>
      <c r="D380" s="48" t="str">
        <f>IFERROR(DIVIDE(VLOOKUP($B380,Data!$B$3:$AB$1535,24,FALSE),VLOOKUP($B380,Data!$B$3:$AB$1535,4,FALSE)),"")</f>
        <v/>
      </c>
      <c r="E380" s="48" t="str">
        <f>IFERROR(DIVIDE(VLOOKUP($B380,Data!$B$3:$EZ1530,29,FALSE),VLOOKUP($B380,Data!$B$3:$EZ1530,4,FALSE)),"")</f>
        <v/>
      </c>
      <c r="F380" s="48" t="str">
        <f>IFERROR(DIVIDE(VLOOKUP($B380,Data!$B$3:$EZ1530,34,FALSE),VLOOKUP($B380,Data!$B$3:$EZ1530,4,FALSE)),"")</f>
        <v/>
      </c>
      <c r="G380" s="48" t="str">
        <f>IFERROR(DIVIDE(VLOOKUP($B380,Data!$B$3:$EZ1530,39,FALSE),VLOOKUP($B380,Data!$B$3:$EZ1530,4,FALSE)),"")</f>
        <v/>
      </c>
      <c r="H380" s="48" t="str">
        <f>IFERROR(DIVIDE(VLOOKUP($B380,Data!$B$3:$EZ1530,44,FALSE),VLOOKUP($B380,Data!$B$3:$EZ1530,4,FALSE)),"")</f>
        <v/>
      </c>
      <c r="I380" s="48">
        <f>IFERROR(MINUS(DIVIDE(VLOOKUP($B380,Data!$B$3:$EZ1530,9,FALSE),VLOOKUP($B380,Data!$B$3:$EZ1530,10,FALSE)),1),"")</f>
        <v>-0.1227863046</v>
      </c>
      <c r="J380" s="48" t="str">
        <f>IFERROR(MINUS(DIVIDE(VLOOKUP($B380,Data!$B$3:$EZ1530,24,FALSE),VLOOKUP($B380,Data!$B$3:$EZ1530,25,FALSE)),1),"")</f>
        <v/>
      </c>
      <c r="K380" s="48">
        <f>IFERROR(MINUS(DIVIDE(VLOOKUP($B380,Data!$B$3:$EZ1530,29,FALSE),VLOOKUP($B380,Data!$B$3:$EZ1530,30,FALSE)),1),"")</f>
        <v>-0.00575202386</v>
      </c>
      <c r="L380" s="48">
        <f>IFERROR(MINUS(DIVIDE(VLOOKUP($B380,Data!$B$3:$EZ1530,34,FALSE),VLOOKUP($B380,Data!$B$3:$EZ1530,35,FALSE)),1),"")</f>
        <v>-0.00558081852</v>
      </c>
      <c r="M380" s="48">
        <f>IFERROR(MINUS(DIVIDE(VLOOKUP($B380,Data!$B$3:$EZ1530,39,FALSE),VLOOKUP($B380,Data!$B$3:$EZ1530,40,FALSE)),1),"")</f>
        <v>-0.00575202386</v>
      </c>
      <c r="N380" s="48">
        <f>IFERROR(MINUS(DIVIDE(VLOOKUP($B380,Data!$B$3:$EZ1530,44,FALSE),VLOOKUP($B380,Data!$B$3:$EZ1530,45,FALSE)),1),"")</f>
        <v>-0.1083191022</v>
      </c>
      <c r="O380" s="50" t="str">
        <f>IFERROR(VLOOKUP($B380,Data!$B$3:$D1530,2,FALSE),"")</f>
        <v/>
      </c>
      <c r="P380" s="50" t="str">
        <f>IFERROR(VLOOKUP($B380,Data!$B$3:$D1530,3,FALSE),"")</f>
        <v/>
      </c>
      <c r="Q380" s="48" t="str">
        <f t="shared" si="2"/>
        <v/>
      </c>
      <c r="R380" s="48"/>
      <c r="S380" s="48"/>
      <c r="T380" s="48"/>
      <c r="U380" s="48"/>
      <c r="V380" s="48"/>
      <c r="W380" s="50"/>
      <c r="Z380" s="15"/>
      <c r="AA380" s="15"/>
    </row>
    <row r="381">
      <c r="A381" s="9">
        <f t="shared" si="1"/>
        <v>378</v>
      </c>
      <c r="B381" s="47" t="s">
        <v>514</v>
      </c>
      <c r="C381" s="48">
        <f>IFERROR(DIVIDE(VLOOKUP($B381,Data!$B$3:$AB$1535,9,FALSE),VLOOKUP($B381,Data!$B$3:$AB$1535,4,FALSE)),"")</f>
        <v>0.4744707347</v>
      </c>
      <c r="D381" s="48">
        <f>IFERROR(DIVIDE(VLOOKUP($B381,Data!$B$3:$AB$1535,24,FALSE),VLOOKUP($B381,Data!$B$3:$AB$1535,4,FALSE)),"")</f>
        <v>-0.05603985056</v>
      </c>
      <c r="E381" s="48">
        <f>IFERROR(DIVIDE(VLOOKUP($B381,Data!$B$3:$EZ1530,29,FALSE),VLOOKUP($B381,Data!$B$3:$EZ1530,4,FALSE)),"")</f>
        <v>-0.05759651308</v>
      </c>
      <c r="F381" s="48">
        <f>IFERROR(DIVIDE(VLOOKUP($B381,Data!$B$3:$EZ1530,34,FALSE),VLOOKUP($B381,Data!$B$3:$EZ1530,4,FALSE)),"")</f>
        <v>-0.007471980075</v>
      </c>
      <c r="G381" s="48">
        <f>IFERROR(DIVIDE(VLOOKUP($B381,Data!$B$3:$EZ1530,39,FALSE),VLOOKUP($B381,Data!$B$3:$EZ1530,4,FALSE)),"")</f>
        <v>-0.06164383562</v>
      </c>
      <c r="H381" s="48">
        <f>IFERROR(DIVIDE(VLOOKUP($B381,Data!$B$3:$EZ1530,44,FALSE),VLOOKUP($B381,Data!$B$3:$EZ1530,4,FALSE)),"")</f>
        <v>0.09775840598</v>
      </c>
      <c r="I381" s="48">
        <f>IFERROR(MINUS(DIVIDE(VLOOKUP($B381,Data!$B$3:$EZ1530,9,FALSE),VLOOKUP($B381,Data!$B$3:$EZ1530,10,FALSE)),1),"")</f>
        <v>0.190625</v>
      </c>
      <c r="J381" s="48" t="str">
        <f>IFERROR(MINUS(DIVIDE(VLOOKUP($B381,Data!$B$3:$EZ1530,24,FALSE),VLOOKUP($B381,Data!$B$3:$EZ1530,25,FALSE)),1),"")</f>
        <v/>
      </c>
      <c r="K381" s="48">
        <f>IFERROR(MINUS(DIVIDE(VLOOKUP($B381,Data!$B$3:$EZ1530,29,FALSE),VLOOKUP($B381,Data!$B$3:$EZ1530,30,FALSE)),1),"")</f>
        <v>-9.008658009</v>
      </c>
      <c r="L381" s="48">
        <f>IFERROR(MINUS(DIVIDE(VLOOKUP($B381,Data!$B$3:$EZ1530,34,FALSE),VLOOKUP($B381,Data!$B$3:$EZ1530,35,FALSE)),1),"")</f>
        <v>-1.273972603</v>
      </c>
      <c r="M381" s="48">
        <f>IFERROR(MINUS(DIVIDE(VLOOKUP($B381,Data!$B$3:$EZ1530,39,FALSE),VLOOKUP($B381,Data!$B$3:$EZ1530,40,FALSE)),1),"")</f>
        <v>-16.46875</v>
      </c>
      <c r="N381" s="48">
        <f>IFERROR(MINUS(DIVIDE(VLOOKUP($B381,Data!$B$3:$EZ1530,44,FALSE),VLOOKUP($B381,Data!$B$3:$EZ1530,45,FALSE)),1),"")</f>
        <v>0.688172043</v>
      </c>
      <c r="O381" s="50">
        <f>IFERROR(VLOOKUP($B381,Data!$B$3:$D1530,2,FALSE),"")</f>
        <v>43430</v>
      </c>
      <c r="P381" s="50">
        <f>IFERROR(VLOOKUP($B381,Data!$B$3:$D1530,3,FALSE),"")</f>
        <v>37470</v>
      </c>
      <c r="Q381" s="48">
        <f t="shared" si="2"/>
        <v>0.1590605818</v>
      </c>
      <c r="R381" s="48"/>
      <c r="S381" s="48"/>
      <c r="T381" s="48"/>
      <c r="U381" s="48"/>
      <c r="V381" s="48"/>
      <c r="W381" s="50"/>
      <c r="Z381" s="12"/>
      <c r="AA381" s="12"/>
    </row>
    <row r="382">
      <c r="A382" s="9">
        <f t="shared" si="1"/>
        <v>379</v>
      </c>
      <c r="B382" s="47" t="s">
        <v>515</v>
      </c>
      <c r="C382" s="48">
        <f>IFERROR(DIVIDE(VLOOKUP($B382,Data!$B$3:$AB$1535,9,FALSE),VLOOKUP($B382,Data!$B$3:$AB$1535,4,FALSE)),"")</f>
        <v>0.22453125</v>
      </c>
      <c r="D382" s="48">
        <f>IFERROR(DIVIDE(VLOOKUP($B382,Data!$B$3:$AB$1535,24,FALSE),VLOOKUP($B382,Data!$B$3:$AB$1535,4,FALSE)),"")</f>
        <v>0.070665625</v>
      </c>
      <c r="E382" s="48">
        <f>IFERROR(DIVIDE(VLOOKUP($B382,Data!$B$3:$EZ1530,29,FALSE),VLOOKUP($B382,Data!$B$3:$EZ1530,4,FALSE)),"")</f>
        <v>0.056146875</v>
      </c>
      <c r="F382" s="48">
        <f>IFERROR(DIVIDE(VLOOKUP($B382,Data!$B$3:$EZ1530,34,FALSE),VLOOKUP($B382,Data!$B$3:$EZ1530,4,FALSE)),"")</f>
        <v>0.133428125</v>
      </c>
      <c r="G382" s="48">
        <f>IFERROR(DIVIDE(VLOOKUP($B382,Data!$B$3:$EZ1530,39,FALSE),VLOOKUP($B382,Data!$B$3:$EZ1530,4,FALSE)),"")</f>
        <v>0.053621875</v>
      </c>
      <c r="H382" s="48">
        <f>IFERROR(DIVIDE(VLOOKUP($B382,Data!$B$3:$EZ1530,44,FALSE),VLOOKUP($B382,Data!$B$3:$EZ1530,4,FALSE)),"")</f>
        <v>0.13433125</v>
      </c>
      <c r="I382" s="48">
        <f>IFERROR(MINUS(DIVIDE(VLOOKUP($B382,Data!$B$3:$EZ1530,9,FALSE),VLOOKUP($B382,Data!$B$3:$EZ1530,10,FALSE)),1),"")</f>
        <v>-0.07299891624</v>
      </c>
      <c r="J382" s="48">
        <f>IFERROR(MINUS(DIVIDE(VLOOKUP($B382,Data!$B$3:$EZ1530,24,FALSE),VLOOKUP($B382,Data!$B$3:$EZ1530,25,FALSE)),1),"")</f>
        <v>-0.2484379154</v>
      </c>
      <c r="K382" s="48">
        <f>IFERROR(MINUS(DIVIDE(VLOOKUP($B382,Data!$B$3:$EZ1530,29,FALSE),VLOOKUP($B382,Data!$B$3:$EZ1530,30,FALSE)),1),"")</f>
        <v>-0.3980702871</v>
      </c>
      <c r="L382" s="48">
        <f>IFERROR(MINUS(DIVIDE(VLOOKUP($B382,Data!$B$3:$EZ1530,34,FALSE),VLOOKUP($B382,Data!$B$3:$EZ1530,35,FALSE)),1),"")</f>
        <v>-0.04984756437</v>
      </c>
      <c r="M382" s="48">
        <f>IFERROR(MINUS(DIVIDE(VLOOKUP($B382,Data!$B$3:$EZ1530,39,FALSE),VLOOKUP($B382,Data!$B$3:$EZ1530,40,FALSE)),1),"")</f>
        <v>-0.2762053402</v>
      </c>
      <c r="N382" s="48">
        <f>IFERROR(MINUS(DIVIDE(VLOOKUP($B382,Data!$B$3:$EZ1530,44,FALSE),VLOOKUP($B382,Data!$B$3:$EZ1530,45,FALSE)),1),"")</f>
        <v>0.1015272653</v>
      </c>
      <c r="O382" s="50">
        <f>IFERROR(VLOOKUP($B382,Data!$B$3:$D1530,2,FALSE),"")</f>
        <v>4170000</v>
      </c>
      <c r="P382" s="50">
        <f>IFERROR(VLOOKUP($B382,Data!$B$3:$D1530,3,FALSE),"")</f>
        <v>3560000</v>
      </c>
      <c r="Q382" s="48">
        <f t="shared" si="2"/>
        <v>0.1713483146</v>
      </c>
      <c r="R382" s="48"/>
      <c r="S382" s="48"/>
      <c r="T382" s="48"/>
      <c r="U382" s="48"/>
      <c r="V382" s="48"/>
      <c r="W382" s="50"/>
      <c r="Z382" s="12"/>
      <c r="AA382" s="12"/>
    </row>
    <row r="383">
      <c r="A383" s="9">
        <f t="shared" si="1"/>
        <v>380</v>
      </c>
      <c r="B383" s="47" t="s">
        <v>516</v>
      </c>
      <c r="C383" s="48">
        <f>IFERROR(DIVIDE(VLOOKUP($B383,Data!$B$3:$AB$1535,9,FALSE),VLOOKUP($B383,Data!$B$3:$AB$1535,4,FALSE)),"")</f>
        <v>0.2698133597</v>
      </c>
      <c r="D383" s="48">
        <f>IFERROR(DIVIDE(VLOOKUP($B383,Data!$B$3:$AB$1535,24,FALSE),VLOOKUP($B383,Data!$B$3:$AB$1535,4,FALSE)),"")</f>
        <v>0.04212685679</v>
      </c>
      <c r="E383" s="48">
        <f>IFERROR(DIVIDE(VLOOKUP($B383,Data!$B$3:$EZ1530,29,FALSE),VLOOKUP($B383,Data!$B$3:$EZ1530,4,FALSE)),"")</f>
        <v>0.03500192318</v>
      </c>
      <c r="F383" s="48">
        <f>IFERROR(DIVIDE(VLOOKUP($B383,Data!$B$3:$EZ1530,34,FALSE),VLOOKUP($B383,Data!$B$3:$EZ1530,4,FALSE)),"")</f>
        <v>0.1170577138</v>
      </c>
      <c r="G383" s="48">
        <f>IFERROR(DIVIDE(VLOOKUP($B383,Data!$B$3:$EZ1530,39,FALSE),VLOOKUP($B383,Data!$B$3:$EZ1530,4,FALSE)),"")</f>
        <v>0.02355440775</v>
      </c>
      <c r="H383" s="48">
        <f>IFERROR(DIVIDE(VLOOKUP($B383,Data!$B$3:$EZ1530,44,FALSE),VLOOKUP($B383,Data!$B$3:$EZ1530,4,FALSE)),"")</f>
        <v>0.1473524186</v>
      </c>
      <c r="I383" s="48">
        <f>IFERROR(MINUS(DIVIDE(VLOOKUP($B383,Data!$B$3:$EZ1530,9,FALSE),VLOOKUP($B383,Data!$B$3:$EZ1530,10,FALSE)),1),"")</f>
        <v>-0.1053686384</v>
      </c>
      <c r="J383" s="48">
        <f>IFERROR(MINUS(DIVIDE(VLOOKUP($B383,Data!$B$3:$EZ1530,24,FALSE),VLOOKUP($B383,Data!$B$3:$EZ1530,25,FALSE)),1),"")</f>
        <v>-0.3268949371</v>
      </c>
      <c r="K383" s="48">
        <f>IFERROR(MINUS(DIVIDE(VLOOKUP($B383,Data!$B$3:$EZ1530,29,FALSE),VLOOKUP($B383,Data!$B$3:$EZ1530,30,FALSE)),1),"")</f>
        <v>-0.3439752832</v>
      </c>
      <c r="L383" s="48">
        <f>IFERROR(MINUS(DIVIDE(VLOOKUP($B383,Data!$B$3:$EZ1530,34,FALSE),VLOOKUP($B383,Data!$B$3:$EZ1530,35,FALSE)),1),"")</f>
        <v>-0.1105080028</v>
      </c>
      <c r="M383" s="48">
        <f>IFERROR(MINUS(DIVIDE(VLOOKUP($B383,Data!$B$3:$EZ1530,39,FALSE),VLOOKUP($B383,Data!$B$3:$EZ1530,40,FALSE)),1),"")</f>
        <v>-0.4731667349</v>
      </c>
      <c r="N383" s="48">
        <f>IFERROR(MINUS(DIVIDE(VLOOKUP($B383,Data!$B$3:$EZ1530,44,FALSE),VLOOKUP($B383,Data!$B$3:$EZ1530,45,FALSE)),1),"")</f>
        <v>4.476514636</v>
      </c>
      <c r="O383" s="50">
        <f>IFERROR(VLOOKUP($B383,Data!$B$3:$D1530,2,FALSE),"")</f>
        <v>524540</v>
      </c>
      <c r="P383" s="50">
        <f>IFERROR(VLOOKUP($B383,Data!$B$3:$D1530,3,FALSE),"")</f>
        <v>465360</v>
      </c>
      <c r="Q383" s="48">
        <f t="shared" si="2"/>
        <v>0.1271703627</v>
      </c>
      <c r="R383" s="48"/>
      <c r="S383" s="48"/>
      <c r="T383" s="48"/>
      <c r="U383" s="48"/>
      <c r="V383" s="48"/>
      <c r="W383" s="50"/>
      <c r="Z383" s="11"/>
      <c r="AA383" s="11"/>
    </row>
    <row r="384">
      <c r="A384" s="9">
        <f t="shared" si="1"/>
        <v>381</v>
      </c>
      <c r="B384" s="47" t="s">
        <v>517</v>
      </c>
      <c r="C384" s="48">
        <f>IFERROR(DIVIDE(VLOOKUP($B384,Data!$B$3:$AB$1535,9,FALSE),VLOOKUP($B384,Data!$B$3:$AB$1535,4,FALSE)),"")</f>
        <v>0.8573356468</v>
      </c>
      <c r="D384" s="48">
        <f>IFERROR(DIVIDE(VLOOKUP($B384,Data!$B$3:$AB$1535,24,FALSE),VLOOKUP($B384,Data!$B$3:$AB$1535,4,FALSE)),"")</f>
        <v>0.1852708695</v>
      </c>
      <c r="E384" s="48">
        <f>IFERROR(DIVIDE(VLOOKUP($B384,Data!$B$3:$EZ1530,29,FALSE),VLOOKUP($B384,Data!$B$3:$EZ1530,4,FALSE)),"")</f>
        <v>0.1031424716</v>
      </c>
      <c r="F384" s="48">
        <f>IFERROR(DIVIDE(VLOOKUP($B384,Data!$B$3:$EZ1530,34,FALSE),VLOOKUP($B384,Data!$B$3:$EZ1530,4,FALSE)),"")</f>
        <v>0.1482552535</v>
      </c>
      <c r="G384" s="48">
        <f>IFERROR(DIVIDE(VLOOKUP($B384,Data!$B$3:$EZ1530,39,FALSE),VLOOKUP($B384,Data!$B$3:$EZ1530,4,FALSE)),"")</f>
        <v>0.1017929439</v>
      </c>
      <c r="H384" s="48">
        <f>IFERROR(DIVIDE(VLOOKUP($B384,Data!$B$3:$EZ1530,44,FALSE),VLOOKUP($B384,Data!$B$3:$EZ1530,4,FALSE)),"")</f>
        <v>0.1353383459</v>
      </c>
      <c r="I384" s="48">
        <f>IFERROR(MINUS(DIVIDE(VLOOKUP($B384,Data!$B$3:$EZ1530,9,FALSE),VLOOKUP($B384,Data!$B$3:$EZ1530,10,FALSE)),1),"")</f>
        <v>1.566070398</v>
      </c>
      <c r="J384" s="48" t="str">
        <f>IFERROR(MINUS(DIVIDE(VLOOKUP($B384,Data!$B$3:$EZ1530,24,FALSE),VLOOKUP($B384,Data!$B$3:$EZ1530,25,FALSE)),1),"")</f>
        <v/>
      </c>
      <c r="K384" s="48">
        <f>IFERROR(MINUS(DIVIDE(VLOOKUP($B384,Data!$B$3:$EZ1530,29,FALSE),VLOOKUP($B384,Data!$B$3:$EZ1530,30,FALSE)),1),"")</f>
        <v>-1.841194969</v>
      </c>
      <c r="L384" s="48">
        <f>IFERROR(MINUS(DIVIDE(VLOOKUP($B384,Data!$B$3:$EZ1530,34,FALSE),VLOOKUP($B384,Data!$B$3:$EZ1530,35,FALSE)),1),"")</f>
        <v>-3.190883191</v>
      </c>
      <c r="M384" s="48">
        <f>IFERROR(MINUS(DIVIDE(VLOOKUP($B384,Data!$B$3:$EZ1530,39,FALSE),VLOOKUP($B384,Data!$B$3:$EZ1530,40,FALSE)),1),"")</f>
        <v>-1.8288854</v>
      </c>
      <c r="N384" s="48">
        <f>IFERROR(MINUS(DIVIDE(VLOOKUP($B384,Data!$B$3:$EZ1530,44,FALSE),VLOOKUP($B384,Data!$B$3:$EZ1530,45,FALSE)),1),"")</f>
        <v>-1.571196094</v>
      </c>
      <c r="O384" s="50">
        <f>IFERROR(VLOOKUP($B384,Data!$B$3:$D1530,2,FALSE),"")</f>
        <v>83260</v>
      </c>
      <c r="P384" s="50">
        <f>IFERROR(VLOOKUP($B384,Data!$B$3:$D1530,3,FALSE),"")</f>
        <v>62660</v>
      </c>
      <c r="Q384" s="48">
        <f t="shared" si="2"/>
        <v>0.3287583786</v>
      </c>
      <c r="R384" s="48"/>
      <c r="S384" s="48"/>
      <c r="T384" s="48"/>
      <c r="U384" s="48"/>
      <c r="V384" s="48"/>
      <c r="W384" s="50"/>
      <c r="Z384" s="15"/>
      <c r="AA384" s="15"/>
    </row>
    <row r="385">
      <c r="A385" s="9">
        <f t="shared" si="1"/>
        <v>382</v>
      </c>
      <c r="B385" s="47" t="s">
        <v>518</v>
      </c>
      <c r="C385" s="48">
        <f>IFERROR(DIVIDE(VLOOKUP($B385,Data!$B$3:$AB$1535,9,FALSE),VLOOKUP($B385,Data!$B$3:$AB$1535,4,FALSE)),"")</f>
        <v>0.09871709531</v>
      </c>
      <c r="D385" s="48">
        <f>IFERROR(DIVIDE(VLOOKUP($B385,Data!$B$3:$AB$1535,24,FALSE),VLOOKUP($B385,Data!$B$3:$AB$1535,4,FALSE)),"")</f>
        <v>0.05418456884</v>
      </c>
      <c r="E385" s="48">
        <f>IFERROR(DIVIDE(VLOOKUP($B385,Data!$B$3:$EZ1530,29,FALSE),VLOOKUP($B385,Data!$B$3:$EZ1530,4,FALSE)),"")</f>
        <v>0.01354614221</v>
      </c>
      <c r="F385" s="48">
        <f>IFERROR(DIVIDE(VLOOKUP($B385,Data!$B$3:$EZ1530,34,FALSE),VLOOKUP($B385,Data!$B$3:$EZ1530,4,FALSE)),"")</f>
        <v>0.0912677761</v>
      </c>
      <c r="G385" s="48">
        <f>IFERROR(DIVIDE(VLOOKUP($B385,Data!$B$3:$EZ1530,39,FALSE),VLOOKUP($B385,Data!$B$3:$EZ1530,4,FALSE)),"")</f>
        <v>0.009990922844</v>
      </c>
      <c r="H385" s="48">
        <f>IFERROR(DIVIDE(VLOOKUP($B385,Data!$B$3:$EZ1530,44,FALSE),VLOOKUP($B385,Data!$B$3:$EZ1530,4,FALSE)),"")</f>
        <v>0.07568835098</v>
      </c>
      <c r="I385" s="48">
        <f>IFERROR(MINUS(DIVIDE(VLOOKUP($B385,Data!$B$3:$EZ1530,9,FALSE),VLOOKUP($B385,Data!$B$3:$EZ1530,10,FALSE)),1),"")</f>
        <v>0.05352212732</v>
      </c>
      <c r="J385" s="48">
        <f>IFERROR(MINUS(DIVIDE(VLOOKUP($B385,Data!$B$3:$EZ1530,24,FALSE),VLOOKUP($B385,Data!$B$3:$EZ1530,25,FALSE)),1),"")</f>
        <v>0.5649058417</v>
      </c>
      <c r="K385" s="48">
        <f>IFERROR(MINUS(DIVIDE(VLOOKUP($B385,Data!$B$3:$EZ1530,29,FALSE),VLOOKUP($B385,Data!$B$3:$EZ1530,30,FALSE)),1),"")</f>
        <v>-0.7023667066</v>
      </c>
      <c r="L385" s="48">
        <f>IFERROR(MINUS(DIVIDE(VLOOKUP($B385,Data!$B$3:$EZ1530,34,FALSE),VLOOKUP($B385,Data!$B$3:$EZ1530,35,FALSE)),1),"")</f>
        <v>0.141430004</v>
      </c>
      <c r="M385" s="48">
        <f>IFERROR(MINUS(DIVIDE(VLOOKUP($B385,Data!$B$3:$EZ1530,39,FALSE),VLOOKUP($B385,Data!$B$3:$EZ1530,40,FALSE)),1),"")</f>
        <v>-0.7022408585</v>
      </c>
      <c r="N385" s="48">
        <f>IFERROR(MINUS(DIVIDE(VLOOKUP($B385,Data!$B$3:$EZ1530,44,FALSE),VLOOKUP($B385,Data!$B$3:$EZ1530,45,FALSE)),1),"")</f>
        <v>5.425635756</v>
      </c>
      <c r="O385" s="50">
        <f>IFERROR(VLOOKUP($B385,Data!$B$3:$D1530,2,FALSE),"")</f>
        <v>5260000</v>
      </c>
      <c r="P385" s="50">
        <f>IFERROR(VLOOKUP($B385,Data!$B$3:$D1530,3,FALSE),"")</f>
        <v>5040000</v>
      </c>
      <c r="Q385" s="48">
        <f t="shared" si="2"/>
        <v>0.04365079365</v>
      </c>
      <c r="R385" s="48"/>
      <c r="S385" s="48"/>
      <c r="T385" s="48"/>
      <c r="U385" s="48"/>
      <c r="V385" s="48"/>
      <c r="W385" s="50"/>
      <c r="Z385" s="11"/>
      <c r="AA385" s="11"/>
    </row>
    <row r="386">
      <c r="A386" s="9">
        <f t="shared" si="1"/>
        <v>383</v>
      </c>
      <c r="B386" s="47" t="s">
        <v>519</v>
      </c>
      <c r="C386" s="48">
        <f>IFERROR(DIVIDE(VLOOKUP($B386,Data!$B$3:$AB$1535,9,FALSE),VLOOKUP($B386,Data!$B$3:$AB$1535,4,FALSE)),"")</f>
        <v>0.4061976549</v>
      </c>
      <c r="D386" s="48">
        <f>IFERROR(DIVIDE(VLOOKUP($B386,Data!$B$3:$AB$1535,24,FALSE),VLOOKUP($B386,Data!$B$3:$AB$1535,4,FALSE)),"")</f>
        <v>0.3944723618</v>
      </c>
      <c r="E386" s="48">
        <f>IFERROR(DIVIDE(VLOOKUP($B386,Data!$B$3:$EZ1530,29,FALSE),VLOOKUP($B386,Data!$B$3:$EZ1530,4,FALSE)),"")</f>
        <v>0.3618090452</v>
      </c>
      <c r="F386" s="48">
        <f>IFERROR(DIVIDE(VLOOKUP($B386,Data!$B$3:$EZ1530,34,FALSE),VLOOKUP($B386,Data!$B$3:$EZ1530,4,FALSE)),"")</f>
        <v>0.5100502513</v>
      </c>
      <c r="G386" s="48">
        <f>IFERROR(DIVIDE(VLOOKUP($B386,Data!$B$3:$EZ1530,39,FALSE),VLOOKUP($B386,Data!$B$3:$EZ1530,4,FALSE)),"")</f>
        <v>0.2788944724</v>
      </c>
      <c r="H386" s="48">
        <f>IFERROR(DIVIDE(VLOOKUP($B386,Data!$B$3:$EZ1530,44,FALSE),VLOOKUP($B386,Data!$B$3:$EZ1530,4,FALSE)),"")</f>
        <v>0.4061976549</v>
      </c>
      <c r="I386" s="48">
        <f>IFERROR(MINUS(DIVIDE(VLOOKUP($B386,Data!$B$3:$EZ1530,9,FALSE),VLOOKUP($B386,Data!$B$3:$EZ1530,10,FALSE)),1),"")</f>
        <v>0.02320675105</v>
      </c>
      <c r="J386" s="48">
        <f>IFERROR(MINUS(DIVIDE(VLOOKUP($B386,Data!$B$3:$EZ1530,24,FALSE),VLOOKUP($B386,Data!$B$3:$EZ1530,25,FALSE)),1),"")</f>
        <v>0.01948051948</v>
      </c>
      <c r="K386" s="48">
        <f>IFERROR(MINUS(DIVIDE(VLOOKUP($B386,Data!$B$3:$EZ1530,29,FALSE),VLOOKUP($B386,Data!$B$3:$EZ1530,30,FALSE)),1),"")</f>
        <v>0.004651162791</v>
      </c>
      <c r="L386" s="48">
        <f>IFERROR(MINUS(DIVIDE(VLOOKUP($B386,Data!$B$3:$EZ1530,34,FALSE),VLOOKUP($B386,Data!$B$3:$EZ1530,35,FALSE)),1),"")</f>
        <v>0.02010050251</v>
      </c>
      <c r="M386" s="48">
        <f>IFERROR(MINUS(DIVIDE(VLOOKUP($B386,Data!$B$3:$EZ1530,39,FALSE),VLOOKUP($B386,Data!$B$3:$EZ1530,40,FALSE)),1),"")</f>
        <v>0.006042296073</v>
      </c>
      <c r="N386" s="48">
        <f>IFERROR(MINUS(DIVIDE(VLOOKUP($B386,Data!$B$3:$EZ1530,44,FALSE),VLOOKUP($B386,Data!$B$3:$EZ1530,45,FALSE)),1),"")</f>
        <v>0.04525862069</v>
      </c>
      <c r="O386" s="50">
        <f>IFERROR(VLOOKUP($B386,Data!$B$3:$D1530,2,FALSE),"")</f>
        <v>11240000</v>
      </c>
      <c r="P386" s="50">
        <f>IFERROR(VLOOKUP($B386,Data!$B$3:$D1530,3,FALSE),"")</f>
        <v>10470000</v>
      </c>
      <c r="Q386" s="48">
        <f t="shared" si="2"/>
        <v>0.0735434575</v>
      </c>
      <c r="R386" s="48"/>
      <c r="S386" s="48"/>
      <c r="T386" s="48"/>
      <c r="U386" s="48"/>
      <c r="V386" s="48"/>
      <c r="W386" s="50"/>
      <c r="Z386" s="11"/>
      <c r="AA386" s="11"/>
    </row>
    <row r="387">
      <c r="A387" s="9">
        <f t="shared" si="1"/>
        <v>384</v>
      </c>
      <c r="B387" s="47" t="s">
        <v>520</v>
      </c>
      <c r="C387" s="48">
        <f>IFERROR(DIVIDE(VLOOKUP($B387,Data!$B$3:$AB$1535,9,FALSE),VLOOKUP($B387,Data!$B$3:$AB$1535,4,FALSE)),"")</f>
        <v>0.1972872727</v>
      </c>
      <c r="D387" s="48">
        <f>IFERROR(DIVIDE(VLOOKUP($B387,Data!$B$3:$AB$1535,24,FALSE),VLOOKUP($B387,Data!$B$3:$AB$1535,4,FALSE)),"")</f>
        <v>0.06210545455</v>
      </c>
      <c r="E387" s="48">
        <f>IFERROR(DIVIDE(VLOOKUP($B387,Data!$B$3:$EZ1530,29,FALSE),VLOOKUP($B387,Data!$B$3:$EZ1530,4,FALSE)),"")</f>
        <v>0.03988</v>
      </c>
      <c r="F387" s="48">
        <f>IFERROR(DIVIDE(VLOOKUP($B387,Data!$B$3:$EZ1530,34,FALSE),VLOOKUP($B387,Data!$B$3:$EZ1530,4,FALSE)),"")</f>
        <v>0.1347818182</v>
      </c>
      <c r="G387" s="48">
        <f>IFERROR(DIVIDE(VLOOKUP($B387,Data!$B$3:$EZ1530,39,FALSE),VLOOKUP($B387,Data!$B$3:$EZ1530,4,FALSE)),"")</f>
        <v>0.03505454545</v>
      </c>
      <c r="H387" s="48">
        <f>IFERROR(DIVIDE(VLOOKUP($B387,Data!$B$3:$EZ1530,44,FALSE),VLOOKUP($B387,Data!$B$3:$EZ1530,4,FALSE)),"")</f>
        <v>0.1048690909</v>
      </c>
      <c r="I387" s="48">
        <f>IFERROR(MINUS(DIVIDE(VLOOKUP($B387,Data!$B$3:$EZ1530,9,FALSE),VLOOKUP($B387,Data!$B$3:$EZ1530,10,FALSE)),1),"")</f>
        <v>0.02870686386</v>
      </c>
      <c r="J387" s="48">
        <f>IFERROR(MINUS(DIVIDE(VLOOKUP($B387,Data!$B$3:$EZ1530,24,FALSE),VLOOKUP($B387,Data!$B$3:$EZ1530,25,FALSE)),1),"")</f>
        <v>0.01503625342</v>
      </c>
      <c r="K387" s="48">
        <f>IFERROR(MINUS(DIVIDE(VLOOKUP($B387,Data!$B$3:$EZ1530,29,FALSE),VLOOKUP($B387,Data!$B$3:$EZ1530,30,FALSE)),1),"")</f>
        <v>-0.03848851482</v>
      </c>
      <c r="L387" s="48">
        <f>IFERROR(MINUS(DIVIDE(VLOOKUP($B387,Data!$B$3:$EZ1530,34,FALSE),VLOOKUP($B387,Data!$B$3:$EZ1530,35,FALSE)),1),"")</f>
        <v>0.01176502702</v>
      </c>
      <c r="M387" s="48">
        <f>IFERROR(MINUS(DIVIDE(VLOOKUP($B387,Data!$B$3:$EZ1530,39,FALSE),VLOOKUP($B387,Data!$B$3:$EZ1530,40,FALSE)),1),"")</f>
        <v>0.2586499543</v>
      </c>
      <c r="N387" s="48">
        <f>IFERROR(MINUS(DIVIDE(VLOOKUP($B387,Data!$B$3:$EZ1530,44,FALSE),VLOOKUP($B387,Data!$B$3:$EZ1530,45,FALSE)),1),"")</f>
        <v>0.1395661279</v>
      </c>
      <c r="O387" s="50">
        <f>IFERROR(VLOOKUP($B387,Data!$B$3:$D1530,2,FALSE),"")</f>
        <v>2600000</v>
      </c>
      <c r="P387" s="50">
        <f>IFERROR(VLOOKUP($B387,Data!$B$3:$D1530,3,FALSE),"")</f>
        <v>2390000</v>
      </c>
      <c r="Q387" s="48">
        <f t="shared" si="2"/>
        <v>0.08786610879</v>
      </c>
      <c r="R387" s="48"/>
      <c r="S387" s="48"/>
      <c r="T387" s="48"/>
      <c r="U387" s="48"/>
      <c r="V387" s="48"/>
      <c r="W387" s="50"/>
      <c r="Z387" s="15"/>
      <c r="AA387" s="15"/>
    </row>
    <row r="388">
      <c r="A388" s="9">
        <f t="shared" si="1"/>
        <v>385</v>
      </c>
      <c r="B388" s="47" t="s">
        <v>521</v>
      </c>
      <c r="C388" s="48">
        <f>IFERROR(DIVIDE(VLOOKUP($B388,Data!$B$3:$AB$1535,9,FALSE),VLOOKUP($B388,Data!$B$3:$AB$1535,4,FALSE)),"")</f>
        <v>0.3398015873</v>
      </c>
      <c r="D388" s="48">
        <f>IFERROR(DIVIDE(VLOOKUP($B388,Data!$B$3:$AB$1535,24,FALSE),VLOOKUP($B388,Data!$B$3:$AB$1535,4,FALSE)),"")</f>
        <v>0.1075396825</v>
      </c>
      <c r="E388" s="48">
        <f>IFERROR(DIVIDE(VLOOKUP($B388,Data!$B$3:$EZ1530,29,FALSE),VLOOKUP($B388,Data!$B$3:$EZ1530,4,FALSE)),"")</f>
        <v>0.06361111111</v>
      </c>
      <c r="F388" s="48">
        <f>IFERROR(DIVIDE(VLOOKUP($B388,Data!$B$3:$EZ1530,34,FALSE),VLOOKUP($B388,Data!$B$3:$EZ1530,4,FALSE)),"")</f>
        <v>0.2148412698</v>
      </c>
      <c r="G388" s="48">
        <f>IFERROR(DIVIDE(VLOOKUP($B388,Data!$B$3:$EZ1530,39,FALSE),VLOOKUP($B388,Data!$B$3:$EZ1530,4,FALSE)),"")</f>
        <v>0.05238095238</v>
      </c>
      <c r="H388" s="48">
        <f>IFERROR(DIVIDE(VLOOKUP($B388,Data!$B$3:$EZ1530,44,FALSE),VLOOKUP($B388,Data!$B$3:$EZ1530,4,FALSE)),"")</f>
        <v>0.09829365079</v>
      </c>
      <c r="I388" s="48">
        <f>IFERROR(MINUS(DIVIDE(VLOOKUP($B388,Data!$B$3:$EZ1530,9,FALSE),VLOOKUP($B388,Data!$B$3:$EZ1530,10,FALSE)),1),"")</f>
        <v>0.07198297446</v>
      </c>
      <c r="J388" s="48">
        <f>IFERROR(MINUS(DIVIDE(VLOOKUP($B388,Data!$B$3:$EZ1530,24,FALSE),VLOOKUP($B388,Data!$B$3:$EZ1530,25,FALSE)),1),"")</f>
        <v>-9.827361564</v>
      </c>
      <c r="K388" s="48">
        <f>IFERROR(MINUS(DIVIDE(VLOOKUP($B388,Data!$B$3:$EZ1530,29,FALSE),VLOOKUP($B388,Data!$B$3:$EZ1530,30,FALSE)),1),"")</f>
        <v>0.05460526316</v>
      </c>
      <c r="L388" s="48">
        <f>IFERROR(MINUS(DIVIDE(VLOOKUP($B388,Data!$B$3:$EZ1530,34,FALSE),VLOOKUP($B388,Data!$B$3:$EZ1530,35,FALSE)),1),"")</f>
        <v>0.132872986</v>
      </c>
      <c r="M388" s="48">
        <f>IFERROR(MINUS(DIVIDE(VLOOKUP($B388,Data!$B$3:$EZ1530,39,FALSE),VLOOKUP($B388,Data!$B$3:$EZ1530,40,FALSE)),1),"")</f>
        <v>0.5789473684</v>
      </c>
      <c r="N388" s="48">
        <f>IFERROR(MINUS(DIVIDE(VLOOKUP($B388,Data!$B$3:$EZ1530,44,FALSE),VLOOKUP($B388,Data!$B$3:$EZ1530,45,FALSE)),1),"")</f>
        <v>-0.3385847797</v>
      </c>
      <c r="O388" s="50">
        <f>IFERROR(VLOOKUP($B388,Data!$B$3:$D1530,2,FALSE),"")</f>
        <v>3190000</v>
      </c>
      <c r="P388" s="50">
        <f>IFERROR(VLOOKUP($B388,Data!$B$3:$D1530,3,FALSE),"")</f>
        <v>2920000</v>
      </c>
      <c r="Q388" s="48">
        <f t="shared" si="2"/>
        <v>0.09246575342</v>
      </c>
      <c r="R388" s="48"/>
      <c r="S388" s="48"/>
      <c r="T388" s="48"/>
      <c r="U388" s="48"/>
      <c r="V388" s="48"/>
      <c r="W388" s="50"/>
      <c r="Z388" s="11"/>
      <c r="AA388" s="11"/>
    </row>
    <row r="389">
      <c r="A389" s="9">
        <f t="shared" si="1"/>
        <v>386</v>
      </c>
      <c r="B389" s="47" t="s">
        <v>522</v>
      </c>
      <c r="C389" s="48">
        <f>IFERROR(DIVIDE(VLOOKUP($B389,Data!$B$3:$AB$1535,9,FALSE),VLOOKUP($B389,Data!$B$3:$AB$1535,4,FALSE)),"")</f>
        <v>0</v>
      </c>
      <c r="D389" s="48">
        <f>IFERROR(DIVIDE(VLOOKUP($B389,Data!$B$3:$AB$1535,24,FALSE),VLOOKUP($B389,Data!$B$3:$AB$1535,4,FALSE)),"")</f>
        <v>0</v>
      </c>
      <c r="E389" s="48">
        <f>IFERROR(DIVIDE(VLOOKUP($B389,Data!$B$3:$EZ1530,29,FALSE),VLOOKUP($B389,Data!$B$3:$EZ1530,4,FALSE)),"")</f>
        <v>-1.785875804</v>
      </c>
      <c r="F389" s="48">
        <f>IFERROR(DIVIDE(VLOOKUP($B389,Data!$B$3:$EZ1530,34,FALSE),VLOOKUP($B389,Data!$B$3:$EZ1530,4,FALSE)),"")</f>
        <v>-1.883631936</v>
      </c>
      <c r="G389" s="48">
        <f>IFERROR(DIVIDE(VLOOKUP($B389,Data!$B$3:$EZ1530,39,FALSE),VLOOKUP($B389,Data!$B$3:$EZ1530,4,FALSE)),"")</f>
        <v>-1.778396243</v>
      </c>
      <c r="H389" s="48">
        <f>IFERROR(DIVIDE(VLOOKUP($B389,Data!$B$3:$EZ1530,44,FALSE),VLOOKUP($B389,Data!$B$3:$EZ1530,4,FALSE)),"")</f>
        <v>-2.443555401</v>
      </c>
      <c r="I389" s="48" t="str">
        <f>IFERROR(MINUS(DIVIDE(VLOOKUP($B389,Data!$B$3:$EZ1530,9,FALSE),VLOOKUP($B389,Data!$B$3:$EZ1530,10,FALSE)),1),"")</f>
        <v/>
      </c>
      <c r="J389" s="48" t="str">
        <f>IFERROR(MINUS(DIVIDE(VLOOKUP($B389,Data!$B$3:$EZ1530,24,FALSE),VLOOKUP($B389,Data!$B$3:$EZ1530,25,FALSE)),1),"")</f>
        <v/>
      </c>
      <c r="K389" s="48">
        <f>IFERROR(MINUS(DIVIDE(VLOOKUP($B389,Data!$B$3:$EZ1530,29,FALSE),VLOOKUP($B389,Data!$B$3:$EZ1530,30,FALSE)),1),"")</f>
        <v>0.460455192</v>
      </c>
      <c r="L389" s="48">
        <f>IFERROR(MINUS(DIVIDE(VLOOKUP($B389,Data!$B$3:$EZ1530,34,FALSE),VLOOKUP($B389,Data!$B$3:$EZ1530,35,FALSE)),1),"")</f>
        <v>0.4250559284</v>
      </c>
      <c r="M389" s="48">
        <f>IFERROR(MINUS(DIVIDE(VLOOKUP($B389,Data!$B$3:$EZ1530,39,FALSE),VLOOKUP($B389,Data!$B$3:$EZ1530,40,FALSE)),1),"")</f>
        <v>0.2085106383</v>
      </c>
      <c r="N389" s="48">
        <f>IFERROR(MINUS(DIVIDE(VLOOKUP($B389,Data!$B$3:$EZ1530,44,FALSE),VLOOKUP($B389,Data!$B$3:$EZ1530,45,FALSE)),1),"")</f>
        <v>0.8601694915</v>
      </c>
      <c r="O389" s="50">
        <f>IFERROR(VLOOKUP($B389,Data!$B$3:$D1530,2,FALSE),"")</f>
        <v>69080</v>
      </c>
      <c r="P389" s="50">
        <f>IFERROR(VLOOKUP($B389,Data!$B$3:$D1530,3,FALSE),"")</f>
        <v>98930</v>
      </c>
      <c r="Q389" s="48">
        <f t="shared" si="2"/>
        <v>-0.3017284949</v>
      </c>
      <c r="R389" s="48"/>
      <c r="S389" s="48"/>
      <c r="T389" s="48"/>
      <c r="U389" s="48"/>
      <c r="V389" s="48"/>
      <c r="W389" s="50"/>
      <c r="Z389" s="15"/>
      <c r="AA389" s="15"/>
    </row>
    <row r="390">
      <c r="A390" s="9">
        <f t="shared" si="1"/>
        <v>387</v>
      </c>
      <c r="B390" s="47" t="s">
        <v>523</v>
      </c>
      <c r="C390" s="48">
        <f>IFERROR(DIVIDE(VLOOKUP($B390,Data!$B$3:$AB$1535,9,FALSE),VLOOKUP($B390,Data!$B$3:$AB$1535,4,FALSE)),"")</f>
        <v>0.3563618227</v>
      </c>
      <c r="D390" s="48">
        <f>IFERROR(DIVIDE(VLOOKUP($B390,Data!$B$3:$AB$1535,24,FALSE),VLOOKUP($B390,Data!$B$3:$AB$1535,4,FALSE)),"")</f>
        <v>0.0237233512</v>
      </c>
      <c r="E390" s="48">
        <f>IFERROR(DIVIDE(VLOOKUP($B390,Data!$B$3:$EZ1530,29,FALSE),VLOOKUP($B390,Data!$B$3:$EZ1530,4,FALSE)),"")</f>
        <v>0.02553937053</v>
      </c>
      <c r="F390" s="48">
        <f>IFERROR(DIVIDE(VLOOKUP($B390,Data!$B$3:$EZ1530,34,FALSE),VLOOKUP($B390,Data!$B$3:$EZ1530,4,FALSE)),"")</f>
        <v>0.1061731869</v>
      </c>
      <c r="G390" s="48">
        <f>IFERROR(DIVIDE(VLOOKUP($B390,Data!$B$3:$EZ1530,39,FALSE),VLOOKUP($B390,Data!$B$3:$EZ1530,4,FALSE)),"")</f>
        <v>0.02110163314</v>
      </c>
      <c r="H390" s="48">
        <f>IFERROR(DIVIDE(VLOOKUP($B390,Data!$B$3:$EZ1530,44,FALSE),VLOOKUP($B390,Data!$B$3:$EZ1530,4,FALSE)),"")</f>
        <v>0.05449336897</v>
      </c>
      <c r="I390" s="48">
        <f>IFERROR(MINUS(DIVIDE(VLOOKUP($B390,Data!$B$3:$EZ1530,9,FALSE),VLOOKUP($B390,Data!$B$3:$EZ1530,10,FALSE)),1),"")</f>
        <v>0.01571043231</v>
      </c>
      <c r="J390" s="48">
        <f>IFERROR(MINUS(DIVIDE(VLOOKUP($B390,Data!$B$3:$EZ1530,24,FALSE),VLOOKUP($B390,Data!$B$3:$EZ1530,25,FALSE)),1),"")</f>
        <v>-0.2618384401</v>
      </c>
      <c r="K390" s="48">
        <f>IFERROR(MINUS(DIVIDE(VLOOKUP($B390,Data!$B$3:$EZ1530,29,FALSE),VLOOKUP($B390,Data!$B$3:$EZ1530,30,FALSE)),1),"")</f>
        <v>-0.2415495632</v>
      </c>
      <c r="L390" s="48">
        <f>IFERROR(MINUS(DIVIDE(VLOOKUP($B390,Data!$B$3:$EZ1530,34,FALSE),VLOOKUP($B390,Data!$B$3:$EZ1530,35,FALSE)),1),"")</f>
        <v>0.8330757342</v>
      </c>
      <c r="M390" s="48">
        <f>IFERROR(MINUS(DIVIDE(VLOOKUP($B390,Data!$B$3:$EZ1530,39,FALSE),VLOOKUP($B390,Data!$B$3:$EZ1530,40,FALSE)),1),"")</f>
        <v>-0.2278895648</v>
      </c>
      <c r="N390" s="48">
        <f>IFERROR(MINUS(DIVIDE(VLOOKUP($B390,Data!$B$3:$EZ1530,44,FALSE),VLOOKUP($B390,Data!$B$3:$EZ1530,45,FALSE)),1),"")</f>
        <v>0.4011838211</v>
      </c>
      <c r="O390" s="50" t="str">
        <f>IFERROR(VLOOKUP($B390,Data!$B$3:$D1530,2,FALSE),"")</f>
        <v/>
      </c>
      <c r="P390" s="50">
        <f>IFERROR(VLOOKUP($B390,Data!$B$3:$D1530,3,FALSE),"")</f>
        <v>832920</v>
      </c>
      <c r="Q390" s="48">
        <f t="shared" si="2"/>
        <v>-1</v>
      </c>
      <c r="R390" s="48"/>
      <c r="S390" s="48"/>
      <c r="T390" s="48"/>
      <c r="U390" s="48"/>
      <c r="V390" s="48"/>
      <c r="W390" s="50"/>
      <c r="Z390" s="11"/>
      <c r="AA390" s="11"/>
    </row>
    <row r="391">
      <c r="A391" s="9">
        <f t="shared" si="1"/>
        <v>388</v>
      </c>
      <c r="B391" s="47" t="s">
        <v>524</v>
      </c>
      <c r="C391" s="48">
        <f>IFERROR(DIVIDE(VLOOKUP($B391,Data!$B$3:$AB$1535,9,FALSE),VLOOKUP($B391,Data!$B$3:$AB$1535,4,FALSE)),"")</f>
        <v>0</v>
      </c>
      <c r="D391" s="48">
        <f>IFERROR(DIVIDE(VLOOKUP($B391,Data!$B$3:$AB$1535,24,FALSE),VLOOKUP($B391,Data!$B$3:$AB$1535,4,FALSE)),"")</f>
        <v>0</v>
      </c>
      <c r="E391" s="48">
        <f>IFERROR(DIVIDE(VLOOKUP($B391,Data!$B$3:$EZ1530,29,FALSE),VLOOKUP($B391,Data!$B$3:$EZ1530,4,FALSE)),"")</f>
        <v>-10.48843931</v>
      </c>
      <c r="F391" s="48">
        <f>IFERROR(DIVIDE(VLOOKUP($B391,Data!$B$3:$EZ1530,34,FALSE),VLOOKUP($B391,Data!$B$3:$EZ1530,4,FALSE)),"")</f>
        <v>-9.078034682</v>
      </c>
      <c r="G391" s="48">
        <f>IFERROR(DIVIDE(VLOOKUP($B391,Data!$B$3:$EZ1530,39,FALSE),VLOOKUP($B391,Data!$B$3:$EZ1530,4,FALSE)),"")</f>
        <v>-10.60693642</v>
      </c>
      <c r="H391" s="48">
        <f>IFERROR(DIVIDE(VLOOKUP($B391,Data!$B$3:$EZ1530,44,FALSE),VLOOKUP($B391,Data!$B$3:$EZ1530,4,FALSE)),"")</f>
        <v>-7.664739884</v>
      </c>
      <c r="I391" s="48" t="str">
        <f>IFERROR(MINUS(DIVIDE(VLOOKUP($B391,Data!$B$3:$EZ1530,9,FALSE),VLOOKUP($B391,Data!$B$3:$EZ1530,10,FALSE)),1),"")</f>
        <v/>
      </c>
      <c r="J391" s="48" t="str">
        <f>IFERROR(MINUS(DIVIDE(VLOOKUP($B391,Data!$B$3:$EZ1530,24,FALSE),VLOOKUP($B391,Data!$B$3:$EZ1530,25,FALSE)),1),"")</f>
        <v/>
      </c>
      <c r="K391" s="48">
        <f>IFERROR(MINUS(DIVIDE(VLOOKUP($B391,Data!$B$3:$EZ1530,29,FALSE),VLOOKUP($B391,Data!$B$3:$EZ1530,30,FALSE)),1),"")</f>
        <v>-0.04900419287</v>
      </c>
      <c r="L391" s="48">
        <f>IFERROR(MINUS(DIVIDE(VLOOKUP($B391,Data!$B$3:$EZ1530,34,FALSE),VLOOKUP($B391,Data!$B$3:$EZ1530,35,FALSE)),1),"")</f>
        <v>-0.172113864</v>
      </c>
      <c r="M391" s="48">
        <f>IFERROR(MINUS(DIVIDE(VLOOKUP($B391,Data!$B$3:$EZ1530,39,FALSE),VLOOKUP($B391,Data!$B$3:$EZ1530,40,FALSE)),1),"")</f>
        <v>-0.05849153412</v>
      </c>
      <c r="N391" s="48">
        <f>IFERROR(MINUS(DIVIDE(VLOOKUP($B391,Data!$B$3:$EZ1530,44,FALSE),VLOOKUP($B391,Data!$B$3:$EZ1530,45,FALSE)),1),"")</f>
        <v>0.004165088981</v>
      </c>
      <c r="O391" s="50">
        <f>IFERROR(VLOOKUP($B391,Data!$B$3:$D1530,2,FALSE),"")</f>
        <v>12810</v>
      </c>
      <c r="P391" s="50">
        <f>IFERROR(VLOOKUP($B391,Data!$B$3:$D1530,3,FALSE),"")</f>
        <v>7690</v>
      </c>
      <c r="Q391" s="48">
        <f t="shared" si="2"/>
        <v>0.6657997399</v>
      </c>
      <c r="R391" s="48"/>
      <c r="S391" s="48"/>
      <c r="T391" s="48"/>
      <c r="U391" s="48"/>
      <c r="V391" s="48"/>
      <c r="W391" s="50"/>
      <c r="Z391" s="11"/>
      <c r="AA391" s="11"/>
    </row>
    <row r="392">
      <c r="A392" s="9">
        <f t="shared" si="1"/>
        <v>389</v>
      </c>
      <c r="B392" s="47" t="s">
        <v>525</v>
      </c>
      <c r="C392" s="48">
        <f>IFERROR(DIVIDE(VLOOKUP($B392,Data!$B$3:$AB$1535,9,FALSE),VLOOKUP($B392,Data!$B$3:$AB$1535,4,FALSE)),"")</f>
        <v>0.5241868912</v>
      </c>
      <c r="D392" s="48">
        <f>IFERROR(DIVIDE(VLOOKUP($B392,Data!$B$3:$AB$1535,24,FALSE),VLOOKUP($B392,Data!$B$3:$AB$1535,4,FALSE)),"")</f>
        <v>0</v>
      </c>
      <c r="E392" s="48">
        <f>IFERROR(DIVIDE(VLOOKUP($B392,Data!$B$3:$EZ1530,29,FALSE),VLOOKUP($B392,Data!$B$3:$EZ1530,4,FALSE)),"")</f>
        <v>-0.06747014474</v>
      </c>
      <c r="F392" s="48">
        <f>IFERROR(DIVIDE(VLOOKUP($B392,Data!$B$3:$EZ1530,34,FALSE),VLOOKUP($B392,Data!$B$3:$EZ1530,4,FALSE)),"")</f>
        <v>-0.04182488581</v>
      </c>
      <c r="G392" s="48">
        <f>IFERROR(DIVIDE(VLOOKUP($B392,Data!$B$3:$EZ1530,39,FALSE),VLOOKUP($B392,Data!$B$3:$EZ1530,4,FALSE)),"")</f>
        <v>-0.06796543944</v>
      </c>
      <c r="H392" s="48">
        <f>IFERROR(DIVIDE(VLOOKUP($B392,Data!$B$3:$EZ1530,44,FALSE),VLOOKUP($B392,Data!$B$3:$EZ1530,4,FALSE)),"")</f>
        <v>-0.01221726928</v>
      </c>
      <c r="I392" s="48">
        <f>IFERROR(MINUS(DIVIDE(VLOOKUP($B392,Data!$B$3:$EZ1530,9,FALSE),VLOOKUP($B392,Data!$B$3:$EZ1530,10,FALSE)),1),"")</f>
        <v>0.2126034373</v>
      </c>
      <c r="J392" s="48" t="str">
        <f>IFERROR(MINUS(DIVIDE(VLOOKUP($B392,Data!$B$3:$EZ1530,24,FALSE),VLOOKUP($B392,Data!$B$3:$EZ1530,25,FALSE)),1),"")</f>
        <v/>
      </c>
      <c r="K392" s="48">
        <f>IFERROR(MINUS(DIVIDE(VLOOKUP($B392,Data!$B$3:$EZ1530,29,FALSE),VLOOKUP($B392,Data!$B$3:$EZ1530,30,FALSE)),1),"")</f>
        <v>-0.09319526627</v>
      </c>
      <c r="L392" s="48">
        <f>IFERROR(MINUS(DIVIDE(VLOOKUP($B392,Data!$B$3:$EZ1530,34,FALSE),VLOOKUP($B392,Data!$B$3:$EZ1530,35,FALSE)),1),"")</f>
        <v>-0.2657004831</v>
      </c>
      <c r="M392" s="48">
        <f>IFERROR(MINUS(DIVIDE(VLOOKUP($B392,Data!$B$3:$EZ1530,39,FALSE),VLOOKUP($B392,Data!$B$3:$EZ1530,40,FALSE)),1),"")</f>
        <v>-0.5986350341</v>
      </c>
      <c r="N392" s="48">
        <f>IFERROR(MINUS(DIVIDE(VLOOKUP($B392,Data!$B$3:$EZ1530,44,FALSE),VLOOKUP($B392,Data!$B$3:$EZ1530,45,FALSE)),1),"")</f>
        <v>-8.207792208</v>
      </c>
      <c r="O392" s="50">
        <f>IFERROR(VLOOKUP($B392,Data!$B$3:$D1530,2,FALSE),"")</f>
        <v>174880</v>
      </c>
      <c r="P392" s="50">
        <f>IFERROR(VLOOKUP($B392,Data!$B$3:$D1530,3,FALSE),"")</f>
        <v>138670</v>
      </c>
      <c r="Q392" s="48">
        <f t="shared" si="2"/>
        <v>0.2611235307</v>
      </c>
      <c r="R392" s="48"/>
      <c r="S392" s="48"/>
      <c r="T392" s="48"/>
      <c r="U392" s="48"/>
      <c r="V392" s="48"/>
      <c r="W392" s="50"/>
      <c r="Z392" s="11"/>
      <c r="AA392" s="11"/>
    </row>
    <row r="393">
      <c r="A393" s="9">
        <f t="shared" si="1"/>
        <v>390</v>
      </c>
      <c r="B393" s="47" t="s">
        <v>526</v>
      </c>
      <c r="C393" s="48">
        <f>IFERROR(DIVIDE(VLOOKUP($B393,Data!$B$3:$AB$1535,9,FALSE),VLOOKUP($B393,Data!$B$3:$AB$1535,4,FALSE)),"")</f>
        <v>0.2174716981</v>
      </c>
      <c r="D393" s="48">
        <f>IFERROR(DIVIDE(VLOOKUP($B393,Data!$B$3:$AB$1535,24,FALSE),VLOOKUP($B393,Data!$B$3:$AB$1535,4,FALSE)),"")</f>
        <v>0.07796226415</v>
      </c>
      <c r="E393" s="48">
        <f>IFERROR(DIVIDE(VLOOKUP($B393,Data!$B$3:$EZ1530,29,FALSE),VLOOKUP($B393,Data!$B$3:$EZ1530,4,FALSE)),"")</f>
        <v>0.08771698113</v>
      </c>
      <c r="F393" s="48">
        <f>IFERROR(DIVIDE(VLOOKUP($B393,Data!$B$3:$EZ1530,34,FALSE),VLOOKUP($B393,Data!$B$3:$EZ1530,4,FALSE)),"")</f>
        <v>0.08555660377</v>
      </c>
      <c r="G393" s="48">
        <f>IFERROR(DIVIDE(VLOOKUP($B393,Data!$B$3:$EZ1530,39,FALSE),VLOOKUP($B393,Data!$B$3:$EZ1530,4,FALSE)),"")</f>
        <v>0.07082075472</v>
      </c>
      <c r="H393" s="48">
        <f>IFERROR(DIVIDE(VLOOKUP($B393,Data!$B$3:$EZ1530,44,FALSE),VLOOKUP($B393,Data!$B$3:$EZ1530,4,FALSE)),"")</f>
        <v>0.09598113208</v>
      </c>
      <c r="I393" s="48">
        <f>IFERROR(MINUS(DIVIDE(VLOOKUP($B393,Data!$B$3:$EZ1530,9,FALSE),VLOOKUP($B393,Data!$B$3:$EZ1530,10,FALSE)),1),"")</f>
        <v>0.1206066793</v>
      </c>
      <c r="J393" s="48">
        <f>IFERROR(MINUS(DIVIDE(VLOOKUP($B393,Data!$B$3:$EZ1530,24,FALSE),VLOOKUP($B393,Data!$B$3:$EZ1530,25,FALSE)),1),"")</f>
        <v>-0.01360706613</v>
      </c>
      <c r="K393" s="48">
        <f>IFERROR(MINUS(DIVIDE(VLOOKUP($B393,Data!$B$3:$EZ1530,29,FALSE),VLOOKUP($B393,Data!$B$3:$EZ1530,30,FALSE)),1),"")</f>
        <v>0.07268112598</v>
      </c>
      <c r="L393" s="48">
        <f>IFERROR(MINUS(DIVIDE(VLOOKUP($B393,Data!$B$3:$EZ1530,34,FALSE),VLOOKUP($B393,Data!$B$3:$EZ1530,35,FALSE)),1),"")</f>
        <v>0.02082395317</v>
      </c>
      <c r="M393" s="48">
        <f>IFERROR(MINUS(DIVIDE(VLOOKUP($B393,Data!$B$3:$EZ1530,39,FALSE),VLOOKUP($B393,Data!$B$3:$EZ1530,40,FALSE)),1),"")</f>
        <v>0.09399591956</v>
      </c>
      <c r="N393" s="48">
        <f>IFERROR(MINUS(DIVIDE(VLOOKUP($B393,Data!$B$3:$EZ1530,44,FALSE),VLOOKUP($B393,Data!$B$3:$EZ1530,45,FALSE)),1),"")</f>
        <v>2.098051157</v>
      </c>
      <c r="O393" s="50">
        <f>IFERROR(VLOOKUP($B393,Data!$B$3:$D1530,2,FALSE),"")</f>
        <v>1070000</v>
      </c>
      <c r="P393" s="50">
        <f>IFERROR(VLOOKUP($B393,Data!$B$3:$D1530,3,FALSE),"")</f>
        <v>953420</v>
      </c>
      <c r="Q393" s="48">
        <f t="shared" si="2"/>
        <v>0.1222755973</v>
      </c>
      <c r="R393" s="48"/>
      <c r="S393" s="48"/>
      <c r="T393" s="48"/>
      <c r="U393" s="48"/>
      <c r="V393" s="48"/>
      <c r="W393" s="50"/>
      <c r="Z393" s="11"/>
      <c r="AA393" s="11"/>
    </row>
    <row r="394">
      <c r="A394" s="9">
        <f t="shared" si="1"/>
        <v>391</v>
      </c>
      <c r="B394" s="47" t="s">
        <v>527</v>
      </c>
      <c r="C394" s="48">
        <f>IFERROR(DIVIDE(VLOOKUP($B394,Data!$B$3:$AB$1535,9,FALSE),VLOOKUP($B394,Data!$B$3:$AB$1535,4,FALSE)),"")</f>
        <v>0.1067333333</v>
      </c>
      <c r="D394" s="48">
        <f>IFERROR(DIVIDE(VLOOKUP($B394,Data!$B$3:$AB$1535,24,FALSE),VLOOKUP($B394,Data!$B$3:$AB$1535,4,FALSE)),"")</f>
        <v>0.04945833333</v>
      </c>
      <c r="E394" s="48">
        <f>IFERROR(DIVIDE(VLOOKUP($B394,Data!$B$3:$EZ1530,29,FALSE),VLOOKUP($B394,Data!$B$3:$EZ1530,4,FALSE)),"")</f>
        <v>0.05295833333</v>
      </c>
      <c r="F394" s="48">
        <f>IFERROR(DIVIDE(VLOOKUP($B394,Data!$B$3:$EZ1530,34,FALSE),VLOOKUP($B394,Data!$B$3:$EZ1530,4,FALSE)),"")</f>
        <v>0.06883333333</v>
      </c>
      <c r="G394" s="48">
        <f>IFERROR(DIVIDE(VLOOKUP($B394,Data!$B$3:$EZ1530,39,FALSE),VLOOKUP($B394,Data!$B$3:$EZ1530,4,FALSE)),"")</f>
        <v>0.03054166667</v>
      </c>
      <c r="H394" s="48">
        <f>IFERROR(DIVIDE(VLOOKUP($B394,Data!$B$3:$EZ1530,44,FALSE),VLOOKUP($B394,Data!$B$3:$EZ1530,4,FALSE)),"")</f>
        <v>0.06008333333</v>
      </c>
      <c r="I394" s="48">
        <f>IFERROR(MINUS(DIVIDE(VLOOKUP($B394,Data!$B$3:$EZ1530,9,FALSE),VLOOKUP($B394,Data!$B$3:$EZ1530,10,FALSE)),1),"")</f>
        <v>0.1272663264</v>
      </c>
      <c r="J394" s="48">
        <f>IFERROR(MINUS(DIVIDE(VLOOKUP($B394,Data!$B$3:$EZ1530,24,FALSE),VLOOKUP($B394,Data!$B$3:$EZ1530,25,FALSE)),1),"")</f>
        <v>0.04969932791</v>
      </c>
      <c r="K394" s="48">
        <f>IFERROR(MINUS(DIVIDE(VLOOKUP($B394,Data!$B$3:$EZ1530,29,FALSE),VLOOKUP($B394,Data!$B$3:$EZ1530,30,FALSE)),1),"")</f>
        <v>0.1231884058</v>
      </c>
      <c r="L394" s="48">
        <f>IFERROR(MINUS(DIVIDE(VLOOKUP($B394,Data!$B$3:$EZ1530,34,FALSE),VLOOKUP($B394,Data!$B$3:$EZ1530,35,FALSE)),1),"")</f>
        <v>0.1719636776</v>
      </c>
      <c r="M394" s="48">
        <f>IFERROR(MINUS(DIVIDE(VLOOKUP($B394,Data!$B$3:$EZ1530,39,FALSE),VLOOKUP($B394,Data!$B$3:$EZ1530,40,FALSE)),1),"")</f>
        <v>0.135377943</v>
      </c>
      <c r="N394" s="48">
        <f>IFERROR(MINUS(DIVIDE(VLOOKUP($B394,Data!$B$3:$EZ1530,44,FALSE),VLOOKUP($B394,Data!$B$3:$EZ1530,45,FALSE)),1),"")</f>
        <v>0.4887466446</v>
      </c>
      <c r="O394" s="50">
        <f>IFERROR(VLOOKUP($B394,Data!$B$3:$D1530,2,FALSE),"")</f>
        <v>1280000</v>
      </c>
      <c r="P394" s="50">
        <f>IFERROR(VLOOKUP($B394,Data!$B$3:$D1530,3,FALSE),"")</f>
        <v>1190000</v>
      </c>
      <c r="Q394" s="48">
        <f t="shared" si="2"/>
        <v>0.0756302521</v>
      </c>
      <c r="R394" s="48"/>
      <c r="S394" s="48"/>
      <c r="T394" s="48"/>
      <c r="U394" s="48"/>
      <c r="V394" s="48"/>
      <c r="W394" s="50"/>
      <c r="Z394" s="11"/>
      <c r="AA394" s="11"/>
    </row>
    <row r="395">
      <c r="A395" s="9">
        <f t="shared" si="1"/>
        <v>392</v>
      </c>
      <c r="B395" s="47" t="s">
        <v>528</v>
      </c>
      <c r="C395" s="48">
        <f>IFERROR(DIVIDE(VLOOKUP($B395,Data!$B$3:$AB$1535,9,FALSE),VLOOKUP($B395,Data!$B$3:$AB$1535,4,FALSE)),"")</f>
        <v>0.1766700444</v>
      </c>
      <c r="D395" s="48">
        <f>IFERROR(DIVIDE(VLOOKUP($B395,Data!$B$3:$AB$1535,24,FALSE),VLOOKUP($B395,Data!$B$3:$AB$1535,4,FALSE)),"")</f>
        <v>0.0464182711</v>
      </c>
      <c r="E395" s="48">
        <f>IFERROR(DIVIDE(VLOOKUP($B395,Data!$B$3:$EZ1530,29,FALSE),VLOOKUP($B395,Data!$B$3:$EZ1530,4,FALSE)),"")</f>
        <v>0.03507677917</v>
      </c>
      <c r="F395" s="48">
        <f>IFERROR(DIVIDE(VLOOKUP($B395,Data!$B$3:$EZ1530,34,FALSE),VLOOKUP($B395,Data!$B$3:$EZ1530,4,FALSE)),"")</f>
        <v>0.06641203523</v>
      </c>
      <c r="G395" s="48">
        <f>IFERROR(DIVIDE(VLOOKUP($B395,Data!$B$3:$EZ1530,39,FALSE),VLOOKUP($B395,Data!$B$3:$EZ1530,4,FALSE)),"")</f>
        <v>0.02583989399</v>
      </c>
      <c r="H395" s="48">
        <f>IFERROR(DIVIDE(VLOOKUP($B395,Data!$B$3:$EZ1530,44,FALSE),VLOOKUP($B395,Data!$B$3:$EZ1530,4,FALSE)),"")</f>
        <v>0.05008184582</v>
      </c>
      <c r="I395" s="48">
        <f>IFERROR(MINUS(DIVIDE(VLOOKUP($B395,Data!$B$3:$EZ1530,9,FALSE),VLOOKUP($B395,Data!$B$3:$EZ1530,10,FALSE)),1),"")</f>
        <v>0.4372225745</v>
      </c>
      <c r="J395" s="48">
        <f>IFERROR(MINUS(DIVIDE(VLOOKUP($B395,Data!$B$3:$EZ1530,24,FALSE),VLOOKUP($B395,Data!$B$3:$EZ1530,25,FALSE)),1),"")</f>
        <v>1.897810219</v>
      </c>
      <c r="K395" s="48">
        <f>IFERROR(MINUS(DIVIDE(VLOOKUP($B395,Data!$B$3:$EZ1530,29,FALSE),VLOOKUP($B395,Data!$B$3:$EZ1530,30,FALSE)),1),"")</f>
        <v>5.382978723</v>
      </c>
      <c r="L395" s="48">
        <f>IFERROR(MINUS(DIVIDE(VLOOKUP($B395,Data!$B$3:$EZ1530,34,FALSE),VLOOKUP($B395,Data!$B$3:$EZ1530,35,FALSE)),1),"")</f>
        <v>0.2631578947</v>
      </c>
      <c r="M395" s="48">
        <f>IFERROR(MINUS(DIVIDE(VLOOKUP($B395,Data!$B$3:$EZ1530,39,FALSE),VLOOKUP($B395,Data!$B$3:$EZ1530,40,FALSE)),1),"")</f>
        <v>-12.10552764</v>
      </c>
      <c r="N395" s="48">
        <f>IFERROR(MINUS(DIVIDE(VLOOKUP($B395,Data!$B$3:$EZ1530,44,FALSE),VLOOKUP($B395,Data!$B$3:$EZ1530,45,FALSE)),1),"")</f>
        <v>0.4487034949</v>
      </c>
      <c r="O395" s="50">
        <f>IFERROR(VLOOKUP($B395,Data!$B$3:$D1530,2,FALSE),"")</f>
        <v>274340000</v>
      </c>
      <c r="P395" s="50">
        <f>IFERROR(VLOOKUP($B395,Data!$B$3:$D1530,3,FALSE),"")</f>
        <v>265420000</v>
      </c>
      <c r="Q395" s="48">
        <f t="shared" si="2"/>
        <v>0.03360711325</v>
      </c>
      <c r="R395" s="48"/>
      <c r="S395" s="48"/>
      <c r="T395" s="48"/>
      <c r="U395" s="48"/>
      <c r="V395" s="48"/>
      <c r="W395" s="50"/>
      <c r="Z395" s="11"/>
      <c r="AA395" s="11"/>
    </row>
    <row r="396">
      <c r="A396" s="9">
        <f t="shared" si="1"/>
        <v>393</v>
      </c>
      <c r="B396" s="47" t="s">
        <v>529</v>
      </c>
      <c r="C396" s="48" t="str">
        <f>IFERROR(DIVIDE(VLOOKUP($B396,Data!$B$3:$AB$1535,9,FALSE),VLOOKUP($B396,Data!$B$3:$AB$1535,4,FALSE)),"")</f>
        <v/>
      </c>
      <c r="D396" s="48" t="str">
        <f>IFERROR(DIVIDE(VLOOKUP($B396,Data!$B$3:$AB$1535,24,FALSE),VLOOKUP($B396,Data!$B$3:$AB$1535,4,FALSE)),"")</f>
        <v/>
      </c>
      <c r="E396" s="48" t="str">
        <f>IFERROR(DIVIDE(VLOOKUP($B396,Data!$B$3:$EZ1530,29,FALSE),VLOOKUP($B396,Data!$B$3:$EZ1530,4,FALSE)),"")</f>
        <v/>
      </c>
      <c r="F396" s="48" t="str">
        <f>IFERROR(DIVIDE(VLOOKUP($B396,Data!$B$3:$EZ1530,34,FALSE),VLOOKUP($B396,Data!$B$3:$EZ1530,4,FALSE)),"")</f>
        <v/>
      </c>
      <c r="G396" s="48" t="str">
        <f>IFERROR(DIVIDE(VLOOKUP($B396,Data!$B$3:$EZ1530,39,FALSE),VLOOKUP($B396,Data!$B$3:$EZ1530,4,FALSE)),"")</f>
        <v/>
      </c>
      <c r="H396" s="48" t="str">
        <f>IFERROR(DIVIDE(VLOOKUP($B396,Data!$B$3:$EZ1530,44,FALSE),VLOOKUP($B396,Data!$B$3:$EZ1530,4,FALSE)),"")</f>
        <v/>
      </c>
      <c r="I396" s="48" t="str">
        <f>IFERROR(MINUS(DIVIDE(VLOOKUP($B396,Data!$B$3:$EZ1530,9,FALSE),VLOOKUP($B396,Data!$B$3:$EZ1530,10,FALSE)),1),"")</f>
        <v/>
      </c>
      <c r="J396" s="48" t="str">
        <f>IFERROR(MINUS(DIVIDE(VLOOKUP($B396,Data!$B$3:$EZ1530,24,FALSE),VLOOKUP($B396,Data!$B$3:$EZ1530,25,FALSE)),1),"")</f>
        <v/>
      </c>
      <c r="K396" s="48" t="str">
        <f>IFERROR(MINUS(DIVIDE(VLOOKUP($B396,Data!$B$3:$EZ1530,29,FALSE),VLOOKUP($B396,Data!$B$3:$EZ1530,30,FALSE)),1),"")</f>
        <v/>
      </c>
      <c r="L396" s="48" t="str">
        <f>IFERROR(MINUS(DIVIDE(VLOOKUP($B396,Data!$B$3:$EZ1530,34,FALSE),VLOOKUP($B396,Data!$B$3:$EZ1530,35,FALSE)),1),"")</f>
        <v/>
      </c>
      <c r="M396" s="48" t="str">
        <f>IFERROR(MINUS(DIVIDE(VLOOKUP($B396,Data!$B$3:$EZ1530,39,FALSE),VLOOKUP($B396,Data!$B$3:$EZ1530,40,FALSE)),1),"")</f>
        <v/>
      </c>
      <c r="N396" s="48" t="str">
        <f>IFERROR(MINUS(DIVIDE(VLOOKUP($B396,Data!$B$3:$EZ1530,44,FALSE),VLOOKUP($B396,Data!$B$3:$EZ1530,45,FALSE)),1),"")</f>
        <v/>
      </c>
      <c r="O396" s="50">
        <f>IFERROR(VLOOKUP($B396,Data!$B$3:$D1530,2,FALSE),"")</f>
        <v>115300</v>
      </c>
      <c r="P396" s="50">
        <f>IFERROR(VLOOKUP($B396,Data!$B$3:$D1530,3,FALSE),"")</f>
        <v>103000</v>
      </c>
      <c r="Q396" s="48">
        <f t="shared" si="2"/>
        <v>0.1194174757</v>
      </c>
      <c r="R396" s="48"/>
      <c r="S396" s="48"/>
      <c r="T396" s="48"/>
      <c r="U396" s="48"/>
      <c r="V396" s="48"/>
      <c r="W396" s="50"/>
      <c r="Z396" s="15"/>
      <c r="AA396" s="15"/>
    </row>
    <row r="397">
      <c r="A397" s="9">
        <f t="shared" si="1"/>
        <v>394</v>
      </c>
      <c r="B397" s="47" t="s">
        <v>530</v>
      </c>
      <c r="C397" s="48">
        <f>IFERROR(DIVIDE(VLOOKUP($B397,Data!$B$3:$AB$1535,9,FALSE),VLOOKUP($B397,Data!$B$3:$AB$1535,4,FALSE)),"")</f>
        <v>0.3609437751</v>
      </c>
      <c r="D397" s="48">
        <f>IFERROR(DIVIDE(VLOOKUP($B397,Data!$B$3:$AB$1535,24,FALSE),VLOOKUP($B397,Data!$B$3:$AB$1535,4,FALSE)),"")</f>
        <v>0.1651204819</v>
      </c>
      <c r="E397" s="48">
        <f>IFERROR(DIVIDE(VLOOKUP($B397,Data!$B$3:$EZ1530,29,FALSE),VLOOKUP($B397,Data!$B$3:$EZ1530,4,FALSE)),"")</f>
        <v>0.1592208835</v>
      </c>
      <c r="F397" s="48">
        <f>IFERROR(DIVIDE(VLOOKUP($B397,Data!$B$3:$EZ1530,34,FALSE),VLOOKUP($B397,Data!$B$3:$EZ1530,4,FALSE)),"")</f>
        <v>0.2054176707</v>
      </c>
      <c r="G397" s="48">
        <f>IFERROR(DIVIDE(VLOOKUP($B397,Data!$B$3:$EZ1530,39,FALSE),VLOOKUP($B397,Data!$B$3:$EZ1530,4,FALSE)),"")</f>
        <v>0.1235261044</v>
      </c>
      <c r="H397" s="48">
        <f>IFERROR(DIVIDE(VLOOKUP($B397,Data!$B$3:$EZ1530,44,FALSE),VLOOKUP($B397,Data!$B$3:$EZ1530,4,FALSE)),"")</f>
        <v>0.1692369478</v>
      </c>
      <c r="I397" s="48">
        <f>IFERROR(MINUS(DIVIDE(VLOOKUP($B397,Data!$B$3:$EZ1530,9,FALSE),VLOOKUP($B397,Data!$B$3:$EZ1530,10,FALSE)),1),"")</f>
        <v>0.03155200514</v>
      </c>
      <c r="J397" s="48">
        <f>IFERROR(MINUS(DIVIDE(VLOOKUP($B397,Data!$B$3:$EZ1530,24,FALSE),VLOOKUP($B397,Data!$B$3:$EZ1530,25,FALSE)),1),"")</f>
        <v>0.1138352342</v>
      </c>
      <c r="K397" s="48">
        <f>IFERROR(MINUS(DIVIDE(VLOOKUP($B397,Data!$B$3:$EZ1530,29,FALSE),VLOOKUP($B397,Data!$B$3:$EZ1530,30,FALSE)),1),"")</f>
        <v>0.1129014148</v>
      </c>
      <c r="L397" s="48">
        <f>IFERROR(MINUS(DIVIDE(VLOOKUP($B397,Data!$B$3:$EZ1530,34,FALSE),VLOOKUP($B397,Data!$B$3:$EZ1530,35,FALSE)),1),"")</f>
        <v>0.06845337567</v>
      </c>
      <c r="M397" s="48">
        <f>IFERROR(MINUS(DIVIDE(VLOOKUP($B397,Data!$B$3:$EZ1530,39,FALSE),VLOOKUP($B397,Data!$B$3:$EZ1530,40,FALSE)),1),"")</f>
        <v>0.1154306437</v>
      </c>
      <c r="N397" s="48">
        <f>IFERROR(MINUS(DIVIDE(VLOOKUP($B397,Data!$B$3:$EZ1530,44,FALSE),VLOOKUP($B397,Data!$B$3:$EZ1530,45,FALSE)),1),"")</f>
        <v>0.2531596634</v>
      </c>
      <c r="O397" s="50">
        <f>IFERROR(VLOOKUP($B397,Data!$B$3:$D1530,2,FALSE),"")</f>
        <v>2420000</v>
      </c>
      <c r="P397" s="50">
        <f>IFERROR(VLOOKUP($B397,Data!$B$3:$D1530,3,FALSE),"")</f>
        <v>2360000</v>
      </c>
      <c r="Q397" s="48">
        <f t="shared" si="2"/>
        <v>0.02542372881</v>
      </c>
      <c r="R397" s="48"/>
      <c r="S397" s="48"/>
      <c r="T397" s="48"/>
      <c r="U397" s="48"/>
      <c r="V397" s="48"/>
      <c r="W397" s="50"/>
      <c r="Z397" s="11"/>
      <c r="AA397" s="11"/>
    </row>
    <row r="398">
      <c r="A398" s="9">
        <f t="shared" si="1"/>
        <v>395</v>
      </c>
      <c r="B398" s="47" t="s">
        <v>531</v>
      </c>
      <c r="C398" s="48">
        <f>IFERROR(DIVIDE(VLOOKUP($B398,Data!$B$3:$AB$1535,9,FALSE),VLOOKUP($B398,Data!$B$3:$AB$1535,4,FALSE)),"")</f>
        <v>0.2597137014</v>
      </c>
      <c r="D398" s="48">
        <f>IFERROR(DIVIDE(VLOOKUP($B398,Data!$B$3:$AB$1535,24,FALSE),VLOOKUP($B398,Data!$B$3:$AB$1535,4,FALSE)),"")</f>
        <v>0.004139059305</v>
      </c>
      <c r="E398" s="48">
        <f>IFERROR(DIVIDE(VLOOKUP($B398,Data!$B$3:$EZ1530,29,FALSE),VLOOKUP($B398,Data!$B$3:$EZ1530,4,FALSE)),"")</f>
        <v>-0.01855214724</v>
      </c>
      <c r="F398" s="48">
        <f>IFERROR(DIVIDE(VLOOKUP($B398,Data!$B$3:$EZ1530,34,FALSE),VLOOKUP($B398,Data!$B$3:$EZ1530,4,FALSE)),"")</f>
        <v>0.05069529652</v>
      </c>
      <c r="G398" s="48">
        <f>IFERROR(DIVIDE(VLOOKUP($B398,Data!$B$3:$EZ1530,39,FALSE),VLOOKUP($B398,Data!$B$3:$EZ1530,4,FALSE)),"")</f>
        <v>-0.01239059305</v>
      </c>
      <c r="H398" s="48">
        <f>IFERROR(DIVIDE(VLOOKUP($B398,Data!$B$3:$EZ1530,44,FALSE),VLOOKUP($B398,Data!$B$3:$EZ1530,4,FALSE)),"")</f>
        <v>0.06264621677</v>
      </c>
      <c r="I398" s="48">
        <f>IFERROR(MINUS(DIVIDE(VLOOKUP($B398,Data!$B$3:$EZ1530,9,FALSE),VLOOKUP($B398,Data!$B$3:$EZ1530,10,FALSE)),1),"")</f>
        <v>-0.03053435115</v>
      </c>
      <c r="J398" s="48">
        <f>IFERROR(MINUS(DIVIDE(VLOOKUP($B398,Data!$B$3:$EZ1530,24,FALSE),VLOOKUP($B398,Data!$B$3:$EZ1530,25,FALSE)),1),"")</f>
        <v>-0.8998763295</v>
      </c>
      <c r="K398" s="48">
        <f>IFERROR(MINUS(DIVIDE(VLOOKUP($B398,Data!$B$3:$EZ1530,29,FALSE),VLOOKUP($B398,Data!$B$3:$EZ1530,30,FALSE)),1),"")</f>
        <v>-1.941371796</v>
      </c>
      <c r="L398" s="48">
        <f>IFERROR(MINUS(DIVIDE(VLOOKUP($B398,Data!$B$3:$EZ1530,34,FALSE),VLOOKUP($B398,Data!$B$3:$EZ1530,35,FALSE)),1),"")</f>
        <v>-0.155567667</v>
      </c>
      <c r="M398" s="48">
        <f>IFERROR(MINUS(DIVIDE(VLOOKUP($B398,Data!$B$3:$EZ1530,39,FALSE),VLOOKUP($B398,Data!$B$3:$EZ1530,40,FALSE)),1),"")</f>
        <v>-6.825961538</v>
      </c>
      <c r="N398" s="48">
        <f>IFERROR(MINUS(DIVIDE(VLOOKUP($B398,Data!$B$3:$EZ1530,44,FALSE),VLOOKUP($B398,Data!$B$3:$EZ1530,45,FALSE)),1),"")</f>
        <v>1.247707095</v>
      </c>
      <c r="O398" s="50">
        <f>IFERROR(VLOOKUP($B398,Data!$B$3:$D1530,2,FALSE),"")</f>
        <v>5330000</v>
      </c>
      <c r="P398" s="50">
        <f>IFERROR(VLOOKUP($B398,Data!$B$3:$D1530,3,FALSE),"")</f>
        <v>5090000</v>
      </c>
      <c r="Q398" s="48">
        <f t="shared" si="2"/>
        <v>0.04715127701</v>
      </c>
      <c r="R398" s="48"/>
      <c r="S398" s="48"/>
      <c r="T398" s="48"/>
      <c r="U398" s="48"/>
      <c r="V398" s="48"/>
      <c r="W398" s="50"/>
      <c r="Z398" s="15"/>
      <c r="AA398" s="15"/>
    </row>
    <row r="399">
      <c r="A399" s="9">
        <f t="shared" si="1"/>
        <v>396</v>
      </c>
      <c r="B399" s="47" t="s">
        <v>532</v>
      </c>
      <c r="C399" s="48">
        <f>IFERROR(DIVIDE(VLOOKUP($B399,Data!$B$3:$AB$1535,9,FALSE),VLOOKUP($B399,Data!$B$3:$AB$1535,4,FALSE)),"")</f>
        <v>0.3141738202</v>
      </c>
      <c r="D399" s="48">
        <f>IFERROR(DIVIDE(VLOOKUP($B399,Data!$B$3:$AB$1535,24,FALSE),VLOOKUP($B399,Data!$B$3:$AB$1535,4,FALSE)),"")</f>
        <v>0.0887297757</v>
      </c>
      <c r="E399" s="48">
        <f>IFERROR(DIVIDE(VLOOKUP($B399,Data!$B$3:$EZ1530,29,FALSE),VLOOKUP($B399,Data!$B$3:$EZ1530,4,FALSE)),"")</f>
        <v>0.01554650105</v>
      </c>
      <c r="F399" s="48">
        <f>IFERROR(DIVIDE(VLOOKUP($B399,Data!$B$3:$EZ1530,34,FALSE),VLOOKUP($B399,Data!$B$3:$EZ1530,4,FALSE)),"")</f>
        <v>0.1810989359</v>
      </c>
      <c r="G399" s="48">
        <f>IFERROR(DIVIDE(VLOOKUP($B399,Data!$B$3:$EZ1530,39,FALSE),VLOOKUP($B399,Data!$B$3:$EZ1530,4,FALSE)),"")</f>
        <v>0.004193203845</v>
      </c>
      <c r="H399" s="48">
        <f>IFERROR(DIVIDE(VLOOKUP($B399,Data!$B$3:$EZ1530,44,FALSE),VLOOKUP($B399,Data!$B$3:$EZ1530,4,FALSE)),"")</f>
        <v>0.1030499624</v>
      </c>
      <c r="I399" s="48">
        <f>IFERROR(MINUS(DIVIDE(VLOOKUP($B399,Data!$B$3:$EZ1530,9,FALSE),VLOOKUP($B399,Data!$B$3:$EZ1530,10,FALSE)),1),"")</f>
        <v>-0.09327548807</v>
      </c>
      <c r="J399" s="48">
        <f>IFERROR(MINUS(DIVIDE(VLOOKUP($B399,Data!$B$3:$EZ1530,24,FALSE),VLOOKUP($B399,Data!$B$3:$EZ1530,25,FALSE)),1),"")</f>
        <v>-8.734482759</v>
      </c>
      <c r="K399" s="48">
        <f>IFERROR(MINUS(DIVIDE(VLOOKUP($B399,Data!$B$3:$EZ1530,29,FALSE),VLOOKUP($B399,Data!$B$3:$EZ1530,30,FALSE)),1),"")</f>
        <v>-0.700913242</v>
      </c>
      <c r="L399" s="48">
        <f>IFERROR(MINUS(DIVIDE(VLOOKUP($B399,Data!$B$3:$EZ1530,34,FALSE),VLOOKUP($B399,Data!$B$3:$EZ1530,35,FALSE)),1),"")</f>
        <v>-0.1136495644</v>
      </c>
      <c r="M399" s="48">
        <f>IFERROR(MINUS(DIVIDE(VLOOKUP($B399,Data!$B$3:$EZ1530,39,FALSE),VLOOKUP($B399,Data!$B$3:$EZ1530,40,FALSE)),1),"")</f>
        <v>-0.8778801843</v>
      </c>
      <c r="N399" s="48">
        <f>IFERROR(MINUS(DIVIDE(VLOOKUP($B399,Data!$B$3:$EZ1530,44,FALSE),VLOOKUP($B399,Data!$B$3:$EZ1530,45,FALSE)),1),"")</f>
        <v>-0.1357000664</v>
      </c>
      <c r="O399" s="50">
        <f>IFERROR(VLOOKUP($B399,Data!$B$3:$D1530,2,FALSE),"")</f>
        <v>12860000</v>
      </c>
      <c r="P399" s="50">
        <f>IFERROR(VLOOKUP($B399,Data!$B$3:$D1530,3,FALSE),"")</f>
        <v>12140000</v>
      </c>
      <c r="Q399" s="48">
        <f t="shared" si="2"/>
        <v>0.05930807249</v>
      </c>
      <c r="R399" s="48"/>
      <c r="S399" s="48"/>
      <c r="T399" s="48"/>
      <c r="U399" s="48"/>
      <c r="V399" s="48"/>
      <c r="W399" s="50"/>
      <c r="Z399" s="11"/>
      <c r="AA399" s="11"/>
    </row>
    <row r="400">
      <c r="A400" s="9">
        <f t="shared" si="1"/>
        <v>397</v>
      </c>
      <c r="B400" s="47" t="s">
        <v>533</v>
      </c>
      <c r="C400" s="48">
        <f>IFERROR(DIVIDE(VLOOKUP($B400,Data!$B$3:$AB$1535,9,FALSE),VLOOKUP($B400,Data!$B$3:$AB$1535,4,FALSE)),"")</f>
        <v>0</v>
      </c>
      <c r="D400" s="48">
        <f>IFERROR(DIVIDE(VLOOKUP($B400,Data!$B$3:$AB$1535,24,FALSE),VLOOKUP($B400,Data!$B$3:$AB$1535,4,FALSE)),"")</f>
        <v>-5633.333333</v>
      </c>
      <c r="E400" s="48">
        <f>IFERROR(DIVIDE(VLOOKUP($B400,Data!$B$3:$EZ1530,29,FALSE),VLOOKUP($B400,Data!$B$3:$EZ1530,4,FALSE)),"")</f>
        <v>-5033.333333</v>
      </c>
      <c r="F400" s="48">
        <f>IFERROR(DIVIDE(VLOOKUP($B400,Data!$B$3:$EZ1530,34,FALSE),VLOOKUP($B400,Data!$B$3:$EZ1530,4,FALSE)),"")</f>
        <v>-5438.333333</v>
      </c>
      <c r="G400" s="48">
        <f>IFERROR(DIVIDE(VLOOKUP($B400,Data!$B$3:$EZ1530,39,FALSE),VLOOKUP($B400,Data!$B$3:$EZ1530,4,FALSE)),"")</f>
        <v>-4771.666667</v>
      </c>
      <c r="H400" s="48">
        <f>IFERROR(DIVIDE(VLOOKUP($B400,Data!$B$3:$EZ1530,44,FALSE),VLOOKUP($B400,Data!$B$3:$EZ1530,4,FALSE)),"")</f>
        <v>-4700</v>
      </c>
      <c r="I400" s="48" t="str">
        <f>IFERROR(MINUS(DIVIDE(VLOOKUP($B400,Data!$B$3:$EZ1530,9,FALSE),VLOOKUP($B400,Data!$B$3:$EZ1530,10,FALSE)),1),"")</f>
        <v/>
      </c>
      <c r="J400" s="48">
        <f>IFERROR(MINUS(DIVIDE(VLOOKUP($B400,Data!$B$3:$EZ1530,24,FALSE),VLOOKUP($B400,Data!$B$3:$EZ1530,25,FALSE)),1),"")</f>
        <v>-0.1335554986</v>
      </c>
      <c r="K400" s="48">
        <f>IFERROR(MINUS(DIVIDE(VLOOKUP($B400,Data!$B$3:$EZ1530,29,FALSE),VLOOKUP($B400,Data!$B$3:$EZ1530,30,FALSE)),1),"")</f>
        <v>-0.1997880233</v>
      </c>
      <c r="L400" s="48">
        <f>IFERROR(MINUS(DIVIDE(VLOOKUP($B400,Data!$B$3:$EZ1530,34,FALSE),VLOOKUP($B400,Data!$B$3:$EZ1530,35,FALSE)),1),"")</f>
        <v>0.01619433198</v>
      </c>
      <c r="M400" s="48">
        <f>IFERROR(MINUS(DIVIDE(VLOOKUP($B400,Data!$B$3:$EZ1530,39,FALSE),VLOOKUP($B400,Data!$B$3:$EZ1530,40,FALSE)),1),"")</f>
        <v>-0.2351055303</v>
      </c>
      <c r="N400" s="48">
        <f>IFERROR(MINUS(DIVIDE(VLOOKUP($B400,Data!$B$3:$EZ1530,44,FALSE),VLOOKUP($B400,Data!$B$3:$EZ1530,45,FALSE)),1),"")</f>
        <v>0.03486238532</v>
      </c>
      <c r="O400" s="50">
        <f>IFERROR(VLOOKUP($B400,Data!$B$3:$D1530,2,FALSE),"")</f>
        <v>9880</v>
      </c>
      <c r="P400" s="50" t="str">
        <f>IFERROR(VLOOKUP($B400,Data!$B$3:$D1530,3,FALSE),"")</f>
        <v/>
      </c>
      <c r="Q400" s="48" t="str">
        <f t="shared" si="2"/>
        <v/>
      </c>
      <c r="R400" s="48"/>
      <c r="S400" s="48"/>
      <c r="T400" s="48"/>
      <c r="U400" s="48"/>
      <c r="V400" s="48"/>
      <c r="W400" s="50"/>
      <c r="Z400" s="15"/>
      <c r="AA400" s="15"/>
    </row>
    <row r="401">
      <c r="A401" s="9">
        <f t="shared" si="1"/>
        <v>398</v>
      </c>
      <c r="B401" s="47" t="s">
        <v>534</v>
      </c>
      <c r="C401" s="48">
        <f>IFERROR(DIVIDE(VLOOKUP($B401,Data!$B$3:$AB$1535,9,FALSE),VLOOKUP($B401,Data!$B$3:$AB$1535,4,FALSE)),"")</f>
        <v>0.4416132298</v>
      </c>
      <c r="D401" s="48">
        <f>IFERROR(DIVIDE(VLOOKUP($B401,Data!$B$3:$AB$1535,24,FALSE),VLOOKUP($B401,Data!$B$3:$AB$1535,4,FALSE)),"")</f>
        <v>0</v>
      </c>
      <c r="E401" s="48">
        <f>IFERROR(DIVIDE(VLOOKUP($B401,Data!$B$3:$EZ1530,29,FALSE),VLOOKUP($B401,Data!$B$3:$EZ1530,4,FALSE)),"")</f>
        <v>0.01957475532</v>
      </c>
      <c r="F401" s="48">
        <f>IFERROR(DIVIDE(VLOOKUP($B401,Data!$B$3:$EZ1530,34,FALSE),VLOOKUP($B401,Data!$B$3:$EZ1530,4,FALSE)),"")</f>
        <v>0.0776240297</v>
      </c>
      <c r="G401" s="48">
        <f>IFERROR(DIVIDE(VLOOKUP($B401,Data!$B$3:$EZ1530,39,FALSE),VLOOKUP($B401,Data!$B$3:$EZ1530,4,FALSE)),"")</f>
        <v>0</v>
      </c>
      <c r="H401" s="48">
        <f>IFERROR(DIVIDE(VLOOKUP($B401,Data!$B$3:$EZ1530,44,FALSE),VLOOKUP($B401,Data!$B$3:$EZ1530,4,FALSE)),"")</f>
        <v>0.04117448532</v>
      </c>
      <c r="I401" s="48">
        <f>IFERROR(MINUS(DIVIDE(VLOOKUP($B401,Data!$B$3:$EZ1530,9,FALSE),VLOOKUP($B401,Data!$B$3:$EZ1530,10,FALSE)),1),"")</f>
        <v>-0.08014059754</v>
      </c>
      <c r="J401" s="48">
        <f>IFERROR(MINUS(DIVIDE(VLOOKUP($B401,Data!$B$3:$EZ1530,24,FALSE),VLOOKUP($B401,Data!$B$3:$EZ1530,25,FALSE)),1),"")</f>
        <v>-1</v>
      </c>
      <c r="K401" s="48">
        <f>IFERROR(MINUS(DIVIDE(VLOOKUP($B401,Data!$B$3:$EZ1530,29,FALSE),VLOOKUP($B401,Data!$B$3:$EZ1530,30,FALSE)),1),"")</f>
        <v>-0.6759776536</v>
      </c>
      <c r="L401" s="48">
        <f>IFERROR(MINUS(DIVIDE(VLOOKUP($B401,Data!$B$3:$EZ1530,34,FALSE),VLOOKUP($B401,Data!$B$3:$EZ1530,35,FALSE)),1),"")</f>
        <v>-0.2150170648</v>
      </c>
      <c r="M401" s="48">
        <f>IFERROR(MINUS(DIVIDE(VLOOKUP($B401,Data!$B$3:$EZ1530,39,FALSE),VLOOKUP($B401,Data!$B$3:$EZ1530,40,FALSE)),1),"")</f>
        <v>-1</v>
      </c>
      <c r="N401" s="48">
        <f>IFERROR(MINUS(DIVIDE(VLOOKUP($B401,Data!$B$3:$EZ1530,44,FALSE),VLOOKUP($B401,Data!$B$3:$EZ1530,45,FALSE)),1),"")</f>
        <v>-0.4048780488</v>
      </c>
      <c r="O401" s="50">
        <f>IFERROR(VLOOKUP($B401,Data!$B$3:$D1530,2,FALSE),"")</f>
        <v>73830</v>
      </c>
      <c r="P401" s="50">
        <f>IFERROR(VLOOKUP($B401,Data!$B$3:$D1530,3,FALSE),"")</f>
        <v>66540</v>
      </c>
      <c r="Q401" s="48">
        <f t="shared" si="2"/>
        <v>0.1095581605</v>
      </c>
      <c r="R401" s="48"/>
      <c r="S401" s="48"/>
      <c r="T401" s="48"/>
      <c r="U401" s="48"/>
      <c r="V401" s="48"/>
      <c r="W401" s="50"/>
      <c r="Z401" s="11"/>
      <c r="AA401" s="11"/>
    </row>
    <row r="402">
      <c r="A402" s="9">
        <f t="shared" si="1"/>
        <v>399</v>
      </c>
      <c r="B402" s="47" t="s">
        <v>535</v>
      </c>
      <c r="C402" s="48">
        <f>IFERROR(DIVIDE(VLOOKUP($B402,Data!$B$3:$AB$1535,9,FALSE),VLOOKUP($B402,Data!$B$3:$AB$1535,4,FALSE)),"")</f>
        <v>0</v>
      </c>
      <c r="D402" s="48">
        <f>IFERROR(DIVIDE(VLOOKUP($B402,Data!$B$3:$AB$1535,24,FALSE),VLOOKUP($B402,Data!$B$3:$AB$1535,4,FALSE)),"")</f>
        <v>-3.668403424</v>
      </c>
      <c r="E402" s="48">
        <f>IFERROR(DIVIDE(VLOOKUP($B402,Data!$B$3:$EZ1530,29,FALSE),VLOOKUP($B402,Data!$B$3:$EZ1530,4,FALSE)),"")</f>
        <v>-4.528842575</v>
      </c>
      <c r="F402" s="48">
        <f>IFERROR(DIVIDE(VLOOKUP($B402,Data!$B$3:$EZ1530,34,FALSE),VLOOKUP($B402,Data!$B$3:$EZ1530,4,FALSE)),"")</f>
        <v>-3.631187198</v>
      </c>
      <c r="G402" s="48">
        <f>IFERROR(DIVIDE(VLOOKUP($B402,Data!$B$3:$EZ1530,39,FALSE),VLOOKUP($B402,Data!$B$3:$EZ1530,4,FALSE)),"")</f>
        <v>-4.528842575</v>
      </c>
      <c r="H402" s="48">
        <f>IFERROR(DIVIDE(VLOOKUP($B402,Data!$B$3:$EZ1530,44,FALSE),VLOOKUP($B402,Data!$B$3:$EZ1530,4,FALSE)),"")</f>
        <v>-3.238928173</v>
      </c>
      <c r="I402" s="48" t="str">
        <f>IFERROR(MINUS(DIVIDE(VLOOKUP($B402,Data!$B$3:$EZ1530,9,FALSE),VLOOKUP($B402,Data!$B$3:$EZ1530,10,FALSE)),1),"")</f>
        <v/>
      </c>
      <c r="J402" s="48" t="str">
        <f>IFERROR(MINUS(DIVIDE(VLOOKUP($B402,Data!$B$3:$EZ1530,24,FALSE),VLOOKUP($B402,Data!$B$3:$EZ1530,25,FALSE)),1),"")</f>
        <v/>
      </c>
      <c r="K402" s="48">
        <f>IFERROR(MINUS(DIVIDE(VLOOKUP($B402,Data!$B$3:$EZ1530,29,FALSE),VLOOKUP($B402,Data!$B$3:$EZ1530,30,FALSE)),1),"")</f>
        <v>0.1448866309</v>
      </c>
      <c r="L402" s="48">
        <f>IFERROR(MINUS(DIVIDE(VLOOKUP($B402,Data!$B$3:$EZ1530,34,FALSE),VLOOKUP($B402,Data!$B$3:$EZ1530,35,FALSE)),1),"")</f>
        <v>0.1127965328</v>
      </c>
      <c r="M402" s="48">
        <f>IFERROR(MINUS(DIVIDE(VLOOKUP($B402,Data!$B$3:$EZ1530,39,FALSE),VLOOKUP($B402,Data!$B$3:$EZ1530,40,FALSE)),1),"")</f>
        <v>0.1448866309</v>
      </c>
      <c r="N402" s="48">
        <f>IFERROR(MINUS(DIVIDE(VLOOKUP($B402,Data!$B$3:$EZ1530,44,FALSE),VLOOKUP($B402,Data!$B$3:$EZ1530,45,FALSE)),1),"")</f>
        <v>-0.1401896858</v>
      </c>
      <c r="O402" s="50">
        <f>IFERROR(VLOOKUP($B402,Data!$B$3:$D1530,2,FALSE),"")</f>
        <v>32470</v>
      </c>
      <c r="P402" s="50">
        <f>IFERROR(VLOOKUP($B402,Data!$B$3:$D1530,3,FALSE),"")</f>
        <v>19220</v>
      </c>
      <c r="Q402" s="48">
        <f t="shared" si="2"/>
        <v>0.6893860562</v>
      </c>
      <c r="R402" s="48"/>
      <c r="S402" s="48"/>
      <c r="T402" s="48"/>
      <c r="U402" s="48"/>
      <c r="V402" s="48"/>
      <c r="W402" s="50"/>
      <c r="Z402" s="11"/>
      <c r="AA402" s="12"/>
    </row>
    <row r="403">
      <c r="A403" s="9">
        <f t="shared" si="1"/>
        <v>400</v>
      </c>
      <c r="B403" s="47" t="s">
        <v>536</v>
      </c>
      <c r="C403" s="48">
        <f>IFERROR(DIVIDE(VLOOKUP($B403,Data!$B$3:$AB$1535,9,FALSE),VLOOKUP($B403,Data!$B$3:$AB$1535,4,FALSE)),"")</f>
        <v>0.3890160183</v>
      </c>
      <c r="D403" s="48">
        <f>IFERROR(DIVIDE(VLOOKUP($B403,Data!$B$3:$AB$1535,24,FALSE),VLOOKUP($B403,Data!$B$3:$AB$1535,4,FALSE)),"")</f>
        <v>-0.004118993135</v>
      </c>
      <c r="E403" s="48">
        <f>IFERROR(DIVIDE(VLOOKUP($B403,Data!$B$3:$EZ1530,29,FALSE),VLOOKUP($B403,Data!$B$3:$EZ1530,4,FALSE)),"")</f>
        <v>-0.1533180778</v>
      </c>
      <c r="F403" s="48">
        <f>IFERROR(DIVIDE(VLOOKUP($B403,Data!$B$3:$EZ1530,34,FALSE),VLOOKUP($B403,Data!$B$3:$EZ1530,4,FALSE)),"")</f>
        <v>0.2414187643</v>
      </c>
      <c r="G403" s="48">
        <f>IFERROR(DIVIDE(VLOOKUP($B403,Data!$B$3:$EZ1530,39,FALSE),VLOOKUP($B403,Data!$B$3:$EZ1530,4,FALSE)),"")</f>
        <v>-0.1372997712</v>
      </c>
      <c r="H403" s="48">
        <f>IFERROR(DIVIDE(VLOOKUP($B403,Data!$B$3:$EZ1530,44,FALSE),VLOOKUP($B403,Data!$B$3:$EZ1530,4,FALSE)),"")</f>
        <v>0.1155606407</v>
      </c>
      <c r="I403" s="48">
        <f>IFERROR(MINUS(DIVIDE(VLOOKUP($B403,Data!$B$3:$EZ1530,9,FALSE),VLOOKUP($B403,Data!$B$3:$EZ1530,10,FALSE)),1),"")</f>
        <v>0.1074918567</v>
      </c>
      <c r="J403" s="48">
        <f>IFERROR(MINUS(DIVIDE(VLOOKUP($B403,Data!$B$3:$EZ1530,24,FALSE),VLOOKUP($B403,Data!$B$3:$EZ1530,25,FALSE)),1),"")</f>
        <v>-1.048780488</v>
      </c>
      <c r="K403" s="48">
        <f>IFERROR(MINUS(DIVIDE(VLOOKUP($B403,Data!$B$3:$EZ1530,29,FALSE),VLOOKUP($B403,Data!$B$3:$EZ1530,30,FALSE)),1),"")</f>
        <v>-8.322404372</v>
      </c>
      <c r="L403" s="48">
        <f>IFERROR(MINUS(DIVIDE(VLOOKUP($B403,Data!$B$3:$EZ1530,34,FALSE),VLOOKUP($B403,Data!$B$3:$EZ1530,35,FALSE)),1),"")</f>
        <v>0.07653061224</v>
      </c>
      <c r="M403" s="48">
        <f>IFERROR(MINUS(DIVIDE(VLOOKUP($B403,Data!$B$3:$EZ1530,39,FALSE),VLOOKUP($B403,Data!$B$3:$EZ1530,40,FALSE)),1),"")</f>
        <v>-4.96039604</v>
      </c>
      <c r="N403" s="48">
        <f>IFERROR(MINUS(DIVIDE(VLOOKUP($B403,Data!$B$3:$EZ1530,44,FALSE),VLOOKUP($B403,Data!$B$3:$EZ1530,45,FALSE)),1),"")</f>
        <v>0.2849872774</v>
      </c>
      <c r="O403" s="50">
        <f>IFERROR(VLOOKUP($B403,Data!$B$3:$D1530,2,FALSE),"")</f>
        <v>7390000</v>
      </c>
      <c r="P403" s="50">
        <f>IFERROR(VLOOKUP($B403,Data!$B$3:$D1530,3,FALSE),"")</f>
        <v>4760000</v>
      </c>
      <c r="Q403" s="48">
        <f t="shared" si="2"/>
        <v>0.5525210084</v>
      </c>
      <c r="R403" s="48"/>
      <c r="S403" s="48"/>
      <c r="T403" s="48"/>
      <c r="U403" s="48"/>
      <c r="V403" s="48"/>
      <c r="W403" s="50"/>
      <c r="Z403" s="15"/>
      <c r="AA403" s="15"/>
    </row>
    <row r="404">
      <c r="A404" s="9">
        <f t="shared" si="1"/>
        <v>401</v>
      </c>
      <c r="B404" s="47" t="s">
        <v>537</v>
      </c>
      <c r="C404" s="48">
        <f>IFERROR(DIVIDE(VLOOKUP($B404,Data!$B$3:$AB$1535,9,FALSE),VLOOKUP($B404,Data!$B$3:$AB$1535,4,FALSE)),"")</f>
        <v>0.3116634799</v>
      </c>
      <c r="D404" s="48">
        <f>IFERROR(DIVIDE(VLOOKUP($B404,Data!$B$3:$AB$1535,24,FALSE),VLOOKUP($B404,Data!$B$3:$AB$1535,4,FALSE)),"")</f>
        <v>0.240917782</v>
      </c>
      <c r="E404" s="48">
        <f>IFERROR(DIVIDE(VLOOKUP($B404,Data!$B$3:$EZ1530,29,FALSE),VLOOKUP($B404,Data!$B$3:$EZ1530,4,FALSE)),"")</f>
        <v>0.1225965583</v>
      </c>
      <c r="F404" s="48">
        <f>IFERROR(DIVIDE(VLOOKUP($B404,Data!$B$3:$EZ1530,34,FALSE),VLOOKUP($B404,Data!$B$3:$EZ1530,4,FALSE)),"")</f>
        <v>0.3116634799</v>
      </c>
      <c r="G404" s="48">
        <f>IFERROR(DIVIDE(VLOOKUP($B404,Data!$B$3:$EZ1530,39,FALSE),VLOOKUP($B404,Data!$B$3:$EZ1530,4,FALSE)),"")</f>
        <v>0.06326959847</v>
      </c>
      <c r="H404" s="48">
        <f>IFERROR(DIVIDE(VLOOKUP($B404,Data!$B$3:$EZ1530,44,FALSE),VLOOKUP($B404,Data!$B$3:$EZ1530,4,FALSE)),"")</f>
        <v>0.309751434</v>
      </c>
      <c r="I404" s="48">
        <f>IFERROR(MINUS(DIVIDE(VLOOKUP($B404,Data!$B$3:$EZ1530,9,FALSE),VLOOKUP($B404,Data!$B$3:$EZ1530,10,FALSE)),1),"")</f>
        <v>0.2635658915</v>
      </c>
      <c r="J404" s="48">
        <f>IFERROR(MINUS(DIVIDE(VLOOKUP($B404,Data!$B$3:$EZ1530,24,FALSE),VLOOKUP($B404,Data!$B$3:$EZ1530,25,FALSE)),1),"")</f>
        <v>1.104208417</v>
      </c>
      <c r="K404" s="48">
        <f>IFERROR(MINUS(DIVIDE(VLOOKUP($B404,Data!$B$3:$EZ1530,29,FALSE),VLOOKUP($B404,Data!$B$3:$EZ1530,30,FALSE)),1),"")</f>
        <v>0.2466315401</v>
      </c>
      <c r="L404" s="48">
        <f>IFERROR(MINUS(DIVIDE(VLOOKUP($B404,Data!$B$3:$EZ1530,34,FALSE),VLOOKUP($B404,Data!$B$3:$EZ1530,35,FALSE)),1),"")</f>
        <v>0.2164179104</v>
      </c>
      <c r="M404" s="48">
        <f>IFERROR(MINUS(DIVIDE(VLOOKUP($B404,Data!$B$3:$EZ1530,39,FALSE),VLOOKUP($B404,Data!$B$3:$EZ1530,40,FALSE)),1),"")</f>
        <v>0.2054205676</v>
      </c>
      <c r="N404" s="48">
        <f>IFERROR(MINUS(DIVIDE(VLOOKUP($B404,Data!$B$3:$EZ1530,44,FALSE),VLOOKUP($B404,Data!$B$3:$EZ1530,45,FALSE)),1),"")</f>
        <v>0.1328671329</v>
      </c>
      <c r="O404" s="50">
        <f>IFERROR(VLOOKUP($B404,Data!$B$3:$D1530,2,FALSE),"")</f>
        <v>15960000</v>
      </c>
      <c r="P404" s="50">
        <f>IFERROR(VLOOKUP($B404,Data!$B$3:$D1530,3,FALSE),"")</f>
        <v>13620000</v>
      </c>
      <c r="Q404" s="48">
        <f t="shared" si="2"/>
        <v>0.1718061674</v>
      </c>
      <c r="R404" s="48"/>
      <c r="S404" s="48"/>
      <c r="T404" s="48"/>
      <c r="U404" s="48"/>
      <c r="V404" s="48"/>
      <c r="W404" s="50"/>
      <c r="Z404" s="11"/>
      <c r="AA404" s="11"/>
    </row>
    <row r="405">
      <c r="A405" s="9">
        <f t="shared" si="1"/>
        <v>402</v>
      </c>
      <c r="B405" s="47" t="s">
        <v>538</v>
      </c>
      <c r="C405" s="48">
        <f>IFERROR(DIVIDE(VLOOKUP($B405,Data!$B$3:$AB$1535,9,FALSE),VLOOKUP($B405,Data!$B$3:$AB$1535,4,FALSE)),"")</f>
        <v>0.5095921653</v>
      </c>
      <c r="D405" s="48">
        <f>IFERROR(DIVIDE(VLOOKUP($B405,Data!$B$3:$AB$1535,24,FALSE),VLOOKUP($B405,Data!$B$3:$AB$1535,4,FALSE)),"")</f>
        <v>0</v>
      </c>
      <c r="E405" s="48">
        <f>IFERROR(DIVIDE(VLOOKUP($B405,Data!$B$3:$EZ1530,29,FALSE),VLOOKUP($B405,Data!$B$3:$EZ1530,4,FALSE)),"")</f>
        <v>0.2898890976</v>
      </c>
      <c r="F405" s="48">
        <f>IFERROR(DIVIDE(VLOOKUP($B405,Data!$B$3:$EZ1530,34,FALSE),VLOOKUP($B405,Data!$B$3:$EZ1530,4,FALSE)),"")</f>
        <v>0.6848895448</v>
      </c>
      <c r="G405" s="48">
        <f>IFERROR(DIVIDE(VLOOKUP($B405,Data!$B$3:$EZ1530,39,FALSE),VLOOKUP($B405,Data!$B$3:$EZ1530,4,FALSE)),"")</f>
        <v>0.2934665951</v>
      </c>
      <c r="H405" s="48">
        <f>IFERROR(DIVIDE(VLOOKUP($B405,Data!$B$3:$EZ1530,44,FALSE),VLOOKUP($B405,Data!$B$3:$EZ1530,4,FALSE)),"")</f>
        <v>0.4234862714</v>
      </c>
      <c r="I405" s="48">
        <f>IFERROR(MINUS(DIVIDE(VLOOKUP($B405,Data!$B$3:$EZ1530,9,FALSE),VLOOKUP($B405,Data!$B$3:$EZ1530,10,FALSE)),1),"")</f>
        <v>0.01324856622</v>
      </c>
      <c r="J405" s="48">
        <f>IFERROR(MINUS(DIVIDE(VLOOKUP($B405,Data!$B$3:$EZ1530,24,FALSE),VLOOKUP($B405,Data!$B$3:$EZ1530,25,FALSE)),1),"")</f>
        <v>-1</v>
      </c>
      <c r="K405" s="48">
        <f>IFERROR(MINUS(DIVIDE(VLOOKUP($B405,Data!$B$3:$EZ1530,29,FALSE),VLOOKUP($B405,Data!$B$3:$EZ1530,30,FALSE)),1),"")</f>
        <v>-4.779883382</v>
      </c>
      <c r="L405" s="48">
        <f>IFERROR(MINUS(DIVIDE(VLOOKUP($B405,Data!$B$3:$EZ1530,34,FALSE),VLOOKUP($B405,Data!$B$3:$EZ1530,35,FALSE)),1),"")</f>
        <v>-0.02940524098</v>
      </c>
      <c r="M405" s="48">
        <f>IFERROR(MINUS(DIVIDE(VLOOKUP($B405,Data!$B$3:$EZ1530,39,FALSE),VLOOKUP($B405,Data!$B$3:$EZ1530,40,FALSE)),1),"")</f>
        <v>-4.984517304</v>
      </c>
      <c r="N405" s="48">
        <f>IFERROR(MINUS(DIVIDE(VLOOKUP($B405,Data!$B$3:$EZ1530,44,FALSE),VLOOKUP($B405,Data!$B$3:$EZ1530,45,FALSE)),1),"")</f>
        <v>0.4605181986</v>
      </c>
      <c r="O405" s="50">
        <f>IFERROR(VLOOKUP($B405,Data!$B$3:$D1530,2,FALSE),"")</f>
        <v>440080</v>
      </c>
      <c r="P405" s="50">
        <f>IFERROR(VLOOKUP($B405,Data!$B$3:$D1530,3,FALSE),"")</f>
        <v>436970</v>
      </c>
      <c r="Q405" s="48">
        <f t="shared" si="2"/>
        <v>0.0071171934</v>
      </c>
      <c r="R405" s="48"/>
      <c r="S405" s="48"/>
      <c r="T405" s="48"/>
      <c r="U405" s="48"/>
      <c r="V405" s="48"/>
      <c r="W405" s="50"/>
      <c r="Z405" s="15"/>
      <c r="AA405" s="15"/>
    </row>
    <row r="406">
      <c r="A406" s="9">
        <f t="shared" si="1"/>
        <v>403</v>
      </c>
      <c r="B406" s="52" t="s">
        <v>539</v>
      </c>
      <c r="C406" s="48">
        <f>IFERROR(DIVIDE(VLOOKUP($B406,Data!$B$3:$AB$1535,9,FALSE),VLOOKUP($B406,Data!$B$3:$AB$1535,4,FALSE)),"")</f>
        <v>0.221654967</v>
      </c>
      <c r="D406" s="48">
        <f>IFERROR(DIVIDE(VLOOKUP($B406,Data!$B$3:$AB$1535,24,FALSE),VLOOKUP($B406,Data!$B$3:$AB$1535,4,FALSE)),"")</f>
        <v>0.1410338226</v>
      </c>
      <c r="E406" s="48">
        <f>IFERROR(DIVIDE(VLOOKUP($B406,Data!$B$3:$EZ1530,29,FALSE),VLOOKUP($B406,Data!$B$3:$EZ1530,4,FALSE)),"")</f>
        <v>0.1318868326</v>
      </c>
      <c r="F406" s="48">
        <f>IFERROR(DIVIDE(VLOOKUP($B406,Data!$B$3:$EZ1530,34,FALSE),VLOOKUP($B406,Data!$B$3:$EZ1530,4,FALSE)),"")</f>
        <v>0.1965539247</v>
      </c>
      <c r="G406" s="48">
        <f>IFERROR(DIVIDE(VLOOKUP($B406,Data!$B$3:$EZ1530,39,FALSE),VLOOKUP($B406,Data!$B$3:$EZ1530,4,FALSE)),"")</f>
        <v>0.1014677728</v>
      </c>
      <c r="H406" s="48">
        <f>IFERROR(DIVIDE(VLOOKUP($B406,Data!$B$3:$EZ1530,44,FALSE),VLOOKUP($B406,Data!$B$3:$EZ1530,4,FALSE)),"")</f>
        <v>0.1793235482</v>
      </c>
      <c r="I406" s="48">
        <f>IFERROR(MINUS(DIVIDE(VLOOKUP($B406,Data!$B$3:$EZ1530,9,FALSE),VLOOKUP($B406,Data!$B$3:$EZ1530,10,FALSE)),1),"")</f>
        <v>0.1668533035</v>
      </c>
      <c r="J406" s="48">
        <f>IFERROR(MINUS(DIVIDE(VLOOKUP($B406,Data!$B$3:$EZ1530,24,FALSE),VLOOKUP($B406,Data!$B$3:$EZ1530,25,FALSE)),1),"")</f>
        <v>0.2556818182</v>
      </c>
      <c r="K406" s="48">
        <f>IFERROR(MINUS(DIVIDE(VLOOKUP($B406,Data!$B$3:$EZ1530,29,FALSE),VLOOKUP($B406,Data!$B$3:$EZ1530,30,FALSE)),1),"")</f>
        <v>0.2038834951</v>
      </c>
      <c r="L406" s="48">
        <f>IFERROR(MINUS(DIVIDE(VLOOKUP($B406,Data!$B$3:$EZ1530,34,FALSE),VLOOKUP($B406,Data!$B$3:$EZ1530,35,FALSE)),1),"")</f>
        <v>0.2157894737</v>
      </c>
      <c r="M406" s="48">
        <f>IFERROR(MINUS(DIVIDE(VLOOKUP($B406,Data!$B$3:$EZ1530,39,FALSE),VLOOKUP($B406,Data!$B$3:$EZ1530,40,FALSE)),1),"")</f>
        <v>0.2106598985</v>
      </c>
      <c r="N406" s="48">
        <f>IFERROR(MINUS(DIVIDE(VLOOKUP($B406,Data!$B$3:$EZ1530,44,FALSE),VLOOKUP($B406,Data!$B$3:$EZ1530,45,FALSE)),1),"")</f>
        <v>0.2025677603</v>
      </c>
      <c r="O406" s="50">
        <f>IFERROR(VLOOKUP($B406,Data!$B$3:$D1530,2,FALSE),"")</f>
        <v>30380000</v>
      </c>
      <c r="P406" s="50">
        <f>IFERROR(VLOOKUP($B406,Data!$B$3:$D1530,3,FALSE),"")</f>
        <v>17850000</v>
      </c>
      <c r="Q406" s="48">
        <f t="shared" si="2"/>
        <v>0.7019607843</v>
      </c>
      <c r="R406" s="48"/>
      <c r="S406" s="48"/>
      <c r="T406" s="48"/>
      <c r="U406" s="48"/>
      <c r="V406" s="48"/>
      <c r="W406" s="50"/>
      <c r="Z406" s="15"/>
      <c r="AA406" s="15"/>
    </row>
    <row r="407">
      <c r="A407" s="9">
        <f t="shared" si="1"/>
        <v>404</v>
      </c>
      <c r="B407" s="47" t="s">
        <v>540</v>
      </c>
      <c r="C407" s="48">
        <f>IFERROR(DIVIDE(VLOOKUP($B407,Data!$B$3:$AB$1535,9,FALSE),VLOOKUP($B407,Data!$B$3:$AB$1535,4,FALSE)),"")</f>
        <v>0.1328928571</v>
      </c>
      <c r="D407" s="48">
        <f>IFERROR(DIVIDE(VLOOKUP($B407,Data!$B$3:$AB$1535,24,FALSE),VLOOKUP($B407,Data!$B$3:$AB$1535,4,FALSE)),"")</f>
        <v>0.02241964286</v>
      </c>
      <c r="E407" s="48">
        <f>IFERROR(DIVIDE(VLOOKUP($B407,Data!$B$3:$EZ1530,29,FALSE),VLOOKUP($B407,Data!$B$3:$EZ1530,4,FALSE)),"")</f>
        <v>0.1132232143</v>
      </c>
      <c r="F407" s="48">
        <f>IFERROR(DIVIDE(VLOOKUP($B407,Data!$B$3:$EZ1530,34,FALSE),VLOOKUP($B407,Data!$B$3:$EZ1530,4,FALSE)),"")</f>
        <v>0.1235595238</v>
      </c>
      <c r="G407" s="48">
        <f>IFERROR(DIVIDE(VLOOKUP($B407,Data!$B$3:$EZ1530,39,FALSE),VLOOKUP($B407,Data!$B$3:$EZ1530,4,FALSE)),"")</f>
        <v>0.09303571429</v>
      </c>
      <c r="H407" s="48">
        <f>IFERROR(DIVIDE(VLOOKUP($B407,Data!$B$3:$EZ1530,44,FALSE),VLOOKUP($B407,Data!$B$3:$EZ1530,4,FALSE)),"")</f>
        <v>0.107922619</v>
      </c>
      <c r="I407" s="48">
        <f>IFERROR(MINUS(DIVIDE(VLOOKUP($B407,Data!$B$3:$EZ1530,9,FALSE),VLOOKUP($B407,Data!$B$3:$EZ1530,10,FALSE)),1),"")</f>
        <v>0.0592337801</v>
      </c>
      <c r="J407" s="48">
        <f>IFERROR(MINUS(DIVIDE(VLOOKUP($B407,Data!$B$3:$EZ1530,24,FALSE),VLOOKUP($B407,Data!$B$3:$EZ1530,25,FALSE)),1),"")</f>
        <v>0.04668611922</v>
      </c>
      <c r="K407" s="48">
        <f>IFERROR(MINUS(DIVIDE(VLOOKUP($B407,Data!$B$3:$EZ1530,29,FALSE),VLOOKUP($B407,Data!$B$3:$EZ1530,30,FALSE)),1),"")</f>
        <v>2.224529581</v>
      </c>
      <c r="L407" s="48">
        <f>IFERROR(MINUS(DIVIDE(VLOOKUP($B407,Data!$B$3:$EZ1530,34,FALSE),VLOOKUP($B407,Data!$B$3:$EZ1530,35,FALSE)),1),"")</f>
        <v>-0.04893246587</v>
      </c>
      <c r="M407" s="48">
        <f>IFERROR(MINUS(DIVIDE(VLOOKUP($B407,Data!$B$3:$EZ1530,39,FALSE),VLOOKUP($B407,Data!$B$3:$EZ1530,40,FALSE)),1),"")</f>
        <v>2.079802956</v>
      </c>
      <c r="N407" s="48">
        <f>IFERROR(MINUS(DIVIDE(VLOOKUP($B407,Data!$B$3:$EZ1530,44,FALSE),VLOOKUP($B407,Data!$B$3:$EZ1530,45,FALSE)),1),"")</f>
        <v>-0.09031157493</v>
      </c>
      <c r="O407" s="50">
        <f>IFERROR(VLOOKUP($B407,Data!$B$3:$D1530,2,FALSE),"")</f>
        <v>3580000</v>
      </c>
      <c r="P407" s="50">
        <f>IFERROR(VLOOKUP($B407,Data!$B$3:$D1530,3,FALSE),"")</f>
        <v>3420000</v>
      </c>
      <c r="Q407" s="48">
        <f t="shared" si="2"/>
        <v>0.04678362573</v>
      </c>
      <c r="R407" s="48"/>
      <c r="S407" s="48"/>
      <c r="T407" s="48"/>
      <c r="U407" s="48"/>
      <c r="V407" s="48"/>
      <c r="W407" s="50"/>
      <c r="Z407" s="11"/>
      <c r="AA407" s="11"/>
    </row>
    <row r="408">
      <c r="A408" s="9">
        <f t="shared" si="1"/>
        <v>405</v>
      </c>
      <c r="B408" s="47" t="s">
        <v>541</v>
      </c>
      <c r="C408" s="48" t="str">
        <f>IFERROR(DIVIDE(VLOOKUP($B408,Data!$B$3:$AB$1535,9,FALSE),VLOOKUP($B408,Data!$B$3:$AB$1535,4,FALSE)),"")</f>
        <v/>
      </c>
      <c r="D408" s="48" t="str">
        <f>IFERROR(DIVIDE(VLOOKUP($B408,Data!$B$3:$AB$1535,24,FALSE),VLOOKUP($B408,Data!$B$3:$AB$1535,4,FALSE)),"")</f>
        <v/>
      </c>
      <c r="E408" s="48" t="str">
        <f>IFERROR(DIVIDE(VLOOKUP($B408,Data!$B$3:$EZ1530,29,FALSE),VLOOKUP($B408,Data!$B$3:$EZ1530,4,FALSE)),"")</f>
        <v/>
      </c>
      <c r="F408" s="48" t="str">
        <f>IFERROR(DIVIDE(VLOOKUP($B408,Data!$B$3:$EZ1530,34,FALSE),VLOOKUP($B408,Data!$B$3:$EZ1530,4,FALSE)),"")</f>
        <v/>
      </c>
      <c r="G408" s="48" t="str">
        <f>IFERROR(DIVIDE(VLOOKUP($B408,Data!$B$3:$EZ1530,39,FALSE),VLOOKUP($B408,Data!$B$3:$EZ1530,4,FALSE)),"")</f>
        <v/>
      </c>
      <c r="H408" s="48" t="str">
        <f>IFERROR(DIVIDE(VLOOKUP($B408,Data!$B$3:$EZ1530,44,FALSE),VLOOKUP($B408,Data!$B$3:$EZ1530,4,FALSE)),"")</f>
        <v/>
      </c>
      <c r="I408" s="48">
        <f>IFERROR(MINUS(DIVIDE(VLOOKUP($B408,Data!$B$3:$EZ1530,9,FALSE),VLOOKUP($B408,Data!$B$3:$EZ1530,10,FALSE)),1),"")</f>
        <v>0.4513064133</v>
      </c>
      <c r="J408" s="48" t="str">
        <f>IFERROR(MINUS(DIVIDE(VLOOKUP($B408,Data!$B$3:$EZ1530,24,FALSE),VLOOKUP($B408,Data!$B$3:$EZ1530,25,FALSE)),1),"")</f>
        <v/>
      </c>
      <c r="K408" s="48">
        <f>IFERROR(MINUS(DIVIDE(VLOOKUP($B408,Data!$B$3:$EZ1530,29,FALSE),VLOOKUP($B408,Data!$B$3:$EZ1530,30,FALSE)),1),"")</f>
        <v>-0.08068887634</v>
      </c>
      <c r="L408" s="48">
        <f>IFERROR(MINUS(DIVIDE(VLOOKUP($B408,Data!$B$3:$EZ1530,34,FALSE),VLOOKUP($B408,Data!$B$3:$EZ1530,35,FALSE)),1),"")</f>
        <v>-0.1008327197</v>
      </c>
      <c r="M408" s="48">
        <f>IFERROR(MINUS(DIVIDE(VLOOKUP($B408,Data!$B$3:$EZ1530,39,FALSE),VLOOKUP($B408,Data!$B$3:$EZ1530,40,FALSE)),1),"")</f>
        <v>-0.07520472062</v>
      </c>
      <c r="N408" s="48">
        <f>IFERROR(MINUS(DIVIDE(VLOOKUP($B408,Data!$B$3:$EZ1530,44,FALSE),VLOOKUP($B408,Data!$B$3:$EZ1530,45,FALSE)),1),"")</f>
        <v>-0.05928853755</v>
      </c>
      <c r="O408" s="50">
        <f>IFERROR(VLOOKUP($B408,Data!$B$3:$D1530,2,FALSE),"")</f>
        <v>43200</v>
      </c>
      <c r="P408" s="50">
        <f>IFERROR(VLOOKUP($B408,Data!$B$3:$D1530,3,FALSE),"")</f>
        <v>19430</v>
      </c>
      <c r="Q408" s="48">
        <f t="shared" si="2"/>
        <v>1.223365929</v>
      </c>
      <c r="R408" s="48"/>
      <c r="S408" s="48"/>
      <c r="T408" s="48"/>
      <c r="U408" s="48"/>
      <c r="V408" s="48"/>
      <c r="W408" s="50"/>
      <c r="Z408" s="19"/>
      <c r="AA408" s="19"/>
    </row>
    <row r="409">
      <c r="A409" s="9">
        <f t="shared" si="1"/>
        <v>406</v>
      </c>
      <c r="B409" s="47" t="s">
        <v>542</v>
      </c>
      <c r="C409" s="48">
        <f>IFERROR(DIVIDE(VLOOKUP($B409,Data!$B$3:$AB$1535,9,FALSE),VLOOKUP($B409,Data!$B$3:$AB$1535,4,FALSE)),"")</f>
        <v>0.2110693533</v>
      </c>
      <c r="D409" s="48">
        <f>IFERROR(DIVIDE(VLOOKUP($B409,Data!$B$3:$AB$1535,24,FALSE),VLOOKUP($B409,Data!$B$3:$AB$1535,4,FALSE)),"")</f>
        <v>0.07772954832</v>
      </c>
      <c r="E409" s="48">
        <f>IFERROR(DIVIDE(VLOOKUP($B409,Data!$B$3:$EZ1530,29,FALSE),VLOOKUP($B409,Data!$B$3:$EZ1530,4,FALSE)),"")</f>
        <v>0.0523651694</v>
      </c>
      <c r="F409" s="48">
        <f>IFERROR(DIVIDE(VLOOKUP($B409,Data!$B$3:$EZ1530,34,FALSE),VLOOKUP($B409,Data!$B$3:$EZ1530,4,FALSE)),"")</f>
        <v>0.1220513389</v>
      </c>
      <c r="G409" s="48">
        <f>IFERROR(DIVIDE(VLOOKUP($B409,Data!$B$3:$EZ1530,39,FALSE),VLOOKUP($B409,Data!$B$3:$EZ1530,4,FALSE)),"")</f>
        <v>0.04501518534</v>
      </c>
      <c r="H409" s="48">
        <f>IFERROR(DIVIDE(VLOOKUP($B409,Data!$B$3:$EZ1530,44,FALSE),VLOOKUP($B409,Data!$B$3:$EZ1530,4,FALSE)),"")</f>
        <v>0.07076786532</v>
      </c>
      <c r="I409" s="48">
        <f>IFERROR(MINUS(DIVIDE(VLOOKUP($B409,Data!$B$3:$EZ1530,9,FALSE),VLOOKUP($B409,Data!$B$3:$EZ1530,10,FALSE)),1),"")</f>
        <v>0.2414355628</v>
      </c>
      <c r="J409" s="48">
        <f>IFERROR(MINUS(DIVIDE(VLOOKUP($B409,Data!$B$3:$EZ1530,24,FALSE),VLOOKUP($B409,Data!$B$3:$EZ1530,25,FALSE)),1),"")</f>
        <v>-4.592948718</v>
      </c>
      <c r="K409" s="48">
        <f>IFERROR(MINUS(DIVIDE(VLOOKUP($B409,Data!$B$3:$EZ1530,29,FALSE),VLOOKUP($B409,Data!$B$3:$EZ1530,30,FALSE)),1),"")</f>
        <v>2.676728335</v>
      </c>
      <c r="L409" s="48">
        <f>IFERROR(MINUS(DIVIDE(VLOOKUP($B409,Data!$B$3:$EZ1530,34,FALSE),VLOOKUP($B409,Data!$B$3:$EZ1530,35,FALSE)),1),"")</f>
        <v>0.3775238692</v>
      </c>
      <c r="M409" s="48">
        <f>IFERROR(MINUS(DIVIDE(VLOOKUP($B409,Data!$B$3:$EZ1530,39,FALSE),VLOOKUP($B409,Data!$B$3:$EZ1530,40,FALSE)),1),"")</f>
        <v>2.590707965</v>
      </c>
      <c r="N409" s="48">
        <f>IFERROR(MINUS(DIVIDE(VLOOKUP($B409,Data!$B$3:$EZ1530,44,FALSE),VLOOKUP($B409,Data!$B$3:$EZ1530,45,FALSE)),1),"")</f>
        <v>0.1035899654</v>
      </c>
      <c r="O409" s="50">
        <f>IFERROR(VLOOKUP($B409,Data!$B$3:$D1530,2,FALSE),"")</f>
        <v>680320</v>
      </c>
      <c r="P409" s="50">
        <f>IFERROR(VLOOKUP($B409,Data!$B$3:$D1530,3,FALSE),"")</f>
        <v>652890</v>
      </c>
      <c r="Q409" s="48">
        <f t="shared" si="2"/>
        <v>0.04201320284</v>
      </c>
      <c r="R409" s="48"/>
      <c r="S409" s="48"/>
      <c r="T409" s="48"/>
      <c r="U409" s="48"/>
      <c r="V409" s="48"/>
      <c r="W409" s="50"/>
      <c r="Z409" s="15"/>
      <c r="AA409" s="15"/>
    </row>
    <row r="410">
      <c r="A410" s="9">
        <f t="shared" si="1"/>
        <v>407</v>
      </c>
      <c r="B410" s="47" t="s">
        <v>543</v>
      </c>
      <c r="C410" s="48">
        <f>IFERROR(DIVIDE(VLOOKUP($B410,Data!$B$3:$AB$1535,9,FALSE),VLOOKUP($B410,Data!$B$3:$AB$1535,4,FALSE)),"")</f>
        <v>0</v>
      </c>
      <c r="D410" s="48">
        <f>IFERROR(DIVIDE(VLOOKUP($B410,Data!$B$3:$AB$1535,24,FALSE),VLOOKUP($B410,Data!$B$3:$AB$1535,4,FALSE)),"")</f>
        <v>0</v>
      </c>
      <c r="E410" s="48">
        <f>IFERROR(DIVIDE(VLOOKUP($B410,Data!$B$3:$EZ1530,29,FALSE),VLOOKUP($B410,Data!$B$3:$EZ1530,4,FALSE)),"")</f>
        <v>-7.6904</v>
      </c>
      <c r="F410" s="48">
        <f>IFERROR(DIVIDE(VLOOKUP($B410,Data!$B$3:$EZ1530,34,FALSE),VLOOKUP($B410,Data!$B$3:$EZ1530,4,FALSE)),"")</f>
        <v>-7.996</v>
      </c>
      <c r="G410" s="48">
        <f>IFERROR(DIVIDE(VLOOKUP($B410,Data!$B$3:$EZ1530,39,FALSE),VLOOKUP($B410,Data!$B$3:$EZ1530,4,FALSE)),"")</f>
        <v>-7.6904</v>
      </c>
      <c r="H410" s="48">
        <f>IFERROR(DIVIDE(VLOOKUP($B410,Data!$B$3:$EZ1530,44,FALSE),VLOOKUP($B410,Data!$B$3:$EZ1530,4,FALSE)),"")</f>
        <v>-5.9592</v>
      </c>
      <c r="I410" s="48">
        <f>IFERROR(MINUS(DIVIDE(VLOOKUP($B410,Data!$B$3:$EZ1530,9,FALSE),VLOOKUP($B410,Data!$B$3:$EZ1530,10,FALSE)),1),"")</f>
        <v>-1</v>
      </c>
      <c r="J410" s="48" t="str">
        <f>IFERROR(MINUS(DIVIDE(VLOOKUP($B410,Data!$B$3:$EZ1530,24,FALSE),VLOOKUP($B410,Data!$B$3:$EZ1530,25,FALSE)),1),"")</f>
        <v/>
      </c>
      <c r="K410" s="48">
        <f>IFERROR(MINUS(DIVIDE(VLOOKUP($B410,Data!$B$3:$EZ1530,29,FALSE),VLOOKUP($B410,Data!$B$3:$EZ1530,30,FALSE)),1),"")</f>
        <v>0.9254882323</v>
      </c>
      <c r="L410" s="48">
        <f>IFERROR(MINUS(DIVIDE(VLOOKUP($B410,Data!$B$3:$EZ1530,34,FALSE),VLOOKUP($B410,Data!$B$3:$EZ1530,35,FALSE)),1),"")</f>
        <v>0.9261900173</v>
      </c>
      <c r="M410" s="48">
        <f>IFERROR(MINUS(DIVIDE(VLOOKUP($B410,Data!$B$3:$EZ1530,39,FALSE),VLOOKUP($B410,Data!$B$3:$EZ1530,40,FALSE)),1),"")</f>
        <v>0.9254882323</v>
      </c>
      <c r="N410" s="48">
        <f>IFERROR(MINUS(DIVIDE(VLOOKUP($B410,Data!$B$3:$EZ1530,44,FALSE),VLOOKUP($B410,Data!$B$3:$EZ1530,45,FALSE)),1),"")</f>
        <v>0.7167550127</v>
      </c>
      <c r="O410" s="50">
        <f>IFERROR(VLOOKUP($B410,Data!$B$3:$D1530,2,FALSE),"")</f>
        <v>85980</v>
      </c>
      <c r="P410" s="50">
        <f>IFERROR(VLOOKUP($B410,Data!$B$3:$D1530,3,FALSE),"")</f>
        <v>25290</v>
      </c>
      <c r="Q410" s="48">
        <f t="shared" si="2"/>
        <v>2.399762752</v>
      </c>
      <c r="R410" s="48"/>
      <c r="S410" s="48"/>
      <c r="T410" s="48"/>
      <c r="U410" s="48"/>
      <c r="V410" s="48"/>
      <c r="W410" s="50"/>
      <c r="Z410" s="11"/>
      <c r="AA410" s="11"/>
    </row>
    <row r="411">
      <c r="A411" s="9">
        <f t="shared" si="1"/>
        <v>408</v>
      </c>
      <c r="B411" s="47" t="s">
        <v>544</v>
      </c>
      <c r="C411" s="48" t="str">
        <f>IFERROR(DIVIDE(VLOOKUP($B411,Data!$B$3:$AB$1535,9,FALSE),VLOOKUP($B411,Data!$B$3:$AB$1535,4,FALSE)),"")</f>
        <v/>
      </c>
      <c r="D411" s="48" t="str">
        <f>IFERROR(DIVIDE(VLOOKUP($B411,Data!$B$3:$AB$1535,24,FALSE),VLOOKUP($B411,Data!$B$3:$AB$1535,4,FALSE)),"")</f>
        <v/>
      </c>
      <c r="E411" s="48" t="str">
        <f>IFERROR(DIVIDE(VLOOKUP($B411,Data!$B$3:$EZ1530,29,FALSE),VLOOKUP($B411,Data!$B$3:$EZ1530,4,FALSE)),"")</f>
        <v/>
      </c>
      <c r="F411" s="48" t="str">
        <f>IFERROR(DIVIDE(VLOOKUP($B411,Data!$B$3:$EZ1530,34,FALSE),VLOOKUP($B411,Data!$B$3:$EZ1530,4,FALSE)),"")</f>
        <v/>
      </c>
      <c r="G411" s="48" t="str">
        <f>IFERROR(DIVIDE(VLOOKUP($B411,Data!$B$3:$EZ1530,39,FALSE),VLOOKUP($B411,Data!$B$3:$EZ1530,4,FALSE)),"")</f>
        <v/>
      </c>
      <c r="H411" s="48" t="str">
        <f>IFERROR(DIVIDE(VLOOKUP($B411,Data!$B$3:$EZ1530,44,FALSE),VLOOKUP($B411,Data!$B$3:$EZ1530,4,FALSE)),"")</f>
        <v/>
      </c>
      <c r="I411" s="48" t="str">
        <f>IFERROR(MINUS(DIVIDE(VLOOKUP($B411,Data!$B$3:$EZ1530,9,FALSE),VLOOKUP($B411,Data!$B$3:$EZ1530,10,FALSE)),1),"")</f>
        <v/>
      </c>
      <c r="J411" s="48" t="str">
        <f>IFERROR(MINUS(DIVIDE(VLOOKUP($B411,Data!$B$3:$EZ1530,24,FALSE),VLOOKUP($B411,Data!$B$3:$EZ1530,25,FALSE)),1),"")</f>
        <v/>
      </c>
      <c r="K411" s="48" t="str">
        <f>IFERROR(MINUS(DIVIDE(VLOOKUP($B411,Data!$B$3:$EZ1530,29,FALSE),VLOOKUP($B411,Data!$B$3:$EZ1530,30,FALSE)),1),"")</f>
        <v/>
      </c>
      <c r="L411" s="48" t="str">
        <f>IFERROR(MINUS(DIVIDE(VLOOKUP($B411,Data!$B$3:$EZ1530,34,FALSE),VLOOKUP($B411,Data!$B$3:$EZ1530,35,FALSE)),1),"")</f>
        <v/>
      </c>
      <c r="M411" s="48" t="str">
        <f>IFERROR(MINUS(DIVIDE(VLOOKUP($B411,Data!$B$3:$EZ1530,39,FALSE),VLOOKUP($B411,Data!$B$3:$EZ1530,40,FALSE)),1),"")</f>
        <v/>
      </c>
      <c r="N411" s="48" t="str">
        <f>IFERROR(MINUS(DIVIDE(VLOOKUP($B411,Data!$B$3:$EZ1530,44,FALSE),VLOOKUP($B411,Data!$B$3:$EZ1530,45,FALSE)),1),"")</f>
        <v/>
      </c>
      <c r="O411" s="50" t="str">
        <f>IFERROR(VLOOKUP($B411,Data!$B$3:$D1530,2,FALSE),"")</f>
        <v/>
      </c>
      <c r="P411" s="50" t="str">
        <f>IFERROR(VLOOKUP($B411,Data!$B$3:$D1530,3,FALSE),"")</f>
        <v/>
      </c>
      <c r="Q411" s="48" t="str">
        <f t="shared" si="2"/>
        <v/>
      </c>
      <c r="R411" s="48"/>
      <c r="S411" s="48"/>
      <c r="T411" s="48"/>
      <c r="U411" s="48"/>
      <c r="V411" s="48"/>
      <c r="W411" s="50"/>
      <c r="Z411" s="11"/>
      <c r="AA411" s="11"/>
    </row>
    <row r="412">
      <c r="A412" s="9">
        <f t="shared" si="1"/>
        <v>409</v>
      </c>
      <c r="B412" s="47" t="s">
        <v>545</v>
      </c>
      <c r="C412" s="48">
        <f>IFERROR(DIVIDE(VLOOKUP($B412,Data!$B$3:$AB$1535,9,FALSE),VLOOKUP($B412,Data!$B$3:$AB$1535,4,FALSE)),"")</f>
        <v>0.2965299685</v>
      </c>
      <c r="D412" s="48">
        <f>IFERROR(DIVIDE(VLOOKUP($B412,Data!$B$3:$AB$1535,24,FALSE),VLOOKUP($B412,Data!$B$3:$AB$1535,4,FALSE)),"")</f>
        <v>0</v>
      </c>
      <c r="E412" s="48">
        <f>IFERROR(DIVIDE(VLOOKUP($B412,Data!$B$3:$EZ1530,29,FALSE),VLOOKUP($B412,Data!$B$3:$EZ1530,4,FALSE)),"")</f>
        <v>0.02111829653</v>
      </c>
      <c r="F412" s="48">
        <f>IFERROR(DIVIDE(VLOOKUP($B412,Data!$B$3:$EZ1530,34,FALSE),VLOOKUP($B412,Data!$B$3:$EZ1530,4,FALSE)),"")</f>
        <v>0.06148895899</v>
      </c>
      <c r="G412" s="48">
        <f>IFERROR(DIVIDE(VLOOKUP($B412,Data!$B$3:$EZ1530,39,FALSE),VLOOKUP($B412,Data!$B$3:$EZ1530,4,FALSE)),"")</f>
        <v>0.01752050473</v>
      </c>
      <c r="H412" s="48">
        <f>IFERROR(DIVIDE(VLOOKUP($B412,Data!$B$3:$EZ1530,44,FALSE),VLOOKUP($B412,Data!$B$3:$EZ1530,4,FALSE)),"")</f>
        <v>0.05794479495</v>
      </c>
      <c r="I412" s="48">
        <f>IFERROR(MINUS(DIVIDE(VLOOKUP($B412,Data!$B$3:$EZ1530,9,FALSE),VLOOKUP($B412,Data!$B$3:$EZ1530,10,FALSE)),1),"")</f>
        <v>-0.05527638191</v>
      </c>
      <c r="J412" s="48" t="str">
        <f>IFERROR(MINUS(DIVIDE(VLOOKUP($B412,Data!$B$3:$EZ1530,24,FALSE),VLOOKUP($B412,Data!$B$3:$EZ1530,25,FALSE)),1),"")</f>
        <v/>
      </c>
      <c r="K412" s="48">
        <f>IFERROR(MINUS(DIVIDE(VLOOKUP($B412,Data!$B$3:$EZ1530,29,FALSE),VLOOKUP($B412,Data!$B$3:$EZ1530,30,FALSE)),1),"")</f>
        <v>-0.3561742643</v>
      </c>
      <c r="L412" s="48">
        <f>IFERROR(MINUS(DIVIDE(VLOOKUP($B412,Data!$B$3:$EZ1530,34,FALSE),VLOOKUP($B412,Data!$B$3:$EZ1530,35,FALSE)),1),"")</f>
        <v>-0.2076422764</v>
      </c>
      <c r="M412" s="48">
        <f>IFERROR(MINUS(DIVIDE(VLOOKUP($B412,Data!$B$3:$EZ1530,39,FALSE),VLOOKUP($B412,Data!$B$3:$EZ1530,40,FALSE)),1),"")</f>
        <v>-0.3475860449</v>
      </c>
      <c r="N412" s="48">
        <f>IFERROR(MINUS(DIVIDE(VLOOKUP($B412,Data!$B$3:$EZ1530,44,FALSE),VLOOKUP($B412,Data!$B$3:$EZ1530,45,FALSE)),1),"")</f>
        <v>-0.01010454839</v>
      </c>
      <c r="O412" s="50">
        <f>IFERROR(VLOOKUP($B412,Data!$B$3:$D1530,2,FALSE),"")</f>
        <v>5660000</v>
      </c>
      <c r="P412" s="50">
        <f>IFERROR(VLOOKUP($B412,Data!$B$3:$D1530,3,FALSE),"")</f>
        <v>4730000</v>
      </c>
      <c r="Q412" s="48">
        <f t="shared" si="2"/>
        <v>0.1966173362</v>
      </c>
      <c r="R412" s="48"/>
      <c r="S412" s="48"/>
      <c r="T412" s="48"/>
      <c r="U412" s="48"/>
      <c r="V412" s="48"/>
      <c r="W412" s="50"/>
      <c r="Z412" s="11"/>
      <c r="AA412" s="11"/>
    </row>
    <row r="413">
      <c r="A413" s="9">
        <f t="shared" si="1"/>
        <v>410</v>
      </c>
      <c r="B413" s="47" t="s">
        <v>546</v>
      </c>
      <c r="C413" s="48">
        <f>IFERROR(DIVIDE(VLOOKUP($B413,Data!$B$3:$AB$1535,9,FALSE),VLOOKUP($B413,Data!$B$3:$AB$1535,4,FALSE)),"")</f>
        <v>0.2801833928</v>
      </c>
      <c r="D413" s="48">
        <f>IFERROR(DIVIDE(VLOOKUP($B413,Data!$B$3:$AB$1535,24,FALSE),VLOOKUP($B413,Data!$B$3:$AB$1535,4,FALSE)),"")</f>
        <v>0.1551197147</v>
      </c>
      <c r="E413" s="48">
        <f>IFERROR(DIVIDE(VLOOKUP($B413,Data!$B$3:$EZ1530,29,FALSE),VLOOKUP($B413,Data!$B$3:$EZ1530,4,FALSE)),"")</f>
        <v>0.1041772797</v>
      </c>
      <c r="F413" s="48">
        <f>IFERROR(DIVIDE(VLOOKUP($B413,Data!$B$3:$EZ1530,34,FALSE),VLOOKUP($B413,Data!$B$3:$EZ1530,4,FALSE)),"")</f>
        <v>0.1958736628</v>
      </c>
      <c r="G413" s="48">
        <f>IFERROR(DIVIDE(VLOOKUP($B413,Data!$B$3:$EZ1530,39,FALSE),VLOOKUP($B413,Data!$B$3:$EZ1530,4,FALSE)),"")</f>
        <v>0.08278145695</v>
      </c>
      <c r="H413" s="48">
        <f>IFERROR(DIVIDE(VLOOKUP($B413,Data!$B$3:$EZ1530,44,FALSE),VLOOKUP($B413,Data!$B$3:$EZ1530,4,FALSE)),"")</f>
        <v>0.08685685176</v>
      </c>
      <c r="I413" s="48">
        <f>IFERROR(MINUS(DIVIDE(VLOOKUP($B413,Data!$B$3:$EZ1530,9,FALSE),VLOOKUP($B413,Data!$B$3:$EZ1530,10,FALSE)),1),"")</f>
        <v>0.0752688172</v>
      </c>
      <c r="J413" s="48">
        <f>IFERROR(MINUS(DIVIDE(VLOOKUP($B413,Data!$B$3:$EZ1530,24,FALSE),VLOOKUP($B413,Data!$B$3:$EZ1530,25,FALSE)),1),"")</f>
        <v>0.3012820513</v>
      </c>
      <c r="K413" s="48">
        <f>IFERROR(MINUS(DIVIDE(VLOOKUP($B413,Data!$B$3:$EZ1530,29,FALSE),VLOOKUP($B413,Data!$B$3:$EZ1530,30,FALSE)),1),"")</f>
        <v>0.004914004914</v>
      </c>
      <c r="L413" s="48">
        <f>IFERROR(MINUS(DIVIDE(VLOOKUP($B413,Data!$B$3:$EZ1530,34,FALSE),VLOOKUP($B413,Data!$B$3:$EZ1530,35,FALSE)),1),"")</f>
        <v>0.08769448373</v>
      </c>
      <c r="M413" s="48">
        <f>IFERROR(MINUS(DIVIDE(VLOOKUP($B413,Data!$B$3:$EZ1530,39,FALSE),VLOOKUP($B413,Data!$B$3:$EZ1530,40,FALSE)),1),"")</f>
        <v>0.3713080169</v>
      </c>
      <c r="N413" s="48">
        <f>IFERROR(MINUS(DIVIDE(VLOOKUP($B413,Data!$B$3:$EZ1530,44,FALSE),VLOOKUP($B413,Data!$B$3:$EZ1530,45,FALSE)),1),"")</f>
        <v>0.8736263736</v>
      </c>
      <c r="O413" s="50">
        <f>IFERROR(VLOOKUP($B413,Data!$B$3:$D1530,2,FALSE),"")</f>
        <v>30930000</v>
      </c>
      <c r="P413" s="50">
        <f>IFERROR(VLOOKUP($B413,Data!$B$3:$D1530,3,FALSE),"")</f>
        <v>28380000</v>
      </c>
      <c r="Q413" s="48">
        <f t="shared" si="2"/>
        <v>0.08985200846</v>
      </c>
      <c r="R413" s="48"/>
      <c r="S413" s="48"/>
      <c r="T413" s="48"/>
      <c r="U413" s="48"/>
      <c r="V413" s="48"/>
      <c r="W413" s="50"/>
      <c r="Z413" s="12"/>
      <c r="AA413" s="12"/>
    </row>
    <row r="414">
      <c r="A414" s="9">
        <f t="shared" si="1"/>
        <v>411</v>
      </c>
      <c r="B414" s="47" t="s">
        <v>547</v>
      </c>
      <c r="C414" s="48">
        <f>IFERROR(DIVIDE(VLOOKUP($B414,Data!$B$3:$AB$1535,9,FALSE),VLOOKUP($B414,Data!$B$3:$AB$1535,4,FALSE)),"")</f>
        <v>0.4976525822</v>
      </c>
      <c r="D414" s="48">
        <f>IFERROR(DIVIDE(VLOOKUP($B414,Data!$B$3:$AB$1535,24,FALSE),VLOOKUP($B414,Data!$B$3:$AB$1535,4,FALSE)),"")</f>
        <v>0.1580375587</v>
      </c>
      <c r="E414" s="48">
        <f>IFERROR(DIVIDE(VLOOKUP($B414,Data!$B$3:$EZ1530,29,FALSE),VLOOKUP($B414,Data!$B$3:$EZ1530,4,FALSE)),"")</f>
        <v>0.1600328638</v>
      </c>
      <c r="F414" s="48">
        <f>IFERROR(DIVIDE(VLOOKUP($B414,Data!$B$3:$EZ1530,34,FALSE),VLOOKUP($B414,Data!$B$3:$EZ1530,4,FALSE)),"")</f>
        <v>0.1761502347</v>
      </c>
      <c r="G414" s="48">
        <f>IFERROR(DIVIDE(VLOOKUP($B414,Data!$B$3:$EZ1530,39,FALSE),VLOOKUP($B414,Data!$B$3:$EZ1530,4,FALSE)),"")</f>
        <v>0.1296431925</v>
      </c>
      <c r="H414" s="48">
        <f>IFERROR(DIVIDE(VLOOKUP($B414,Data!$B$3:$EZ1530,44,FALSE),VLOOKUP($B414,Data!$B$3:$EZ1530,4,FALSE)),"")</f>
        <v>0.13442723</v>
      </c>
      <c r="I414" s="48">
        <f>IFERROR(MINUS(DIVIDE(VLOOKUP($B414,Data!$B$3:$EZ1530,9,FALSE),VLOOKUP($B414,Data!$B$3:$EZ1530,10,FALSE)),1),"")</f>
        <v>0.07436425002</v>
      </c>
      <c r="J414" s="48">
        <f>IFERROR(MINUS(DIVIDE(VLOOKUP($B414,Data!$B$3:$EZ1530,24,FALSE),VLOOKUP($B414,Data!$B$3:$EZ1530,25,FALSE)),1),"")</f>
        <v>0.05639416287</v>
      </c>
      <c r="K414" s="48">
        <f>IFERROR(MINUS(DIVIDE(VLOOKUP($B414,Data!$B$3:$EZ1530,29,FALSE),VLOOKUP($B414,Data!$B$3:$EZ1530,30,FALSE)),1),"")</f>
        <v>0.03629951661</v>
      </c>
      <c r="L414" s="48">
        <f>IFERROR(MINUS(DIVIDE(VLOOKUP($B414,Data!$B$3:$EZ1530,34,FALSE),VLOOKUP($B414,Data!$B$3:$EZ1530,35,FALSE)),1),"")</f>
        <v>0.04005544006</v>
      </c>
      <c r="M414" s="48">
        <f>IFERROR(MINUS(DIVIDE(VLOOKUP($B414,Data!$B$3:$EZ1530,39,FALSE),VLOOKUP($B414,Data!$B$3:$EZ1530,40,FALSE)),1),"")</f>
        <v>0.04475804926</v>
      </c>
      <c r="N414" s="48">
        <f>IFERROR(MINUS(DIVIDE(VLOOKUP($B414,Data!$B$3:$EZ1530,44,FALSE),VLOOKUP($B414,Data!$B$3:$EZ1530,45,FALSE)),1),"")</f>
        <v>-0.2006644147</v>
      </c>
      <c r="O414" s="50">
        <f>IFERROR(VLOOKUP($B414,Data!$B$3:$D1530,2,FALSE),"")</f>
        <v>2390000</v>
      </c>
      <c r="P414" s="50">
        <f>IFERROR(VLOOKUP($B414,Data!$B$3:$D1530,3,FALSE),"")</f>
        <v>2140000</v>
      </c>
      <c r="Q414" s="48">
        <f t="shared" si="2"/>
        <v>0.1168224299</v>
      </c>
      <c r="R414" s="48"/>
      <c r="S414" s="48"/>
      <c r="T414" s="48"/>
      <c r="U414" s="48"/>
      <c r="V414" s="48"/>
      <c r="W414" s="50"/>
      <c r="Z414" s="11"/>
      <c r="AA414" s="11"/>
    </row>
    <row r="415">
      <c r="A415" s="9">
        <f t="shared" si="1"/>
        <v>412</v>
      </c>
      <c r="B415" s="47" t="s">
        <v>548</v>
      </c>
      <c r="C415" s="48">
        <f>IFERROR(DIVIDE(VLOOKUP($B415,Data!$B$3:$AB$1535,9,FALSE),VLOOKUP($B415,Data!$B$3:$AB$1535,4,FALSE)),"")</f>
        <v>0.3139534884</v>
      </c>
      <c r="D415" s="48">
        <f>IFERROR(DIVIDE(VLOOKUP($B415,Data!$B$3:$AB$1535,24,FALSE),VLOOKUP($B415,Data!$B$3:$AB$1535,4,FALSE)),"")</f>
        <v>0.06036378738</v>
      </c>
      <c r="E415" s="48">
        <f>IFERROR(DIVIDE(VLOOKUP($B415,Data!$B$3:$EZ1530,29,FALSE),VLOOKUP($B415,Data!$B$3:$EZ1530,4,FALSE)),"")</f>
        <v>0.03945681063</v>
      </c>
      <c r="F415" s="48">
        <f>IFERROR(DIVIDE(VLOOKUP($B415,Data!$B$3:$EZ1530,34,FALSE),VLOOKUP($B415,Data!$B$3:$EZ1530,4,FALSE)),"")</f>
        <v>0.1111677741</v>
      </c>
      <c r="G415" s="48">
        <f>IFERROR(DIVIDE(VLOOKUP($B415,Data!$B$3:$EZ1530,39,FALSE),VLOOKUP($B415,Data!$B$3:$EZ1530,4,FALSE)),"")</f>
        <v>0.03426744186</v>
      </c>
      <c r="H415" s="48">
        <f>IFERROR(DIVIDE(VLOOKUP($B415,Data!$B$3:$EZ1530,44,FALSE),VLOOKUP($B415,Data!$B$3:$EZ1530,4,FALSE)),"")</f>
        <v>0.09176744186</v>
      </c>
      <c r="I415" s="48">
        <f>IFERROR(MINUS(DIVIDE(VLOOKUP($B415,Data!$B$3:$EZ1530,9,FALSE),VLOOKUP($B415,Data!$B$3:$EZ1530,10,FALSE)),1),"")</f>
        <v>-0.0207253886</v>
      </c>
      <c r="J415" s="48">
        <f>IFERROR(MINUS(DIVIDE(VLOOKUP($B415,Data!$B$3:$EZ1530,24,FALSE),VLOOKUP($B415,Data!$B$3:$EZ1530,25,FALSE)),1),"")</f>
        <v>0.2574483546</v>
      </c>
      <c r="K415" s="48">
        <f>IFERROR(MINUS(DIVIDE(VLOOKUP($B415,Data!$B$3:$EZ1530,29,FALSE),VLOOKUP($B415,Data!$B$3:$EZ1530,30,FALSE)),1),"")</f>
        <v>0.1211120026</v>
      </c>
      <c r="L415" s="48">
        <f>IFERROR(MINUS(DIVIDE(VLOOKUP($B415,Data!$B$3:$EZ1530,34,FALSE),VLOOKUP($B415,Data!$B$3:$EZ1530,35,FALSE)),1),"")</f>
        <v>0.6175916079</v>
      </c>
      <c r="M415" s="48">
        <f>IFERROR(MINUS(DIVIDE(VLOOKUP($B415,Data!$B$3:$EZ1530,39,FALSE),VLOOKUP($B415,Data!$B$3:$EZ1530,40,FALSE)),1),"")</f>
        <v>0.1821099077</v>
      </c>
      <c r="N415" s="48">
        <f>IFERROR(MINUS(DIVIDE(VLOOKUP($B415,Data!$B$3:$EZ1530,44,FALSE),VLOOKUP($B415,Data!$B$3:$EZ1530,45,FALSE)),1),"")</f>
        <v>5.869435464</v>
      </c>
      <c r="O415" s="50" t="str">
        <f>IFERROR(VLOOKUP($B415,Data!$B$3:$D1530,2,FALSE),"")</f>
        <v/>
      </c>
      <c r="P415" s="50" t="str">
        <f>IFERROR(VLOOKUP($B415,Data!$B$3:$D1530,3,FALSE),"")</f>
        <v/>
      </c>
      <c r="Q415" s="48" t="str">
        <f t="shared" si="2"/>
        <v/>
      </c>
      <c r="R415" s="48"/>
      <c r="S415" s="48"/>
      <c r="T415" s="48"/>
      <c r="U415" s="48"/>
      <c r="V415" s="48"/>
      <c r="W415" s="50"/>
      <c r="Z415" s="11"/>
      <c r="AA415" s="11"/>
    </row>
    <row r="416">
      <c r="A416" s="9">
        <f t="shared" si="1"/>
        <v>413</v>
      </c>
      <c r="B416" s="47" t="s">
        <v>549</v>
      </c>
      <c r="C416" s="48">
        <f>IFERROR(DIVIDE(VLOOKUP($B416,Data!$B$3:$AB$1535,9,FALSE),VLOOKUP($B416,Data!$B$3:$AB$1535,4,FALSE)),"")</f>
        <v>0.2638024345</v>
      </c>
      <c r="D416" s="48">
        <f>IFERROR(DIVIDE(VLOOKUP($B416,Data!$B$3:$AB$1535,24,FALSE),VLOOKUP($B416,Data!$B$3:$AB$1535,4,FALSE)),"")</f>
        <v>0.1318458043</v>
      </c>
      <c r="E416" s="48">
        <f>IFERROR(DIVIDE(VLOOKUP($B416,Data!$B$3:$EZ1530,29,FALSE),VLOOKUP($B416,Data!$B$3:$EZ1530,4,FALSE)),"")</f>
        <v>0.2755869152</v>
      </c>
      <c r="F416" s="48">
        <f>IFERROR(DIVIDE(VLOOKUP($B416,Data!$B$3:$EZ1530,34,FALSE),VLOOKUP($B416,Data!$B$3:$EZ1530,4,FALSE)),"")</f>
        <v>0.1729806609</v>
      </c>
      <c r="G416" s="48">
        <f>IFERROR(DIVIDE(VLOOKUP($B416,Data!$B$3:$EZ1530,39,FALSE),VLOOKUP($B416,Data!$B$3:$EZ1530,4,FALSE)),"")</f>
        <v>0.2168676924</v>
      </c>
      <c r="H416" s="48">
        <f>IFERROR(DIVIDE(VLOOKUP($B416,Data!$B$3:$EZ1530,44,FALSE),VLOOKUP($B416,Data!$B$3:$EZ1530,4,FALSE)),"")</f>
        <v>0.08003472543</v>
      </c>
      <c r="I416" s="48">
        <f>IFERROR(MINUS(DIVIDE(VLOOKUP($B416,Data!$B$3:$EZ1530,9,FALSE),VLOOKUP($B416,Data!$B$3:$EZ1530,10,FALSE)),1),"")</f>
        <v>0.01970584035</v>
      </c>
      <c r="J416" s="48">
        <f>IFERROR(MINUS(DIVIDE(VLOOKUP($B416,Data!$B$3:$EZ1530,24,FALSE),VLOOKUP($B416,Data!$B$3:$EZ1530,25,FALSE)),1),"")</f>
        <v>-0.02352941176</v>
      </c>
      <c r="K416" s="48">
        <f>IFERROR(MINUS(DIVIDE(VLOOKUP($B416,Data!$B$3:$EZ1530,29,FALSE),VLOOKUP($B416,Data!$B$3:$EZ1530,30,FALSE)),1),"")</f>
        <v>1.855502392</v>
      </c>
      <c r="L416" s="48">
        <f>IFERROR(MINUS(DIVIDE(VLOOKUP($B416,Data!$B$3:$EZ1530,34,FALSE),VLOOKUP($B416,Data!$B$3:$EZ1530,35,FALSE)),1),"")</f>
        <v>-0.0931538685</v>
      </c>
      <c r="M416" s="48">
        <f>IFERROR(MINUS(DIVIDE(VLOOKUP($B416,Data!$B$3:$EZ1530,39,FALSE),VLOOKUP($B416,Data!$B$3:$EZ1530,40,FALSE)),1),"")</f>
        <v>1.687342641</v>
      </c>
      <c r="N416" s="48">
        <f>IFERROR(MINUS(DIVIDE(VLOOKUP($B416,Data!$B$3:$EZ1530,44,FALSE),VLOOKUP($B416,Data!$B$3:$EZ1530,45,FALSE)),1),"")</f>
        <v>-0.4119962003</v>
      </c>
      <c r="O416" s="50">
        <f>IFERROR(VLOOKUP($B416,Data!$B$3:$D1530,2,FALSE),"")</f>
        <v>393970</v>
      </c>
      <c r="P416" s="50">
        <f>IFERROR(VLOOKUP($B416,Data!$B$3:$D1530,3,FALSE),"")</f>
        <v>305270</v>
      </c>
      <c r="Q416" s="48">
        <f t="shared" si="2"/>
        <v>0.2905624529</v>
      </c>
      <c r="R416" s="48"/>
      <c r="S416" s="48"/>
      <c r="T416" s="48"/>
      <c r="U416" s="48"/>
      <c r="V416" s="48"/>
      <c r="W416" s="50"/>
      <c r="Z416" s="15"/>
      <c r="AA416" s="15"/>
    </row>
    <row r="417">
      <c r="A417" s="9">
        <f t="shared" si="1"/>
        <v>414</v>
      </c>
      <c r="B417" s="47" t="s">
        <v>550</v>
      </c>
      <c r="C417" s="48">
        <f>IFERROR(DIVIDE(VLOOKUP($B417,Data!$B$3:$AB$1535,9,FALSE),VLOOKUP($B417,Data!$B$3:$AB$1535,4,FALSE)),"")</f>
        <v>0.5951825952</v>
      </c>
      <c r="D417" s="48">
        <f>IFERROR(DIVIDE(VLOOKUP($B417,Data!$B$3:$AB$1535,24,FALSE),VLOOKUP($B417,Data!$B$3:$AB$1535,4,FALSE)),"")</f>
        <v>0.3131313131</v>
      </c>
      <c r="E417" s="48">
        <f>IFERROR(DIVIDE(VLOOKUP($B417,Data!$B$3:$EZ1530,29,FALSE),VLOOKUP($B417,Data!$B$3:$EZ1530,4,FALSE)),"")</f>
        <v>0.3045843046</v>
      </c>
      <c r="F417" s="48">
        <f>IFERROR(DIVIDE(VLOOKUP($B417,Data!$B$3:$EZ1530,34,FALSE),VLOOKUP($B417,Data!$B$3:$EZ1530,4,FALSE)),"")</f>
        <v>0.344988345</v>
      </c>
      <c r="G417" s="48">
        <f>IFERROR(DIVIDE(VLOOKUP($B417,Data!$B$3:$EZ1530,39,FALSE),VLOOKUP($B417,Data!$B$3:$EZ1530,4,FALSE)),"")</f>
        <v>0.2455322455</v>
      </c>
      <c r="H417" s="48">
        <f>IFERROR(DIVIDE(VLOOKUP($B417,Data!$B$3:$EZ1530,44,FALSE),VLOOKUP($B417,Data!$B$3:$EZ1530,4,FALSE)),"")</f>
        <v>0.2525252525</v>
      </c>
      <c r="I417" s="48">
        <f>IFERROR(MINUS(DIVIDE(VLOOKUP($B417,Data!$B$3:$EZ1530,9,FALSE),VLOOKUP($B417,Data!$B$3:$EZ1530,10,FALSE)),1),"")</f>
        <v>0.02818791946</v>
      </c>
      <c r="J417" s="48">
        <f>IFERROR(MINUS(DIVIDE(VLOOKUP($B417,Data!$B$3:$EZ1530,24,FALSE),VLOOKUP($B417,Data!$B$3:$EZ1530,25,FALSE)),1),"")</f>
        <v>0.09214092141</v>
      </c>
      <c r="K417" s="48">
        <f>IFERROR(MINUS(DIVIDE(VLOOKUP($B417,Data!$B$3:$EZ1530,29,FALSE),VLOOKUP($B417,Data!$B$3:$EZ1530,30,FALSE)),1),"")</f>
        <v>0.1428571429</v>
      </c>
      <c r="L417" s="48">
        <f>IFERROR(MINUS(DIVIDE(VLOOKUP($B417,Data!$B$3:$EZ1530,34,FALSE),VLOOKUP($B417,Data!$B$3:$EZ1530,35,FALSE)),1),"")</f>
        <v>0.06220095694</v>
      </c>
      <c r="M417" s="48">
        <f>IFERROR(MINUS(DIVIDE(VLOOKUP($B417,Data!$B$3:$EZ1530,39,FALSE),VLOOKUP($B417,Data!$B$3:$EZ1530,40,FALSE)),1),"")</f>
        <v>0.04635761589</v>
      </c>
      <c r="N417" s="48">
        <f>IFERROR(MINUS(DIVIDE(VLOOKUP($B417,Data!$B$3:$EZ1530,44,FALSE),VLOOKUP($B417,Data!$B$3:$EZ1530,45,FALSE)),1),"")</f>
        <v>0.05519480519</v>
      </c>
      <c r="O417" s="50" t="str">
        <f>IFERROR(VLOOKUP($B417,Data!$B$3:$D1530,2,FALSE),"")</f>
        <v/>
      </c>
      <c r="P417" s="50" t="str">
        <f>IFERROR(VLOOKUP($B417,Data!$B$3:$D1530,3,FALSE),"")</f>
        <v/>
      </c>
      <c r="Q417" s="48" t="str">
        <f t="shared" si="2"/>
        <v/>
      </c>
      <c r="R417" s="48"/>
      <c r="S417" s="48"/>
      <c r="T417" s="48"/>
      <c r="U417" s="48"/>
      <c r="V417" s="48"/>
      <c r="W417" s="50"/>
      <c r="Z417" s="15"/>
      <c r="AA417" s="15"/>
    </row>
    <row r="418">
      <c r="A418" s="9">
        <f t="shared" si="1"/>
        <v>415</v>
      </c>
      <c r="B418" s="47" t="s">
        <v>551</v>
      </c>
      <c r="C418" s="48" t="str">
        <f>IFERROR(DIVIDE(VLOOKUP($B418,Data!$B$3:$AB$1535,9,FALSE),VLOOKUP($B418,Data!$B$3:$AB$1535,4,FALSE)),"")</f>
        <v/>
      </c>
      <c r="D418" s="48" t="str">
        <f>IFERROR(DIVIDE(VLOOKUP($B418,Data!$B$3:$AB$1535,24,FALSE),VLOOKUP($B418,Data!$B$3:$AB$1535,4,FALSE)),"")</f>
        <v/>
      </c>
      <c r="E418" s="48" t="str">
        <f>IFERROR(DIVIDE(VLOOKUP($B418,Data!$B$3:$EZ1530,29,FALSE),VLOOKUP($B418,Data!$B$3:$EZ1530,4,FALSE)),"")</f>
        <v/>
      </c>
      <c r="F418" s="48" t="str">
        <f>IFERROR(DIVIDE(VLOOKUP($B418,Data!$B$3:$EZ1530,34,FALSE),VLOOKUP($B418,Data!$B$3:$EZ1530,4,FALSE)),"")</f>
        <v/>
      </c>
      <c r="G418" s="48" t="str">
        <f>IFERROR(DIVIDE(VLOOKUP($B418,Data!$B$3:$EZ1530,39,FALSE),VLOOKUP($B418,Data!$B$3:$EZ1530,4,FALSE)),"")</f>
        <v/>
      </c>
      <c r="H418" s="48" t="str">
        <f>IFERROR(DIVIDE(VLOOKUP($B418,Data!$B$3:$EZ1530,44,FALSE),VLOOKUP($B418,Data!$B$3:$EZ1530,4,FALSE)),"")</f>
        <v/>
      </c>
      <c r="I418" s="48">
        <f>IFERROR(MINUS(DIVIDE(VLOOKUP($B418,Data!$B$3:$EZ1530,9,FALSE),VLOOKUP($B418,Data!$B$3:$EZ1530,10,FALSE)),1),"")</f>
        <v>0.8</v>
      </c>
      <c r="J418" s="48" t="str">
        <f>IFERROR(MINUS(DIVIDE(VLOOKUP($B418,Data!$B$3:$EZ1530,24,FALSE),VLOOKUP($B418,Data!$B$3:$EZ1530,25,FALSE)),1),"")</f>
        <v/>
      </c>
      <c r="K418" s="48">
        <f>IFERROR(MINUS(DIVIDE(VLOOKUP($B418,Data!$B$3:$EZ1530,29,FALSE),VLOOKUP($B418,Data!$B$3:$EZ1530,30,FALSE)),1),"")</f>
        <v>-0.08153078203</v>
      </c>
      <c r="L418" s="48">
        <f>IFERROR(MINUS(DIVIDE(VLOOKUP($B418,Data!$B$3:$EZ1530,34,FALSE),VLOOKUP($B418,Data!$B$3:$EZ1530,35,FALSE)),1),"")</f>
        <v>-0.05967741935</v>
      </c>
      <c r="M418" s="48">
        <f>IFERROR(MINUS(DIVIDE(VLOOKUP($B418,Data!$B$3:$EZ1530,39,FALSE),VLOOKUP($B418,Data!$B$3:$EZ1530,40,FALSE)),1),"")</f>
        <v>-0.08897485493</v>
      </c>
      <c r="N418" s="48">
        <f>IFERROR(MINUS(DIVIDE(VLOOKUP($B418,Data!$B$3:$EZ1530,44,FALSE),VLOOKUP($B418,Data!$B$3:$EZ1530,45,FALSE)),1),"")</f>
        <v>-0.01720430108</v>
      </c>
      <c r="O418" s="50" t="str">
        <f>IFERROR(VLOOKUP($B418,Data!$B$3:$D1530,2,FALSE),"")</f>
        <v/>
      </c>
      <c r="P418" s="50" t="str">
        <f>IFERROR(VLOOKUP($B418,Data!$B$3:$D1530,3,FALSE),"")</f>
        <v/>
      </c>
      <c r="Q418" s="48" t="str">
        <f t="shared" si="2"/>
        <v/>
      </c>
      <c r="R418" s="48"/>
      <c r="S418" s="48"/>
      <c r="T418" s="48"/>
      <c r="U418" s="48"/>
      <c r="V418" s="48"/>
      <c r="W418" s="50"/>
      <c r="Z418" s="15"/>
      <c r="AA418" s="15"/>
    </row>
    <row r="419">
      <c r="A419" s="9">
        <f t="shared" si="1"/>
        <v>416</v>
      </c>
      <c r="B419" s="47" t="s">
        <v>552</v>
      </c>
      <c r="C419" s="48">
        <f>IFERROR(DIVIDE(VLOOKUP($B419,Data!$B$3:$AB$1535,9,FALSE),VLOOKUP($B419,Data!$B$3:$AB$1535,4,FALSE)),"")</f>
        <v>0.3059459459</v>
      </c>
      <c r="D419" s="48">
        <f>IFERROR(DIVIDE(VLOOKUP($B419,Data!$B$3:$AB$1535,24,FALSE),VLOOKUP($B419,Data!$B$3:$AB$1535,4,FALSE)),"")</f>
        <v>0.08288288288</v>
      </c>
      <c r="E419" s="48">
        <f>IFERROR(DIVIDE(VLOOKUP($B419,Data!$B$3:$EZ1530,29,FALSE),VLOOKUP($B419,Data!$B$3:$EZ1530,4,FALSE)),"")</f>
        <v>0.07927927928</v>
      </c>
      <c r="F419" s="48">
        <f>IFERROR(DIVIDE(VLOOKUP($B419,Data!$B$3:$EZ1530,34,FALSE),VLOOKUP($B419,Data!$B$3:$EZ1530,4,FALSE)),"")</f>
        <v>0.1030630631</v>
      </c>
      <c r="G419" s="48">
        <f>IFERROR(DIVIDE(VLOOKUP($B419,Data!$B$3:$EZ1530,39,FALSE),VLOOKUP($B419,Data!$B$3:$EZ1530,4,FALSE)),"")</f>
        <v>0.06162162162</v>
      </c>
      <c r="H419" s="48">
        <f>IFERROR(DIVIDE(VLOOKUP($B419,Data!$B$3:$EZ1530,44,FALSE),VLOOKUP($B419,Data!$B$3:$EZ1530,4,FALSE)),"")</f>
        <v>0.08072072072</v>
      </c>
      <c r="I419" s="48">
        <f>IFERROR(MINUS(DIVIDE(VLOOKUP($B419,Data!$B$3:$EZ1530,9,FALSE),VLOOKUP($B419,Data!$B$3:$EZ1530,10,FALSE)),1),"")</f>
        <v>0.08846153846</v>
      </c>
      <c r="J419" s="48">
        <f>IFERROR(MINUS(DIVIDE(VLOOKUP($B419,Data!$B$3:$EZ1530,24,FALSE),VLOOKUP($B419,Data!$B$3:$EZ1530,25,FALSE)),1),"")</f>
        <v>0.08490566038</v>
      </c>
      <c r="K419" s="48">
        <f>IFERROR(MINUS(DIVIDE(VLOOKUP($B419,Data!$B$3:$EZ1530,29,FALSE),VLOOKUP($B419,Data!$B$3:$EZ1530,30,FALSE)),1),"")</f>
        <v>0.08910891089</v>
      </c>
      <c r="L419" s="48">
        <f>IFERROR(MINUS(DIVIDE(VLOOKUP($B419,Data!$B$3:$EZ1530,34,FALSE),VLOOKUP($B419,Data!$B$3:$EZ1530,35,FALSE)),1),"")</f>
        <v>0.1042471042</v>
      </c>
      <c r="M419" s="48">
        <f>IFERROR(MINUS(DIVIDE(VLOOKUP($B419,Data!$B$3:$EZ1530,39,FALSE),VLOOKUP($B419,Data!$B$3:$EZ1530,40,FALSE)),1),"")</f>
        <v>0.07547169811</v>
      </c>
      <c r="N419" s="48">
        <f>IFERROR(MINUS(DIVIDE(VLOOKUP($B419,Data!$B$3:$EZ1530,44,FALSE),VLOOKUP($B419,Data!$B$3:$EZ1530,45,FALSE)),1),"")</f>
        <v>0.04672897196</v>
      </c>
      <c r="O419" s="50">
        <f>IFERROR(VLOOKUP($B419,Data!$B$3:$D1530,2,FALSE),"")</f>
        <v>33110000</v>
      </c>
      <c r="P419" s="50">
        <f>IFERROR(VLOOKUP($B419,Data!$B$3:$D1530,3,FALSE),"")</f>
        <v>32280000</v>
      </c>
      <c r="Q419" s="48">
        <f t="shared" si="2"/>
        <v>0.02571251549</v>
      </c>
      <c r="R419" s="48"/>
      <c r="S419" s="48"/>
      <c r="T419" s="48"/>
      <c r="U419" s="48"/>
      <c r="V419" s="48"/>
      <c r="W419" s="50"/>
      <c r="Z419" s="15"/>
      <c r="AA419" s="15"/>
    </row>
    <row r="420">
      <c r="A420" s="9">
        <f t="shared" si="1"/>
        <v>417</v>
      </c>
      <c r="B420" s="47" t="s">
        <v>553</v>
      </c>
      <c r="C420" s="48">
        <f>IFERROR(DIVIDE(VLOOKUP($B420,Data!$B$3:$AB$1535,9,FALSE),VLOOKUP($B420,Data!$B$3:$AB$1535,4,FALSE)),"")</f>
        <v>0.340232859</v>
      </c>
      <c r="D420" s="48">
        <f>IFERROR(DIVIDE(VLOOKUP($B420,Data!$B$3:$AB$1535,24,FALSE),VLOOKUP($B420,Data!$B$3:$AB$1535,4,FALSE)),"")</f>
        <v>0.1526520052</v>
      </c>
      <c r="E420" s="48">
        <f>IFERROR(DIVIDE(VLOOKUP($B420,Data!$B$3:$EZ1530,29,FALSE),VLOOKUP($B420,Data!$B$3:$EZ1530,4,FALSE)),"")</f>
        <v>0.1397153946</v>
      </c>
      <c r="F420" s="48">
        <f>IFERROR(DIVIDE(VLOOKUP($B420,Data!$B$3:$EZ1530,34,FALSE),VLOOKUP($B420,Data!$B$3:$EZ1530,4,FALSE)),"")</f>
        <v>0.2005174644</v>
      </c>
      <c r="G420" s="48">
        <f>IFERROR(DIVIDE(VLOOKUP($B420,Data!$B$3:$EZ1530,39,FALSE),VLOOKUP($B420,Data!$B$3:$EZ1530,4,FALSE)),"")</f>
        <v>0.1080206986</v>
      </c>
      <c r="H420" s="48">
        <f>IFERROR(DIVIDE(VLOOKUP($B420,Data!$B$3:$EZ1530,44,FALSE),VLOOKUP($B420,Data!$B$3:$EZ1530,4,FALSE)),"")</f>
        <v>0.1604139715</v>
      </c>
      <c r="I420" s="48">
        <f>IFERROR(MINUS(DIVIDE(VLOOKUP($B420,Data!$B$3:$EZ1530,9,FALSE),VLOOKUP($B420,Data!$B$3:$EZ1530,10,FALSE)),1),"")</f>
        <v>0.01937984496</v>
      </c>
      <c r="J420" s="48">
        <f>IFERROR(MINUS(DIVIDE(VLOOKUP($B420,Data!$B$3:$EZ1530,24,FALSE),VLOOKUP($B420,Data!$B$3:$EZ1530,25,FALSE)),1),"")</f>
        <v>0.06306306306</v>
      </c>
      <c r="K420" s="48">
        <f>IFERROR(MINUS(DIVIDE(VLOOKUP($B420,Data!$B$3:$EZ1530,29,FALSE),VLOOKUP($B420,Data!$B$3:$EZ1530,30,FALSE)),1),"")</f>
        <v>0.1663066955</v>
      </c>
      <c r="L420" s="48">
        <f>IFERROR(MINUS(DIVIDE(VLOOKUP($B420,Data!$B$3:$EZ1530,34,FALSE),VLOOKUP($B420,Data!$B$3:$EZ1530,35,FALSE)),1),"")</f>
        <v>0.01307189542</v>
      </c>
      <c r="M420" s="48">
        <f>IFERROR(MINUS(DIVIDE(VLOOKUP($B420,Data!$B$3:$EZ1530,39,FALSE),VLOOKUP($B420,Data!$B$3:$EZ1530,40,FALSE)),1),"")</f>
        <v>0.139154161</v>
      </c>
      <c r="N420" s="48">
        <f>IFERROR(MINUS(DIVIDE(VLOOKUP($B420,Data!$B$3:$EZ1530,44,FALSE),VLOOKUP($B420,Data!$B$3:$EZ1530,45,FALSE)),1),"")</f>
        <v>0.03333333333</v>
      </c>
      <c r="O420" s="50">
        <f>IFERROR(VLOOKUP($B420,Data!$B$3:$D1530,2,FALSE),"")</f>
        <v>8660000</v>
      </c>
      <c r="P420" s="50">
        <f>IFERROR(VLOOKUP($B420,Data!$B$3:$D1530,3,FALSE),"")</f>
        <v>8550000</v>
      </c>
      <c r="Q420" s="48">
        <f t="shared" si="2"/>
        <v>0.01286549708</v>
      </c>
      <c r="R420" s="48"/>
      <c r="S420" s="48"/>
      <c r="T420" s="48"/>
      <c r="U420" s="48"/>
      <c r="V420" s="48"/>
      <c r="W420" s="50"/>
      <c r="Z420" s="11"/>
      <c r="AA420" s="11"/>
    </row>
    <row r="421">
      <c r="A421" s="9">
        <f t="shared" si="1"/>
        <v>418</v>
      </c>
      <c r="B421" s="47" t="s">
        <v>554</v>
      </c>
      <c r="C421" s="48">
        <f>IFERROR(DIVIDE(VLOOKUP($B421,Data!$B$3:$AB$1535,9,FALSE),VLOOKUP($B421,Data!$B$3:$AB$1535,4,FALSE)),"")</f>
        <v>0.2200113701</v>
      </c>
      <c r="D421" s="48">
        <f>IFERROR(DIVIDE(VLOOKUP($B421,Data!$B$3:$AB$1535,24,FALSE),VLOOKUP($B421,Data!$B$3:$AB$1535,4,FALSE)),"")</f>
        <v>0.1159749858</v>
      </c>
      <c r="E421" s="48">
        <f>IFERROR(DIVIDE(VLOOKUP($B421,Data!$B$3:$EZ1530,29,FALSE),VLOOKUP($B421,Data!$B$3:$EZ1530,4,FALSE)),"")</f>
        <v>0.1210915293</v>
      </c>
      <c r="F421" s="48">
        <f>IFERROR(DIVIDE(VLOOKUP($B421,Data!$B$3:$EZ1530,34,FALSE),VLOOKUP($B421,Data!$B$3:$EZ1530,4,FALSE)),"")</f>
        <v>0.1210915293</v>
      </c>
      <c r="G421" s="48">
        <f>IFERROR(DIVIDE(VLOOKUP($B421,Data!$B$3:$EZ1530,39,FALSE),VLOOKUP($B421,Data!$B$3:$EZ1530,4,FALSE)),"")</f>
        <v>0.09209778283</v>
      </c>
      <c r="H421" s="48">
        <f>IFERROR(DIVIDE(VLOOKUP($B421,Data!$B$3:$EZ1530,44,FALSE),VLOOKUP($B421,Data!$B$3:$EZ1530,4,FALSE)),"")</f>
        <v>0.05071631609</v>
      </c>
      <c r="I421" s="48">
        <f>IFERROR(MINUS(DIVIDE(VLOOKUP($B421,Data!$B$3:$EZ1530,9,FALSE),VLOOKUP($B421,Data!$B$3:$EZ1530,10,FALSE)),1),"")</f>
        <v>0.05449591281</v>
      </c>
      <c r="J421" s="48">
        <f>IFERROR(MINUS(DIVIDE(VLOOKUP($B421,Data!$B$3:$EZ1530,24,FALSE),VLOOKUP($B421,Data!$B$3:$EZ1530,25,FALSE)),1),"")</f>
        <v>0.02512562814</v>
      </c>
      <c r="K421" s="48">
        <f>IFERROR(MINUS(DIVIDE(VLOOKUP($B421,Data!$B$3:$EZ1530,29,FALSE),VLOOKUP($B421,Data!$B$3:$EZ1530,30,FALSE)),1),"")</f>
        <v>0.03398058252</v>
      </c>
      <c r="L421" s="48">
        <f>IFERROR(MINUS(DIVIDE(VLOOKUP($B421,Data!$B$3:$EZ1530,34,FALSE),VLOOKUP($B421,Data!$B$3:$EZ1530,35,FALSE)),1),"")</f>
        <v>0.01428571429</v>
      </c>
      <c r="M421" s="48">
        <f>IFERROR(MINUS(DIVIDE(VLOOKUP($B421,Data!$B$3:$EZ1530,39,FALSE),VLOOKUP($B421,Data!$B$3:$EZ1530,40,FALSE)),1),"")</f>
        <v>0.1095890411</v>
      </c>
      <c r="N421" s="48">
        <f>IFERROR(MINUS(DIVIDE(VLOOKUP($B421,Data!$B$3:$EZ1530,44,FALSE),VLOOKUP($B421,Data!$B$3:$EZ1530,45,FALSE)),1),"")</f>
        <v>0.6362802641</v>
      </c>
      <c r="O421" s="50">
        <f>IFERROR(VLOOKUP($B421,Data!$B$3:$D1530,2,FALSE),"")</f>
        <v>20790000</v>
      </c>
      <c r="P421" s="50">
        <f>IFERROR(VLOOKUP($B421,Data!$B$3:$D1530,3,FALSE),"")</f>
        <v>18940000</v>
      </c>
      <c r="Q421" s="48">
        <f t="shared" si="2"/>
        <v>0.09767687434</v>
      </c>
      <c r="R421" s="48"/>
      <c r="S421" s="48"/>
      <c r="T421" s="48"/>
      <c r="U421" s="48"/>
      <c r="V421" s="48"/>
      <c r="W421" s="50"/>
      <c r="Z421" s="11"/>
      <c r="AA421" s="11"/>
    </row>
    <row r="422">
      <c r="A422" s="9">
        <f t="shared" si="1"/>
        <v>419</v>
      </c>
      <c r="B422" s="47" t="s">
        <v>555</v>
      </c>
      <c r="C422" s="48">
        <f>IFERROR(DIVIDE(VLOOKUP($B422,Data!$B$3:$AB$1535,9,FALSE),VLOOKUP($B422,Data!$B$3:$AB$1535,4,FALSE)),"")</f>
        <v>0.5572305974</v>
      </c>
      <c r="D422" s="48">
        <f>IFERROR(DIVIDE(VLOOKUP($B422,Data!$B$3:$AB$1535,24,FALSE),VLOOKUP($B422,Data!$B$3:$AB$1535,4,FALSE)),"")</f>
        <v>0.1820212172</v>
      </c>
      <c r="E422" s="48">
        <f>IFERROR(DIVIDE(VLOOKUP($B422,Data!$B$3:$EZ1530,29,FALSE),VLOOKUP($B422,Data!$B$3:$EZ1530,4,FALSE)),"")</f>
        <v>0.1848129537</v>
      </c>
      <c r="F422" s="48">
        <f>IFERROR(DIVIDE(VLOOKUP($B422,Data!$B$3:$EZ1530,34,FALSE),VLOOKUP($B422,Data!$B$3:$EZ1530,4,FALSE)),"")</f>
        <v>0.2540480179</v>
      </c>
      <c r="G422" s="48">
        <f>IFERROR(DIVIDE(VLOOKUP($B422,Data!$B$3:$EZ1530,39,FALSE),VLOOKUP($B422,Data!$B$3:$EZ1530,4,FALSE)),"")</f>
        <v>0.135678392</v>
      </c>
      <c r="H422" s="48">
        <f>IFERROR(DIVIDE(VLOOKUP($B422,Data!$B$3:$EZ1530,44,FALSE),VLOOKUP($B422,Data!$B$3:$EZ1530,4,FALSE)),"")</f>
        <v>0.2205471803</v>
      </c>
      <c r="I422" s="48">
        <f>IFERROR(MINUS(DIVIDE(VLOOKUP($B422,Data!$B$3:$EZ1530,9,FALSE),VLOOKUP($B422,Data!$B$3:$EZ1530,10,FALSE)),1),"")</f>
        <v>0.04942166141</v>
      </c>
      <c r="J422" s="48">
        <f>IFERROR(MINUS(DIVIDE(VLOOKUP($B422,Data!$B$3:$EZ1530,24,FALSE),VLOOKUP($B422,Data!$B$3:$EZ1530,25,FALSE)),1),"")</f>
        <v>-218.3333333</v>
      </c>
      <c r="K422" s="48">
        <f>IFERROR(MINUS(DIVIDE(VLOOKUP($B422,Data!$B$3:$EZ1530,29,FALSE),VLOOKUP($B422,Data!$B$3:$EZ1530,30,FALSE)),1),"")</f>
        <v>0.1182432432</v>
      </c>
      <c r="L422" s="48">
        <f>IFERROR(MINUS(DIVIDE(VLOOKUP($B422,Data!$B$3:$EZ1530,34,FALSE),VLOOKUP($B422,Data!$B$3:$EZ1530,35,FALSE)),1),"")</f>
        <v>0.07058823529</v>
      </c>
      <c r="M422" s="48">
        <f>IFERROR(MINUS(DIVIDE(VLOOKUP($B422,Data!$B$3:$EZ1530,39,FALSE),VLOOKUP($B422,Data!$B$3:$EZ1530,40,FALSE)),1),"")</f>
        <v>0.008298755187</v>
      </c>
      <c r="N422" s="48">
        <f>IFERROR(MINUS(DIVIDE(VLOOKUP($B422,Data!$B$3:$EZ1530,44,FALSE),VLOOKUP($B422,Data!$B$3:$EZ1530,45,FALSE)),1),"")</f>
        <v>-0.01741293532</v>
      </c>
      <c r="O422" s="50">
        <f>IFERROR(VLOOKUP($B422,Data!$B$3:$D1530,2,FALSE),"")</f>
        <v>23510000</v>
      </c>
      <c r="P422" s="50">
        <f>IFERROR(VLOOKUP($B422,Data!$B$3:$D1530,3,FALSE),"")</f>
        <v>20830000</v>
      </c>
      <c r="Q422" s="48">
        <f t="shared" si="2"/>
        <v>0.1286605857</v>
      </c>
      <c r="R422" s="48"/>
      <c r="S422" s="48"/>
      <c r="T422" s="48"/>
      <c r="U422" s="48"/>
      <c r="V422" s="48"/>
      <c r="W422" s="50"/>
      <c r="Z422" s="11"/>
      <c r="AA422" s="11"/>
    </row>
    <row r="423">
      <c r="A423" s="9">
        <f t="shared" si="1"/>
        <v>420</v>
      </c>
      <c r="B423" s="47" t="s">
        <v>556</v>
      </c>
      <c r="C423" s="48">
        <f>IFERROR(DIVIDE(VLOOKUP($B423,Data!$B$3:$AB$1535,9,FALSE),VLOOKUP($B423,Data!$B$3:$AB$1535,4,FALSE)),"")</f>
        <v>0.2871773787</v>
      </c>
      <c r="D423" s="48">
        <f>IFERROR(DIVIDE(VLOOKUP($B423,Data!$B$3:$AB$1535,24,FALSE),VLOOKUP($B423,Data!$B$3:$AB$1535,4,FALSE)),"")</f>
        <v>0.24110864</v>
      </c>
      <c r="E423" s="48">
        <f>IFERROR(DIVIDE(VLOOKUP($B423,Data!$B$3:$EZ1530,29,FALSE),VLOOKUP($B423,Data!$B$3:$EZ1530,4,FALSE)),"")</f>
        <v>0.1363559908</v>
      </c>
      <c r="F423" s="48">
        <f>IFERROR(DIVIDE(VLOOKUP($B423,Data!$B$3:$EZ1530,34,FALSE),VLOOKUP($B423,Data!$B$3:$EZ1530,4,FALSE)),"")</f>
        <v>0.4755452558</v>
      </c>
      <c r="G423" s="48">
        <f>IFERROR(DIVIDE(VLOOKUP($B423,Data!$B$3:$EZ1530,39,FALSE),VLOOKUP($B423,Data!$B$3:$EZ1530,4,FALSE)),"")</f>
        <v>0.1377016091</v>
      </c>
      <c r="H423" s="48">
        <f>IFERROR(DIVIDE(VLOOKUP($B423,Data!$B$3:$EZ1530,44,FALSE),VLOOKUP($B423,Data!$B$3:$EZ1530,4,FALSE)),"")</f>
        <v>0.292429028</v>
      </c>
      <c r="I423" s="48">
        <f>IFERROR(MINUS(DIVIDE(VLOOKUP($B423,Data!$B$3:$EZ1530,9,FALSE),VLOOKUP($B423,Data!$B$3:$EZ1530,10,FALSE)),1),"")</f>
        <v>3.419327006</v>
      </c>
      <c r="J423" s="48">
        <f>IFERROR(MINUS(DIVIDE(VLOOKUP($B423,Data!$B$3:$EZ1530,24,FALSE),VLOOKUP($B423,Data!$B$3:$EZ1530,25,FALSE)),1),"")</f>
        <v>10.69628286</v>
      </c>
      <c r="K423" s="48">
        <f>IFERROR(MINUS(DIVIDE(VLOOKUP($B423,Data!$B$3:$EZ1530,29,FALSE),VLOOKUP($B423,Data!$B$3:$EZ1530,30,FALSE)),1),"")</f>
        <v>-2.529559748</v>
      </c>
      <c r="L423" s="48">
        <f>IFERROR(MINUS(DIVIDE(VLOOKUP($B423,Data!$B$3:$EZ1530,34,FALSE),VLOOKUP($B423,Data!$B$3:$EZ1530,35,FALSE)),1),"")</f>
        <v>1.065340909</v>
      </c>
      <c r="M423" s="48">
        <f>IFERROR(MINUS(DIVIDE(VLOOKUP($B423,Data!$B$3:$EZ1530,39,FALSE),VLOOKUP($B423,Data!$B$3:$EZ1530,40,FALSE)),1),"")</f>
        <v>-2.569997869</v>
      </c>
      <c r="N423" s="48">
        <f>IFERROR(MINUS(DIVIDE(VLOOKUP($B423,Data!$B$3:$EZ1530,44,FALSE),VLOOKUP($B423,Data!$B$3:$EZ1530,45,FALSE)),1),"")</f>
        <v>1.876815591</v>
      </c>
      <c r="O423" s="50">
        <f>IFERROR(VLOOKUP($B423,Data!$B$3:$D1530,2,FALSE),"")</f>
        <v>362510</v>
      </c>
      <c r="P423" s="50">
        <f>IFERROR(VLOOKUP($B423,Data!$B$3:$D1530,3,FALSE),"")</f>
        <v>564260</v>
      </c>
      <c r="Q423" s="48">
        <f t="shared" si="2"/>
        <v>-0.3575479389</v>
      </c>
      <c r="R423" s="48"/>
      <c r="S423" s="48"/>
      <c r="T423" s="48"/>
      <c r="U423" s="48"/>
      <c r="V423" s="48"/>
      <c r="W423" s="50"/>
      <c r="Z423" s="11"/>
      <c r="AA423" s="11"/>
    </row>
    <row r="424">
      <c r="A424" s="9">
        <f t="shared" si="1"/>
        <v>421</v>
      </c>
      <c r="B424" s="47" t="s">
        <v>557</v>
      </c>
      <c r="C424" s="48">
        <f>IFERROR(DIVIDE(VLOOKUP($B424,Data!$B$3:$AB$1535,9,FALSE),VLOOKUP($B424,Data!$B$3:$AB$1535,4,FALSE)),"")</f>
        <v>0.4077325364</v>
      </c>
      <c r="D424" s="48">
        <f>IFERROR(DIVIDE(VLOOKUP($B424,Data!$B$3:$AB$1535,24,FALSE),VLOOKUP($B424,Data!$B$3:$AB$1535,4,FALSE)),"")</f>
        <v>0.2181216902</v>
      </c>
      <c r="E424" s="48">
        <f>IFERROR(DIVIDE(VLOOKUP($B424,Data!$B$3:$EZ1530,29,FALSE),VLOOKUP($B424,Data!$B$3:$EZ1530,4,FALSE)),"")</f>
        <v>0.1521347426</v>
      </c>
      <c r="F424" s="48">
        <f>IFERROR(DIVIDE(VLOOKUP($B424,Data!$B$3:$EZ1530,34,FALSE),VLOOKUP($B424,Data!$B$3:$EZ1530,4,FALSE)),"")</f>
        <v>0.2755389044</v>
      </c>
      <c r="G424" s="48">
        <f>IFERROR(DIVIDE(VLOOKUP($B424,Data!$B$3:$EZ1530,39,FALSE),VLOOKUP($B424,Data!$B$3:$EZ1530,4,FALSE)),"")</f>
        <v>0.1107583115</v>
      </c>
      <c r="H424" s="48">
        <f>IFERROR(DIVIDE(VLOOKUP($B424,Data!$B$3:$EZ1530,44,FALSE),VLOOKUP($B424,Data!$B$3:$EZ1530,4,FALSE)),"")</f>
        <v>0.1704937485</v>
      </c>
      <c r="I424" s="48">
        <f>IFERROR(MINUS(DIVIDE(VLOOKUP($B424,Data!$B$3:$EZ1530,9,FALSE),VLOOKUP($B424,Data!$B$3:$EZ1530,10,FALSE)),1),"")</f>
        <v>0.08201644411</v>
      </c>
      <c r="J424" s="48">
        <f>IFERROR(MINUS(DIVIDE(VLOOKUP($B424,Data!$B$3:$EZ1530,24,FALSE),VLOOKUP($B424,Data!$B$3:$EZ1530,25,FALSE)),1),"")</f>
        <v>0.139732476</v>
      </c>
      <c r="K424" s="48">
        <f>IFERROR(MINUS(DIVIDE(VLOOKUP($B424,Data!$B$3:$EZ1530,29,FALSE),VLOOKUP($B424,Data!$B$3:$EZ1530,30,FALSE)),1),"")</f>
        <v>0.2518759606</v>
      </c>
      <c r="L424" s="48">
        <f>IFERROR(MINUS(DIVIDE(VLOOKUP($B424,Data!$B$3:$EZ1530,34,FALSE),VLOOKUP($B424,Data!$B$3:$EZ1530,35,FALSE)),1),"")</f>
        <v>0.1966884573</v>
      </c>
      <c r="M424" s="48">
        <f>IFERROR(MINUS(DIVIDE(VLOOKUP($B424,Data!$B$3:$EZ1530,39,FALSE),VLOOKUP($B424,Data!$B$3:$EZ1530,40,FALSE)),1),"")</f>
        <v>0.298428645</v>
      </c>
      <c r="N424" s="48">
        <f>IFERROR(MINUS(DIVIDE(VLOOKUP($B424,Data!$B$3:$EZ1530,44,FALSE),VLOOKUP($B424,Data!$B$3:$EZ1530,45,FALSE)),1),"")</f>
        <v>0.1056644104</v>
      </c>
      <c r="O424" s="50">
        <f>IFERROR(VLOOKUP($B424,Data!$B$3:$D1530,2,FALSE),"")</f>
        <v>822330</v>
      </c>
      <c r="P424" s="50">
        <f>IFERROR(VLOOKUP($B424,Data!$B$3:$D1530,3,FALSE),"")</f>
        <v>664960</v>
      </c>
      <c r="Q424" s="48">
        <f t="shared" si="2"/>
        <v>0.2366608518</v>
      </c>
      <c r="R424" s="48"/>
      <c r="S424" s="48"/>
      <c r="T424" s="48"/>
      <c r="U424" s="48"/>
      <c r="V424" s="48"/>
      <c r="W424" s="50"/>
      <c r="Z424" s="11"/>
      <c r="AA424" s="11"/>
    </row>
    <row r="425">
      <c r="A425" s="9">
        <f t="shared" si="1"/>
        <v>422</v>
      </c>
      <c r="B425" s="47" t="s">
        <v>558</v>
      </c>
      <c r="C425" s="48">
        <f>IFERROR(DIVIDE(VLOOKUP($B425,Data!$B$3:$AB$1535,9,FALSE),VLOOKUP($B425,Data!$B$3:$AB$1535,4,FALSE)),"")</f>
        <v>0.358216</v>
      </c>
      <c r="D425" s="48">
        <f>IFERROR(DIVIDE(VLOOKUP($B425,Data!$B$3:$AB$1535,24,FALSE),VLOOKUP($B425,Data!$B$3:$AB$1535,4,FALSE)),"")</f>
        <v>0.138568</v>
      </c>
      <c r="E425" s="48">
        <f>IFERROR(DIVIDE(VLOOKUP($B425,Data!$B$3:$EZ1530,29,FALSE),VLOOKUP($B425,Data!$B$3:$EZ1530,4,FALSE)),"")</f>
        <v>0.1586</v>
      </c>
      <c r="F425" s="48">
        <f>IFERROR(DIVIDE(VLOOKUP($B425,Data!$B$3:$EZ1530,34,FALSE),VLOOKUP($B425,Data!$B$3:$EZ1530,4,FALSE)),"")</f>
        <v>0.229088</v>
      </c>
      <c r="G425" s="48">
        <f>IFERROR(DIVIDE(VLOOKUP($B425,Data!$B$3:$EZ1530,39,FALSE),VLOOKUP($B425,Data!$B$3:$EZ1530,4,FALSE)),"")</f>
        <v>0.1226</v>
      </c>
      <c r="H425" s="48">
        <f>IFERROR(DIVIDE(VLOOKUP($B425,Data!$B$3:$EZ1530,44,FALSE),VLOOKUP($B425,Data!$B$3:$EZ1530,4,FALSE)),"")</f>
        <v>0.183816</v>
      </c>
      <c r="I425" s="48">
        <f>IFERROR(MINUS(DIVIDE(VLOOKUP($B425,Data!$B$3:$EZ1530,9,FALSE),VLOOKUP($B425,Data!$B$3:$EZ1530,10,FALSE)),1),"")</f>
        <v>0.07396925143</v>
      </c>
      <c r="J425" s="48">
        <f>IFERROR(MINUS(DIVIDE(VLOOKUP($B425,Data!$B$3:$EZ1530,24,FALSE),VLOOKUP($B425,Data!$B$3:$EZ1530,25,FALSE)),1),"")</f>
        <v>0.1571247244</v>
      </c>
      <c r="K425" s="48">
        <f>IFERROR(MINUS(DIVIDE(VLOOKUP($B425,Data!$B$3:$EZ1530,29,FALSE),VLOOKUP($B425,Data!$B$3:$EZ1530,30,FALSE)),1),"")</f>
        <v>0.3220192051</v>
      </c>
      <c r="L425" s="48">
        <f>IFERROR(MINUS(DIVIDE(VLOOKUP($B425,Data!$B$3:$EZ1530,34,FALSE),VLOOKUP($B425,Data!$B$3:$EZ1530,35,FALSE)),1),"")</f>
        <v>0.1025720006</v>
      </c>
      <c r="M425" s="48">
        <f>IFERROR(MINUS(DIVIDE(VLOOKUP($B425,Data!$B$3:$EZ1530,39,FALSE),VLOOKUP($B425,Data!$B$3:$EZ1530,40,FALSE)),1),"")</f>
        <v>0.4732743703</v>
      </c>
      <c r="N425" s="48">
        <f>IFERROR(MINUS(DIVIDE(VLOOKUP($B425,Data!$B$3:$EZ1530,44,FALSE),VLOOKUP($B425,Data!$B$3:$EZ1530,45,FALSE)),1),"")</f>
        <v>0.2381850515</v>
      </c>
      <c r="O425" s="50">
        <f>IFERROR(VLOOKUP($B425,Data!$B$3:$D1530,2,FALSE),"")</f>
        <v>1240000</v>
      </c>
      <c r="P425" s="50">
        <f>IFERROR(VLOOKUP($B425,Data!$B$3:$D1530,3,FALSE),"")</f>
        <v>1160000</v>
      </c>
      <c r="Q425" s="48">
        <f t="shared" si="2"/>
        <v>0.06896551724</v>
      </c>
      <c r="R425" s="48"/>
      <c r="S425" s="48"/>
      <c r="T425" s="48"/>
      <c r="U425" s="48"/>
      <c r="V425" s="48"/>
      <c r="W425" s="50"/>
      <c r="Z425" s="11"/>
      <c r="AA425" s="11"/>
    </row>
    <row r="426">
      <c r="A426" s="9">
        <f t="shared" si="1"/>
        <v>423</v>
      </c>
      <c r="B426" s="47" t="s">
        <v>559</v>
      </c>
      <c r="C426" s="48">
        <f>IFERROR(DIVIDE(VLOOKUP($B426,Data!$B$3:$AB$1535,9,FALSE),VLOOKUP($B426,Data!$B$3:$AB$1535,4,FALSE)),"")</f>
        <v>0.3353509151</v>
      </c>
      <c r="D426" s="48">
        <f>IFERROR(DIVIDE(VLOOKUP($B426,Data!$B$3:$AB$1535,24,FALSE),VLOOKUP($B426,Data!$B$3:$AB$1535,4,FALSE)),"")</f>
        <v>0.1510304078</v>
      </c>
      <c r="E426" s="48">
        <f>IFERROR(DIVIDE(VLOOKUP($B426,Data!$B$3:$EZ1530,29,FALSE),VLOOKUP($B426,Data!$B$3:$EZ1530,4,FALSE)),"")</f>
        <v>0.2008935005</v>
      </c>
      <c r="F426" s="48">
        <f>IFERROR(DIVIDE(VLOOKUP($B426,Data!$B$3:$EZ1530,34,FALSE),VLOOKUP($B426,Data!$B$3:$EZ1530,4,FALSE)),"")</f>
        <v>0.2289955325</v>
      </c>
      <c r="G426" s="48">
        <f>IFERROR(DIVIDE(VLOOKUP($B426,Data!$B$3:$EZ1530,39,FALSE),VLOOKUP($B426,Data!$B$3:$EZ1530,4,FALSE)),"")</f>
        <v>0.1504539559</v>
      </c>
      <c r="H426" s="48">
        <f>IFERROR(DIVIDE(VLOOKUP($B426,Data!$B$3:$EZ1530,44,FALSE),VLOOKUP($B426,Data!$B$3:$EZ1530,4,FALSE)),"")</f>
        <v>0.09525868281</v>
      </c>
      <c r="I426" s="48">
        <f>IFERROR(MINUS(DIVIDE(VLOOKUP($B426,Data!$B$3:$EZ1530,9,FALSE),VLOOKUP($B426,Data!$B$3:$EZ1530,10,FALSE)),1),"")</f>
        <v>-0.02103491796</v>
      </c>
      <c r="J426" s="48">
        <f>IFERROR(MINUS(DIVIDE(VLOOKUP($B426,Data!$B$3:$EZ1530,24,FALSE),VLOOKUP($B426,Data!$B$3:$EZ1530,25,FALSE)),1),"")</f>
        <v>-0.2933243425</v>
      </c>
      <c r="K426" s="48">
        <f>IFERROR(MINUS(DIVIDE(VLOOKUP($B426,Data!$B$3:$EZ1530,29,FALSE),VLOOKUP($B426,Data!$B$3:$EZ1530,30,FALSE)),1),"")</f>
        <v>-0.05363204345</v>
      </c>
      <c r="L426" s="48">
        <f>IFERROR(MINUS(DIVIDE(VLOOKUP($B426,Data!$B$3:$EZ1530,34,FALSE),VLOOKUP($B426,Data!$B$3:$EZ1530,35,FALSE)),1),"")</f>
        <v>-0.1137757948</v>
      </c>
      <c r="M426" s="48">
        <f>IFERROR(MINUS(DIVIDE(VLOOKUP($B426,Data!$B$3:$EZ1530,39,FALSE),VLOOKUP($B426,Data!$B$3:$EZ1530,40,FALSE)),1),"")</f>
        <v>-0.1714285714</v>
      </c>
      <c r="N426" s="48">
        <f>IFERROR(MINUS(DIVIDE(VLOOKUP($B426,Data!$B$3:$EZ1530,44,FALSE),VLOOKUP($B426,Data!$B$3:$EZ1530,45,FALSE)),1),"")</f>
        <v>-0.5377622378</v>
      </c>
      <c r="O426" s="50">
        <f>IFERROR(VLOOKUP($B426,Data!$B$3:$D1530,2,FALSE),"")</f>
        <v>76230000</v>
      </c>
      <c r="P426" s="50">
        <f>IFERROR(VLOOKUP($B426,Data!$B$3:$D1530,3,FALSE),"")</f>
        <v>67160000</v>
      </c>
      <c r="Q426" s="48">
        <f t="shared" si="2"/>
        <v>0.1350506254</v>
      </c>
      <c r="R426" s="48"/>
      <c r="S426" s="48"/>
      <c r="T426" s="48"/>
      <c r="U426" s="48"/>
      <c r="V426" s="48"/>
      <c r="W426" s="50"/>
      <c r="Z426" s="15"/>
      <c r="AA426" s="15"/>
    </row>
    <row r="427">
      <c r="A427" s="9">
        <f t="shared" si="1"/>
        <v>424</v>
      </c>
      <c r="B427" s="47" t="s">
        <v>560</v>
      </c>
      <c r="C427" s="48">
        <f>IFERROR(DIVIDE(VLOOKUP($B427,Data!$B$3:$AB$1535,9,FALSE),VLOOKUP($B427,Data!$B$3:$AB$1535,4,FALSE)),"")</f>
        <v>0.2937142857</v>
      </c>
      <c r="D427" s="48">
        <f>IFERROR(DIVIDE(VLOOKUP($B427,Data!$B$3:$AB$1535,24,FALSE),VLOOKUP($B427,Data!$B$3:$AB$1535,4,FALSE)),"")</f>
        <v>0.04352914286</v>
      </c>
      <c r="E427" s="48">
        <f>IFERROR(DIVIDE(VLOOKUP($B427,Data!$B$3:$EZ1530,29,FALSE),VLOOKUP($B427,Data!$B$3:$EZ1530,4,FALSE)),"")</f>
        <v>0.04659428571</v>
      </c>
      <c r="F427" s="48">
        <f>IFERROR(DIVIDE(VLOOKUP($B427,Data!$B$3:$EZ1530,34,FALSE),VLOOKUP($B427,Data!$B$3:$EZ1530,4,FALSE)),"")</f>
        <v>0.08685485714</v>
      </c>
      <c r="G427" s="48">
        <f>IFERROR(DIVIDE(VLOOKUP($B427,Data!$B$3:$EZ1530,39,FALSE),VLOOKUP($B427,Data!$B$3:$EZ1530,4,FALSE)),"")</f>
        <v>0.03399542857</v>
      </c>
      <c r="H427" s="48">
        <f>IFERROR(DIVIDE(VLOOKUP($B427,Data!$B$3:$EZ1530,44,FALSE),VLOOKUP($B427,Data!$B$3:$EZ1530,4,FALSE)),"")</f>
        <v>0.04624114286</v>
      </c>
      <c r="I427" s="48">
        <f>IFERROR(MINUS(DIVIDE(VLOOKUP($B427,Data!$B$3:$EZ1530,9,FALSE),VLOOKUP($B427,Data!$B$3:$EZ1530,10,FALSE)),1),"")</f>
        <v>0.05327868852</v>
      </c>
      <c r="J427" s="48">
        <f>IFERROR(MINUS(DIVIDE(VLOOKUP($B427,Data!$B$3:$EZ1530,24,FALSE),VLOOKUP($B427,Data!$B$3:$EZ1530,25,FALSE)),1),"")</f>
        <v>-0.1558697724</v>
      </c>
      <c r="K427" s="48">
        <f>IFERROR(MINUS(DIVIDE(VLOOKUP($B427,Data!$B$3:$EZ1530,29,FALSE),VLOOKUP($B427,Data!$B$3:$EZ1530,30,FALSE)),1),"")</f>
        <v>-0.05607519911</v>
      </c>
      <c r="L427" s="48">
        <f>IFERROR(MINUS(DIVIDE(VLOOKUP($B427,Data!$B$3:$EZ1530,34,FALSE),VLOOKUP($B427,Data!$B$3:$EZ1530,35,FALSE)),1),"")</f>
        <v>0.1108220299</v>
      </c>
      <c r="M427" s="48">
        <f>IFERROR(MINUS(DIVIDE(VLOOKUP($B427,Data!$B$3:$EZ1530,39,FALSE),VLOOKUP($B427,Data!$B$3:$EZ1530,40,FALSE)),1),"")</f>
        <v>-0.0700306384</v>
      </c>
      <c r="N427" s="48">
        <f>IFERROR(MINUS(DIVIDE(VLOOKUP($B427,Data!$B$3:$EZ1530,44,FALSE),VLOOKUP($B427,Data!$B$3:$EZ1530,45,FALSE)),1),"")</f>
        <v>-0.4323334643</v>
      </c>
      <c r="O427" s="50">
        <f>IFERROR(VLOOKUP($B427,Data!$B$3:$D1530,2,FALSE),"")</f>
        <v>8950000</v>
      </c>
      <c r="P427" s="50">
        <f>IFERROR(VLOOKUP($B427,Data!$B$3:$D1530,3,FALSE),"")</f>
        <v>8350000</v>
      </c>
      <c r="Q427" s="48">
        <f t="shared" si="2"/>
        <v>0.07185628743</v>
      </c>
      <c r="R427" s="48"/>
      <c r="S427" s="48"/>
      <c r="T427" s="48"/>
      <c r="U427" s="48"/>
      <c r="V427" s="48"/>
      <c r="W427" s="50"/>
      <c r="Z427" s="15"/>
      <c r="AA427" s="15"/>
    </row>
    <row r="428">
      <c r="A428" s="9">
        <f t="shared" si="1"/>
        <v>425</v>
      </c>
      <c r="B428" s="47" t="s">
        <v>561</v>
      </c>
      <c r="C428" s="48">
        <f>IFERROR(DIVIDE(VLOOKUP($B428,Data!$B$3:$AB$1535,9,FALSE),VLOOKUP($B428,Data!$B$3:$AB$1535,4,FALSE)),"")</f>
        <v>0.528342246</v>
      </c>
      <c r="D428" s="48">
        <f>IFERROR(DIVIDE(VLOOKUP($B428,Data!$B$3:$AB$1535,24,FALSE),VLOOKUP($B428,Data!$B$3:$AB$1535,4,FALSE)),"")</f>
        <v>0.4004583652</v>
      </c>
      <c r="E428" s="48">
        <f>IFERROR(DIVIDE(VLOOKUP($B428,Data!$B$3:$EZ1530,29,FALSE),VLOOKUP($B428,Data!$B$3:$EZ1530,4,FALSE)),"")</f>
        <v>0.02757830405</v>
      </c>
      <c r="F428" s="48">
        <f>IFERROR(DIVIDE(VLOOKUP($B428,Data!$B$3:$EZ1530,34,FALSE),VLOOKUP($B428,Data!$B$3:$EZ1530,4,FALSE)),"")</f>
        <v>0.6935064935</v>
      </c>
      <c r="G428" s="48">
        <f>IFERROR(DIVIDE(VLOOKUP($B428,Data!$B$3:$EZ1530,39,FALSE),VLOOKUP($B428,Data!$B$3:$EZ1530,4,FALSE)),"")</f>
        <v>0.02765469824</v>
      </c>
      <c r="H428" s="48">
        <f>IFERROR(DIVIDE(VLOOKUP($B428,Data!$B$3:$EZ1530,44,FALSE),VLOOKUP($B428,Data!$B$3:$EZ1530,4,FALSE)),"")</f>
        <v>0.249197861</v>
      </c>
      <c r="I428" s="48">
        <f>IFERROR(MINUS(DIVIDE(VLOOKUP($B428,Data!$B$3:$EZ1530,9,FALSE),VLOOKUP($B428,Data!$B$3:$EZ1530,10,FALSE)),1),"")</f>
        <v>0.1238219045</v>
      </c>
      <c r="J428" s="48" t="str">
        <f>IFERROR(MINUS(DIVIDE(VLOOKUP($B428,Data!$B$3:$EZ1530,24,FALSE),VLOOKUP($B428,Data!$B$3:$EZ1530,25,FALSE)),1),"")</f>
        <v/>
      </c>
      <c r="K428" s="48">
        <f>IFERROR(MINUS(DIVIDE(VLOOKUP($B428,Data!$B$3:$EZ1530,29,FALSE),VLOOKUP($B428,Data!$B$3:$EZ1530,30,FALSE)),1),"")</f>
        <v>0</v>
      </c>
      <c r="L428" s="48">
        <f>IFERROR(MINUS(DIVIDE(VLOOKUP($B428,Data!$B$3:$EZ1530,34,FALSE),VLOOKUP($B428,Data!$B$3:$EZ1530,35,FALSE)),1),"")</f>
        <v>0.02402707276</v>
      </c>
      <c r="M428" s="48">
        <f>IFERROR(MINUS(DIVIDE(VLOOKUP($B428,Data!$B$3:$EZ1530,39,FALSE),VLOOKUP($B428,Data!$B$3:$EZ1530,40,FALSE)),1),"")</f>
        <v>0</v>
      </c>
      <c r="N428" s="48">
        <f>IFERROR(MINUS(DIVIDE(VLOOKUP($B428,Data!$B$3:$EZ1530,44,FALSE),VLOOKUP($B428,Data!$B$3:$EZ1530,45,FALSE)),1),"")</f>
        <v>-0.2412188881</v>
      </c>
      <c r="O428" s="50">
        <f>IFERROR(VLOOKUP($B428,Data!$B$3:$D1530,2,FALSE),"")</f>
        <v>130650</v>
      </c>
      <c r="P428" s="50">
        <f>IFERROR(VLOOKUP($B428,Data!$B$3:$D1530,3,FALSE),"")</f>
        <v>134930</v>
      </c>
      <c r="Q428" s="48">
        <f t="shared" si="2"/>
        <v>-0.03172015119</v>
      </c>
      <c r="R428" s="48"/>
      <c r="S428" s="48"/>
      <c r="T428" s="48"/>
      <c r="U428" s="48"/>
      <c r="V428" s="48"/>
      <c r="W428" s="50"/>
      <c r="Z428" s="15"/>
      <c r="AA428" s="15"/>
    </row>
    <row r="429">
      <c r="A429" s="9">
        <f t="shared" si="1"/>
        <v>426</v>
      </c>
      <c r="B429" s="47" t="s">
        <v>562</v>
      </c>
      <c r="C429" s="48">
        <f>IFERROR(DIVIDE(VLOOKUP($B429,Data!$B$3:$AB$1535,9,FALSE),VLOOKUP($B429,Data!$B$3:$AB$1535,4,FALSE)),"")</f>
        <v>0.4947857445</v>
      </c>
      <c r="D429" s="48">
        <f>IFERROR(DIVIDE(VLOOKUP($B429,Data!$B$3:$AB$1535,24,FALSE),VLOOKUP($B429,Data!$B$3:$AB$1535,4,FALSE)),"")</f>
        <v>0</v>
      </c>
      <c r="E429" s="48">
        <f>IFERROR(DIVIDE(VLOOKUP($B429,Data!$B$3:$EZ1530,29,FALSE),VLOOKUP($B429,Data!$B$3:$EZ1530,4,FALSE)),"")</f>
        <v>0.0388713817</v>
      </c>
      <c r="F429" s="48">
        <f>IFERROR(DIVIDE(VLOOKUP($B429,Data!$B$3:$EZ1530,34,FALSE),VLOOKUP($B429,Data!$B$3:$EZ1530,4,FALSE)),"")</f>
        <v>0.08389915857</v>
      </c>
      <c r="G429" s="48">
        <f>IFERROR(DIVIDE(VLOOKUP($B429,Data!$B$3:$EZ1530,39,FALSE),VLOOKUP($B429,Data!$B$3:$EZ1530,4,FALSE)),"")</f>
        <v>0.03073324453</v>
      </c>
      <c r="H429" s="48">
        <f>IFERROR(DIVIDE(VLOOKUP($B429,Data!$B$3:$EZ1530,44,FALSE),VLOOKUP($B429,Data!$B$3:$EZ1530,4,FALSE)),"")</f>
        <v>0.01088333712</v>
      </c>
      <c r="I429" s="48">
        <f>IFERROR(MINUS(DIVIDE(VLOOKUP($B429,Data!$B$3:$EZ1530,9,FALSE),VLOOKUP($B429,Data!$B$3:$EZ1530,10,FALSE)),1),"")</f>
        <v>0.0231433274</v>
      </c>
      <c r="J429" s="48" t="str">
        <f>IFERROR(MINUS(DIVIDE(VLOOKUP($B429,Data!$B$3:$EZ1530,24,FALSE),VLOOKUP($B429,Data!$B$3:$EZ1530,25,FALSE)),1),"")</f>
        <v/>
      </c>
      <c r="K429" s="48">
        <f>IFERROR(MINUS(DIVIDE(VLOOKUP($B429,Data!$B$3:$EZ1530,29,FALSE),VLOOKUP($B429,Data!$B$3:$EZ1530,30,FALSE)),1),"")</f>
        <v>-0.243200506</v>
      </c>
      <c r="L429" s="48">
        <f>IFERROR(MINUS(DIVIDE(VLOOKUP($B429,Data!$B$3:$EZ1530,34,FALSE),VLOOKUP($B429,Data!$B$3:$EZ1530,35,FALSE)),1),"")</f>
        <v>0.03548516439</v>
      </c>
      <c r="M429" s="48">
        <f>IFERROR(MINUS(DIVIDE(VLOOKUP($B429,Data!$B$3:$EZ1530,39,FALSE),VLOOKUP($B429,Data!$B$3:$EZ1530,40,FALSE)),1),"")</f>
        <v>-0.183074266</v>
      </c>
      <c r="N429" s="48">
        <f>IFERROR(MINUS(DIVIDE(VLOOKUP($B429,Data!$B$3:$EZ1530,44,FALSE),VLOOKUP($B429,Data!$B$3:$EZ1530,45,FALSE)),1),"")</f>
        <v>-0.7845659164</v>
      </c>
      <c r="O429" s="50">
        <f>IFERROR(VLOOKUP($B429,Data!$B$3:$D1530,2,FALSE),"")</f>
        <v>650660</v>
      </c>
      <c r="P429" s="50">
        <f>IFERROR(VLOOKUP($B429,Data!$B$3:$D1530,3,FALSE),"")</f>
        <v>610570</v>
      </c>
      <c r="Q429" s="48">
        <f t="shared" si="2"/>
        <v>0.06565995709</v>
      </c>
      <c r="R429" s="48"/>
      <c r="S429" s="48"/>
      <c r="T429" s="48"/>
      <c r="U429" s="48"/>
      <c r="V429" s="48"/>
      <c r="W429" s="50"/>
      <c r="Z429" s="11"/>
      <c r="AA429" s="11"/>
    </row>
    <row r="430">
      <c r="A430" s="9">
        <f t="shared" si="1"/>
        <v>427</v>
      </c>
      <c r="B430" s="47" t="s">
        <v>563</v>
      </c>
      <c r="C430" s="48">
        <f>IFERROR(DIVIDE(VLOOKUP($B430,Data!$B$3:$AB$1535,9,FALSE),VLOOKUP($B430,Data!$B$3:$AB$1535,4,FALSE)),"")</f>
        <v>0.2960609911</v>
      </c>
      <c r="D430" s="48">
        <f>IFERROR(DIVIDE(VLOOKUP($B430,Data!$B$3:$AB$1535,24,FALSE),VLOOKUP($B430,Data!$B$3:$AB$1535,4,FALSE)),"")</f>
        <v>0.05336721728</v>
      </c>
      <c r="E430" s="48">
        <f>IFERROR(DIVIDE(VLOOKUP($B430,Data!$B$3:$EZ1530,29,FALSE),VLOOKUP($B430,Data!$B$3:$EZ1530,4,FALSE)),"")</f>
        <v>0.04659042778</v>
      </c>
      <c r="F430" s="48">
        <f>IFERROR(DIVIDE(VLOOKUP($B430,Data!$B$3:$EZ1530,34,FALSE),VLOOKUP($B430,Data!$B$3:$EZ1530,4,FALSE)),"")</f>
        <v>0.09487505294</v>
      </c>
      <c r="G430" s="48">
        <f>IFERROR(DIVIDE(VLOOKUP($B430,Data!$B$3:$EZ1530,39,FALSE),VLOOKUP($B430,Data!$B$3:$EZ1530,4,FALSE)),"")</f>
        <v>0.03502753071</v>
      </c>
      <c r="H430" s="48">
        <f>IFERROR(DIVIDE(VLOOKUP($B430,Data!$B$3:$EZ1530,44,FALSE),VLOOKUP($B430,Data!$B$3:$EZ1530,4,FALSE)),"")</f>
        <v>0.07920372723</v>
      </c>
      <c r="I430" s="48">
        <f>IFERROR(MINUS(DIVIDE(VLOOKUP($B430,Data!$B$3:$EZ1530,9,FALSE),VLOOKUP($B430,Data!$B$3:$EZ1530,10,FALSE)),1),"")</f>
        <v>0.01598837209</v>
      </c>
      <c r="J430" s="48">
        <f>IFERROR(MINUS(DIVIDE(VLOOKUP($B430,Data!$B$3:$EZ1530,24,FALSE),VLOOKUP($B430,Data!$B$3:$EZ1530,25,FALSE)),1),"")</f>
        <v>-2.349758972</v>
      </c>
      <c r="K430" s="48">
        <f>IFERROR(MINUS(DIVIDE(VLOOKUP($B430,Data!$B$3:$EZ1530,29,FALSE),VLOOKUP($B430,Data!$B$3:$EZ1530,30,FALSE)),1),"")</f>
        <v>-1.839694656</v>
      </c>
      <c r="L430" s="48">
        <f>IFERROR(MINUS(DIVIDE(VLOOKUP($B430,Data!$B$3:$EZ1530,34,FALSE),VLOOKUP($B430,Data!$B$3:$EZ1530,35,FALSE)),1),"")</f>
        <v>-0.07818930041</v>
      </c>
      <c r="M430" s="48">
        <f>IFERROR(MINUS(DIVIDE(VLOOKUP($B430,Data!$B$3:$EZ1530,39,FALSE),VLOOKUP($B430,Data!$B$3:$EZ1530,40,FALSE)),1),"")</f>
        <v>-1.520125786</v>
      </c>
      <c r="N430" s="48">
        <f>IFERROR(MINUS(DIVIDE(VLOOKUP($B430,Data!$B$3:$EZ1530,44,FALSE),VLOOKUP($B430,Data!$B$3:$EZ1530,45,FALSE)),1),"")</f>
        <v>0.05649717514</v>
      </c>
      <c r="O430" s="50">
        <f>IFERROR(VLOOKUP($B430,Data!$B$3:$D1530,2,FALSE),"")</f>
        <v>25910000</v>
      </c>
      <c r="P430" s="50">
        <f>IFERROR(VLOOKUP($B430,Data!$B$3:$D1530,3,FALSE),"")</f>
        <v>25180000</v>
      </c>
      <c r="Q430" s="48">
        <f t="shared" si="2"/>
        <v>0.02899126291</v>
      </c>
      <c r="R430" s="48"/>
      <c r="S430" s="48"/>
      <c r="T430" s="48"/>
      <c r="U430" s="48"/>
      <c r="V430" s="48"/>
      <c r="W430" s="50"/>
      <c r="Z430" s="11"/>
      <c r="AA430" s="11"/>
    </row>
    <row r="431">
      <c r="A431" s="9">
        <f t="shared" si="1"/>
        <v>428</v>
      </c>
      <c r="B431" s="47" t="s">
        <v>564</v>
      </c>
      <c r="C431" s="48">
        <f>IFERROR(DIVIDE(VLOOKUP($B431,Data!$B$3:$AB$1535,9,FALSE),VLOOKUP($B431,Data!$B$3:$AB$1535,4,FALSE)),"")</f>
        <v>0.4901970803</v>
      </c>
      <c r="D431" s="48">
        <f>IFERROR(DIVIDE(VLOOKUP($B431,Data!$B$3:$AB$1535,24,FALSE),VLOOKUP($B431,Data!$B$3:$AB$1535,4,FALSE)),"")</f>
        <v>0.3059781022</v>
      </c>
      <c r="E431" s="48">
        <f>IFERROR(DIVIDE(VLOOKUP($B431,Data!$B$3:$EZ1530,29,FALSE),VLOOKUP($B431,Data!$B$3:$EZ1530,4,FALSE)),"")</f>
        <v>0.2330364964</v>
      </c>
      <c r="F431" s="48">
        <f>IFERROR(DIVIDE(VLOOKUP($B431,Data!$B$3:$EZ1530,34,FALSE),VLOOKUP($B431,Data!$B$3:$EZ1530,4,FALSE)),"")</f>
        <v>0.3469124088</v>
      </c>
      <c r="G431" s="48">
        <f>IFERROR(DIVIDE(VLOOKUP($B431,Data!$B$3:$EZ1530,39,FALSE),VLOOKUP($B431,Data!$B$3:$EZ1530,4,FALSE)),"")</f>
        <v>0.1766569343</v>
      </c>
      <c r="H431" s="48">
        <f>IFERROR(DIVIDE(VLOOKUP($B431,Data!$B$3:$EZ1530,44,FALSE),VLOOKUP($B431,Data!$B$3:$EZ1530,4,FALSE)),"")</f>
        <v>0.2173211679</v>
      </c>
      <c r="I431" s="48">
        <f>IFERROR(MINUS(DIVIDE(VLOOKUP($B431,Data!$B$3:$EZ1530,9,FALSE),VLOOKUP($B431,Data!$B$3:$EZ1530,10,FALSE)),1),"")</f>
        <v>0.03791110287</v>
      </c>
      <c r="J431" s="48">
        <f>IFERROR(MINUS(DIVIDE(VLOOKUP($B431,Data!$B$3:$EZ1530,24,FALSE),VLOOKUP($B431,Data!$B$3:$EZ1530,25,FALSE)),1),"")</f>
        <v>0.05097026526</v>
      </c>
      <c r="K431" s="48">
        <f>IFERROR(MINUS(DIVIDE(VLOOKUP($B431,Data!$B$3:$EZ1530,29,FALSE),VLOOKUP($B431,Data!$B$3:$EZ1530,30,FALSE)),1),"")</f>
        <v>0.1039419087</v>
      </c>
      <c r="L431" s="48">
        <f>IFERROR(MINUS(DIVIDE(VLOOKUP($B431,Data!$B$3:$EZ1530,34,FALSE),VLOOKUP($B431,Data!$B$3:$EZ1530,35,FALSE)),1),"")</f>
        <v>0.06735088034</v>
      </c>
      <c r="M431" s="48">
        <f>IFERROR(MINUS(DIVIDE(VLOOKUP($B431,Data!$B$3:$EZ1530,39,FALSE),VLOOKUP($B431,Data!$B$3:$EZ1530,40,FALSE)),1),"")</f>
        <v>0.052672785</v>
      </c>
      <c r="N431" s="48">
        <f>IFERROR(MINUS(DIVIDE(VLOOKUP($B431,Data!$B$3:$EZ1530,44,FALSE),VLOOKUP($B431,Data!$B$3:$EZ1530,45,FALSE)),1),"")</f>
        <v>0.1069675788</v>
      </c>
      <c r="O431" s="50">
        <f>IFERROR(VLOOKUP($B431,Data!$B$3:$D1530,2,FALSE),"")</f>
        <v>1360000</v>
      </c>
      <c r="P431" s="50">
        <f>IFERROR(VLOOKUP($B431,Data!$B$3:$D1530,3,FALSE),"")</f>
        <v>1260000</v>
      </c>
      <c r="Q431" s="48">
        <f t="shared" si="2"/>
        <v>0.07936507937</v>
      </c>
      <c r="R431" s="48"/>
      <c r="S431" s="48"/>
      <c r="T431" s="48"/>
      <c r="U431" s="48"/>
      <c r="V431" s="48"/>
      <c r="W431" s="50"/>
      <c r="Z431" s="11"/>
      <c r="AA431" s="11"/>
    </row>
    <row r="432">
      <c r="A432" s="9">
        <f t="shared" si="1"/>
        <v>429</v>
      </c>
      <c r="B432" s="47" t="s">
        <v>565</v>
      </c>
      <c r="C432" s="48">
        <f>IFERROR(DIVIDE(VLOOKUP($B432,Data!$B$3:$AB$1535,9,FALSE),VLOOKUP($B432,Data!$B$3:$AB$1535,4,FALSE)),"")</f>
        <v>0</v>
      </c>
      <c r="D432" s="48">
        <f>IFERROR(DIVIDE(VLOOKUP($B432,Data!$B$3:$AB$1535,24,FALSE),VLOOKUP($B432,Data!$B$3:$AB$1535,4,FALSE)),"")</f>
        <v>-7.982758621</v>
      </c>
      <c r="E432" s="48">
        <f>IFERROR(DIVIDE(VLOOKUP($B432,Data!$B$3:$EZ1530,29,FALSE),VLOOKUP($B432,Data!$B$3:$EZ1530,4,FALSE)),"")</f>
        <v>-7.420164918</v>
      </c>
      <c r="F432" s="48">
        <f>IFERROR(DIVIDE(VLOOKUP($B432,Data!$B$3:$EZ1530,34,FALSE),VLOOKUP($B432,Data!$B$3:$EZ1530,4,FALSE)),"")</f>
        <v>-7.634557721</v>
      </c>
      <c r="G432" s="48">
        <f>IFERROR(DIVIDE(VLOOKUP($B432,Data!$B$3:$EZ1530,39,FALSE),VLOOKUP($B432,Data!$B$3:$EZ1530,4,FALSE)),"")</f>
        <v>-7.406671664</v>
      </c>
      <c r="H432" s="48">
        <f>IFERROR(DIVIDE(VLOOKUP($B432,Data!$B$3:$EZ1530,44,FALSE),VLOOKUP($B432,Data!$B$3:$EZ1530,4,FALSE)),"")</f>
        <v>-5.72826087</v>
      </c>
      <c r="I432" s="48" t="str">
        <f>IFERROR(MINUS(DIVIDE(VLOOKUP($B432,Data!$B$3:$EZ1530,9,FALSE),VLOOKUP($B432,Data!$B$3:$EZ1530,10,FALSE)),1),"")</f>
        <v/>
      </c>
      <c r="J432" s="48">
        <f>IFERROR(MINUS(DIVIDE(VLOOKUP($B432,Data!$B$3:$EZ1530,24,FALSE),VLOOKUP($B432,Data!$B$3:$EZ1530,25,FALSE)),1),"")</f>
        <v>3.57333047</v>
      </c>
      <c r="K432" s="48">
        <f>IFERROR(MINUS(DIVIDE(VLOOKUP($B432,Data!$B$3:$EZ1530,29,FALSE),VLOOKUP($B432,Data!$B$3:$EZ1530,30,FALSE)),1),"")</f>
        <v>4.462748344</v>
      </c>
      <c r="L432" s="48">
        <f>IFERROR(MINUS(DIVIDE(VLOOKUP($B432,Data!$B$3:$EZ1530,34,FALSE),VLOOKUP($B432,Data!$B$3:$EZ1530,35,FALSE)),1),"")</f>
        <v>5.55795235</v>
      </c>
      <c r="M432" s="48">
        <f>IFERROR(MINUS(DIVIDE(VLOOKUP($B432,Data!$B$3:$EZ1530,39,FALSE),VLOOKUP($B432,Data!$B$3:$EZ1530,40,FALSE)),1),"")</f>
        <v>4.45281457</v>
      </c>
      <c r="N432" s="48">
        <f>IFERROR(MINUS(DIVIDE(VLOOKUP($B432,Data!$B$3:$EZ1530,44,FALSE),VLOOKUP($B432,Data!$B$3:$EZ1530,45,FALSE)),1),"")</f>
        <v>-4.049281724</v>
      </c>
      <c r="O432" s="50">
        <f>IFERROR(VLOOKUP($B432,Data!$B$3:$D1530,2,FALSE),"")</f>
        <v>23870</v>
      </c>
      <c r="P432" s="50">
        <f>IFERROR(VLOOKUP($B432,Data!$B$3:$D1530,3,FALSE),"")</f>
        <v>131890</v>
      </c>
      <c r="Q432" s="48">
        <f t="shared" si="2"/>
        <v>-0.8190158465</v>
      </c>
      <c r="R432" s="48"/>
      <c r="S432" s="48"/>
      <c r="T432" s="48"/>
      <c r="U432" s="48"/>
      <c r="V432" s="48"/>
      <c r="W432" s="50"/>
      <c r="Z432" s="11"/>
      <c r="AA432" s="11"/>
    </row>
    <row r="433">
      <c r="A433" s="9">
        <f t="shared" si="1"/>
        <v>430</v>
      </c>
      <c r="B433" s="47" t="s">
        <v>566</v>
      </c>
      <c r="C433" s="48">
        <f>IFERROR(DIVIDE(VLOOKUP($B433,Data!$B$3:$AB$1535,9,FALSE),VLOOKUP($B433,Data!$B$3:$AB$1535,4,FALSE)),"")</f>
        <v>-1.003858521</v>
      </c>
      <c r="D433" s="48">
        <f>IFERROR(DIVIDE(VLOOKUP($B433,Data!$B$3:$AB$1535,24,FALSE),VLOOKUP($B433,Data!$B$3:$AB$1535,4,FALSE)),"")</f>
        <v>-1.620578778</v>
      </c>
      <c r="E433" s="48">
        <f>IFERROR(DIVIDE(VLOOKUP($B433,Data!$B$3:$EZ1530,29,FALSE),VLOOKUP($B433,Data!$B$3:$EZ1530,4,FALSE)),"")</f>
        <v>-1.48488746</v>
      </c>
      <c r="F433" s="48">
        <f>IFERROR(DIVIDE(VLOOKUP($B433,Data!$B$3:$EZ1530,34,FALSE),VLOOKUP($B433,Data!$B$3:$EZ1530,4,FALSE)),"")</f>
        <v>-1.209646302</v>
      </c>
      <c r="G433" s="48">
        <f>IFERROR(DIVIDE(VLOOKUP($B433,Data!$B$3:$EZ1530,39,FALSE),VLOOKUP($B433,Data!$B$3:$EZ1530,4,FALSE)),"")</f>
        <v>-1.166559486</v>
      </c>
      <c r="H433" s="48">
        <f>IFERROR(DIVIDE(VLOOKUP($B433,Data!$B$3:$EZ1530,44,FALSE),VLOOKUP($B433,Data!$B$3:$EZ1530,4,FALSE)),"")</f>
        <v>-1.209003215</v>
      </c>
      <c r="I433" s="48">
        <f>IFERROR(MINUS(DIVIDE(VLOOKUP($B433,Data!$B$3:$EZ1530,9,FALSE),VLOOKUP($B433,Data!$B$3:$EZ1530,10,FALSE)),1),"")</f>
        <v>-0.07304038005</v>
      </c>
      <c r="J433" s="48">
        <f>IFERROR(MINUS(DIVIDE(VLOOKUP($B433,Data!$B$3:$EZ1530,24,FALSE),VLOOKUP($B433,Data!$B$3:$EZ1530,25,FALSE)),1),"")</f>
        <v>-0.29726715</v>
      </c>
      <c r="K433" s="48">
        <f>IFERROR(MINUS(DIVIDE(VLOOKUP($B433,Data!$B$3:$EZ1530,29,FALSE),VLOOKUP($B433,Data!$B$3:$EZ1530,30,FALSE)),1),"")</f>
        <v>-0.4025873221</v>
      </c>
      <c r="L433" s="48">
        <f>IFERROR(MINUS(DIVIDE(VLOOKUP($B433,Data!$B$3:$EZ1530,34,FALSE),VLOOKUP($B433,Data!$B$3:$EZ1530,35,FALSE)),1),"")</f>
        <v>-0.0198019802</v>
      </c>
      <c r="M433" s="48">
        <f>IFERROR(MINUS(DIVIDE(VLOOKUP($B433,Data!$B$3:$EZ1530,39,FALSE),VLOOKUP($B433,Data!$B$3:$EZ1530,40,FALSE)),1),"")</f>
        <v>-0.3969414894</v>
      </c>
      <c r="N433" s="48">
        <f>IFERROR(MINUS(DIVIDE(VLOOKUP($B433,Data!$B$3:$EZ1530,44,FALSE),VLOOKUP($B433,Data!$B$3:$EZ1530,45,FALSE)),1),"")</f>
        <v>-0.1026252983</v>
      </c>
      <c r="O433" s="50">
        <f>IFERROR(VLOOKUP($B433,Data!$B$3:$D1530,2,FALSE),"")</f>
        <v>21720</v>
      </c>
      <c r="P433" s="50">
        <f>IFERROR(VLOOKUP($B433,Data!$B$3:$D1530,3,FALSE),"")</f>
        <v>12340</v>
      </c>
      <c r="Q433" s="48">
        <f t="shared" si="2"/>
        <v>0.7601296596</v>
      </c>
      <c r="R433" s="48"/>
      <c r="S433" s="48"/>
      <c r="T433" s="48"/>
      <c r="U433" s="48"/>
      <c r="V433" s="48"/>
      <c r="W433" s="50"/>
      <c r="Z433" s="15"/>
      <c r="AA433" s="15"/>
    </row>
    <row r="434">
      <c r="A434" s="9">
        <f t="shared" si="1"/>
        <v>431</v>
      </c>
      <c r="B434" s="47" t="s">
        <v>567</v>
      </c>
      <c r="C434" s="48" t="str">
        <f>IFERROR(DIVIDE(VLOOKUP($B434,Data!$B$3:$AB$1535,9,FALSE),VLOOKUP($B434,Data!$B$3:$AB$1535,4,FALSE)),"")</f>
        <v/>
      </c>
      <c r="D434" s="48" t="str">
        <f>IFERROR(DIVIDE(VLOOKUP($B434,Data!$B$3:$AB$1535,24,FALSE),VLOOKUP($B434,Data!$B$3:$AB$1535,4,FALSE)),"")</f>
        <v/>
      </c>
      <c r="E434" s="48" t="str">
        <f>IFERROR(DIVIDE(VLOOKUP($B434,Data!$B$3:$EZ1530,29,FALSE),VLOOKUP($B434,Data!$B$3:$EZ1530,4,FALSE)),"")</f>
        <v/>
      </c>
      <c r="F434" s="48" t="str">
        <f>IFERROR(DIVIDE(VLOOKUP($B434,Data!$B$3:$EZ1530,34,FALSE),VLOOKUP($B434,Data!$B$3:$EZ1530,4,FALSE)),"")</f>
        <v/>
      </c>
      <c r="G434" s="48" t="str">
        <f>IFERROR(DIVIDE(VLOOKUP($B434,Data!$B$3:$EZ1530,39,FALSE),VLOOKUP($B434,Data!$B$3:$EZ1530,4,FALSE)),"")</f>
        <v/>
      </c>
      <c r="H434" s="48" t="str">
        <f>IFERROR(DIVIDE(VLOOKUP($B434,Data!$B$3:$EZ1530,44,FALSE),VLOOKUP($B434,Data!$B$3:$EZ1530,4,FALSE)),"")</f>
        <v/>
      </c>
      <c r="I434" s="48" t="str">
        <f>IFERROR(MINUS(DIVIDE(VLOOKUP($B434,Data!$B$3:$EZ1530,9,FALSE),VLOOKUP($B434,Data!$B$3:$EZ1530,10,FALSE)),1),"")</f>
        <v/>
      </c>
      <c r="J434" s="48" t="str">
        <f>IFERROR(MINUS(DIVIDE(VLOOKUP($B434,Data!$B$3:$EZ1530,24,FALSE),VLOOKUP($B434,Data!$B$3:$EZ1530,25,FALSE)),1),"")</f>
        <v/>
      </c>
      <c r="K434" s="48" t="str">
        <f>IFERROR(MINUS(DIVIDE(VLOOKUP($B434,Data!$B$3:$EZ1530,29,FALSE),VLOOKUP($B434,Data!$B$3:$EZ1530,30,FALSE)),1),"")</f>
        <v/>
      </c>
      <c r="L434" s="48" t="str">
        <f>IFERROR(MINUS(DIVIDE(VLOOKUP($B434,Data!$B$3:$EZ1530,34,FALSE),VLOOKUP($B434,Data!$B$3:$EZ1530,35,FALSE)),1),"")</f>
        <v/>
      </c>
      <c r="M434" s="48" t="str">
        <f>IFERROR(MINUS(DIVIDE(VLOOKUP($B434,Data!$B$3:$EZ1530,39,FALSE),VLOOKUP($B434,Data!$B$3:$EZ1530,40,FALSE)),1),"")</f>
        <v/>
      </c>
      <c r="N434" s="48" t="str">
        <f>IFERROR(MINUS(DIVIDE(VLOOKUP($B434,Data!$B$3:$EZ1530,44,FALSE),VLOOKUP($B434,Data!$B$3:$EZ1530,45,FALSE)),1),"")</f>
        <v/>
      </c>
      <c r="O434" s="50">
        <f>IFERROR(VLOOKUP($B434,Data!$B$3:$D1530,2,FALSE),"")</f>
        <v>462520</v>
      </c>
      <c r="P434" s="50">
        <f>IFERROR(VLOOKUP($B434,Data!$B$3:$D1530,3,FALSE),"")</f>
        <v>435120</v>
      </c>
      <c r="Q434" s="48">
        <f t="shared" si="2"/>
        <v>0.0629711344</v>
      </c>
      <c r="R434" s="48"/>
      <c r="S434" s="48"/>
      <c r="T434" s="48"/>
      <c r="U434" s="48"/>
      <c r="V434" s="48"/>
      <c r="W434" s="50"/>
      <c r="Z434" s="11"/>
      <c r="AA434" s="11"/>
    </row>
    <row r="435">
      <c r="A435" s="9">
        <f t="shared" si="1"/>
        <v>432</v>
      </c>
      <c r="B435" s="47" t="s">
        <v>568</v>
      </c>
      <c r="C435" s="48">
        <f>IFERROR(DIVIDE(VLOOKUP($B435,Data!$B$3:$AB$1535,9,FALSE),VLOOKUP($B435,Data!$B$3:$AB$1535,4,FALSE)),"")</f>
        <v>0.2090688073</v>
      </c>
      <c r="D435" s="48">
        <f>IFERROR(DIVIDE(VLOOKUP($B435,Data!$B$3:$AB$1535,24,FALSE),VLOOKUP($B435,Data!$B$3:$AB$1535,4,FALSE)),"")</f>
        <v>0.06213302752</v>
      </c>
      <c r="E435" s="48">
        <f>IFERROR(DIVIDE(VLOOKUP($B435,Data!$B$3:$EZ1530,29,FALSE),VLOOKUP($B435,Data!$B$3:$EZ1530,4,FALSE)),"")</f>
        <v>0.03043577982</v>
      </c>
      <c r="F435" s="48">
        <f>IFERROR(DIVIDE(VLOOKUP($B435,Data!$B$3:$EZ1530,34,FALSE),VLOOKUP($B435,Data!$B$3:$EZ1530,4,FALSE)),"")</f>
        <v>0.1253944954</v>
      </c>
      <c r="G435" s="48">
        <f>IFERROR(DIVIDE(VLOOKUP($B435,Data!$B$3:$EZ1530,39,FALSE),VLOOKUP($B435,Data!$B$3:$EZ1530,4,FALSE)),"")</f>
        <v>0.0204587156</v>
      </c>
      <c r="H435" s="48">
        <f>IFERROR(DIVIDE(VLOOKUP($B435,Data!$B$3:$EZ1530,44,FALSE),VLOOKUP($B435,Data!$B$3:$EZ1530,4,FALSE)),"")</f>
        <v>0.1016788991</v>
      </c>
      <c r="I435" s="48">
        <f>IFERROR(MINUS(DIVIDE(VLOOKUP($B435,Data!$B$3:$EZ1530,9,FALSE),VLOOKUP($B435,Data!$B$3:$EZ1530,10,FALSE)),1),"")</f>
        <v>0.1008405391</v>
      </c>
      <c r="J435" s="48">
        <f>IFERROR(MINUS(DIVIDE(VLOOKUP($B435,Data!$B$3:$EZ1530,24,FALSE),VLOOKUP($B435,Data!$B$3:$EZ1530,25,FALSE)),1),"")</f>
        <v>-0.1550218341</v>
      </c>
      <c r="K435" s="48">
        <f>IFERROR(MINUS(DIVIDE(VLOOKUP($B435,Data!$B$3:$EZ1530,29,FALSE),VLOOKUP($B435,Data!$B$3:$EZ1530,30,FALSE)),1),"")</f>
        <v>-0.448737122</v>
      </c>
      <c r="L435" s="48">
        <f>IFERROR(MINUS(DIVIDE(VLOOKUP($B435,Data!$B$3:$EZ1530,34,FALSE),VLOOKUP($B435,Data!$B$3:$EZ1530,35,FALSE)),1),"")</f>
        <v>0.0503342811</v>
      </c>
      <c r="M435" s="48">
        <f>IFERROR(MINUS(DIVIDE(VLOOKUP($B435,Data!$B$3:$EZ1530,39,FALSE),VLOOKUP($B435,Data!$B$3:$EZ1530,40,FALSE)),1),"")</f>
        <v>-0.5189299968</v>
      </c>
      <c r="N435" s="48">
        <f>IFERROR(MINUS(DIVIDE(VLOOKUP($B435,Data!$B$3:$EZ1530,44,FALSE),VLOOKUP($B435,Data!$B$3:$EZ1530,45,FALSE)),1),"")</f>
        <v>0.0906854303</v>
      </c>
      <c r="O435" s="50">
        <f>IFERROR(VLOOKUP($B435,Data!$B$3:$D1530,2,FALSE),"")</f>
        <v>2160000</v>
      </c>
      <c r="P435" s="50">
        <f>IFERROR(VLOOKUP($B435,Data!$B$3:$D1530,3,FALSE),"")</f>
        <v>2040000</v>
      </c>
      <c r="Q435" s="48">
        <f t="shared" si="2"/>
        <v>0.05882352941</v>
      </c>
      <c r="R435" s="48"/>
      <c r="S435" s="48"/>
      <c r="T435" s="48"/>
      <c r="U435" s="48"/>
      <c r="V435" s="48"/>
      <c r="W435" s="50"/>
      <c r="Z435" s="12"/>
      <c r="AA435" s="12"/>
    </row>
    <row r="436">
      <c r="A436" s="9">
        <f t="shared" si="1"/>
        <v>433</v>
      </c>
      <c r="B436" s="47" t="s">
        <v>569</v>
      </c>
      <c r="C436" s="48">
        <f>IFERROR(DIVIDE(VLOOKUP($B436,Data!$B$3:$AB$1535,9,FALSE),VLOOKUP($B436,Data!$B$3:$AB$1535,4,FALSE)),"")</f>
        <v>0.3867403315</v>
      </c>
      <c r="D436" s="48">
        <f>IFERROR(DIVIDE(VLOOKUP($B436,Data!$B$3:$AB$1535,24,FALSE),VLOOKUP($B436,Data!$B$3:$AB$1535,4,FALSE)),"")</f>
        <v>0</v>
      </c>
      <c r="E436" s="48">
        <f>IFERROR(DIVIDE(VLOOKUP($B436,Data!$B$3:$EZ1530,29,FALSE),VLOOKUP($B436,Data!$B$3:$EZ1530,4,FALSE)),"")</f>
        <v>0.1333259669</v>
      </c>
      <c r="F436" s="48">
        <f>IFERROR(DIVIDE(VLOOKUP($B436,Data!$B$3:$EZ1530,34,FALSE),VLOOKUP($B436,Data!$B$3:$EZ1530,4,FALSE)),"")</f>
        <v>0.1905082873</v>
      </c>
      <c r="G436" s="48">
        <f>IFERROR(DIVIDE(VLOOKUP($B436,Data!$B$3:$EZ1530,39,FALSE),VLOOKUP($B436,Data!$B$3:$EZ1530,4,FALSE)),"")</f>
        <v>0.1106933702</v>
      </c>
      <c r="H436" s="48">
        <f>IFERROR(DIVIDE(VLOOKUP($B436,Data!$B$3:$EZ1530,44,FALSE),VLOOKUP($B436,Data!$B$3:$EZ1530,4,FALSE)),"")</f>
        <v>0.1372790055</v>
      </c>
      <c r="I436" s="48">
        <f>IFERROR(MINUS(DIVIDE(VLOOKUP($B436,Data!$B$3:$EZ1530,9,FALSE),VLOOKUP($B436,Data!$B$3:$EZ1530,10,FALSE)),1),"")</f>
        <v>0.07692307692</v>
      </c>
      <c r="J436" s="48" t="str">
        <f>IFERROR(MINUS(DIVIDE(VLOOKUP($B436,Data!$B$3:$EZ1530,24,FALSE),VLOOKUP($B436,Data!$B$3:$EZ1530,25,FALSE)),1),"")</f>
        <v/>
      </c>
      <c r="K436" s="48">
        <f>IFERROR(MINUS(DIVIDE(VLOOKUP($B436,Data!$B$3:$EZ1530,29,FALSE),VLOOKUP($B436,Data!$B$3:$EZ1530,30,FALSE)),1),"")</f>
        <v>0.1258747784</v>
      </c>
      <c r="L436" s="48">
        <f>IFERROR(MINUS(DIVIDE(VLOOKUP($B436,Data!$B$3:$EZ1530,34,FALSE),VLOOKUP($B436,Data!$B$3:$EZ1530,35,FALSE)),1),"")</f>
        <v>0.1133101945</v>
      </c>
      <c r="M436" s="48">
        <f>IFERROR(MINUS(DIVIDE(VLOOKUP($B436,Data!$B$3:$EZ1530,39,FALSE),VLOOKUP($B436,Data!$B$3:$EZ1530,40,FALSE)),1),"")</f>
        <v>0.1070254441</v>
      </c>
      <c r="N436" s="48">
        <f>IFERROR(MINUS(DIVIDE(VLOOKUP($B436,Data!$B$3:$EZ1530,44,FALSE),VLOOKUP($B436,Data!$B$3:$EZ1530,45,FALSE)),1),"")</f>
        <v>0.2607504376</v>
      </c>
      <c r="O436" s="50">
        <f>IFERROR(VLOOKUP($B436,Data!$B$3:$D1530,2,FALSE),"")</f>
        <v>4260000</v>
      </c>
      <c r="P436" s="50">
        <f>IFERROR(VLOOKUP($B436,Data!$B$3:$D1530,3,FALSE),"")</f>
        <v>4060000</v>
      </c>
      <c r="Q436" s="48">
        <f t="shared" si="2"/>
        <v>0.04926108374</v>
      </c>
      <c r="R436" s="48"/>
      <c r="S436" s="48"/>
      <c r="T436" s="48"/>
      <c r="U436" s="48"/>
      <c r="V436" s="48"/>
      <c r="W436" s="50"/>
      <c r="Z436" s="11"/>
      <c r="AA436" s="11"/>
    </row>
    <row r="437">
      <c r="A437" s="9">
        <f t="shared" si="1"/>
        <v>434</v>
      </c>
      <c r="B437" s="47" t="s">
        <v>570</v>
      </c>
      <c r="C437" s="48">
        <f>IFERROR(DIVIDE(VLOOKUP($B437,Data!$B$3:$AB$1535,9,FALSE),VLOOKUP($B437,Data!$B$3:$AB$1535,4,FALSE)),"")</f>
        <v>0.2288713312</v>
      </c>
      <c r="D437" s="48">
        <f>IFERROR(DIVIDE(VLOOKUP($B437,Data!$B$3:$AB$1535,24,FALSE),VLOOKUP($B437,Data!$B$3:$AB$1535,4,FALSE)),"")</f>
        <v>0</v>
      </c>
      <c r="E437" s="48">
        <f>IFERROR(DIVIDE(VLOOKUP($B437,Data!$B$3:$EZ1530,29,FALSE),VLOOKUP($B437,Data!$B$3:$EZ1530,4,FALSE)),"")</f>
        <v>0.1082460994</v>
      </c>
      <c r="F437" s="48">
        <f>IFERROR(DIVIDE(VLOOKUP($B437,Data!$B$3:$EZ1530,34,FALSE),VLOOKUP($B437,Data!$B$3:$EZ1530,4,FALSE)),"")</f>
        <v>0.2553124733</v>
      </c>
      <c r="G437" s="48">
        <f>IFERROR(DIVIDE(VLOOKUP($B437,Data!$B$3:$EZ1530,39,FALSE),VLOOKUP($B437,Data!$B$3:$EZ1530,4,FALSE)),"")</f>
        <v>0.08074959354</v>
      </c>
      <c r="H437" s="48">
        <f>IFERROR(DIVIDE(VLOOKUP($B437,Data!$B$3:$EZ1530,44,FALSE),VLOOKUP($B437,Data!$B$3:$EZ1530,4,FALSE)),"")</f>
        <v>0.2931629539</v>
      </c>
      <c r="I437" s="48">
        <f>IFERROR(MINUS(DIVIDE(VLOOKUP($B437,Data!$B$3:$EZ1530,9,FALSE),VLOOKUP($B437,Data!$B$3:$EZ1530,10,FALSE)),1),"")</f>
        <v>-0.1814750587</v>
      </c>
      <c r="J437" s="48" t="str">
        <f>IFERROR(MINUS(DIVIDE(VLOOKUP($B437,Data!$B$3:$EZ1530,24,FALSE),VLOOKUP($B437,Data!$B$3:$EZ1530,25,FALSE)),1),"")</f>
        <v/>
      </c>
      <c r="K437" s="48">
        <f>IFERROR(MINUS(DIVIDE(VLOOKUP($B437,Data!$B$3:$EZ1530,29,FALSE),VLOOKUP($B437,Data!$B$3:$EZ1530,30,FALSE)),1),"")</f>
        <v>-0.4852143245</v>
      </c>
      <c r="L437" s="48">
        <f>IFERROR(MINUS(DIVIDE(VLOOKUP($B437,Data!$B$3:$EZ1530,34,FALSE),VLOOKUP($B437,Data!$B$3:$EZ1530,35,FALSE)),1),"")</f>
        <v>-0.01464112726</v>
      </c>
      <c r="M437" s="48">
        <f>IFERROR(MINUS(DIVIDE(VLOOKUP($B437,Data!$B$3:$EZ1530,39,FALSE),VLOOKUP($B437,Data!$B$3:$EZ1530,40,FALSE)),1),"")</f>
        <v>-0.5386996904</v>
      </c>
      <c r="N437" s="48">
        <f>IFERROR(MINUS(DIVIDE(VLOOKUP($B437,Data!$B$3:$EZ1530,44,FALSE),VLOOKUP($B437,Data!$B$3:$EZ1530,45,FALSE)),1),"")</f>
        <v>-0.06273937625</v>
      </c>
      <c r="O437" s="50">
        <f>IFERROR(VLOOKUP($B437,Data!$B$3:$D1530,2,FALSE),"")</f>
        <v>686400</v>
      </c>
      <c r="P437" s="50">
        <f>IFERROR(VLOOKUP($B437,Data!$B$3:$D1530,3,FALSE),"")</f>
        <v>599720</v>
      </c>
      <c r="Q437" s="48">
        <f t="shared" si="2"/>
        <v>0.1445341159</v>
      </c>
      <c r="R437" s="48"/>
      <c r="S437" s="48"/>
      <c r="T437" s="48"/>
      <c r="U437" s="48"/>
      <c r="V437" s="48"/>
      <c r="W437" s="50"/>
      <c r="Z437" s="11"/>
      <c r="AA437" s="11"/>
    </row>
    <row r="438">
      <c r="A438" s="9">
        <f t="shared" si="1"/>
        <v>435</v>
      </c>
      <c r="B438" s="47" t="s">
        <v>571</v>
      </c>
      <c r="C438" s="48">
        <f>IFERROR(DIVIDE(VLOOKUP($B438,Data!$B$3:$AB$1535,9,FALSE),VLOOKUP($B438,Data!$B$3:$AB$1535,4,FALSE)),"")</f>
        <v>0.1344430218</v>
      </c>
      <c r="D438" s="48">
        <f>IFERROR(DIVIDE(VLOOKUP($B438,Data!$B$3:$AB$1535,24,FALSE),VLOOKUP($B438,Data!$B$3:$AB$1535,4,FALSE)),"")</f>
        <v>0</v>
      </c>
      <c r="E438" s="48">
        <f>IFERROR(DIVIDE(VLOOKUP($B438,Data!$B$3:$EZ1530,29,FALSE),VLOOKUP($B438,Data!$B$3:$EZ1530,4,FALSE)),"")</f>
        <v>-0.02061459667</v>
      </c>
      <c r="F438" s="48">
        <f>IFERROR(DIVIDE(VLOOKUP($B438,Data!$B$3:$EZ1530,34,FALSE),VLOOKUP($B438,Data!$B$3:$EZ1530,4,FALSE)),"")</f>
        <v>0.1016645327</v>
      </c>
      <c r="G438" s="48">
        <f>IFERROR(DIVIDE(VLOOKUP($B438,Data!$B$3:$EZ1530,39,FALSE),VLOOKUP($B438,Data!$B$3:$EZ1530,4,FALSE)),"")</f>
        <v>-0.006299615877</v>
      </c>
      <c r="H438" s="48">
        <f>IFERROR(DIVIDE(VLOOKUP($B438,Data!$B$3:$EZ1530,44,FALSE),VLOOKUP($B438,Data!$B$3:$EZ1530,4,FALSE)),"")</f>
        <v>0.09185659411</v>
      </c>
      <c r="I438" s="48">
        <f>IFERROR(MINUS(DIVIDE(VLOOKUP($B438,Data!$B$3:$EZ1530,9,FALSE),VLOOKUP($B438,Data!$B$3:$EZ1530,10,FALSE)),1),"")</f>
        <v>-0.3</v>
      </c>
      <c r="J438" s="48">
        <f>IFERROR(MINUS(DIVIDE(VLOOKUP($B438,Data!$B$3:$EZ1530,24,FALSE),VLOOKUP($B438,Data!$B$3:$EZ1530,25,FALSE)),1),"")</f>
        <v>-1</v>
      </c>
      <c r="K438" s="48">
        <f>IFERROR(MINUS(DIVIDE(VLOOKUP($B438,Data!$B$3:$EZ1530,29,FALSE),VLOOKUP($B438,Data!$B$3:$EZ1530,30,FALSE)),1),"")</f>
        <v>-1.2058034</v>
      </c>
      <c r="L438" s="48">
        <f>IFERROR(MINUS(DIVIDE(VLOOKUP($B438,Data!$B$3:$EZ1530,34,FALSE),VLOOKUP($B438,Data!$B$3:$EZ1530,35,FALSE)),1),"")</f>
        <v>-0.3155172414</v>
      </c>
      <c r="M438" s="48">
        <f>IFERROR(MINUS(DIVIDE(VLOOKUP($B438,Data!$B$3:$EZ1530,39,FALSE),VLOOKUP($B438,Data!$B$3:$EZ1530,40,FALSE)),1),"")</f>
        <v>-1.068466463</v>
      </c>
      <c r="N438" s="48">
        <f>IFERROR(MINUS(DIVIDE(VLOOKUP($B438,Data!$B$3:$EZ1530,44,FALSE),VLOOKUP($B438,Data!$B$3:$EZ1530,45,FALSE)),1),"")</f>
        <v>-0.4351181102</v>
      </c>
      <c r="O438" s="50">
        <f>IFERROR(VLOOKUP($B438,Data!$B$3:$D1530,2,FALSE),"")</f>
        <v>8780000</v>
      </c>
      <c r="P438" s="50">
        <f>IFERROR(VLOOKUP($B438,Data!$B$3:$D1530,3,FALSE),"")</f>
        <v>7640000</v>
      </c>
      <c r="Q438" s="48">
        <f t="shared" si="2"/>
        <v>0.1492146597</v>
      </c>
      <c r="R438" s="48"/>
      <c r="S438" s="48"/>
      <c r="T438" s="48"/>
      <c r="U438" s="48"/>
      <c r="V438" s="48"/>
      <c r="W438" s="50"/>
      <c r="Z438" s="15"/>
      <c r="AA438" s="15"/>
    </row>
    <row r="439">
      <c r="A439" s="9">
        <f t="shared" si="1"/>
        <v>436</v>
      </c>
      <c r="B439" s="47" t="s">
        <v>572</v>
      </c>
      <c r="C439" s="48">
        <f>IFERROR(DIVIDE(VLOOKUP($B439,Data!$B$3:$AB$1535,9,FALSE),VLOOKUP($B439,Data!$B$3:$AB$1535,4,FALSE)),"")</f>
        <v>0</v>
      </c>
      <c r="D439" s="48">
        <f>IFERROR(DIVIDE(VLOOKUP($B439,Data!$B$3:$AB$1535,24,FALSE),VLOOKUP($B439,Data!$B$3:$AB$1535,4,FALSE)),"")</f>
        <v>0</v>
      </c>
      <c r="E439" s="48">
        <f>IFERROR(DIVIDE(VLOOKUP($B439,Data!$B$3:$EZ1530,29,FALSE),VLOOKUP($B439,Data!$B$3:$EZ1530,4,FALSE)),"")</f>
        <v>-5.040167364</v>
      </c>
      <c r="F439" s="48">
        <f>IFERROR(DIVIDE(VLOOKUP($B439,Data!$B$3:$EZ1530,34,FALSE),VLOOKUP($B439,Data!$B$3:$EZ1530,4,FALSE)),"")</f>
        <v>-5.310878661</v>
      </c>
      <c r="G439" s="48">
        <f>IFERROR(DIVIDE(VLOOKUP($B439,Data!$B$3:$EZ1530,39,FALSE),VLOOKUP($B439,Data!$B$3:$EZ1530,4,FALSE)),"")</f>
        <v>-5.040167364</v>
      </c>
      <c r="H439" s="48">
        <f>IFERROR(DIVIDE(VLOOKUP($B439,Data!$B$3:$EZ1530,44,FALSE),VLOOKUP($B439,Data!$B$3:$EZ1530,4,FALSE)),"")</f>
        <v>0.3460251046</v>
      </c>
      <c r="I439" s="48" t="str">
        <f>IFERROR(MINUS(DIVIDE(VLOOKUP($B439,Data!$B$3:$EZ1530,9,FALSE),VLOOKUP($B439,Data!$B$3:$EZ1530,10,FALSE)),1),"")</f>
        <v/>
      </c>
      <c r="J439" s="48">
        <f>IFERROR(MINUS(DIVIDE(VLOOKUP($B439,Data!$B$3:$EZ1530,24,FALSE),VLOOKUP($B439,Data!$B$3:$EZ1530,25,FALSE)),1),"")</f>
        <v>-1</v>
      </c>
      <c r="K439" s="48">
        <f>IFERROR(MINUS(DIVIDE(VLOOKUP($B439,Data!$B$3:$EZ1530,29,FALSE),VLOOKUP($B439,Data!$B$3:$EZ1530,30,FALSE)),1),"")</f>
        <v>0.3557681486</v>
      </c>
      <c r="L439" s="48">
        <f>IFERROR(MINUS(DIVIDE(VLOOKUP($B439,Data!$B$3:$EZ1530,34,FALSE),VLOOKUP($B439,Data!$B$3:$EZ1530,35,FALSE)),1),"")</f>
        <v>1.099751861</v>
      </c>
      <c r="M439" s="48">
        <f>IFERROR(MINUS(DIVIDE(VLOOKUP($B439,Data!$B$3:$EZ1530,39,FALSE),VLOOKUP($B439,Data!$B$3:$EZ1530,40,FALSE)),1),"")</f>
        <v>0.3557681486</v>
      </c>
      <c r="N439" s="48">
        <f>IFERROR(MINUS(DIVIDE(VLOOKUP($B439,Data!$B$3:$EZ1530,44,FALSE),VLOOKUP($B439,Data!$B$3:$EZ1530,45,FALSE)),1),"")</f>
        <v>-0.5480874317</v>
      </c>
      <c r="O439" s="50">
        <f>IFERROR(VLOOKUP($B439,Data!$B$3:$D1530,2,FALSE),"")</f>
        <v>227030</v>
      </c>
      <c r="P439" s="50">
        <f>IFERROR(VLOOKUP($B439,Data!$B$3:$D1530,3,FALSE),"")</f>
        <v>203080</v>
      </c>
      <c r="Q439" s="48">
        <f t="shared" si="2"/>
        <v>0.1179338192</v>
      </c>
      <c r="R439" s="48"/>
      <c r="S439" s="48"/>
      <c r="T439" s="48"/>
      <c r="U439" s="48"/>
      <c r="V439" s="48"/>
      <c r="W439" s="50"/>
      <c r="Z439" s="15"/>
      <c r="AA439" s="15"/>
    </row>
    <row r="440">
      <c r="A440" s="9">
        <f t="shared" si="1"/>
        <v>437</v>
      </c>
      <c r="B440" s="47" t="s">
        <v>573</v>
      </c>
      <c r="C440" s="48">
        <f>IFERROR(DIVIDE(VLOOKUP($B440,Data!$B$3:$AB$1535,9,FALSE),VLOOKUP($B440,Data!$B$3:$AB$1535,4,FALSE)),"")</f>
        <v>0.8599458728</v>
      </c>
      <c r="D440" s="48">
        <f>IFERROR(DIVIDE(VLOOKUP($B440,Data!$B$3:$AB$1535,24,FALSE),VLOOKUP($B440,Data!$B$3:$AB$1535,4,FALSE)),"")</f>
        <v>0</v>
      </c>
      <c r="E440" s="48">
        <f>IFERROR(DIVIDE(VLOOKUP($B440,Data!$B$3:$EZ1530,29,FALSE),VLOOKUP($B440,Data!$B$3:$EZ1530,4,FALSE)),"")</f>
        <v>-0.6962110961</v>
      </c>
      <c r="F440" s="48">
        <f>IFERROR(DIVIDE(VLOOKUP($B440,Data!$B$3:$EZ1530,34,FALSE),VLOOKUP($B440,Data!$B$3:$EZ1530,4,FALSE)),"")</f>
        <v>-0.6380243572</v>
      </c>
      <c r="G440" s="48">
        <f>IFERROR(DIVIDE(VLOOKUP($B440,Data!$B$3:$EZ1530,39,FALSE),VLOOKUP($B440,Data!$B$3:$EZ1530,4,FALSE)),"")</f>
        <v>-0.6962110961</v>
      </c>
      <c r="H440" s="48">
        <f>IFERROR(DIVIDE(VLOOKUP($B440,Data!$B$3:$EZ1530,44,FALSE),VLOOKUP($B440,Data!$B$3:$EZ1530,4,FALSE)),"")</f>
        <v>0.3474289581</v>
      </c>
      <c r="I440" s="48">
        <f>IFERROR(MINUS(DIVIDE(VLOOKUP($B440,Data!$B$3:$EZ1530,9,FALSE),VLOOKUP($B440,Data!$B$3:$EZ1530,10,FALSE)),1),"")</f>
        <v>0.7776223776</v>
      </c>
      <c r="J440" s="48" t="str">
        <f>IFERROR(MINUS(DIVIDE(VLOOKUP($B440,Data!$B$3:$EZ1530,24,FALSE),VLOOKUP($B440,Data!$B$3:$EZ1530,25,FALSE)),1),"")</f>
        <v/>
      </c>
      <c r="K440" s="48">
        <f>IFERROR(MINUS(DIVIDE(VLOOKUP($B440,Data!$B$3:$EZ1530,29,FALSE),VLOOKUP($B440,Data!$B$3:$EZ1530,30,FALSE)),1),"")</f>
        <v>-0.1872037915</v>
      </c>
      <c r="L440" s="48">
        <f>IFERROR(MINUS(DIVIDE(VLOOKUP($B440,Data!$B$3:$EZ1530,34,FALSE),VLOOKUP($B440,Data!$B$3:$EZ1530,35,FALSE)),1),"")</f>
        <v>-0.1929824561</v>
      </c>
      <c r="M440" s="48">
        <f>IFERROR(MINUS(DIVIDE(VLOOKUP($B440,Data!$B$3:$EZ1530,39,FALSE),VLOOKUP($B440,Data!$B$3:$EZ1530,40,FALSE)),1),"")</f>
        <v>-0.1872037915</v>
      </c>
      <c r="N440" s="48">
        <f>IFERROR(MINUS(DIVIDE(VLOOKUP($B440,Data!$B$3:$EZ1530,44,FALSE),VLOOKUP($B440,Data!$B$3:$EZ1530,45,FALSE)),1),"")</f>
        <v>-1.494701349</v>
      </c>
      <c r="O440" s="50">
        <f>IFERROR(VLOOKUP($B440,Data!$B$3:$D1530,2,FALSE),"")</f>
        <v>17690</v>
      </c>
      <c r="P440" s="50">
        <f>IFERROR(VLOOKUP($B440,Data!$B$3:$D1530,3,FALSE),"")</f>
        <v>36520</v>
      </c>
      <c r="Q440" s="48">
        <f t="shared" si="2"/>
        <v>-0.5156078861</v>
      </c>
      <c r="R440" s="48"/>
      <c r="S440" s="48"/>
      <c r="T440" s="48"/>
      <c r="U440" s="48"/>
      <c r="V440" s="48"/>
      <c r="W440" s="50"/>
      <c r="Z440" s="15"/>
      <c r="AA440" s="15"/>
    </row>
    <row r="441">
      <c r="A441" s="9">
        <f t="shared" si="1"/>
        <v>438</v>
      </c>
      <c r="B441" s="47" t="s">
        <v>574</v>
      </c>
      <c r="C441" s="48" t="str">
        <f>IFERROR(DIVIDE(VLOOKUP($B441,Data!$B$3:$AB$1535,9,FALSE),VLOOKUP($B441,Data!$B$3:$AB$1535,4,FALSE)),"")</f>
        <v/>
      </c>
      <c r="D441" s="48" t="str">
        <f>IFERROR(DIVIDE(VLOOKUP($B441,Data!$B$3:$AB$1535,24,FALSE),VLOOKUP($B441,Data!$B$3:$AB$1535,4,FALSE)),"")</f>
        <v/>
      </c>
      <c r="E441" s="48" t="str">
        <f>IFERROR(DIVIDE(VLOOKUP($B441,Data!$B$3:$EZ1530,29,FALSE),VLOOKUP($B441,Data!$B$3:$EZ1530,4,FALSE)),"")</f>
        <v/>
      </c>
      <c r="F441" s="48" t="str">
        <f>IFERROR(DIVIDE(VLOOKUP($B441,Data!$B$3:$EZ1530,34,FALSE),VLOOKUP($B441,Data!$B$3:$EZ1530,4,FALSE)),"")</f>
        <v/>
      </c>
      <c r="G441" s="48" t="str">
        <f>IFERROR(DIVIDE(VLOOKUP($B441,Data!$B$3:$EZ1530,39,FALSE),VLOOKUP($B441,Data!$B$3:$EZ1530,4,FALSE)),"")</f>
        <v/>
      </c>
      <c r="H441" s="48" t="str">
        <f>IFERROR(DIVIDE(VLOOKUP($B441,Data!$B$3:$EZ1530,44,FALSE),VLOOKUP($B441,Data!$B$3:$EZ1530,4,FALSE)),"")</f>
        <v/>
      </c>
      <c r="I441" s="48" t="str">
        <f>IFERROR(MINUS(DIVIDE(VLOOKUP($B441,Data!$B$3:$EZ1530,9,FALSE),VLOOKUP($B441,Data!$B$3:$EZ1530,10,FALSE)),1),"")</f>
        <v/>
      </c>
      <c r="J441" s="48" t="str">
        <f>IFERROR(MINUS(DIVIDE(VLOOKUP($B441,Data!$B$3:$EZ1530,24,FALSE),VLOOKUP($B441,Data!$B$3:$EZ1530,25,FALSE)),1),"")</f>
        <v/>
      </c>
      <c r="K441" s="48" t="str">
        <f>IFERROR(MINUS(DIVIDE(VLOOKUP($B441,Data!$B$3:$EZ1530,29,FALSE),VLOOKUP($B441,Data!$B$3:$EZ1530,30,FALSE)),1),"")</f>
        <v/>
      </c>
      <c r="L441" s="48" t="str">
        <f>IFERROR(MINUS(DIVIDE(VLOOKUP($B441,Data!$B$3:$EZ1530,34,FALSE),VLOOKUP($B441,Data!$B$3:$EZ1530,35,FALSE)),1),"")</f>
        <v/>
      </c>
      <c r="M441" s="48" t="str">
        <f>IFERROR(MINUS(DIVIDE(VLOOKUP($B441,Data!$B$3:$EZ1530,39,FALSE),VLOOKUP($B441,Data!$B$3:$EZ1530,40,FALSE)),1),"")</f>
        <v/>
      </c>
      <c r="N441" s="48" t="str">
        <f>IFERROR(MINUS(DIVIDE(VLOOKUP($B441,Data!$B$3:$EZ1530,44,FALSE),VLOOKUP($B441,Data!$B$3:$EZ1530,45,FALSE)),1),"")</f>
        <v/>
      </c>
      <c r="O441" s="50">
        <f>IFERROR(VLOOKUP($B441,Data!$B$3:$D1530,2,FALSE),"")</f>
        <v>1570000</v>
      </c>
      <c r="P441" s="50">
        <f>IFERROR(VLOOKUP($B441,Data!$B$3:$D1530,3,FALSE),"")</f>
        <v>1440000</v>
      </c>
      <c r="Q441" s="48">
        <f t="shared" si="2"/>
        <v>0.09027777778</v>
      </c>
      <c r="R441" s="48"/>
      <c r="S441" s="48"/>
      <c r="T441" s="48"/>
      <c r="U441" s="48"/>
      <c r="V441" s="48"/>
      <c r="W441" s="50"/>
      <c r="Z441" s="11"/>
      <c r="AA441" s="11"/>
    </row>
    <row r="442">
      <c r="A442" s="9">
        <f t="shared" si="1"/>
        <v>439</v>
      </c>
      <c r="B442" s="47" t="s">
        <v>575</v>
      </c>
      <c r="C442" s="48">
        <f>IFERROR(DIVIDE(VLOOKUP($B442,Data!$B$3:$AB$1535,9,FALSE),VLOOKUP($B442,Data!$B$3:$AB$1535,4,FALSE)),"")</f>
        <v>0.4898392994</v>
      </c>
      <c r="D442" s="48">
        <f>IFERROR(DIVIDE(VLOOKUP($B442,Data!$B$3:$AB$1535,24,FALSE),VLOOKUP($B442,Data!$B$3:$AB$1535,4,FALSE)),"")</f>
        <v>0</v>
      </c>
      <c r="E442" s="48">
        <f>IFERROR(DIVIDE(VLOOKUP($B442,Data!$B$3:$EZ1530,29,FALSE),VLOOKUP($B442,Data!$B$3:$EZ1530,4,FALSE)),"")</f>
        <v>-0.02338236545</v>
      </c>
      <c r="F442" s="48">
        <f>IFERROR(DIVIDE(VLOOKUP($B442,Data!$B$3:$EZ1530,34,FALSE),VLOOKUP($B442,Data!$B$3:$EZ1530,4,FALSE)),"")</f>
        <v>-0.02431766006</v>
      </c>
      <c r="G442" s="48">
        <f>IFERROR(DIVIDE(VLOOKUP($B442,Data!$B$3:$EZ1530,39,FALSE),VLOOKUP($B442,Data!$B$3:$EZ1530,4,FALSE)),"")</f>
        <v>-0.01011818723</v>
      </c>
      <c r="H442" s="48">
        <f>IFERROR(DIVIDE(VLOOKUP($B442,Data!$B$3:$EZ1530,44,FALSE),VLOOKUP($B442,Data!$B$3:$EZ1530,4,FALSE)),"")</f>
        <v>0.08902304226</v>
      </c>
      <c r="I442" s="48">
        <f>IFERROR(MINUS(DIVIDE(VLOOKUP($B442,Data!$B$3:$EZ1530,9,FALSE),VLOOKUP($B442,Data!$B$3:$EZ1530,10,FALSE)),1),"")</f>
        <v>0.0333632287</v>
      </c>
      <c r="J442" s="48" t="str">
        <f>IFERROR(MINUS(DIVIDE(VLOOKUP($B442,Data!$B$3:$EZ1530,24,FALSE),VLOOKUP($B442,Data!$B$3:$EZ1530,25,FALSE)),1),"")</f>
        <v/>
      </c>
      <c r="K442" s="48">
        <f>IFERROR(MINUS(DIVIDE(VLOOKUP($B442,Data!$B$3:$EZ1530,29,FALSE),VLOOKUP($B442,Data!$B$3:$EZ1530,30,FALSE)),1),"")</f>
        <v>-0.2819843342</v>
      </c>
      <c r="L442" s="48">
        <f>IFERROR(MINUS(DIVIDE(VLOOKUP($B442,Data!$B$3:$EZ1530,34,FALSE),VLOOKUP($B442,Data!$B$3:$EZ1530,35,FALSE)),1),"")</f>
        <v>-0.2867830424</v>
      </c>
      <c r="M442" s="48">
        <f>IFERROR(MINUS(DIVIDE(VLOOKUP($B442,Data!$B$3:$EZ1530,39,FALSE),VLOOKUP($B442,Data!$B$3:$EZ1530,40,FALSE)),1),"")</f>
        <v>-0.3928571429</v>
      </c>
      <c r="N442" s="48">
        <f>IFERROR(MINUS(DIVIDE(VLOOKUP($B442,Data!$B$3:$EZ1530,44,FALSE),VLOOKUP($B442,Data!$B$3:$EZ1530,45,FALSE)),1),"")</f>
        <v>0.2048331415</v>
      </c>
      <c r="O442" s="50">
        <f>IFERROR(VLOOKUP($B442,Data!$B$3:$D1530,2,FALSE),"")</f>
        <v>130130</v>
      </c>
      <c r="P442" s="50">
        <f>IFERROR(VLOOKUP($B442,Data!$B$3:$D1530,3,FALSE),"")</f>
        <v>117000</v>
      </c>
      <c r="Q442" s="48">
        <f t="shared" si="2"/>
        <v>0.1122222222</v>
      </c>
      <c r="R442" s="48"/>
      <c r="S442" s="48"/>
      <c r="T442" s="48"/>
      <c r="U442" s="48"/>
      <c r="V442" s="48"/>
      <c r="W442" s="50"/>
      <c r="Z442" s="11"/>
      <c r="AA442" s="11"/>
    </row>
    <row r="443">
      <c r="A443" s="9">
        <f t="shared" si="1"/>
        <v>440</v>
      </c>
      <c r="B443" s="47" t="s">
        <v>576</v>
      </c>
      <c r="C443" s="48">
        <f>IFERROR(DIVIDE(VLOOKUP($B443,Data!$B$3:$AB$1535,9,FALSE),VLOOKUP($B443,Data!$B$3:$AB$1535,4,FALSE)),"")</f>
        <v>0.3066189462</v>
      </c>
      <c r="D443" s="48">
        <f>IFERROR(DIVIDE(VLOOKUP($B443,Data!$B$3:$AB$1535,24,FALSE),VLOOKUP($B443,Data!$B$3:$AB$1535,4,FALSE)),"")</f>
        <v>0.1039278757</v>
      </c>
      <c r="E443" s="48">
        <f>IFERROR(DIVIDE(VLOOKUP($B443,Data!$B$3:$EZ1530,29,FALSE),VLOOKUP($B443,Data!$B$3:$EZ1530,4,FALSE)),"")</f>
        <v>-0.04054727495</v>
      </c>
      <c r="F443" s="48">
        <f>IFERROR(DIVIDE(VLOOKUP($B443,Data!$B$3:$EZ1530,34,FALSE),VLOOKUP($B443,Data!$B$3:$EZ1530,4,FALSE)),"")</f>
        <v>0.3888461016</v>
      </c>
      <c r="G443" s="48">
        <f>IFERROR(DIVIDE(VLOOKUP($B443,Data!$B$3:$EZ1530,39,FALSE),VLOOKUP($B443,Data!$B$3:$EZ1530,4,FALSE)),"")</f>
        <v>-0.04775064559</v>
      </c>
      <c r="H443" s="48">
        <f>IFERROR(DIVIDE(VLOOKUP($B443,Data!$B$3:$EZ1530,44,FALSE),VLOOKUP($B443,Data!$B$3:$EZ1530,4,FALSE)),"")</f>
        <v>0.2243917909</v>
      </c>
      <c r="I443" s="48">
        <f>IFERROR(MINUS(DIVIDE(VLOOKUP($B443,Data!$B$3:$EZ1530,9,FALSE),VLOOKUP($B443,Data!$B$3:$EZ1530,10,FALSE)),1),"")</f>
        <v>-0.01441677588</v>
      </c>
      <c r="J443" s="48" t="str">
        <f>IFERROR(MINUS(DIVIDE(VLOOKUP($B443,Data!$B$3:$EZ1530,24,FALSE),VLOOKUP($B443,Data!$B$3:$EZ1530,25,FALSE)),1),"")</f>
        <v/>
      </c>
      <c r="K443" s="48">
        <f>IFERROR(MINUS(DIVIDE(VLOOKUP($B443,Data!$B$3:$EZ1530,29,FALSE),VLOOKUP($B443,Data!$B$3:$EZ1530,30,FALSE)),1),"")</f>
        <v>-1.54013277</v>
      </c>
      <c r="L443" s="48">
        <f>IFERROR(MINUS(DIVIDE(VLOOKUP($B443,Data!$B$3:$EZ1530,34,FALSE),VLOOKUP($B443,Data!$B$3:$EZ1530,35,FALSE)),1),"")</f>
        <v>-0.06052977233</v>
      </c>
      <c r="M443" s="48">
        <f>IFERROR(MINUS(DIVIDE(VLOOKUP($B443,Data!$B$3:$EZ1530,39,FALSE),VLOOKUP($B443,Data!$B$3:$EZ1530,40,FALSE)),1),"")</f>
        <v>-1.635705669</v>
      </c>
      <c r="N443" s="48">
        <f>IFERROR(MINUS(DIVIDE(VLOOKUP($B443,Data!$B$3:$EZ1530,44,FALSE),VLOOKUP($B443,Data!$B$3:$EZ1530,45,FALSE)),1),"")</f>
        <v>-0.3575875486</v>
      </c>
      <c r="O443" s="50">
        <f>IFERROR(VLOOKUP($B443,Data!$B$3:$D1530,2,FALSE),"")</f>
        <v>169250</v>
      </c>
      <c r="P443" s="50">
        <f>IFERROR(VLOOKUP($B443,Data!$B$3:$D1530,3,FALSE),"")</f>
        <v>163480</v>
      </c>
      <c r="Q443" s="48">
        <f t="shared" si="2"/>
        <v>0.03529483729</v>
      </c>
      <c r="R443" s="48"/>
      <c r="S443" s="48"/>
      <c r="T443" s="48"/>
      <c r="U443" s="48"/>
      <c r="V443" s="48"/>
      <c r="W443" s="50"/>
      <c r="Z443" s="11"/>
      <c r="AA443" s="11"/>
    </row>
    <row r="444">
      <c r="A444" s="9">
        <f t="shared" si="1"/>
        <v>441</v>
      </c>
      <c r="B444" s="47" t="s">
        <v>577</v>
      </c>
      <c r="C444" s="48">
        <f>IFERROR(DIVIDE(VLOOKUP($B444,Data!$B$3:$AB$1535,9,FALSE),VLOOKUP($B444,Data!$B$3:$AB$1535,4,FALSE)),"")</f>
        <v>0</v>
      </c>
      <c r="D444" s="48">
        <f>IFERROR(DIVIDE(VLOOKUP($B444,Data!$B$3:$AB$1535,24,FALSE),VLOOKUP($B444,Data!$B$3:$AB$1535,4,FALSE)),"")</f>
        <v>-4.35971223</v>
      </c>
      <c r="E444" s="48">
        <f>IFERROR(DIVIDE(VLOOKUP($B444,Data!$B$3:$EZ1530,29,FALSE),VLOOKUP($B444,Data!$B$3:$EZ1530,4,FALSE)),"")</f>
        <v>-4.176258993</v>
      </c>
      <c r="F444" s="48">
        <f>IFERROR(DIVIDE(VLOOKUP($B444,Data!$B$3:$EZ1530,34,FALSE),VLOOKUP($B444,Data!$B$3:$EZ1530,4,FALSE)),"")</f>
        <v>-3.682104317</v>
      </c>
      <c r="G444" s="48">
        <f>IFERROR(DIVIDE(VLOOKUP($B444,Data!$B$3:$EZ1530,39,FALSE),VLOOKUP($B444,Data!$B$3:$EZ1530,4,FALSE)),"")</f>
        <v>-4.176258993</v>
      </c>
      <c r="H444" s="48">
        <f>IFERROR(DIVIDE(VLOOKUP($B444,Data!$B$3:$EZ1530,44,FALSE),VLOOKUP($B444,Data!$B$3:$EZ1530,4,FALSE)),"")</f>
        <v>-3.311151079</v>
      </c>
      <c r="I444" s="48" t="str">
        <f>IFERROR(MINUS(DIVIDE(VLOOKUP($B444,Data!$B$3:$EZ1530,9,FALSE),VLOOKUP($B444,Data!$B$3:$EZ1530,10,FALSE)),1),"")</f>
        <v/>
      </c>
      <c r="J444" s="48" t="str">
        <f>IFERROR(MINUS(DIVIDE(VLOOKUP($B444,Data!$B$3:$EZ1530,24,FALSE),VLOOKUP($B444,Data!$B$3:$EZ1530,25,FALSE)),1),"")</f>
        <v/>
      </c>
      <c r="K444" s="48">
        <f>IFERROR(MINUS(DIVIDE(VLOOKUP($B444,Data!$B$3:$EZ1530,29,FALSE),VLOOKUP($B444,Data!$B$3:$EZ1530,30,FALSE)),1),"")</f>
        <v>1.017376195</v>
      </c>
      <c r="L444" s="48">
        <f>IFERROR(MINUS(DIVIDE(VLOOKUP($B444,Data!$B$3:$EZ1530,34,FALSE),VLOOKUP($B444,Data!$B$3:$EZ1530,35,FALSE)),1),"")</f>
        <v>0.7974100088</v>
      </c>
      <c r="M444" s="48">
        <f>IFERROR(MINUS(DIVIDE(VLOOKUP($B444,Data!$B$3:$EZ1530,39,FALSE),VLOOKUP($B444,Data!$B$3:$EZ1530,40,FALSE)),1),"")</f>
        <v>1.017376195</v>
      </c>
      <c r="N444" s="48">
        <f>IFERROR(MINUS(DIVIDE(VLOOKUP($B444,Data!$B$3:$EZ1530,44,FALSE),VLOOKUP($B444,Data!$B$3:$EZ1530,45,FALSE)),1),"")</f>
        <v>0.3672484218</v>
      </c>
      <c r="O444" s="50">
        <f>IFERROR(VLOOKUP($B444,Data!$B$3:$D1530,2,FALSE),"")</f>
        <v>35400</v>
      </c>
      <c r="P444" s="50">
        <f>IFERROR(VLOOKUP($B444,Data!$B$3:$D1530,3,FALSE),"")</f>
        <v>15920</v>
      </c>
      <c r="Q444" s="48">
        <f t="shared" si="2"/>
        <v>1.22361809</v>
      </c>
      <c r="R444" s="48"/>
      <c r="S444" s="48"/>
      <c r="T444" s="48"/>
      <c r="U444" s="48"/>
      <c r="V444" s="48"/>
      <c r="W444" s="50"/>
      <c r="Z444" s="15"/>
      <c r="AA444" s="15"/>
    </row>
    <row r="445">
      <c r="A445" s="9">
        <f t="shared" si="1"/>
        <v>442</v>
      </c>
      <c r="B445" s="47" t="s">
        <v>578</v>
      </c>
      <c r="C445" s="48">
        <f>IFERROR(DIVIDE(VLOOKUP($B445,Data!$B$3:$AB$1535,9,FALSE),VLOOKUP($B445,Data!$B$3:$AB$1535,4,FALSE)),"")</f>
        <v>0.2510974539</v>
      </c>
      <c r="D445" s="48">
        <f>IFERROR(DIVIDE(VLOOKUP($B445,Data!$B$3:$AB$1535,24,FALSE),VLOOKUP($B445,Data!$B$3:$AB$1535,4,FALSE)),"")</f>
        <v>0.1404741001</v>
      </c>
      <c r="E445" s="48">
        <f>IFERROR(DIVIDE(VLOOKUP($B445,Data!$B$3:$EZ1530,29,FALSE),VLOOKUP($B445,Data!$B$3:$EZ1530,4,FALSE)),"")</f>
        <v>0.1053555751</v>
      </c>
      <c r="F445" s="48">
        <f>IFERROR(DIVIDE(VLOOKUP($B445,Data!$B$3:$EZ1530,34,FALSE),VLOOKUP($B445,Data!$B$3:$EZ1530,4,FALSE)),"")</f>
        <v>0.2080772608</v>
      </c>
      <c r="G445" s="48">
        <f>IFERROR(DIVIDE(VLOOKUP($B445,Data!$B$3:$EZ1530,39,FALSE),VLOOKUP($B445,Data!$B$3:$EZ1530,4,FALSE)),"")</f>
        <v>0.0620570676</v>
      </c>
      <c r="H445" s="48">
        <f>IFERROR(DIVIDE(VLOOKUP($B445,Data!$B$3:$EZ1530,44,FALSE),VLOOKUP($B445,Data!$B$3:$EZ1530,4,FALSE)),"")</f>
        <v>0.181738367</v>
      </c>
      <c r="I445" s="48">
        <f>IFERROR(MINUS(DIVIDE(VLOOKUP($B445,Data!$B$3:$EZ1530,9,FALSE),VLOOKUP($B445,Data!$B$3:$EZ1530,10,FALSE)),1),"")</f>
        <v>0.08745247148</v>
      </c>
      <c r="J445" s="48">
        <f>IFERROR(MINUS(DIVIDE(VLOOKUP($B445,Data!$B$3:$EZ1530,24,FALSE),VLOOKUP($B445,Data!$B$3:$EZ1530,25,FALSE)),1),"")</f>
        <v>0.08843537415</v>
      </c>
      <c r="K445" s="48">
        <f>IFERROR(MINUS(DIVIDE(VLOOKUP($B445,Data!$B$3:$EZ1530,29,FALSE),VLOOKUP($B445,Data!$B$3:$EZ1530,30,FALSE)),1),"")</f>
        <v>0.1428571429</v>
      </c>
      <c r="L445" s="48">
        <f>IFERROR(MINUS(DIVIDE(VLOOKUP($B445,Data!$B$3:$EZ1530,34,FALSE),VLOOKUP($B445,Data!$B$3:$EZ1530,35,FALSE)),1),"")</f>
        <v>0.1339712919</v>
      </c>
      <c r="M445" s="48">
        <f>IFERROR(MINUS(DIVIDE(VLOOKUP($B445,Data!$B$3:$EZ1530,39,FALSE),VLOOKUP($B445,Data!$B$3:$EZ1530,40,FALSE)),1),"")</f>
        <v>0.1321597899</v>
      </c>
      <c r="N445" s="48">
        <f>IFERROR(MINUS(DIVIDE(VLOOKUP($B445,Data!$B$3:$EZ1530,44,FALSE),VLOOKUP($B445,Data!$B$3:$EZ1530,45,FALSE)),1),"")</f>
        <v>0.1629213483</v>
      </c>
      <c r="O445" s="50">
        <f>IFERROR(VLOOKUP($B445,Data!$B$3:$D1530,2,FALSE),"")</f>
        <v>11960000</v>
      </c>
      <c r="P445" s="50">
        <f>IFERROR(VLOOKUP($B445,Data!$B$3:$D1530,3,FALSE),"")</f>
        <v>11700000</v>
      </c>
      <c r="Q445" s="48">
        <f t="shared" si="2"/>
        <v>0.02222222222</v>
      </c>
      <c r="R445" s="48"/>
      <c r="S445" s="48"/>
      <c r="T445" s="48"/>
      <c r="U445" s="48"/>
      <c r="V445" s="48"/>
      <c r="W445" s="50"/>
      <c r="Z445" s="11"/>
      <c r="AA445" s="11"/>
    </row>
    <row r="446">
      <c r="A446" s="9">
        <f t="shared" si="1"/>
        <v>443</v>
      </c>
      <c r="B446" s="47" t="s">
        <v>579</v>
      </c>
      <c r="C446" s="48">
        <f>IFERROR(DIVIDE(VLOOKUP($B446,Data!$B$3:$AB$1535,9,FALSE),VLOOKUP($B446,Data!$B$3:$AB$1535,4,FALSE)),"")</f>
        <v>0.2745599091</v>
      </c>
      <c r="D446" s="48">
        <f>IFERROR(DIVIDE(VLOOKUP($B446,Data!$B$3:$AB$1535,24,FALSE),VLOOKUP($B446,Data!$B$3:$AB$1535,4,FALSE)),"")</f>
        <v>-4.041453719</v>
      </c>
      <c r="E446" s="48">
        <f>IFERROR(DIVIDE(VLOOKUP($B446,Data!$B$3:$EZ1530,29,FALSE),VLOOKUP($B446,Data!$B$3:$EZ1530,4,FALSE)),"")</f>
        <v>-4.332765474</v>
      </c>
      <c r="F446" s="48">
        <f>IFERROR(DIVIDE(VLOOKUP($B446,Data!$B$3:$EZ1530,34,FALSE),VLOOKUP($B446,Data!$B$3:$EZ1530,4,FALSE)),"")</f>
        <v>-2.772856332</v>
      </c>
      <c r="G446" s="48">
        <f>IFERROR(DIVIDE(VLOOKUP($B446,Data!$B$3:$EZ1530,39,FALSE),VLOOKUP($B446,Data!$B$3:$EZ1530,4,FALSE)),"")</f>
        <v>-4.332765474</v>
      </c>
      <c r="H446" s="48">
        <f>IFERROR(DIVIDE(VLOOKUP($B446,Data!$B$3:$EZ1530,44,FALSE),VLOOKUP($B446,Data!$B$3:$EZ1530,4,FALSE)),"")</f>
        <v>-3.385860307</v>
      </c>
      <c r="I446" s="48">
        <f>IFERROR(MINUS(DIVIDE(VLOOKUP($B446,Data!$B$3:$EZ1530,9,FALSE),VLOOKUP($B446,Data!$B$3:$EZ1530,10,FALSE)),1),"")</f>
        <v>-1.56155633</v>
      </c>
      <c r="J446" s="48">
        <f>IFERROR(MINUS(DIVIDE(VLOOKUP($B446,Data!$B$3:$EZ1530,24,FALSE),VLOOKUP($B446,Data!$B$3:$EZ1530,25,FALSE)),1),"")</f>
        <v>-0.07161492304</v>
      </c>
      <c r="K446" s="48">
        <f>IFERROR(MINUS(DIVIDE(VLOOKUP($B446,Data!$B$3:$EZ1530,29,FALSE),VLOOKUP($B446,Data!$B$3:$EZ1530,30,FALSE)),1),"")</f>
        <v>-0.03964757709</v>
      </c>
      <c r="L446" s="48">
        <f>IFERROR(MINUS(DIVIDE(VLOOKUP($B446,Data!$B$3:$EZ1530,34,FALSE),VLOOKUP($B446,Data!$B$3:$EZ1530,35,FALSE)),1),"")</f>
        <v>-0.282122905</v>
      </c>
      <c r="M446" s="48">
        <f>IFERROR(MINUS(DIVIDE(VLOOKUP($B446,Data!$B$3:$EZ1530,39,FALSE),VLOOKUP($B446,Data!$B$3:$EZ1530,40,FALSE)),1),"")</f>
        <v>-0.03964757709</v>
      </c>
      <c r="N446" s="48">
        <f>IFERROR(MINUS(DIVIDE(VLOOKUP($B446,Data!$B$3:$EZ1530,44,FALSE),VLOOKUP($B446,Data!$B$3:$EZ1530,45,FALSE)),1),"")</f>
        <v>-0.09177456207</v>
      </c>
      <c r="O446" s="50">
        <f>IFERROR(VLOOKUP($B446,Data!$B$3:$D1530,2,FALSE),"")</f>
        <v>74240</v>
      </c>
      <c r="P446" s="50">
        <f>IFERROR(VLOOKUP($B446,Data!$B$3:$D1530,3,FALSE),"")</f>
        <v>35300</v>
      </c>
      <c r="Q446" s="48">
        <f t="shared" si="2"/>
        <v>1.103116147</v>
      </c>
      <c r="R446" s="48"/>
      <c r="S446" s="48"/>
      <c r="T446" s="48"/>
      <c r="U446" s="48"/>
      <c r="V446" s="48"/>
      <c r="W446" s="50"/>
      <c r="Z446" s="11"/>
      <c r="AA446" s="11"/>
    </row>
    <row r="447">
      <c r="A447" s="9">
        <f t="shared" si="1"/>
        <v>444</v>
      </c>
      <c r="B447" s="47" t="s">
        <v>580</v>
      </c>
      <c r="C447" s="48">
        <f>IFERROR(DIVIDE(VLOOKUP($B447,Data!$B$3:$AB$1535,9,FALSE),VLOOKUP($B447,Data!$B$3:$AB$1535,4,FALSE)),"")</f>
        <v>0.2946040035</v>
      </c>
      <c r="D447" s="48">
        <f>IFERROR(DIVIDE(VLOOKUP($B447,Data!$B$3:$AB$1535,24,FALSE),VLOOKUP($B447,Data!$B$3:$AB$1535,4,FALSE)),"")</f>
        <v>0.08355091384</v>
      </c>
      <c r="E447" s="48">
        <f>IFERROR(DIVIDE(VLOOKUP($B447,Data!$B$3:$EZ1530,29,FALSE),VLOOKUP($B447,Data!$B$3:$EZ1530,4,FALSE)),"")</f>
        <v>0.158616188</v>
      </c>
      <c r="F447" s="48">
        <f>IFERROR(DIVIDE(VLOOKUP($B447,Data!$B$3:$EZ1530,34,FALSE),VLOOKUP($B447,Data!$B$3:$EZ1530,4,FALSE)),"")</f>
        <v>0.2001740644</v>
      </c>
      <c r="G447" s="48">
        <f>IFERROR(DIVIDE(VLOOKUP($B447,Data!$B$3:$EZ1530,39,FALSE),VLOOKUP($B447,Data!$B$3:$EZ1530,4,FALSE)),"")</f>
        <v>0.1177110531</v>
      </c>
      <c r="H447" s="48">
        <f>IFERROR(DIVIDE(VLOOKUP($B447,Data!$B$3:$EZ1530,44,FALSE),VLOOKUP($B447,Data!$B$3:$EZ1530,4,FALSE)),"")</f>
        <v>0.1475195822</v>
      </c>
      <c r="I447" s="48">
        <f>IFERROR(MINUS(DIVIDE(VLOOKUP($B447,Data!$B$3:$EZ1530,9,FALSE),VLOOKUP($B447,Data!$B$3:$EZ1530,10,FALSE)),1),"")</f>
        <v>-0.06297577855</v>
      </c>
      <c r="J447" s="48">
        <f>IFERROR(MINUS(DIVIDE(VLOOKUP($B447,Data!$B$3:$EZ1530,24,FALSE),VLOOKUP($B447,Data!$B$3:$EZ1530,25,FALSE)),1),"")</f>
        <v>-0.4285714286</v>
      </c>
      <c r="K447" s="48">
        <f>IFERROR(MINUS(DIVIDE(VLOOKUP($B447,Data!$B$3:$EZ1530,29,FALSE),VLOOKUP($B447,Data!$B$3:$EZ1530,30,FALSE)),1),"")</f>
        <v>-0.1962513782</v>
      </c>
      <c r="L447" s="48">
        <f>IFERROR(MINUS(DIVIDE(VLOOKUP($B447,Data!$B$3:$EZ1530,34,FALSE),VLOOKUP($B447,Data!$B$3:$EZ1530,35,FALSE)),1),"")</f>
        <v>-0.1179290508</v>
      </c>
      <c r="M447" s="48">
        <f>IFERROR(MINUS(DIVIDE(VLOOKUP($B447,Data!$B$3:$EZ1530,39,FALSE),VLOOKUP($B447,Data!$B$3:$EZ1530,40,FALSE)),1),"")</f>
        <v>-0.2020648968</v>
      </c>
      <c r="N447" s="48">
        <f>IFERROR(MINUS(DIVIDE(VLOOKUP($B447,Data!$B$3:$EZ1530,44,FALSE),VLOOKUP($B447,Data!$B$3:$EZ1530,45,FALSE)),1),"")</f>
        <v>-0.02446043165</v>
      </c>
      <c r="O447" s="50">
        <f>IFERROR(VLOOKUP($B447,Data!$B$3:$D1530,2,FALSE),"")</f>
        <v>51000</v>
      </c>
      <c r="P447" s="50">
        <f>IFERROR(VLOOKUP($B447,Data!$B$3:$D1530,3,FALSE),"")</f>
        <v>49500</v>
      </c>
      <c r="Q447" s="48">
        <f t="shared" si="2"/>
        <v>0.0303030303</v>
      </c>
      <c r="R447" s="48"/>
      <c r="S447" s="48"/>
      <c r="T447" s="48"/>
      <c r="U447" s="48"/>
      <c r="V447" s="48"/>
      <c r="W447" s="50"/>
      <c r="Z447" s="11"/>
      <c r="AA447" s="11"/>
    </row>
    <row r="448">
      <c r="A448" s="9">
        <f t="shared" si="1"/>
        <v>445</v>
      </c>
      <c r="B448" s="47" t="s">
        <v>581</v>
      </c>
      <c r="C448" s="48">
        <f>IFERROR(DIVIDE(VLOOKUP($B448,Data!$B$3:$AB$1535,9,FALSE),VLOOKUP($B448,Data!$B$3:$AB$1535,4,FALSE)),"")</f>
        <v>0.1358529111</v>
      </c>
      <c r="D448" s="48">
        <f>IFERROR(DIVIDE(VLOOKUP($B448,Data!$B$3:$AB$1535,24,FALSE),VLOOKUP($B448,Data!$B$3:$AB$1535,4,FALSE)),"")</f>
        <v>-0.2946884576</v>
      </c>
      <c r="E448" s="48">
        <f>IFERROR(DIVIDE(VLOOKUP($B448,Data!$B$3:$EZ1530,29,FALSE),VLOOKUP($B448,Data!$B$3:$EZ1530,4,FALSE)),"")</f>
        <v>-0.2671092952</v>
      </c>
      <c r="F448" s="48">
        <f>IFERROR(DIVIDE(VLOOKUP($B448,Data!$B$3:$EZ1530,34,FALSE),VLOOKUP($B448,Data!$B$3:$EZ1530,4,FALSE)),"")</f>
        <v>0.1547497446</v>
      </c>
      <c r="G448" s="48">
        <f>IFERROR(DIVIDE(VLOOKUP($B448,Data!$B$3:$EZ1530,39,FALSE),VLOOKUP($B448,Data!$B$3:$EZ1530,4,FALSE)),"")</f>
        <v>-0.2742594484</v>
      </c>
      <c r="H448" s="48">
        <f>IFERROR(DIVIDE(VLOOKUP($B448,Data!$B$3:$EZ1530,44,FALSE),VLOOKUP($B448,Data!$B$3:$EZ1530,4,FALSE)),"")</f>
        <v>0.1557711951</v>
      </c>
      <c r="I448" s="48">
        <f>IFERROR(MINUS(DIVIDE(VLOOKUP($B448,Data!$B$3:$EZ1530,9,FALSE),VLOOKUP($B448,Data!$B$3:$EZ1530,10,FALSE)),1),"")</f>
        <v>-0.3072916667</v>
      </c>
      <c r="J448" s="48">
        <f>IFERROR(MINUS(DIVIDE(VLOOKUP($B448,Data!$B$3:$EZ1530,24,FALSE),VLOOKUP($B448,Data!$B$3:$EZ1530,25,FALSE)),1),"")</f>
        <v>-5.034965035</v>
      </c>
      <c r="K448" s="48">
        <f>IFERROR(MINUS(DIVIDE(VLOOKUP($B448,Data!$B$3:$EZ1530,29,FALSE),VLOOKUP($B448,Data!$B$3:$EZ1530,30,FALSE)),1),"")</f>
        <v>-4.440789474</v>
      </c>
      <c r="L448" s="48">
        <f>IFERROR(MINUS(DIVIDE(VLOOKUP($B448,Data!$B$3:$EZ1530,34,FALSE),VLOOKUP($B448,Data!$B$3:$EZ1530,35,FALSE)),1),"")</f>
        <v>-0.2953488372</v>
      </c>
      <c r="M448" s="48">
        <f>IFERROR(MINUS(DIVIDE(VLOOKUP($B448,Data!$B$3:$EZ1530,39,FALSE),VLOOKUP($B448,Data!$B$3:$EZ1530,40,FALSE)),1),"")</f>
        <v>-5.401639344</v>
      </c>
      <c r="N448" s="48">
        <f>IFERROR(MINUS(DIVIDE(VLOOKUP($B448,Data!$B$3:$EZ1530,44,FALSE),VLOOKUP($B448,Data!$B$3:$EZ1530,45,FALSE)),1),"")</f>
        <v>0.7134831461</v>
      </c>
      <c r="O448" s="50">
        <f>IFERROR(VLOOKUP($B448,Data!$B$3:$D1530,2,FALSE),"")</f>
        <v>16990000</v>
      </c>
      <c r="P448" s="50">
        <f>IFERROR(VLOOKUP($B448,Data!$B$3:$D1530,3,FALSE),"")</f>
        <v>17410000</v>
      </c>
      <c r="Q448" s="48">
        <f t="shared" si="2"/>
        <v>-0.02412406663</v>
      </c>
      <c r="R448" s="48"/>
      <c r="S448" s="48"/>
      <c r="T448" s="48"/>
      <c r="U448" s="48"/>
      <c r="V448" s="48"/>
      <c r="W448" s="50"/>
      <c r="Z448" s="11"/>
      <c r="AA448" s="11"/>
    </row>
    <row r="449">
      <c r="A449" s="9">
        <f t="shared" si="1"/>
        <v>446</v>
      </c>
      <c r="B449" s="47" t="s">
        <v>582</v>
      </c>
      <c r="C449" s="48">
        <f>IFERROR(DIVIDE(VLOOKUP($B449,Data!$B$3:$AB$1535,9,FALSE),VLOOKUP($B449,Data!$B$3:$AB$1535,4,FALSE)),"")</f>
        <v>0.3789553624</v>
      </c>
      <c r="D449" s="48">
        <f>IFERROR(DIVIDE(VLOOKUP($B449,Data!$B$3:$AB$1535,24,FALSE),VLOOKUP($B449,Data!$B$3:$AB$1535,4,FALSE)),"")</f>
        <v>-0.009260821872</v>
      </c>
      <c r="E449" s="48">
        <f>IFERROR(DIVIDE(VLOOKUP($B449,Data!$B$3:$EZ1530,29,FALSE),VLOOKUP($B449,Data!$B$3:$EZ1530,4,FALSE)),"")</f>
        <v>-0.01622225972</v>
      </c>
      <c r="F449" s="48">
        <f>IFERROR(DIVIDE(VLOOKUP($B449,Data!$B$3:$EZ1530,34,FALSE),VLOOKUP($B449,Data!$B$3:$EZ1530,4,FALSE)),"")</f>
        <v>0.04965825669</v>
      </c>
      <c r="G449" s="48">
        <f>IFERROR(DIVIDE(VLOOKUP($B449,Data!$B$3:$EZ1530,39,FALSE),VLOOKUP($B449,Data!$B$3:$EZ1530,4,FALSE)),"")</f>
        <v>-0.01645430765</v>
      </c>
      <c r="H449" s="48">
        <f>IFERROR(DIVIDE(VLOOKUP($B449,Data!$B$3:$EZ1530,44,FALSE),VLOOKUP($B449,Data!$B$3:$EZ1530,4,FALSE)),"")</f>
        <v>0.04231710404</v>
      </c>
      <c r="I449" s="48">
        <f>IFERROR(MINUS(DIVIDE(VLOOKUP($B449,Data!$B$3:$EZ1530,9,FALSE),VLOOKUP($B449,Data!$B$3:$EZ1530,10,FALSE)),1),"")</f>
        <v>-0.01642575558</v>
      </c>
      <c r="J449" s="48">
        <f>IFERROR(MINUS(DIVIDE(VLOOKUP($B449,Data!$B$3:$EZ1530,24,FALSE),VLOOKUP($B449,Data!$B$3:$EZ1530,25,FALSE)),1),"")</f>
        <v>-0.574199806</v>
      </c>
      <c r="K449" s="48">
        <f>IFERROR(MINUS(DIVIDE(VLOOKUP($B449,Data!$B$3:$EZ1530,29,FALSE),VLOOKUP($B449,Data!$B$3:$EZ1530,30,FALSE)),1),"")</f>
        <v>-0.4337260677</v>
      </c>
      <c r="L449" s="48">
        <f>IFERROR(MINUS(DIVIDE(VLOOKUP($B449,Data!$B$3:$EZ1530,34,FALSE),VLOOKUP($B449,Data!$B$3:$EZ1530,35,FALSE)),1),"")</f>
        <v>-0.1415025529</v>
      </c>
      <c r="M449" s="48">
        <f>IFERROR(MINUS(DIVIDE(VLOOKUP($B449,Data!$B$3:$EZ1530,39,FALSE),VLOOKUP($B449,Data!$B$3:$EZ1530,40,FALSE)),1),"")</f>
        <v>-0.4235033259</v>
      </c>
      <c r="N449" s="48">
        <f>IFERROR(MINUS(DIVIDE(VLOOKUP($B449,Data!$B$3:$EZ1530,44,FALSE),VLOOKUP($B449,Data!$B$3:$EZ1530,45,FALSE)),1),"")</f>
        <v>0.2744599746</v>
      </c>
      <c r="O449" s="50" t="str">
        <f>IFERROR(VLOOKUP($B449,Data!$B$3:$D1530,2,FALSE),"")</f>
        <v/>
      </c>
      <c r="P449" s="50">
        <f>IFERROR(VLOOKUP($B449,Data!$B$3:$D1530,3,FALSE),"")</f>
        <v>458260</v>
      </c>
      <c r="Q449" s="48">
        <f t="shared" si="2"/>
        <v>-1</v>
      </c>
      <c r="R449" s="48"/>
      <c r="S449" s="48"/>
      <c r="T449" s="48"/>
      <c r="U449" s="48"/>
      <c r="V449" s="48"/>
      <c r="W449" s="50"/>
      <c r="Z449" s="12"/>
      <c r="AA449" s="12"/>
    </row>
    <row r="450">
      <c r="A450" s="9">
        <f t="shared" si="1"/>
        <v>447</v>
      </c>
      <c r="B450" s="47" t="s">
        <v>583</v>
      </c>
      <c r="C450" s="48">
        <f>IFERROR(DIVIDE(VLOOKUP($B450,Data!$B$3:$AB$1535,9,FALSE),VLOOKUP($B450,Data!$B$3:$AB$1535,4,FALSE)),"")</f>
        <v>0.111497006</v>
      </c>
      <c r="D450" s="48">
        <f>IFERROR(DIVIDE(VLOOKUP($B450,Data!$B$3:$AB$1535,24,FALSE),VLOOKUP($B450,Data!$B$3:$AB$1535,4,FALSE)),"")</f>
        <v>0.03524850299</v>
      </c>
      <c r="E450" s="48">
        <f>IFERROR(DIVIDE(VLOOKUP($B450,Data!$B$3:$EZ1530,29,FALSE),VLOOKUP($B450,Data!$B$3:$EZ1530,4,FALSE)),"")</f>
        <v>0.02351497006</v>
      </c>
      <c r="F450" s="48">
        <f>IFERROR(DIVIDE(VLOOKUP($B450,Data!$B$3:$EZ1530,34,FALSE),VLOOKUP($B450,Data!$B$3:$EZ1530,4,FALSE)),"")</f>
        <v>0.1004221557</v>
      </c>
      <c r="G450" s="48">
        <f>IFERROR(DIVIDE(VLOOKUP($B450,Data!$B$3:$EZ1530,39,FALSE),VLOOKUP($B450,Data!$B$3:$EZ1530,4,FALSE)),"")</f>
        <v>0.01713173653</v>
      </c>
      <c r="H450" s="48">
        <f>IFERROR(DIVIDE(VLOOKUP($B450,Data!$B$3:$EZ1530,44,FALSE),VLOOKUP($B450,Data!$B$3:$EZ1530,4,FALSE)),"")</f>
        <v>0.01736526946</v>
      </c>
      <c r="I450" s="48">
        <f>IFERROR(MINUS(DIVIDE(VLOOKUP($B450,Data!$B$3:$EZ1530,9,FALSE),VLOOKUP($B450,Data!$B$3:$EZ1530,10,FALSE)),1),"")</f>
        <v>-0.03450779083</v>
      </c>
      <c r="J450" s="48">
        <f>IFERROR(MINUS(DIVIDE(VLOOKUP($B450,Data!$B$3:$EZ1530,24,FALSE),VLOOKUP($B450,Data!$B$3:$EZ1530,25,FALSE)),1),"")</f>
        <v>0.01133923202</v>
      </c>
      <c r="K450" s="48">
        <f>IFERROR(MINUS(DIVIDE(VLOOKUP($B450,Data!$B$3:$EZ1530,29,FALSE),VLOOKUP($B450,Data!$B$3:$EZ1530,30,FALSE)),1),"")</f>
        <v>-0.1079054975</v>
      </c>
      <c r="L450" s="48">
        <f>IFERROR(MINUS(DIVIDE(VLOOKUP($B450,Data!$B$3:$EZ1530,34,FALSE),VLOOKUP($B450,Data!$B$3:$EZ1530,35,FALSE)),1),"")</f>
        <v>0.1324914745</v>
      </c>
      <c r="M450" s="48">
        <f>IFERROR(MINUS(DIVIDE(VLOOKUP($B450,Data!$B$3:$EZ1530,39,FALSE),VLOOKUP($B450,Data!$B$3:$EZ1530,40,FALSE)),1),"")</f>
        <v>-0.09044666985</v>
      </c>
      <c r="N450" s="48">
        <f>IFERROR(MINUS(DIVIDE(VLOOKUP($B450,Data!$B$3:$EZ1530,44,FALSE),VLOOKUP($B450,Data!$B$3:$EZ1530,45,FALSE)),1),"")</f>
        <v>-0.5339493773</v>
      </c>
      <c r="O450" s="50">
        <f>IFERROR(VLOOKUP($B450,Data!$B$3:$D1530,2,FALSE),"")</f>
        <v>3450000</v>
      </c>
      <c r="P450" s="50">
        <f>IFERROR(VLOOKUP($B450,Data!$B$3:$D1530,3,FALSE),"")</f>
        <v>3340000</v>
      </c>
      <c r="Q450" s="48">
        <f t="shared" si="2"/>
        <v>0.03293413174</v>
      </c>
      <c r="R450" s="48"/>
      <c r="S450" s="48"/>
      <c r="T450" s="48"/>
      <c r="U450" s="48"/>
      <c r="V450" s="48"/>
      <c r="W450" s="50"/>
      <c r="Z450" s="15"/>
      <c r="AA450" s="15"/>
    </row>
    <row r="451">
      <c r="A451" s="9">
        <f t="shared" si="1"/>
        <v>448</v>
      </c>
      <c r="B451" s="47" t="s">
        <v>584</v>
      </c>
      <c r="C451" s="48">
        <f>IFERROR(DIVIDE(VLOOKUP($B451,Data!$B$3:$AB$1535,9,FALSE),VLOOKUP($B451,Data!$B$3:$AB$1535,4,FALSE)),"")</f>
        <v>0.7458866545</v>
      </c>
      <c r="D451" s="48">
        <f>IFERROR(DIVIDE(VLOOKUP($B451,Data!$B$3:$AB$1535,24,FALSE),VLOOKUP($B451,Data!$B$3:$AB$1535,4,FALSE)),"")</f>
        <v>0.252285192</v>
      </c>
      <c r="E451" s="48">
        <f>IFERROR(DIVIDE(VLOOKUP($B451,Data!$B$3:$EZ1530,29,FALSE),VLOOKUP($B451,Data!$B$3:$EZ1530,4,FALSE)),"")</f>
        <v>0.2760511883</v>
      </c>
      <c r="F451" s="48">
        <f>IFERROR(DIVIDE(VLOOKUP($B451,Data!$B$3:$EZ1530,34,FALSE),VLOOKUP($B451,Data!$B$3:$EZ1530,4,FALSE)),"")</f>
        <v>0.281535649</v>
      </c>
      <c r="G451" s="48">
        <f>IFERROR(DIVIDE(VLOOKUP($B451,Data!$B$3:$EZ1530,39,FALSE),VLOOKUP($B451,Data!$B$3:$EZ1530,4,FALSE)),"")</f>
        <v>0.5557586837</v>
      </c>
      <c r="H451" s="48">
        <f>IFERROR(DIVIDE(VLOOKUP($B451,Data!$B$3:$EZ1530,44,FALSE),VLOOKUP($B451,Data!$B$3:$EZ1530,4,FALSE)),"")</f>
        <v>0.3290676417</v>
      </c>
      <c r="I451" s="48">
        <f>IFERROR(MINUS(DIVIDE(VLOOKUP($B451,Data!$B$3:$EZ1530,9,FALSE),VLOOKUP($B451,Data!$B$3:$EZ1530,10,FALSE)),1),"")</f>
        <v>0.1364902507</v>
      </c>
      <c r="J451" s="48">
        <f>IFERROR(MINUS(DIVIDE(VLOOKUP($B451,Data!$B$3:$EZ1530,24,FALSE),VLOOKUP($B451,Data!$B$3:$EZ1530,25,FALSE)),1),"")</f>
        <v>0.3269230769</v>
      </c>
      <c r="K451" s="48">
        <f>IFERROR(MINUS(DIVIDE(VLOOKUP($B451,Data!$B$3:$EZ1530,29,FALSE),VLOOKUP($B451,Data!$B$3:$EZ1530,30,FALSE)),1),"")</f>
        <v>0.3981481481</v>
      </c>
      <c r="L451" s="48">
        <f>IFERROR(MINUS(DIVIDE(VLOOKUP($B451,Data!$B$3:$EZ1530,34,FALSE),VLOOKUP($B451,Data!$B$3:$EZ1530,35,FALSE)),1),"")</f>
        <v>0.3391304348</v>
      </c>
      <c r="M451" s="48">
        <f>IFERROR(MINUS(DIVIDE(VLOOKUP($B451,Data!$B$3:$EZ1530,39,FALSE),VLOOKUP($B451,Data!$B$3:$EZ1530,40,FALSE)),1),"")</f>
        <v>1.980392157</v>
      </c>
      <c r="N451" s="48">
        <f>IFERROR(MINUS(DIVIDE(VLOOKUP($B451,Data!$B$3:$EZ1530,44,FALSE),VLOOKUP($B451,Data!$B$3:$EZ1530,45,FALSE)),1),"")</f>
        <v>0.1612903226</v>
      </c>
      <c r="O451" s="50">
        <f>IFERROR(VLOOKUP($B451,Data!$B$3:$D1530,2,FALSE),"")</f>
        <v>5970000</v>
      </c>
      <c r="P451" s="50">
        <f>IFERROR(VLOOKUP($B451,Data!$B$3:$D1530,3,FALSE),"")</f>
        <v>5550000</v>
      </c>
      <c r="Q451" s="48">
        <f t="shared" si="2"/>
        <v>0.07567567568</v>
      </c>
      <c r="R451" s="48"/>
      <c r="S451" s="48"/>
      <c r="T451" s="48"/>
      <c r="U451" s="48"/>
      <c r="V451" s="48"/>
      <c r="W451" s="50"/>
      <c r="Z451" s="11"/>
      <c r="AA451" s="11"/>
    </row>
    <row r="452">
      <c r="A452" s="9">
        <f t="shared" si="1"/>
        <v>449</v>
      </c>
      <c r="B452" s="47" t="s">
        <v>585</v>
      </c>
      <c r="C452" s="48">
        <f>IFERROR(DIVIDE(VLOOKUP($B452,Data!$B$3:$AB$1535,9,FALSE),VLOOKUP($B452,Data!$B$3:$AB$1535,4,FALSE)),"")</f>
        <v>0.116552795</v>
      </c>
      <c r="D452" s="48">
        <f>IFERROR(DIVIDE(VLOOKUP($B452,Data!$B$3:$AB$1535,24,FALSE),VLOOKUP($B452,Data!$B$3:$AB$1535,4,FALSE)),"")</f>
        <v>0.05854037267</v>
      </c>
      <c r="E452" s="48">
        <f>IFERROR(DIVIDE(VLOOKUP($B452,Data!$B$3:$EZ1530,29,FALSE),VLOOKUP($B452,Data!$B$3:$EZ1530,4,FALSE)),"")</f>
        <v>0.05335403727</v>
      </c>
      <c r="F452" s="48">
        <f>IFERROR(DIVIDE(VLOOKUP($B452,Data!$B$3:$EZ1530,34,FALSE),VLOOKUP($B452,Data!$B$3:$EZ1530,4,FALSE)),"")</f>
        <v>0.1136335404</v>
      </c>
      <c r="G452" s="48">
        <f>IFERROR(DIVIDE(VLOOKUP($B452,Data!$B$3:$EZ1530,39,FALSE),VLOOKUP($B452,Data!$B$3:$EZ1530,4,FALSE)),"")</f>
        <v>0.04810559006</v>
      </c>
      <c r="H452" s="48">
        <f>IFERROR(DIVIDE(VLOOKUP($B452,Data!$B$3:$EZ1530,44,FALSE),VLOOKUP($B452,Data!$B$3:$EZ1530,4,FALSE)),"")</f>
        <v>0.06605590062</v>
      </c>
      <c r="I452" s="48">
        <f>IFERROR(MINUS(DIVIDE(VLOOKUP($B452,Data!$B$3:$EZ1530,9,FALSE),VLOOKUP($B452,Data!$B$3:$EZ1530,10,FALSE)),1),"")</f>
        <v>-0.05375422319</v>
      </c>
      <c r="J452" s="48">
        <f>IFERROR(MINUS(DIVIDE(VLOOKUP($B452,Data!$B$3:$EZ1530,24,FALSE),VLOOKUP($B452,Data!$B$3:$EZ1530,25,FALSE)),1),"")</f>
        <v>-0.1711006552</v>
      </c>
      <c r="K452" s="48">
        <f>IFERROR(MINUS(DIVIDE(VLOOKUP($B452,Data!$B$3:$EZ1530,29,FALSE),VLOOKUP($B452,Data!$B$3:$EZ1530,30,FALSE)),1),"")</f>
        <v>0.009282105511</v>
      </c>
      <c r="L452" s="48">
        <f>IFERROR(MINUS(DIVIDE(VLOOKUP($B452,Data!$B$3:$EZ1530,34,FALSE),VLOOKUP($B452,Data!$B$3:$EZ1530,35,FALSE)),1),"")</f>
        <v>-0.1076045071</v>
      </c>
      <c r="M452" s="48">
        <f>IFERROR(MINUS(DIVIDE(VLOOKUP($B452,Data!$B$3:$EZ1530,39,FALSE),VLOOKUP($B452,Data!$B$3:$EZ1530,40,FALSE)),1),"")</f>
        <v>0.2305370194</v>
      </c>
      <c r="N452" s="48">
        <f>IFERROR(MINUS(DIVIDE(VLOOKUP($B452,Data!$B$3:$EZ1530,44,FALSE),VLOOKUP($B452,Data!$B$3:$EZ1530,45,FALSE)),1),"")</f>
        <v>-0.2522411672</v>
      </c>
      <c r="O452" s="50">
        <f>IFERROR(VLOOKUP($B452,Data!$B$3:$D1530,2,FALSE),"")</f>
        <v>3240000</v>
      </c>
      <c r="P452" s="50">
        <f>IFERROR(VLOOKUP($B452,Data!$B$3:$D1530,3,FALSE),"")</f>
        <v>3080000</v>
      </c>
      <c r="Q452" s="48">
        <f t="shared" si="2"/>
        <v>0.05194805195</v>
      </c>
      <c r="R452" s="48"/>
      <c r="S452" s="48"/>
      <c r="T452" s="48"/>
      <c r="U452" s="48"/>
      <c r="V452" s="48"/>
      <c r="W452" s="50"/>
      <c r="Z452" s="11"/>
      <c r="AA452" s="11"/>
    </row>
    <row r="453">
      <c r="A453" s="9">
        <f t="shared" si="1"/>
        <v>450</v>
      </c>
      <c r="B453" s="47" t="s">
        <v>586</v>
      </c>
      <c r="C453" s="48">
        <f>IFERROR(DIVIDE(VLOOKUP($B453,Data!$B$3:$AB$1535,9,FALSE),VLOOKUP($B453,Data!$B$3:$AB$1535,4,FALSE)),"")</f>
        <v>0.1594724771</v>
      </c>
      <c r="D453" s="48">
        <f>IFERROR(DIVIDE(VLOOKUP($B453,Data!$B$3:$AB$1535,24,FALSE),VLOOKUP($B453,Data!$B$3:$AB$1535,4,FALSE)),"")</f>
        <v>0.01550917431</v>
      </c>
      <c r="E453" s="48">
        <f>IFERROR(DIVIDE(VLOOKUP($B453,Data!$B$3:$EZ1530,29,FALSE),VLOOKUP($B453,Data!$B$3:$EZ1530,4,FALSE)),"")</f>
        <v>0.01003669725</v>
      </c>
      <c r="F453" s="48">
        <f>IFERROR(DIVIDE(VLOOKUP($B453,Data!$B$3:$EZ1530,34,FALSE),VLOOKUP($B453,Data!$B$3:$EZ1530,4,FALSE)),"")</f>
        <v>0.03392201835</v>
      </c>
      <c r="G453" s="48">
        <f>IFERROR(DIVIDE(VLOOKUP($B453,Data!$B$3:$EZ1530,39,FALSE),VLOOKUP($B453,Data!$B$3:$EZ1530,4,FALSE)),"")</f>
        <v>0.006811926606</v>
      </c>
      <c r="H453" s="48">
        <f>IFERROR(DIVIDE(VLOOKUP($B453,Data!$B$3:$EZ1530,44,FALSE),VLOOKUP($B453,Data!$B$3:$EZ1530,4,FALSE)),"")</f>
        <v>0.03877522936</v>
      </c>
      <c r="I453" s="48">
        <f>IFERROR(MINUS(DIVIDE(VLOOKUP($B453,Data!$B$3:$EZ1530,9,FALSE),VLOOKUP($B453,Data!$B$3:$EZ1530,10,FALSE)),1),"")</f>
        <v>-0.09402444427</v>
      </c>
      <c r="J453" s="48">
        <f>IFERROR(MINUS(DIVIDE(VLOOKUP($B453,Data!$B$3:$EZ1530,24,FALSE),VLOOKUP($B453,Data!$B$3:$EZ1530,25,FALSE)),1),"")</f>
        <v>-0.3688631697</v>
      </c>
      <c r="K453" s="48">
        <f>IFERROR(MINUS(DIVIDE(VLOOKUP($B453,Data!$B$3:$EZ1530,29,FALSE),VLOOKUP($B453,Data!$B$3:$EZ1530,30,FALSE)),1),"")</f>
        <v>-0.424513414</v>
      </c>
      <c r="L453" s="48">
        <f>IFERROR(MINUS(DIVIDE(VLOOKUP($B453,Data!$B$3:$EZ1530,34,FALSE),VLOOKUP($B453,Data!$B$3:$EZ1530,35,FALSE)),1),"")</f>
        <v>-0.1864686469</v>
      </c>
      <c r="M453" s="48">
        <f>IFERROR(MINUS(DIVIDE(VLOOKUP($B453,Data!$B$3:$EZ1530,39,FALSE),VLOOKUP($B453,Data!$B$3:$EZ1530,40,FALSE)),1),"")</f>
        <v>-0.4829387187</v>
      </c>
      <c r="N453" s="48">
        <f>IFERROR(MINUS(DIVIDE(VLOOKUP($B453,Data!$B$3:$EZ1530,44,FALSE),VLOOKUP($B453,Data!$B$3:$EZ1530,45,FALSE)),1),"")</f>
        <v>-0.1031299735</v>
      </c>
      <c r="O453" s="50">
        <f>IFERROR(VLOOKUP($B453,Data!$B$3:$D1530,2,FALSE),"")</f>
        <v>2420000</v>
      </c>
      <c r="P453" s="50">
        <f>IFERROR(VLOOKUP($B453,Data!$B$3:$D1530,3,FALSE),"")</f>
        <v>2230000</v>
      </c>
      <c r="Q453" s="48">
        <f t="shared" si="2"/>
        <v>0.08520179372</v>
      </c>
      <c r="R453" s="48"/>
      <c r="S453" s="48"/>
      <c r="T453" s="48"/>
      <c r="U453" s="48"/>
      <c r="V453" s="48"/>
      <c r="W453" s="50"/>
      <c r="Z453" s="15"/>
      <c r="AA453" s="15"/>
    </row>
    <row r="454">
      <c r="A454" s="9">
        <f t="shared" si="1"/>
        <v>451</v>
      </c>
      <c r="B454" s="47" t="s">
        <v>587</v>
      </c>
      <c r="C454" s="48">
        <f>IFERROR(DIVIDE(VLOOKUP($B454,Data!$B$3:$AB$1535,9,FALSE),VLOOKUP($B454,Data!$B$3:$AB$1535,4,FALSE)),"")</f>
        <v>0</v>
      </c>
      <c r="D454" s="48">
        <f>IFERROR(DIVIDE(VLOOKUP($B454,Data!$B$3:$AB$1535,24,FALSE),VLOOKUP($B454,Data!$B$3:$AB$1535,4,FALSE)),"")</f>
        <v>0</v>
      </c>
      <c r="E454" s="48">
        <f>IFERROR(DIVIDE(VLOOKUP($B454,Data!$B$3:$EZ1530,29,FALSE),VLOOKUP($B454,Data!$B$3:$EZ1530,4,FALSE)),"")</f>
        <v>-6.514856308</v>
      </c>
      <c r="F454" s="48">
        <f>IFERROR(DIVIDE(VLOOKUP($B454,Data!$B$3:$EZ1530,34,FALSE),VLOOKUP($B454,Data!$B$3:$EZ1530,4,FALSE)),"")</f>
        <v>-6.726254262</v>
      </c>
      <c r="G454" s="48">
        <f>IFERROR(DIVIDE(VLOOKUP($B454,Data!$B$3:$EZ1530,39,FALSE),VLOOKUP($B454,Data!$B$3:$EZ1530,4,FALSE)),"")</f>
        <v>-6.514856308</v>
      </c>
      <c r="H454" s="48">
        <f>IFERROR(DIVIDE(VLOOKUP($B454,Data!$B$3:$EZ1530,44,FALSE),VLOOKUP($B454,Data!$B$3:$EZ1530,4,FALSE)),"")</f>
        <v>-2.43497321</v>
      </c>
      <c r="I454" s="48" t="str">
        <f>IFERROR(MINUS(DIVIDE(VLOOKUP($B454,Data!$B$3:$EZ1530,9,FALSE),VLOOKUP($B454,Data!$B$3:$EZ1530,10,FALSE)),1),"")</f>
        <v/>
      </c>
      <c r="J454" s="48" t="str">
        <f>IFERROR(MINUS(DIVIDE(VLOOKUP($B454,Data!$B$3:$EZ1530,24,FALSE),VLOOKUP($B454,Data!$B$3:$EZ1530,25,FALSE)),1),"")</f>
        <v/>
      </c>
      <c r="K454" s="48">
        <f>IFERROR(MINUS(DIVIDE(VLOOKUP($B454,Data!$B$3:$EZ1530,29,FALSE),VLOOKUP($B454,Data!$B$3:$EZ1530,30,FALSE)),1),"")</f>
        <v>0.2164620282</v>
      </c>
      <c r="L454" s="48">
        <f>IFERROR(MINUS(DIVIDE(VLOOKUP($B454,Data!$B$3:$EZ1530,34,FALSE),VLOOKUP($B454,Data!$B$3:$EZ1530,35,FALSE)),1),"")</f>
        <v>0.2500226306</v>
      </c>
      <c r="M454" s="48">
        <f>IFERROR(MINUS(DIVIDE(VLOOKUP($B454,Data!$B$3:$EZ1530,39,FALSE),VLOOKUP($B454,Data!$B$3:$EZ1530,40,FALSE)),1),"")</f>
        <v>0.2164620282</v>
      </c>
      <c r="N454" s="48">
        <f>IFERROR(MINUS(DIVIDE(VLOOKUP($B454,Data!$B$3:$EZ1530,44,FALSE),VLOOKUP($B454,Data!$B$3:$EZ1530,45,FALSE)),1),"")</f>
        <v>0.09363377817</v>
      </c>
      <c r="O454" s="50">
        <f>IFERROR(VLOOKUP($B454,Data!$B$3:$D1530,2,FALSE),"")</f>
        <v>24460</v>
      </c>
      <c r="P454" s="50">
        <f>IFERROR(VLOOKUP($B454,Data!$B$3:$D1530,3,FALSE),"")</f>
        <v>27240</v>
      </c>
      <c r="Q454" s="48">
        <f t="shared" si="2"/>
        <v>-0.1020558003</v>
      </c>
      <c r="R454" s="48"/>
      <c r="S454" s="48"/>
      <c r="T454" s="48"/>
      <c r="U454" s="48"/>
      <c r="V454" s="48"/>
      <c r="W454" s="50"/>
      <c r="Z454" s="15"/>
      <c r="AA454" s="15"/>
    </row>
    <row r="455">
      <c r="A455" s="9">
        <f t="shared" si="1"/>
        <v>452</v>
      </c>
      <c r="B455" s="47" t="s">
        <v>588</v>
      </c>
      <c r="C455" s="48">
        <f>IFERROR(DIVIDE(VLOOKUP($B455,Data!$B$3:$AB$1535,9,FALSE),VLOOKUP($B455,Data!$B$3:$AB$1535,4,FALSE)),"")</f>
        <v>0.1355085847</v>
      </c>
      <c r="D455" s="48">
        <f>IFERROR(DIVIDE(VLOOKUP($B455,Data!$B$3:$AB$1535,24,FALSE),VLOOKUP($B455,Data!$B$3:$AB$1535,4,FALSE)),"")</f>
        <v>0.003522812778</v>
      </c>
      <c r="E455" s="48">
        <f>IFERROR(DIVIDE(VLOOKUP($B455,Data!$B$3:$EZ1530,29,FALSE),VLOOKUP($B455,Data!$B$3:$EZ1530,4,FALSE)),"")</f>
        <v>-0.0742184828</v>
      </c>
      <c r="F455" s="48">
        <f>IFERROR(DIVIDE(VLOOKUP($B455,Data!$B$3:$EZ1530,34,FALSE),VLOOKUP($B455,Data!$B$3:$EZ1530,4,FALSE)),"")</f>
        <v>0.1979957589</v>
      </c>
      <c r="G455" s="48">
        <f>IFERROR(DIVIDE(VLOOKUP($B455,Data!$B$3:$EZ1530,39,FALSE),VLOOKUP($B455,Data!$B$3:$EZ1530,4,FALSE)),"")</f>
        <v>-0.0742184828</v>
      </c>
      <c r="H455" s="48">
        <f>IFERROR(DIVIDE(VLOOKUP($B455,Data!$B$3:$EZ1530,44,FALSE),VLOOKUP($B455,Data!$B$3:$EZ1530,4,FALSE)),"")</f>
        <v>0.1202544634</v>
      </c>
      <c r="I455" s="48">
        <f>IFERROR(MINUS(DIVIDE(VLOOKUP($B455,Data!$B$3:$EZ1530,9,FALSE),VLOOKUP($B455,Data!$B$3:$EZ1530,10,FALSE)),1),"")</f>
        <v>-0.4604385129</v>
      </c>
      <c r="J455" s="48">
        <f>IFERROR(MINUS(DIVIDE(VLOOKUP($B455,Data!$B$3:$EZ1530,24,FALSE),VLOOKUP($B455,Data!$B$3:$EZ1530,25,FALSE)),1),"")</f>
        <v>-0.972459893</v>
      </c>
      <c r="K455" s="48">
        <f>IFERROR(MINUS(DIVIDE(VLOOKUP($B455,Data!$B$3:$EZ1530,29,FALSE),VLOOKUP($B455,Data!$B$3:$EZ1530,30,FALSE)),1),"")</f>
        <v>-2.726332538</v>
      </c>
      <c r="L455" s="48">
        <f>IFERROR(MINUS(DIVIDE(VLOOKUP($B455,Data!$B$3:$EZ1530,34,FALSE),VLOOKUP($B455,Data!$B$3:$EZ1530,35,FALSE)),1),"")</f>
        <v>-0.2280304041</v>
      </c>
      <c r="M455" s="48">
        <f>IFERROR(MINUS(DIVIDE(VLOOKUP($B455,Data!$B$3:$EZ1530,39,FALSE),VLOOKUP($B455,Data!$B$3:$EZ1530,40,FALSE)),1),"")</f>
        <v>-2.726332538</v>
      </c>
      <c r="N455" s="48">
        <f>IFERROR(MINUS(DIVIDE(VLOOKUP($B455,Data!$B$3:$EZ1530,44,FALSE),VLOOKUP($B455,Data!$B$3:$EZ1530,45,FALSE)),1),"")</f>
        <v>-0.2267429074</v>
      </c>
      <c r="O455" s="50">
        <f>IFERROR(VLOOKUP($B455,Data!$B$3:$D1530,2,FALSE),"")</f>
        <v>225190</v>
      </c>
      <c r="P455" s="50">
        <f>IFERROR(VLOOKUP($B455,Data!$B$3:$D1530,3,FALSE),"")</f>
        <v>192580</v>
      </c>
      <c r="Q455" s="48">
        <f t="shared" si="2"/>
        <v>0.1693322256</v>
      </c>
      <c r="R455" s="48"/>
      <c r="S455" s="48"/>
      <c r="T455" s="48"/>
      <c r="U455" s="48"/>
      <c r="V455" s="48"/>
      <c r="W455" s="50"/>
      <c r="Z455" s="11"/>
      <c r="AA455" s="11"/>
    </row>
    <row r="456">
      <c r="A456" s="9">
        <f t="shared" si="1"/>
        <v>453</v>
      </c>
      <c r="B456" s="47" t="s">
        <v>589</v>
      </c>
      <c r="C456" s="48">
        <f>IFERROR(DIVIDE(VLOOKUP($B456,Data!$B$3:$AB$1535,9,FALSE),VLOOKUP($B456,Data!$B$3:$AB$1535,4,FALSE)),"")</f>
        <v>0.1481413504</v>
      </c>
      <c r="D456" s="48">
        <f>IFERROR(DIVIDE(VLOOKUP($B456,Data!$B$3:$AB$1535,24,FALSE),VLOOKUP($B456,Data!$B$3:$AB$1535,4,FALSE)),"")</f>
        <v>0.2211536108</v>
      </c>
      <c r="E456" s="48">
        <f>IFERROR(DIVIDE(VLOOKUP($B456,Data!$B$3:$EZ1530,29,FALSE),VLOOKUP($B456,Data!$B$3:$EZ1530,4,FALSE)),"")</f>
        <v>0.1652228177</v>
      </c>
      <c r="F456" s="48">
        <f>IFERROR(DIVIDE(VLOOKUP($B456,Data!$B$3:$EZ1530,34,FALSE),VLOOKUP($B456,Data!$B$3:$EZ1530,4,FALSE)),"")</f>
        <v>0.3393656853</v>
      </c>
      <c r="G456" s="48">
        <f>IFERROR(DIVIDE(VLOOKUP($B456,Data!$B$3:$EZ1530,39,FALSE),VLOOKUP($B456,Data!$B$3:$EZ1530,4,FALSE)),"")</f>
        <v>0.1118615863</v>
      </c>
      <c r="H456" s="48">
        <f>IFERROR(DIVIDE(VLOOKUP($B456,Data!$B$3:$EZ1530,44,FALSE),VLOOKUP($B456,Data!$B$3:$EZ1530,4,FALSE)),"")</f>
        <v>0.2629885226</v>
      </c>
      <c r="I456" s="48">
        <f>IFERROR(MINUS(DIVIDE(VLOOKUP($B456,Data!$B$3:$EZ1530,9,FALSE),VLOOKUP($B456,Data!$B$3:$EZ1530,10,FALSE)),1),"")</f>
        <v>2.007950311</v>
      </c>
      <c r="J456" s="48">
        <f>IFERROR(MINUS(DIVIDE(VLOOKUP($B456,Data!$B$3:$EZ1530,24,FALSE),VLOOKUP($B456,Data!$B$3:$EZ1530,25,FALSE)),1),"")</f>
        <v>-1.293828846</v>
      </c>
      <c r="K456" s="48">
        <f>IFERROR(MINUS(DIVIDE(VLOOKUP($B456,Data!$B$3:$EZ1530,29,FALSE),VLOOKUP($B456,Data!$B$3:$EZ1530,30,FALSE)),1),"")</f>
        <v>-1.223496698</v>
      </c>
      <c r="L456" s="48">
        <f>IFERROR(MINUS(DIVIDE(VLOOKUP($B456,Data!$B$3:$EZ1530,34,FALSE),VLOOKUP($B456,Data!$B$3:$EZ1530,35,FALSE)),1),"")</f>
        <v>1.626171764</v>
      </c>
      <c r="M456" s="48">
        <f>IFERROR(MINUS(DIVIDE(VLOOKUP($B456,Data!$B$3:$EZ1530,39,FALSE),VLOOKUP($B456,Data!$B$3:$EZ1530,40,FALSE)),1),"")</f>
        <v>-1.194900439</v>
      </c>
      <c r="N456" s="48">
        <f>IFERROR(MINUS(DIVIDE(VLOOKUP($B456,Data!$B$3:$EZ1530,44,FALSE),VLOOKUP($B456,Data!$B$3:$EZ1530,45,FALSE)),1),"")</f>
        <v>1.500349</v>
      </c>
      <c r="O456" s="50">
        <f>IFERROR(VLOOKUP($B456,Data!$B$3:$D1530,2,FALSE),"")</f>
        <v>554790</v>
      </c>
      <c r="P456" s="50">
        <f>IFERROR(VLOOKUP($B456,Data!$B$3:$D1530,3,FALSE),"")</f>
        <v>399030</v>
      </c>
      <c r="Q456" s="48">
        <f t="shared" si="2"/>
        <v>0.3903465905</v>
      </c>
      <c r="R456" s="48"/>
      <c r="S456" s="48"/>
      <c r="T456" s="48"/>
      <c r="U456" s="48"/>
      <c r="V456" s="48"/>
      <c r="W456" s="50"/>
      <c r="Z456" s="11"/>
      <c r="AA456" s="11"/>
    </row>
    <row r="457">
      <c r="A457" s="9">
        <f t="shared" si="1"/>
        <v>454</v>
      </c>
      <c r="B457" s="47" t="s">
        <v>590</v>
      </c>
      <c r="C457" s="48">
        <f>IFERROR(DIVIDE(VLOOKUP($B457,Data!$B$3:$AB$1535,9,FALSE),VLOOKUP($B457,Data!$B$3:$AB$1535,4,FALSE)),"")</f>
        <v>0.689162285</v>
      </c>
      <c r="D457" s="48">
        <f>IFERROR(DIVIDE(VLOOKUP($B457,Data!$B$3:$AB$1535,24,FALSE),VLOOKUP($B457,Data!$B$3:$AB$1535,4,FALSE)),"")</f>
        <v>0</v>
      </c>
      <c r="E457" s="48">
        <f>IFERROR(DIVIDE(VLOOKUP($B457,Data!$B$3:$EZ1530,29,FALSE),VLOOKUP($B457,Data!$B$3:$EZ1530,4,FALSE)),"")</f>
        <v>0.1123079279</v>
      </c>
      <c r="F457" s="48">
        <f>IFERROR(DIVIDE(VLOOKUP($B457,Data!$B$3:$EZ1530,34,FALSE),VLOOKUP($B457,Data!$B$3:$EZ1530,4,FALSE)),"")</f>
        <v>0.1351268569</v>
      </c>
      <c r="G457" s="48">
        <f>IFERROR(DIVIDE(VLOOKUP($B457,Data!$B$3:$EZ1530,39,FALSE),VLOOKUP($B457,Data!$B$3:$EZ1530,4,FALSE)),"")</f>
        <v>0.07305120221</v>
      </c>
      <c r="H457" s="48">
        <f>IFERROR(DIVIDE(VLOOKUP($B457,Data!$B$3:$EZ1530,44,FALSE),VLOOKUP($B457,Data!$B$3:$EZ1530,4,FALSE)),"")</f>
        <v>0.2841390576</v>
      </c>
      <c r="I457" s="48">
        <f>IFERROR(MINUS(DIVIDE(VLOOKUP($B457,Data!$B$3:$EZ1530,9,FALSE),VLOOKUP($B457,Data!$B$3:$EZ1530,10,FALSE)),1),"")</f>
        <v>-0.108322325</v>
      </c>
      <c r="J457" s="48">
        <f>IFERROR(MINUS(DIVIDE(VLOOKUP($B457,Data!$B$3:$EZ1530,24,FALSE),VLOOKUP($B457,Data!$B$3:$EZ1530,25,FALSE)),1),"")</f>
        <v>-1</v>
      </c>
      <c r="K457" s="48">
        <f>IFERROR(MINUS(DIVIDE(VLOOKUP($B457,Data!$B$3:$EZ1530,29,FALSE),VLOOKUP($B457,Data!$B$3:$EZ1530,30,FALSE)),1),"")</f>
        <v>-0.3537015276</v>
      </c>
      <c r="L457" s="48">
        <f>IFERROR(MINUS(DIVIDE(VLOOKUP($B457,Data!$B$3:$EZ1530,34,FALSE),VLOOKUP($B457,Data!$B$3:$EZ1530,35,FALSE)),1),"")</f>
        <v>-0.4720781811</v>
      </c>
      <c r="M457" s="48">
        <f>IFERROR(MINUS(DIVIDE(VLOOKUP($B457,Data!$B$3:$EZ1530,39,FALSE),VLOOKUP($B457,Data!$B$3:$EZ1530,40,FALSE)),1),"")</f>
        <v>-0.5514106583</v>
      </c>
      <c r="N457" s="48">
        <f>IFERROR(MINUS(DIVIDE(VLOOKUP($B457,Data!$B$3:$EZ1530,44,FALSE),VLOOKUP($B457,Data!$B$3:$EZ1530,45,FALSE)),1),"")</f>
        <v>0.06261932035</v>
      </c>
      <c r="O457" s="50">
        <f>IFERROR(VLOOKUP($B457,Data!$B$3:$D1530,2,FALSE),"")</f>
        <v>225160</v>
      </c>
      <c r="P457" s="50">
        <f>IFERROR(VLOOKUP($B457,Data!$B$3:$D1530,3,FALSE),"")</f>
        <v>193100</v>
      </c>
      <c r="Q457" s="48">
        <f t="shared" si="2"/>
        <v>0.1660279648</v>
      </c>
      <c r="R457" s="48"/>
      <c r="S457" s="48"/>
      <c r="T457" s="48"/>
      <c r="U457" s="48"/>
      <c r="V457" s="48"/>
      <c r="W457" s="50"/>
      <c r="Z457" s="11"/>
      <c r="AA457" s="11"/>
    </row>
    <row r="458">
      <c r="A458" s="9">
        <f t="shared" si="1"/>
        <v>455</v>
      </c>
      <c r="B458" s="47" t="s">
        <v>591</v>
      </c>
      <c r="C458" s="48">
        <f>IFERROR(DIVIDE(VLOOKUP($B458,Data!$B$3:$AB$1535,9,FALSE),VLOOKUP($B458,Data!$B$3:$AB$1535,4,FALSE)),"")</f>
        <v>0.2037960954</v>
      </c>
      <c r="D458" s="48">
        <f>IFERROR(DIVIDE(VLOOKUP($B458,Data!$B$3:$AB$1535,24,FALSE),VLOOKUP($B458,Data!$B$3:$AB$1535,4,FALSE)),"")</f>
        <v>0.1527114967</v>
      </c>
      <c r="E458" s="48">
        <f>IFERROR(DIVIDE(VLOOKUP($B458,Data!$B$3:$EZ1530,29,FALSE),VLOOKUP($B458,Data!$B$3:$EZ1530,4,FALSE)),"")</f>
        <v>0.1219739696</v>
      </c>
      <c r="F458" s="48">
        <f>IFERROR(DIVIDE(VLOOKUP($B458,Data!$B$3:$EZ1530,34,FALSE),VLOOKUP($B458,Data!$B$3:$EZ1530,4,FALSE)),"")</f>
        <v>0.1976572668</v>
      </c>
      <c r="G458" s="48">
        <f>IFERROR(DIVIDE(VLOOKUP($B458,Data!$B$3:$EZ1530,39,FALSE),VLOOKUP($B458,Data!$B$3:$EZ1530,4,FALSE)),"")</f>
        <v>0.07765726681</v>
      </c>
      <c r="H458" s="48">
        <f>IFERROR(DIVIDE(VLOOKUP($B458,Data!$B$3:$EZ1530,44,FALSE),VLOOKUP($B458,Data!$B$3:$EZ1530,4,FALSE)),"")</f>
        <v>0.1378091106</v>
      </c>
      <c r="I458" s="48">
        <f>IFERROR(MINUS(DIVIDE(VLOOKUP($B458,Data!$B$3:$EZ1530,9,FALSE),VLOOKUP($B458,Data!$B$3:$EZ1530,10,FALSE)),1),"")</f>
        <v>0.04180527833</v>
      </c>
      <c r="J458" s="48">
        <f>IFERROR(MINUS(DIVIDE(VLOOKUP($B458,Data!$B$3:$EZ1530,24,FALSE),VLOOKUP($B458,Data!$B$3:$EZ1530,25,FALSE)),1),"")</f>
        <v>0.1181702668</v>
      </c>
      <c r="K458" s="48">
        <f>IFERROR(MINUS(DIVIDE(VLOOKUP($B458,Data!$B$3:$EZ1530,29,FALSE),VLOOKUP($B458,Data!$B$3:$EZ1530,30,FALSE)),1),"")</f>
        <v>0.1401054339</v>
      </c>
      <c r="L458" s="48">
        <f>IFERROR(MINUS(DIVIDE(VLOOKUP($B458,Data!$B$3:$EZ1530,34,FALSE),VLOOKUP($B458,Data!$B$3:$EZ1530,35,FALSE)),1),"")</f>
        <v>0.03392715307</v>
      </c>
      <c r="M458" s="48">
        <f>IFERROR(MINUS(DIVIDE(VLOOKUP($B458,Data!$B$3:$EZ1530,39,FALSE),VLOOKUP($B458,Data!$B$3:$EZ1530,40,FALSE)),1),"")</f>
        <v>0.2332070272</v>
      </c>
      <c r="N458" s="48">
        <f>IFERROR(MINUS(DIVIDE(VLOOKUP($B458,Data!$B$3:$EZ1530,44,FALSE),VLOOKUP($B458,Data!$B$3:$EZ1530,45,FALSE)),1),"")</f>
        <v>-0.1667103882</v>
      </c>
      <c r="O458" s="50">
        <f>IFERROR(VLOOKUP($B458,Data!$B$3:$D1530,2,FALSE),"")</f>
        <v>5160000</v>
      </c>
      <c r="P458" s="50">
        <f>IFERROR(VLOOKUP($B458,Data!$B$3:$D1530,3,FALSE),"")</f>
        <v>4680000</v>
      </c>
      <c r="Q458" s="48">
        <f t="shared" si="2"/>
        <v>0.1025641026</v>
      </c>
      <c r="R458" s="48"/>
      <c r="S458" s="48"/>
      <c r="T458" s="48"/>
      <c r="U458" s="48"/>
      <c r="V458" s="48"/>
      <c r="W458" s="50"/>
      <c r="Z458" s="15"/>
      <c r="AA458" s="15"/>
    </row>
    <row r="459">
      <c r="A459" s="9">
        <f t="shared" si="1"/>
        <v>456</v>
      </c>
      <c r="B459" s="47" t="s">
        <v>592</v>
      </c>
      <c r="C459" s="48">
        <f>IFERROR(DIVIDE(VLOOKUP($B459,Data!$B$3:$AB$1535,9,FALSE),VLOOKUP($B459,Data!$B$3:$AB$1535,4,FALSE)),"")</f>
        <v>0.9033345822</v>
      </c>
      <c r="D459" s="48">
        <f>IFERROR(DIVIDE(VLOOKUP($B459,Data!$B$3:$AB$1535,24,FALSE),VLOOKUP($B459,Data!$B$3:$AB$1535,4,FALSE)),"")</f>
        <v>-1.51479955</v>
      </c>
      <c r="E459" s="48">
        <f>IFERROR(DIVIDE(VLOOKUP($B459,Data!$B$3:$EZ1530,29,FALSE),VLOOKUP($B459,Data!$B$3:$EZ1530,4,FALSE)),"")</f>
        <v>-1.41775946</v>
      </c>
      <c r="F459" s="48">
        <f>IFERROR(DIVIDE(VLOOKUP($B459,Data!$B$3:$EZ1530,34,FALSE),VLOOKUP($B459,Data!$B$3:$EZ1530,4,FALSE)),"")</f>
        <v>-1.512551517</v>
      </c>
      <c r="G459" s="48">
        <f>IFERROR(DIVIDE(VLOOKUP($B459,Data!$B$3:$EZ1530,39,FALSE),VLOOKUP($B459,Data!$B$3:$EZ1530,4,FALSE)),"")</f>
        <v>-1.41775946</v>
      </c>
      <c r="H459" s="48">
        <f>IFERROR(DIVIDE(VLOOKUP($B459,Data!$B$3:$EZ1530,44,FALSE),VLOOKUP($B459,Data!$B$3:$EZ1530,4,FALSE)),"")</f>
        <v>-1.185837392</v>
      </c>
      <c r="I459" s="48">
        <f>IFERROR(MINUS(DIVIDE(VLOOKUP($B459,Data!$B$3:$EZ1530,9,FALSE),VLOOKUP($B459,Data!$B$3:$EZ1530,10,FALSE)),1),"")</f>
        <v>-431.5357143</v>
      </c>
      <c r="J459" s="48">
        <f>IFERROR(MINUS(DIVIDE(VLOOKUP($B459,Data!$B$3:$EZ1530,24,FALSE),VLOOKUP($B459,Data!$B$3:$EZ1530,25,FALSE)),1),"")</f>
        <v>0.1678220682</v>
      </c>
      <c r="K459" s="48">
        <f>IFERROR(MINUS(DIVIDE(VLOOKUP($B459,Data!$B$3:$EZ1530,29,FALSE),VLOOKUP($B459,Data!$B$3:$EZ1530,30,FALSE)),1),"")</f>
        <v>-0.07095506997</v>
      </c>
      <c r="L459" s="48">
        <f>IFERROR(MINUS(DIVIDE(VLOOKUP($B459,Data!$B$3:$EZ1530,34,FALSE),VLOOKUP($B459,Data!$B$3:$EZ1530,35,FALSE)),1),"")</f>
        <v>0.07025450689</v>
      </c>
      <c r="M459" s="48">
        <f>IFERROR(MINUS(DIVIDE(VLOOKUP($B459,Data!$B$3:$EZ1530,39,FALSE),VLOOKUP($B459,Data!$B$3:$EZ1530,40,FALSE)),1),"")</f>
        <v>-0.1991534392</v>
      </c>
      <c r="N459" s="48">
        <f>IFERROR(MINUS(DIVIDE(VLOOKUP($B459,Data!$B$3:$EZ1530,44,FALSE),VLOOKUP($B459,Data!$B$3:$EZ1530,45,FALSE)),1),"")</f>
        <v>-0.04496077248</v>
      </c>
      <c r="O459" s="50" t="str">
        <f>IFERROR(VLOOKUP($B459,Data!$B$3:$D1530,2,FALSE),"")</f>
        <v/>
      </c>
      <c r="P459" s="50" t="str">
        <f>IFERROR(VLOOKUP($B459,Data!$B$3:$D1530,3,FALSE),"")</f>
        <v/>
      </c>
      <c r="Q459" s="48" t="str">
        <f t="shared" si="2"/>
        <v/>
      </c>
      <c r="R459" s="48"/>
      <c r="S459" s="48"/>
      <c r="T459" s="48"/>
      <c r="U459" s="48"/>
      <c r="V459" s="48"/>
      <c r="W459" s="50"/>
      <c r="Z459" s="11"/>
      <c r="AA459" s="11"/>
    </row>
    <row r="460">
      <c r="A460" s="9">
        <f t="shared" si="1"/>
        <v>457</v>
      </c>
      <c r="B460" s="47" t="s">
        <v>593</v>
      </c>
      <c r="C460" s="48" t="str">
        <f>IFERROR(DIVIDE(VLOOKUP($B460,Data!$B$3:$AB$1535,9,FALSE),VLOOKUP($B460,Data!$B$3:$AB$1535,4,FALSE)),"")</f>
        <v/>
      </c>
      <c r="D460" s="48" t="str">
        <f>IFERROR(DIVIDE(VLOOKUP($B460,Data!$B$3:$AB$1535,24,FALSE),VLOOKUP($B460,Data!$B$3:$AB$1535,4,FALSE)),"")</f>
        <v/>
      </c>
      <c r="E460" s="48" t="str">
        <f>IFERROR(DIVIDE(VLOOKUP($B460,Data!$B$3:$EZ1530,29,FALSE),VLOOKUP($B460,Data!$B$3:$EZ1530,4,FALSE)),"")</f>
        <v/>
      </c>
      <c r="F460" s="48" t="str">
        <f>IFERROR(DIVIDE(VLOOKUP($B460,Data!$B$3:$EZ1530,34,FALSE),VLOOKUP($B460,Data!$B$3:$EZ1530,4,FALSE)),"")</f>
        <v/>
      </c>
      <c r="G460" s="48" t="str">
        <f>IFERROR(DIVIDE(VLOOKUP($B460,Data!$B$3:$EZ1530,39,FALSE),VLOOKUP($B460,Data!$B$3:$EZ1530,4,FALSE)),"")</f>
        <v/>
      </c>
      <c r="H460" s="48" t="str">
        <f>IFERROR(DIVIDE(VLOOKUP($B460,Data!$B$3:$EZ1530,44,FALSE),VLOOKUP($B460,Data!$B$3:$EZ1530,4,FALSE)),"")</f>
        <v/>
      </c>
      <c r="I460" s="48">
        <f>IFERROR(MINUS(DIVIDE(VLOOKUP($B460,Data!$B$3:$EZ1530,9,FALSE),VLOOKUP($B460,Data!$B$3:$EZ1530,10,FALSE)),1),"")</f>
        <v>8</v>
      </c>
      <c r="J460" s="48" t="str">
        <f>IFERROR(MINUS(DIVIDE(VLOOKUP($B460,Data!$B$3:$EZ1530,24,FALSE),VLOOKUP($B460,Data!$B$3:$EZ1530,25,FALSE)),1),"")</f>
        <v/>
      </c>
      <c r="K460" s="48">
        <f>IFERROR(MINUS(DIVIDE(VLOOKUP($B460,Data!$B$3:$EZ1530,29,FALSE),VLOOKUP($B460,Data!$B$3:$EZ1530,30,FALSE)),1),"")</f>
        <v>0.3409047528</v>
      </c>
      <c r="L460" s="48">
        <f>IFERROR(MINUS(DIVIDE(VLOOKUP($B460,Data!$B$3:$EZ1530,34,FALSE),VLOOKUP($B460,Data!$B$3:$EZ1530,35,FALSE)),1),"")</f>
        <v>0.3418317317</v>
      </c>
      <c r="M460" s="48">
        <f>IFERROR(MINUS(DIVIDE(VLOOKUP($B460,Data!$B$3:$EZ1530,39,FALSE),VLOOKUP($B460,Data!$B$3:$EZ1530,40,FALSE)),1),"")</f>
        <v>0.3409047528</v>
      </c>
      <c r="N460" s="48">
        <f>IFERROR(MINUS(DIVIDE(VLOOKUP($B460,Data!$B$3:$EZ1530,44,FALSE),VLOOKUP($B460,Data!$B$3:$EZ1530,45,FALSE)),1),"")</f>
        <v>0.480665573</v>
      </c>
      <c r="O460" s="50">
        <f>IFERROR(VLOOKUP($B460,Data!$B$3:$D1530,2,FALSE),"")</f>
        <v>47670</v>
      </c>
      <c r="P460" s="50">
        <f>IFERROR(VLOOKUP($B460,Data!$B$3:$D1530,3,FALSE),"")</f>
        <v>24530</v>
      </c>
      <c r="Q460" s="48">
        <f t="shared" si="2"/>
        <v>0.9433346922</v>
      </c>
      <c r="R460" s="48"/>
      <c r="S460" s="48"/>
      <c r="T460" s="48"/>
      <c r="U460" s="48"/>
      <c r="V460" s="48"/>
      <c r="W460" s="50"/>
      <c r="Z460" s="11"/>
      <c r="AA460" s="11"/>
    </row>
    <row r="461">
      <c r="A461" s="9">
        <f t="shared" si="1"/>
        <v>458</v>
      </c>
      <c r="B461" s="47" t="s">
        <v>594</v>
      </c>
      <c r="C461" s="48">
        <f>IFERROR(DIVIDE(VLOOKUP($B461,Data!$B$3:$AB$1535,9,FALSE),VLOOKUP($B461,Data!$B$3:$AB$1535,4,FALSE)),"")</f>
        <v>0.7715633423</v>
      </c>
      <c r="D461" s="48">
        <f>IFERROR(DIVIDE(VLOOKUP($B461,Data!$B$3:$AB$1535,24,FALSE),VLOOKUP($B461,Data!$B$3:$AB$1535,4,FALSE)),"")</f>
        <v>0.1529649596</v>
      </c>
      <c r="E461" s="48">
        <f>IFERROR(DIVIDE(VLOOKUP($B461,Data!$B$3:$EZ1530,29,FALSE),VLOOKUP($B461,Data!$B$3:$EZ1530,4,FALSE)),"")</f>
        <v>0.1556603774</v>
      </c>
      <c r="F461" s="48">
        <f>IFERROR(DIVIDE(VLOOKUP($B461,Data!$B$3:$EZ1530,34,FALSE),VLOOKUP($B461,Data!$B$3:$EZ1530,4,FALSE)),"")</f>
        <v>0.2068733154</v>
      </c>
      <c r="G461" s="48">
        <f>IFERROR(DIVIDE(VLOOKUP($B461,Data!$B$3:$EZ1530,39,FALSE),VLOOKUP($B461,Data!$B$3:$EZ1530,4,FALSE)),"")</f>
        <v>0.1206199461</v>
      </c>
      <c r="H461" s="48">
        <f>IFERROR(DIVIDE(VLOOKUP($B461,Data!$B$3:$EZ1530,44,FALSE),VLOOKUP($B461,Data!$B$3:$EZ1530,4,FALSE)),"")</f>
        <v>0.1698113208</v>
      </c>
      <c r="I461" s="48">
        <f>IFERROR(MINUS(DIVIDE(VLOOKUP($B461,Data!$B$3:$EZ1530,9,FALSE),VLOOKUP($B461,Data!$B$3:$EZ1530,10,FALSE)),1),"")</f>
        <v>0.05432780847</v>
      </c>
      <c r="J461" s="48">
        <f>IFERROR(MINUS(DIVIDE(VLOOKUP($B461,Data!$B$3:$EZ1530,24,FALSE),VLOOKUP($B461,Data!$B$3:$EZ1530,25,FALSE)),1),"")</f>
        <v>-9.631178707</v>
      </c>
      <c r="K461" s="48">
        <f>IFERROR(MINUS(DIVIDE(VLOOKUP($B461,Data!$B$3:$EZ1530,29,FALSE),VLOOKUP($B461,Data!$B$3:$EZ1530,30,FALSE)),1),"")</f>
        <v>0.1666666667</v>
      </c>
      <c r="L461" s="48">
        <f>IFERROR(MINUS(DIVIDE(VLOOKUP($B461,Data!$B$3:$EZ1530,34,FALSE),VLOOKUP($B461,Data!$B$3:$EZ1530,35,FALSE)),1),"")</f>
        <v>0.03716216216</v>
      </c>
      <c r="M461" s="48">
        <f>IFERROR(MINUS(DIVIDE(VLOOKUP($B461,Data!$B$3:$EZ1530,39,FALSE),VLOOKUP($B461,Data!$B$3:$EZ1530,40,FALSE)),1),"")</f>
        <v>0.6126126126</v>
      </c>
      <c r="N461" s="48">
        <f>IFERROR(MINUS(DIVIDE(VLOOKUP($B461,Data!$B$3:$EZ1530,44,FALSE),VLOOKUP($B461,Data!$B$3:$EZ1530,45,FALSE)),1),"")</f>
        <v>-0.015625</v>
      </c>
      <c r="O461" s="50">
        <f>IFERROR(VLOOKUP($B461,Data!$B$3:$D1530,2,FALSE),"")</f>
        <v>15260000</v>
      </c>
      <c r="P461" s="50">
        <f>IFERROR(VLOOKUP($B461,Data!$B$3:$D1530,3,FALSE),"")</f>
        <v>14310000</v>
      </c>
      <c r="Q461" s="48">
        <f t="shared" si="2"/>
        <v>0.06638714186</v>
      </c>
      <c r="R461" s="48"/>
      <c r="S461" s="48"/>
      <c r="T461" s="48"/>
      <c r="U461" s="48"/>
      <c r="V461" s="48"/>
      <c r="W461" s="50"/>
      <c r="Z461" s="12"/>
      <c r="AA461" s="12"/>
    </row>
    <row r="462">
      <c r="A462" s="9">
        <f t="shared" si="1"/>
        <v>459</v>
      </c>
      <c r="B462" s="47" t="s">
        <v>595</v>
      </c>
      <c r="C462" s="48">
        <f>IFERROR(DIVIDE(VLOOKUP($B462,Data!$B$3:$AB$1535,9,FALSE),VLOOKUP($B462,Data!$B$3:$AB$1535,4,FALSE)),"")</f>
        <v>0.5721053562</v>
      </c>
      <c r="D462" s="48">
        <f>IFERROR(DIVIDE(VLOOKUP($B462,Data!$B$3:$AB$1535,24,FALSE),VLOOKUP($B462,Data!$B$3:$AB$1535,4,FALSE)),"")</f>
        <v>0.1058865123</v>
      </c>
      <c r="E462" s="48">
        <f>IFERROR(DIVIDE(VLOOKUP($B462,Data!$B$3:$EZ1530,29,FALSE),VLOOKUP($B462,Data!$B$3:$EZ1530,4,FALSE)),"")</f>
        <v>0.08509810854</v>
      </c>
      <c r="F462" s="48">
        <f>IFERROR(DIVIDE(VLOOKUP($B462,Data!$B$3:$EZ1530,34,FALSE),VLOOKUP($B462,Data!$B$3:$EZ1530,4,FALSE)),"")</f>
        <v>0.1529786106</v>
      </c>
      <c r="G462" s="48">
        <f>IFERROR(DIVIDE(VLOOKUP($B462,Data!$B$3:$EZ1530,39,FALSE),VLOOKUP($B462,Data!$B$3:$EZ1530,4,FALSE)),"")</f>
        <v>0.06321371752</v>
      </c>
      <c r="H462" s="48">
        <f>IFERROR(DIVIDE(VLOOKUP($B462,Data!$B$3:$EZ1530,44,FALSE),VLOOKUP($B462,Data!$B$3:$EZ1530,4,FALSE)),"")</f>
        <v>0.1566554711</v>
      </c>
      <c r="I462" s="48">
        <f>IFERROR(MINUS(DIVIDE(VLOOKUP($B462,Data!$B$3:$EZ1530,9,FALSE),VLOOKUP($B462,Data!$B$3:$EZ1530,10,FALSE)),1),"")</f>
        <v>-0.005653189136</v>
      </c>
      <c r="J462" s="48" t="str">
        <f>IFERROR(MINUS(DIVIDE(VLOOKUP($B462,Data!$B$3:$EZ1530,24,FALSE),VLOOKUP($B462,Data!$B$3:$EZ1530,25,FALSE)),1),"")</f>
        <v/>
      </c>
      <c r="K462" s="48">
        <f>IFERROR(MINUS(DIVIDE(VLOOKUP($B462,Data!$B$3:$EZ1530,29,FALSE),VLOOKUP($B462,Data!$B$3:$EZ1530,30,FALSE)),1),"")</f>
        <v>0.3402004454</v>
      </c>
      <c r="L462" s="48">
        <f>IFERROR(MINUS(DIVIDE(VLOOKUP($B462,Data!$B$3:$EZ1530,34,FALSE),VLOOKUP($B462,Data!$B$3:$EZ1530,35,FALSE)),1),"")</f>
        <v>-0.01703771013</v>
      </c>
      <c r="M462" s="48">
        <f>IFERROR(MINUS(DIVIDE(VLOOKUP($B462,Data!$B$3:$EZ1530,39,FALSE),VLOOKUP($B462,Data!$B$3:$EZ1530,40,FALSE)),1),"")</f>
        <v>0.1513200258</v>
      </c>
      <c r="N462" s="48">
        <f>IFERROR(MINUS(DIVIDE(VLOOKUP($B462,Data!$B$3:$EZ1530,44,FALSE),VLOOKUP($B462,Data!$B$3:$EZ1530,45,FALSE)),1),"")</f>
        <v>-0.2027707809</v>
      </c>
      <c r="O462" s="50">
        <f>IFERROR(VLOOKUP($B462,Data!$B$3:$D1530,2,FALSE),"")</f>
        <v>316090</v>
      </c>
      <c r="P462" s="50">
        <f>IFERROR(VLOOKUP($B462,Data!$B$3:$D1530,3,FALSE),"")</f>
        <v>295560</v>
      </c>
      <c r="Q462" s="48">
        <f t="shared" si="2"/>
        <v>0.06946136148</v>
      </c>
      <c r="R462" s="48"/>
      <c r="S462" s="48"/>
      <c r="T462" s="48"/>
      <c r="U462" s="48"/>
      <c r="V462" s="48"/>
      <c r="W462" s="50"/>
      <c r="Z462" s="11"/>
      <c r="AA462" s="11"/>
    </row>
    <row r="463">
      <c r="A463" s="9">
        <f t="shared" si="1"/>
        <v>460</v>
      </c>
      <c r="B463" s="47" t="s">
        <v>596</v>
      </c>
      <c r="C463" s="48" t="str">
        <f>IFERROR(DIVIDE(VLOOKUP($B463,Data!$B$3:$AB$1535,9,FALSE),VLOOKUP($B463,Data!$B$3:$AB$1535,4,FALSE)),"")</f>
        <v/>
      </c>
      <c r="D463" s="48" t="str">
        <f>IFERROR(DIVIDE(VLOOKUP($B463,Data!$B$3:$AB$1535,24,FALSE),VLOOKUP($B463,Data!$B$3:$AB$1535,4,FALSE)),"")</f>
        <v/>
      </c>
      <c r="E463" s="48" t="str">
        <f>IFERROR(DIVIDE(VLOOKUP($B463,Data!$B$3:$EZ1530,29,FALSE),VLOOKUP($B463,Data!$B$3:$EZ1530,4,FALSE)),"")</f>
        <v/>
      </c>
      <c r="F463" s="48" t="str">
        <f>IFERROR(DIVIDE(VLOOKUP($B463,Data!$B$3:$EZ1530,34,FALSE),VLOOKUP($B463,Data!$B$3:$EZ1530,4,FALSE)),"")</f>
        <v/>
      </c>
      <c r="G463" s="48" t="str">
        <f>IFERROR(DIVIDE(VLOOKUP($B463,Data!$B$3:$EZ1530,39,FALSE),VLOOKUP($B463,Data!$B$3:$EZ1530,4,FALSE)),"")</f>
        <v/>
      </c>
      <c r="H463" s="48" t="str">
        <f>IFERROR(DIVIDE(VLOOKUP($B463,Data!$B$3:$EZ1530,44,FALSE),VLOOKUP($B463,Data!$B$3:$EZ1530,4,FALSE)),"")</f>
        <v/>
      </c>
      <c r="I463" s="48">
        <f>IFERROR(MINUS(DIVIDE(VLOOKUP($B463,Data!$B$3:$EZ1530,9,FALSE),VLOOKUP($B463,Data!$B$3:$EZ1530,10,FALSE)),1),"")</f>
        <v>1.587962963</v>
      </c>
      <c r="J463" s="48">
        <f>IFERROR(MINUS(DIVIDE(VLOOKUP($B463,Data!$B$3:$EZ1530,24,FALSE),VLOOKUP($B463,Data!$B$3:$EZ1530,25,FALSE)),1),"")</f>
        <v>-1</v>
      </c>
      <c r="K463" s="48">
        <f>IFERROR(MINUS(DIVIDE(VLOOKUP($B463,Data!$B$3:$EZ1530,29,FALSE),VLOOKUP($B463,Data!$B$3:$EZ1530,30,FALSE)),1),"")</f>
        <v>0.08096047599</v>
      </c>
      <c r="L463" s="48">
        <f>IFERROR(MINUS(DIVIDE(VLOOKUP($B463,Data!$B$3:$EZ1530,34,FALSE),VLOOKUP($B463,Data!$B$3:$EZ1530,35,FALSE)),1),"")</f>
        <v>0.06928999145</v>
      </c>
      <c r="M463" s="48">
        <f>IFERROR(MINUS(DIVIDE(VLOOKUP($B463,Data!$B$3:$EZ1530,39,FALSE),VLOOKUP($B463,Data!$B$3:$EZ1530,40,FALSE)),1),"")</f>
        <v>0.07798262344</v>
      </c>
      <c r="N463" s="48">
        <f>IFERROR(MINUS(DIVIDE(VLOOKUP($B463,Data!$B$3:$EZ1530,44,FALSE),VLOOKUP($B463,Data!$B$3:$EZ1530,45,FALSE)),1),"")</f>
        <v>0.2406758049</v>
      </c>
      <c r="O463" s="50" t="str">
        <f>IFERROR(VLOOKUP($B463,Data!$B$3:$D1530,2,FALSE),"")</f>
        <v/>
      </c>
      <c r="P463" s="50" t="str">
        <f>IFERROR(VLOOKUP($B463,Data!$B$3:$D1530,3,FALSE),"")</f>
        <v/>
      </c>
      <c r="Q463" s="48" t="str">
        <f t="shared" si="2"/>
        <v/>
      </c>
      <c r="R463" s="48"/>
      <c r="S463" s="48"/>
      <c r="T463" s="48"/>
      <c r="U463" s="48"/>
      <c r="V463" s="48"/>
      <c r="W463" s="50"/>
      <c r="Z463" s="15"/>
      <c r="AA463" s="15"/>
    </row>
    <row r="464">
      <c r="A464" s="9">
        <f t="shared" si="1"/>
        <v>461</v>
      </c>
      <c r="B464" s="47" t="s">
        <v>597</v>
      </c>
      <c r="C464" s="48">
        <f>IFERROR(DIVIDE(VLOOKUP($B464,Data!$B$3:$AB$1535,9,FALSE),VLOOKUP($B464,Data!$B$3:$AB$1535,4,FALSE)),"")</f>
        <v>0.4508235294</v>
      </c>
      <c r="D464" s="48">
        <f>IFERROR(DIVIDE(VLOOKUP($B464,Data!$B$3:$AB$1535,24,FALSE),VLOOKUP($B464,Data!$B$3:$AB$1535,4,FALSE)),"")</f>
        <v>0.08144117647</v>
      </c>
      <c r="E464" s="48">
        <f>IFERROR(DIVIDE(VLOOKUP($B464,Data!$B$3:$EZ1530,29,FALSE),VLOOKUP($B464,Data!$B$3:$EZ1530,4,FALSE)),"")</f>
        <v>0.05633529412</v>
      </c>
      <c r="F464" s="48">
        <f>IFERROR(DIVIDE(VLOOKUP($B464,Data!$B$3:$EZ1530,34,FALSE),VLOOKUP($B464,Data!$B$3:$EZ1530,4,FALSE)),"")</f>
        <v>0.1247411765</v>
      </c>
      <c r="G464" s="48">
        <f>IFERROR(DIVIDE(VLOOKUP($B464,Data!$B$3:$EZ1530,39,FALSE),VLOOKUP($B464,Data!$B$3:$EZ1530,4,FALSE)),"")</f>
        <v>0.04671176471</v>
      </c>
      <c r="H464" s="48">
        <f>IFERROR(DIVIDE(VLOOKUP($B464,Data!$B$3:$EZ1530,44,FALSE),VLOOKUP($B464,Data!$B$3:$EZ1530,4,FALSE)),"")</f>
        <v>0.05091176471</v>
      </c>
      <c r="I464" s="48">
        <f>IFERROR(MINUS(DIVIDE(VLOOKUP($B464,Data!$B$3:$EZ1530,9,FALSE),VLOOKUP($B464,Data!$B$3:$EZ1530,10,FALSE)),1),"")</f>
        <v>0.3256533998</v>
      </c>
      <c r="J464" s="48">
        <f>IFERROR(MINUS(DIVIDE(VLOOKUP($B464,Data!$B$3:$EZ1530,24,FALSE),VLOOKUP($B464,Data!$B$3:$EZ1530,25,FALSE)),1),"")</f>
        <v>0.001156988936</v>
      </c>
      <c r="K464" s="48">
        <f>IFERROR(MINUS(DIVIDE(VLOOKUP($B464,Data!$B$3:$EZ1530,29,FALSE),VLOOKUP($B464,Data!$B$3:$EZ1530,30,FALSE)),1),"")</f>
        <v>-0.2704349813</v>
      </c>
      <c r="L464" s="48">
        <f>IFERROR(MINUS(DIVIDE(VLOOKUP($B464,Data!$B$3:$EZ1530,34,FALSE),VLOOKUP($B464,Data!$B$3:$EZ1530,35,FALSE)),1),"")</f>
        <v>0.3967856672</v>
      </c>
      <c r="M464" s="48">
        <f>IFERROR(MINUS(DIVIDE(VLOOKUP($B464,Data!$B$3:$EZ1530,39,FALSE),VLOOKUP($B464,Data!$B$3:$EZ1530,40,FALSE)),1),"")</f>
        <v>-0.2418369295</v>
      </c>
      <c r="N464" s="48">
        <f>IFERROR(MINUS(DIVIDE(VLOOKUP($B464,Data!$B$3:$EZ1530,44,FALSE),VLOOKUP($B464,Data!$B$3:$EZ1530,45,FALSE)),1),"")</f>
        <v>-0.06209362809</v>
      </c>
      <c r="O464" s="50">
        <f>IFERROR(VLOOKUP($B464,Data!$B$3:$D1530,2,FALSE),"")</f>
        <v>1670000</v>
      </c>
      <c r="P464" s="50">
        <f>IFERROR(VLOOKUP($B464,Data!$B$3:$D1530,3,FALSE),"")</f>
        <v>1470000</v>
      </c>
      <c r="Q464" s="48">
        <f t="shared" si="2"/>
        <v>0.1360544218</v>
      </c>
      <c r="R464" s="48"/>
      <c r="S464" s="48"/>
      <c r="T464" s="48"/>
      <c r="U464" s="48"/>
      <c r="V464" s="48"/>
      <c r="W464" s="50"/>
      <c r="Z464" s="15"/>
      <c r="AA464" s="15"/>
    </row>
    <row r="465">
      <c r="A465" s="9">
        <f t="shared" si="1"/>
        <v>462</v>
      </c>
      <c r="B465" s="47" t="s">
        <v>598</v>
      </c>
      <c r="C465" s="48">
        <f>IFERROR(DIVIDE(VLOOKUP($B465,Data!$B$3:$AB$1535,9,FALSE),VLOOKUP($B465,Data!$B$3:$AB$1535,4,FALSE)),"")</f>
        <v>0.1483097056</v>
      </c>
      <c r="D465" s="48">
        <f>IFERROR(DIVIDE(VLOOKUP($B465,Data!$B$3:$AB$1535,24,FALSE),VLOOKUP($B465,Data!$B$3:$AB$1535,4,FALSE)),"")</f>
        <v>0.0502606325</v>
      </c>
      <c r="E465" s="48">
        <f>IFERROR(DIVIDE(VLOOKUP($B465,Data!$B$3:$EZ1530,29,FALSE),VLOOKUP($B465,Data!$B$3:$EZ1530,4,FALSE)),"")</f>
        <v>0.04917011996</v>
      </c>
      <c r="F465" s="48">
        <f>IFERROR(DIVIDE(VLOOKUP($B465,Data!$B$3:$EZ1530,34,FALSE),VLOOKUP($B465,Data!$B$3:$EZ1530,4,FALSE)),"")</f>
        <v>0.06046892039</v>
      </c>
      <c r="G465" s="48">
        <f>IFERROR(DIVIDE(VLOOKUP($B465,Data!$B$3:$EZ1530,39,FALSE),VLOOKUP($B465,Data!$B$3:$EZ1530,4,FALSE)),"")</f>
        <v>0.03545692475</v>
      </c>
      <c r="H465" s="48">
        <f>IFERROR(DIVIDE(VLOOKUP($B465,Data!$B$3:$EZ1530,44,FALSE),VLOOKUP($B465,Data!$B$3:$EZ1530,4,FALSE)),"")</f>
        <v>0.03888113413</v>
      </c>
      <c r="I465" s="48">
        <f>IFERROR(MINUS(DIVIDE(VLOOKUP($B465,Data!$B$3:$EZ1530,9,FALSE),VLOOKUP($B465,Data!$B$3:$EZ1530,10,FALSE)),1),"")</f>
        <v>0.1239669421</v>
      </c>
      <c r="J465" s="48">
        <f>IFERROR(MINUS(DIVIDE(VLOOKUP($B465,Data!$B$3:$EZ1530,24,FALSE),VLOOKUP($B465,Data!$B$3:$EZ1530,25,FALSE)),1),"")</f>
        <v>0.1434206609</v>
      </c>
      <c r="K465" s="48">
        <f>IFERROR(MINUS(DIVIDE(VLOOKUP($B465,Data!$B$3:$EZ1530,29,FALSE),VLOOKUP($B465,Data!$B$3:$EZ1530,30,FALSE)),1),"")</f>
        <v>0.1414069817</v>
      </c>
      <c r="L465" s="48">
        <f>IFERROR(MINUS(DIVIDE(VLOOKUP($B465,Data!$B$3:$EZ1530,34,FALSE),VLOOKUP($B465,Data!$B$3:$EZ1530,35,FALSE)),1),"")</f>
        <v>0.1381129287</v>
      </c>
      <c r="M465" s="48">
        <f>IFERROR(MINUS(DIVIDE(VLOOKUP($B465,Data!$B$3:$EZ1530,39,FALSE),VLOOKUP($B465,Data!$B$3:$EZ1530,40,FALSE)),1),"")</f>
        <v>0.1373303484</v>
      </c>
      <c r="N465" s="48">
        <f>IFERROR(MINUS(DIVIDE(VLOOKUP($B465,Data!$B$3:$EZ1530,44,FALSE),VLOOKUP($B465,Data!$B$3:$EZ1530,45,FALSE)),1),"")</f>
        <v>0.3151604574</v>
      </c>
      <c r="O465" s="50">
        <f>IFERROR(VLOOKUP($B465,Data!$B$3:$D1530,2,FALSE),"")</f>
        <v>8760000</v>
      </c>
      <c r="P465" s="50">
        <f>IFERROR(VLOOKUP($B465,Data!$B$3:$D1530,3,FALSE),"")</f>
        <v>8740000</v>
      </c>
      <c r="Q465" s="48">
        <f t="shared" si="2"/>
        <v>0.002288329519</v>
      </c>
      <c r="R465" s="48"/>
      <c r="S465" s="48"/>
      <c r="T465" s="48"/>
      <c r="U465" s="48"/>
      <c r="V465" s="48"/>
      <c r="W465" s="50"/>
      <c r="Z465" s="12"/>
      <c r="AA465" s="12"/>
    </row>
    <row r="466">
      <c r="A466" s="9">
        <f t="shared" si="1"/>
        <v>463</v>
      </c>
      <c r="B466" s="47" t="s">
        <v>599</v>
      </c>
      <c r="C466" s="48">
        <f>IFERROR(DIVIDE(VLOOKUP($B466,Data!$B$3:$AB$1535,9,FALSE),VLOOKUP($B466,Data!$B$3:$AB$1535,4,FALSE)),"")</f>
        <v>0.1729116535</v>
      </c>
      <c r="D466" s="48">
        <f>IFERROR(DIVIDE(VLOOKUP($B466,Data!$B$3:$AB$1535,24,FALSE),VLOOKUP($B466,Data!$B$3:$AB$1535,4,FALSE)),"")</f>
        <v>-0.4174401283</v>
      </c>
      <c r="E466" s="48">
        <f>IFERROR(DIVIDE(VLOOKUP($B466,Data!$B$3:$EZ1530,29,FALSE),VLOOKUP($B466,Data!$B$3:$EZ1530,4,FALSE)),"")</f>
        <v>-0.4117107826</v>
      </c>
      <c r="F466" s="48">
        <f>IFERROR(DIVIDE(VLOOKUP($B466,Data!$B$3:$EZ1530,34,FALSE),VLOOKUP($B466,Data!$B$3:$EZ1530,4,FALSE)),"")</f>
        <v>-0.2117566174</v>
      </c>
      <c r="G466" s="48">
        <f>IFERROR(DIVIDE(VLOOKUP($B466,Data!$B$3:$EZ1530,39,FALSE),VLOOKUP($B466,Data!$B$3:$EZ1530,4,FALSE)),"")</f>
        <v>-0.4122837172</v>
      </c>
      <c r="H466" s="48">
        <f>IFERROR(DIVIDE(VLOOKUP($B466,Data!$B$3:$EZ1530,44,FALSE),VLOOKUP($B466,Data!$B$3:$EZ1530,4,FALSE)),"")</f>
        <v>-0.173599175</v>
      </c>
      <c r="I466" s="48">
        <f>IFERROR(MINUS(DIVIDE(VLOOKUP($B466,Data!$B$3:$EZ1530,9,FALSE),VLOOKUP($B466,Data!$B$3:$EZ1530,10,FALSE)),1),"")</f>
        <v>-0.1838831801</v>
      </c>
      <c r="J466" s="48" t="str">
        <f>IFERROR(MINUS(DIVIDE(VLOOKUP($B466,Data!$B$3:$EZ1530,24,FALSE),VLOOKUP($B466,Data!$B$3:$EZ1530,25,FALSE)),1),"")</f>
        <v/>
      </c>
      <c r="K466" s="48">
        <f>IFERROR(MINUS(DIVIDE(VLOOKUP($B466,Data!$B$3:$EZ1530,29,FALSE),VLOOKUP($B466,Data!$B$3:$EZ1530,30,FALSE)),1),"")</f>
        <v>1.00726257</v>
      </c>
      <c r="L466" s="48">
        <f>IFERROR(MINUS(DIVIDE(VLOOKUP($B466,Data!$B$3:$EZ1530,34,FALSE),VLOOKUP($B466,Data!$B$3:$EZ1530,35,FALSE)),1),"")</f>
        <v>0.4760383387</v>
      </c>
      <c r="M466" s="48">
        <f>IFERROR(MINUS(DIVIDE(VLOOKUP($B466,Data!$B$3:$EZ1530,39,FALSE),VLOOKUP($B466,Data!$B$3:$EZ1530,40,FALSE)),1),"")</f>
        <v>1.061891117</v>
      </c>
      <c r="N466" s="48">
        <f>IFERROR(MINUS(DIVIDE(VLOOKUP($B466,Data!$B$3:$EZ1530,44,FALSE),VLOOKUP($B466,Data!$B$3:$EZ1530,45,FALSE)),1),"")</f>
        <v>-11.30612245</v>
      </c>
      <c r="O466" s="50">
        <f>IFERROR(VLOOKUP($B466,Data!$B$3:$D1530,2,FALSE),"")</f>
        <v>119470</v>
      </c>
      <c r="P466" s="50">
        <f>IFERROR(VLOOKUP($B466,Data!$B$3:$D1530,3,FALSE),"")</f>
        <v>103150</v>
      </c>
      <c r="Q466" s="48">
        <f t="shared" si="2"/>
        <v>0.15821619</v>
      </c>
      <c r="R466" s="48"/>
      <c r="S466" s="48"/>
      <c r="T466" s="48"/>
      <c r="U466" s="48"/>
      <c r="V466" s="48"/>
      <c r="W466" s="50"/>
      <c r="Z466" s="15"/>
      <c r="AA466" s="15"/>
    </row>
    <row r="467">
      <c r="A467" s="9">
        <f t="shared" si="1"/>
        <v>464</v>
      </c>
      <c r="B467" s="47" t="s">
        <v>600</v>
      </c>
      <c r="C467" s="48">
        <f>IFERROR(DIVIDE(VLOOKUP($B467,Data!$B$3:$AB$1535,9,FALSE),VLOOKUP($B467,Data!$B$3:$AB$1535,4,FALSE)),"")</f>
        <v>0.2432432432</v>
      </c>
      <c r="D467" s="48">
        <f>IFERROR(DIVIDE(VLOOKUP($B467,Data!$B$3:$AB$1535,24,FALSE),VLOOKUP($B467,Data!$B$3:$AB$1535,4,FALSE)),"")</f>
        <v>0.1297297297</v>
      </c>
      <c r="E467" s="48">
        <f>IFERROR(DIVIDE(VLOOKUP($B467,Data!$B$3:$EZ1530,29,FALSE),VLOOKUP($B467,Data!$B$3:$EZ1530,4,FALSE)),"")</f>
        <v>0.09751351351</v>
      </c>
      <c r="F467" s="48">
        <f>IFERROR(DIVIDE(VLOOKUP($B467,Data!$B$3:$EZ1530,34,FALSE),VLOOKUP($B467,Data!$B$3:$EZ1530,4,FALSE)),"")</f>
        <v>0.2086486486</v>
      </c>
      <c r="G467" s="48">
        <f>IFERROR(DIVIDE(VLOOKUP($B467,Data!$B$3:$EZ1530,39,FALSE),VLOOKUP($B467,Data!$B$3:$EZ1530,4,FALSE)),"")</f>
        <v>0.08205405405</v>
      </c>
      <c r="H467" s="48">
        <f>IFERROR(DIVIDE(VLOOKUP($B467,Data!$B$3:$EZ1530,44,FALSE),VLOOKUP($B467,Data!$B$3:$EZ1530,4,FALSE)),"")</f>
        <v>0.1621621622</v>
      </c>
      <c r="I467" s="48">
        <f>IFERROR(MINUS(DIVIDE(VLOOKUP($B467,Data!$B$3:$EZ1530,9,FALSE),VLOOKUP($B467,Data!$B$3:$EZ1530,10,FALSE)),1),"")</f>
        <v>-0.07407407407</v>
      </c>
      <c r="J467" s="48">
        <f>IFERROR(MINUS(DIVIDE(VLOOKUP($B467,Data!$B$3:$EZ1530,24,FALSE),VLOOKUP($B467,Data!$B$3:$EZ1530,25,FALSE)),1),"")</f>
        <v>-0.1946308725</v>
      </c>
      <c r="K467" s="48">
        <f>IFERROR(MINUS(DIVIDE(VLOOKUP($B467,Data!$B$3:$EZ1530,29,FALSE),VLOOKUP($B467,Data!$B$3:$EZ1530,30,FALSE)),1),"")</f>
        <v>-0.3114503817</v>
      </c>
      <c r="L467" s="48">
        <f>IFERROR(MINUS(DIVIDE(VLOOKUP($B467,Data!$B$3:$EZ1530,34,FALSE),VLOOKUP($B467,Data!$B$3:$EZ1530,35,FALSE)),1),"")</f>
        <v>-0.06763285024</v>
      </c>
      <c r="M467" s="48">
        <f>IFERROR(MINUS(DIVIDE(VLOOKUP($B467,Data!$B$3:$EZ1530,39,FALSE),VLOOKUP($B467,Data!$B$3:$EZ1530,40,FALSE)),1),"")</f>
        <v>-0.2972222222</v>
      </c>
      <c r="N467" s="48">
        <f>IFERROR(MINUS(DIVIDE(VLOOKUP($B467,Data!$B$3:$EZ1530,44,FALSE),VLOOKUP($B467,Data!$B$3:$EZ1530,45,FALSE)),1),"")</f>
        <v>-0.02597402597</v>
      </c>
      <c r="O467" s="50">
        <f>IFERROR(VLOOKUP($B467,Data!$B$3:$D1530,2,FALSE),"")</f>
        <v>8720000</v>
      </c>
      <c r="P467" s="50">
        <f>IFERROR(VLOOKUP($B467,Data!$B$3:$D1530,3,FALSE),"")</f>
        <v>8180000</v>
      </c>
      <c r="Q467" s="48">
        <f t="shared" si="2"/>
        <v>0.06601466993</v>
      </c>
      <c r="R467" s="48"/>
      <c r="S467" s="48"/>
      <c r="T467" s="48"/>
      <c r="U467" s="48"/>
      <c r="V467" s="48"/>
      <c r="W467" s="50"/>
      <c r="Z467" s="11"/>
      <c r="AA467" s="11"/>
    </row>
    <row r="468">
      <c r="A468" s="9">
        <f t="shared" si="1"/>
        <v>465</v>
      </c>
      <c r="B468" s="47" t="s">
        <v>601</v>
      </c>
      <c r="C468" s="48">
        <f>IFERROR(DIVIDE(VLOOKUP($B468,Data!$B$3:$AB$1535,9,FALSE),VLOOKUP($B468,Data!$B$3:$AB$1535,4,FALSE)),"")</f>
        <v>0.4131736527</v>
      </c>
      <c r="D468" s="48">
        <f>IFERROR(DIVIDE(VLOOKUP($B468,Data!$B$3:$AB$1535,24,FALSE),VLOOKUP($B468,Data!$B$3:$AB$1535,4,FALSE)),"")</f>
        <v>0.1682090365</v>
      </c>
      <c r="E468" s="48">
        <f>IFERROR(DIVIDE(VLOOKUP($B468,Data!$B$3:$EZ1530,29,FALSE),VLOOKUP($B468,Data!$B$3:$EZ1530,4,FALSE)),"")</f>
        <v>0.1556886228</v>
      </c>
      <c r="F468" s="48">
        <f>IFERROR(DIVIDE(VLOOKUP($B468,Data!$B$3:$EZ1530,34,FALSE),VLOOKUP($B468,Data!$B$3:$EZ1530,4,FALSE)),"")</f>
        <v>0.2150244965</v>
      </c>
      <c r="G468" s="48">
        <f>IFERROR(DIVIDE(VLOOKUP($B468,Data!$B$3:$EZ1530,39,FALSE),VLOOKUP($B468,Data!$B$3:$EZ1530,4,FALSE)),"")</f>
        <v>0.125748503</v>
      </c>
      <c r="H468" s="48">
        <f>IFERROR(DIVIDE(VLOOKUP($B468,Data!$B$3:$EZ1530,44,FALSE),VLOOKUP($B468,Data!$B$3:$EZ1530,4,FALSE)),"")</f>
        <v>0.16385411</v>
      </c>
      <c r="I468" s="48">
        <f>IFERROR(MINUS(DIVIDE(VLOOKUP($B468,Data!$B$3:$EZ1530,9,FALSE),VLOOKUP($B468,Data!$B$3:$EZ1530,10,FALSE)),1),"")</f>
        <v>0.05270457698</v>
      </c>
      <c r="J468" s="48">
        <f>IFERROR(MINUS(DIVIDE(VLOOKUP($B468,Data!$B$3:$EZ1530,24,FALSE),VLOOKUP($B468,Data!$B$3:$EZ1530,25,FALSE)),1),"")</f>
        <v>-47.11940299</v>
      </c>
      <c r="K468" s="48">
        <f>IFERROR(MINUS(DIVIDE(VLOOKUP($B468,Data!$B$3:$EZ1530,29,FALSE),VLOOKUP($B468,Data!$B$3:$EZ1530,30,FALSE)),1),"")</f>
        <v>0.07116104869</v>
      </c>
      <c r="L468" s="48">
        <f>IFERROR(MINUS(DIVIDE(VLOOKUP($B468,Data!$B$3:$EZ1530,34,FALSE),VLOOKUP($B468,Data!$B$3:$EZ1530,35,FALSE)),1),"")</f>
        <v>0.06756756757</v>
      </c>
      <c r="M468" s="48">
        <f>IFERROR(MINUS(DIVIDE(VLOOKUP($B468,Data!$B$3:$EZ1530,39,FALSE),VLOOKUP($B468,Data!$B$3:$EZ1530,40,FALSE)),1),"")</f>
        <v>0.05</v>
      </c>
      <c r="N468" s="48">
        <f>IFERROR(MINUS(DIVIDE(VLOOKUP($B468,Data!$B$3:$EZ1530,44,FALSE),VLOOKUP($B468,Data!$B$3:$EZ1530,45,FALSE)),1),"")</f>
        <v>0.04152249135</v>
      </c>
      <c r="O468" s="50">
        <f>IFERROR(VLOOKUP($B468,Data!$B$3:$D1530,2,FALSE),"")</f>
        <v>16870000</v>
      </c>
      <c r="P468" s="50">
        <f>IFERROR(VLOOKUP($B468,Data!$B$3:$D1530,3,FALSE),"")</f>
        <v>16660000</v>
      </c>
      <c r="Q468" s="48">
        <f t="shared" si="2"/>
        <v>0.01260504202</v>
      </c>
      <c r="R468" s="48"/>
      <c r="S468" s="48"/>
      <c r="T468" s="48"/>
      <c r="U468" s="48"/>
      <c r="V468" s="48"/>
      <c r="W468" s="50"/>
      <c r="Z468" s="15"/>
      <c r="AA468" s="15"/>
    </row>
    <row r="469">
      <c r="A469" s="9">
        <f t="shared" si="1"/>
        <v>466</v>
      </c>
      <c r="B469" s="47" t="s">
        <v>602</v>
      </c>
      <c r="C469" s="48">
        <f>IFERROR(DIVIDE(VLOOKUP($B469,Data!$B$3:$AB$1535,9,FALSE),VLOOKUP($B469,Data!$B$3:$AB$1535,4,FALSE)),"")</f>
        <v>0.4639175258</v>
      </c>
      <c r="D469" s="48">
        <f>IFERROR(DIVIDE(VLOOKUP($B469,Data!$B$3:$AB$1535,24,FALSE),VLOOKUP($B469,Data!$B$3:$AB$1535,4,FALSE)),"")</f>
        <v>0.07234020619</v>
      </c>
      <c r="E469" s="48">
        <f>IFERROR(DIVIDE(VLOOKUP($B469,Data!$B$3:$EZ1530,29,FALSE),VLOOKUP($B469,Data!$B$3:$EZ1530,4,FALSE)),"")</f>
        <v>-0.1185223368</v>
      </c>
      <c r="F469" s="48">
        <f>IFERROR(DIVIDE(VLOOKUP($B469,Data!$B$3:$EZ1530,34,FALSE),VLOOKUP($B469,Data!$B$3:$EZ1530,4,FALSE)),"")</f>
        <v>0.4089347079</v>
      </c>
      <c r="G469" s="48">
        <f>IFERROR(DIVIDE(VLOOKUP($B469,Data!$B$3:$EZ1530,39,FALSE),VLOOKUP($B469,Data!$B$3:$EZ1530,4,FALSE)),"")</f>
        <v>-0.1239106529</v>
      </c>
      <c r="H469" s="48">
        <f>IFERROR(DIVIDE(VLOOKUP($B469,Data!$B$3:$EZ1530,44,FALSE),VLOOKUP($B469,Data!$B$3:$EZ1530,4,FALSE)),"")</f>
        <v>0.03369415808</v>
      </c>
      <c r="I469" s="48">
        <f>IFERROR(MINUS(DIVIDE(VLOOKUP($B469,Data!$B$3:$EZ1530,9,FALSE),VLOOKUP($B469,Data!$B$3:$EZ1530,10,FALSE)),1),"")</f>
        <v>0</v>
      </c>
      <c r="J469" s="48">
        <f>IFERROR(MINUS(DIVIDE(VLOOKUP($B469,Data!$B$3:$EZ1530,24,FALSE),VLOOKUP($B469,Data!$B$3:$EZ1530,25,FALSE)),1),"")</f>
        <v>-1.448724234</v>
      </c>
      <c r="K469" s="48">
        <f>IFERROR(MINUS(DIVIDE(VLOOKUP($B469,Data!$B$3:$EZ1530,29,FALSE),VLOOKUP($B469,Data!$B$3:$EZ1530,30,FALSE)),1),"")</f>
        <v>-0.6326278453</v>
      </c>
      <c r="L469" s="48">
        <f>IFERROR(MINUS(DIVIDE(VLOOKUP($B469,Data!$B$3:$EZ1530,34,FALSE),VLOOKUP($B469,Data!$B$3:$EZ1530,35,FALSE)),1),"")</f>
        <v>-0.07751937984</v>
      </c>
      <c r="M469" s="48">
        <f>IFERROR(MINUS(DIVIDE(VLOOKUP($B469,Data!$B$3:$EZ1530,39,FALSE),VLOOKUP($B469,Data!$B$3:$EZ1530,40,FALSE)),1),"")</f>
        <v>-0.625087079</v>
      </c>
      <c r="N469" s="48">
        <f>IFERROR(MINUS(DIVIDE(VLOOKUP($B469,Data!$B$3:$EZ1530,44,FALSE),VLOOKUP($B469,Data!$B$3:$EZ1530,45,FALSE)),1),"")</f>
        <v>-0.6331425151</v>
      </c>
      <c r="O469" s="50">
        <f>IFERROR(VLOOKUP($B469,Data!$B$3:$D1530,2,FALSE),"")</f>
        <v>2750000</v>
      </c>
      <c r="P469" s="50">
        <f>IFERROR(VLOOKUP($B469,Data!$B$3:$D1530,3,FALSE),"")</f>
        <v>2690000</v>
      </c>
      <c r="Q469" s="48">
        <f t="shared" si="2"/>
        <v>0.02230483271</v>
      </c>
      <c r="R469" s="48"/>
      <c r="S469" s="48"/>
      <c r="T469" s="48"/>
      <c r="U469" s="48"/>
      <c r="V469" s="48"/>
      <c r="W469" s="50"/>
      <c r="Z469" s="15"/>
      <c r="AA469" s="15"/>
    </row>
    <row r="470">
      <c r="A470" s="9">
        <f t="shared" si="1"/>
        <v>467</v>
      </c>
      <c r="B470" s="47" t="s">
        <v>603</v>
      </c>
      <c r="C470" s="48">
        <f>IFERROR(DIVIDE(VLOOKUP($B470,Data!$B$3:$AB$1535,9,FALSE),VLOOKUP($B470,Data!$B$3:$AB$1535,4,FALSE)),"")</f>
        <v>0.3543798952</v>
      </c>
      <c r="D470" s="48">
        <f>IFERROR(DIVIDE(VLOOKUP($B470,Data!$B$3:$AB$1535,24,FALSE),VLOOKUP($B470,Data!$B$3:$AB$1535,4,FALSE)),"")</f>
        <v>0.1645443916</v>
      </c>
      <c r="E470" s="48">
        <f>IFERROR(DIVIDE(VLOOKUP($B470,Data!$B$3:$EZ1530,29,FALSE),VLOOKUP($B470,Data!$B$3:$EZ1530,4,FALSE)),"")</f>
        <v>0.1443307225</v>
      </c>
      <c r="F470" s="48">
        <f>IFERROR(DIVIDE(VLOOKUP($B470,Data!$B$3:$EZ1530,34,FALSE),VLOOKUP($B470,Data!$B$3:$EZ1530,4,FALSE)),"")</f>
        <v>0.1913251005</v>
      </c>
      <c r="G470" s="48">
        <f>IFERROR(DIVIDE(VLOOKUP($B470,Data!$B$3:$EZ1530,39,FALSE),VLOOKUP($B470,Data!$B$3:$EZ1530,4,FALSE)),"")</f>
        <v>0.2581167011</v>
      </c>
      <c r="H470" s="48">
        <f>IFERROR(DIVIDE(VLOOKUP($B470,Data!$B$3:$EZ1530,44,FALSE),VLOOKUP($B470,Data!$B$3:$EZ1530,4,FALSE)),"")</f>
        <v>0.2227507888</v>
      </c>
      <c r="I470" s="48">
        <f>IFERROR(MINUS(DIVIDE(VLOOKUP($B470,Data!$B$3:$EZ1530,9,FALSE),VLOOKUP($B470,Data!$B$3:$EZ1530,10,FALSE)),1),"")</f>
        <v>1.342509264</v>
      </c>
      <c r="J470" s="48">
        <f>IFERROR(MINUS(DIVIDE(VLOOKUP($B470,Data!$B$3:$EZ1530,24,FALSE),VLOOKUP($B470,Data!$B$3:$EZ1530,25,FALSE)),1),"")</f>
        <v>63.20625</v>
      </c>
      <c r="K470" s="48">
        <f>IFERROR(MINUS(DIVIDE(VLOOKUP($B470,Data!$B$3:$EZ1530,29,FALSE),VLOOKUP($B470,Data!$B$3:$EZ1530,30,FALSE)),1),"")</f>
        <v>-9.808406647</v>
      </c>
      <c r="L470" s="48">
        <f>IFERROR(MINUS(DIVIDE(VLOOKUP($B470,Data!$B$3:$EZ1530,34,FALSE),VLOOKUP($B470,Data!$B$3:$EZ1530,35,FALSE)),1),"")</f>
        <v>6.378011118</v>
      </c>
      <c r="M470" s="48">
        <f>IFERROR(MINUS(DIVIDE(VLOOKUP($B470,Data!$B$3:$EZ1530,39,FALSE),VLOOKUP($B470,Data!$B$3:$EZ1530,40,FALSE)),1),"")</f>
        <v>-14.85640585</v>
      </c>
      <c r="N470" s="48">
        <f>IFERROR(MINUS(DIVIDE(VLOOKUP($B470,Data!$B$3:$EZ1530,44,FALSE),VLOOKUP($B470,Data!$B$3:$EZ1530,45,FALSE)),1),"")</f>
        <v>7.621822691</v>
      </c>
      <c r="O470" s="50">
        <f>IFERROR(VLOOKUP($B470,Data!$B$3:$D1530,2,FALSE),"")</f>
        <v>1040000</v>
      </c>
      <c r="P470" s="50">
        <f>IFERROR(VLOOKUP($B470,Data!$B$3:$D1530,3,FALSE),"")</f>
        <v>711400</v>
      </c>
      <c r="Q470" s="48">
        <f t="shared" si="2"/>
        <v>0.4619061006</v>
      </c>
      <c r="R470" s="48"/>
      <c r="S470" s="48"/>
      <c r="T470" s="48"/>
      <c r="U470" s="48"/>
      <c r="V470" s="48"/>
      <c r="W470" s="50"/>
      <c r="Z470" s="11"/>
      <c r="AA470" s="11"/>
    </row>
    <row r="471">
      <c r="A471" s="9">
        <f t="shared" si="1"/>
        <v>468</v>
      </c>
      <c r="B471" s="47" t="s">
        <v>604</v>
      </c>
      <c r="C471" s="48">
        <f>IFERROR(DIVIDE(VLOOKUP($B471,Data!$B$3:$AB$1535,9,FALSE),VLOOKUP($B471,Data!$B$3:$AB$1535,4,FALSE)),"")</f>
        <v>0.4096385542</v>
      </c>
      <c r="D471" s="48">
        <f>IFERROR(DIVIDE(VLOOKUP($B471,Data!$B$3:$AB$1535,24,FALSE),VLOOKUP($B471,Data!$B$3:$AB$1535,4,FALSE)),"")</f>
        <v>0.09305220884</v>
      </c>
      <c r="E471" s="48">
        <f>IFERROR(DIVIDE(VLOOKUP($B471,Data!$B$3:$EZ1530,29,FALSE),VLOOKUP($B471,Data!$B$3:$EZ1530,4,FALSE)),"")</f>
        <v>0.02935742972</v>
      </c>
      <c r="F471" s="48">
        <f>IFERROR(DIVIDE(VLOOKUP($B471,Data!$B$3:$EZ1530,34,FALSE),VLOOKUP($B471,Data!$B$3:$EZ1530,4,FALSE)),"")</f>
        <v>0.2102008032</v>
      </c>
      <c r="G471" s="48">
        <f>IFERROR(DIVIDE(VLOOKUP($B471,Data!$B$3:$EZ1530,39,FALSE),VLOOKUP($B471,Data!$B$3:$EZ1530,4,FALSE)),"")</f>
        <v>0.02598393574</v>
      </c>
      <c r="H471" s="48">
        <f>IFERROR(DIVIDE(VLOOKUP($B471,Data!$B$3:$EZ1530,44,FALSE),VLOOKUP($B471,Data!$B$3:$EZ1530,4,FALSE)),"")</f>
        <v>0.06004016064</v>
      </c>
      <c r="I471" s="48">
        <f>IFERROR(MINUS(DIVIDE(VLOOKUP($B471,Data!$B$3:$EZ1530,9,FALSE),VLOOKUP($B471,Data!$B$3:$EZ1530,10,FALSE)),1),"")</f>
        <v>0.244813278</v>
      </c>
      <c r="J471" s="48">
        <f>IFERROR(MINUS(DIVIDE(VLOOKUP($B471,Data!$B$3:$EZ1530,24,FALSE),VLOOKUP($B471,Data!$B$3:$EZ1530,25,FALSE)),1),"")</f>
        <v>-0.1472211999</v>
      </c>
      <c r="K471" s="48">
        <f>IFERROR(MINUS(DIVIDE(VLOOKUP($B471,Data!$B$3:$EZ1530,29,FALSE),VLOOKUP($B471,Data!$B$3:$EZ1530,30,FALSE)),1),"")</f>
        <v>-0.5827625571</v>
      </c>
      <c r="L471" s="48">
        <f>IFERROR(MINUS(DIVIDE(VLOOKUP($B471,Data!$B$3:$EZ1530,34,FALSE),VLOOKUP($B471,Data!$B$3:$EZ1530,35,FALSE)),1),"")</f>
        <v>0.4130669546</v>
      </c>
      <c r="M471" s="48">
        <f>IFERROR(MINUS(DIVIDE(VLOOKUP($B471,Data!$B$3:$EZ1530,39,FALSE),VLOOKUP($B471,Data!$B$3:$EZ1530,40,FALSE)),1),"")</f>
        <v>-0.3080213904</v>
      </c>
      <c r="N471" s="48">
        <f>IFERROR(MINUS(DIVIDE(VLOOKUP($B471,Data!$B$3:$EZ1530,44,FALSE),VLOOKUP($B471,Data!$B$3:$EZ1530,45,FALSE)),1),"")</f>
        <v>-0.3463052033</v>
      </c>
      <c r="O471" s="50">
        <f>IFERROR(VLOOKUP($B471,Data!$B$3:$D1530,2,FALSE),"")</f>
        <v>2770000</v>
      </c>
      <c r="P471" s="50">
        <f>IFERROR(VLOOKUP($B471,Data!$B$3:$D1530,3,FALSE),"")</f>
        <v>2720000</v>
      </c>
      <c r="Q471" s="48">
        <f t="shared" si="2"/>
        <v>0.01838235294</v>
      </c>
      <c r="R471" s="48"/>
      <c r="S471" s="48"/>
      <c r="T471" s="48"/>
      <c r="U471" s="48"/>
      <c r="V471" s="48"/>
      <c r="W471" s="50"/>
      <c r="Z471" s="11"/>
      <c r="AA471" s="11"/>
    </row>
    <row r="472">
      <c r="A472" s="9">
        <f t="shared" si="1"/>
        <v>469</v>
      </c>
      <c r="B472" s="47" t="s">
        <v>605</v>
      </c>
      <c r="C472" s="48">
        <f>IFERROR(DIVIDE(VLOOKUP($B472,Data!$B$3:$AB$1535,9,FALSE),VLOOKUP($B472,Data!$B$3:$AB$1535,4,FALSE)),"")</f>
        <v>0.1294148094</v>
      </c>
      <c r="D472" s="48">
        <f>IFERROR(DIVIDE(VLOOKUP($B472,Data!$B$3:$AB$1535,24,FALSE),VLOOKUP($B472,Data!$B$3:$AB$1535,4,FALSE)),"")</f>
        <v>-0.09694312508</v>
      </c>
      <c r="E472" s="48">
        <f>IFERROR(DIVIDE(VLOOKUP($B472,Data!$B$3:$EZ1530,29,FALSE),VLOOKUP($B472,Data!$B$3:$EZ1530,4,FALSE)),"")</f>
        <v>-0.2190963342</v>
      </c>
      <c r="F472" s="48">
        <f>IFERROR(DIVIDE(VLOOKUP($B472,Data!$B$3:$EZ1530,34,FALSE),VLOOKUP($B472,Data!$B$3:$EZ1530,4,FALSE)),"")</f>
        <v>0.05789489709</v>
      </c>
      <c r="G472" s="48">
        <f>IFERROR(DIVIDE(VLOOKUP($B472,Data!$B$3:$EZ1530,39,FALSE),VLOOKUP($B472,Data!$B$3:$EZ1530,4,FALSE)),"")</f>
        <v>-0.2335890878</v>
      </c>
      <c r="H472" s="48">
        <f>IFERROR(DIVIDE(VLOOKUP($B472,Data!$B$3:$EZ1530,44,FALSE),VLOOKUP($B472,Data!$B$3:$EZ1530,4,FALSE)),"")</f>
        <v>-0.01354889782</v>
      </c>
      <c r="I472" s="48">
        <f>IFERROR(MINUS(DIVIDE(VLOOKUP($B472,Data!$B$3:$EZ1530,9,FALSE),VLOOKUP($B472,Data!$B$3:$EZ1530,10,FALSE)),1),"")</f>
        <v>0.07214024467</v>
      </c>
      <c r="J472" s="48">
        <f>IFERROR(MINUS(DIVIDE(VLOOKUP($B472,Data!$B$3:$EZ1530,24,FALSE),VLOOKUP($B472,Data!$B$3:$EZ1530,25,FALSE)),1),"")</f>
        <v>-0.4210382762</v>
      </c>
      <c r="K472" s="48">
        <f>IFERROR(MINUS(DIVIDE(VLOOKUP($B472,Data!$B$3:$EZ1530,29,FALSE),VLOOKUP($B472,Data!$B$3:$EZ1530,30,FALSE)),1),"")</f>
        <v>-0.3837194365</v>
      </c>
      <c r="L472" s="48">
        <f>IFERROR(MINUS(DIVIDE(VLOOKUP($B472,Data!$B$3:$EZ1530,34,FALSE),VLOOKUP($B472,Data!$B$3:$EZ1530,35,FALSE)),1),"")</f>
        <v>5.719081272</v>
      </c>
      <c r="M472" s="48">
        <f>IFERROR(MINUS(DIVIDE(VLOOKUP($B472,Data!$B$3:$EZ1530,39,FALSE),VLOOKUP($B472,Data!$B$3:$EZ1530,40,FALSE)),1),"")</f>
        <v>-0.3514792899</v>
      </c>
      <c r="N472" s="48">
        <f>IFERROR(MINUS(DIVIDE(VLOOKUP($B472,Data!$B$3:$EZ1530,44,FALSE),VLOOKUP($B472,Data!$B$3:$EZ1530,45,FALSE)),1),"")</f>
        <v>-0.8799082445</v>
      </c>
      <c r="O472" s="50">
        <f>IFERROR(VLOOKUP($B472,Data!$B$3:$D1530,2,FALSE),"")</f>
        <v>659500</v>
      </c>
      <c r="P472" s="50">
        <f>IFERROR(VLOOKUP($B472,Data!$B$3:$D1530,3,FALSE),"")</f>
        <v>604130</v>
      </c>
      <c r="Q472" s="48">
        <f t="shared" si="2"/>
        <v>0.09165245891</v>
      </c>
      <c r="R472" s="48"/>
      <c r="S472" s="48"/>
      <c r="T472" s="48"/>
      <c r="U472" s="48"/>
      <c r="V472" s="48"/>
      <c r="W472" s="50"/>
      <c r="Z472" s="15"/>
      <c r="AA472" s="15"/>
    </row>
    <row r="473">
      <c r="A473" s="9">
        <f t="shared" si="1"/>
        <v>470</v>
      </c>
      <c r="B473" s="47" t="s">
        <v>606</v>
      </c>
      <c r="C473" s="48">
        <f>IFERROR(DIVIDE(VLOOKUP($B473,Data!$B$3:$AB$1535,9,FALSE),VLOOKUP($B473,Data!$B$3:$AB$1535,4,FALSE)),"")</f>
        <v>0</v>
      </c>
      <c r="D473" s="48">
        <f>IFERROR(DIVIDE(VLOOKUP($B473,Data!$B$3:$AB$1535,24,FALSE),VLOOKUP($B473,Data!$B$3:$AB$1535,4,FALSE)),"")</f>
        <v>0</v>
      </c>
      <c r="E473" s="48">
        <f>IFERROR(DIVIDE(VLOOKUP($B473,Data!$B$3:$EZ1530,29,FALSE),VLOOKUP($B473,Data!$B$3:$EZ1530,4,FALSE)),"")</f>
        <v>0.2220272904</v>
      </c>
      <c r="F473" s="48">
        <f>IFERROR(DIVIDE(VLOOKUP($B473,Data!$B$3:$EZ1530,34,FALSE),VLOOKUP($B473,Data!$B$3:$EZ1530,4,FALSE)),"")</f>
        <v>0.1949317739</v>
      </c>
      <c r="G473" s="48">
        <f>IFERROR(DIVIDE(VLOOKUP($B473,Data!$B$3:$EZ1530,39,FALSE),VLOOKUP($B473,Data!$B$3:$EZ1530,4,FALSE)),"")</f>
        <v>0.2260233918</v>
      </c>
      <c r="H473" s="48">
        <f>IFERROR(DIVIDE(VLOOKUP($B473,Data!$B$3:$EZ1530,44,FALSE),VLOOKUP($B473,Data!$B$3:$EZ1530,4,FALSE)),"")</f>
        <v>0.3480506823</v>
      </c>
      <c r="I473" s="48" t="str">
        <f>IFERROR(MINUS(DIVIDE(VLOOKUP($B473,Data!$B$3:$EZ1530,9,FALSE),VLOOKUP($B473,Data!$B$3:$EZ1530,10,FALSE)),1),"")</f>
        <v/>
      </c>
      <c r="J473" s="48">
        <f>IFERROR(MINUS(DIVIDE(VLOOKUP($B473,Data!$B$3:$EZ1530,24,FALSE),VLOOKUP($B473,Data!$B$3:$EZ1530,25,FALSE)),1),"")</f>
        <v>-1</v>
      </c>
      <c r="K473" s="48">
        <f>IFERROR(MINUS(DIVIDE(VLOOKUP($B473,Data!$B$3:$EZ1530,29,FALSE),VLOOKUP($B473,Data!$B$3:$EZ1530,30,FALSE)),1),"")</f>
        <v>-0.5107388316</v>
      </c>
      <c r="L473" s="48">
        <f>IFERROR(MINUS(DIVIDE(VLOOKUP($B473,Data!$B$3:$EZ1530,34,FALSE),VLOOKUP($B473,Data!$B$3:$EZ1530,35,FALSE)),1),"")</f>
        <v>-0.559713814</v>
      </c>
      <c r="M473" s="48">
        <f>IFERROR(MINUS(DIVIDE(VLOOKUP($B473,Data!$B$3:$EZ1530,39,FALSE),VLOOKUP($B473,Data!$B$3:$EZ1530,40,FALSE)),1),"")</f>
        <v>-0.355475264</v>
      </c>
      <c r="N473" s="48">
        <f>IFERROR(MINUS(DIVIDE(VLOOKUP($B473,Data!$B$3:$EZ1530,44,FALSE),VLOOKUP($B473,Data!$B$3:$EZ1530,45,FALSE)),1),"")</f>
        <v>1.44421629</v>
      </c>
      <c r="O473" s="50">
        <f>IFERROR(VLOOKUP($B473,Data!$B$3:$D1530,2,FALSE),"")</f>
        <v>113030</v>
      </c>
      <c r="P473" s="50">
        <f>IFERROR(VLOOKUP($B473,Data!$B$3:$D1530,3,FALSE),"")</f>
        <v>130100</v>
      </c>
      <c r="Q473" s="48">
        <f t="shared" si="2"/>
        <v>-0.131206764</v>
      </c>
      <c r="R473" s="48"/>
      <c r="S473" s="48"/>
      <c r="T473" s="48"/>
      <c r="U473" s="48"/>
      <c r="V473" s="48"/>
      <c r="W473" s="50"/>
      <c r="Z473" s="15"/>
      <c r="AA473" s="15"/>
    </row>
    <row r="474">
      <c r="A474" s="9">
        <f t="shared" si="1"/>
        <v>471</v>
      </c>
      <c r="B474" s="47" t="s">
        <v>607</v>
      </c>
      <c r="C474" s="48">
        <f>IFERROR(DIVIDE(VLOOKUP($B474,Data!$B$3:$AB$1535,9,FALSE),VLOOKUP($B474,Data!$B$3:$AB$1535,4,FALSE)),"")</f>
        <v>0.4058050314</v>
      </c>
      <c r="D474" s="48">
        <f>IFERROR(DIVIDE(VLOOKUP($B474,Data!$B$3:$AB$1535,24,FALSE),VLOOKUP($B474,Data!$B$3:$AB$1535,4,FALSE)),"")</f>
        <v>0.2272201258</v>
      </c>
      <c r="E474" s="48">
        <f>IFERROR(DIVIDE(VLOOKUP($B474,Data!$B$3:$EZ1530,29,FALSE),VLOOKUP($B474,Data!$B$3:$EZ1530,4,FALSE)),"")</f>
        <v>0.2000314465</v>
      </c>
      <c r="F474" s="48">
        <f>IFERROR(DIVIDE(VLOOKUP($B474,Data!$B$3:$EZ1530,34,FALSE),VLOOKUP($B474,Data!$B$3:$EZ1530,4,FALSE)),"")</f>
        <v>0.2444025157</v>
      </c>
      <c r="G474" s="48">
        <f>IFERROR(DIVIDE(VLOOKUP($B474,Data!$B$3:$EZ1530,39,FALSE),VLOOKUP($B474,Data!$B$3:$EZ1530,4,FALSE)),"")</f>
        <v>0.1602893082</v>
      </c>
      <c r="H474" s="48">
        <f>IFERROR(DIVIDE(VLOOKUP($B474,Data!$B$3:$EZ1530,44,FALSE),VLOOKUP($B474,Data!$B$3:$EZ1530,4,FALSE)),"")</f>
        <v>0.2404402516</v>
      </c>
      <c r="I474" s="48">
        <f>IFERROR(MINUS(DIVIDE(VLOOKUP($B474,Data!$B$3:$EZ1530,9,FALSE),VLOOKUP($B474,Data!$B$3:$EZ1530,10,FALSE)),1),"")</f>
        <v>-0.01893017881</v>
      </c>
      <c r="J474" s="48">
        <f>IFERROR(MINUS(DIVIDE(VLOOKUP($B474,Data!$B$3:$EZ1530,24,FALSE),VLOOKUP($B474,Data!$B$3:$EZ1530,25,FALSE)),1),"")</f>
        <v>0.249671394</v>
      </c>
      <c r="K474" s="48">
        <f>IFERROR(MINUS(DIVIDE(VLOOKUP($B474,Data!$B$3:$EZ1530,29,FALSE),VLOOKUP($B474,Data!$B$3:$EZ1530,30,FALSE)),1),"")</f>
        <v>0.2500491294</v>
      </c>
      <c r="L474" s="48">
        <f>IFERROR(MINUS(DIVIDE(VLOOKUP($B474,Data!$B$3:$EZ1530,34,FALSE),VLOOKUP($B474,Data!$B$3:$EZ1530,35,FALSE)),1),"")</f>
        <v>-0.08513042659</v>
      </c>
      <c r="M474" s="48">
        <f>IFERROR(MINUS(DIVIDE(VLOOKUP($B474,Data!$B$3:$EZ1530,39,FALSE),VLOOKUP($B474,Data!$B$3:$EZ1530,40,FALSE)),1),"")</f>
        <v>0.05856454561</v>
      </c>
      <c r="N474" s="48">
        <f>IFERROR(MINUS(DIVIDE(VLOOKUP($B474,Data!$B$3:$EZ1530,44,FALSE),VLOOKUP($B474,Data!$B$3:$EZ1530,45,FALSE)),1),"")</f>
        <v>0.2230469</v>
      </c>
      <c r="O474" s="50">
        <f>IFERROR(VLOOKUP($B474,Data!$B$3:$D1530,2,FALSE),"")</f>
        <v>1760000</v>
      </c>
      <c r="P474" s="50">
        <f>IFERROR(VLOOKUP($B474,Data!$B$3:$D1530,3,FALSE),"")</f>
        <v>1640000</v>
      </c>
      <c r="Q474" s="48">
        <f t="shared" si="2"/>
        <v>0.07317073171</v>
      </c>
      <c r="R474" s="48"/>
      <c r="S474" s="48"/>
      <c r="T474" s="48"/>
      <c r="U474" s="48"/>
      <c r="V474" s="48"/>
      <c r="W474" s="50"/>
      <c r="Z474" s="15"/>
      <c r="AA474" s="15"/>
    </row>
    <row r="475">
      <c r="A475" s="9">
        <f t="shared" si="1"/>
        <v>472</v>
      </c>
      <c r="B475" s="47" t="s">
        <v>608</v>
      </c>
      <c r="C475" s="48">
        <f>IFERROR(DIVIDE(VLOOKUP($B475,Data!$B$3:$AB$1535,9,FALSE),VLOOKUP($B475,Data!$B$3:$AB$1535,4,FALSE)),"")</f>
        <v>0.6521614658</v>
      </c>
      <c r="D475" s="48">
        <f>IFERROR(DIVIDE(VLOOKUP($B475,Data!$B$3:$AB$1535,24,FALSE),VLOOKUP($B475,Data!$B$3:$AB$1535,4,FALSE)),"")</f>
        <v>-2.832808474</v>
      </c>
      <c r="E475" s="48">
        <f>IFERROR(DIVIDE(VLOOKUP($B475,Data!$B$3:$EZ1530,29,FALSE),VLOOKUP($B475,Data!$B$3:$EZ1530,4,FALSE)),"")</f>
        <v>-3.007729745</v>
      </c>
      <c r="F475" s="48">
        <f>IFERROR(DIVIDE(VLOOKUP($B475,Data!$B$3:$EZ1530,34,FALSE),VLOOKUP($B475,Data!$B$3:$EZ1530,4,FALSE)),"")</f>
        <v>-2.570283424</v>
      </c>
      <c r="G475" s="48">
        <f>IFERROR(DIVIDE(VLOOKUP($B475,Data!$B$3:$EZ1530,39,FALSE),VLOOKUP($B475,Data!$B$3:$EZ1530,4,FALSE)),"")</f>
        <v>-2.577440595</v>
      </c>
      <c r="H475" s="48">
        <f>IFERROR(DIVIDE(VLOOKUP($B475,Data!$B$3:$EZ1530,44,FALSE),VLOOKUP($B475,Data!$B$3:$EZ1530,4,FALSE)),"")</f>
        <v>-2.673346693</v>
      </c>
      <c r="I475" s="48">
        <f>IFERROR(MINUS(DIVIDE(VLOOKUP($B475,Data!$B$3:$EZ1530,9,FALSE),VLOOKUP($B475,Data!$B$3:$EZ1530,10,FALSE)),1),"")</f>
        <v>-2532.111111</v>
      </c>
      <c r="J475" s="48">
        <f>IFERROR(MINUS(DIVIDE(VLOOKUP($B475,Data!$B$3:$EZ1530,24,FALSE),VLOOKUP($B475,Data!$B$3:$EZ1530,25,FALSE)),1),"")</f>
        <v>1.144560035</v>
      </c>
      <c r="K475" s="48">
        <f>IFERROR(MINUS(DIVIDE(VLOOKUP($B475,Data!$B$3:$EZ1530,29,FALSE),VLOOKUP($B475,Data!$B$3:$EZ1530,30,FALSE)),1),"")</f>
        <v>1.244871795</v>
      </c>
      <c r="L475" s="48">
        <f>IFERROR(MINUS(DIVIDE(VLOOKUP($B475,Data!$B$3:$EZ1530,34,FALSE),VLOOKUP($B475,Data!$B$3:$EZ1530,35,FALSE)),1),"")</f>
        <v>1.519786697</v>
      </c>
      <c r="M475" s="48">
        <f>IFERROR(MINUS(DIVIDE(VLOOKUP($B475,Data!$B$3:$EZ1530,39,FALSE),VLOOKUP($B475,Data!$B$3:$EZ1530,40,FALSE)),1),"")</f>
        <v>0.9208448901</v>
      </c>
      <c r="N475" s="48">
        <f>IFERROR(MINUS(DIVIDE(VLOOKUP($B475,Data!$B$3:$EZ1530,44,FALSE),VLOOKUP($B475,Data!$B$3:$EZ1530,45,FALSE)),1),"")</f>
        <v>2.637709388</v>
      </c>
      <c r="O475" s="50">
        <f>IFERROR(VLOOKUP($B475,Data!$B$3:$D1530,2,FALSE),"")</f>
        <v>113260</v>
      </c>
      <c r="P475" s="50">
        <f>IFERROR(VLOOKUP($B475,Data!$B$3:$D1530,3,FALSE),"")</f>
        <v>47170</v>
      </c>
      <c r="Q475" s="48">
        <f t="shared" si="2"/>
        <v>1.401102396</v>
      </c>
      <c r="R475" s="48"/>
      <c r="S475" s="48"/>
      <c r="T475" s="48"/>
      <c r="U475" s="48"/>
      <c r="V475" s="48"/>
      <c r="W475" s="50"/>
      <c r="Z475" s="11"/>
      <c r="AA475" s="11"/>
    </row>
    <row r="476">
      <c r="A476" s="9">
        <f t="shared" si="1"/>
        <v>473</v>
      </c>
      <c r="B476" s="47" t="s">
        <v>609</v>
      </c>
      <c r="C476" s="48">
        <f>IFERROR(DIVIDE(VLOOKUP($B476,Data!$B$3:$AB$1535,9,FALSE),VLOOKUP($B476,Data!$B$3:$AB$1535,4,FALSE)),"")</f>
        <v>0.4519626168</v>
      </c>
      <c r="D476" s="48">
        <f>IFERROR(DIVIDE(VLOOKUP($B476,Data!$B$3:$AB$1535,24,FALSE),VLOOKUP($B476,Data!$B$3:$AB$1535,4,FALSE)),"")</f>
        <v>-0.1529906542</v>
      </c>
      <c r="E476" s="48">
        <f>IFERROR(DIVIDE(VLOOKUP($B476,Data!$B$3:$EZ1530,29,FALSE),VLOOKUP($B476,Data!$B$3:$EZ1530,4,FALSE)),"")</f>
        <v>-0.1823831776</v>
      </c>
      <c r="F476" s="48">
        <f>IFERROR(DIVIDE(VLOOKUP($B476,Data!$B$3:$EZ1530,34,FALSE),VLOOKUP($B476,Data!$B$3:$EZ1530,4,FALSE)),"")</f>
        <v>0.1828504673</v>
      </c>
      <c r="G476" s="48">
        <f>IFERROR(DIVIDE(VLOOKUP($B476,Data!$B$3:$EZ1530,39,FALSE),VLOOKUP($B476,Data!$B$3:$EZ1530,4,FALSE)),"")</f>
        <v>-0.1739252336</v>
      </c>
      <c r="H476" s="48">
        <f>IFERROR(DIVIDE(VLOOKUP($B476,Data!$B$3:$EZ1530,44,FALSE),VLOOKUP($B476,Data!$B$3:$EZ1530,4,FALSE)),"")</f>
        <v>0.08906542056</v>
      </c>
      <c r="I476" s="48">
        <f>IFERROR(MINUS(DIVIDE(VLOOKUP($B476,Data!$B$3:$EZ1530,9,FALSE),VLOOKUP($B476,Data!$B$3:$EZ1530,10,FALSE)),1),"")</f>
        <v>-0.06097087379</v>
      </c>
      <c r="J476" s="48">
        <f>IFERROR(MINUS(DIVIDE(VLOOKUP($B476,Data!$B$3:$EZ1530,24,FALSE),VLOOKUP($B476,Data!$B$3:$EZ1530,25,FALSE)),1),"")</f>
        <v>3.814705882</v>
      </c>
      <c r="K476" s="48">
        <f>IFERROR(MINUS(DIVIDE(VLOOKUP($B476,Data!$B$3:$EZ1530,29,FALSE),VLOOKUP($B476,Data!$B$3:$EZ1530,30,FALSE)),1),"")</f>
        <v>-3.382783883</v>
      </c>
      <c r="L476" s="48">
        <f>IFERROR(MINUS(DIVIDE(VLOOKUP($B476,Data!$B$3:$EZ1530,34,FALSE),VLOOKUP($B476,Data!$B$3:$EZ1530,35,FALSE)),1),"")</f>
        <v>0.02407746663</v>
      </c>
      <c r="M476" s="48">
        <f>IFERROR(MINUS(DIVIDE(VLOOKUP($B476,Data!$B$3:$EZ1530,39,FALSE),VLOOKUP($B476,Data!$B$3:$EZ1530,40,FALSE)),1),"")</f>
        <v>-4.603097773</v>
      </c>
      <c r="N476" s="48">
        <f>IFERROR(MINUS(DIVIDE(VLOOKUP($B476,Data!$B$3:$EZ1530,44,FALSE),VLOOKUP($B476,Data!$B$3:$EZ1530,45,FALSE)),1),"")</f>
        <v>-0.265227448</v>
      </c>
      <c r="O476" s="50">
        <f>IFERROR(VLOOKUP($B476,Data!$B$3:$D1530,2,FALSE),"")</f>
        <v>1970000</v>
      </c>
      <c r="P476" s="50">
        <f>IFERROR(VLOOKUP($B476,Data!$B$3:$D1530,3,FALSE),"")</f>
        <v>1930000</v>
      </c>
      <c r="Q476" s="48">
        <f t="shared" si="2"/>
        <v>0.0207253886</v>
      </c>
      <c r="R476" s="48"/>
      <c r="S476" s="48"/>
      <c r="T476" s="48"/>
      <c r="U476" s="48"/>
      <c r="V476" s="48"/>
      <c r="W476" s="50"/>
      <c r="Z476" s="15"/>
      <c r="AA476" s="15"/>
    </row>
    <row r="477">
      <c r="A477" s="9">
        <f t="shared" si="1"/>
        <v>474</v>
      </c>
      <c r="B477" s="47" t="s">
        <v>610</v>
      </c>
      <c r="C477" s="48" t="str">
        <f>IFERROR(DIVIDE(VLOOKUP($B477,Data!$B$3:$AB$1535,9,FALSE),VLOOKUP($B477,Data!$B$3:$AB$1535,4,FALSE)),"")</f>
        <v/>
      </c>
      <c r="D477" s="48" t="str">
        <f>IFERROR(DIVIDE(VLOOKUP($B477,Data!$B$3:$AB$1535,24,FALSE),VLOOKUP($B477,Data!$B$3:$AB$1535,4,FALSE)),"")</f>
        <v/>
      </c>
      <c r="E477" s="48" t="str">
        <f>IFERROR(DIVIDE(VLOOKUP($B477,Data!$B$3:$EZ1530,29,FALSE),VLOOKUP($B477,Data!$B$3:$EZ1530,4,FALSE)),"")</f>
        <v/>
      </c>
      <c r="F477" s="48" t="str">
        <f>IFERROR(DIVIDE(VLOOKUP($B477,Data!$B$3:$EZ1530,34,FALSE),VLOOKUP($B477,Data!$B$3:$EZ1530,4,FALSE)),"")</f>
        <v/>
      </c>
      <c r="G477" s="48" t="str">
        <f>IFERROR(DIVIDE(VLOOKUP($B477,Data!$B$3:$EZ1530,39,FALSE),VLOOKUP($B477,Data!$B$3:$EZ1530,4,FALSE)),"")</f>
        <v/>
      </c>
      <c r="H477" s="48" t="str">
        <f>IFERROR(DIVIDE(VLOOKUP($B477,Data!$B$3:$EZ1530,44,FALSE),VLOOKUP($B477,Data!$B$3:$EZ1530,4,FALSE)),"")</f>
        <v/>
      </c>
      <c r="I477" s="48" t="str">
        <f>IFERROR(MINUS(DIVIDE(VLOOKUP($B477,Data!$B$3:$EZ1530,9,FALSE),VLOOKUP($B477,Data!$B$3:$EZ1530,10,FALSE)),1),"")</f>
        <v/>
      </c>
      <c r="J477" s="48" t="str">
        <f>IFERROR(MINUS(DIVIDE(VLOOKUP($B477,Data!$B$3:$EZ1530,24,FALSE),VLOOKUP($B477,Data!$B$3:$EZ1530,25,FALSE)),1),"")</f>
        <v/>
      </c>
      <c r="K477" s="48" t="str">
        <f>IFERROR(MINUS(DIVIDE(VLOOKUP($B477,Data!$B$3:$EZ1530,29,FALSE),VLOOKUP($B477,Data!$B$3:$EZ1530,30,FALSE)),1),"")</f>
        <v/>
      </c>
      <c r="L477" s="48" t="str">
        <f>IFERROR(MINUS(DIVIDE(VLOOKUP($B477,Data!$B$3:$EZ1530,34,FALSE),VLOOKUP($B477,Data!$B$3:$EZ1530,35,FALSE)),1),"")</f>
        <v/>
      </c>
      <c r="M477" s="48" t="str">
        <f>IFERROR(MINUS(DIVIDE(VLOOKUP($B477,Data!$B$3:$EZ1530,39,FALSE),VLOOKUP($B477,Data!$B$3:$EZ1530,40,FALSE)),1),"")</f>
        <v/>
      </c>
      <c r="N477" s="48" t="str">
        <f>IFERROR(MINUS(DIVIDE(VLOOKUP($B477,Data!$B$3:$EZ1530,44,FALSE),VLOOKUP($B477,Data!$B$3:$EZ1530,45,FALSE)),1),"")</f>
        <v/>
      </c>
      <c r="O477" s="50" t="str">
        <f>IFERROR(VLOOKUP($B477,Data!$B$3:$D1530,2,FALSE),"")</f>
        <v/>
      </c>
      <c r="P477" s="50" t="str">
        <f>IFERROR(VLOOKUP($B477,Data!$B$3:$D1530,3,FALSE),"")</f>
        <v/>
      </c>
      <c r="Q477" s="48" t="str">
        <f t="shared" si="2"/>
        <v/>
      </c>
      <c r="R477" s="48"/>
      <c r="S477" s="48"/>
      <c r="T477" s="48"/>
      <c r="U477" s="48"/>
      <c r="V477" s="48"/>
      <c r="W477" s="50"/>
      <c r="Z477" s="11"/>
      <c r="AA477" s="11"/>
    </row>
    <row r="478">
      <c r="A478" s="9">
        <f t="shared" si="1"/>
        <v>475</v>
      </c>
      <c r="B478" s="47" t="s">
        <v>611</v>
      </c>
      <c r="C478" s="48">
        <f>IFERROR(DIVIDE(VLOOKUP($B478,Data!$B$3:$AB$1535,9,FALSE),VLOOKUP($B478,Data!$B$3:$AB$1535,4,FALSE)),"")</f>
        <v>0</v>
      </c>
      <c r="D478" s="48">
        <f>IFERROR(DIVIDE(VLOOKUP($B478,Data!$B$3:$AB$1535,24,FALSE),VLOOKUP($B478,Data!$B$3:$AB$1535,4,FALSE)),"")</f>
        <v>0</v>
      </c>
      <c r="E478" s="48">
        <f>IFERROR(DIVIDE(VLOOKUP($B478,Data!$B$3:$EZ1530,29,FALSE),VLOOKUP($B478,Data!$B$3:$EZ1530,4,FALSE)),"")</f>
        <v>-7.152941176</v>
      </c>
      <c r="F478" s="48">
        <f>IFERROR(DIVIDE(VLOOKUP($B478,Data!$B$3:$EZ1530,34,FALSE),VLOOKUP($B478,Data!$B$3:$EZ1530,4,FALSE)),"")</f>
        <v>-7.407563025</v>
      </c>
      <c r="G478" s="48">
        <f>IFERROR(DIVIDE(VLOOKUP($B478,Data!$B$3:$EZ1530,39,FALSE),VLOOKUP($B478,Data!$B$3:$EZ1530,4,FALSE)),"")</f>
        <v>-7.155462185</v>
      </c>
      <c r="H478" s="48">
        <f>IFERROR(DIVIDE(VLOOKUP($B478,Data!$B$3:$EZ1530,44,FALSE),VLOOKUP($B478,Data!$B$3:$EZ1530,4,FALSE)),"")</f>
        <v>-6.605462185</v>
      </c>
      <c r="I478" s="48" t="str">
        <f>IFERROR(MINUS(DIVIDE(VLOOKUP($B478,Data!$B$3:$EZ1530,9,FALSE),VLOOKUP($B478,Data!$B$3:$EZ1530,10,FALSE)),1),"")</f>
        <v/>
      </c>
      <c r="J478" s="48" t="str">
        <f>IFERROR(MINUS(DIVIDE(VLOOKUP($B478,Data!$B$3:$EZ1530,24,FALSE),VLOOKUP($B478,Data!$B$3:$EZ1530,25,FALSE)),1),"")</f>
        <v/>
      </c>
      <c r="K478" s="48">
        <f>IFERROR(MINUS(DIVIDE(VLOOKUP($B478,Data!$B$3:$EZ1530,29,FALSE),VLOOKUP($B478,Data!$B$3:$EZ1530,30,FALSE)),1),"")</f>
        <v>0.3776806668</v>
      </c>
      <c r="L478" s="48">
        <f>IFERROR(MINUS(DIVIDE(VLOOKUP($B478,Data!$B$3:$EZ1530,34,FALSE),VLOOKUP($B478,Data!$B$3:$EZ1530,35,FALSE)),1),"")</f>
        <v>0.3876426604</v>
      </c>
      <c r="M478" s="48">
        <f>IFERROR(MINUS(DIVIDE(VLOOKUP($B478,Data!$B$3:$EZ1530,39,FALSE),VLOOKUP($B478,Data!$B$3:$EZ1530,40,FALSE)),1),"")</f>
        <v>0.3774973712</v>
      </c>
      <c r="N478" s="48">
        <f>IFERROR(MINUS(DIVIDE(VLOOKUP($B478,Data!$B$3:$EZ1530,44,FALSE),VLOOKUP($B478,Data!$B$3:$EZ1530,45,FALSE)),1),"")</f>
        <v>0.2928453947</v>
      </c>
      <c r="O478" s="50">
        <f>IFERROR(VLOOKUP($B478,Data!$B$3:$D1530,2,FALSE),"")</f>
        <v>108620</v>
      </c>
      <c r="P478" s="50">
        <f>IFERROR(VLOOKUP($B478,Data!$B$3:$D1530,3,FALSE),"")</f>
        <v>23650</v>
      </c>
      <c r="Q478" s="48">
        <f t="shared" si="2"/>
        <v>3.592811839</v>
      </c>
      <c r="R478" s="48"/>
      <c r="S478" s="48"/>
      <c r="T478" s="48"/>
      <c r="U478" s="48"/>
      <c r="V478" s="48"/>
      <c r="W478" s="50"/>
      <c r="Z478" s="15"/>
      <c r="AA478" s="15"/>
    </row>
    <row r="479">
      <c r="A479" s="9">
        <f t="shared" si="1"/>
        <v>476</v>
      </c>
      <c r="B479" s="47" t="s">
        <v>612</v>
      </c>
      <c r="C479" s="48" t="str">
        <f>IFERROR(DIVIDE(VLOOKUP($B479,Data!$B$3:$AB$1535,9,FALSE),VLOOKUP($B479,Data!$B$3:$AB$1535,4,FALSE)),"")</f>
        <v/>
      </c>
      <c r="D479" s="48" t="str">
        <f>IFERROR(DIVIDE(VLOOKUP($B479,Data!$B$3:$AB$1535,24,FALSE),VLOOKUP($B479,Data!$B$3:$AB$1535,4,FALSE)),"")</f>
        <v/>
      </c>
      <c r="E479" s="48" t="str">
        <f>IFERROR(DIVIDE(VLOOKUP($B479,Data!$B$3:$EZ1530,29,FALSE),VLOOKUP($B479,Data!$B$3:$EZ1530,4,FALSE)),"")</f>
        <v/>
      </c>
      <c r="F479" s="48" t="str">
        <f>IFERROR(DIVIDE(VLOOKUP($B479,Data!$B$3:$EZ1530,34,FALSE),VLOOKUP($B479,Data!$B$3:$EZ1530,4,FALSE)),"")</f>
        <v/>
      </c>
      <c r="G479" s="48" t="str">
        <f>IFERROR(DIVIDE(VLOOKUP($B479,Data!$B$3:$EZ1530,39,FALSE),VLOOKUP($B479,Data!$B$3:$EZ1530,4,FALSE)),"")</f>
        <v/>
      </c>
      <c r="H479" s="48" t="str">
        <f>IFERROR(DIVIDE(VLOOKUP($B479,Data!$B$3:$EZ1530,44,FALSE),VLOOKUP($B479,Data!$B$3:$EZ1530,4,FALSE)),"")</f>
        <v/>
      </c>
      <c r="I479" s="48">
        <f>IFERROR(MINUS(DIVIDE(VLOOKUP($B479,Data!$B$3:$EZ1530,9,FALSE),VLOOKUP($B479,Data!$B$3:$EZ1530,10,FALSE)),1),"")</f>
        <v>2.833333333</v>
      </c>
      <c r="J479" s="48">
        <f>IFERROR(MINUS(DIVIDE(VLOOKUP($B479,Data!$B$3:$EZ1530,24,FALSE),VLOOKUP($B479,Data!$B$3:$EZ1530,25,FALSE)),1),"")</f>
        <v>-1</v>
      </c>
      <c r="K479" s="48">
        <f>IFERROR(MINUS(DIVIDE(VLOOKUP($B479,Data!$B$3:$EZ1530,29,FALSE),VLOOKUP($B479,Data!$B$3:$EZ1530,30,FALSE)),1),"")</f>
        <v>0.9320754717</v>
      </c>
      <c r="L479" s="48">
        <f>IFERROR(MINUS(DIVIDE(VLOOKUP($B479,Data!$B$3:$EZ1530,34,FALSE),VLOOKUP($B479,Data!$B$3:$EZ1530,35,FALSE)),1),"")</f>
        <v>-0.9995354239</v>
      </c>
      <c r="M479" s="48">
        <f>IFERROR(MINUS(DIVIDE(VLOOKUP($B479,Data!$B$3:$EZ1530,39,FALSE),VLOOKUP($B479,Data!$B$3:$EZ1530,40,FALSE)),1),"")</f>
        <v>0.9320754717</v>
      </c>
      <c r="N479" s="48">
        <f>IFERROR(MINUS(DIVIDE(VLOOKUP($B479,Data!$B$3:$EZ1530,44,FALSE),VLOOKUP($B479,Data!$B$3:$EZ1530,45,FALSE)),1),"")</f>
        <v>-0.9969455511</v>
      </c>
      <c r="O479" s="50" t="str">
        <f>IFERROR(VLOOKUP($B479,Data!$B$3:$D1530,2,FALSE),"")</f>
        <v/>
      </c>
      <c r="P479" s="50" t="str">
        <f>IFERROR(VLOOKUP($B479,Data!$B$3:$D1530,3,FALSE),"")</f>
        <v/>
      </c>
      <c r="Q479" s="48" t="str">
        <f t="shared" si="2"/>
        <v/>
      </c>
      <c r="R479" s="48"/>
      <c r="S479" s="48"/>
      <c r="T479" s="48"/>
      <c r="U479" s="48"/>
      <c r="V479" s="48"/>
      <c r="W479" s="50"/>
      <c r="Z479" s="12"/>
      <c r="AA479" s="12"/>
    </row>
    <row r="480">
      <c r="A480" s="9">
        <f t="shared" si="1"/>
        <v>477</v>
      </c>
      <c r="B480" s="47" t="s">
        <v>613</v>
      </c>
      <c r="C480" s="48">
        <f>IFERROR(DIVIDE(VLOOKUP($B480,Data!$B$3:$AB$1535,9,FALSE),VLOOKUP($B480,Data!$B$3:$AB$1535,4,FALSE)),"")</f>
        <v>0.442687747</v>
      </c>
      <c r="D480" s="48">
        <f>IFERROR(DIVIDE(VLOOKUP($B480,Data!$B$3:$AB$1535,24,FALSE),VLOOKUP($B480,Data!$B$3:$AB$1535,4,FALSE)),"")</f>
        <v>0.1439090909</v>
      </c>
      <c r="E480" s="48">
        <f>IFERROR(DIVIDE(VLOOKUP($B480,Data!$B$3:$EZ1530,29,FALSE),VLOOKUP($B480,Data!$B$3:$EZ1530,4,FALSE)),"")</f>
        <v>0.04939920949</v>
      </c>
      <c r="F480" s="48">
        <f>IFERROR(DIVIDE(VLOOKUP($B480,Data!$B$3:$EZ1530,34,FALSE),VLOOKUP($B480,Data!$B$3:$EZ1530,4,FALSE)),"")</f>
        <v>0.2660395257</v>
      </c>
      <c r="G480" s="48">
        <f>IFERROR(DIVIDE(VLOOKUP($B480,Data!$B$3:$EZ1530,39,FALSE),VLOOKUP($B480,Data!$B$3:$EZ1530,4,FALSE)),"")</f>
        <v>0.03201581028</v>
      </c>
      <c r="H480" s="48">
        <f>IFERROR(DIVIDE(VLOOKUP($B480,Data!$B$3:$EZ1530,44,FALSE),VLOOKUP($B480,Data!$B$3:$EZ1530,4,FALSE)),"")</f>
        <v>0.1235296443</v>
      </c>
      <c r="I480" s="48">
        <f>IFERROR(MINUS(DIVIDE(VLOOKUP($B480,Data!$B$3:$EZ1530,9,FALSE),VLOOKUP($B480,Data!$B$3:$EZ1530,10,FALSE)),1),"")</f>
        <v>0.3286041353</v>
      </c>
      <c r="J480" s="48">
        <f>IFERROR(MINUS(DIVIDE(VLOOKUP($B480,Data!$B$3:$EZ1530,24,FALSE),VLOOKUP($B480,Data!$B$3:$EZ1530,25,FALSE)),1),"")</f>
        <v>0.1805771725</v>
      </c>
      <c r="K480" s="48">
        <f>IFERROR(MINUS(DIVIDE(VLOOKUP($B480,Data!$B$3:$EZ1530,29,FALSE),VLOOKUP($B480,Data!$B$3:$EZ1530,30,FALSE)),1),"")</f>
        <v>-0.07845450524</v>
      </c>
      <c r="L480" s="48">
        <f>IFERROR(MINUS(DIVIDE(VLOOKUP($B480,Data!$B$3:$EZ1530,34,FALSE),VLOOKUP($B480,Data!$B$3:$EZ1530,35,FALSE)),1),"")</f>
        <v>0.3515119875</v>
      </c>
      <c r="M480" s="48">
        <f>IFERROR(MINUS(DIVIDE(VLOOKUP($B480,Data!$B$3:$EZ1530,39,FALSE),VLOOKUP($B480,Data!$B$3:$EZ1530,40,FALSE)),1),"")</f>
        <v>-0.1495170097</v>
      </c>
      <c r="N480" s="48">
        <f>IFERROR(MINUS(DIVIDE(VLOOKUP($B480,Data!$B$3:$EZ1530,44,FALSE),VLOOKUP($B480,Data!$B$3:$EZ1530,45,FALSE)),1),"")</f>
        <v>-0.03124515669</v>
      </c>
      <c r="O480" s="50">
        <f>IFERROR(VLOOKUP($B480,Data!$B$3:$D1530,2,FALSE),"")</f>
        <v>7650000</v>
      </c>
      <c r="P480" s="50">
        <f>IFERROR(VLOOKUP($B480,Data!$B$3:$D1530,3,FALSE),"")</f>
        <v>3130000</v>
      </c>
      <c r="Q480" s="48">
        <f t="shared" si="2"/>
        <v>1.444089457</v>
      </c>
      <c r="R480" s="48"/>
      <c r="S480" s="48"/>
      <c r="T480" s="48"/>
      <c r="U480" s="48"/>
      <c r="V480" s="48"/>
      <c r="W480" s="50"/>
      <c r="Z480" s="11"/>
      <c r="AA480" s="11"/>
    </row>
    <row r="481">
      <c r="A481" s="9">
        <f t="shared" si="1"/>
        <v>478</v>
      </c>
      <c r="B481" s="47" t="s">
        <v>615</v>
      </c>
      <c r="C481" s="48">
        <f>IFERROR(DIVIDE(VLOOKUP($B481,Data!$B$3:$AB$1535,9,FALSE),VLOOKUP($B481,Data!$B$3:$AB$1535,4,FALSE)),"")</f>
        <v>0.1365807068</v>
      </c>
      <c r="D481" s="48">
        <f>IFERROR(DIVIDE(VLOOKUP($B481,Data!$B$3:$AB$1535,24,FALSE),VLOOKUP($B481,Data!$B$3:$AB$1535,4,FALSE)),"")</f>
        <v>-0.06808595989</v>
      </c>
      <c r="E481" s="48">
        <f>IFERROR(DIVIDE(VLOOKUP($B481,Data!$B$3:$EZ1530,29,FALSE),VLOOKUP($B481,Data!$B$3:$EZ1530,4,FALSE)),"")</f>
        <v>-0.03824546323</v>
      </c>
      <c r="F481" s="48">
        <f>IFERROR(DIVIDE(VLOOKUP($B481,Data!$B$3:$EZ1530,34,FALSE),VLOOKUP($B481,Data!$B$3:$EZ1530,4,FALSE)),"")</f>
        <v>0.01557975167</v>
      </c>
      <c r="G481" s="48">
        <f>IFERROR(DIVIDE(VLOOKUP($B481,Data!$B$3:$EZ1530,39,FALSE),VLOOKUP($B481,Data!$B$3:$EZ1530,4,FALSE)),"")</f>
        <v>-0.08312989494</v>
      </c>
      <c r="H481" s="48">
        <f>IFERROR(DIVIDE(VLOOKUP($B481,Data!$B$3:$EZ1530,44,FALSE),VLOOKUP($B481,Data!$B$3:$EZ1530,4,FALSE)),"")</f>
        <v>0.1719197708</v>
      </c>
      <c r="I481" s="48">
        <f>IFERROR(MINUS(DIVIDE(VLOOKUP($B481,Data!$B$3:$EZ1530,9,FALSE),VLOOKUP($B481,Data!$B$3:$EZ1530,10,FALSE)),1),"")</f>
        <v>1.008483384</v>
      </c>
      <c r="J481" s="48">
        <f>IFERROR(MINUS(DIVIDE(VLOOKUP($B481,Data!$B$3:$EZ1530,24,FALSE),VLOOKUP($B481,Data!$B$3:$EZ1530,25,FALSE)),1),"")</f>
        <v>3.032469736</v>
      </c>
      <c r="K481" s="48">
        <f>IFERROR(MINUS(DIVIDE(VLOOKUP($B481,Data!$B$3:$EZ1530,29,FALSE),VLOOKUP($B481,Data!$B$3:$EZ1530,30,FALSE)),1),"")</f>
        <v>-0.6222358491</v>
      </c>
      <c r="L481" s="48">
        <f>IFERROR(MINUS(DIVIDE(VLOOKUP($B481,Data!$B$3:$EZ1530,34,FALSE),VLOOKUP($B481,Data!$B$3:$EZ1530,35,FALSE)),1),"")</f>
        <v>-1.437541911</v>
      </c>
      <c r="M481" s="48">
        <f>IFERROR(MINUS(DIVIDE(VLOOKUP($B481,Data!$B$3:$EZ1530,39,FALSE),VLOOKUP($B481,Data!$B$3:$EZ1530,40,FALSE)),1),"")</f>
        <v>-0.12963</v>
      </c>
      <c r="N481" s="48">
        <f>IFERROR(MINUS(DIVIDE(VLOOKUP($B481,Data!$B$3:$EZ1530,44,FALSE),VLOOKUP($B481,Data!$B$3:$EZ1530,45,FALSE)),1),"")</f>
        <v>0.3953488372</v>
      </c>
      <c r="O481" s="50">
        <f>IFERROR(VLOOKUP($B481,Data!$B$3:$D1530,2,FALSE),"")</f>
        <v>4820000</v>
      </c>
      <c r="P481" s="50">
        <f>IFERROR(VLOOKUP($B481,Data!$B$3:$D1530,3,FALSE),"")</f>
        <v>3990000</v>
      </c>
      <c r="Q481" s="48">
        <f t="shared" si="2"/>
        <v>0.2080200501</v>
      </c>
      <c r="R481" s="48"/>
      <c r="S481" s="48"/>
      <c r="T481" s="48"/>
      <c r="U481" s="48"/>
      <c r="V481" s="48"/>
      <c r="W481" s="50"/>
      <c r="Z481" s="12"/>
      <c r="AA481" s="12"/>
    </row>
    <row r="482">
      <c r="A482" s="9">
        <f t="shared" si="1"/>
        <v>479</v>
      </c>
      <c r="B482" s="47" t="s">
        <v>616</v>
      </c>
      <c r="C482" s="48">
        <f>IFERROR(DIVIDE(VLOOKUP($B482,Data!$B$3:$AB$1535,9,FALSE),VLOOKUP($B482,Data!$B$3:$AB$1535,4,FALSE)),"")</f>
        <v>0.4202421057</v>
      </c>
      <c r="D482" s="48">
        <f>IFERROR(DIVIDE(VLOOKUP($B482,Data!$B$3:$AB$1535,24,FALSE),VLOOKUP($B482,Data!$B$3:$AB$1535,4,FALSE)),"")</f>
        <v>-1.470921408</v>
      </c>
      <c r="E482" s="48">
        <f>IFERROR(DIVIDE(VLOOKUP($B482,Data!$B$3:$EZ1530,29,FALSE),VLOOKUP($B482,Data!$B$3:$EZ1530,4,FALSE)),"")</f>
        <v>-1.492355533</v>
      </c>
      <c r="F482" s="48">
        <f>IFERROR(DIVIDE(VLOOKUP($B482,Data!$B$3:$EZ1530,34,FALSE),VLOOKUP($B482,Data!$B$3:$EZ1530,4,FALSE)),"")</f>
        <v>0.7912486581</v>
      </c>
      <c r="G482" s="48">
        <f>IFERROR(DIVIDE(VLOOKUP($B482,Data!$B$3:$EZ1530,39,FALSE),VLOOKUP($B482,Data!$B$3:$EZ1530,4,FALSE)),"")</f>
        <v>-1.56913338</v>
      </c>
      <c r="H482" s="48">
        <f>IFERROR(DIVIDE(VLOOKUP($B482,Data!$B$3:$EZ1530,44,FALSE),VLOOKUP($B482,Data!$B$3:$EZ1530,4,FALSE)),"")</f>
        <v>0.2843075556</v>
      </c>
      <c r="I482" s="48">
        <f>IFERROR(MINUS(DIVIDE(VLOOKUP($B482,Data!$B$3:$EZ1530,9,FALSE),VLOOKUP($B482,Data!$B$3:$EZ1530,10,FALSE)),1),"")</f>
        <v>-0.09053036372</v>
      </c>
      <c r="J482" s="48">
        <f>IFERROR(MINUS(DIVIDE(VLOOKUP($B482,Data!$B$3:$EZ1530,24,FALSE),VLOOKUP($B482,Data!$B$3:$EZ1530,25,FALSE)),1),"")</f>
        <v>-10.6254845</v>
      </c>
      <c r="K482" s="48" t="str">
        <f>IFERROR(MINUS(DIVIDE(VLOOKUP($B482,Data!$B$3:$EZ1530,29,FALSE),VLOOKUP($B482,Data!$B$3:$EZ1530,30,FALSE)),1),"")</f>
        <v/>
      </c>
      <c r="L482" s="48">
        <f>IFERROR(MINUS(DIVIDE(VLOOKUP($B482,Data!$B$3:$EZ1530,34,FALSE),VLOOKUP($B482,Data!$B$3:$EZ1530,35,FALSE)),1),"")</f>
        <v>0.1701521953</v>
      </c>
      <c r="M482" s="48">
        <f>IFERROR(MINUS(DIVIDE(VLOOKUP($B482,Data!$B$3:$EZ1530,39,FALSE),VLOOKUP($B482,Data!$B$3:$EZ1530,40,FALSE)),1),"")</f>
        <v>17.77192205</v>
      </c>
      <c r="N482" s="48">
        <f>IFERROR(MINUS(DIVIDE(VLOOKUP($B482,Data!$B$3:$EZ1530,44,FALSE),VLOOKUP($B482,Data!$B$3:$EZ1530,45,FALSE)),1),"")</f>
        <v>-0.1046864071</v>
      </c>
      <c r="O482" s="50">
        <f>IFERROR(VLOOKUP($B482,Data!$B$3:$D1530,2,FALSE),"")</f>
        <v>231860</v>
      </c>
      <c r="P482" s="50">
        <f>IFERROR(VLOOKUP($B482,Data!$B$3:$D1530,3,FALSE),"")</f>
        <v>196380</v>
      </c>
      <c r="Q482" s="48">
        <f t="shared" si="2"/>
        <v>0.1806701293</v>
      </c>
      <c r="R482" s="48"/>
      <c r="S482" s="48"/>
      <c r="T482" s="48"/>
      <c r="U482" s="48"/>
      <c r="V482" s="48"/>
      <c r="W482" s="50"/>
      <c r="Z482" s="15"/>
      <c r="AA482" s="15"/>
    </row>
    <row r="483">
      <c r="A483" s="9">
        <f t="shared" si="1"/>
        <v>480</v>
      </c>
      <c r="B483" s="47" t="s">
        <v>617</v>
      </c>
      <c r="C483" s="48" t="str">
        <f>IFERROR(DIVIDE(VLOOKUP($B483,Data!$B$3:$AB$1535,9,FALSE),VLOOKUP($B483,Data!$B$3:$AB$1535,4,FALSE)),"")</f>
        <v/>
      </c>
      <c r="D483" s="48" t="str">
        <f>IFERROR(DIVIDE(VLOOKUP($B483,Data!$B$3:$AB$1535,24,FALSE),VLOOKUP($B483,Data!$B$3:$AB$1535,4,FALSE)),"")</f>
        <v/>
      </c>
      <c r="E483" s="48" t="str">
        <f>IFERROR(DIVIDE(VLOOKUP($B483,Data!$B$3:$EZ1530,29,FALSE),VLOOKUP($B483,Data!$B$3:$EZ1530,4,FALSE)),"")</f>
        <v/>
      </c>
      <c r="F483" s="48" t="str">
        <f>IFERROR(DIVIDE(VLOOKUP($B483,Data!$B$3:$EZ1530,34,FALSE),VLOOKUP($B483,Data!$B$3:$EZ1530,4,FALSE)),"")</f>
        <v/>
      </c>
      <c r="G483" s="48" t="str">
        <f>IFERROR(DIVIDE(VLOOKUP($B483,Data!$B$3:$EZ1530,39,FALSE),VLOOKUP($B483,Data!$B$3:$EZ1530,4,FALSE)),"")</f>
        <v/>
      </c>
      <c r="H483" s="48" t="str">
        <f>IFERROR(DIVIDE(VLOOKUP($B483,Data!$B$3:$EZ1530,44,FALSE),VLOOKUP($B483,Data!$B$3:$EZ1530,4,FALSE)),"")</f>
        <v/>
      </c>
      <c r="I483" s="48">
        <f>IFERROR(MINUS(DIVIDE(VLOOKUP($B483,Data!$B$3:$EZ1530,9,FALSE),VLOOKUP($B483,Data!$B$3:$EZ1530,10,FALSE)),1),"")</f>
        <v>4.294855709</v>
      </c>
      <c r="J483" s="48">
        <f>IFERROR(MINUS(DIVIDE(VLOOKUP($B483,Data!$B$3:$EZ1530,24,FALSE),VLOOKUP($B483,Data!$B$3:$EZ1530,25,FALSE)),1),"")</f>
        <v>0.4575945311</v>
      </c>
      <c r="K483" s="48">
        <f>IFERROR(MINUS(DIVIDE(VLOOKUP($B483,Data!$B$3:$EZ1530,29,FALSE),VLOOKUP($B483,Data!$B$3:$EZ1530,30,FALSE)),1),"")</f>
        <v>0.5629107981</v>
      </c>
      <c r="L483" s="48">
        <f>IFERROR(MINUS(DIVIDE(VLOOKUP($B483,Data!$B$3:$EZ1530,34,FALSE),VLOOKUP($B483,Data!$B$3:$EZ1530,35,FALSE)),1),"")</f>
        <v>0.3780410408</v>
      </c>
      <c r="M483" s="48">
        <f>IFERROR(MINUS(DIVIDE(VLOOKUP($B483,Data!$B$3:$EZ1530,39,FALSE),VLOOKUP($B483,Data!$B$3:$EZ1530,40,FALSE)),1),"")</f>
        <v>0.6394557823</v>
      </c>
      <c r="N483" s="48">
        <f>IFERROR(MINUS(DIVIDE(VLOOKUP($B483,Data!$B$3:$EZ1530,44,FALSE),VLOOKUP($B483,Data!$B$3:$EZ1530,45,FALSE)),1),"")</f>
        <v>0.1079704609</v>
      </c>
      <c r="O483" s="50">
        <f>IFERROR(VLOOKUP($B483,Data!$B$3:$D1530,2,FALSE),"")</f>
        <v>10570</v>
      </c>
      <c r="P483" s="50">
        <f>IFERROR(VLOOKUP($B483,Data!$B$3:$D1530,3,FALSE),"")</f>
        <v>9540</v>
      </c>
      <c r="Q483" s="48">
        <f t="shared" si="2"/>
        <v>0.107966457</v>
      </c>
      <c r="R483" s="48"/>
      <c r="S483" s="48"/>
      <c r="T483" s="48"/>
      <c r="U483" s="48"/>
      <c r="V483" s="48"/>
      <c r="W483" s="50"/>
      <c r="Z483" s="15"/>
      <c r="AA483" s="15"/>
    </row>
    <row r="484">
      <c r="A484" s="9">
        <f t="shared" si="1"/>
        <v>481</v>
      </c>
      <c r="B484" s="47" t="s">
        <v>618</v>
      </c>
      <c r="C484" s="48">
        <f>IFERROR(DIVIDE(VLOOKUP($B484,Data!$B$3:$AB$1535,9,FALSE),VLOOKUP($B484,Data!$B$3:$AB$1535,4,FALSE)),"")</f>
        <v>0.2264872051</v>
      </c>
      <c r="D484" s="48">
        <f>IFERROR(DIVIDE(VLOOKUP($B484,Data!$B$3:$AB$1535,24,FALSE),VLOOKUP($B484,Data!$B$3:$AB$1535,4,FALSE)),"")</f>
        <v>0</v>
      </c>
      <c r="E484" s="48">
        <f>IFERROR(DIVIDE(VLOOKUP($B484,Data!$B$3:$EZ1530,29,FALSE),VLOOKUP($B484,Data!$B$3:$EZ1530,4,FALSE)),"")</f>
        <v>0.04946272294</v>
      </c>
      <c r="F484" s="48">
        <f>IFERROR(DIVIDE(VLOOKUP($B484,Data!$B$3:$EZ1530,34,FALSE),VLOOKUP($B484,Data!$B$3:$EZ1530,4,FALSE)),"")</f>
        <v>0.07372327462</v>
      </c>
      <c r="G484" s="48">
        <f>IFERROR(DIVIDE(VLOOKUP($B484,Data!$B$3:$EZ1530,39,FALSE),VLOOKUP($B484,Data!$B$3:$EZ1530,4,FALSE)),"")</f>
        <v>0.04021269525</v>
      </c>
      <c r="H484" s="48">
        <f>IFERROR(DIVIDE(VLOOKUP($B484,Data!$B$3:$EZ1530,44,FALSE),VLOOKUP($B484,Data!$B$3:$EZ1530,4,FALSE)),"")</f>
        <v>0.08884457738</v>
      </c>
      <c r="I484" s="48">
        <f>IFERROR(MINUS(DIVIDE(VLOOKUP($B484,Data!$B$3:$EZ1530,9,FALSE),VLOOKUP($B484,Data!$B$3:$EZ1530,10,FALSE)),1),"")</f>
        <v>-0.06258596974</v>
      </c>
      <c r="J484" s="48" t="str">
        <f>IFERROR(MINUS(DIVIDE(VLOOKUP($B484,Data!$B$3:$EZ1530,24,FALSE),VLOOKUP($B484,Data!$B$3:$EZ1530,25,FALSE)),1),"")</f>
        <v/>
      </c>
      <c r="K484" s="48">
        <f>IFERROR(MINUS(DIVIDE(VLOOKUP($B484,Data!$B$3:$EZ1530,29,FALSE),VLOOKUP($B484,Data!$B$3:$EZ1530,30,FALSE)),1),"")</f>
        <v>-0.6622541604</v>
      </c>
      <c r="L484" s="48">
        <f>IFERROR(MINUS(DIVIDE(VLOOKUP($B484,Data!$B$3:$EZ1530,34,FALSE),VLOOKUP($B484,Data!$B$3:$EZ1530,35,FALSE)),1),"")</f>
        <v>-0.246745897</v>
      </c>
      <c r="M484" s="48">
        <f>IFERROR(MINUS(DIVIDE(VLOOKUP($B484,Data!$B$3:$EZ1530,39,FALSE),VLOOKUP($B484,Data!$B$3:$EZ1530,40,FALSE)),1),"")</f>
        <v>-0.64481409</v>
      </c>
      <c r="N484" s="48">
        <f>IFERROR(MINUS(DIVIDE(VLOOKUP($B484,Data!$B$3:$EZ1530,44,FALSE),VLOOKUP($B484,Data!$B$3:$EZ1530,45,FALSE)),1),"")</f>
        <v>1.46390169</v>
      </c>
      <c r="O484" s="50" t="str">
        <f>IFERROR(VLOOKUP($B484,Data!$B$3:$D1530,2,FALSE),"")</f>
        <v/>
      </c>
      <c r="P484" s="50" t="str">
        <f>IFERROR(VLOOKUP($B484,Data!$B$3:$D1530,3,FALSE),"")</f>
        <v/>
      </c>
      <c r="Q484" s="48" t="str">
        <f t="shared" si="2"/>
        <v/>
      </c>
      <c r="R484" s="48"/>
      <c r="S484" s="48"/>
      <c r="T484" s="48"/>
      <c r="U484" s="48"/>
      <c r="V484" s="48"/>
      <c r="W484" s="50"/>
      <c r="Z484" s="15"/>
      <c r="AA484" s="15"/>
    </row>
    <row r="485">
      <c r="A485" s="9">
        <f t="shared" si="1"/>
        <v>482</v>
      </c>
      <c r="B485" s="47" t="s">
        <v>619</v>
      </c>
      <c r="C485" s="48">
        <f>IFERROR(DIVIDE(VLOOKUP($B485,Data!$B$3:$AB$1535,9,FALSE),VLOOKUP($B485,Data!$B$3:$AB$1535,4,FALSE)),"")</f>
        <v>0.3505172393</v>
      </c>
      <c r="D485" s="48">
        <f>IFERROR(DIVIDE(VLOOKUP($B485,Data!$B$3:$AB$1535,24,FALSE),VLOOKUP($B485,Data!$B$3:$AB$1535,4,FALSE)),"")</f>
        <v>0.1322927045</v>
      </c>
      <c r="E485" s="48">
        <f>IFERROR(DIVIDE(VLOOKUP($B485,Data!$B$3:$EZ1530,29,FALSE),VLOOKUP($B485,Data!$B$3:$EZ1530,4,FALSE)),"")</f>
        <v>0.125736497</v>
      </c>
      <c r="F485" s="48">
        <f>IFERROR(DIVIDE(VLOOKUP($B485,Data!$B$3:$EZ1530,34,FALSE),VLOOKUP($B485,Data!$B$3:$EZ1530,4,FALSE)),"")</f>
        <v>0.1880758208</v>
      </c>
      <c r="G485" s="48">
        <f>IFERROR(DIVIDE(VLOOKUP($B485,Data!$B$3:$EZ1530,39,FALSE),VLOOKUP($B485,Data!$B$3:$EZ1530,4,FALSE)),"")</f>
        <v>0.09968387517</v>
      </c>
      <c r="H485" s="48">
        <f>IFERROR(DIVIDE(VLOOKUP($B485,Data!$B$3:$EZ1530,44,FALSE),VLOOKUP($B485,Data!$B$3:$EZ1530,4,FALSE)),"")</f>
        <v>0.1293282655</v>
      </c>
      <c r="I485" s="48">
        <f>IFERROR(MINUS(DIVIDE(VLOOKUP($B485,Data!$B$3:$EZ1530,9,FALSE),VLOOKUP($B485,Data!$B$3:$EZ1530,10,FALSE)),1),"")</f>
        <v>0.0840751731</v>
      </c>
      <c r="J485" s="48">
        <f>IFERROR(MINUS(DIVIDE(VLOOKUP($B485,Data!$B$3:$EZ1530,24,FALSE),VLOOKUP($B485,Data!$B$3:$EZ1530,25,FALSE)),1),"")</f>
        <v>0.1038694447</v>
      </c>
      <c r="K485" s="48">
        <f>IFERROR(MINUS(DIVIDE(VLOOKUP($B485,Data!$B$3:$EZ1530,29,FALSE),VLOOKUP($B485,Data!$B$3:$EZ1530,30,FALSE)),1),"")</f>
        <v>0.1613269711</v>
      </c>
      <c r="L485" s="48">
        <f>IFERROR(MINUS(DIVIDE(VLOOKUP($B485,Data!$B$3:$EZ1530,34,FALSE),VLOOKUP($B485,Data!$B$3:$EZ1530,35,FALSE)),1),"")</f>
        <v>0.1065277175</v>
      </c>
      <c r="M485" s="48">
        <f>IFERROR(MINUS(DIVIDE(VLOOKUP($B485,Data!$B$3:$EZ1530,39,FALSE),VLOOKUP($B485,Data!$B$3:$EZ1530,40,FALSE)),1),"")</f>
        <v>-0.1204688517</v>
      </c>
      <c r="N485" s="48">
        <f>IFERROR(MINUS(DIVIDE(VLOOKUP($B485,Data!$B$3:$EZ1530,44,FALSE),VLOOKUP($B485,Data!$B$3:$EZ1530,45,FALSE)),1),"")</f>
        <v>0.1273858031</v>
      </c>
      <c r="O485" s="50">
        <f>IFERROR(VLOOKUP($B485,Data!$B$3:$D1530,2,FALSE),"")</f>
        <v>793560</v>
      </c>
      <c r="P485" s="50">
        <f>IFERROR(VLOOKUP($B485,Data!$B$3:$D1530,3,FALSE),"")</f>
        <v>733190</v>
      </c>
      <c r="Q485" s="48">
        <f t="shared" si="2"/>
        <v>0.08233882077</v>
      </c>
      <c r="R485" s="48"/>
      <c r="S485" s="48"/>
      <c r="T485" s="48"/>
      <c r="U485" s="48"/>
      <c r="V485" s="48"/>
      <c r="W485" s="50"/>
      <c r="Z485" s="11"/>
      <c r="AA485" s="11"/>
    </row>
    <row r="486">
      <c r="A486" s="9">
        <f t="shared" si="1"/>
        <v>483</v>
      </c>
      <c r="B486" s="47" t="s">
        <v>620</v>
      </c>
      <c r="C486" s="48">
        <f>IFERROR(DIVIDE(VLOOKUP($B486,Data!$B$3:$AB$1535,9,FALSE),VLOOKUP($B486,Data!$B$3:$AB$1535,4,FALSE)),"")</f>
        <v>0.2604361371</v>
      </c>
      <c r="D486" s="48">
        <f>IFERROR(DIVIDE(VLOOKUP($B486,Data!$B$3:$AB$1535,24,FALSE),VLOOKUP($B486,Data!$B$3:$AB$1535,4,FALSE)),"")</f>
        <v>0.05802679128</v>
      </c>
      <c r="E486" s="48">
        <f>IFERROR(DIVIDE(VLOOKUP($B486,Data!$B$3:$EZ1530,29,FALSE),VLOOKUP($B486,Data!$B$3:$EZ1530,4,FALSE)),"")</f>
        <v>0.05467601246</v>
      </c>
      <c r="F486" s="48">
        <f>IFERROR(DIVIDE(VLOOKUP($B486,Data!$B$3:$EZ1530,34,FALSE),VLOOKUP($B486,Data!$B$3:$EZ1530,4,FALSE)),"")</f>
        <v>0.09470404984</v>
      </c>
      <c r="G486" s="48">
        <f>IFERROR(DIVIDE(VLOOKUP($B486,Data!$B$3:$EZ1530,39,FALSE),VLOOKUP($B486,Data!$B$3:$EZ1530,4,FALSE)),"")</f>
        <v>0.05058317757</v>
      </c>
      <c r="H486" s="48">
        <f>IFERROR(DIVIDE(VLOOKUP($B486,Data!$B$3:$EZ1530,44,FALSE),VLOOKUP($B486,Data!$B$3:$EZ1530,4,FALSE)),"")</f>
        <v>-0.01183613707</v>
      </c>
      <c r="I486" s="48">
        <f>IFERROR(MINUS(DIVIDE(VLOOKUP($B486,Data!$B$3:$EZ1530,9,FALSE),VLOOKUP($B486,Data!$B$3:$EZ1530,10,FALSE)),1),"")</f>
        <v>0.1908831909</v>
      </c>
      <c r="J486" s="48">
        <f>IFERROR(MINUS(DIVIDE(VLOOKUP($B486,Data!$B$3:$EZ1530,24,FALSE),VLOOKUP($B486,Data!$B$3:$EZ1530,25,FALSE)),1),"")</f>
        <v>0.08089319081</v>
      </c>
      <c r="K486" s="48">
        <f>IFERROR(MINUS(DIVIDE(VLOOKUP($B486,Data!$B$3:$EZ1530,29,FALSE),VLOOKUP($B486,Data!$B$3:$EZ1530,30,FALSE)),1),"")</f>
        <v>0.0284913975</v>
      </c>
      <c r="L486" s="48">
        <f>IFERROR(MINUS(DIVIDE(VLOOKUP($B486,Data!$B$3:$EZ1530,34,FALSE),VLOOKUP($B486,Data!$B$3:$EZ1530,35,FALSE)),1),"")</f>
        <v>0.1603053435</v>
      </c>
      <c r="M486" s="48">
        <f>IFERROR(MINUS(DIVIDE(VLOOKUP($B486,Data!$B$3:$EZ1530,39,FALSE),VLOOKUP($B486,Data!$B$3:$EZ1530,40,FALSE)),1),"")</f>
        <v>0.09226670972</v>
      </c>
      <c r="N486" s="48">
        <f>IFERROR(MINUS(DIVIDE(VLOOKUP($B486,Data!$B$3:$EZ1530,44,FALSE),VLOOKUP($B486,Data!$B$3:$EZ1530,45,FALSE)),1),"")</f>
        <v>-1.275694424</v>
      </c>
      <c r="O486" s="50">
        <f>IFERROR(VLOOKUP($B486,Data!$B$3:$D1530,2,FALSE),"")</f>
        <v>5080000</v>
      </c>
      <c r="P486" s="50">
        <f>IFERROR(VLOOKUP($B486,Data!$B$3:$D1530,3,FALSE),"")</f>
        <v>4840000</v>
      </c>
      <c r="Q486" s="48">
        <f t="shared" si="2"/>
        <v>0.04958677686</v>
      </c>
      <c r="R486" s="48"/>
      <c r="S486" s="48"/>
      <c r="T486" s="48"/>
      <c r="U486" s="48"/>
      <c r="V486" s="48"/>
      <c r="W486" s="50"/>
      <c r="Z486" s="12"/>
      <c r="AA486" s="12"/>
    </row>
    <row r="487">
      <c r="A487" s="9">
        <f t="shared" si="1"/>
        <v>484</v>
      </c>
      <c r="B487" s="47" t="s">
        <v>621</v>
      </c>
      <c r="C487" s="48">
        <f>IFERROR(DIVIDE(VLOOKUP($B487,Data!$B$3:$AB$1535,9,FALSE),VLOOKUP($B487,Data!$B$3:$AB$1535,4,FALSE)),"")</f>
        <v>0</v>
      </c>
      <c r="D487" s="48">
        <f>IFERROR(DIVIDE(VLOOKUP($B487,Data!$B$3:$AB$1535,24,FALSE),VLOOKUP($B487,Data!$B$3:$AB$1535,4,FALSE)),"")</f>
        <v>0</v>
      </c>
      <c r="E487" s="48">
        <f>IFERROR(DIVIDE(VLOOKUP($B487,Data!$B$3:$EZ1530,29,FALSE),VLOOKUP($B487,Data!$B$3:$EZ1530,4,FALSE)),"")</f>
        <v>-0.6549609059</v>
      </c>
      <c r="F487" s="48">
        <f>IFERROR(DIVIDE(VLOOKUP($B487,Data!$B$3:$EZ1530,34,FALSE),VLOOKUP($B487,Data!$B$3:$EZ1530,4,FALSE)),"")</f>
        <v>-0.6253707199</v>
      </c>
      <c r="G487" s="48">
        <f>IFERROR(DIVIDE(VLOOKUP($B487,Data!$B$3:$EZ1530,39,FALSE),VLOOKUP($B487,Data!$B$3:$EZ1530,4,FALSE)),"")</f>
        <v>-0.6549609059</v>
      </c>
      <c r="H487" s="48">
        <f>IFERROR(DIVIDE(VLOOKUP($B487,Data!$B$3:$EZ1530,44,FALSE),VLOOKUP($B487,Data!$B$3:$EZ1530,4,FALSE)),"")</f>
        <v>-0.4741170127</v>
      </c>
      <c r="I487" s="48">
        <f>IFERROR(MINUS(DIVIDE(VLOOKUP($B487,Data!$B$3:$EZ1530,9,FALSE),VLOOKUP($B487,Data!$B$3:$EZ1530,10,FALSE)),1),"")</f>
        <v>-1</v>
      </c>
      <c r="J487" s="48" t="str">
        <f>IFERROR(MINUS(DIVIDE(VLOOKUP($B487,Data!$B$3:$EZ1530,24,FALSE),VLOOKUP($B487,Data!$B$3:$EZ1530,25,FALSE)),1),"")</f>
        <v/>
      </c>
      <c r="K487" s="48">
        <f>IFERROR(MINUS(DIVIDE(VLOOKUP($B487,Data!$B$3:$EZ1530,29,FALSE),VLOOKUP($B487,Data!$B$3:$EZ1530,30,FALSE)),1),"")</f>
        <v>-0.5185075071</v>
      </c>
      <c r="L487" s="48">
        <f>IFERROR(MINUS(DIVIDE(VLOOKUP($B487,Data!$B$3:$EZ1530,34,FALSE),VLOOKUP($B487,Data!$B$3:$EZ1530,35,FALSE)),1),"")</f>
        <v>-0.545908379</v>
      </c>
      <c r="M487" s="48">
        <f>IFERROR(MINUS(DIVIDE(VLOOKUP($B487,Data!$B$3:$EZ1530,39,FALSE),VLOOKUP($B487,Data!$B$3:$EZ1530,40,FALSE)),1),"")</f>
        <v>-0.5185075071</v>
      </c>
      <c r="N487" s="48">
        <f>IFERROR(MINUS(DIVIDE(VLOOKUP($B487,Data!$B$3:$EZ1530,44,FALSE),VLOOKUP($B487,Data!$B$3:$EZ1530,45,FALSE)),1),"")</f>
        <v>-0.5267761033</v>
      </c>
      <c r="O487" s="50">
        <f>IFERROR(VLOOKUP($B487,Data!$B$3:$D1530,2,FALSE),"")</f>
        <v>172510</v>
      </c>
      <c r="P487" s="50">
        <f>IFERROR(VLOOKUP($B487,Data!$B$3:$D1530,3,FALSE),"")</f>
        <v>246010</v>
      </c>
      <c r="Q487" s="48">
        <f t="shared" si="2"/>
        <v>-0.2987683428</v>
      </c>
      <c r="R487" s="48"/>
      <c r="S487" s="48"/>
      <c r="T487" s="48"/>
      <c r="U487" s="48"/>
      <c r="V487" s="48"/>
      <c r="W487" s="50"/>
      <c r="Z487" s="11"/>
      <c r="AA487" s="11"/>
    </row>
    <row r="488">
      <c r="A488" s="9">
        <f t="shared" si="1"/>
        <v>485</v>
      </c>
      <c r="B488" s="47" t="s">
        <v>622</v>
      </c>
      <c r="C488" s="48">
        <f>IFERROR(DIVIDE(VLOOKUP($B488,Data!$B$3:$AB$1535,9,FALSE),VLOOKUP($B488,Data!$B$3:$AB$1535,4,FALSE)),"")</f>
        <v>0.5478265292</v>
      </c>
      <c r="D488" s="48">
        <f>IFERROR(DIVIDE(VLOOKUP($B488,Data!$B$3:$AB$1535,24,FALSE),VLOOKUP($B488,Data!$B$3:$AB$1535,4,FALSE)),"")</f>
        <v>0.02482029025</v>
      </c>
      <c r="E488" s="48">
        <f>IFERROR(DIVIDE(VLOOKUP($B488,Data!$B$3:$EZ1530,29,FALSE),VLOOKUP($B488,Data!$B$3:$EZ1530,4,FALSE)),"")</f>
        <v>0.02405737149</v>
      </c>
      <c r="F488" s="48">
        <f>IFERROR(DIVIDE(VLOOKUP($B488,Data!$B$3:$EZ1530,34,FALSE),VLOOKUP($B488,Data!$B$3:$EZ1530,4,FALSE)),"")</f>
        <v>0</v>
      </c>
      <c r="G488" s="48">
        <f>IFERROR(DIVIDE(VLOOKUP($B488,Data!$B$3:$EZ1530,39,FALSE),VLOOKUP($B488,Data!$B$3:$EZ1530,4,FALSE)),"")</f>
        <v>0.01508883765</v>
      </c>
      <c r="H488" s="48">
        <f>IFERROR(DIVIDE(VLOOKUP($B488,Data!$B$3:$EZ1530,44,FALSE),VLOOKUP($B488,Data!$B$3:$EZ1530,4,FALSE)),"")</f>
        <v>0</v>
      </c>
      <c r="I488" s="48">
        <f>IFERROR(MINUS(DIVIDE(VLOOKUP($B488,Data!$B$3:$EZ1530,9,FALSE),VLOOKUP($B488,Data!$B$3:$EZ1530,10,FALSE)),1),"")</f>
        <v>-0.2147318282</v>
      </c>
      <c r="J488" s="48">
        <f>IFERROR(MINUS(DIVIDE(VLOOKUP($B488,Data!$B$3:$EZ1530,24,FALSE),VLOOKUP($B488,Data!$B$3:$EZ1530,25,FALSE)),1),"")</f>
        <v>-0.5687776141</v>
      </c>
      <c r="K488" s="48">
        <f>IFERROR(MINUS(DIVIDE(VLOOKUP($B488,Data!$B$3:$EZ1530,29,FALSE),VLOOKUP($B488,Data!$B$3:$EZ1530,30,FALSE)),1),"")</f>
        <v>-0.5809214412</v>
      </c>
      <c r="L488" s="48">
        <f>IFERROR(MINUS(DIVIDE(VLOOKUP($B488,Data!$B$3:$EZ1530,34,FALSE),VLOOKUP($B488,Data!$B$3:$EZ1530,35,FALSE)),1),"")</f>
        <v>-1</v>
      </c>
      <c r="M488" s="48">
        <f>IFERROR(MINUS(DIVIDE(VLOOKUP($B488,Data!$B$3:$EZ1530,39,FALSE),VLOOKUP($B488,Data!$B$3:$EZ1530,40,FALSE)),1),"")</f>
        <v>-0.6536964981</v>
      </c>
      <c r="N488" s="48">
        <f>IFERROR(MINUS(DIVIDE(VLOOKUP($B488,Data!$B$3:$EZ1530,44,FALSE),VLOOKUP($B488,Data!$B$3:$EZ1530,45,FALSE)),1),"")</f>
        <v>-1</v>
      </c>
      <c r="O488" s="50">
        <f>IFERROR(VLOOKUP($B488,Data!$B$3:$D1530,2,FALSE),"")</f>
        <v>654370</v>
      </c>
      <c r="P488" s="50">
        <f>IFERROR(VLOOKUP($B488,Data!$B$3:$D1530,3,FALSE),"")</f>
        <v>606970</v>
      </c>
      <c r="Q488" s="48">
        <f t="shared" si="2"/>
        <v>0.07809282172</v>
      </c>
      <c r="R488" s="48"/>
      <c r="S488" s="48"/>
      <c r="T488" s="48"/>
      <c r="U488" s="48"/>
      <c r="V488" s="48"/>
      <c r="W488" s="50"/>
      <c r="Z488" s="11"/>
      <c r="AA488" s="11"/>
    </row>
    <row r="489">
      <c r="A489" s="9">
        <f t="shared" si="1"/>
        <v>486</v>
      </c>
      <c r="B489" s="47" t="s">
        <v>623</v>
      </c>
      <c r="C489" s="48">
        <f>IFERROR(DIVIDE(VLOOKUP($B489,Data!$B$3:$AB$1535,9,FALSE),VLOOKUP($B489,Data!$B$3:$AB$1535,4,FALSE)),"")</f>
        <v>0.3295932679</v>
      </c>
      <c r="D489" s="48">
        <f>IFERROR(DIVIDE(VLOOKUP($B489,Data!$B$3:$AB$1535,24,FALSE),VLOOKUP($B489,Data!$B$3:$AB$1535,4,FALSE)),"")</f>
        <v>0.1374474053</v>
      </c>
      <c r="E489" s="48">
        <f>IFERROR(DIVIDE(VLOOKUP($B489,Data!$B$3:$EZ1530,29,FALSE),VLOOKUP($B489,Data!$B$3:$EZ1530,4,FALSE)),"")</f>
        <v>0.121084619</v>
      </c>
      <c r="F489" s="48">
        <f>IFERROR(DIVIDE(VLOOKUP($B489,Data!$B$3:$EZ1530,34,FALSE),VLOOKUP($B489,Data!$B$3:$EZ1530,4,FALSE)),"")</f>
        <v>0.1846657317</v>
      </c>
      <c r="G489" s="48">
        <f>IFERROR(DIVIDE(VLOOKUP($B489,Data!$B$3:$EZ1530,39,FALSE),VLOOKUP($B489,Data!$B$3:$EZ1530,4,FALSE)),"")</f>
        <v>0.1033193081</v>
      </c>
      <c r="H489" s="48">
        <f>IFERROR(DIVIDE(VLOOKUP($B489,Data!$B$3:$EZ1530,44,FALSE),VLOOKUP($B489,Data!$B$3:$EZ1530,4,FALSE)),"")</f>
        <v>0.1612903226</v>
      </c>
      <c r="I489" s="48">
        <f>IFERROR(MINUS(DIVIDE(VLOOKUP($B489,Data!$B$3:$EZ1530,9,FALSE),VLOOKUP($B489,Data!$B$3:$EZ1530,10,FALSE)),1),"")</f>
        <v>-0.008438818565</v>
      </c>
      <c r="J489" s="48">
        <f>IFERROR(MINUS(DIVIDE(VLOOKUP($B489,Data!$B$3:$EZ1530,24,FALSE),VLOOKUP($B489,Data!$B$3:$EZ1530,25,FALSE)),1),"")</f>
        <v>0.08487084871</v>
      </c>
      <c r="K489" s="48">
        <f>IFERROR(MINUS(DIVIDE(VLOOKUP($B489,Data!$B$3:$EZ1530,29,FALSE),VLOOKUP($B489,Data!$B$3:$EZ1530,30,FALSE)),1),"")</f>
        <v>0.07024793388</v>
      </c>
      <c r="L489" s="48">
        <f>IFERROR(MINUS(DIVIDE(VLOOKUP($B489,Data!$B$3:$EZ1530,34,FALSE),VLOOKUP($B489,Data!$B$3:$EZ1530,35,FALSE)),1),"")</f>
        <v>0.01542416452</v>
      </c>
      <c r="M489" s="48">
        <f>IFERROR(MINUS(DIVIDE(VLOOKUP($B489,Data!$B$3:$EZ1530,39,FALSE),VLOOKUP($B489,Data!$B$3:$EZ1530,40,FALSE)),1),"")</f>
        <v>0.02790697674</v>
      </c>
      <c r="N489" s="48">
        <f>IFERROR(MINUS(DIVIDE(VLOOKUP($B489,Data!$B$3:$EZ1530,44,FALSE),VLOOKUP($B489,Data!$B$3:$EZ1530,45,FALSE)),1),"")</f>
        <v>0.2969924812</v>
      </c>
      <c r="O489" s="50">
        <f>IFERROR(VLOOKUP($B489,Data!$B$3:$D1530,2,FALSE),"")</f>
        <v>17820000</v>
      </c>
      <c r="P489" s="50">
        <f>IFERROR(VLOOKUP($B489,Data!$B$3:$D1530,3,FALSE),"")</f>
        <v>17210000</v>
      </c>
      <c r="Q489" s="48">
        <f t="shared" si="2"/>
        <v>0.03544450901</v>
      </c>
      <c r="R489" s="48"/>
      <c r="S489" s="48"/>
      <c r="T489" s="48"/>
      <c r="U489" s="48"/>
      <c r="V489" s="48"/>
      <c r="W489" s="50"/>
      <c r="Z489" s="11"/>
      <c r="AA489" s="11"/>
    </row>
    <row r="490">
      <c r="A490" s="9">
        <f t="shared" si="1"/>
        <v>487</v>
      </c>
      <c r="B490" s="47" t="s">
        <v>624</v>
      </c>
      <c r="C490" s="48" t="str">
        <f>IFERROR(DIVIDE(VLOOKUP($B490,Data!$B$3:$AB$1535,9,FALSE),VLOOKUP($B490,Data!$B$3:$AB$1535,4,FALSE)),"")</f>
        <v/>
      </c>
      <c r="D490" s="48" t="str">
        <f>IFERROR(DIVIDE(VLOOKUP($B490,Data!$B$3:$AB$1535,24,FALSE),VLOOKUP($B490,Data!$B$3:$AB$1535,4,FALSE)),"")</f>
        <v/>
      </c>
      <c r="E490" s="48" t="str">
        <f>IFERROR(DIVIDE(VLOOKUP($B490,Data!$B$3:$EZ1530,29,FALSE),VLOOKUP($B490,Data!$B$3:$EZ1530,4,FALSE)),"")</f>
        <v/>
      </c>
      <c r="F490" s="48" t="str">
        <f>IFERROR(DIVIDE(VLOOKUP($B490,Data!$B$3:$EZ1530,34,FALSE),VLOOKUP($B490,Data!$B$3:$EZ1530,4,FALSE)),"")</f>
        <v/>
      </c>
      <c r="G490" s="48" t="str">
        <f>IFERROR(DIVIDE(VLOOKUP($B490,Data!$B$3:$EZ1530,39,FALSE),VLOOKUP($B490,Data!$B$3:$EZ1530,4,FALSE)),"")</f>
        <v/>
      </c>
      <c r="H490" s="48" t="str">
        <f>IFERROR(DIVIDE(VLOOKUP($B490,Data!$B$3:$EZ1530,44,FALSE),VLOOKUP($B490,Data!$B$3:$EZ1530,4,FALSE)),"")</f>
        <v/>
      </c>
      <c r="I490" s="48">
        <f>IFERROR(MINUS(DIVIDE(VLOOKUP($B490,Data!$B$3:$EZ1530,9,FALSE),VLOOKUP($B490,Data!$B$3:$EZ1530,10,FALSE)),1),"")</f>
        <v>1.833333333</v>
      </c>
      <c r="J490" s="48">
        <f>IFERROR(MINUS(DIVIDE(VLOOKUP($B490,Data!$B$3:$EZ1530,24,FALSE),VLOOKUP($B490,Data!$B$3:$EZ1530,25,FALSE)),1),"")</f>
        <v>2.546468401</v>
      </c>
      <c r="K490" s="48">
        <f>IFERROR(MINUS(DIVIDE(VLOOKUP($B490,Data!$B$3:$EZ1530,29,FALSE),VLOOKUP($B490,Data!$B$3:$EZ1530,30,FALSE)),1),"")</f>
        <v>2.541795666</v>
      </c>
      <c r="L490" s="48">
        <f>IFERROR(MINUS(DIVIDE(VLOOKUP($B490,Data!$B$3:$EZ1530,34,FALSE),VLOOKUP($B490,Data!$B$3:$EZ1530,35,FALSE)),1),"")</f>
        <v>0.7559366755</v>
      </c>
      <c r="M490" s="48">
        <f>IFERROR(MINUS(DIVIDE(VLOOKUP($B490,Data!$B$3:$EZ1530,39,FALSE),VLOOKUP($B490,Data!$B$3:$EZ1530,40,FALSE)),1),"")</f>
        <v>2.548825711</v>
      </c>
      <c r="N490" s="48">
        <f>IFERROR(MINUS(DIVIDE(VLOOKUP($B490,Data!$B$3:$EZ1530,44,FALSE),VLOOKUP($B490,Data!$B$3:$EZ1530,45,FALSE)),1),"")</f>
        <v>1.04170008</v>
      </c>
      <c r="O490" s="50" t="str">
        <f>IFERROR(VLOOKUP($B490,Data!$B$3:$D1530,2,FALSE),"")</f>
        <v/>
      </c>
      <c r="P490" s="50" t="str">
        <f>IFERROR(VLOOKUP($B490,Data!$B$3:$D1530,3,FALSE),"")</f>
        <v/>
      </c>
      <c r="Q490" s="48" t="str">
        <f t="shared" si="2"/>
        <v/>
      </c>
      <c r="R490" s="48"/>
      <c r="S490" s="48"/>
      <c r="T490" s="48"/>
      <c r="U490" s="48"/>
      <c r="V490" s="48"/>
      <c r="W490" s="50"/>
      <c r="Z490" s="11"/>
      <c r="AA490" s="11"/>
    </row>
    <row r="491">
      <c r="A491" s="9">
        <f t="shared" si="1"/>
        <v>488</v>
      </c>
      <c r="B491" s="47" t="s">
        <v>625</v>
      </c>
      <c r="C491" s="48">
        <f>IFERROR(DIVIDE(VLOOKUP($B491,Data!$B$3:$AB$1535,9,FALSE),VLOOKUP($B491,Data!$B$3:$AB$1535,4,FALSE)),"")</f>
        <v>0.527632951</v>
      </c>
      <c r="D491" s="48">
        <f>IFERROR(DIVIDE(VLOOKUP($B491,Data!$B$3:$AB$1535,24,FALSE),VLOOKUP($B491,Data!$B$3:$AB$1535,4,FALSE)),"")</f>
        <v>0</v>
      </c>
      <c r="E491" s="48">
        <f>IFERROR(DIVIDE(VLOOKUP($B491,Data!$B$3:$EZ1530,29,FALSE),VLOOKUP($B491,Data!$B$3:$EZ1530,4,FALSE)),"")</f>
        <v>-19.10323253</v>
      </c>
      <c r="F491" s="48">
        <f>IFERROR(DIVIDE(VLOOKUP($B491,Data!$B$3:$EZ1530,34,FALSE),VLOOKUP($B491,Data!$B$3:$EZ1530,4,FALSE)),"")</f>
        <v>-18.92596455</v>
      </c>
      <c r="G491" s="48">
        <f>IFERROR(DIVIDE(VLOOKUP($B491,Data!$B$3:$EZ1530,39,FALSE),VLOOKUP($B491,Data!$B$3:$EZ1530,4,FALSE)),"")</f>
        <v>-19.10323253</v>
      </c>
      <c r="H491" s="48">
        <f>IFERROR(DIVIDE(VLOOKUP($B491,Data!$B$3:$EZ1530,44,FALSE),VLOOKUP($B491,Data!$B$3:$EZ1530,4,FALSE)),"")</f>
        <v>-18.8008342</v>
      </c>
      <c r="I491" s="48">
        <f>IFERROR(MINUS(DIVIDE(VLOOKUP($B491,Data!$B$3:$EZ1530,9,FALSE),VLOOKUP($B491,Data!$B$3:$EZ1530,10,FALSE)),1),"")</f>
        <v>-9.031746032</v>
      </c>
      <c r="J491" s="48">
        <f>IFERROR(MINUS(DIVIDE(VLOOKUP($B491,Data!$B$3:$EZ1530,24,FALSE),VLOOKUP($B491,Data!$B$3:$EZ1530,25,FALSE)),1),"")</f>
        <v>-1</v>
      </c>
      <c r="K491" s="48">
        <f>IFERROR(MINUS(DIVIDE(VLOOKUP($B491,Data!$B$3:$EZ1530,29,FALSE),VLOOKUP($B491,Data!$B$3:$EZ1530,30,FALSE)),1),"")</f>
        <v>0.4379905808</v>
      </c>
      <c r="L491" s="48">
        <f>IFERROR(MINUS(DIVIDE(VLOOKUP($B491,Data!$B$3:$EZ1530,34,FALSE),VLOOKUP($B491,Data!$B$3:$EZ1530,35,FALSE)),1),"")</f>
        <v>0.769005848</v>
      </c>
      <c r="M491" s="48">
        <f>IFERROR(MINUS(DIVIDE(VLOOKUP($B491,Data!$B$3:$EZ1530,39,FALSE),VLOOKUP($B491,Data!$B$3:$EZ1530,40,FALSE)),1),"")</f>
        <v>0.4379905808</v>
      </c>
      <c r="N491" s="48">
        <f>IFERROR(MINUS(DIVIDE(VLOOKUP($B491,Data!$B$3:$EZ1530,44,FALSE),VLOOKUP($B491,Data!$B$3:$EZ1530,45,FALSE)),1),"")</f>
        <v>1.212269939</v>
      </c>
      <c r="O491" s="50">
        <f>IFERROR(VLOOKUP($B491,Data!$B$3:$D1530,2,FALSE),"")</f>
        <v>29560</v>
      </c>
      <c r="P491" s="50">
        <f>IFERROR(VLOOKUP($B491,Data!$B$3:$D1530,3,FALSE),"")</f>
        <v>1750</v>
      </c>
      <c r="Q491" s="48">
        <f t="shared" si="2"/>
        <v>15.89142857</v>
      </c>
      <c r="R491" s="48"/>
      <c r="S491" s="48"/>
      <c r="T491" s="48"/>
      <c r="U491" s="48"/>
      <c r="V491" s="48"/>
      <c r="W491" s="50"/>
      <c r="Z491" s="11"/>
      <c r="AA491" s="11"/>
    </row>
    <row r="492">
      <c r="A492" s="9">
        <f t="shared" si="1"/>
        <v>489</v>
      </c>
      <c r="B492" s="47" t="s">
        <v>626</v>
      </c>
      <c r="C492" s="48">
        <f>IFERROR(DIVIDE(VLOOKUP($B492,Data!$B$3:$AB$1535,9,FALSE),VLOOKUP($B492,Data!$B$3:$AB$1535,4,FALSE)),"")</f>
        <v>0.2548256986</v>
      </c>
      <c r="D492" s="48">
        <f>IFERROR(DIVIDE(VLOOKUP($B492,Data!$B$3:$AB$1535,24,FALSE),VLOOKUP($B492,Data!$B$3:$AB$1535,4,FALSE)),"")</f>
        <v>0.1739292231</v>
      </c>
      <c r="E492" s="48">
        <f>IFERROR(DIVIDE(VLOOKUP($B492,Data!$B$3:$EZ1530,29,FALSE),VLOOKUP($B492,Data!$B$3:$EZ1530,4,FALSE)),"")</f>
        <v>0.1033563814</v>
      </c>
      <c r="F492" s="48">
        <f>IFERROR(DIVIDE(VLOOKUP($B492,Data!$B$3:$EZ1530,34,FALSE),VLOOKUP($B492,Data!$B$3:$EZ1530,4,FALSE)),"")</f>
        <v>0.5452799385</v>
      </c>
      <c r="G492" s="48">
        <f>IFERROR(DIVIDE(VLOOKUP($B492,Data!$B$3:$EZ1530,39,FALSE),VLOOKUP($B492,Data!$B$3:$EZ1530,4,FALSE)),"")</f>
        <v>0.120366369</v>
      </c>
      <c r="H492" s="48">
        <f>IFERROR(DIVIDE(VLOOKUP($B492,Data!$B$3:$EZ1530,44,FALSE),VLOOKUP($B492,Data!$B$3:$EZ1530,4,FALSE)),"")</f>
        <v>0.2917146836</v>
      </c>
      <c r="I492" s="48">
        <f>IFERROR(MINUS(DIVIDE(VLOOKUP($B492,Data!$B$3:$EZ1530,9,FALSE),VLOOKUP($B492,Data!$B$3:$EZ1530,10,FALSE)),1),"")</f>
        <v>-9.63980464</v>
      </c>
      <c r="J492" s="48">
        <f>IFERROR(MINUS(DIVIDE(VLOOKUP($B492,Data!$B$3:$EZ1530,24,FALSE),VLOOKUP($B492,Data!$B$3:$EZ1530,25,FALSE)),1),"")</f>
        <v>-2.692244803</v>
      </c>
      <c r="K492" s="48">
        <f>IFERROR(MINUS(DIVIDE(VLOOKUP($B492,Data!$B$3:$EZ1530,29,FALSE),VLOOKUP($B492,Data!$B$3:$EZ1530,30,FALSE)),1),"")</f>
        <v>-1.806784108</v>
      </c>
      <c r="L492" s="48">
        <f>IFERROR(MINUS(DIVIDE(VLOOKUP($B492,Data!$B$3:$EZ1530,34,FALSE),VLOOKUP($B492,Data!$B$3:$EZ1530,35,FALSE)),1),"")</f>
        <v>2.054124924</v>
      </c>
      <c r="M492" s="48">
        <f>IFERROR(MINUS(DIVIDE(VLOOKUP($B492,Data!$B$3:$EZ1530,39,FALSE),VLOOKUP($B492,Data!$B$3:$EZ1530,40,FALSE)),1),"")</f>
        <v>-2.074705252</v>
      </c>
      <c r="N492" s="48">
        <f>IFERROR(MINUS(DIVIDE(VLOOKUP($B492,Data!$B$3:$EZ1530,44,FALSE),VLOOKUP($B492,Data!$B$3:$EZ1530,45,FALSE)),1),"")</f>
        <v>353.7591241</v>
      </c>
      <c r="O492" s="50">
        <f>IFERROR(VLOOKUP($B492,Data!$B$3:$D1530,2,FALSE),"")</f>
        <v>929780</v>
      </c>
      <c r="P492" s="50">
        <f>IFERROR(VLOOKUP($B492,Data!$B$3:$D1530,3,FALSE),"")</f>
        <v>1330000</v>
      </c>
      <c r="Q492" s="48">
        <f t="shared" si="2"/>
        <v>-0.3009172932</v>
      </c>
      <c r="R492" s="48"/>
      <c r="S492" s="48"/>
      <c r="T492" s="48"/>
      <c r="U492" s="48"/>
      <c r="V492" s="48"/>
      <c r="W492" s="50"/>
      <c r="Z492" s="12"/>
      <c r="AA492" s="12"/>
    </row>
    <row r="493">
      <c r="A493" s="9">
        <f t="shared" si="1"/>
        <v>490</v>
      </c>
      <c r="B493" s="47" t="s">
        <v>627</v>
      </c>
      <c r="C493" s="48" t="str">
        <f>IFERROR(DIVIDE(VLOOKUP($B493,Data!$B$3:$AB$1535,9,FALSE),VLOOKUP($B493,Data!$B$3:$AB$1535,4,FALSE)),"")</f>
        <v/>
      </c>
      <c r="D493" s="48" t="str">
        <f>IFERROR(DIVIDE(VLOOKUP($B493,Data!$B$3:$AB$1535,24,FALSE),VLOOKUP($B493,Data!$B$3:$AB$1535,4,FALSE)),"")</f>
        <v/>
      </c>
      <c r="E493" s="48" t="str">
        <f>IFERROR(DIVIDE(VLOOKUP($B493,Data!$B$3:$EZ1530,29,FALSE),VLOOKUP($B493,Data!$B$3:$EZ1530,4,FALSE)),"")</f>
        <v/>
      </c>
      <c r="F493" s="48" t="str">
        <f>IFERROR(DIVIDE(VLOOKUP($B493,Data!$B$3:$EZ1530,34,FALSE),VLOOKUP($B493,Data!$B$3:$EZ1530,4,FALSE)),"")</f>
        <v/>
      </c>
      <c r="G493" s="48" t="str">
        <f>IFERROR(DIVIDE(VLOOKUP($B493,Data!$B$3:$EZ1530,39,FALSE),VLOOKUP($B493,Data!$B$3:$EZ1530,4,FALSE)),"")</f>
        <v/>
      </c>
      <c r="H493" s="48" t="str">
        <f>IFERROR(DIVIDE(VLOOKUP($B493,Data!$B$3:$EZ1530,44,FALSE),VLOOKUP($B493,Data!$B$3:$EZ1530,4,FALSE)),"")</f>
        <v/>
      </c>
      <c r="I493" s="48">
        <f>IFERROR(MINUS(DIVIDE(VLOOKUP($B493,Data!$B$3:$EZ1530,9,FALSE),VLOOKUP($B493,Data!$B$3:$EZ1530,10,FALSE)),1),"")</f>
        <v>2.454198473</v>
      </c>
      <c r="J493" s="48">
        <f>IFERROR(MINUS(DIVIDE(VLOOKUP($B493,Data!$B$3:$EZ1530,24,FALSE),VLOOKUP($B493,Data!$B$3:$EZ1530,25,FALSE)),1),"")</f>
        <v>-0.3572281009</v>
      </c>
      <c r="K493" s="48">
        <f>IFERROR(MINUS(DIVIDE(VLOOKUP($B493,Data!$B$3:$EZ1530,29,FALSE),VLOOKUP($B493,Data!$B$3:$EZ1530,30,FALSE)),1),"")</f>
        <v>-0.3633760242</v>
      </c>
      <c r="L493" s="48">
        <f>IFERROR(MINUS(DIVIDE(VLOOKUP($B493,Data!$B$3:$EZ1530,34,FALSE),VLOOKUP($B493,Data!$B$3:$EZ1530,35,FALSE)),1),"")</f>
        <v>-0.3300594469</v>
      </c>
      <c r="M493" s="48">
        <f>IFERROR(MINUS(DIVIDE(VLOOKUP($B493,Data!$B$3:$EZ1530,39,FALSE),VLOOKUP($B493,Data!$B$3:$EZ1530,40,FALSE)),1),"")</f>
        <v>-0.3633760242</v>
      </c>
      <c r="N493" s="48">
        <f>IFERROR(MINUS(DIVIDE(VLOOKUP($B493,Data!$B$3:$EZ1530,44,FALSE),VLOOKUP($B493,Data!$B$3:$EZ1530,45,FALSE)),1),"")</f>
        <v>-0.01557522124</v>
      </c>
      <c r="O493" s="50">
        <f>IFERROR(VLOOKUP($B493,Data!$B$3:$D1530,2,FALSE),"")</f>
        <v>76070</v>
      </c>
      <c r="P493" s="50">
        <f>IFERROR(VLOOKUP($B493,Data!$B$3:$D1530,3,FALSE),"")</f>
        <v>7970</v>
      </c>
      <c r="Q493" s="48">
        <f t="shared" si="2"/>
        <v>8.544542033</v>
      </c>
      <c r="R493" s="48"/>
      <c r="S493" s="48"/>
      <c r="T493" s="48"/>
      <c r="U493" s="48"/>
      <c r="V493" s="48"/>
      <c r="W493" s="50"/>
      <c r="Z493" s="11"/>
      <c r="AA493" s="11"/>
    </row>
    <row r="494">
      <c r="A494" s="9">
        <f t="shared" si="1"/>
        <v>491</v>
      </c>
      <c r="B494" s="47" t="s">
        <v>628</v>
      </c>
      <c r="C494" s="48">
        <f>IFERROR(DIVIDE(VLOOKUP($B494,Data!$B$3:$AB$1535,9,FALSE),VLOOKUP($B494,Data!$B$3:$AB$1535,4,FALSE)),"")</f>
        <v>-3.123134328</v>
      </c>
      <c r="D494" s="48">
        <f>IFERROR(DIVIDE(VLOOKUP($B494,Data!$B$3:$AB$1535,24,FALSE),VLOOKUP($B494,Data!$B$3:$AB$1535,4,FALSE)),"")</f>
        <v>-29.70149254</v>
      </c>
      <c r="E494" s="48">
        <f>IFERROR(DIVIDE(VLOOKUP($B494,Data!$B$3:$EZ1530,29,FALSE),VLOOKUP($B494,Data!$B$3:$EZ1530,4,FALSE)),"")</f>
        <v>-25.38059701</v>
      </c>
      <c r="F494" s="48">
        <f>IFERROR(DIVIDE(VLOOKUP($B494,Data!$B$3:$EZ1530,34,FALSE),VLOOKUP($B494,Data!$B$3:$EZ1530,4,FALSE)),"")</f>
        <v>-26.55223881</v>
      </c>
      <c r="G494" s="48">
        <f>IFERROR(DIVIDE(VLOOKUP($B494,Data!$B$3:$EZ1530,39,FALSE),VLOOKUP($B494,Data!$B$3:$EZ1530,4,FALSE)),"")</f>
        <v>-24.07835821</v>
      </c>
      <c r="H494" s="48">
        <f>IFERROR(DIVIDE(VLOOKUP($B494,Data!$B$3:$EZ1530,44,FALSE),VLOOKUP($B494,Data!$B$3:$EZ1530,4,FALSE)),"")</f>
        <v>-23.48507463</v>
      </c>
      <c r="I494" s="48">
        <f>IFERROR(MINUS(DIVIDE(VLOOKUP($B494,Data!$B$3:$EZ1530,9,FALSE),VLOOKUP($B494,Data!$B$3:$EZ1530,10,FALSE)),1),"")</f>
        <v>0.4893238434</v>
      </c>
      <c r="J494" s="48">
        <f>IFERROR(MINUS(DIVIDE(VLOOKUP($B494,Data!$B$3:$EZ1530,24,FALSE),VLOOKUP($B494,Data!$B$3:$EZ1530,25,FALSE)),1),"")</f>
        <v>-0.02295323432</v>
      </c>
      <c r="K494" s="48">
        <f>IFERROR(MINUS(DIVIDE(VLOOKUP($B494,Data!$B$3:$EZ1530,29,FALSE),VLOOKUP($B494,Data!$B$3:$EZ1530,30,FALSE)),1),"")</f>
        <v>-0.08966809422</v>
      </c>
      <c r="L494" s="48">
        <f>IFERROR(MINUS(DIVIDE(VLOOKUP($B494,Data!$B$3:$EZ1530,34,FALSE),VLOOKUP($B494,Data!$B$3:$EZ1530,35,FALSE)),1),"")</f>
        <v>0.02906724512</v>
      </c>
      <c r="M494" s="48">
        <f>IFERROR(MINUS(DIVIDE(VLOOKUP($B494,Data!$B$3:$EZ1530,39,FALSE),VLOOKUP($B494,Data!$B$3:$EZ1530,40,FALSE)),1),"")</f>
        <v>-0.135334316</v>
      </c>
      <c r="N494" s="48">
        <f>IFERROR(MINUS(DIVIDE(VLOOKUP($B494,Data!$B$3:$EZ1530,44,FALSE),VLOOKUP($B494,Data!$B$3:$EZ1530,45,FALSE)),1),"")</f>
        <v>0.1546505228</v>
      </c>
      <c r="O494" s="50">
        <f>IFERROR(VLOOKUP($B494,Data!$B$3:$D1530,2,FALSE),"")</f>
        <v>80000</v>
      </c>
      <c r="P494" s="50">
        <f>IFERROR(VLOOKUP($B494,Data!$B$3:$D1530,3,FALSE),"")</f>
        <v>9200</v>
      </c>
      <c r="Q494" s="48">
        <f t="shared" si="2"/>
        <v>7.695652174</v>
      </c>
      <c r="R494" s="48"/>
      <c r="S494" s="48"/>
      <c r="T494" s="48"/>
      <c r="U494" s="48"/>
      <c r="V494" s="48"/>
      <c r="W494" s="50"/>
      <c r="Z494" s="11"/>
      <c r="AA494" s="11"/>
    </row>
    <row r="495">
      <c r="A495" s="9">
        <f t="shared" si="1"/>
        <v>492</v>
      </c>
      <c r="B495" s="47" t="s">
        <v>629</v>
      </c>
      <c r="C495" s="48">
        <f>IFERROR(DIVIDE(VLOOKUP($B495,Data!$B$3:$AB$1535,9,FALSE),VLOOKUP($B495,Data!$B$3:$AB$1535,4,FALSE)),"")</f>
        <v>0.3100234926</v>
      </c>
      <c r="D495" s="48">
        <f>IFERROR(DIVIDE(VLOOKUP($B495,Data!$B$3:$AB$1535,24,FALSE),VLOOKUP($B495,Data!$B$3:$AB$1535,4,FALSE)),"")</f>
        <v>0</v>
      </c>
      <c r="E495" s="48">
        <f>IFERROR(DIVIDE(VLOOKUP($B495,Data!$B$3:$EZ1530,29,FALSE),VLOOKUP($B495,Data!$B$3:$EZ1530,4,FALSE)),"")</f>
        <v>0.01508744453</v>
      </c>
      <c r="F495" s="48">
        <f>IFERROR(DIVIDE(VLOOKUP($B495,Data!$B$3:$EZ1530,34,FALSE),VLOOKUP($B495,Data!$B$3:$EZ1530,4,FALSE)),"")</f>
        <v>0.03056643174</v>
      </c>
      <c r="G495" s="48">
        <f>IFERROR(DIVIDE(VLOOKUP($B495,Data!$B$3:$EZ1530,39,FALSE),VLOOKUP($B495,Data!$B$3:$EZ1530,4,FALSE)),"")</f>
        <v>0.003315061342</v>
      </c>
      <c r="H495" s="48">
        <f>IFERROR(DIVIDE(VLOOKUP($B495,Data!$B$3:$EZ1530,44,FALSE),VLOOKUP($B495,Data!$B$3:$EZ1530,4,FALSE)),"")</f>
        <v>0.01164186896</v>
      </c>
      <c r="I495" s="48">
        <f>IFERROR(MINUS(DIVIDE(VLOOKUP($B495,Data!$B$3:$EZ1530,9,FALSE),VLOOKUP($B495,Data!$B$3:$EZ1530,10,FALSE)),1),"")</f>
        <v>-0.194014658</v>
      </c>
      <c r="J495" s="48">
        <f>IFERROR(MINUS(DIVIDE(VLOOKUP($B495,Data!$B$3:$EZ1530,24,FALSE),VLOOKUP($B495,Data!$B$3:$EZ1530,25,FALSE)),1),"")</f>
        <v>-1</v>
      </c>
      <c r="K495" s="48">
        <f>IFERROR(MINUS(DIVIDE(VLOOKUP($B495,Data!$B$3:$EZ1530,29,FALSE),VLOOKUP($B495,Data!$B$3:$EZ1530,30,FALSE)),1),"")</f>
        <v>-0.6471306471</v>
      </c>
      <c r="L495" s="48">
        <f>IFERROR(MINUS(DIVIDE(VLOOKUP($B495,Data!$B$3:$EZ1530,34,FALSE),VLOOKUP($B495,Data!$B$3:$EZ1530,35,FALSE)),1),"")</f>
        <v>-0.4857268336</v>
      </c>
      <c r="M495" s="48">
        <f>IFERROR(MINUS(DIVIDE(VLOOKUP($B495,Data!$B$3:$EZ1530,39,FALSE),VLOOKUP($B495,Data!$B$3:$EZ1530,40,FALSE)),1),"")</f>
        <v>-0.8942547877</v>
      </c>
      <c r="N495" s="48">
        <f>IFERROR(MINUS(DIVIDE(VLOOKUP($B495,Data!$B$3:$EZ1530,44,FALSE),VLOOKUP($B495,Data!$B$3:$EZ1530,45,FALSE)),1),"")</f>
        <v>-0.1978417266</v>
      </c>
      <c r="O495" s="50" t="str">
        <f>IFERROR(VLOOKUP($B495,Data!$B$3:$D1530,2,FALSE),"")</f>
        <v/>
      </c>
      <c r="P495" s="50" t="str">
        <f>IFERROR(VLOOKUP($B495,Data!$B$3:$D1530,3,FALSE),"")</f>
        <v/>
      </c>
      <c r="Q495" s="48" t="str">
        <f t="shared" si="2"/>
        <v/>
      </c>
      <c r="R495" s="48"/>
      <c r="S495" s="48"/>
      <c r="T495" s="48"/>
      <c r="U495" s="48"/>
      <c r="V495" s="48"/>
      <c r="W495" s="50"/>
      <c r="Z495" s="11"/>
      <c r="AA495" s="11"/>
    </row>
    <row r="496">
      <c r="A496" s="9">
        <f t="shared" si="1"/>
        <v>493</v>
      </c>
      <c r="B496" s="47" t="s">
        <v>630</v>
      </c>
      <c r="C496" s="48" t="str">
        <f>IFERROR(DIVIDE(VLOOKUP($B496,Data!$B$3:$AB$1535,9,FALSE),VLOOKUP($B496,Data!$B$3:$AB$1535,4,FALSE)),"")</f>
        <v/>
      </c>
      <c r="D496" s="48" t="str">
        <f>IFERROR(DIVIDE(VLOOKUP($B496,Data!$B$3:$AB$1535,24,FALSE),VLOOKUP($B496,Data!$B$3:$AB$1535,4,FALSE)),"")</f>
        <v/>
      </c>
      <c r="E496" s="48" t="str">
        <f>IFERROR(DIVIDE(VLOOKUP($B496,Data!$B$3:$EZ1530,29,FALSE),VLOOKUP($B496,Data!$B$3:$EZ1530,4,FALSE)),"")</f>
        <v/>
      </c>
      <c r="F496" s="48" t="str">
        <f>IFERROR(DIVIDE(VLOOKUP($B496,Data!$B$3:$EZ1530,34,FALSE),VLOOKUP($B496,Data!$B$3:$EZ1530,4,FALSE)),"")</f>
        <v/>
      </c>
      <c r="G496" s="48" t="str">
        <f>IFERROR(DIVIDE(VLOOKUP($B496,Data!$B$3:$EZ1530,39,FALSE),VLOOKUP($B496,Data!$B$3:$EZ1530,4,FALSE)),"")</f>
        <v/>
      </c>
      <c r="H496" s="48" t="str">
        <f>IFERROR(DIVIDE(VLOOKUP($B496,Data!$B$3:$EZ1530,44,FALSE),VLOOKUP($B496,Data!$B$3:$EZ1530,4,FALSE)),"")</f>
        <v/>
      </c>
      <c r="I496" s="48">
        <f>IFERROR(MINUS(DIVIDE(VLOOKUP($B496,Data!$B$3:$EZ1530,9,FALSE),VLOOKUP($B496,Data!$B$3:$EZ1530,10,FALSE)),1),"")</f>
        <v>-0.09278350515</v>
      </c>
      <c r="J496" s="48">
        <f>IFERROR(MINUS(DIVIDE(VLOOKUP($B496,Data!$B$3:$EZ1530,24,FALSE),VLOOKUP($B496,Data!$B$3:$EZ1530,25,FALSE)),1),"")</f>
        <v>-1</v>
      </c>
      <c r="K496" s="48">
        <f>IFERROR(MINUS(DIVIDE(VLOOKUP($B496,Data!$B$3:$EZ1530,29,FALSE),VLOOKUP($B496,Data!$B$3:$EZ1530,30,FALSE)),1),"")</f>
        <v>0.4974539069</v>
      </c>
      <c r="L496" s="48">
        <f>IFERROR(MINUS(DIVIDE(VLOOKUP($B496,Data!$B$3:$EZ1530,34,FALSE),VLOOKUP($B496,Data!$B$3:$EZ1530,35,FALSE)),1),"")</f>
        <v>0.5059640377</v>
      </c>
      <c r="M496" s="48">
        <f>IFERROR(MINUS(DIVIDE(VLOOKUP($B496,Data!$B$3:$EZ1530,39,FALSE),VLOOKUP($B496,Data!$B$3:$EZ1530,40,FALSE)),1),"")</f>
        <v>0.5007901668</v>
      </c>
      <c r="N496" s="48">
        <f>IFERROR(MINUS(DIVIDE(VLOOKUP($B496,Data!$B$3:$EZ1530,44,FALSE),VLOOKUP($B496,Data!$B$3:$EZ1530,45,FALSE)),1),"")</f>
        <v>0.5224196277</v>
      </c>
      <c r="O496" s="50" t="str">
        <f>IFERROR(VLOOKUP($B496,Data!$B$3:$D1530,2,FALSE),"")</f>
        <v/>
      </c>
      <c r="P496" s="50" t="str">
        <f>IFERROR(VLOOKUP($B496,Data!$B$3:$D1530,3,FALSE),"")</f>
        <v/>
      </c>
      <c r="Q496" s="48" t="str">
        <f t="shared" si="2"/>
        <v/>
      </c>
      <c r="R496" s="48"/>
      <c r="S496" s="48"/>
      <c r="T496" s="48"/>
      <c r="U496" s="48"/>
      <c r="V496" s="48"/>
      <c r="W496" s="50"/>
      <c r="Z496" s="15"/>
      <c r="AA496" s="15"/>
    </row>
    <row r="497">
      <c r="A497" s="9">
        <f t="shared" si="1"/>
        <v>494</v>
      </c>
      <c r="B497" s="47" t="s">
        <v>631</v>
      </c>
      <c r="C497" s="48" t="str">
        <f>IFERROR(DIVIDE(VLOOKUP($B497,Data!$B$3:$AB$1535,9,FALSE),VLOOKUP($B497,Data!$B$3:$AB$1535,4,FALSE)),"")</f>
        <v/>
      </c>
      <c r="D497" s="48" t="str">
        <f>IFERROR(DIVIDE(VLOOKUP($B497,Data!$B$3:$AB$1535,24,FALSE),VLOOKUP($B497,Data!$B$3:$AB$1535,4,FALSE)),"")</f>
        <v/>
      </c>
      <c r="E497" s="48" t="str">
        <f>IFERROR(DIVIDE(VLOOKUP($B497,Data!$B$3:$EZ1530,29,FALSE),VLOOKUP($B497,Data!$B$3:$EZ1530,4,FALSE)),"")</f>
        <v/>
      </c>
      <c r="F497" s="48" t="str">
        <f>IFERROR(DIVIDE(VLOOKUP($B497,Data!$B$3:$EZ1530,34,FALSE),VLOOKUP($B497,Data!$B$3:$EZ1530,4,FALSE)),"")</f>
        <v/>
      </c>
      <c r="G497" s="48" t="str">
        <f>IFERROR(DIVIDE(VLOOKUP($B497,Data!$B$3:$EZ1530,39,FALSE),VLOOKUP($B497,Data!$B$3:$EZ1530,4,FALSE)),"")</f>
        <v/>
      </c>
      <c r="H497" s="48" t="str">
        <f>IFERROR(DIVIDE(VLOOKUP($B497,Data!$B$3:$EZ1530,44,FALSE),VLOOKUP($B497,Data!$B$3:$EZ1530,4,FALSE)),"")</f>
        <v/>
      </c>
      <c r="I497" s="48" t="str">
        <f>IFERROR(MINUS(DIVIDE(VLOOKUP($B497,Data!$B$3:$EZ1530,9,FALSE),VLOOKUP($B497,Data!$B$3:$EZ1530,10,FALSE)),1),"")</f>
        <v/>
      </c>
      <c r="J497" s="48">
        <f>IFERROR(MINUS(DIVIDE(VLOOKUP($B497,Data!$B$3:$EZ1530,24,FALSE),VLOOKUP($B497,Data!$B$3:$EZ1530,25,FALSE)),1),"")</f>
        <v>-1</v>
      </c>
      <c r="K497" s="48">
        <f>IFERROR(MINUS(DIVIDE(VLOOKUP($B497,Data!$B$3:$EZ1530,29,FALSE),VLOOKUP($B497,Data!$B$3:$EZ1530,30,FALSE)),1),"")</f>
        <v>-0.05812417437</v>
      </c>
      <c r="L497" s="48">
        <f>IFERROR(MINUS(DIVIDE(VLOOKUP($B497,Data!$B$3:$EZ1530,34,FALSE),VLOOKUP($B497,Data!$B$3:$EZ1530,35,FALSE)),1),"")</f>
        <v>-0.1073657928</v>
      </c>
      <c r="M497" s="48">
        <f>IFERROR(MINUS(DIVIDE(VLOOKUP($B497,Data!$B$3:$EZ1530,39,FALSE),VLOOKUP($B497,Data!$B$3:$EZ1530,40,FALSE)),1),"")</f>
        <v>-0.05812417437</v>
      </c>
      <c r="N497" s="48">
        <f>IFERROR(MINUS(DIVIDE(VLOOKUP($B497,Data!$B$3:$EZ1530,44,FALSE),VLOOKUP($B497,Data!$B$3:$EZ1530,45,FALSE)),1),"")</f>
        <v>-0.1747851003</v>
      </c>
      <c r="O497" s="50">
        <f>IFERROR(VLOOKUP($B497,Data!$B$3:$D1530,2,FALSE),"")</f>
        <v>14820</v>
      </c>
      <c r="P497" s="50" t="str">
        <f>IFERROR(VLOOKUP($B497,Data!$B$3:$D1530,3,FALSE),"")</f>
        <v/>
      </c>
      <c r="Q497" s="48" t="str">
        <f t="shared" si="2"/>
        <v/>
      </c>
      <c r="R497" s="48"/>
      <c r="S497" s="48"/>
      <c r="T497" s="48"/>
      <c r="U497" s="48"/>
      <c r="V497" s="48"/>
      <c r="W497" s="50"/>
      <c r="Z497" s="11"/>
      <c r="AA497" s="11"/>
    </row>
    <row r="498">
      <c r="A498" s="9">
        <f t="shared" si="1"/>
        <v>495</v>
      </c>
      <c r="B498" s="47" t="s">
        <v>632</v>
      </c>
      <c r="C498" s="48">
        <f>IFERROR(DIVIDE(VLOOKUP($B498,Data!$B$3:$AB$1535,9,FALSE),VLOOKUP($B498,Data!$B$3:$AB$1535,4,FALSE)),"")</f>
        <v>0.7333333333</v>
      </c>
      <c r="D498" s="48">
        <f>IFERROR(DIVIDE(VLOOKUP($B498,Data!$B$3:$AB$1535,24,FALSE),VLOOKUP($B498,Data!$B$3:$AB$1535,4,FALSE)),"")</f>
        <v>0.2551724138</v>
      </c>
      <c r="E498" s="48">
        <f>IFERROR(DIVIDE(VLOOKUP($B498,Data!$B$3:$EZ1530,29,FALSE),VLOOKUP($B498,Data!$B$3:$EZ1530,4,FALSE)),"")</f>
        <v>0.2689655172</v>
      </c>
      <c r="F498" s="48">
        <f>IFERROR(DIVIDE(VLOOKUP($B498,Data!$B$3:$EZ1530,34,FALSE),VLOOKUP($B498,Data!$B$3:$EZ1530,4,FALSE)),"")</f>
        <v>0.3011494253</v>
      </c>
      <c r="G498" s="48">
        <f>IFERROR(DIVIDE(VLOOKUP($B498,Data!$B$3:$EZ1530,39,FALSE),VLOOKUP($B498,Data!$B$3:$EZ1530,4,FALSE)),"")</f>
        <v>0.2413793103</v>
      </c>
      <c r="H498" s="48">
        <f>IFERROR(DIVIDE(VLOOKUP($B498,Data!$B$3:$EZ1530,44,FALSE),VLOOKUP($B498,Data!$B$3:$EZ1530,4,FALSE)),"")</f>
        <v>0.2712643678</v>
      </c>
      <c r="I498" s="48">
        <f>IFERROR(MINUS(DIVIDE(VLOOKUP($B498,Data!$B$3:$EZ1530,9,FALSE),VLOOKUP($B498,Data!$B$3:$EZ1530,10,FALSE)),1),"")</f>
        <v>0.1392857143</v>
      </c>
      <c r="J498" s="48">
        <f>IFERROR(MINUS(DIVIDE(VLOOKUP($B498,Data!$B$3:$EZ1530,24,FALSE),VLOOKUP($B498,Data!$B$3:$EZ1530,25,FALSE)),1),"")</f>
        <v>0.4256357565</v>
      </c>
      <c r="K498" s="48">
        <f>IFERROR(MINUS(DIVIDE(VLOOKUP($B498,Data!$B$3:$EZ1530,29,FALSE),VLOOKUP($B498,Data!$B$3:$EZ1530,30,FALSE)),1),"")</f>
        <v>0.536643026</v>
      </c>
      <c r="L498" s="48">
        <f>IFERROR(MINUS(DIVIDE(VLOOKUP($B498,Data!$B$3:$EZ1530,34,FALSE),VLOOKUP($B498,Data!$B$3:$EZ1530,35,FALSE)),1),"")</f>
        <v>0.1196581197</v>
      </c>
      <c r="M498" s="48">
        <f>IFERROR(MINUS(DIVIDE(VLOOKUP($B498,Data!$B$3:$EZ1530,39,FALSE),VLOOKUP($B498,Data!$B$3:$EZ1530,40,FALSE)),1),"")</f>
        <v>0.453890889</v>
      </c>
      <c r="N498" s="48">
        <f>IFERROR(MINUS(DIVIDE(VLOOKUP($B498,Data!$B$3:$EZ1530,44,FALSE),VLOOKUP($B498,Data!$B$3:$EZ1530,45,FALSE)),1),"")</f>
        <v>0.273198101</v>
      </c>
      <c r="O498" s="50">
        <f>IFERROR(VLOOKUP($B498,Data!$B$3:$D1530,2,FALSE),"")</f>
        <v>5020000</v>
      </c>
      <c r="P498" s="50">
        <f>IFERROR(VLOOKUP($B498,Data!$B$3:$D1530,3,FALSE),"")</f>
        <v>4230000</v>
      </c>
      <c r="Q498" s="48">
        <f t="shared" si="2"/>
        <v>0.1867612293</v>
      </c>
      <c r="R498" s="48"/>
      <c r="S498" s="48"/>
      <c r="T498" s="48"/>
      <c r="U498" s="48"/>
      <c r="V498" s="48"/>
      <c r="W498" s="50"/>
      <c r="Z498" s="12"/>
      <c r="AA498" s="12"/>
    </row>
    <row r="499">
      <c r="A499" s="9">
        <f t="shared" si="1"/>
        <v>496</v>
      </c>
      <c r="B499" s="47" t="s">
        <v>633</v>
      </c>
      <c r="C499" s="48">
        <f>IFERROR(DIVIDE(VLOOKUP($B499,Data!$B$3:$AB$1535,9,FALSE),VLOOKUP($B499,Data!$B$3:$AB$1535,4,FALSE)),"")</f>
        <v>0.7343915827</v>
      </c>
      <c r="D499" s="48">
        <f>IFERROR(DIVIDE(VLOOKUP($B499,Data!$B$3:$AB$1535,24,FALSE),VLOOKUP($B499,Data!$B$3:$AB$1535,4,FALSE)),"")</f>
        <v>-0.2788346324</v>
      </c>
      <c r="E499" s="48">
        <f>IFERROR(DIVIDE(VLOOKUP($B499,Data!$B$3:$EZ1530,29,FALSE),VLOOKUP($B499,Data!$B$3:$EZ1530,4,FALSE)),"")</f>
        <v>-0.3068048249</v>
      </c>
      <c r="F499" s="48">
        <f>IFERROR(DIVIDE(VLOOKUP($B499,Data!$B$3:$EZ1530,34,FALSE),VLOOKUP($B499,Data!$B$3:$EZ1530,4,FALSE)),"")</f>
        <v>-0.1315888576</v>
      </c>
      <c r="G499" s="48">
        <f>IFERROR(DIVIDE(VLOOKUP($B499,Data!$B$3:$EZ1530,39,FALSE),VLOOKUP($B499,Data!$B$3:$EZ1530,4,FALSE)),"")</f>
        <v>-0.09584726517</v>
      </c>
      <c r="H499" s="48">
        <f>IFERROR(DIVIDE(VLOOKUP($B499,Data!$B$3:$EZ1530,44,FALSE),VLOOKUP($B499,Data!$B$3:$EZ1530,4,FALSE)),"")</f>
        <v>-0.126556277</v>
      </c>
      <c r="I499" s="48">
        <f>IFERROR(MINUS(DIVIDE(VLOOKUP($B499,Data!$B$3:$EZ1530,9,FALSE),VLOOKUP($B499,Data!$B$3:$EZ1530,10,FALSE)),1),"")</f>
        <v>0.9125653828</v>
      </c>
      <c r="J499" s="48" t="str">
        <f>IFERROR(MINUS(DIVIDE(VLOOKUP($B499,Data!$B$3:$EZ1530,24,FALSE),VLOOKUP($B499,Data!$B$3:$EZ1530,25,FALSE)),1),"")</f>
        <v/>
      </c>
      <c r="K499" s="48">
        <f>IFERROR(MINUS(DIVIDE(VLOOKUP($B499,Data!$B$3:$EZ1530,29,FALSE),VLOOKUP($B499,Data!$B$3:$EZ1530,30,FALSE)),1),"")</f>
        <v>0.5357591683</v>
      </c>
      <c r="L499" s="48">
        <f>IFERROR(MINUS(DIVIDE(VLOOKUP($B499,Data!$B$3:$EZ1530,34,FALSE),VLOOKUP($B499,Data!$B$3:$EZ1530,35,FALSE)),1),"")</f>
        <v>-0.1545567857</v>
      </c>
      <c r="M499" s="48">
        <f>IFERROR(MINUS(DIVIDE(VLOOKUP($B499,Data!$B$3:$EZ1530,39,FALSE),VLOOKUP($B499,Data!$B$3:$EZ1530,40,FALSE)),1),"")</f>
        <v>-0.5204681701</v>
      </c>
      <c r="N499" s="48">
        <f>IFERROR(MINUS(DIVIDE(VLOOKUP($B499,Data!$B$3:$EZ1530,44,FALSE),VLOOKUP($B499,Data!$B$3:$EZ1530,45,FALSE)),1),"")</f>
        <v>0.5995961344</v>
      </c>
      <c r="O499" s="50">
        <f>IFERROR(VLOOKUP($B499,Data!$B$3:$D1530,2,FALSE),"")</f>
        <v>1850000</v>
      </c>
      <c r="P499" s="50">
        <f>IFERROR(VLOOKUP($B499,Data!$B$3:$D1530,3,FALSE),"")</f>
        <v>1350000</v>
      </c>
      <c r="Q499" s="48">
        <f t="shared" si="2"/>
        <v>0.3703703704</v>
      </c>
      <c r="R499" s="48"/>
      <c r="S499" s="48"/>
      <c r="T499" s="48"/>
      <c r="U499" s="48"/>
      <c r="V499" s="48"/>
      <c r="W499" s="50"/>
      <c r="Z499" s="11"/>
      <c r="AA499" s="12"/>
    </row>
    <row r="500">
      <c r="A500" s="9">
        <f t="shared" si="1"/>
        <v>497</v>
      </c>
      <c r="B500" s="47" t="s">
        <v>634</v>
      </c>
      <c r="C500" s="48">
        <f>IFERROR(DIVIDE(VLOOKUP($B500,Data!$B$3:$AB$1535,9,FALSE),VLOOKUP($B500,Data!$B$3:$AB$1535,4,FALSE)),"")</f>
        <v>0.9657980119</v>
      </c>
      <c r="D500" s="48">
        <f>IFERROR(DIVIDE(VLOOKUP($B500,Data!$B$3:$AB$1535,24,FALSE),VLOOKUP($B500,Data!$B$3:$AB$1535,4,FALSE)),"")</f>
        <v>0</v>
      </c>
      <c r="E500" s="48">
        <f>IFERROR(DIVIDE(VLOOKUP($B500,Data!$B$3:$EZ1530,29,FALSE),VLOOKUP($B500,Data!$B$3:$EZ1530,4,FALSE)),"")</f>
        <v>0.411364153</v>
      </c>
      <c r="F500" s="48">
        <f>IFERROR(DIVIDE(VLOOKUP($B500,Data!$B$3:$EZ1530,34,FALSE),VLOOKUP($B500,Data!$B$3:$EZ1530,4,FALSE)),"")</f>
        <v>0.3933125297</v>
      </c>
      <c r="G500" s="48">
        <f>IFERROR(DIVIDE(VLOOKUP($B500,Data!$B$3:$EZ1530,39,FALSE),VLOOKUP($B500,Data!$B$3:$EZ1530,4,FALSE)),"")</f>
        <v>0.3316972866</v>
      </c>
      <c r="H500" s="48">
        <f>IFERROR(DIVIDE(VLOOKUP($B500,Data!$B$3:$EZ1530,44,FALSE),VLOOKUP($B500,Data!$B$3:$EZ1530,4,FALSE)),"")</f>
        <v>0.5445039162</v>
      </c>
      <c r="I500" s="48">
        <f>IFERROR(MINUS(DIVIDE(VLOOKUP($B500,Data!$B$3:$EZ1530,9,FALSE),VLOOKUP($B500,Data!$B$3:$EZ1530,10,FALSE)),1),"")</f>
        <v>0.1295499589</v>
      </c>
      <c r="J500" s="48" t="str">
        <f>IFERROR(MINUS(DIVIDE(VLOOKUP($B500,Data!$B$3:$EZ1530,24,FALSE),VLOOKUP($B500,Data!$B$3:$EZ1530,25,FALSE)),1),"")</f>
        <v/>
      </c>
      <c r="K500" s="48">
        <f>IFERROR(MINUS(DIVIDE(VLOOKUP($B500,Data!$B$3:$EZ1530,29,FALSE),VLOOKUP($B500,Data!$B$3:$EZ1530,30,FALSE)),1),"")</f>
        <v>-0.1194010042</v>
      </c>
      <c r="L500" s="48">
        <f>IFERROR(MINUS(DIVIDE(VLOOKUP($B500,Data!$B$3:$EZ1530,34,FALSE),VLOOKUP($B500,Data!$B$3:$EZ1530,35,FALSE)),1),"")</f>
        <v>-0.1477318526</v>
      </c>
      <c r="M500" s="48">
        <f>IFERROR(MINUS(DIVIDE(VLOOKUP($B500,Data!$B$3:$EZ1530,39,FALSE),VLOOKUP($B500,Data!$B$3:$EZ1530,40,FALSE)),1),"")</f>
        <v>-0.5348153086</v>
      </c>
      <c r="N500" s="48">
        <f>IFERROR(MINUS(DIVIDE(VLOOKUP($B500,Data!$B$3:$EZ1530,44,FALSE),VLOOKUP($B500,Data!$B$3:$EZ1530,45,FALSE)),1),"")</f>
        <v>0.2638445857</v>
      </c>
      <c r="O500" s="50">
        <f>IFERROR(VLOOKUP($B500,Data!$B$3:$D1530,2,FALSE),"")</f>
        <v>1150000</v>
      </c>
      <c r="P500" s="50">
        <f>IFERROR(VLOOKUP($B500,Data!$B$3:$D1530,3,FALSE),"")</f>
        <v>932520</v>
      </c>
      <c r="Q500" s="48">
        <f t="shared" si="2"/>
        <v>0.2332175181</v>
      </c>
      <c r="R500" s="48"/>
      <c r="S500" s="48"/>
      <c r="T500" s="48"/>
      <c r="U500" s="48"/>
      <c r="V500" s="48"/>
      <c r="W500" s="50"/>
      <c r="Z500" s="11"/>
      <c r="AA500" s="11"/>
    </row>
    <row r="501">
      <c r="A501" s="9">
        <f t="shared" si="1"/>
        <v>498</v>
      </c>
      <c r="B501" s="47" t="s">
        <v>635</v>
      </c>
      <c r="C501" s="48">
        <f>IFERROR(DIVIDE(VLOOKUP($B501,Data!$B$3:$AB$1535,9,FALSE),VLOOKUP($B501,Data!$B$3:$AB$1535,4,FALSE)),"")</f>
        <v>-0.253848551</v>
      </c>
      <c r="D501" s="48">
        <f>IFERROR(DIVIDE(VLOOKUP($B501,Data!$B$3:$AB$1535,24,FALSE),VLOOKUP($B501,Data!$B$3:$AB$1535,4,FALSE)),"")</f>
        <v>-0.3662823309</v>
      </c>
      <c r="E501" s="48">
        <f>IFERROR(DIVIDE(VLOOKUP($B501,Data!$B$3:$EZ1530,29,FALSE),VLOOKUP($B501,Data!$B$3:$EZ1530,4,FALSE)),"")</f>
        <v>-0.3639139919</v>
      </c>
      <c r="F501" s="48">
        <f>IFERROR(DIVIDE(VLOOKUP($B501,Data!$B$3:$EZ1530,34,FALSE),VLOOKUP($B501,Data!$B$3:$EZ1530,4,FALSE)),"")</f>
        <v>-0.06824555936</v>
      </c>
      <c r="G501" s="48">
        <f>IFERROR(DIVIDE(VLOOKUP($B501,Data!$B$3:$EZ1530,39,FALSE),VLOOKUP($B501,Data!$B$3:$EZ1530,4,FALSE)),"")</f>
        <v>-0.3975070115</v>
      </c>
      <c r="H501" s="48">
        <f>IFERROR(DIVIDE(VLOOKUP($B501,Data!$B$3:$EZ1530,44,FALSE),VLOOKUP($B501,Data!$B$3:$EZ1530,4,FALSE)),"")</f>
        <v>-0.08245559364</v>
      </c>
      <c r="I501" s="48">
        <f>IFERROR(MINUS(DIVIDE(VLOOKUP($B501,Data!$B$3:$EZ1530,9,FALSE),VLOOKUP($B501,Data!$B$3:$EZ1530,10,FALSE)),1),"")</f>
        <v>2.385702411</v>
      </c>
      <c r="J501" s="48" t="str">
        <f>IFERROR(MINUS(DIVIDE(VLOOKUP($B501,Data!$B$3:$EZ1530,24,FALSE),VLOOKUP($B501,Data!$B$3:$EZ1530,25,FALSE)),1),"")</f>
        <v/>
      </c>
      <c r="K501" s="48">
        <f>IFERROR(MINUS(DIVIDE(VLOOKUP($B501,Data!$B$3:$EZ1530,29,FALSE),VLOOKUP($B501,Data!$B$3:$EZ1530,30,FALSE)),1),"")</f>
        <v>1.543118467</v>
      </c>
      <c r="L501" s="48">
        <f>IFERROR(MINUS(DIVIDE(VLOOKUP($B501,Data!$B$3:$EZ1530,34,FALSE),VLOOKUP($B501,Data!$B$3:$EZ1530,35,FALSE)),1),"")</f>
        <v>-1.413519637</v>
      </c>
      <c r="M501" s="48">
        <f>IFERROR(MINUS(DIVIDE(VLOOKUP($B501,Data!$B$3:$EZ1530,39,FALSE),VLOOKUP($B501,Data!$B$3:$EZ1530,40,FALSE)),1),"")</f>
        <v>2.956575682</v>
      </c>
      <c r="N501" s="48">
        <f>IFERROR(MINUS(DIVIDE(VLOOKUP($B501,Data!$B$3:$EZ1530,44,FALSE),VLOOKUP($B501,Data!$B$3:$EZ1530,45,FALSE)),1),"")</f>
        <v>-1.383034163</v>
      </c>
      <c r="O501" s="50">
        <f>IFERROR(VLOOKUP($B501,Data!$B$3:$D1530,2,FALSE),"")</f>
        <v>172820</v>
      </c>
      <c r="P501" s="50">
        <f>IFERROR(VLOOKUP($B501,Data!$B$3:$D1530,3,FALSE),"")</f>
        <v>149930</v>
      </c>
      <c r="Q501" s="48">
        <f t="shared" si="2"/>
        <v>0.1526712466</v>
      </c>
      <c r="R501" s="48"/>
      <c r="S501" s="48"/>
      <c r="T501" s="48"/>
      <c r="U501" s="48"/>
      <c r="V501" s="48"/>
      <c r="W501" s="50"/>
      <c r="Z501" s="11"/>
      <c r="AA501" s="11"/>
    </row>
    <row r="502">
      <c r="A502" s="9">
        <f t="shared" si="1"/>
        <v>499</v>
      </c>
      <c r="B502" s="47" t="s">
        <v>636</v>
      </c>
      <c r="C502" s="48">
        <f>IFERROR(DIVIDE(VLOOKUP($B502,Data!$B$3:$AB$1535,9,FALSE),VLOOKUP($B502,Data!$B$3:$AB$1535,4,FALSE)),"")</f>
        <v>0.2284551724</v>
      </c>
      <c r="D502" s="48">
        <f>IFERROR(DIVIDE(VLOOKUP($B502,Data!$B$3:$AB$1535,24,FALSE),VLOOKUP($B502,Data!$B$3:$AB$1535,4,FALSE)),"")</f>
        <v>0.02868275862</v>
      </c>
      <c r="E502" s="48">
        <f>IFERROR(DIVIDE(VLOOKUP($B502,Data!$B$3:$EZ1530,29,FALSE),VLOOKUP($B502,Data!$B$3:$EZ1530,4,FALSE)),"")</f>
        <v>0.03153103448</v>
      </c>
      <c r="F502" s="48">
        <f>IFERROR(DIVIDE(VLOOKUP($B502,Data!$B$3:$EZ1530,34,FALSE),VLOOKUP($B502,Data!$B$3:$EZ1530,4,FALSE)),"")</f>
        <v>0.2564689655</v>
      </c>
      <c r="G502" s="48">
        <f>IFERROR(DIVIDE(VLOOKUP($B502,Data!$B$3:$EZ1530,39,FALSE),VLOOKUP($B502,Data!$B$3:$EZ1530,4,FALSE)),"")</f>
        <v>0.04888965517</v>
      </c>
      <c r="H502" s="48">
        <f>IFERROR(DIVIDE(VLOOKUP($B502,Data!$B$3:$EZ1530,44,FALSE),VLOOKUP($B502,Data!$B$3:$EZ1530,4,FALSE)),"")</f>
        <v>0.2753793103</v>
      </c>
      <c r="I502" s="48">
        <f>IFERROR(MINUS(DIVIDE(VLOOKUP($B502,Data!$B$3:$EZ1530,9,FALSE),VLOOKUP($B502,Data!$B$3:$EZ1530,10,FALSE)),1),"")</f>
        <v>0.01436139266</v>
      </c>
      <c r="J502" s="48">
        <f>IFERROR(MINUS(DIVIDE(VLOOKUP($B502,Data!$B$3:$EZ1530,24,FALSE),VLOOKUP($B502,Data!$B$3:$EZ1530,25,FALSE)),1),"")</f>
        <v>-0.380455832</v>
      </c>
      <c r="K502" s="48">
        <f>IFERROR(MINUS(DIVIDE(VLOOKUP($B502,Data!$B$3:$EZ1530,29,FALSE),VLOOKUP($B502,Data!$B$3:$EZ1530,30,FALSE)),1),"")</f>
        <v>-0.4266365688</v>
      </c>
      <c r="L502" s="48">
        <f>IFERROR(MINUS(DIVIDE(VLOOKUP($B502,Data!$B$3:$EZ1530,34,FALSE),VLOOKUP($B502,Data!$B$3:$EZ1530,35,FALSE)),1),"")</f>
        <v>-0.09678672917</v>
      </c>
      <c r="M502" s="48">
        <f>IFERROR(MINUS(DIVIDE(VLOOKUP($B502,Data!$B$3:$EZ1530,39,FALSE),VLOOKUP($B502,Data!$B$3:$EZ1530,40,FALSE)),1),"")</f>
        <v>0.02948010456</v>
      </c>
      <c r="N502" s="48">
        <f>IFERROR(MINUS(DIVIDE(VLOOKUP($B502,Data!$B$3:$EZ1530,44,FALSE),VLOOKUP($B502,Data!$B$3:$EZ1530,45,FALSE)),1),"")</f>
        <v>0.1399451867</v>
      </c>
      <c r="O502" s="50">
        <f>IFERROR(VLOOKUP($B502,Data!$B$3:$D1530,2,FALSE),"")</f>
        <v>1530000</v>
      </c>
      <c r="P502" s="50">
        <f>IFERROR(VLOOKUP($B502,Data!$B$3:$D1530,3,FALSE),"")</f>
        <v>1460000</v>
      </c>
      <c r="Q502" s="48">
        <f t="shared" si="2"/>
        <v>0.04794520548</v>
      </c>
      <c r="R502" s="48"/>
      <c r="S502" s="48"/>
      <c r="T502" s="48"/>
      <c r="U502" s="48"/>
      <c r="V502" s="48"/>
      <c r="W502" s="50"/>
      <c r="Z502" s="11"/>
      <c r="AA502" s="11"/>
    </row>
    <row r="503">
      <c r="A503" s="9">
        <f t="shared" si="1"/>
        <v>500</v>
      </c>
      <c r="B503" s="47" t="s">
        <v>637</v>
      </c>
      <c r="C503" s="48">
        <f>IFERROR(DIVIDE(VLOOKUP($B503,Data!$B$3:$AB$1535,9,FALSE),VLOOKUP($B503,Data!$B$3:$AB$1535,4,FALSE)),"")</f>
        <v>0.141809291</v>
      </c>
      <c r="D503" s="48">
        <f>IFERROR(DIVIDE(VLOOKUP($B503,Data!$B$3:$AB$1535,24,FALSE),VLOOKUP($B503,Data!$B$3:$AB$1535,4,FALSE)),"")</f>
        <v>0</v>
      </c>
      <c r="E503" s="48">
        <f>IFERROR(DIVIDE(VLOOKUP($B503,Data!$B$3:$EZ1530,29,FALSE),VLOOKUP($B503,Data!$B$3:$EZ1530,4,FALSE)),"")</f>
        <v>0.09728484108</v>
      </c>
      <c r="F503" s="48">
        <f>IFERROR(DIVIDE(VLOOKUP($B503,Data!$B$3:$EZ1530,34,FALSE),VLOOKUP($B503,Data!$B$3:$EZ1530,4,FALSE)),"")</f>
        <v>0.09995599022</v>
      </c>
      <c r="G503" s="48">
        <f>IFERROR(DIVIDE(VLOOKUP($B503,Data!$B$3:$EZ1530,39,FALSE),VLOOKUP($B503,Data!$B$3:$EZ1530,4,FALSE)),"")</f>
        <v>0.07217603912</v>
      </c>
      <c r="H503" s="48">
        <f>IFERROR(DIVIDE(VLOOKUP($B503,Data!$B$3:$EZ1530,44,FALSE),VLOOKUP($B503,Data!$B$3:$EZ1530,4,FALSE)),"")</f>
        <v>0.09436919315</v>
      </c>
      <c r="I503" s="48">
        <f>IFERROR(MINUS(DIVIDE(VLOOKUP($B503,Data!$B$3:$EZ1530,9,FALSE),VLOOKUP($B503,Data!$B$3:$EZ1530,10,FALSE)),1),"")</f>
        <v>-0.008547008547</v>
      </c>
      <c r="J503" s="48" t="str">
        <f>IFERROR(MINUS(DIVIDE(VLOOKUP($B503,Data!$B$3:$EZ1530,24,FALSE),VLOOKUP($B503,Data!$B$3:$EZ1530,25,FALSE)),1),"")</f>
        <v/>
      </c>
      <c r="K503" s="48">
        <f>IFERROR(MINUS(DIVIDE(VLOOKUP($B503,Data!$B$3:$EZ1530,29,FALSE),VLOOKUP($B503,Data!$B$3:$EZ1530,30,FALSE)),1),"")</f>
        <v>-0.02754390038</v>
      </c>
      <c r="L503" s="48">
        <f>IFERROR(MINUS(DIVIDE(VLOOKUP($B503,Data!$B$3:$EZ1530,34,FALSE),VLOOKUP($B503,Data!$B$3:$EZ1530,35,FALSE)),1),"")</f>
        <v>-0.03872651602</v>
      </c>
      <c r="M503" s="48">
        <f>IFERROR(MINUS(DIVIDE(VLOOKUP($B503,Data!$B$3:$EZ1530,39,FALSE),VLOOKUP($B503,Data!$B$3:$EZ1530,40,FALSE)),1),"")</f>
        <v>-0.04496926561</v>
      </c>
      <c r="N503" s="48">
        <f>IFERROR(MINUS(DIVIDE(VLOOKUP($B503,Data!$B$3:$EZ1530,44,FALSE),VLOOKUP($B503,Data!$B$3:$EZ1530,45,FALSE)),1),"")</f>
        <v>0.3476606145</v>
      </c>
      <c r="O503" s="50">
        <f>IFERROR(VLOOKUP($B503,Data!$B$3:$D1530,2,FALSE),"")</f>
        <v>8760000</v>
      </c>
      <c r="P503" s="50">
        <f>IFERROR(VLOOKUP($B503,Data!$B$3:$D1530,3,FALSE),"")</f>
        <v>8910000</v>
      </c>
      <c r="Q503" s="48">
        <f t="shared" si="2"/>
        <v>-0.01683501684</v>
      </c>
      <c r="R503" s="48"/>
      <c r="S503" s="48"/>
      <c r="T503" s="48"/>
      <c r="U503" s="48"/>
      <c r="V503" s="48"/>
      <c r="W503" s="50"/>
      <c r="Z503" s="12"/>
      <c r="AA503" s="12"/>
    </row>
    <row r="504">
      <c r="A504" s="9">
        <f t="shared" si="1"/>
        <v>501</v>
      </c>
      <c r="B504" s="47" t="s">
        <v>638</v>
      </c>
      <c r="C504" s="48">
        <f>IFERROR(DIVIDE(VLOOKUP($B504,Data!$B$3:$AB$1535,9,FALSE),VLOOKUP($B504,Data!$B$3:$AB$1535,4,FALSE)),"")</f>
        <v>0.2725643564</v>
      </c>
      <c r="D504" s="48">
        <f>IFERROR(DIVIDE(VLOOKUP($B504,Data!$B$3:$AB$1535,24,FALSE),VLOOKUP($B504,Data!$B$3:$AB$1535,4,FALSE)),"")</f>
        <v>-0.1082722772</v>
      </c>
      <c r="E504" s="48">
        <f>IFERROR(DIVIDE(VLOOKUP($B504,Data!$B$3:$EZ1530,29,FALSE),VLOOKUP($B504,Data!$B$3:$EZ1530,4,FALSE)),"")</f>
        <v>-0.1063762376</v>
      </c>
      <c r="F504" s="48">
        <f>IFERROR(DIVIDE(VLOOKUP($B504,Data!$B$3:$EZ1530,34,FALSE),VLOOKUP($B504,Data!$B$3:$EZ1530,4,FALSE)),"")</f>
        <v>0.0367029703</v>
      </c>
      <c r="G504" s="48">
        <f>IFERROR(DIVIDE(VLOOKUP($B504,Data!$B$3:$EZ1530,39,FALSE),VLOOKUP($B504,Data!$B$3:$EZ1530,4,FALSE)),"")</f>
        <v>-0.08136633663</v>
      </c>
      <c r="H504" s="48">
        <f>IFERROR(DIVIDE(VLOOKUP($B504,Data!$B$3:$EZ1530,44,FALSE),VLOOKUP($B504,Data!$B$3:$EZ1530,4,FALSE)),"")</f>
        <v>0.04446039604</v>
      </c>
      <c r="I504" s="48">
        <f>IFERROR(MINUS(DIVIDE(VLOOKUP($B504,Data!$B$3:$EZ1530,9,FALSE),VLOOKUP($B504,Data!$B$3:$EZ1530,10,FALSE)),1),"")</f>
        <v>-0.1046169358</v>
      </c>
      <c r="J504" s="48">
        <f>IFERROR(MINUS(DIVIDE(VLOOKUP($B504,Data!$B$3:$EZ1530,24,FALSE),VLOOKUP($B504,Data!$B$3:$EZ1530,25,FALSE)),1),"")</f>
        <v>-8.982116788</v>
      </c>
      <c r="K504" s="48">
        <f>IFERROR(MINUS(DIVIDE(VLOOKUP($B504,Data!$B$3:$EZ1530,29,FALSE),VLOOKUP($B504,Data!$B$3:$EZ1530,30,FALSE)),1),"")</f>
        <v>-11.59043864</v>
      </c>
      <c r="L504" s="48">
        <f>IFERROR(MINUS(DIVIDE(VLOOKUP($B504,Data!$B$3:$EZ1530,34,FALSE),VLOOKUP($B504,Data!$B$3:$EZ1530,35,FALSE)),1),"")</f>
        <v>-0.359536973</v>
      </c>
      <c r="M504" s="48">
        <f>IFERROR(MINUS(DIVIDE(VLOOKUP($B504,Data!$B$3:$EZ1530,39,FALSE),VLOOKUP($B504,Data!$B$3:$EZ1530,40,FALSE)),1),"")</f>
        <v>-18.0674974</v>
      </c>
      <c r="N504" s="48">
        <f>IFERROR(MINUS(DIVIDE(VLOOKUP($B504,Data!$B$3:$EZ1530,44,FALSE),VLOOKUP($B504,Data!$B$3:$EZ1530,45,FALSE)),1),"")</f>
        <v>0.2182582746</v>
      </c>
      <c r="O504" s="50">
        <f>IFERROR(VLOOKUP($B504,Data!$B$3:$D1530,2,FALSE),"")</f>
        <v>1730000</v>
      </c>
      <c r="P504" s="50">
        <f>IFERROR(VLOOKUP($B504,Data!$B$3:$D1530,3,FALSE),"")</f>
        <v>1460000</v>
      </c>
      <c r="Q504" s="48">
        <f t="shared" si="2"/>
        <v>0.1849315068</v>
      </c>
      <c r="R504" s="48"/>
      <c r="S504" s="48"/>
      <c r="T504" s="48"/>
      <c r="U504" s="48"/>
      <c r="V504" s="48"/>
      <c r="W504" s="50"/>
      <c r="Z504" s="11"/>
      <c r="AA504" s="11"/>
    </row>
    <row r="505">
      <c r="A505" s="9">
        <f t="shared" si="1"/>
        <v>502</v>
      </c>
      <c r="B505" s="47" t="s">
        <v>639</v>
      </c>
      <c r="C505" s="48">
        <f>IFERROR(DIVIDE(VLOOKUP($B505,Data!$B$3:$AB$1535,9,FALSE),VLOOKUP($B505,Data!$B$3:$AB$1535,4,FALSE)),"")</f>
        <v>0.4828895349</v>
      </c>
      <c r="D505" s="48">
        <f>IFERROR(DIVIDE(VLOOKUP($B505,Data!$B$3:$AB$1535,24,FALSE),VLOOKUP($B505,Data!$B$3:$AB$1535,4,FALSE)),"")</f>
        <v>0.03918604651</v>
      </c>
      <c r="E505" s="48">
        <f>IFERROR(DIVIDE(VLOOKUP($B505,Data!$B$3:$EZ1530,29,FALSE),VLOOKUP($B505,Data!$B$3:$EZ1530,4,FALSE)),"")</f>
        <v>0.01772674419</v>
      </c>
      <c r="F505" s="48">
        <f>IFERROR(DIVIDE(VLOOKUP($B505,Data!$B$3:$EZ1530,34,FALSE),VLOOKUP($B505,Data!$B$3:$EZ1530,4,FALSE)),"")</f>
        <v>0.1007674419</v>
      </c>
      <c r="G505" s="48">
        <f>IFERROR(DIVIDE(VLOOKUP($B505,Data!$B$3:$EZ1530,39,FALSE),VLOOKUP($B505,Data!$B$3:$EZ1530,4,FALSE)),"")</f>
        <v>0.01906976744</v>
      </c>
      <c r="H505" s="48">
        <f>IFERROR(DIVIDE(VLOOKUP($B505,Data!$B$3:$EZ1530,44,FALSE),VLOOKUP($B505,Data!$B$3:$EZ1530,4,FALSE)),"")</f>
        <v>0.09597674419</v>
      </c>
      <c r="I505" s="48">
        <f>IFERROR(MINUS(DIVIDE(VLOOKUP($B505,Data!$B$3:$EZ1530,9,FALSE),VLOOKUP($B505,Data!$B$3:$EZ1530,10,FALSE)),1),"")</f>
        <v>0.1089940449</v>
      </c>
      <c r="J505" s="48">
        <f>IFERROR(MINUS(DIVIDE(VLOOKUP($B505,Data!$B$3:$EZ1530,24,FALSE),VLOOKUP($B505,Data!$B$3:$EZ1530,25,FALSE)),1),"")</f>
        <v>0.5374087591</v>
      </c>
      <c r="K505" s="48">
        <f>IFERROR(MINUS(DIVIDE(VLOOKUP($B505,Data!$B$3:$EZ1530,29,FALSE),VLOOKUP($B505,Data!$B$3:$EZ1530,30,FALSE)),1),"")</f>
        <v>5.260780287</v>
      </c>
      <c r="L505" s="48">
        <f>IFERROR(MINUS(DIVIDE(VLOOKUP($B505,Data!$B$3:$EZ1530,34,FALSE),VLOOKUP($B505,Data!$B$3:$EZ1530,35,FALSE)),1),"")</f>
        <v>0.2761946837</v>
      </c>
      <c r="M505" s="48">
        <f>IFERROR(MINUS(DIVIDE(VLOOKUP($B505,Data!$B$3:$EZ1530,39,FALSE),VLOOKUP($B505,Data!$B$3:$EZ1530,40,FALSE)),1),"")</f>
        <v>0.3868921776</v>
      </c>
      <c r="N505" s="48">
        <f>IFERROR(MINUS(DIVIDE(VLOOKUP($B505,Data!$B$3:$EZ1530,44,FALSE),VLOOKUP($B505,Data!$B$3:$EZ1530,45,FALSE)),1),"")</f>
        <v>0.548157179</v>
      </c>
      <c r="O505" s="50">
        <f>IFERROR(VLOOKUP($B505,Data!$B$3:$D1530,2,FALSE),"")</f>
        <v>1920000</v>
      </c>
      <c r="P505" s="50">
        <f>IFERROR(VLOOKUP($B505,Data!$B$3:$D1530,3,FALSE),"")</f>
        <v>1680000</v>
      </c>
      <c r="Q505" s="48">
        <f t="shared" si="2"/>
        <v>0.1428571429</v>
      </c>
      <c r="R505" s="48"/>
      <c r="S505" s="48"/>
      <c r="T505" s="48"/>
      <c r="U505" s="48"/>
      <c r="V505" s="48"/>
      <c r="W505" s="50"/>
      <c r="Z505" s="11"/>
      <c r="AA505" s="11"/>
    </row>
    <row r="506">
      <c r="A506" s="9">
        <f t="shared" si="1"/>
        <v>503</v>
      </c>
      <c r="B506" s="47" t="s">
        <v>640</v>
      </c>
      <c r="C506" s="48">
        <f>IFERROR(DIVIDE(VLOOKUP($B506,Data!$B$3:$AB$1535,9,FALSE),VLOOKUP($B506,Data!$B$3:$AB$1535,4,FALSE)),"")</f>
        <v>0.5496146265</v>
      </c>
      <c r="D506" s="48">
        <f>IFERROR(DIVIDE(VLOOKUP($B506,Data!$B$3:$AB$1535,24,FALSE),VLOOKUP($B506,Data!$B$3:$AB$1535,4,FALSE)),"")</f>
        <v>0.03739244361</v>
      </c>
      <c r="E506" s="48">
        <f>IFERROR(DIVIDE(VLOOKUP($B506,Data!$B$3:$EZ1530,29,FALSE),VLOOKUP($B506,Data!$B$3:$EZ1530,4,FALSE)),"")</f>
        <v>0.004921922028</v>
      </c>
      <c r="F506" s="48">
        <f>IFERROR(DIVIDE(VLOOKUP($B506,Data!$B$3:$EZ1530,34,FALSE),VLOOKUP($B506,Data!$B$3:$EZ1530,4,FALSE)),"")</f>
        <v>0.09467322923</v>
      </c>
      <c r="G506" s="48">
        <f>IFERROR(DIVIDE(VLOOKUP($B506,Data!$B$3:$EZ1530,39,FALSE),VLOOKUP($B506,Data!$B$3:$EZ1530,4,FALSE)),"")</f>
        <v>0.003540951099</v>
      </c>
      <c r="H506" s="48">
        <f>IFERROR(DIVIDE(VLOOKUP($B506,Data!$B$3:$EZ1530,44,FALSE),VLOOKUP($B506,Data!$B$3:$EZ1530,4,FALSE)),"")</f>
        <v>0.1221864193</v>
      </c>
      <c r="I506" s="48">
        <f>IFERROR(MINUS(DIVIDE(VLOOKUP($B506,Data!$B$3:$EZ1530,9,FALSE),VLOOKUP($B506,Data!$B$3:$EZ1530,10,FALSE)),1),"")</f>
        <v>0.02100554739</v>
      </c>
      <c r="J506" s="48">
        <f>IFERROR(MINUS(DIVIDE(VLOOKUP($B506,Data!$B$3:$EZ1530,24,FALSE),VLOOKUP($B506,Data!$B$3:$EZ1530,25,FALSE)),1),"")</f>
        <v>-3.705380017</v>
      </c>
      <c r="K506" s="48">
        <f>IFERROR(MINUS(DIVIDE(VLOOKUP($B506,Data!$B$3:$EZ1530,29,FALSE),VLOOKUP($B506,Data!$B$3:$EZ1530,30,FALSE)),1),"")</f>
        <v>-0.9249189773</v>
      </c>
      <c r="L506" s="48">
        <f>IFERROR(MINUS(DIVIDE(VLOOKUP($B506,Data!$B$3:$EZ1530,34,FALSE),VLOOKUP($B506,Data!$B$3:$EZ1530,35,FALSE)),1),"")</f>
        <v>-0.1381755668</v>
      </c>
      <c r="M506" s="48">
        <f>IFERROR(MINUS(DIVIDE(VLOOKUP($B506,Data!$B$3:$EZ1530,39,FALSE),VLOOKUP($B506,Data!$B$3:$EZ1530,40,FALSE)),1),"")</f>
        <v>-0.9213424227</v>
      </c>
      <c r="N506" s="48">
        <f>IFERROR(MINUS(DIVIDE(VLOOKUP($B506,Data!$B$3:$EZ1530,44,FALSE),VLOOKUP($B506,Data!$B$3:$EZ1530,45,FALSE)),1),"")</f>
        <v>0.1634075073</v>
      </c>
      <c r="O506" s="50">
        <f>IFERROR(VLOOKUP($B506,Data!$B$3:$D1530,2,FALSE),"")</f>
        <v>895760</v>
      </c>
      <c r="P506" s="50">
        <f>IFERROR(VLOOKUP($B506,Data!$B$3:$D1530,3,FALSE),"")</f>
        <v>866550</v>
      </c>
      <c r="Q506" s="48">
        <f t="shared" si="2"/>
        <v>0.03370838382</v>
      </c>
      <c r="R506" s="48"/>
      <c r="S506" s="48"/>
      <c r="T506" s="48"/>
      <c r="U506" s="48"/>
      <c r="V506" s="48"/>
      <c r="W506" s="50"/>
      <c r="Z506" s="11"/>
      <c r="AA506" s="11"/>
    </row>
    <row r="507">
      <c r="A507" s="9">
        <f t="shared" si="1"/>
        <v>504</v>
      </c>
      <c r="B507" s="47" t="s">
        <v>641</v>
      </c>
      <c r="C507" s="48">
        <f>IFERROR(DIVIDE(VLOOKUP($B507,Data!$B$3:$AB$1535,9,FALSE),VLOOKUP($B507,Data!$B$3:$AB$1535,4,FALSE)),"")</f>
        <v>0.122578576</v>
      </c>
      <c r="D507" s="48">
        <f>IFERROR(DIVIDE(VLOOKUP($B507,Data!$B$3:$AB$1535,24,FALSE),VLOOKUP($B507,Data!$B$3:$AB$1535,4,FALSE)),"")</f>
        <v>0.002360487492</v>
      </c>
      <c r="E507" s="48">
        <f>IFERROR(DIVIDE(VLOOKUP($B507,Data!$B$3:$EZ1530,29,FALSE),VLOOKUP($B507,Data!$B$3:$EZ1530,4,FALSE)),"")</f>
        <v>-0.004105195638</v>
      </c>
      <c r="F507" s="48">
        <f>IFERROR(DIVIDE(VLOOKUP($B507,Data!$B$3:$EZ1530,34,FALSE),VLOOKUP($B507,Data!$B$3:$EZ1530,4,FALSE)),"")</f>
        <v>0.05798588839</v>
      </c>
      <c r="G507" s="48">
        <f>IFERROR(DIVIDE(VLOOKUP($B507,Data!$B$3:$EZ1530,39,FALSE),VLOOKUP($B507,Data!$B$3:$EZ1530,4,FALSE)),"")</f>
        <v>0.0003014753047</v>
      </c>
      <c r="H507" s="48">
        <f>IFERROR(DIVIDE(VLOOKUP($B507,Data!$B$3:$EZ1530,44,FALSE),VLOOKUP($B507,Data!$B$3:$EZ1530,4,FALSE)),"")</f>
        <v>0.1131494548</v>
      </c>
      <c r="I507" s="48">
        <f>IFERROR(MINUS(DIVIDE(VLOOKUP($B507,Data!$B$3:$EZ1530,9,FALSE),VLOOKUP($B507,Data!$B$3:$EZ1530,10,FALSE)),1),"")</f>
        <v>-0.1603690685</v>
      </c>
      <c r="J507" s="48">
        <f>IFERROR(MINUS(DIVIDE(VLOOKUP($B507,Data!$B$3:$EZ1530,24,FALSE),VLOOKUP($B507,Data!$B$3:$EZ1530,25,FALSE)),1),"")</f>
        <v>-0.8842767296</v>
      </c>
      <c r="K507" s="48">
        <f>IFERROR(MINUS(DIVIDE(VLOOKUP($B507,Data!$B$3:$EZ1530,29,FALSE),VLOOKUP($B507,Data!$B$3:$EZ1530,30,FALSE)),1),"")</f>
        <v>-1.147126437</v>
      </c>
      <c r="L507" s="48">
        <f>IFERROR(MINUS(DIVIDE(VLOOKUP($B507,Data!$B$3:$EZ1530,34,FALSE),VLOOKUP($B507,Data!$B$3:$EZ1530,35,FALSE)),1),"")</f>
        <v>-0.2111692845</v>
      </c>
      <c r="M507" s="48">
        <f>IFERROR(MINUS(DIVIDE(VLOOKUP($B507,Data!$B$3:$EZ1530,39,FALSE),VLOOKUP($B507,Data!$B$3:$EZ1530,40,FALSE)),1),"")</f>
        <v>-0.9872282609</v>
      </c>
      <c r="N507" s="48">
        <f>IFERROR(MINUS(DIVIDE(VLOOKUP($B507,Data!$B$3:$EZ1530,44,FALSE),VLOOKUP($B507,Data!$B$3:$EZ1530,45,FALSE)),1),"")</f>
        <v>0.1744340879</v>
      </c>
      <c r="O507" s="50">
        <f>IFERROR(VLOOKUP($B507,Data!$B$3:$D1530,2,FALSE),"")</f>
        <v>139260000</v>
      </c>
      <c r="P507" s="50">
        <f>IFERROR(VLOOKUP($B507,Data!$B$3:$D1530,3,FALSE),"")</f>
        <v>114250000</v>
      </c>
      <c r="Q507" s="48">
        <f t="shared" si="2"/>
        <v>0.2189059081</v>
      </c>
      <c r="R507" s="48"/>
      <c r="S507" s="48"/>
      <c r="T507" s="48"/>
      <c r="U507" s="48"/>
      <c r="V507" s="48"/>
      <c r="W507" s="50"/>
      <c r="Z507" s="11"/>
      <c r="AA507" s="11"/>
    </row>
    <row r="508">
      <c r="A508" s="9">
        <f t="shared" si="1"/>
        <v>505</v>
      </c>
      <c r="B508" s="47" t="s">
        <v>642</v>
      </c>
      <c r="C508" s="48">
        <f>IFERROR(DIVIDE(VLOOKUP($B508,Data!$B$3:$AB$1535,9,FALSE),VLOOKUP($B508,Data!$B$3:$AB$1535,4,FALSE)),"")</f>
        <v>0.3584062961</v>
      </c>
      <c r="D508" s="48">
        <f>IFERROR(DIVIDE(VLOOKUP($B508,Data!$B$3:$AB$1535,24,FALSE),VLOOKUP($B508,Data!$B$3:$AB$1535,4,FALSE)),"")</f>
        <v>0.169050664</v>
      </c>
      <c r="E508" s="48">
        <f>IFERROR(DIVIDE(VLOOKUP($B508,Data!$B$3:$EZ1530,29,FALSE),VLOOKUP($B508,Data!$B$3:$EZ1530,4,FALSE)),"")</f>
        <v>0.1984062961</v>
      </c>
      <c r="F508" s="48">
        <f>IFERROR(DIVIDE(VLOOKUP($B508,Data!$B$3:$EZ1530,34,FALSE),VLOOKUP($B508,Data!$B$3:$EZ1530,4,FALSE)),"")</f>
        <v>0.2641613379</v>
      </c>
      <c r="G508" s="48">
        <f>IFERROR(DIVIDE(VLOOKUP($B508,Data!$B$3:$EZ1530,39,FALSE),VLOOKUP($B508,Data!$B$3:$EZ1530,4,FALSE)),"")</f>
        <v>0.1443580915</v>
      </c>
      <c r="H508" s="48">
        <f>IFERROR(DIVIDE(VLOOKUP($B508,Data!$B$3:$EZ1530,44,FALSE),VLOOKUP($B508,Data!$B$3:$EZ1530,4,FALSE)),"")</f>
        <v>0.2850368913</v>
      </c>
      <c r="I508" s="48">
        <f>IFERROR(MINUS(DIVIDE(VLOOKUP($B508,Data!$B$3:$EZ1530,9,FALSE),VLOOKUP($B508,Data!$B$3:$EZ1530,10,FALSE)),1),"")</f>
        <v>-0.3146984688</v>
      </c>
      <c r="J508" s="48">
        <f>IFERROR(MINUS(DIVIDE(VLOOKUP($B508,Data!$B$3:$EZ1530,24,FALSE),VLOOKUP($B508,Data!$B$3:$EZ1530,25,FALSE)),1),"")</f>
        <v>-0.5439006264</v>
      </c>
      <c r="K508" s="48">
        <f>IFERROR(MINUS(DIVIDE(VLOOKUP($B508,Data!$B$3:$EZ1530,29,FALSE),VLOOKUP($B508,Data!$B$3:$EZ1530,30,FALSE)),1),"")</f>
        <v>-0.5164476839</v>
      </c>
      <c r="L508" s="48">
        <f>IFERROR(MINUS(DIVIDE(VLOOKUP($B508,Data!$B$3:$EZ1530,34,FALSE),VLOOKUP($B508,Data!$B$3:$EZ1530,35,FALSE)),1),"")</f>
        <v>-0.3386532683</v>
      </c>
      <c r="M508" s="48">
        <f>IFERROR(MINUS(DIVIDE(VLOOKUP($B508,Data!$B$3:$EZ1530,39,FALSE),VLOOKUP($B508,Data!$B$3:$EZ1530,40,FALSE)),1),"")</f>
        <v>-0.5240659056</v>
      </c>
      <c r="N508" s="48">
        <f>IFERROR(MINUS(DIVIDE(VLOOKUP($B508,Data!$B$3:$EZ1530,44,FALSE),VLOOKUP($B508,Data!$B$3:$EZ1530,45,FALSE)),1),"")</f>
        <v>-0.1849330483</v>
      </c>
      <c r="O508" s="50" t="str">
        <f>IFERROR(VLOOKUP($B508,Data!$B$3:$D1530,2,FALSE),"")</f>
        <v/>
      </c>
      <c r="P508" s="50" t="str">
        <f>IFERROR(VLOOKUP($B508,Data!$B$3:$D1530,3,FALSE),"")</f>
        <v/>
      </c>
      <c r="Q508" s="48" t="str">
        <f t="shared" si="2"/>
        <v/>
      </c>
      <c r="R508" s="48"/>
      <c r="S508" s="48"/>
      <c r="T508" s="48"/>
      <c r="U508" s="48"/>
      <c r="V508" s="48"/>
      <c r="W508" s="50"/>
      <c r="Z508" s="11"/>
      <c r="AA508" s="11"/>
    </row>
    <row r="509">
      <c r="A509" s="9">
        <f t="shared" si="1"/>
        <v>506</v>
      </c>
      <c r="B509" s="47" t="s">
        <v>643</v>
      </c>
      <c r="C509" s="48">
        <f>IFERROR(DIVIDE(VLOOKUP($B509,Data!$B$3:$AB$1535,9,FALSE),VLOOKUP($B509,Data!$B$3:$AB$1535,4,FALSE)),"")</f>
        <v>0.3160385274</v>
      </c>
      <c r="D509" s="48">
        <f>IFERROR(DIVIDE(VLOOKUP($B509,Data!$B$3:$AB$1535,24,FALSE),VLOOKUP($B509,Data!$B$3:$AB$1535,4,FALSE)),"")</f>
        <v>-0.02674765916</v>
      </c>
      <c r="E509" s="48">
        <f>IFERROR(DIVIDE(VLOOKUP($B509,Data!$B$3:$EZ1530,29,FALSE),VLOOKUP($B509,Data!$B$3:$EZ1530,4,FALSE)),"")</f>
        <v>-0.05618015236</v>
      </c>
      <c r="F509" s="48">
        <f>IFERROR(DIVIDE(VLOOKUP($B509,Data!$B$3:$EZ1530,34,FALSE),VLOOKUP($B509,Data!$B$3:$EZ1530,4,FALSE)),"")</f>
        <v>0.06628184045</v>
      </c>
      <c r="G509" s="48">
        <f>IFERROR(DIVIDE(VLOOKUP($B509,Data!$B$3:$EZ1530,39,FALSE),VLOOKUP($B509,Data!$B$3:$EZ1530,4,FALSE)),"")</f>
        <v>-0.123502366</v>
      </c>
      <c r="H509" s="48">
        <f>IFERROR(DIVIDE(VLOOKUP($B509,Data!$B$3:$EZ1530,44,FALSE),VLOOKUP($B509,Data!$B$3:$EZ1530,4,FALSE)),"")</f>
        <v>0.05772393194</v>
      </c>
      <c r="I509" s="48">
        <f>IFERROR(MINUS(DIVIDE(VLOOKUP($B509,Data!$B$3:$EZ1530,9,FALSE),VLOOKUP($B509,Data!$B$3:$EZ1530,10,FALSE)),1),"")</f>
        <v>-0.09699381503</v>
      </c>
      <c r="J509" s="48">
        <f>IFERROR(MINUS(DIVIDE(VLOOKUP($B509,Data!$B$3:$EZ1530,24,FALSE),VLOOKUP($B509,Data!$B$3:$EZ1530,25,FALSE)),1),"")</f>
        <v>0.3195364238</v>
      </c>
      <c r="K509" s="48">
        <f>IFERROR(MINUS(DIVIDE(VLOOKUP($B509,Data!$B$3:$EZ1530,29,FALSE),VLOOKUP($B509,Data!$B$3:$EZ1530,30,FALSE)),1),"")</f>
        <v>33.58677686</v>
      </c>
      <c r="L509" s="48">
        <f>IFERROR(MINUS(DIVIDE(VLOOKUP($B509,Data!$B$3:$EZ1530,34,FALSE),VLOOKUP($B509,Data!$B$3:$EZ1530,35,FALSE)),1),"")</f>
        <v>-0.1452066652</v>
      </c>
      <c r="M509" s="48">
        <f>IFERROR(MINUS(DIVIDE(VLOOKUP($B509,Data!$B$3:$EZ1530,39,FALSE),VLOOKUP($B509,Data!$B$3:$EZ1530,40,FALSE)),1),"")</f>
        <v>3.026258206</v>
      </c>
      <c r="N509" s="48">
        <f>IFERROR(MINUS(DIVIDE(VLOOKUP($B509,Data!$B$3:$EZ1530,44,FALSE),VLOOKUP($B509,Data!$B$3:$EZ1530,45,FALSE)),1),"")</f>
        <v>3.154589372</v>
      </c>
      <c r="O509" s="50">
        <f>IFERROR(VLOOKUP($B509,Data!$B$3:$D1530,2,FALSE),"")</f>
        <v>494410</v>
      </c>
      <c r="P509" s="50">
        <f>IFERROR(VLOOKUP($B509,Data!$B$3:$D1530,3,FALSE),"")</f>
        <v>512250</v>
      </c>
      <c r="Q509" s="48">
        <f t="shared" si="2"/>
        <v>-0.03482674475</v>
      </c>
      <c r="R509" s="48"/>
      <c r="S509" s="48"/>
      <c r="T509" s="48"/>
      <c r="U509" s="48"/>
      <c r="V509" s="48"/>
      <c r="W509" s="50"/>
      <c r="Z509" s="15"/>
      <c r="AA509" s="15"/>
    </row>
    <row r="510">
      <c r="A510" s="9">
        <f t="shared" si="1"/>
        <v>507</v>
      </c>
      <c r="B510" s="47" t="s">
        <v>644</v>
      </c>
      <c r="C510" s="48">
        <f>IFERROR(DIVIDE(VLOOKUP($B510,Data!$B$3:$AB$1535,9,FALSE),VLOOKUP($B510,Data!$B$3:$AB$1535,4,FALSE)),"")</f>
        <v>0.4727954972</v>
      </c>
      <c r="D510" s="48">
        <f>IFERROR(DIVIDE(VLOOKUP($B510,Data!$B$3:$AB$1535,24,FALSE),VLOOKUP($B510,Data!$B$3:$AB$1535,4,FALSE)),"")</f>
        <v>0</v>
      </c>
      <c r="E510" s="48">
        <f>IFERROR(DIVIDE(VLOOKUP($B510,Data!$B$3:$EZ1530,29,FALSE),VLOOKUP($B510,Data!$B$3:$EZ1530,4,FALSE)),"")</f>
        <v>0.1951219512</v>
      </c>
      <c r="F510" s="48">
        <f>IFERROR(DIVIDE(VLOOKUP($B510,Data!$B$3:$EZ1530,34,FALSE),VLOOKUP($B510,Data!$B$3:$EZ1530,4,FALSE)),"")</f>
        <v>0.2251407129</v>
      </c>
      <c r="G510" s="48">
        <f>IFERROR(DIVIDE(VLOOKUP($B510,Data!$B$3:$EZ1530,39,FALSE),VLOOKUP($B510,Data!$B$3:$EZ1530,4,FALSE)),"")</f>
        <v>0.1483864916</v>
      </c>
      <c r="H510" s="48">
        <f>IFERROR(DIVIDE(VLOOKUP($B510,Data!$B$3:$EZ1530,44,FALSE),VLOOKUP($B510,Data!$B$3:$EZ1530,4,FALSE)),"")</f>
        <v>0.1581050657</v>
      </c>
      <c r="I510" s="48">
        <f>IFERROR(MINUS(DIVIDE(VLOOKUP($B510,Data!$B$3:$EZ1530,9,FALSE),VLOOKUP($B510,Data!$B$3:$EZ1530,10,FALSE)),1),"")</f>
        <v>0.05</v>
      </c>
      <c r="J510" s="48" t="str">
        <f>IFERROR(MINUS(DIVIDE(VLOOKUP($B510,Data!$B$3:$EZ1530,24,FALSE),VLOOKUP($B510,Data!$B$3:$EZ1530,25,FALSE)),1),"")</f>
        <v/>
      </c>
      <c r="K510" s="48">
        <f>IFERROR(MINUS(DIVIDE(VLOOKUP($B510,Data!$B$3:$EZ1530,29,FALSE),VLOOKUP($B510,Data!$B$3:$EZ1530,30,FALSE)),1),"")</f>
        <v>0.05369807497</v>
      </c>
      <c r="L510" s="48">
        <f>IFERROR(MINUS(DIVIDE(VLOOKUP($B510,Data!$B$3:$EZ1530,34,FALSE),VLOOKUP($B510,Data!$B$3:$EZ1530,35,FALSE)),1),"")</f>
        <v>0.05263157895</v>
      </c>
      <c r="M510" s="48">
        <f>IFERROR(MINUS(DIVIDE(VLOOKUP($B510,Data!$B$3:$EZ1530,39,FALSE),VLOOKUP($B510,Data!$B$3:$EZ1530,40,FALSE)),1),"")</f>
        <v>0.05186859955</v>
      </c>
      <c r="N510" s="48">
        <f>IFERROR(MINUS(DIVIDE(VLOOKUP($B510,Data!$B$3:$EZ1530,44,FALSE),VLOOKUP($B510,Data!$B$3:$EZ1530,45,FALSE)),1),"")</f>
        <v>0.249925838</v>
      </c>
      <c r="O510" s="50">
        <f>IFERROR(VLOOKUP($B510,Data!$B$3:$D1530,2,FALSE),"")</f>
        <v>5890000</v>
      </c>
      <c r="P510" s="50">
        <f>IFERROR(VLOOKUP($B510,Data!$B$3:$D1530,3,FALSE),"")</f>
        <v>5600000</v>
      </c>
      <c r="Q510" s="48">
        <f t="shared" si="2"/>
        <v>0.05178571429</v>
      </c>
      <c r="R510" s="48"/>
      <c r="S510" s="48"/>
      <c r="T510" s="48"/>
      <c r="U510" s="48"/>
      <c r="V510" s="48"/>
      <c r="W510" s="50"/>
      <c r="Z510" s="11"/>
      <c r="AA510" s="11"/>
    </row>
    <row r="511">
      <c r="A511" s="9">
        <f t="shared" si="1"/>
        <v>508</v>
      </c>
      <c r="B511" s="47" t="s">
        <v>645</v>
      </c>
      <c r="C511" s="48">
        <f>IFERROR(DIVIDE(VLOOKUP($B511,Data!$B$3:$AB$1535,9,FALSE),VLOOKUP($B511,Data!$B$3:$AB$1535,4,FALSE)),"")</f>
        <v>0</v>
      </c>
      <c r="D511" s="48">
        <f>IFERROR(DIVIDE(VLOOKUP($B511,Data!$B$3:$AB$1535,24,FALSE),VLOOKUP($B511,Data!$B$3:$AB$1535,4,FALSE)),"")</f>
        <v>0</v>
      </c>
      <c r="E511" s="48">
        <f>IFERROR(DIVIDE(VLOOKUP($B511,Data!$B$3:$EZ1530,29,FALSE),VLOOKUP($B511,Data!$B$3:$EZ1530,4,FALSE)),"")</f>
        <v>-9.190074906</v>
      </c>
      <c r="F511" s="48">
        <f>IFERROR(DIVIDE(VLOOKUP($B511,Data!$B$3:$EZ1530,34,FALSE),VLOOKUP($B511,Data!$B$3:$EZ1530,4,FALSE)),"")</f>
        <v>-9.225655431</v>
      </c>
      <c r="G511" s="48">
        <f>IFERROR(DIVIDE(VLOOKUP($B511,Data!$B$3:$EZ1530,39,FALSE),VLOOKUP($B511,Data!$B$3:$EZ1530,4,FALSE)),"")</f>
        <v>-9.190074906</v>
      </c>
      <c r="H511" s="48">
        <f>IFERROR(DIVIDE(VLOOKUP($B511,Data!$B$3:$EZ1530,44,FALSE),VLOOKUP($B511,Data!$B$3:$EZ1530,4,FALSE)),"")</f>
        <v>-7.788389513</v>
      </c>
      <c r="I511" s="48" t="str">
        <f>IFERROR(MINUS(DIVIDE(VLOOKUP($B511,Data!$B$3:$EZ1530,9,FALSE),VLOOKUP($B511,Data!$B$3:$EZ1530,10,FALSE)),1),"")</f>
        <v/>
      </c>
      <c r="J511" s="48" t="str">
        <f>IFERROR(MINUS(DIVIDE(VLOOKUP($B511,Data!$B$3:$EZ1530,24,FALSE),VLOOKUP($B511,Data!$B$3:$EZ1530,25,FALSE)),1),"")</f>
        <v/>
      </c>
      <c r="K511" s="48">
        <f>IFERROR(MINUS(DIVIDE(VLOOKUP($B511,Data!$B$3:$EZ1530,29,FALSE),VLOOKUP($B511,Data!$B$3:$EZ1530,30,FALSE)),1),"")</f>
        <v>0.4737237237</v>
      </c>
      <c r="L511" s="48">
        <f>IFERROR(MINUS(DIVIDE(VLOOKUP($B511,Data!$B$3:$EZ1530,34,FALSE),VLOOKUP($B511,Data!$B$3:$EZ1530,35,FALSE)),1),"")</f>
        <v>0.495371073</v>
      </c>
      <c r="M511" s="48">
        <f>IFERROR(MINUS(DIVIDE(VLOOKUP($B511,Data!$B$3:$EZ1530,39,FALSE),VLOOKUP($B511,Data!$B$3:$EZ1530,40,FALSE)),1),"")</f>
        <v>0.4737237237</v>
      </c>
      <c r="N511" s="48">
        <f>IFERROR(MINUS(DIVIDE(VLOOKUP($B511,Data!$B$3:$EZ1530,44,FALSE),VLOOKUP($B511,Data!$B$3:$EZ1530,45,FALSE)),1),"")</f>
        <v>1.152134541</v>
      </c>
      <c r="O511" s="50">
        <f>IFERROR(VLOOKUP($B511,Data!$B$3:$D1530,2,FALSE),"")</f>
        <v>14900</v>
      </c>
      <c r="P511" s="50">
        <f>IFERROR(VLOOKUP($B511,Data!$B$3:$D1530,3,FALSE),"")</f>
        <v>18820</v>
      </c>
      <c r="Q511" s="48">
        <f t="shared" si="2"/>
        <v>-0.2082890542</v>
      </c>
      <c r="R511" s="48"/>
      <c r="S511" s="48"/>
      <c r="T511" s="48"/>
      <c r="U511" s="48"/>
      <c r="V511" s="48"/>
      <c r="W511" s="50"/>
      <c r="Z511" s="15"/>
      <c r="AA511" s="15"/>
    </row>
    <row r="512">
      <c r="A512" s="9">
        <f t="shared" si="1"/>
        <v>509</v>
      </c>
      <c r="B512" s="47" t="s">
        <v>646</v>
      </c>
      <c r="C512" s="48">
        <f>IFERROR(DIVIDE(VLOOKUP($B512,Data!$B$3:$AB$1535,9,FALSE),VLOOKUP($B512,Data!$B$3:$AB$1535,4,FALSE)),"")</f>
        <v>0.3489583333</v>
      </c>
      <c r="D512" s="48">
        <f>IFERROR(DIVIDE(VLOOKUP($B512,Data!$B$3:$AB$1535,24,FALSE),VLOOKUP($B512,Data!$B$3:$AB$1535,4,FALSE)),"")</f>
        <v>0.1207465278</v>
      </c>
      <c r="E512" s="48">
        <f>IFERROR(DIVIDE(VLOOKUP($B512,Data!$B$3:$EZ1530,29,FALSE),VLOOKUP($B512,Data!$B$3:$EZ1530,4,FALSE)),"")</f>
        <v>0.09987847222</v>
      </c>
      <c r="F512" s="48">
        <f>IFERROR(DIVIDE(VLOOKUP($B512,Data!$B$3:$EZ1530,34,FALSE),VLOOKUP($B512,Data!$B$3:$EZ1530,4,FALSE)),"")</f>
        <v>0.1630729167</v>
      </c>
      <c r="G512" s="48">
        <f>IFERROR(DIVIDE(VLOOKUP($B512,Data!$B$3:$EZ1530,39,FALSE),VLOOKUP($B512,Data!$B$3:$EZ1530,4,FALSE)),"")</f>
        <v>0.07498263889</v>
      </c>
      <c r="H512" s="48">
        <f>IFERROR(DIVIDE(VLOOKUP($B512,Data!$B$3:$EZ1530,44,FALSE),VLOOKUP($B512,Data!$B$3:$EZ1530,4,FALSE)),"")</f>
        <v>0.110625</v>
      </c>
      <c r="I512" s="48">
        <f>IFERROR(MINUS(DIVIDE(VLOOKUP($B512,Data!$B$3:$EZ1530,9,FALSE),VLOOKUP($B512,Data!$B$3:$EZ1530,10,FALSE)),1),"")</f>
        <v>0.0414507772</v>
      </c>
      <c r="J512" s="48">
        <f>IFERROR(MINUS(DIVIDE(VLOOKUP($B512,Data!$B$3:$EZ1530,24,FALSE),VLOOKUP($B512,Data!$B$3:$EZ1530,25,FALSE)),1),"")</f>
        <v>0.1578158815</v>
      </c>
      <c r="K512" s="48">
        <f>IFERROR(MINUS(DIVIDE(VLOOKUP($B512,Data!$B$3:$EZ1530,29,FALSE),VLOOKUP($B512,Data!$B$3:$EZ1530,30,FALSE)),1),"")</f>
        <v>0.07132216015</v>
      </c>
      <c r="L512" s="48">
        <f>IFERROR(MINUS(DIVIDE(VLOOKUP($B512,Data!$B$3:$EZ1530,34,FALSE),VLOOKUP($B512,Data!$B$3:$EZ1530,35,FALSE)),1),"")</f>
        <v>0.117150333</v>
      </c>
      <c r="M512" s="48">
        <f>IFERROR(MINUS(DIVIDE(VLOOKUP($B512,Data!$B$3:$EZ1530,39,FALSE),VLOOKUP($B512,Data!$B$3:$EZ1530,40,FALSE)),1),"")</f>
        <v>0.1080041047</v>
      </c>
      <c r="N512" s="48">
        <f>IFERROR(MINUS(DIVIDE(VLOOKUP($B512,Data!$B$3:$EZ1530,44,FALSE),VLOOKUP($B512,Data!$B$3:$EZ1530,45,FALSE)),1),"")</f>
        <v>0.05496688742</v>
      </c>
      <c r="O512" s="50">
        <f>IFERROR(VLOOKUP($B512,Data!$B$3:$D1530,2,FALSE),"")</f>
        <v>5780000</v>
      </c>
      <c r="P512" s="50">
        <f>IFERROR(VLOOKUP($B512,Data!$B$3:$D1530,3,FALSE),"")</f>
        <v>5420000</v>
      </c>
      <c r="Q512" s="48">
        <f t="shared" si="2"/>
        <v>0.06642066421</v>
      </c>
      <c r="R512" s="48"/>
      <c r="S512" s="48"/>
      <c r="T512" s="48"/>
      <c r="U512" s="48"/>
      <c r="V512" s="48"/>
      <c r="W512" s="50"/>
      <c r="Z512" s="11"/>
      <c r="AA512" s="11"/>
    </row>
    <row r="513">
      <c r="A513" s="9">
        <f t="shared" si="1"/>
        <v>510</v>
      </c>
      <c r="B513" s="47" t="s">
        <v>647</v>
      </c>
      <c r="C513" s="48">
        <f>IFERROR(DIVIDE(VLOOKUP($B513,Data!$B$3:$AB$1535,9,FALSE),VLOOKUP($B513,Data!$B$3:$AB$1535,4,FALSE)),"")</f>
        <v>0.6601146601</v>
      </c>
      <c r="D513" s="48">
        <f>IFERROR(DIVIDE(VLOOKUP($B513,Data!$B$3:$AB$1535,24,FALSE),VLOOKUP($B513,Data!$B$3:$AB$1535,4,FALSE)),"")</f>
        <v>-2.521703522</v>
      </c>
      <c r="E513" s="48">
        <f>IFERROR(DIVIDE(VLOOKUP($B513,Data!$B$3:$EZ1530,29,FALSE),VLOOKUP($B513,Data!$B$3:$EZ1530,4,FALSE)),"")</f>
        <v>-2.775320775</v>
      </c>
      <c r="F513" s="48">
        <f>IFERROR(DIVIDE(VLOOKUP($B513,Data!$B$3:$EZ1530,34,FALSE),VLOOKUP($B513,Data!$B$3:$EZ1530,4,FALSE)),"")</f>
        <v>-2.898443898</v>
      </c>
      <c r="G513" s="48">
        <f>IFERROR(DIVIDE(VLOOKUP($B513,Data!$B$3:$EZ1530,39,FALSE),VLOOKUP($B513,Data!$B$3:$EZ1530,4,FALSE)),"")</f>
        <v>-1.090909091</v>
      </c>
      <c r="H513" s="48">
        <f>IFERROR(DIVIDE(VLOOKUP($B513,Data!$B$3:$EZ1530,44,FALSE),VLOOKUP($B513,Data!$B$3:$EZ1530,4,FALSE)),"")</f>
        <v>-2.555282555</v>
      </c>
      <c r="I513" s="48">
        <f>IFERROR(MINUS(DIVIDE(VLOOKUP($B513,Data!$B$3:$EZ1530,9,FALSE),VLOOKUP($B513,Data!$B$3:$EZ1530,10,FALSE)),1),"")</f>
        <v>0.2489669421</v>
      </c>
      <c r="J513" s="48">
        <f>IFERROR(MINUS(DIVIDE(VLOOKUP($B513,Data!$B$3:$EZ1530,24,FALSE),VLOOKUP($B513,Data!$B$3:$EZ1530,25,FALSE)),1),"")</f>
        <v>-0.2405656499</v>
      </c>
      <c r="K513" s="48">
        <f>IFERROR(MINUS(DIVIDE(VLOOKUP($B513,Data!$B$3:$EZ1530,29,FALSE),VLOOKUP($B513,Data!$B$3:$EZ1530,30,FALSE)),1),"")</f>
        <v>-0.2227828746</v>
      </c>
      <c r="L513" s="48">
        <f>IFERROR(MINUS(DIVIDE(VLOOKUP($B513,Data!$B$3:$EZ1530,34,FALSE),VLOOKUP($B513,Data!$B$3:$EZ1530,35,FALSE)),1),"")</f>
        <v>-0.0997965067</v>
      </c>
      <c r="M513" s="48">
        <f>IFERROR(MINUS(DIVIDE(VLOOKUP($B513,Data!$B$3:$EZ1530,39,FALSE),VLOOKUP($B513,Data!$B$3:$EZ1530,40,FALSE)),1),"")</f>
        <v>-0.4526777154</v>
      </c>
      <c r="N513" s="48">
        <f>IFERROR(MINUS(DIVIDE(VLOOKUP($B513,Data!$B$3:$EZ1530,44,FALSE),VLOOKUP($B513,Data!$B$3:$EZ1530,45,FALSE)),1),"")</f>
        <v>-0.0531107739</v>
      </c>
      <c r="O513" s="50">
        <f>IFERROR(VLOOKUP($B513,Data!$B$3:$D1530,2,FALSE),"")</f>
        <v>65580</v>
      </c>
      <c r="P513" s="50">
        <f>IFERROR(VLOOKUP($B513,Data!$B$3:$D1530,3,FALSE),"")</f>
        <v>47560</v>
      </c>
      <c r="Q513" s="48">
        <f t="shared" si="2"/>
        <v>0.3788898234</v>
      </c>
      <c r="R513" s="48"/>
      <c r="S513" s="48"/>
      <c r="T513" s="48"/>
      <c r="U513" s="48"/>
      <c r="V513" s="48"/>
      <c r="W513" s="50"/>
      <c r="Z513" s="11"/>
      <c r="AA513" s="11"/>
    </row>
    <row r="514">
      <c r="A514" s="9">
        <f t="shared" si="1"/>
        <v>511</v>
      </c>
      <c r="B514" s="47" t="s">
        <v>648</v>
      </c>
      <c r="C514" s="48">
        <f>IFERROR(DIVIDE(VLOOKUP($B514,Data!$B$3:$AB$1535,9,FALSE),VLOOKUP($B514,Data!$B$3:$AB$1535,4,FALSE)),"")</f>
        <v>0.2679860465</v>
      </c>
      <c r="D514" s="48">
        <f>IFERROR(DIVIDE(VLOOKUP($B514,Data!$B$3:$AB$1535,24,FALSE),VLOOKUP($B514,Data!$B$3:$AB$1535,4,FALSE)),"")</f>
        <v>0.04085581395</v>
      </c>
      <c r="E514" s="48">
        <f>IFERROR(DIVIDE(VLOOKUP($B514,Data!$B$3:$EZ1530,29,FALSE),VLOOKUP($B514,Data!$B$3:$EZ1530,4,FALSE)),"")</f>
        <v>0.0255627907</v>
      </c>
      <c r="F514" s="48">
        <f>IFERROR(DIVIDE(VLOOKUP($B514,Data!$B$3:$EZ1530,34,FALSE),VLOOKUP($B514,Data!$B$3:$EZ1530,4,FALSE)),"")</f>
        <v>0.09269767442</v>
      </c>
      <c r="G514" s="48">
        <f>IFERROR(DIVIDE(VLOOKUP($B514,Data!$B$3:$EZ1530,39,FALSE),VLOOKUP($B514,Data!$B$3:$EZ1530,4,FALSE)),"")</f>
        <v>0.01945581395</v>
      </c>
      <c r="H514" s="48">
        <f>IFERROR(DIVIDE(VLOOKUP($B514,Data!$B$3:$EZ1530,44,FALSE),VLOOKUP($B514,Data!$B$3:$EZ1530,4,FALSE)),"")</f>
        <v>0.08030697674</v>
      </c>
      <c r="I514" s="48">
        <f>IFERROR(MINUS(DIVIDE(VLOOKUP($B514,Data!$B$3:$EZ1530,9,FALSE),VLOOKUP($B514,Data!$B$3:$EZ1530,10,FALSE)),1),"")</f>
        <v>0.1232697781</v>
      </c>
      <c r="J514" s="48">
        <f>IFERROR(MINUS(DIVIDE(VLOOKUP($B514,Data!$B$3:$EZ1530,24,FALSE),VLOOKUP($B514,Data!$B$3:$EZ1530,25,FALSE)),1),"")</f>
        <v>7.578125</v>
      </c>
      <c r="K514" s="48">
        <f>IFERROR(MINUS(DIVIDE(VLOOKUP($B514,Data!$B$3:$EZ1530,29,FALSE),VLOOKUP($B514,Data!$B$3:$EZ1530,30,FALSE)),1),"")</f>
        <v>-2.307015458</v>
      </c>
      <c r="L514" s="48">
        <f>IFERROR(MINUS(DIVIDE(VLOOKUP($B514,Data!$B$3:$EZ1530,34,FALSE),VLOOKUP($B514,Data!$B$3:$EZ1530,35,FALSE)),1),"")</f>
        <v>0.3666598094</v>
      </c>
      <c r="M514" s="48">
        <f>IFERROR(MINUS(DIVIDE(VLOOKUP($B514,Data!$B$3:$EZ1530,39,FALSE),VLOOKUP($B514,Data!$B$3:$EZ1530,40,FALSE)),1),"")</f>
        <v>-2.148544756</v>
      </c>
      <c r="N514" s="48">
        <f>IFERROR(MINUS(DIVIDE(VLOOKUP($B514,Data!$B$3:$EZ1530,44,FALSE),VLOOKUP($B514,Data!$B$3:$EZ1530,45,FALSE)),1),"")</f>
        <v>1.493645292</v>
      </c>
      <c r="O514" s="50">
        <f>IFERROR(VLOOKUP($B514,Data!$B$3:$D1530,2,FALSE),"")</f>
        <v>2150000</v>
      </c>
      <c r="P514" s="50">
        <f>IFERROR(VLOOKUP($B514,Data!$B$3:$D1530,3,FALSE),"")</f>
        <v>2060000</v>
      </c>
      <c r="Q514" s="48">
        <f t="shared" si="2"/>
        <v>0.04368932039</v>
      </c>
      <c r="R514" s="48"/>
      <c r="S514" s="48"/>
      <c r="T514" s="48"/>
      <c r="U514" s="48"/>
      <c r="V514" s="48"/>
      <c r="W514" s="50"/>
      <c r="Z514" s="11"/>
      <c r="AA514" s="11"/>
    </row>
    <row r="515">
      <c r="A515" s="9">
        <f t="shared" si="1"/>
        <v>512</v>
      </c>
      <c r="B515" s="47" t="s">
        <v>649</v>
      </c>
      <c r="C515" s="48">
        <f>IFERROR(DIVIDE(VLOOKUP($B515,Data!$B$3:$AB$1535,9,FALSE),VLOOKUP($B515,Data!$B$3:$AB$1535,4,FALSE)),"")</f>
        <v>0.1388298364</v>
      </c>
      <c r="D515" s="48">
        <f>IFERROR(DIVIDE(VLOOKUP($B515,Data!$B$3:$AB$1535,24,FALSE),VLOOKUP($B515,Data!$B$3:$AB$1535,4,FALSE)),"")</f>
        <v>0.04418153249</v>
      </c>
      <c r="E515" s="48">
        <f>IFERROR(DIVIDE(VLOOKUP($B515,Data!$B$3:$EZ1530,29,FALSE),VLOOKUP($B515,Data!$B$3:$EZ1530,4,FALSE)),"")</f>
        <v>0.03521582401</v>
      </c>
      <c r="F515" s="48">
        <f>IFERROR(DIVIDE(VLOOKUP($B515,Data!$B$3:$EZ1530,34,FALSE),VLOOKUP($B515,Data!$B$3:$EZ1530,4,FALSE)),"")</f>
        <v>0.0923375543</v>
      </c>
      <c r="G515" s="48">
        <f>IFERROR(DIVIDE(VLOOKUP($B515,Data!$B$3:$EZ1530,39,FALSE),VLOOKUP($B515,Data!$B$3:$EZ1530,4,FALSE)),"")</f>
        <v>0.02486366577</v>
      </c>
      <c r="H515" s="48">
        <f>IFERROR(DIVIDE(VLOOKUP($B515,Data!$B$3:$EZ1530,44,FALSE),VLOOKUP($B515,Data!$B$3:$EZ1530,4,FALSE)),"")</f>
        <v>0.09668176356</v>
      </c>
      <c r="I515" s="48">
        <f>IFERROR(MINUS(DIVIDE(VLOOKUP($B515,Data!$B$3:$EZ1530,9,FALSE),VLOOKUP($B515,Data!$B$3:$EZ1530,10,FALSE)),1),"")</f>
        <v>-0.02467532468</v>
      </c>
      <c r="J515" s="48">
        <f>IFERROR(MINUS(DIVIDE(VLOOKUP($B515,Data!$B$3:$EZ1530,24,FALSE),VLOOKUP($B515,Data!$B$3:$EZ1530,25,FALSE)),1),"")</f>
        <v>-0.02845528455</v>
      </c>
      <c r="K515" s="48">
        <f>IFERROR(MINUS(DIVIDE(VLOOKUP($B515,Data!$B$3:$EZ1530,29,FALSE),VLOOKUP($B515,Data!$B$3:$EZ1530,30,FALSE)),1),"")</f>
        <v>-0.01550387597</v>
      </c>
      <c r="L515" s="48">
        <f>IFERROR(MINUS(DIVIDE(VLOOKUP($B515,Data!$B$3:$EZ1530,34,FALSE),VLOOKUP($B515,Data!$B$3:$EZ1530,35,FALSE)),1),"")</f>
        <v>0.09299781182</v>
      </c>
      <c r="M515" s="48">
        <f>IFERROR(MINUS(DIVIDE(VLOOKUP($B515,Data!$B$3:$EZ1530,39,FALSE),VLOOKUP($B515,Data!$B$3:$EZ1530,40,FALSE)),1),"")</f>
        <v>-0.1897590361</v>
      </c>
      <c r="N515" s="48">
        <f>IFERROR(MINUS(DIVIDE(VLOOKUP($B515,Data!$B$3:$EZ1530,44,FALSE),VLOOKUP($B515,Data!$B$3:$EZ1530,45,FALSE)),1),"")</f>
        <v>0.05125628141</v>
      </c>
      <c r="O515" s="50">
        <f>IFERROR(VLOOKUP($B515,Data!$B$3:$D1530,2,FALSE),"")</f>
        <v>112010000</v>
      </c>
      <c r="P515" s="50">
        <f>IFERROR(VLOOKUP($B515,Data!$B$3:$D1530,3,FALSE),"")</f>
        <v>98890000</v>
      </c>
      <c r="Q515" s="48">
        <f t="shared" si="2"/>
        <v>0.1326726666</v>
      </c>
      <c r="R515" s="48"/>
      <c r="S515" s="48"/>
      <c r="T515" s="48"/>
      <c r="U515" s="48"/>
      <c r="V515" s="48"/>
      <c r="W515" s="50"/>
      <c r="Z515" s="11"/>
      <c r="AA515" s="11"/>
    </row>
    <row r="516">
      <c r="A516" s="9">
        <f t="shared" si="1"/>
        <v>513</v>
      </c>
      <c r="B516" s="47" t="s">
        <v>650</v>
      </c>
      <c r="C516" s="48">
        <f>IFERROR(DIVIDE(VLOOKUP($B516,Data!$B$3:$AB$1535,9,FALSE),VLOOKUP($B516,Data!$B$3:$AB$1535,4,FALSE)),"")</f>
        <v>0.5249677419</v>
      </c>
      <c r="D516" s="48">
        <f>IFERROR(DIVIDE(VLOOKUP($B516,Data!$B$3:$AB$1535,24,FALSE),VLOOKUP($B516,Data!$B$3:$AB$1535,4,FALSE)),"")</f>
        <v>0.1380645161</v>
      </c>
      <c r="E516" s="48">
        <f>IFERROR(DIVIDE(VLOOKUP($B516,Data!$B$3:$EZ1530,29,FALSE),VLOOKUP($B516,Data!$B$3:$EZ1530,4,FALSE)),"")</f>
        <v>0.1207580645</v>
      </c>
      <c r="F516" s="48">
        <f>IFERROR(DIVIDE(VLOOKUP($B516,Data!$B$3:$EZ1530,34,FALSE),VLOOKUP($B516,Data!$B$3:$EZ1530,4,FALSE)),"")</f>
        <v>0.1615430108</v>
      </c>
      <c r="G516" s="48">
        <f>IFERROR(DIVIDE(VLOOKUP($B516,Data!$B$3:$EZ1530,39,FALSE),VLOOKUP($B516,Data!$B$3:$EZ1530,4,FALSE)),"")</f>
        <v>0.08850537634</v>
      </c>
      <c r="H516" s="48">
        <f>IFERROR(DIVIDE(VLOOKUP($B516,Data!$B$3:$EZ1530,44,FALSE),VLOOKUP($B516,Data!$B$3:$EZ1530,4,FALSE)),"")</f>
        <v>0.124516129</v>
      </c>
      <c r="I516" s="48">
        <f>IFERROR(MINUS(DIVIDE(VLOOKUP($B516,Data!$B$3:$EZ1530,9,FALSE),VLOOKUP($B516,Data!$B$3:$EZ1530,10,FALSE)),1),"")</f>
        <v>0.05667319575</v>
      </c>
      <c r="J516" s="48">
        <f>IFERROR(MINUS(DIVIDE(VLOOKUP($B516,Data!$B$3:$EZ1530,24,FALSE),VLOOKUP($B516,Data!$B$3:$EZ1530,25,FALSE)),1),"")</f>
        <v>0.1030927835</v>
      </c>
      <c r="K516" s="48">
        <f>IFERROR(MINUS(DIVIDE(VLOOKUP($B516,Data!$B$3:$EZ1530,29,FALSE),VLOOKUP($B516,Data!$B$3:$EZ1530,30,FALSE)),1),"")</f>
        <v>0.09400418879</v>
      </c>
      <c r="L516" s="48">
        <f>IFERROR(MINUS(DIVIDE(VLOOKUP($B516,Data!$B$3:$EZ1530,34,FALSE),VLOOKUP($B516,Data!$B$3:$EZ1530,35,FALSE)),1),"")</f>
        <v>0.0611689917</v>
      </c>
      <c r="M516" s="48">
        <f>IFERROR(MINUS(DIVIDE(VLOOKUP($B516,Data!$B$3:$EZ1530,39,FALSE),VLOOKUP($B516,Data!$B$3:$EZ1530,40,FALSE)),1),"")</f>
        <v>0.07447294563</v>
      </c>
      <c r="N516" s="48">
        <f>IFERROR(MINUS(DIVIDE(VLOOKUP($B516,Data!$B$3:$EZ1530,44,FALSE),VLOOKUP($B516,Data!$B$3:$EZ1530,45,FALSE)),1),"")</f>
        <v>-0.04859713265</v>
      </c>
      <c r="O516" s="50">
        <f>IFERROR(VLOOKUP($B516,Data!$B$3:$D1530,2,FALSE),"")</f>
        <v>1860000</v>
      </c>
      <c r="P516" s="50">
        <f>IFERROR(VLOOKUP($B516,Data!$B$3:$D1530,3,FALSE),"")</f>
        <v>1770000</v>
      </c>
      <c r="Q516" s="48">
        <f t="shared" si="2"/>
        <v>0.05084745763</v>
      </c>
      <c r="R516" s="48"/>
      <c r="S516" s="48"/>
      <c r="T516" s="48"/>
      <c r="U516" s="48"/>
      <c r="V516" s="48"/>
      <c r="W516" s="50"/>
      <c r="Z516" s="11"/>
      <c r="AA516" s="11"/>
    </row>
    <row r="517">
      <c r="A517" s="9">
        <f t="shared" si="1"/>
        <v>514</v>
      </c>
      <c r="B517" s="47" t="s">
        <v>651</v>
      </c>
      <c r="C517" s="48">
        <f>IFERROR(DIVIDE(VLOOKUP($B517,Data!$B$3:$AB$1535,9,FALSE),VLOOKUP($B517,Data!$B$3:$AB$1535,4,FALSE)),"")</f>
        <v>0.08286908078</v>
      </c>
      <c r="D517" s="48">
        <f>IFERROR(DIVIDE(VLOOKUP($B517,Data!$B$3:$AB$1535,24,FALSE),VLOOKUP($B517,Data!$B$3:$AB$1535,4,FALSE)),"")</f>
        <v>0.02639275766</v>
      </c>
      <c r="E517" s="48">
        <f>IFERROR(DIVIDE(VLOOKUP($B517,Data!$B$3:$EZ1530,29,FALSE),VLOOKUP($B517,Data!$B$3:$EZ1530,4,FALSE)),"")</f>
        <v>0.0213091922</v>
      </c>
      <c r="F517" s="48">
        <f>IFERROR(DIVIDE(VLOOKUP($B517,Data!$B$3:$EZ1530,34,FALSE),VLOOKUP($B517,Data!$B$3:$EZ1530,4,FALSE)),"")</f>
        <v>0.1448467967</v>
      </c>
      <c r="G517" s="48">
        <f>IFERROR(DIVIDE(VLOOKUP($B517,Data!$B$3:$EZ1530,39,FALSE),VLOOKUP($B517,Data!$B$3:$EZ1530,4,FALSE)),"")</f>
        <v>-0.01706128134</v>
      </c>
      <c r="H517" s="48">
        <f>IFERROR(DIVIDE(VLOOKUP($B517,Data!$B$3:$EZ1530,44,FALSE),VLOOKUP($B517,Data!$B$3:$EZ1530,4,FALSE)),"")</f>
        <v>0.1030640669</v>
      </c>
      <c r="I517" s="48">
        <f>IFERROR(MINUS(DIVIDE(VLOOKUP($B517,Data!$B$3:$EZ1530,9,FALSE),VLOOKUP($B517,Data!$B$3:$EZ1530,10,FALSE)),1),"")</f>
        <v>-0.7926829268</v>
      </c>
      <c r="J517" s="48">
        <f>IFERROR(MINUS(DIVIDE(VLOOKUP($B517,Data!$B$3:$EZ1530,24,FALSE),VLOOKUP($B517,Data!$B$3:$EZ1530,25,FALSE)),1),"")</f>
        <v>-0.909976247</v>
      </c>
      <c r="K517" s="48">
        <f>IFERROR(MINUS(DIVIDE(VLOOKUP($B517,Data!$B$3:$EZ1530,29,FALSE),VLOOKUP($B517,Data!$B$3:$EZ1530,30,FALSE)),1),"")</f>
        <v>-0.9213367609</v>
      </c>
      <c r="L517" s="48">
        <f>IFERROR(MINUS(DIVIDE(VLOOKUP($B517,Data!$B$3:$EZ1530,34,FALSE),VLOOKUP($B517,Data!$B$3:$EZ1530,35,FALSE)),1),"")</f>
        <v>-0.7011494253</v>
      </c>
      <c r="M517" s="48">
        <f>IFERROR(MINUS(DIVIDE(VLOOKUP($B517,Data!$B$3:$EZ1530,39,FALSE),VLOOKUP($B517,Data!$B$3:$EZ1530,40,FALSE)),1),"")</f>
        <v>-1.093869732</v>
      </c>
      <c r="N517" s="48">
        <f>IFERROR(MINUS(DIVIDE(VLOOKUP($B517,Data!$B$3:$EZ1530,44,FALSE),VLOOKUP($B517,Data!$B$3:$EZ1530,45,FALSE)),1),"")</f>
        <v>-0.6165803109</v>
      </c>
      <c r="O517" s="50">
        <f>IFERROR(VLOOKUP($B517,Data!$B$3:$D1530,2,FALSE),"")</f>
        <v>16440000</v>
      </c>
      <c r="P517" s="50">
        <f>IFERROR(VLOOKUP($B517,Data!$B$3:$D1530,3,FALSE),"")</f>
        <v>12320000</v>
      </c>
      <c r="Q517" s="48">
        <f t="shared" si="2"/>
        <v>0.3344155844</v>
      </c>
      <c r="R517" s="48"/>
      <c r="S517" s="48"/>
      <c r="T517" s="48"/>
      <c r="U517" s="48"/>
      <c r="V517" s="48"/>
      <c r="W517" s="50"/>
      <c r="Z517" s="15"/>
      <c r="AA517" s="15"/>
    </row>
    <row r="518">
      <c r="A518" s="9">
        <f t="shared" si="1"/>
        <v>515</v>
      </c>
      <c r="B518" s="47" t="s">
        <v>652</v>
      </c>
      <c r="C518" s="48">
        <f>IFERROR(DIVIDE(VLOOKUP($B518,Data!$B$3:$AB$1535,9,FALSE),VLOOKUP($B518,Data!$B$3:$AB$1535,4,FALSE)),"")</f>
        <v>0.06495535714</v>
      </c>
      <c r="D518" s="48">
        <f>IFERROR(DIVIDE(VLOOKUP($B518,Data!$B$3:$AB$1535,24,FALSE),VLOOKUP($B518,Data!$B$3:$AB$1535,4,FALSE)),"")</f>
        <v>0.01917410714</v>
      </c>
      <c r="E518" s="48">
        <f>IFERROR(DIVIDE(VLOOKUP($B518,Data!$B$3:$EZ1530,29,FALSE),VLOOKUP($B518,Data!$B$3:$EZ1530,4,FALSE)),"")</f>
        <v>0.02024553571</v>
      </c>
      <c r="F518" s="48">
        <f>IFERROR(DIVIDE(VLOOKUP($B518,Data!$B$3:$EZ1530,34,FALSE),VLOOKUP($B518,Data!$B$3:$EZ1530,4,FALSE)),"")</f>
        <v>0.04316964286</v>
      </c>
      <c r="G518" s="48">
        <f>IFERROR(DIVIDE(VLOOKUP($B518,Data!$B$3:$EZ1530,39,FALSE),VLOOKUP($B518,Data!$B$3:$EZ1530,4,FALSE)),"")</f>
        <v>0.01484375</v>
      </c>
      <c r="H518" s="48">
        <f>IFERROR(DIVIDE(VLOOKUP($B518,Data!$B$3:$EZ1530,44,FALSE),VLOOKUP($B518,Data!$B$3:$EZ1530,4,FALSE)),"")</f>
        <v>0.03774553571</v>
      </c>
      <c r="I518" s="48">
        <f>IFERROR(MINUS(DIVIDE(VLOOKUP($B518,Data!$B$3:$EZ1530,9,FALSE),VLOOKUP($B518,Data!$B$3:$EZ1530,10,FALSE)),1),"")</f>
        <v>0.06010928962</v>
      </c>
      <c r="J518" s="48">
        <f>IFERROR(MINUS(DIVIDE(VLOOKUP($B518,Data!$B$3:$EZ1530,24,FALSE),VLOOKUP($B518,Data!$B$3:$EZ1530,25,FALSE)),1),"")</f>
        <v>2.278625954</v>
      </c>
      <c r="K518" s="48">
        <f>IFERROR(MINUS(DIVIDE(VLOOKUP($B518,Data!$B$3:$EZ1530,29,FALSE),VLOOKUP($B518,Data!$B$3:$EZ1530,30,FALSE)),1),"")</f>
        <v>452.5</v>
      </c>
      <c r="L518" s="48">
        <f>IFERROR(MINUS(DIVIDE(VLOOKUP($B518,Data!$B$3:$EZ1530,34,FALSE),VLOOKUP($B518,Data!$B$3:$EZ1530,35,FALSE)),1),"")</f>
        <v>0.08044692737</v>
      </c>
      <c r="M518" s="48">
        <f>IFERROR(MINUS(DIVIDE(VLOOKUP($B518,Data!$B$3:$EZ1530,39,FALSE),VLOOKUP($B518,Data!$B$3:$EZ1530,40,FALSE)),1),"")</f>
        <v>-4.03652968</v>
      </c>
      <c r="N518" s="48">
        <f>IFERROR(MINUS(DIVIDE(VLOOKUP($B518,Data!$B$3:$EZ1530,44,FALSE),VLOOKUP($B518,Data!$B$3:$EZ1530,45,FALSE)),1),"")</f>
        <v>-0.3142741281</v>
      </c>
      <c r="O518" s="50">
        <f>IFERROR(VLOOKUP($B518,Data!$B$3:$D1530,2,FALSE),"")</f>
        <v>4830000</v>
      </c>
      <c r="P518" s="50">
        <f>IFERROR(VLOOKUP($B518,Data!$B$3:$D1530,3,FALSE),"")</f>
        <v>4510000</v>
      </c>
      <c r="Q518" s="48">
        <f t="shared" si="2"/>
        <v>0.07095343681</v>
      </c>
      <c r="R518" s="48"/>
      <c r="S518" s="48"/>
      <c r="T518" s="48"/>
      <c r="U518" s="48"/>
      <c r="V518" s="48"/>
      <c r="W518" s="50"/>
      <c r="Z518" s="11"/>
      <c r="AA518" s="11"/>
    </row>
    <row r="519">
      <c r="A519" s="9">
        <f t="shared" si="1"/>
        <v>516</v>
      </c>
      <c r="B519" s="47" t="s">
        <v>653</v>
      </c>
      <c r="C519" s="48">
        <f>IFERROR(DIVIDE(VLOOKUP($B519,Data!$B$3:$AB$1535,9,FALSE),VLOOKUP($B519,Data!$B$3:$AB$1535,4,FALSE)),"")</f>
        <v>0.1927188674</v>
      </c>
      <c r="D519" s="48">
        <f>IFERROR(DIVIDE(VLOOKUP($B519,Data!$B$3:$AB$1535,24,FALSE),VLOOKUP($B519,Data!$B$3:$AB$1535,4,FALSE)),"")</f>
        <v>0.03496099393</v>
      </c>
      <c r="E519" s="48">
        <f>IFERROR(DIVIDE(VLOOKUP($B519,Data!$B$3:$EZ1530,29,FALSE),VLOOKUP($B519,Data!$B$3:$EZ1530,4,FALSE)),"")</f>
        <v>0.02412597515</v>
      </c>
      <c r="F519" s="48">
        <f>IFERROR(DIVIDE(VLOOKUP($B519,Data!$B$3:$EZ1530,34,FALSE),VLOOKUP($B519,Data!$B$3:$EZ1530,4,FALSE)),"")</f>
        <v>0.09347009535</v>
      </c>
      <c r="G519" s="48">
        <f>IFERROR(DIVIDE(VLOOKUP($B519,Data!$B$3:$EZ1530,39,FALSE),VLOOKUP($B519,Data!$B$3:$EZ1530,4,FALSE)),"")</f>
        <v>0.01849176539</v>
      </c>
      <c r="H519" s="48">
        <f>IFERROR(DIVIDE(VLOOKUP($B519,Data!$B$3:$EZ1530,44,FALSE),VLOOKUP($B519,Data!$B$3:$EZ1530,4,FALSE)),"")</f>
        <v>0.07367812771</v>
      </c>
      <c r="I519" s="48">
        <f>IFERROR(MINUS(DIVIDE(VLOOKUP($B519,Data!$B$3:$EZ1530,9,FALSE),VLOOKUP($B519,Data!$B$3:$EZ1530,10,FALSE)),1),"")</f>
        <v>-0.1004720162</v>
      </c>
      <c r="J519" s="48">
        <f>IFERROR(MINUS(DIVIDE(VLOOKUP($B519,Data!$B$3:$EZ1530,24,FALSE),VLOOKUP($B519,Data!$B$3:$EZ1530,25,FALSE)),1),"")</f>
        <v>-0.4586129754</v>
      </c>
      <c r="K519" s="48">
        <f>IFERROR(MINUS(DIVIDE(VLOOKUP($B519,Data!$B$3:$EZ1530,29,FALSE),VLOOKUP($B519,Data!$B$3:$EZ1530,30,FALSE)),1),"")</f>
        <v>1.549618321</v>
      </c>
      <c r="L519" s="48">
        <f>IFERROR(MINUS(DIVIDE(VLOOKUP($B519,Data!$B$3:$EZ1530,34,FALSE),VLOOKUP($B519,Data!$B$3:$EZ1530,35,FALSE)),1),"")</f>
        <v>-0.2051597052</v>
      </c>
      <c r="M519" s="48">
        <f>IFERROR(MINUS(DIVIDE(VLOOKUP($B519,Data!$B$3:$EZ1530,39,FALSE),VLOOKUP($B519,Data!$B$3:$EZ1530,40,FALSE)),1),"")</f>
        <v>1.374768089</v>
      </c>
      <c r="N519" s="48">
        <f>IFERROR(MINUS(DIVIDE(VLOOKUP($B519,Data!$B$3:$EZ1530,44,FALSE),VLOOKUP($B519,Data!$B$3:$EZ1530,45,FALSE)),1),"")</f>
        <v>-0.09090909091</v>
      </c>
      <c r="O519" s="50">
        <f>IFERROR(VLOOKUP($B519,Data!$B$3:$D1530,2,FALSE),"")</f>
        <v>75080000</v>
      </c>
      <c r="P519" s="50">
        <f>IFERROR(VLOOKUP($B519,Data!$B$3:$D1530,3,FALSE),"")</f>
        <v>71660000</v>
      </c>
      <c r="Q519" s="48">
        <f t="shared" si="2"/>
        <v>0.0477253698</v>
      </c>
      <c r="R519" s="48"/>
      <c r="S519" s="48"/>
      <c r="T519" s="48"/>
      <c r="U519" s="48"/>
      <c r="V519" s="48"/>
      <c r="W519" s="50"/>
      <c r="Z519" s="15"/>
      <c r="AA519" s="15"/>
    </row>
    <row r="520">
      <c r="A520" s="9">
        <f t="shared" si="1"/>
        <v>517</v>
      </c>
      <c r="B520" s="47" t="s">
        <v>654</v>
      </c>
      <c r="C520" s="48" t="str">
        <f>IFERROR(DIVIDE(VLOOKUP($B520,Data!$B$3:$AB$1535,9,FALSE),VLOOKUP($B520,Data!$B$3:$AB$1535,4,FALSE)),"")</f>
        <v/>
      </c>
      <c r="D520" s="48" t="str">
        <f>IFERROR(DIVIDE(VLOOKUP($B520,Data!$B$3:$AB$1535,24,FALSE),VLOOKUP($B520,Data!$B$3:$AB$1535,4,FALSE)),"")</f>
        <v/>
      </c>
      <c r="E520" s="48" t="str">
        <f>IFERROR(DIVIDE(VLOOKUP($B520,Data!$B$3:$EZ1530,29,FALSE),VLOOKUP($B520,Data!$B$3:$EZ1530,4,FALSE)),"")</f>
        <v/>
      </c>
      <c r="F520" s="48" t="str">
        <f>IFERROR(DIVIDE(VLOOKUP($B520,Data!$B$3:$EZ1530,34,FALSE),VLOOKUP($B520,Data!$B$3:$EZ1530,4,FALSE)),"")</f>
        <v/>
      </c>
      <c r="G520" s="48" t="str">
        <f>IFERROR(DIVIDE(VLOOKUP($B520,Data!$B$3:$EZ1530,39,FALSE),VLOOKUP($B520,Data!$B$3:$EZ1530,4,FALSE)),"")</f>
        <v/>
      </c>
      <c r="H520" s="48" t="str">
        <f>IFERROR(DIVIDE(VLOOKUP($B520,Data!$B$3:$EZ1530,44,FALSE),VLOOKUP($B520,Data!$B$3:$EZ1530,4,FALSE)),"")</f>
        <v/>
      </c>
      <c r="I520" s="48" t="str">
        <f>IFERROR(MINUS(DIVIDE(VLOOKUP($B520,Data!$B$3:$EZ1530,9,FALSE),VLOOKUP($B520,Data!$B$3:$EZ1530,10,FALSE)),1),"")</f>
        <v/>
      </c>
      <c r="J520" s="48">
        <f>IFERROR(MINUS(DIVIDE(VLOOKUP($B520,Data!$B$3:$EZ1530,24,FALSE),VLOOKUP($B520,Data!$B$3:$EZ1530,25,FALSE)),1),"")</f>
        <v>-1</v>
      </c>
      <c r="K520" s="48">
        <f>IFERROR(MINUS(DIVIDE(VLOOKUP($B520,Data!$B$3:$EZ1530,29,FALSE),VLOOKUP($B520,Data!$B$3:$EZ1530,30,FALSE)),1),"")</f>
        <v>0.3221528861</v>
      </c>
      <c r="L520" s="48">
        <f>IFERROR(MINUS(DIVIDE(VLOOKUP($B520,Data!$B$3:$EZ1530,34,FALSE),VLOOKUP($B520,Data!$B$3:$EZ1530,35,FALSE)),1),"")</f>
        <v>0.2794662713</v>
      </c>
      <c r="M520" s="48">
        <f>IFERROR(MINUS(DIVIDE(VLOOKUP($B520,Data!$B$3:$EZ1530,39,FALSE),VLOOKUP($B520,Data!$B$3:$EZ1530,40,FALSE)),1),"")</f>
        <v>0.3221528861</v>
      </c>
      <c r="N520" s="48">
        <f>IFERROR(MINUS(DIVIDE(VLOOKUP($B520,Data!$B$3:$EZ1530,44,FALSE),VLOOKUP($B520,Data!$B$3:$EZ1530,45,FALSE)),1),"")</f>
        <v>0.1854043393</v>
      </c>
      <c r="O520" s="50">
        <f>IFERROR(VLOOKUP($B520,Data!$B$3:$D1530,2,FALSE),"")</f>
        <v>56830</v>
      </c>
      <c r="P520" s="50">
        <f>IFERROR(VLOOKUP($B520,Data!$B$3:$D1530,3,FALSE),"")</f>
        <v>3250</v>
      </c>
      <c r="Q520" s="48">
        <f t="shared" si="2"/>
        <v>16.48615385</v>
      </c>
      <c r="R520" s="48"/>
      <c r="S520" s="48"/>
      <c r="T520" s="48"/>
      <c r="U520" s="48"/>
      <c r="V520" s="48"/>
      <c r="W520" s="50"/>
      <c r="Z520" s="15"/>
      <c r="AA520" s="15"/>
    </row>
    <row r="521">
      <c r="A521" s="9">
        <f t="shared" si="1"/>
        <v>518</v>
      </c>
      <c r="B521" s="47" t="s">
        <v>655</v>
      </c>
      <c r="C521" s="48">
        <f>IFERROR(DIVIDE(VLOOKUP($B521,Data!$B$3:$AB$1535,9,FALSE),VLOOKUP($B521,Data!$B$3:$AB$1535,4,FALSE)),"")</f>
        <v>0.6342686836</v>
      </c>
      <c r="D521" s="48">
        <f>IFERROR(DIVIDE(VLOOKUP($B521,Data!$B$3:$AB$1535,24,FALSE),VLOOKUP($B521,Data!$B$3:$AB$1535,4,FALSE)),"")</f>
        <v>-0.236214362</v>
      </c>
      <c r="E521" s="48">
        <f>IFERROR(DIVIDE(VLOOKUP($B521,Data!$B$3:$EZ1530,29,FALSE),VLOOKUP($B521,Data!$B$3:$EZ1530,4,FALSE)),"")</f>
        <v>-0.2831018388</v>
      </c>
      <c r="F521" s="48">
        <f>IFERROR(DIVIDE(VLOOKUP($B521,Data!$B$3:$EZ1530,34,FALSE),VLOOKUP($B521,Data!$B$3:$EZ1530,4,FALSE)),"")</f>
        <v>-0.1084856323</v>
      </c>
      <c r="G521" s="48">
        <f>IFERROR(DIVIDE(VLOOKUP($B521,Data!$B$3:$EZ1530,39,FALSE),VLOOKUP($B521,Data!$B$3:$EZ1530,4,FALSE)),"")</f>
        <v>-0.289501209</v>
      </c>
      <c r="H521" s="48">
        <f>IFERROR(DIVIDE(VLOOKUP($B521,Data!$B$3:$EZ1530,44,FALSE),VLOOKUP($B521,Data!$B$3:$EZ1530,4,FALSE)),"")</f>
        <v>0.0759601867</v>
      </c>
      <c r="I521" s="48">
        <f>IFERROR(MINUS(DIVIDE(VLOOKUP($B521,Data!$B$3:$EZ1530,9,FALSE),VLOOKUP($B521,Data!$B$3:$EZ1530,10,FALSE)),1),"")</f>
        <v>0.03907876555</v>
      </c>
      <c r="J521" s="48">
        <f>IFERROR(MINUS(DIVIDE(VLOOKUP($B521,Data!$B$3:$EZ1530,24,FALSE),VLOOKUP($B521,Data!$B$3:$EZ1530,25,FALSE)),1),"")</f>
        <v>0.08711180124</v>
      </c>
      <c r="K521" s="48">
        <f>IFERROR(MINUS(DIVIDE(VLOOKUP($B521,Data!$B$3:$EZ1530,29,FALSE),VLOOKUP($B521,Data!$B$3:$EZ1530,30,FALSE)),1),"")</f>
        <v>0.05942760943</v>
      </c>
      <c r="L521" s="48">
        <f>IFERROR(MINUS(DIVIDE(VLOOKUP($B521,Data!$B$3:$EZ1530,34,FALSE),VLOOKUP($B521,Data!$B$3:$EZ1530,35,FALSE)),1),"")</f>
        <v>0.005839416058</v>
      </c>
      <c r="M521" s="48">
        <f>IFERROR(MINUS(DIVIDE(VLOOKUP($B521,Data!$B$3:$EZ1530,39,FALSE),VLOOKUP($B521,Data!$B$3:$EZ1530,40,FALSE)),1),"")</f>
        <v>0.05877755841</v>
      </c>
      <c r="N521" s="48">
        <f>IFERROR(MINUS(DIVIDE(VLOOKUP($B521,Data!$B$3:$EZ1530,44,FALSE),VLOOKUP($B521,Data!$B$3:$EZ1530,45,FALSE)),1),"")</f>
        <v>2.886075949</v>
      </c>
      <c r="O521" s="50">
        <f>IFERROR(VLOOKUP($B521,Data!$B$3:$D1530,2,FALSE),"")</f>
        <v>946300</v>
      </c>
      <c r="P521" s="50">
        <f>IFERROR(VLOOKUP($B521,Data!$B$3:$D1530,3,FALSE),"")</f>
        <v>889870</v>
      </c>
      <c r="Q521" s="48">
        <f t="shared" si="2"/>
        <v>0.06341375707</v>
      </c>
      <c r="R521" s="48"/>
      <c r="S521" s="48"/>
      <c r="T521" s="48"/>
      <c r="U521" s="48"/>
      <c r="V521" s="48"/>
      <c r="W521" s="50"/>
      <c r="Z521" s="11"/>
      <c r="AA521" s="11"/>
    </row>
    <row r="522">
      <c r="A522" s="9">
        <f t="shared" si="1"/>
        <v>519</v>
      </c>
      <c r="B522" s="47" t="s">
        <v>656</v>
      </c>
      <c r="C522" s="48">
        <f>IFERROR(DIVIDE(VLOOKUP($B522,Data!$B$3:$AB$1535,9,FALSE),VLOOKUP($B522,Data!$B$3:$AB$1535,4,FALSE)),"")</f>
        <v>0.3675875847</v>
      </c>
      <c r="D522" s="48">
        <f>IFERROR(DIVIDE(VLOOKUP($B522,Data!$B$3:$AB$1535,24,FALSE),VLOOKUP($B522,Data!$B$3:$AB$1535,4,FALSE)),"")</f>
        <v>0.3551625006</v>
      </c>
      <c r="E522" s="48">
        <f>IFERROR(DIVIDE(VLOOKUP($B522,Data!$B$3:$EZ1530,29,FALSE),VLOOKUP($B522,Data!$B$3:$EZ1530,4,FALSE)),"")</f>
        <v>0.3888320421</v>
      </c>
      <c r="F522" s="48">
        <f>IFERROR(DIVIDE(VLOOKUP($B522,Data!$B$3:$EZ1530,34,FALSE),VLOOKUP($B522,Data!$B$3:$EZ1530,4,FALSE)),"")</f>
        <v>0.3834722019</v>
      </c>
      <c r="G522" s="48">
        <f>IFERROR(DIVIDE(VLOOKUP($B522,Data!$B$3:$EZ1530,39,FALSE),VLOOKUP($B522,Data!$B$3:$EZ1530,4,FALSE)),"")</f>
        <v>0.4296642791</v>
      </c>
      <c r="H522" s="48">
        <f>IFERROR(DIVIDE(VLOOKUP($B522,Data!$B$3:$EZ1530,44,FALSE),VLOOKUP($B522,Data!$B$3:$EZ1530,4,FALSE)),"")</f>
        <v>0.1687862398</v>
      </c>
      <c r="I522" s="48">
        <f>IFERROR(MINUS(DIVIDE(VLOOKUP($B522,Data!$B$3:$EZ1530,9,FALSE),VLOOKUP($B522,Data!$B$3:$EZ1530,10,FALSE)),1),"")</f>
        <v>0.03669094407</v>
      </c>
      <c r="J522" s="48">
        <f>IFERROR(MINUS(DIVIDE(VLOOKUP($B522,Data!$B$3:$EZ1530,24,FALSE),VLOOKUP($B522,Data!$B$3:$EZ1530,25,FALSE)),1),"")</f>
        <v>0.4704458342</v>
      </c>
      <c r="K522" s="48">
        <f>IFERROR(MINUS(DIVIDE(VLOOKUP($B522,Data!$B$3:$EZ1530,29,FALSE),VLOOKUP($B522,Data!$B$3:$EZ1530,30,FALSE)),1),"")</f>
        <v>0.3260219342</v>
      </c>
      <c r="L522" s="48">
        <f>IFERROR(MINUS(DIVIDE(VLOOKUP($B522,Data!$B$3:$EZ1530,34,FALSE),VLOOKUP($B522,Data!$B$3:$EZ1530,35,FALSE)),1),"")</f>
        <v>0.06697396963</v>
      </c>
      <c r="M522" s="48">
        <f>IFERROR(MINUS(DIVIDE(VLOOKUP($B522,Data!$B$3:$EZ1530,39,FALSE),VLOOKUP($B522,Data!$B$3:$EZ1530,40,FALSE)),1),"")</f>
        <v>0.6593902898</v>
      </c>
      <c r="N522" s="48">
        <f>IFERROR(MINUS(DIVIDE(VLOOKUP($B522,Data!$B$3:$EZ1530,44,FALSE),VLOOKUP($B522,Data!$B$3:$EZ1530,45,FALSE)),1),"")</f>
        <v>-0.5953743722</v>
      </c>
      <c r="O522" s="50" t="str">
        <f>IFERROR(VLOOKUP($B522,Data!$B$3:$D1530,2,FALSE),"")</f>
        <v/>
      </c>
      <c r="P522" s="50" t="str">
        <f>IFERROR(VLOOKUP($B522,Data!$B$3:$D1530,3,FALSE),"")</f>
        <v/>
      </c>
      <c r="Q522" s="48" t="str">
        <f t="shared" si="2"/>
        <v/>
      </c>
      <c r="R522" s="48"/>
      <c r="S522" s="48"/>
      <c r="T522" s="48"/>
      <c r="U522" s="48"/>
      <c r="V522" s="48"/>
      <c r="W522" s="50"/>
      <c r="Z522" s="11"/>
      <c r="AA522" s="11"/>
    </row>
    <row r="523">
      <c r="A523" s="9">
        <f t="shared" si="1"/>
        <v>520</v>
      </c>
      <c r="B523" s="47" t="s">
        <v>657</v>
      </c>
      <c r="C523" s="48">
        <f>IFERROR(DIVIDE(VLOOKUP($B523,Data!$B$3:$AB$1535,9,FALSE),VLOOKUP($B523,Data!$B$3:$AB$1535,4,FALSE)),"")</f>
        <v>0.9119183101</v>
      </c>
      <c r="D523" s="48">
        <f>IFERROR(DIVIDE(VLOOKUP($B523,Data!$B$3:$AB$1535,24,FALSE),VLOOKUP($B523,Data!$B$3:$AB$1535,4,FALSE)),"")</f>
        <v>0</v>
      </c>
      <c r="E523" s="48">
        <f>IFERROR(DIVIDE(VLOOKUP($B523,Data!$B$3:$EZ1530,29,FALSE),VLOOKUP($B523,Data!$B$3:$EZ1530,4,FALSE)),"")</f>
        <v>-0.2986982618</v>
      </c>
      <c r="F523" s="48">
        <f>IFERROR(DIVIDE(VLOOKUP($B523,Data!$B$3:$EZ1530,34,FALSE),VLOOKUP($B523,Data!$B$3:$EZ1530,4,FALSE)),"")</f>
        <v>-0.264478915</v>
      </c>
      <c r="G523" s="48">
        <f>IFERROR(DIVIDE(VLOOKUP($B523,Data!$B$3:$EZ1530,39,FALSE),VLOOKUP($B523,Data!$B$3:$EZ1530,4,FALSE)),"")</f>
        <v>-0.2999844103</v>
      </c>
      <c r="H523" s="48">
        <f>IFERROR(DIVIDE(VLOOKUP($B523,Data!$B$3:$EZ1530,44,FALSE),VLOOKUP($B523,Data!$B$3:$EZ1530,4,FALSE)),"")</f>
        <v>-0.306765921</v>
      </c>
      <c r="I523" s="48" t="str">
        <f>IFERROR(MINUS(DIVIDE(VLOOKUP($B523,Data!$B$3:$EZ1530,9,FALSE),VLOOKUP($B523,Data!$B$3:$EZ1530,10,FALSE)),1),"")</f>
        <v/>
      </c>
      <c r="J523" s="48" t="str">
        <f>IFERROR(MINUS(DIVIDE(VLOOKUP($B523,Data!$B$3:$EZ1530,24,FALSE),VLOOKUP($B523,Data!$B$3:$EZ1530,25,FALSE)),1),"")</f>
        <v/>
      </c>
      <c r="K523" s="48">
        <f>IFERROR(MINUS(DIVIDE(VLOOKUP($B523,Data!$B$3:$EZ1530,29,FALSE),VLOOKUP($B523,Data!$B$3:$EZ1530,30,FALSE)),1),"")</f>
        <v>-0.1100789596</v>
      </c>
      <c r="L523" s="48">
        <f>IFERROR(MINUS(DIVIDE(VLOOKUP($B523,Data!$B$3:$EZ1530,34,FALSE),VLOOKUP($B523,Data!$B$3:$EZ1530,35,FALSE)),1),"")</f>
        <v>-0.15312617</v>
      </c>
      <c r="M523" s="48">
        <f>IFERROR(MINUS(DIVIDE(VLOOKUP($B523,Data!$B$3:$EZ1530,39,FALSE),VLOOKUP($B523,Data!$B$3:$EZ1530,40,FALSE)),1),"")</f>
        <v>-0.1093496876</v>
      </c>
      <c r="N523" s="48">
        <f>IFERROR(MINUS(DIVIDE(VLOOKUP($B523,Data!$B$3:$EZ1530,44,FALSE),VLOOKUP($B523,Data!$B$3:$EZ1530,45,FALSE)),1),"")</f>
        <v>0.03321081649</v>
      </c>
      <c r="O523" s="50">
        <f>IFERROR(VLOOKUP($B523,Data!$B$3:$D1530,2,FALSE),"")</f>
        <v>490020</v>
      </c>
      <c r="P523" s="50">
        <f>IFERROR(VLOOKUP($B523,Data!$B$3:$D1530,3,FALSE),"")</f>
        <v>259450</v>
      </c>
      <c r="Q523" s="48">
        <f t="shared" si="2"/>
        <v>0.8886876084</v>
      </c>
      <c r="R523" s="48"/>
      <c r="S523" s="48"/>
      <c r="T523" s="48"/>
      <c r="U523" s="48"/>
      <c r="V523" s="48"/>
      <c r="W523" s="50"/>
      <c r="Z523" s="15"/>
      <c r="AA523" s="15"/>
    </row>
    <row r="524">
      <c r="A524" s="9">
        <f t="shared" si="1"/>
        <v>521</v>
      </c>
      <c r="B524" s="47" t="s">
        <v>658</v>
      </c>
      <c r="C524" s="48">
        <f>IFERROR(DIVIDE(VLOOKUP($B524,Data!$B$3:$AB$1535,9,FALSE),VLOOKUP($B524,Data!$B$3:$AB$1535,4,FALSE)),"")</f>
        <v>0.3025664336</v>
      </c>
      <c r="D524" s="48">
        <f>IFERROR(DIVIDE(VLOOKUP($B524,Data!$B$3:$AB$1535,24,FALSE),VLOOKUP($B524,Data!$B$3:$AB$1535,4,FALSE)),"")</f>
        <v>-0.2257622378</v>
      </c>
      <c r="E524" s="48">
        <f>IFERROR(DIVIDE(VLOOKUP($B524,Data!$B$3:$EZ1530,29,FALSE),VLOOKUP($B524,Data!$B$3:$EZ1530,4,FALSE)),"")</f>
        <v>-0.2161328671</v>
      </c>
      <c r="F524" s="48">
        <f>IFERROR(DIVIDE(VLOOKUP($B524,Data!$B$3:$EZ1530,34,FALSE),VLOOKUP($B524,Data!$B$3:$EZ1530,4,FALSE)),"")</f>
        <v>-0.1316503497</v>
      </c>
      <c r="G524" s="48">
        <f>IFERROR(DIVIDE(VLOOKUP($B524,Data!$B$3:$EZ1530,39,FALSE),VLOOKUP($B524,Data!$B$3:$EZ1530,4,FALSE)),"")</f>
        <v>-0.2242727273</v>
      </c>
      <c r="H524" s="48">
        <f>IFERROR(DIVIDE(VLOOKUP($B524,Data!$B$3:$EZ1530,44,FALSE),VLOOKUP($B524,Data!$B$3:$EZ1530,4,FALSE)),"")</f>
        <v>-0.09366433566</v>
      </c>
      <c r="I524" s="48">
        <f>IFERROR(MINUS(DIVIDE(VLOOKUP($B524,Data!$B$3:$EZ1530,9,FALSE),VLOOKUP($B524,Data!$B$3:$EZ1530,10,FALSE)),1),"")</f>
        <v>-0.2730312348</v>
      </c>
      <c r="J524" s="48">
        <f>IFERROR(MINUS(DIVIDE(VLOOKUP($B524,Data!$B$3:$EZ1530,24,FALSE),VLOOKUP($B524,Data!$B$3:$EZ1530,25,FALSE)),1),"")</f>
        <v>0.6348812478</v>
      </c>
      <c r="K524" s="48">
        <f>IFERROR(MINUS(DIVIDE(VLOOKUP($B524,Data!$B$3:$EZ1530,29,FALSE),VLOOKUP($B524,Data!$B$3:$EZ1530,30,FALSE)),1),"")</f>
        <v>0.6784511785</v>
      </c>
      <c r="L524" s="48">
        <f>IFERROR(MINUS(DIVIDE(VLOOKUP($B524,Data!$B$3:$EZ1530,34,FALSE),VLOOKUP($B524,Data!$B$3:$EZ1530,35,FALSE)),1),"")</f>
        <v>0.3361249113</v>
      </c>
      <c r="M524" s="48">
        <f>IFERROR(MINUS(DIVIDE(VLOOKUP($B524,Data!$B$3:$EZ1530,39,FALSE),VLOOKUP($B524,Data!$B$3:$EZ1530,40,FALSE)),1),"")</f>
        <v>0.7258246785</v>
      </c>
      <c r="N524" s="48">
        <f>IFERROR(MINUS(DIVIDE(VLOOKUP($B524,Data!$B$3:$EZ1530,44,FALSE),VLOOKUP($B524,Data!$B$3:$EZ1530,45,FALSE)),1),"")</f>
        <v>-2.183111033</v>
      </c>
      <c r="O524" s="50">
        <f>IFERROR(VLOOKUP($B524,Data!$B$3:$D1530,2,FALSE),"")</f>
        <v>1150000</v>
      </c>
      <c r="P524" s="50">
        <f>IFERROR(VLOOKUP($B524,Data!$B$3:$D1530,3,FALSE),"")</f>
        <v>1190000</v>
      </c>
      <c r="Q524" s="48">
        <f t="shared" si="2"/>
        <v>-0.03361344538</v>
      </c>
      <c r="R524" s="48"/>
      <c r="S524" s="48"/>
      <c r="T524" s="48"/>
      <c r="U524" s="48"/>
      <c r="V524" s="48"/>
      <c r="W524" s="50"/>
      <c r="Z524" s="15"/>
      <c r="AA524" s="15"/>
    </row>
    <row r="525">
      <c r="A525" s="9">
        <f t="shared" si="1"/>
        <v>522</v>
      </c>
      <c r="B525" s="47" t="s">
        <v>659</v>
      </c>
      <c r="C525" s="48">
        <f>IFERROR(DIVIDE(VLOOKUP($B525,Data!$B$3:$AB$1535,9,FALSE),VLOOKUP($B525,Data!$B$3:$AB$1535,4,FALSE)),"")</f>
        <v>0.3345891892</v>
      </c>
      <c r="D525" s="48">
        <f>IFERROR(DIVIDE(VLOOKUP($B525,Data!$B$3:$AB$1535,24,FALSE),VLOOKUP($B525,Data!$B$3:$AB$1535,4,FALSE)),"")</f>
        <v>0</v>
      </c>
      <c r="E525" s="48">
        <f>IFERROR(DIVIDE(VLOOKUP($B525,Data!$B$3:$EZ1530,29,FALSE),VLOOKUP($B525,Data!$B$3:$EZ1530,4,FALSE)),"")</f>
        <v>0.1197675676</v>
      </c>
      <c r="F525" s="48">
        <f>IFERROR(DIVIDE(VLOOKUP($B525,Data!$B$3:$EZ1530,34,FALSE),VLOOKUP($B525,Data!$B$3:$EZ1530,4,FALSE)),"")</f>
        <v>0.1521945946</v>
      </c>
      <c r="G525" s="48">
        <f>IFERROR(DIVIDE(VLOOKUP($B525,Data!$B$3:$EZ1530,39,FALSE),VLOOKUP($B525,Data!$B$3:$EZ1530,4,FALSE)),"")</f>
        <v>0.09462702703</v>
      </c>
      <c r="H525" s="48">
        <f>IFERROR(DIVIDE(VLOOKUP($B525,Data!$B$3:$EZ1530,44,FALSE),VLOOKUP($B525,Data!$B$3:$EZ1530,4,FALSE)),"")</f>
        <v>0.09357297297</v>
      </c>
      <c r="I525" s="48">
        <f>IFERROR(MINUS(DIVIDE(VLOOKUP($B525,Data!$B$3:$EZ1530,9,FALSE),VLOOKUP($B525,Data!$B$3:$EZ1530,10,FALSE)),1),"")</f>
        <v>0.1821133243</v>
      </c>
      <c r="J525" s="48" t="str">
        <f>IFERROR(MINUS(DIVIDE(VLOOKUP($B525,Data!$B$3:$EZ1530,24,FALSE),VLOOKUP($B525,Data!$B$3:$EZ1530,25,FALSE)),1),"")</f>
        <v/>
      </c>
      <c r="K525" s="48">
        <f>IFERROR(MINUS(DIVIDE(VLOOKUP($B525,Data!$B$3:$EZ1530,29,FALSE),VLOOKUP($B525,Data!$B$3:$EZ1530,30,FALSE)),1),"")</f>
        <v>0.1551535374</v>
      </c>
      <c r="L525" s="48">
        <f>IFERROR(MINUS(DIVIDE(VLOOKUP($B525,Data!$B$3:$EZ1530,34,FALSE),VLOOKUP($B525,Data!$B$3:$EZ1530,35,FALSE)),1),"")</f>
        <v>0.1974143064</v>
      </c>
      <c r="M525" s="48">
        <f>IFERROR(MINUS(DIVIDE(VLOOKUP($B525,Data!$B$3:$EZ1530,39,FALSE),VLOOKUP($B525,Data!$B$3:$EZ1530,40,FALSE)),1),"")</f>
        <v>0.1697961911</v>
      </c>
      <c r="N525" s="48">
        <f>IFERROR(MINUS(DIVIDE(VLOOKUP($B525,Data!$B$3:$EZ1530,44,FALSE),VLOOKUP($B525,Data!$B$3:$EZ1530,45,FALSE)),1),"")</f>
        <v>-0.05984901971</v>
      </c>
      <c r="O525" s="50">
        <f>IFERROR(VLOOKUP($B525,Data!$B$3:$D1530,2,FALSE),"")</f>
        <v>2410000</v>
      </c>
      <c r="P525" s="50">
        <f>IFERROR(VLOOKUP($B525,Data!$B$3:$D1530,3,FALSE),"")</f>
        <v>1820000</v>
      </c>
      <c r="Q525" s="48">
        <f t="shared" si="2"/>
        <v>0.3241758242</v>
      </c>
      <c r="R525" s="48"/>
      <c r="S525" s="48"/>
      <c r="T525" s="48"/>
      <c r="U525" s="48"/>
      <c r="V525" s="48"/>
      <c r="W525" s="50"/>
      <c r="Z525" s="11"/>
      <c r="AA525" s="11"/>
    </row>
    <row r="526">
      <c r="A526" s="9">
        <f t="shared" si="1"/>
        <v>523</v>
      </c>
      <c r="B526" s="47" t="s">
        <v>660</v>
      </c>
      <c r="C526" s="48">
        <f>IFERROR(DIVIDE(VLOOKUP($B526,Data!$B$3:$AB$1535,9,FALSE),VLOOKUP($B526,Data!$B$3:$AB$1535,4,FALSE)),"")</f>
        <v>0.1829351145</v>
      </c>
      <c r="D526" s="48">
        <f>IFERROR(DIVIDE(VLOOKUP($B526,Data!$B$3:$AB$1535,24,FALSE),VLOOKUP($B526,Data!$B$3:$AB$1535,4,FALSE)),"")</f>
        <v>0.06066793893</v>
      </c>
      <c r="E526" s="48">
        <f>IFERROR(DIVIDE(VLOOKUP($B526,Data!$B$3:$EZ1530,29,FALSE),VLOOKUP($B526,Data!$B$3:$EZ1530,4,FALSE)),"")</f>
        <v>0.05791603053</v>
      </c>
      <c r="F526" s="48">
        <f>IFERROR(DIVIDE(VLOOKUP($B526,Data!$B$3:$EZ1530,34,FALSE),VLOOKUP($B526,Data!$B$3:$EZ1530,4,FALSE)),"")</f>
        <v>0.0879389313</v>
      </c>
      <c r="G526" s="48">
        <f>IFERROR(DIVIDE(VLOOKUP($B526,Data!$B$3:$EZ1530,39,FALSE),VLOOKUP($B526,Data!$B$3:$EZ1530,4,FALSE)),"")</f>
        <v>0.04363358779</v>
      </c>
      <c r="H526" s="48">
        <f>IFERROR(DIVIDE(VLOOKUP($B526,Data!$B$3:$EZ1530,44,FALSE),VLOOKUP($B526,Data!$B$3:$EZ1530,4,FALSE)),"")</f>
        <v>0.05420992366</v>
      </c>
      <c r="I526" s="48">
        <f>IFERROR(MINUS(DIVIDE(VLOOKUP($B526,Data!$B$3:$EZ1530,9,FALSE),VLOOKUP($B526,Data!$B$3:$EZ1530,10,FALSE)),1),"")</f>
        <v>0.1173042404</v>
      </c>
      <c r="J526" s="48">
        <f>IFERROR(MINUS(DIVIDE(VLOOKUP($B526,Data!$B$3:$EZ1530,24,FALSE),VLOOKUP($B526,Data!$B$3:$EZ1530,25,FALSE)),1),"")</f>
        <v>0.07960334171</v>
      </c>
      <c r="K526" s="48">
        <f>IFERROR(MINUS(DIVIDE(VLOOKUP($B526,Data!$B$3:$EZ1530,29,FALSE),VLOOKUP($B526,Data!$B$3:$EZ1530,30,FALSE)),1),"")</f>
        <v>0.0205811138</v>
      </c>
      <c r="L526" s="48">
        <f>IFERROR(MINUS(DIVIDE(VLOOKUP($B526,Data!$B$3:$EZ1530,34,FALSE),VLOOKUP($B526,Data!$B$3:$EZ1530,35,FALSE)),1),"")</f>
        <v>0.200125013</v>
      </c>
      <c r="M526" s="48">
        <f>IFERROR(MINUS(DIVIDE(VLOOKUP($B526,Data!$B$3:$EZ1530,39,FALSE),VLOOKUP($B526,Data!$B$3:$EZ1530,40,FALSE)),1),"")</f>
        <v>0.01257750221</v>
      </c>
      <c r="N526" s="48">
        <f>IFERROR(MINUS(DIVIDE(VLOOKUP($B526,Data!$B$3:$EZ1530,44,FALSE),VLOOKUP($B526,Data!$B$3:$EZ1530,45,FALSE)),1),"")</f>
        <v>-0.0350567294</v>
      </c>
      <c r="O526" s="50">
        <f>IFERROR(VLOOKUP($B526,Data!$B$3:$D1530,2,FALSE),"")</f>
        <v>2870000</v>
      </c>
      <c r="P526" s="50">
        <f>IFERROR(VLOOKUP($B526,Data!$B$3:$D1530,3,FALSE),"")</f>
        <v>2970000</v>
      </c>
      <c r="Q526" s="48">
        <f t="shared" si="2"/>
        <v>-0.03367003367</v>
      </c>
      <c r="R526" s="48"/>
      <c r="S526" s="48"/>
      <c r="T526" s="48"/>
      <c r="U526" s="48"/>
      <c r="V526" s="48"/>
      <c r="W526" s="50"/>
      <c r="Z526" s="15"/>
      <c r="AA526" s="15"/>
    </row>
    <row r="527">
      <c r="A527" s="9">
        <f t="shared" si="1"/>
        <v>524</v>
      </c>
      <c r="B527" s="47" t="s">
        <v>661</v>
      </c>
      <c r="C527" s="48">
        <f>IFERROR(DIVIDE(VLOOKUP($B527,Data!$B$3:$AB$1535,9,FALSE),VLOOKUP($B527,Data!$B$3:$AB$1535,4,FALSE)),"")</f>
        <v>0</v>
      </c>
      <c r="D527" s="48">
        <f>IFERROR(DIVIDE(VLOOKUP($B527,Data!$B$3:$AB$1535,24,FALSE),VLOOKUP($B527,Data!$B$3:$AB$1535,4,FALSE)),"")</f>
        <v>0</v>
      </c>
      <c r="E527" s="48">
        <f>IFERROR(DIVIDE(VLOOKUP($B527,Data!$B$3:$EZ1530,29,FALSE),VLOOKUP($B527,Data!$B$3:$EZ1530,4,FALSE)),"")</f>
        <v>-62.22754491</v>
      </c>
      <c r="F527" s="48">
        <f>IFERROR(DIVIDE(VLOOKUP($B527,Data!$B$3:$EZ1530,34,FALSE),VLOOKUP($B527,Data!$B$3:$EZ1530,4,FALSE)),"")</f>
        <v>-62.05389222</v>
      </c>
      <c r="G527" s="48">
        <f>IFERROR(DIVIDE(VLOOKUP($B527,Data!$B$3:$EZ1530,39,FALSE),VLOOKUP($B527,Data!$B$3:$EZ1530,4,FALSE)),"")</f>
        <v>-62.22754491</v>
      </c>
      <c r="H527" s="48">
        <f>IFERROR(DIVIDE(VLOOKUP($B527,Data!$B$3:$EZ1530,44,FALSE),VLOOKUP($B527,Data!$B$3:$EZ1530,4,FALSE)),"")</f>
        <v>-54.70658683</v>
      </c>
      <c r="I527" s="48" t="str">
        <f>IFERROR(MINUS(DIVIDE(VLOOKUP($B527,Data!$B$3:$EZ1530,9,FALSE),VLOOKUP($B527,Data!$B$3:$EZ1530,10,FALSE)),1),"")</f>
        <v/>
      </c>
      <c r="J527" s="48" t="str">
        <f>IFERROR(MINUS(DIVIDE(VLOOKUP($B527,Data!$B$3:$EZ1530,24,FALSE),VLOOKUP($B527,Data!$B$3:$EZ1530,25,FALSE)),1),"")</f>
        <v/>
      </c>
      <c r="K527" s="48">
        <f>IFERROR(MINUS(DIVIDE(VLOOKUP($B527,Data!$B$3:$EZ1530,29,FALSE),VLOOKUP($B527,Data!$B$3:$EZ1530,30,FALSE)),1),"")</f>
        <v>0.8697373156</v>
      </c>
      <c r="L527" s="48">
        <f>IFERROR(MINUS(DIVIDE(VLOOKUP($B527,Data!$B$3:$EZ1530,34,FALSE),VLOOKUP($B527,Data!$B$3:$EZ1530,35,FALSE)),1),"")</f>
        <v>0.7672237381</v>
      </c>
      <c r="M527" s="48">
        <f>IFERROR(MINUS(DIVIDE(VLOOKUP($B527,Data!$B$3:$EZ1530,39,FALSE),VLOOKUP($B527,Data!$B$3:$EZ1530,40,FALSE)),1),"")</f>
        <v>0.8697373156</v>
      </c>
      <c r="N527" s="48">
        <f>IFERROR(MINUS(DIVIDE(VLOOKUP($B527,Data!$B$3:$EZ1530,44,FALSE),VLOOKUP($B527,Data!$B$3:$EZ1530,45,FALSE)),1),"")</f>
        <v>1.146616541</v>
      </c>
      <c r="O527" s="50">
        <f>IFERROR(VLOOKUP($B527,Data!$B$3:$D1530,2,FALSE),"")</f>
        <v>1860</v>
      </c>
      <c r="P527" s="50">
        <f>IFERROR(VLOOKUP($B527,Data!$B$3:$D1530,3,FALSE),"")</f>
        <v>2280</v>
      </c>
      <c r="Q527" s="48">
        <f t="shared" si="2"/>
        <v>-0.1842105263</v>
      </c>
      <c r="R527" s="48"/>
      <c r="S527" s="48"/>
      <c r="T527" s="48"/>
      <c r="U527" s="48"/>
      <c r="V527" s="48"/>
      <c r="W527" s="50"/>
      <c r="Z527" s="11"/>
      <c r="AA527" s="11"/>
    </row>
    <row r="528">
      <c r="A528" s="9">
        <f t="shared" si="1"/>
        <v>525</v>
      </c>
      <c r="B528" s="47" t="s">
        <v>662</v>
      </c>
      <c r="C528" s="48">
        <f>IFERROR(DIVIDE(VLOOKUP($B528,Data!$B$3:$AB$1535,9,FALSE),VLOOKUP($B528,Data!$B$3:$AB$1535,4,FALSE)),"")</f>
        <v>0.37493</v>
      </c>
      <c r="D528" s="48">
        <f>IFERROR(DIVIDE(VLOOKUP($B528,Data!$B$3:$AB$1535,24,FALSE),VLOOKUP($B528,Data!$B$3:$AB$1535,4,FALSE)),"")</f>
        <v>0</v>
      </c>
      <c r="E528" s="48">
        <f>IFERROR(DIVIDE(VLOOKUP($B528,Data!$B$3:$EZ1530,29,FALSE),VLOOKUP($B528,Data!$B$3:$EZ1530,4,FALSE)),"")</f>
        <v>0.16946</v>
      </c>
      <c r="F528" s="48">
        <f>IFERROR(DIVIDE(VLOOKUP($B528,Data!$B$3:$EZ1530,34,FALSE),VLOOKUP($B528,Data!$B$3:$EZ1530,4,FALSE)),"")</f>
        <v>0.20112</v>
      </c>
      <c r="G528" s="48">
        <f>IFERROR(DIVIDE(VLOOKUP($B528,Data!$B$3:$EZ1530,39,FALSE),VLOOKUP($B528,Data!$B$3:$EZ1530,4,FALSE)),"")</f>
        <v>0.12997</v>
      </c>
      <c r="H528" s="48">
        <f>IFERROR(DIVIDE(VLOOKUP($B528,Data!$B$3:$EZ1530,44,FALSE),VLOOKUP($B528,Data!$B$3:$EZ1530,4,FALSE)),"")</f>
        <v>0.17769</v>
      </c>
      <c r="I528" s="48">
        <f>IFERROR(MINUS(DIVIDE(VLOOKUP($B528,Data!$B$3:$EZ1530,9,FALSE),VLOOKUP($B528,Data!$B$3:$EZ1530,10,FALSE)),1),"")</f>
        <v>-0.01914977109</v>
      </c>
      <c r="J528" s="48" t="str">
        <f>IFERROR(MINUS(DIVIDE(VLOOKUP($B528,Data!$B$3:$EZ1530,24,FALSE),VLOOKUP($B528,Data!$B$3:$EZ1530,25,FALSE)),1),"")</f>
        <v/>
      </c>
      <c r="K528" s="48">
        <f>IFERROR(MINUS(DIVIDE(VLOOKUP($B528,Data!$B$3:$EZ1530,29,FALSE),VLOOKUP($B528,Data!$B$3:$EZ1530,30,FALSE)),1),"")</f>
        <v>-0.07842070916</v>
      </c>
      <c r="L528" s="48">
        <f>IFERROR(MINUS(DIVIDE(VLOOKUP($B528,Data!$B$3:$EZ1530,34,FALSE),VLOOKUP($B528,Data!$B$3:$EZ1530,35,FALSE)),1),"")</f>
        <v>0.04061675376</v>
      </c>
      <c r="M528" s="48">
        <f>IFERROR(MINUS(DIVIDE(VLOOKUP($B528,Data!$B$3:$EZ1530,39,FALSE),VLOOKUP($B528,Data!$B$3:$EZ1530,40,FALSE)),1),"")</f>
        <v>-0.07724529641</v>
      </c>
      <c r="N528" s="48">
        <f>IFERROR(MINUS(DIVIDE(VLOOKUP($B528,Data!$B$3:$EZ1530,44,FALSE),VLOOKUP($B528,Data!$B$3:$EZ1530,45,FALSE)),1),"")</f>
        <v>0.2743115318</v>
      </c>
      <c r="O528" s="50">
        <f>IFERROR(VLOOKUP($B528,Data!$B$3:$D1530,2,FALSE),"")</f>
        <v>1050000</v>
      </c>
      <c r="P528" s="50">
        <f>IFERROR(VLOOKUP($B528,Data!$B$3:$D1530,3,FALSE),"")</f>
        <v>1020000</v>
      </c>
      <c r="Q528" s="48">
        <f t="shared" si="2"/>
        <v>0.02941176471</v>
      </c>
      <c r="R528" s="48"/>
      <c r="S528" s="48"/>
      <c r="T528" s="48"/>
      <c r="U528" s="48"/>
      <c r="V528" s="48"/>
      <c r="W528" s="50"/>
      <c r="Z528" s="11"/>
      <c r="AA528" s="11"/>
    </row>
    <row r="529">
      <c r="A529" s="9">
        <f t="shared" si="1"/>
        <v>526</v>
      </c>
      <c r="B529" s="47" t="s">
        <v>663</v>
      </c>
      <c r="C529" s="48">
        <f>IFERROR(DIVIDE(VLOOKUP($B529,Data!$B$3:$AB$1535,9,FALSE),VLOOKUP($B529,Data!$B$3:$AB$1535,4,FALSE)),"")</f>
        <v>0.2946317104</v>
      </c>
      <c r="D529" s="48">
        <f>IFERROR(DIVIDE(VLOOKUP($B529,Data!$B$3:$AB$1535,24,FALSE),VLOOKUP($B529,Data!$B$3:$AB$1535,4,FALSE)),"")</f>
        <v>0.08102372035</v>
      </c>
      <c r="E529" s="48">
        <f>IFERROR(DIVIDE(VLOOKUP($B529,Data!$B$3:$EZ1530,29,FALSE),VLOOKUP($B529,Data!$B$3:$EZ1530,4,FALSE)),"")</f>
        <v>0.08389513109</v>
      </c>
      <c r="F529" s="48">
        <f>IFERROR(DIVIDE(VLOOKUP($B529,Data!$B$3:$EZ1530,34,FALSE),VLOOKUP($B529,Data!$B$3:$EZ1530,4,FALSE)),"")</f>
        <v>0.1114856429</v>
      </c>
      <c r="G529" s="48">
        <f>IFERROR(DIVIDE(VLOOKUP($B529,Data!$B$3:$EZ1530,39,FALSE),VLOOKUP($B529,Data!$B$3:$EZ1530,4,FALSE)),"")</f>
        <v>0.06129837703</v>
      </c>
      <c r="H529" s="48">
        <f>IFERROR(DIVIDE(VLOOKUP($B529,Data!$B$3:$EZ1530,44,FALSE),VLOOKUP($B529,Data!$B$3:$EZ1530,4,FALSE)),"")</f>
        <v>0.08689138577</v>
      </c>
      <c r="I529" s="48">
        <f>IFERROR(MINUS(DIVIDE(VLOOKUP($B529,Data!$B$3:$EZ1530,9,FALSE),VLOOKUP($B529,Data!$B$3:$EZ1530,10,FALSE)),1),"")</f>
        <v>0.004255319149</v>
      </c>
      <c r="J529" s="48">
        <f>IFERROR(MINUS(DIVIDE(VLOOKUP($B529,Data!$B$3:$EZ1530,24,FALSE),VLOOKUP($B529,Data!$B$3:$EZ1530,25,FALSE)),1),"")</f>
        <v>-0.07285714286</v>
      </c>
      <c r="K529" s="48">
        <f>IFERROR(MINUS(DIVIDE(VLOOKUP($B529,Data!$B$3:$EZ1530,29,FALSE),VLOOKUP($B529,Data!$B$3:$EZ1530,30,FALSE)),1),"")</f>
        <v>-0.05750350631</v>
      </c>
      <c r="L529" s="48">
        <f>IFERROR(MINUS(DIVIDE(VLOOKUP($B529,Data!$B$3:$EZ1530,34,FALSE),VLOOKUP($B529,Data!$B$3:$EZ1530,35,FALSE)),1),"")</f>
        <v>-0.02297592998</v>
      </c>
      <c r="M529" s="48">
        <f>IFERROR(MINUS(DIVIDE(VLOOKUP($B529,Data!$B$3:$EZ1530,39,FALSE),VLOOKUP($B529,Data!$B$3:$EZ1530,40,FALSE)),1),"")</f>
        <v>-0.09242144177</v>
      </c>
      <c r="N529" s="48">
        <f>IFERROR(MINUS(DIVIDE(VLOOKUP($B529,Data!$B$3:$EZ1530,44,FALSE),VLOOKUP($B529,Data!$B$3:$EZ1530,45,FALSE)),1),"")</f>
        <v>-0.1088348271</v>
      </c>
      <c r="O529" s="50">
        <f>IFERROR(VLOOKUP($B529,Data!$B$3:$D1530,2,FALSE),"")</f>
        <v>7600000</v>
      </c>
      <c r="P529" s="50">
        <f>IFERROR(VLOOKUP($B529,Data!$B$3:$D1530,3,FALSE),"")</f>
        <v>7080000</v>
      </c>
      <c r="Q529" s="48">
        <f t="shared" si="2"/>
        <v>0.07344632768</v>
      </c>
      <c r="R529" s="48"/>
      <c r="S529" s="48"/>
      <c r="T529" s="48"/>
      <c r="U529" s="48"/>
      <c r="V529" s="48"/>
      <c r="W529" s="50"/>
      <c r="Z529" s="11"/>
      <c r="AA529" s="11"/>
    </row>
    <row r="530">
      <c r="A530" s="9">
        <f t="shared" si="1"/>
        <v>527</v>
      </c>
      <c r="B530" s="47" t="s">
        <v>664</v>
      </c>
      <c r="C530" s="48">
        <f>IFERROR(DIVIDE(VLOOKUP($B530,Data!$B$3:$AB$1535,9,FALSE),VLOOKUP($B530,Data!$B$3:$AB$1535,4,FALSE)),"")</f>
        <v>0.5482770386</v>
      </c>
      <c r="D530" s="48">
        <f>IFERROR(DIVIDE(VLOOKUP($B530,Data!$B$3:$AB$1535,24,FALSE),VLOOKUP($B530,Data!$B$3:$AB$1535,4,FALSE)),"")</f>
        <v>-0.5446946435</v>
      </c>
      <c r="E530" s="48">
        <f>IFERROR(DIVIDE(VLOOKUP($B530,Data!$B$3:$EZ1530,29,FALSE),VLOOKUP($B530,Data!$B$3:$EZ1530,4,FALSE)),"")</f>
        <v>-0.569003753</v>
      </c>
      <c r="F530" s="48">
        <f>IFERROR(DIVIDE(VLOOKUP($B530,Data!$B$3:$EZ1530,34,FALSE),VLOOKUP($B530,Data!$B$3:$EZ1530,4,FALSE)),"")</f>
        <v>-0.3035653361</v>
      </c>
      <c r="G530" s="48">
        <f>IFERROR(DIVIDE(VLOOKUP($B530,Data!$B$3:$EZ1530,39,FALSE),VLOOKUP($B530,Data!$B$3:$EZ1530,4,FALSE)),"")</f>
        <v>-0.5526270897</v>
      </c>
      <c r="H530" s="48">
        <f>IFERROR(DIVIDE(VLOOKUP($B530,Data!$B$3:$EZ1530,44,FALSE),VLOOKUP($B530,Data!$B$3:$EZ1530,4,FALSE)),"")</f>
        <v>-0.3003241215</v>
      </c>
      <c r="I530" s="48">
        <f>IFERROR(MINUS(DIVIDE(VLOOKUP($B530,Data!$B$3:$EZ1530,9,FALSE),VLOOKUP($B530,Data!$B$3:$EZ1530,10,FALSE)),1),"")</f>
        <v>0.04266017843</v>
      </c>
      <c r="J530" s="48" t="str">
        <f>IFERROR(MINUS(DIVIDE(VLOOKUP($B530,Data!$B$3:$EZ1530,24,FALSE),VLOOKUP($B530,Data!$B$3:$EZ1530,25,FALSE)),1),"")</f>
        <v/>
      </c>
      <c r="K530" s="48">
        <f>IFERROR(MINUS(DIVIDE(VLOOKUP($B530,Data!$B$3:$EZ1530,29,FALSE),VLOOKUP($B530,Data!$B$3:$EZ1530,30,FALSE)),1),"")</f>
        <v>0.08612829697</v>
      </c>
      <c r="L530" s="48">
        <f>IFERROR(MINUS(DIVIDE(VLOOKUP($B530,Data!$B$3:$EZ1530,34,FALSE),VLOOKUP($B530,Data!$B$3:$EZ1530,35,FALSE)),1),"")</f>
        <v>0.1241313961</v>
      </c>
      <c r="M530" s="48">
        <f>IFERROR(MINUS(DIVIDE(VLOOKUP($B530,Data!$B$3:$EZ1530,39,FALSE),VLOOKUP($B530,Data!$B$3:$EZ1530,40,FALSE)),1),"")</f>
        <v>0.09794950008</v>
      </c>
      <c r="N530" s="48">
        <f>IFERROR(MINUS(DIVIDE(VLOOKUP($B530,Data!$B$3:$EZ1530,44,FALSE),VLOOKUP($B530,Data!$B$3:$EZ1530,45,FALSE)),1),"")</f>
        <v>0.254811119</v>
      </c>
      <c r="O530" s="50">
        <f>IFERROR(VLOOKUP($B530,Data!$B$3:$D1530,2,FALSE),"")</f>
        <v>161840</v>
      </c>
      <c r="P530" s="50">
        <f>IFERROR(VLOOKUP($B530,Data!$B$3:$D1530,3,FALSE),"")</f>
        <v>128940</v>
      </c>
      <c r="Q530" s="48">
        <f t="shared" si="2"/>
        <v>0.2551574376</v>
      </c>
      <c r="R530" s="48"/>
      <c r="S530" s="48"/>
      <c r="T530" s="48"/>
      <c r="U530" s="48"/>
      <c r="V530" s="48"/>
      <c r="W530" s="50"/>
      <c r="Z530" s="15"/>
      <c r="AA530" s="15"/>
    </row>
    <row r="531">
      <c r="A531" s="9">
        <f t="shared" si="1"/>
        <v>528</v>
      </c>
      <c r="B531" s="47" t="s">
        <v>665</v>
      </c>
      <c r="C531" s="48">
        <f>IFERROR(DIVIDE(VLOOKUP($B531,Data!$B$3:$AB$1535,9,FALSE),VLOOKUP($B531,Data!$B$3:$AB$1535,4,FALSE)),"")</f>
        <v>0.4917989418</v>
      </c>
      <c r="D531" s="48">
        <f>IFERROR(DIVIDE(VLOOKUP($B531,Data!$B$3:$AB$1535,24,FALSE),VLOOKUP($B531,Data!$B$3:$AB$1535,4,FALSE)),"")</f>
        <v>0.1452751323</v>
      </c>
      <c r="E531" s="48">
        <f>IFERROR(DIVIDE(VLOOKUP($B531,Data!$B$3:$EZ1530,29,FALSE),VLOOKUP($B531,Data!$B$3:$EZ1530,4,FALSE)),"")</f>
        <v>0.128</v>
      </c>
      <c r="F531" s="48">
        <f>IFERROR(DIVIDE(VLOOKUP($B531,Data!$B$3:$EZ1530,34,FALSE),VLOOKUP($B531,Data!$B$3:$EZ1530,4,FALSE)),"")</f>
        <v>0.2195026455</v>
      </c>
      <c r="G531" s="48">
        <f>IFERROR(DIVIDE(VLOOKUP($B531,Data!$B$3:$EZ1530,39,FALSE),VLOOKUP($B531,Data!$B$3:$EZ1530,4,FALSE)),"")</f>
        <v>0.09079365079</v>
      </c>
      <c r="H531" s="48">
        <f>IFERROR(DIVIDE(VLOOKUP($B531,Data!$B$3:$EZ1530,44,FALSE),VLOOKUP($B531,Data!$B$3:$EZ1530,4,FALSE)),"")</f>
        <v>0.195962963</v>
      </c>
      <c r="I531" s="48">
        <f>IFERROR(MINUS(DIVIDE(VLOOKUP($B531,Data!$B$3:$EZ1530,9,FALSE),VLOOKUP($B531,Data!$B$3:$EZ1530,10,FALSE)),1),"")</f>
        <v>0.02864035767</v>
      </c>
      <c r="J531" s="48">
        <f>IFERROR(MINUS(DIVIDE(VLOOKUP($B531,Data!$B$3:$EZ1530,24,FALSE),VLOOKUP($B531,Data!$B$3:$EZ1530,25,FALSE)),1),"")</f>
        <v>-0.1504903932</v>
      </c>
      <c r="K531" s="48">
        <f>IFERROR(MINUS(DIVIDE(VLOOKUP($B531,Data!$B$3:$EZ1530,29,FALSE),VLOOKUP($B531,Data!$B$3:$EZ1530,30,FALSE)),1),"")</f>
        <v>-0.2122435689</v>
      </c>
      <c r="L531" s="48">
        <f>IFERROR(MINUS(DIVIDE(VLOOKUP($B531,Data!$B$3:$EZ1530,34,FALSE),VLOOKUP($B531,Data!$B$3:$EZ1530,35,FALSE)),1),"")</f>
        <v>-0.01404567816</v>
      </c>
      <c r="M531" s="48">
        <f>IFERROR(MINUS(DIVIDE(VLOOKUP($B531,Data!$B$3:$EZ1530,39,FALSE),VLOOKUP($B531,Data!$B$3:$EZ1530,40,FALSE)),1),"")</f>
        <v>-0.3924158198</v>
      </c>
      <c r="N531" s="48">
        <f>IFERROR(MINUS(DIVIDE(VLOOKUP($B531,Data!$B$3:$EZ1530,44,FALSE),VLOOKUP($B531,Data!$B$3:$EZ1530,45,FALSE)),1),"")</f>
        <v>-0.01012935643</v>
      </c>
      <c r="O531" s="50">
        <f>IFERROR(VLOOKUP($B531,Data!$B$3:$D1530,2,FALSE),"")</f>
        <v>1960000</v>
      </c>
      <c r="P531" s="50">
        <f>IFERROR(VLOOKUP($B531,Data!$B$3:$D1530,3,FALSE),"")</f>
        <v>1880000</v>
      </c>
      <c r="Q531" s="48">
        <f t="shared" si="2"/>
        <v>0.04255319149</v>
      </c>
      <c r="R531" s="48"/>
      <c r="S531" s="48"/>
      <c r="T531" s="48"/>
      <c r="U531" s="48"/>
      <c r="V531" s="48"/>
      <c r="W531" s="50"/>
      <c r="Z531" s="11"/>
      <c r="AA531" s="11"/>
    </row>
    <row r="532">
      <c r="A532" s="9">
        <f t="shared" si="1"/>
        <v>529</v>
      </c>
      <c r="B532" s="47" t="s">
        <v>666</v>
      </c>
      <c r="C532" s="48">
        <f>IFERROR(DIVIDE(VLOOKUP($B532,Data!$B$3:$AB$1535,9,FALSE),VLOOKUP($B532,Data!$B$3:$AB$1535,4,FALSE)),"")</f>
        <v>0.3826996313</v>
      </c>
      <c r="D532" s="48">
        <f>IFERROR(DIVIDE(VLOOKUP($B532,Data!$B$3:$AB$1535,24,FALSE),VLOOKUP($B532,Data!$B$3:$AB$1535,4,FALSE)),"")</f>
        <v>0.03016381551</v>
      </c>
      <c r="E532" s="48">
        <f>IFERROR(DIVIDE(VLOOKUP($B532,Data!$B$3:$EZ1530,29,FALSE),VLOOKUP($B532,Data!$B$3:$EZ1530,4,FALSE)),"")</f>
        <v>-0.03469745512</v>
      </c>
      <c r="F532" s="48">
        <f>IFERROR(DIVIDE(VLOOKUP($B532,Data!$B$3:$EZ1530,34,FALSE),VLOOKUP($B532,Data!$B$3:$EZ1530,4,FALSE)),"")</f>
        <v>0.09423925527</v>
      </c>
      <c r="G532" s="48">
        <f>IFERROR(DIVIDE(VLOOKUP($B532,Data!$B$3:$EZ1530,39,FALSE),VLOOKUP($B532,Data!$B$3:$EZ1530,4,FALSE)),"")</f>
        <v>-0.03518104334</v>
      </c>
      <c r="H532" s="48">
        <f>IFERROR(DIVIDE(VLOOKUP($B532,Data!$B$3:$EZ1530,44,FALSE),VLOOKUP($B532,Data!$B$3:$EZ1530,4,FALSE)),"")</f>
        <v>0.0632896089</v>
      </c>
      <c r="I532" s="48">
        <f>IFERROR(MINUS(DIVIDE(VLOOKUP($B532,Data!$B$3:$EZ1530,9,FALSE),VLOOKUP($B532,Data!$B$3:$EZ1530,10,FALSE)),1),"")</f>
        <v>0.003964478275</v>
      </c>
      <c r="J532" s="48">
        <f>IFERROR(MINUS(DIVIDE(VLOOKUP($B532,Data!$B$3:$EZ1530,24,FALSE),VLOOKUP($B532,Data!$B$3:$EZ1530,25,FALSE)),1),"")</f>
        <v>-3.697297297</v>
      </c>
      <c r="K532" s="48">
        <f>IFERROR(MINUS(DIVIDE(VLOOKUP($B532,Data!$B$3:$EZ1530,29,FALSE),VLOOKUP($B532,Data!$B$3:$EZ1530,30,FALSE)),1),"")</f>
        <v>0.4717948718</v>
      </c>
      <c r="L532" s="48">
        <f>IFERROR(MINUS(DIVIDE(VLOOKUP($B532,Data!$B$3:$EZ1530,34,FALSE),VLOOKUP($B532,Data!$B$3:$EZ1530,35,FALSE)),1),"")</f>
        <v>-0.08401880141</v>
      </c>
      <c r="M532" s="48">
        <f>IFERROR(MINUS(DIVIDE(VLOOKUP($B532,Data!$B$3:$EZ1530,39,FALSE),VLOOKUP($B532,Data!$B$3:$EZ1530,40,FALSE)),1),"")</f>
        <v>0.3318077803</v>
      </c>
      <c r="N532" s="48">
        <f>IFERROR(MINUS(DIVIDE(VLOOKUP($B532,Data!$B$3:$EZ1530,44,FALSE),VLOOKUP($B532,Data!$B$3:$EZ1530,45,FALSE)),1),"")</f>
        <v>0.06619144603</v>
      </c>
      <c r="O532" s="50">
        <f>IFERROR(VLOOKUP($B532,Data!$B$3:$D1530,2,FALSE),"")</f>
        <v>165080</v>
      </c>
      <c r="P532" s="50">
        <f>IFERROR(VLOOKUP($B532,Data!$B$3:$D1530,3,FALSE),"")</f>
        <v>105190</v>
      </c>
      <c r="Q532" s="48">
        <f t="shared" si="2"/>
        <v>0.5693506987</v>
      </c>
      <c r="R532" s="48"/>
      <c r="S532" s="48"/>
      <c r="T532" s="48"/>
      <c r="U532" s="48"/>
      <c r="V532" s="48"/>
      <c r="W532" s="50"/>
      <c r="Z532" s="11"/>
      <c r="AA532" s="11"/>
    </row>
    <row r="533">
      <c r="A533" s="9">
        <f t="shared" si="1"/>
        <v>530</v>
      </c>
      <c r="B533" s="47" t="s">
        <v>667</v>
      </c>
      <c r="C533" s="48">
        <f>IFERROR(DIVIDE(VLOOKUP($B533,Data!$B$3:$AB$1535,9,FALSE),VLOOKUP($B533,Data!$B$3:$AB$1535,4,FALSE)),"")</f>
        <v>0.4417475728</v>
      </c>
      <c r="D533" s="48">
        <f>IFERROR(DIVIDE(VLOOKUP($B533,Data!$B$3:$AB$1535,24,FALSE),VLOOKUP($B533,Data!$B$3:$AB$1535,4,FALSE)),"")</f>
        <v>0.05282038835</v>
      </c>
      <c r="E533" s="48">
        <f>IFERROR(DIVIDE(VLOOKUP($B533,Data!$B$3:$EZ1530,29,FALSE),VLOOKUP($B533,Data!$B$3:$EZ1530,4,FALSE)),"")</f>
        <v>0.05147572816</v>
      </c>
      <c r="F533" s="48">
        <f>IFERROR(DIVIDE(VLOOKUP($B533,Data!$B$3:$EZ1530,34,FALSE),VLOOKUP($B533,Data!$B$3:$EZ1530,4,FALSE)),"")</f>
        <v>0.100526699</v>
      </c>
      <c r="G533" s="48">
        <f>IFERROR(DIVIDE(VLOOKUP($B533,Data!$B$3:$EZ1530,39,FALSE),VLOOKUP($B533,Data!$B$3:$EZ1530,4,FALSE)),"")</f>
        <v>0.0399368932</v>
      </c>
      <c r="H533" s="48">
        <f>IFERROR(DIVIDE(VLOOKUP($B533,Data!$B$3:$EZ1530,44,FALSE),VLOOKUP($B533,Data!$B$3:$EZ1530,4,FALSE)),"")</f>
        <v>0.08903883495</v>
      </c>
      <c r="I533" s="48">
        <f>IFERROR(MINUS(DIVIDE(VLOOKUP($B533,Data!$B$3:$EZ1530,9,FALSE),VLOOKUP($B533,Data!$B$3:$EZ1530,10,FALSE)),1),"")</f>
        <v>0.04597701149</v>
      </c>
      <c r="J533" s="48">
        <f>IFERROR(MINUS(DIVIDE(VLOOKUP($B533,Data!$B$3:$EZ1530,24,FALSE),VLOOKUP($B533,Data!$B$3:$EZ1530,25,FALSE)),1),"")</f>
        <v>0.08021443463</v>
      </c>
      <c r="K533" s="48">
        <f>IFERROR(MINUS(DIVIDE(VLOOKUP($B533,Data!$B$3:$EZ1530,29,FALSE),VLOOKUP($B533,Data!$B$3:$EZ1530,30,FALSE)),1),"")</f>
        <v>0.07567457902</v>
      </c>
      <c r="L533" s="48">
        <f>IFERROR(MINUS(DIVIDE(VLOOKUP($B533,Data!$B$3:$EZ1530,34,FALSE),VLOOKUP($B533,Data!$B$3:$EZ1530,35,FALSE)),1),"")</f>
        <v>0.02052533018</v>
      </c>
      <c r="M533" s="48">
        <f>IFERROR(MINUS(DIVIDE(VLOOKUP($B533,Data!$B$3:$EZ1530,39,FALSE),VLOOKUP($B533,Data!$B$3:$EZ1530,40,FALSE)),1),"")</f>
        <v>0.04695851362</v>
      </c>
      <c r="N533" s="48">
        <f>IFERROR(MINUS(DIVIDE(VLOOKUP($B533,Data!$B$3:$EZ1530,44,FALSE),VLOOKUP($B533,Data!$B$3:$EZ1530,45,FALSE)),1),"")</f>
        <v>0.2397850553</v>
      </c>
      <c r="O533" s="50">
        <f>IFERROR(VLOOKUP($B533,Data!$B$3:$D1530,2,FALSE),"")</f>
        <v>4300000</v>
      </c>
      <c r="P533" s="50">
        <f>IFERROR(VLOOKUP($B533,Data!$B$3:$D1530,3,FALSE),"")</f>
        <v>4350000</v>
      </c>
      <c r="Q533" s="48">
        <f t="shared" si="2"/>
        <v>-0.01149425287</v>
      </c>
      <c r="R533" s="48"/>
      <c r="S533" s="48"/>
      <c r="T533" s="48"/>
      <c r="U533" s="48"/>
      <c r="V533" s="48"/>
      <c r="W533" s="50"/>
      <c r="Z533" s="15"/>
      <c r="AA533" s="15"/>
    </row>
    <row r="534">
      <c r="A534" s="9">
        <f t="shared" si="1"/>
        <v>531</v>
      </c>
      <c r="B534" s="47" t="s">
        <v>668</v>
      </c>
      <c r="C534" s="48">
        <f>IFERROR(DIVIDE(VLOOKUP($B534,Data!$B$3:$AB$1535,9,FALSE),VLOOKUP($B534,Data!$B$3:$AB$1535,4,FALSE)),"")</f>
        <v>0.03524517475</v>
      </c>
      <c r="D534" s="48">
        <f>IFERROR(DIVIDE(VLOOKUP($B534,Data!$B$3:$AB$1535,24,FALSE),VLOOKUP($B534,Data!$B$3:$AB$1535,4,FALSE)),"")</f>
        <v>0.0256562337</v>
      </c>
      <c r="E534" s="48">
        <f>IFERROR(DIVIDE(VLOOKUP($B534,Data!$B$3:$EZ1530,29,FALSE),VLOOKUP($B534,Data!$B$3:$EZ1530,4,FALSE)),"")</f>
        <v>0.0251304121</v>
      </c>
      <c r="F534" s="48">
        <f>IFERROR(DIVIDE(VLOOKUP($B534,Data!$B$3:$EZ1530,34,FALSE),VLOOKUP($B534,Data!$B$3:$EZ1530,4,FALSE)),"")</f>
        <v>0.03862754304</v>
      </c>
      <c r="G534" s="48">
        <f>IFERROR(DIVIDE(VLOOKUP($B534,Data!$B$3:$EZ1530,39,FALSE),VLOOKUP($B534,Data!$B$3:$EZ1530,4,FALSE)),"")</f>
        <v>0.01172822118</v>
      </c>
      <c r="H534" s="48">
        <f>IFERROR(DIVIDE(VLOOKUP($B534,Data!$B$3:$EZ1530,44,FALSE),VLOOKUP($B534,Data!$B$3:$EZ1530,4,FALSE)),"")</f>
        <v>0.0084590506</v>
      </c>
      <c r="I534" s="48">
        <f>IFERROR(MINUS(DIVIDE(VLOOKUP($B534,Data!$B$3:$EZ1530,9,FALSE),VLOOKUP($B534,Data!$B$3:$EZ1530,10,FALSE)),1),"")</f>
        <v>0.09461320373</v>
      </c>
      <c r="J534" s="48">
        <f>IFERROR(MINUS(DIVIDE(VLOOKUP($B534,Data!$B$3:$EZ1530,24,FALSE),VLOOKUP($B534,Data!$B$3:$EZ1530,25,FALSE)),1),"")</f>
        <v>0.1123600588</v>
      </c>
      <c r="K534" s="48">
        <f>IFERROR(MINUS(DIVIDE(VLOOKUP($B534,Data!$B$3:$EZ1530,29,FALSE),VLOOKUP($B534,Data!$B$3:$EZ1530,30,FALSE)),1),"")</f>
        <v>0.246635959</v>
      </c>
      <c r="L534" s="48">
        <f>IFERROR(MINUS(DIVIDE(VLOOKUP($B534,Data!$B$3:$EZ1530,34,FALSE),VLOOKUP($B534,Data!$B$3:$EZ1530,35,FALSE)),1),"")</f>
        <v>0.08576246334</v>
      </c>
      <c r="M534" s="48">
        <f>IFERROR(MINUS(DIVIDE(VLOOKUP($B534,Data!$B$3:$EZ1530,39,FALSE),VLOOKUP($B534,Data!$B$3:$EZ1530,40,FALSE)),1),"")</f>
        <v>0.1747831539</v>
      </c>
      <c r="N534" s="48">
        <f>IFERROR(MINUS(DIVIDE(VLOOKUP($B534,Data!$B$3:$EZ1530,44,FALSE),VLOOKUP($B534,Data!$B$3:$EZ1530,45,FALSE)),1),"")</f>
        <v>-0.7306178049</v>
      </c>
      <c r="O534" s="50">
        <f>IFERROR(VLOOKUP($B534,Data!$B$3:$D1530,2,FALSE),"")</f>
        <v>16290000</v>
      </c>
      <c r="P534" s="50">
        <f>IFERROR(VLOOKUP($B534,Data!$B$3:$D1530,3,FALSE),"")</f>
        <v>16390000</v>
      </c>
      <c r="Q534" s="48">
        <f t="shared" si="2"/>
        <v>-0.006101281269</v>
      </c>
      <c r="R534" s="48"/>
      <c r="S534" s="48"/>
      <c r="T534" s="48"/>
      <c r="U534" s="48"/>
      <c r="V534" s="48"/>
      <c r="W534" s="50"/>
      <c r="Z534" s="15"/>
      <c r="AA534" s="15"/>
    </row>
    <row r="535">
      <c r="A535" s="9">
        <f t="shared" si="1"/>
        <v>532</v>
      </c>
      <c r="B535" s="47" t="s">
        <v>669</v>
      </c>
      <c r="C535" s="48">
        <f>IFERROR(DIVIDE(VLOOKUP($B535,Data!$B$3:$AB$1535,9,FALSE),VLOOKUP($B535,Data!$B$3:$AB$1535,4,FALSE)),"")</f>
        <v>0.396928</v>
      </c>
      <c r="D535" s="48">
        <f>IFERROR(DIVIDE(VLOOKUP($B535,Data!$B$3:$AB$1535,24,FALSE),VLOOKUP($B535,Data!$B$3:$AB$1535,4,FALSE)),"")</f>
        <v>0</v>
      </c>
      <c r="E535" s="48">
        <f>IFERROR(DIVIDE(VLOOKUP($B535,Data!$B$3:$EZ1530,29,FALSE),VLOOKUP($B535,Data!$B$3:$EZ1530,4,FALSE)),"")</f>
        <v>0.034384</v>
      </c>
      <c r="F535" s="48">
        <f>IFERROR(DIVIDE(VLOOKUP($B535,Data!$B$3:$EZ1530,34,FALSE),VLOOKUP($B535,Data!$B$3:$EZ1530,4,FALSE)),"")</f>
        <v>0.060056</v>
      </c>
      <c r="G535" s="48">
        <f>IFERROR(DIVIDE(VLOOKUP($B535,Data!$B$3:$EZ1530,39,FALSE),VLOOKUP($B535,Data!$B$3:$EZ1530,4,FALSE)),"")</f>
        <v>0.027816</v>
      </c>
      <c r="H535" s="48">
        <f>IFERROR(DIVIDE(VLOOKUP($B535,Data!$B$3:$EZ1530,44,FALSE),VLOOKUP($B535,Data!$B$3:$EZ1530,4,FALSE)),"")</f>
        <v>0.06248</v>
      </c>
      <c r="I535" s="48">
        <f>IFERROR(MINUS(DIVIDE(VLOOKUP($B535,Data!$B$3:$EZ1530,9,FALSE),VLOOKUP($B535,Data!$B$3:$EZ1530,10,FALSE)),1),"")</f>
        <v>0.08673558787</v>
      </c>
      <c r="J535" s="48" t="str">
        <f>IFERROR(MINUS(DIVIDE(VLOOKUP($B535,Data!$B$3:$EZ1530,24,FALSE),VLOOKUP($B535,Data!$B$3:$EZ1530,25,FALSE)),1),"")</f>
        <v/>
      </c>
      <c r="K535" s="48">
        <f>IFERROR(MINUS(DIVIDE(VLOOKUP($B535,Data!$B$3:$EZ1530,29,FALSE),VLOOKUP($B535,Data!$B$3:$EZ1530,30,FALSE)),1),"")</f>
        <v>0.1304576539</v>
      </c>
      <c r="L535" s="48">
        <f>IFERROR(MINUS(DIVIDE(VLOOKUP($B535,Data!$B$3:$EZ1530,34,FALSE),VLOOKUP($B535,Data!$B$3:$EZ1530,35,FALSE)),1),"")</f>
        <v>0.02108269859</v>
      </c>
      <c r="M535" s="48">
        <f>IFERROR(MINUS(DIVIDE(VLOOKUP($B535,Data!$B$3:$EZ1530,39,FALSE),VLOOKUP($B535,Data!$B$3:$EZ1530,40,FALSE)),1),"")</f>
        <v>-0.1475851924</v>
      </c>
      <c r="N535" s="48">
        <f>IFERROR(MINUS(DIVIDE(VLOOKUP($B535,Data!$B$3:$EZ1530,44,FALSE),VLOOKUP($B535,Data!$B$3:$EZ1530,45,FALSE)),1),"")</f>
        <v>0.3387041481</v>
      </c>
      <c r="O535" s="50">
        <f>IFERROR(VLOOKUP($B535,Data!$B$3:$D1530,2,FALSE),"")</f>
        <v>1520000</v>
      </c>
      <c r="P535" s="50">
        <f>IFERROR(VLOOKUP($B535,Data!$B$3:$D1530,3,FALSE),"")</f>
        <v>1460000</v>
      </c>
      <c r="Q535" s="48">
        <f t="shared" si="2"/>
        <v>0.04109589041</v>
      </c>
      <c r="R535" s="48"/>
      <c r="S535" s="48"/>
      <c r="T535" s="48"/>
      <c r="U535" s="48"/>
      <c r="V535" s="48"/>
      <c r="W535" s="50"/>
      <c r="Z535" s="15"/>
      <c r="AA535" s="15"/>
    </row>
    <row r="536">
      <c r="A536" s="9">
        <f t="shared" si="1"/>
        <v>533</v>
      </c>
      <c r="B536" s="47" t="s">
        <v>670</v>
      </c>
      <c r="C536" s="48">
        <f>IFERROR(DIVIDE(VLOOKUP($B536,Data!$B$3:$AB$1535,9,FALSE),VLOOKUP($B536,Data!$B$3:$AB$1535,4,FALSE)),"")</f>
        <v>0.8634868421</v>
      </c>
      <c r="D536" s="48">
        <f>IFERROR(DIVIDE(VLOOKUP($B536,Data!$B$3:$AB$1535,24,FALSE),VLOOKUP($B536,Data!$B$3:$AB$1535,4,FALSE)),"")</f>
        <v>0</v>
      </c>
      <c r="E536" s="48">
        <f>IFERROR(DIVIDE(VLOOKUP($B536,Data!$B$3:$EZ1530,29,FALSE),VLOOKUP($B536,Data!$B$3:$EZ1530,4,FALSE)),"")</f>
        <v>-2.05276864</v>
      </c>
      <c r="F536" s="48">
        <f>IFERROR(DIVIDE(VLOOKUP($B536,Data!$B$3:$EZ1530,34,FALSE),VLOOKUP($B536,Data!$B$3:$EZ1530,4,FALSE)),"")</f>
        <v>-1.83497807</v>
      </c>
      <c r="G536" s="48">
        <f>IFERROR(DIVIDE(VLOOKUP($B536,Data!$B$3:$EZ1530,39,FALSE),VLOOKUP($B536,Data!$B$3:$EZ1530,4,FALSE)),"")</f>
        <v>-2.05276864</v>
      </c>
      <c r="H536" s="48">
        <f>IFERROR(DIVIDE(VLOOKUP($B536,Data!$B$3:$EZ1530,44,FALSE),VLOOKUP($B536,Data!$B$3:$EZ1530,4,FALSE)),"")</f>
        <v>-2.024808114</v>
      </c>
      <c r="I536" s="48">
        <f>IFERROR(MINUS(DIVIDE(VLOOKUP($B536,Data!$B$3:$EZ1530,9,FALSE),VLOOKUP($B536,Data!$B$3:$EZ1530,10,FALSE)),1),"")</f>
        <v>3.147465438</v>
      </c>
      <c r="J536" s="48" t="str">
        <f>IFERROR(MINUS(DIVIDE(VLOOKUP($B536,Data!$B$3:$EZ1530,24,FALSE),VLOOKUP($B536,Data!$B$3:$EZ1530,25,FALSE)),1),"")</f>
        <v/>
      </c>
      <c r="K536" s="48">
        <f>IFERROR(MINUS(DIVIDE(VLOOKUP($B536,Data!$B$3:$EZ1530,29,FALSE),VLOOKUP($B536,Data!$B$3:$EZ1530,30,FALSE)),1),"")</f>
        <v>-0.1172344689</v>
      </c>
      <c r="L536" s="48">
        <f>IFERROR(MINUS(DIVIDE(VLOOKUP($B536,Data!$B$3:$EZ1530,34,FALSE),VLOOKUP($B536,Data!$B$3:$EZ1530,35,FALSE)),1),"")</f>
        <v>-0.1499142803</v>
      </c>
      <c r="M536" s="48">
        <f>IFERROR(MINUS(DIVIDE(VLOOKUP($B536,Data!$B$3:$EZ1530,39,FALSE),VLOOKUP($B536,Data!$B$3:$EZ1530,40,FALSE)),1),"")</f>
        <v>-0.1172344689</v>
      </c>
      <c r="N536" s="48">
        <f>IFERROR(MINUS(DIVIDE(VLOOKUP($B536,Data!$B$3:$EZ1530,44,FALSE),VLOOKUP($B536,Data!$B$3:$EZ1530,45,FALSE)),1),"")</f>
        <v>-0.07910484977</v>
      </c>
      <c r="O536" s="50">
        <f>IFERROR(VLOOKUP($B536,Data!$B$3:$D1530,2,FALSE),"")</f>
        <v>159440</v>
      </c>
      <c r="P536" s="50">
        <f>IFERROR(VLOOKUP($B536,Data!$B$3:$D1530,3,FALSE),"")</f>
        <v>83240</v>
      </c>
      <c r="Q536" s="48">
        <f t="shared" si="2"/>
        <v>0.9154252763</v>
      </c>
      <c r="R536" s="48"/>
      <c r="S536" s="48"/>
      <c r="T536" s="48"/>
      <c r="U536" s="48"/>
      <c r="V536" s="48"/>
      <c r="W536" s="50"/>
      <c r="Z536" s="11"/>
      <c r="AA536" s="11"/>
    </row>
    <row r="537">
      <c r="A537" s="9">
        <f t="shared" si="1"/>
        <v>534</v>
      </c>
      <c r="B537" s="47" t="s">
        <v>671</v>
      </c>
      <c r="C537" s="48">
        <f>IFERROR(DIVIDE(VLOOKUP($B537,Data!$B$3:$AB$1535,9,FALSE),VLOOKUP($B537,Data!$B$3:$AB$1535,4,FALSE)),"")</f>
        <v>0.1750264884</v>
      </c>
      <c r="D537" s="48">
        <f>IFERROR(DIVIDE(VLOOKUP($B537,Data!$B$3:$AB$1535,24,FALSE),VLOOKUP($B537,Data!$B$3:$AB$1535,4,FALSE)),"")</f>
        <v>-0.09727451025</v>
      </c>
      <c r="E537" s="48">
        <f>IFERROR(DIVIDE(VLOOKUP($B537,Data!$B$3:$EZ1530,29,FALSE),VLOOKUP($B537,Data!$B$3:$EZ1530,4,FALSE)),"")</f>
        <v>-0.09605716991</v>
      </c>
      <c r="F537" s="48">
        <f>IFERROR(DIVIDE(VLOOKUP($B537,Data!$B$3:$EZ1530,34,FALSE),VLOOKUP($B537,Data!$B$3:$EZ1530,4,FALSE)),"")</f>
        <v>0.01866588516</v>
      </c>
      <c r="G537" s="48">
        <f>IFERROR(DIVIDE(VLOOKUP($B537,Data!$B$3:$EZ1530,39,FALSE),VLOOKUP($B537,Data!$B$3:$EZ1530,4,FALSE)),"")</f>
        <v>-0.07351383034</v>
      </c>
      <c r="H537" s="48">
        <f>IFERROR(DIVIDE(VLOOKUP($B537,Data!$B$3:$EZ1530,44,FALSE),VLOOKUP($B537,Data!$B$3:$EZ1530,4,FALSE)),"")</f>
        <v>0.01512658085</v>
      </c>
      <c r="I537" s="48">
        <f>IFERROR(MINUS(DIVIDE(VLOOKUP($B537,Data!$B$3:$EZ1530,9,FALSE),VLOOKUP($B537,Data!$B$3:$EZ1530,10,FALSE)),1),"")</f>
        <v>-0.2095296274</v>
      </c>
      <c r="J537" s="48">
        <f>IFERROR(MINUS(DIVIDE(VLOOKUP($B537,Data!$B$3:$EZ1530,24,FALSE),VLOOKUP($B537,Data!$B$3:$EZ1530,25,FALSE)),1),"")</f>
        <v>-2.903396559</v>
      </c>
      <c r="K537" s="48">
        <f>IFERROR(MINUS(DIVIDE(VLOOKUP($B537,Data!$B$3:$EZ1530,29,FALSE),VLOOKUP($B537,Data!$B$3:$EZ1530,30,FALSE)),1),"")</f>
        <v>-2.695582969</v>
      </c>
      <c r="L537" s="48">
        <f>IFERROR(MINUS(DIVIDE(VLOOKUP($B537,Data!$B$3:$EZ1530,34,FALSE),VLOOKUP($B537,Data!$B$3:$EZ1530,35,FALSE)),1),"")</f>
        <v>-0.7538644471</v>
      </c>
      <c r="M537" s="48">
        <f>IFERROR(MINUS(DIVIDE(VLOOKUP($B537,Data!$B$3:$EZ1530,39,FALSE),VLOOKUP($B537,Data!$B$3:$EZ1530,40,FALSE)),1),"")</f>
        <v>-2.845500849</v>
      </c>
      <c r="N537" s="48">
        <f>IFERROR(MINUS(DIVIDE(VLOOKUP($B537,Data!$B$3:$EZ1530,44,FALSE),VLOOKUP($B537,Data!$B$3:$EZ1530,45,FALSE)),1),"")</f>
        <v>-0.7541223892</v>
      </c>
      <c r="O537" s="50" t="str">
        <f>IFERROR(VLOOKUP($B537,Data!$B$3:$D1530,2,FALSE),"")</f>
        <v/>
      </c>
      <c r="P537" s="50" t="str">
        <f>IFERROR(VLOOKUP($B537,Data!$B$3:$D1530,3,FALSE),"")</f>
        <v/>
      </c>
      <c r="Q537" s="48" t="str">
        <f t="shared" si="2"/>
        <v/>
      </c>
      <c r="R537" s="48"/>
      <c r="S537" s="48"/>
      <c r="T537" s="48"/>
      <c r="U537" s="48"/>
      <c r="V537" s="48"/>
      <c r="W537" s="50"/>
      <c r="Z537" s="11"/>
      <c r="AA537" s="11"/>
    </row>
    <row r="538">
      <c r="A538" s="9">
        <f t="shared" si="1"/>
        <v>535</v>
      </c>
      <c r="B538" s="47" t="s">
        <v>672</v>
      </c>
      <c r="C538" s="48">
        <f>IFERROR(DIVIDE(VLOOKUP($B538,Data!$B$3:$AB$1535,9,FALSE),VLOOKUP($B538,Data!$B$3:$AB$1535,4,FALSE)),"")</f>
        <v>0.431670282</v>
      </c>
      <c r="D538" s="48">
        <f>IFERROR(DIVIDE(VLOOKUP($B538,Data!$B$3:$AB$1535,24,FALSE),VLOOKUP($B538,Data!$B$3:$AB$1535,4,FALSE)),"")</f>
        <v>0.1756616052</v>
      </c>
      <c r="E538" s="48">
        <f>IFERROR(DIVIDE(VLOOKUP($B538,Data!$B$3:$EZ1530,29,FALSE),VLOOKUP($B538,Data!$B$3:$EZ1530,4,FALSE)),"")</f>
        <v>0.1420824295</v>
      </c>
      <c r="F538" s="48">
        <f>IFERROR(DIVIDE(VLOOKUP($B538,Data!$B$3:$EZ1530,34,FALSE),VLOOKUP($B538,Data!$B$3:$EZ1530,4,FALSE)),"")</f>
        <v>0.2646420824</v>
      </c>
      <c r="G538" s="48">
        <f>IFERROR(DIVIDE(VLOOKUP($B538,Data!$B$3:$EZ1530,39,FALSE),VLOOKUP($B538,Data!$B$3:$EZ1530,4,FALSE)),"")</f>
        <v>0.1169631236</v>
      </c>
      <c r="H538" s="48">
        <f>IFERROR(DIVIDE(VLOOKUP($B538,Data!$B$3:$EZ1530,44,FALSE),VLOOKUP($B538,Data!$B$3:$EZ1530,4,FALSE)),"")</f>
        <v>0.1059652928</v>
      </c>
      <c r="I538" s="48">
        <f>IFERROR(MINUS(DIVIDE(VLOOKUP($B538,Data!$B$3:$EZ1530,9,FALSE),VLOOKUP($B538,Data!$B$3:$EZ1530,10,FALSE)),1),"")</f>
        <v>0.03645833333</v>
      </c>
      <c r="J538" s="48">
        <f>IFERROR(MINUS(DIVIDE(VLOOKUP($B538,Data!$B$3:$EZ1530,24,FALSE),VLOOKUP($B538,Data!$B$3:$EZ1530,25,FALSE)),1),"")</f>
        <v>-3.753485209</v>
      </c>
      <c r="K538" s="48">
        <f>IFERROR(MINUS(DIVIDE(VLOOKUP($B538,Data!$B$3:$EZ1530,29,FALSE),VLOOKUP($B538,Data!$B$3:$EZ1530,30,FALSE)),1),"")</f>
        <v>0.07659434583</v>
      </c>
      <c r="L538" s="48">
        <f>IFERROR(MINUS(DIVIDE(VLOOKUP($B538,Data!$B$3:$EZ1530,34,FALSE),VLOOKUP($B538,Data!$B$3:$EZ1530,35,FALSE)),1),"")</f>
        <v>0.119266055</v>
      </c>
      <c r="M538" s="48">
        <f>IFERROR(MINUS(DIVIDE(VLOOKUP($B538,Data!$B$3:$EZ1530,39,FALSE),VLOOKUP($B538,Data!$B$3:$EZ1530,40,FALSE)),1),"")</f>
        <v>0.02548497528</v>
      </c>
      <c r="N538" s="48">
        <f>IFERROR(MINUS(DIVIDE(VLOOKUP($B538,Data!$B$3:$EZ1530,44,FALSE),VLOOKUP($B538,Data!$B$3:$EZ1530,45,FALSE)),1),"")</f>
        <v>0.337257049</v>
      </c>
      <c r="O538" s="50">
        <f>IFERROR(VLOOKUP($B538,Data!$B$3:$D1530,2,FALSE),"")</f>
        <v>5020000</v>
      </c>
      <c r="P538" s="50">
        <f>IFERROR(VLOOKUP($B538,Data!$B$3:$D1530,3,FALSE),"")</f>
        <v>4740000</v>
      </c>
      <c r="Q538" s="48">
        <f t="shared" si="2"/>
        <v>0.05907172996</v>
      </c>
      <c r="R538" s="48"/>
      <c r="S538" s="48"/>
      <c r="T538" s="48"/>
      <c r="U538" s="48"/>
      <c r="V538" s="48"/>
      <c r="W538" s="50"/>
      <c r="Z538" s="11"/>
      <c r="AA538" s="11"/>
    </row>
    <row r="539">
      <c r="A539" s="9">
        <f t="shared" si="1"/>
        <v>536</v>
      </c>
      <c r="B539" s="47" t="s">
        <v>673</v>
      </c>
      <c r="C539" s="48">
        <f>IFERROR(DIVIDE(VLOOKUP($B539,Data!$B$3:$AB$1535,9,FALSE),VLOOKUP($B539,Data!$B$3:$AB$1535,4,FALSE)),"")</f>
        <v>0.3083524027</v>
      </c>
      <c r="D539" s="48">
        <f>IFERROR(DIVIDE(VLOOKUP($B539,Data!$B$3:$AB$1535,24,FALSE),VLOOKUP($B539,Data!$B$3:$AB$1535,4,FALSE)),"")</f>
        <v>0.1212814645</v>
      </c>
      <c r="E539" s="48">
        <f>IFERROR(DIVIDE(VLOOKUP($B539,Data!$B$3:$EZ1530,29,FALSE),VLOOKUP($B539,Data!$B$3:$EZ1530,4,FALSE)),"")</f>
        <v>0.1012585812</v>
      </c>
      <c r="F539" s="48">
        <f>IFERROR(DIVIDE(VLOOKUP($B539,Data!$B$3:$EZ1530,34,FALSE),VLOOKUP($B539,Data!$B$3:$EZ1530,4,FALSE)),"")</f>
        <v>0.2110983982</v>
      </c>
      <c r="G539" s="48">
        <f>IFERROR(DIVIDE(VLOOKUP($B539,Data!$B$3:$EZ1530,39,FALSE),VLOOKUP($B539,Data!$B$3:$EZ1530,4,FALSE)),"")</f>
        <v>0.06864988558</v>
      </c>
      <c r="H539" s="48">
        <f>IFERROR(DIVIDE(VLOOKUP($B539,Data!$B$3:$EZ1530,44,FALSE),VLOOKUP($B539,Data!$B$3:$EZ1530,4,FALSE)),"")</f>
        <v>0.1470251716</v>
      </c>
      <c r="I539" s="48">
        <f>IFERROR(MINUS(DIVIDE(VLOOKUP($B539,Data!$B$3:$EZ1530,9,FALSE),VLOOKUP($B539,Data!$B$3:$EZ1530,10,FALSE)),1),"")</f>
        <v>0.04457364341</v>
      </c>
      <c r="J539" s="48">
        <f>IFERROR(MINUS(DIVIDE(VLOOKUP($B539,Data!$B$3:$EZ1530,24,FALSE),VLOOKUP($B539,Data!$B$3:$EZ1530,25,FALSE)),1),"")</f>
        <v>-0.01851851852</v>
      </c>
      <c r="K539" s="48">
        <f>IFERROR(MINUS(DIVIDE(VLOOKUP($B539,Data!$B$3:$EZ1530,29,FALSE),VLOOKUP($B539,Data!$B$3:$EZ1530,30,FALSE)),1),"")</f>
        <v>-0.3345864662</v>
      </c>
      <c r="L539" s="48">
        <f>IFERROR(MINUS(DIVIDE(VLOOKUP($B539,Data!$B$3:$EZ1530,34,FALSE),VLOOKUP($B539,Data!$B$3:$EZ1530,35,FALSE)),1),"")</f>
        <v>0.2058823529</v>
      </c>
      <c r="M539" s="48">
        <f>IFERROR(MINUS(DIVIDE(VLOOKUP($B539,Data!$B$3:$EZ1530,39,FALSE),VLOOKUP($B539,Data!$B$3:$EZ1530,40,FALSE)),1),"")</f>
        <v>-0.3939393939</v>
      </c>
      <c r="N539" s="48">
        <f>IFERROR(MINUS(DIVIDE(VLOOKUP($B539,Data!$B$3:$EZ1530,44,FALSE),VLOOKUP($B539,Data!$B$3:$EZ1530,45,FALSE)),1),"")</f>
        <v>0.2475728155</v>
      </c>
      <c r="O539" s="50">
        <f>IFERROR(VLOOKUP($B539,Data!$B$3:$D1530,2,FALSE),"")</f>
        <v>22640000</v>
      </c>
      <c r="P539" s="50">
        <f>IFERROR(VLOOKUP($B539,Data!$B$3:$D1530,3,FALSE),"")</f>
        <v>21450000</v>
      </c>
      <c r="Q539" s="48">
        <f t="shared" si="2"/>
        <v>0.05547785548</v>
      </c>
      <c r="R539" s="48"/>
      <c r="S539" s="48"/>
      <c r="T539" s="48"/>
      <c r="U539" s="48"/>
      <c r="V539" s="48"/>
      <c r="W539" s="50"/>
      <c r="Z539" s="15"/>
      <c r="AA539" s="15"/>
    </row>
    <row r="540">
      <c r="A540" s="9">
        <f t="shared" si="1"/>
        <v>537</v>
      </c>
      <c r="B540" s="47" t="s">
        <v>674</v>
      </c>
      <c r="C540" s="48">
        <f>IFERROR(DIVIDE(VLOOKUP($B540,Data!$B$3:$AB$1535,9,FALSE),VLOOKUP($B540,Data!$B$3:$AB$1535,4,FALSE)),"")</f>
        <v>0</v>
      </c>
      <c r="D540" s="48">
        <f>IFERROR(DIVIDE(VLOOKUP($B540,Data!$B$3:$AB$1535,24,FALSE),VLOOKUP($B540,Data!$B$3:$AB$1535,4,FALSE)),"")</f>
        <v>-0.6120723946</v>
      </c>
      <c r="E540" s="48">
        <f>IFERROR(DIVIDE(VLOOKUP($B540,Data!$B$3:$EZ1530,29,FALSE),VLOOKUP($B540,Data!$B$3:$EZ1530,4,FALSE)),"")</f>
        <v>-0.5741845664</v>
      </c>
      <c r="F540" s="48">
        <f>IFERROR(DIVIDE(VLOOKUP($B540,Data!$B$3:$EZ1530,34,FALSE),VLOOKUP($B540,Data!$B$3:$EZ1530,4,FALSE)),"")</f>
        <v>-0.5329156722</v>
      </c>
      <c r="G540" s="48">
        <f>IFERROR(DIVIDE(VLOOKUP($B540,Data!$B$3:$EZ1530,39,FALSE),VLOOKUP($B540,Data!$B$3:$EZ1530,4,FALSE)),"")</f>
        <v>-0.3459626094</v>
      </c>
      <c r="H540" s="48">
        <f>IFERROR(DIVIDE(VLOOKUP($B540,Data!$B$3:$EZ1530,44,FALSE),VLOOKUP($B540,Data!$B$3:$EZ1530,4,FALSE)),"")</f>
        <v>-0.3429793158</v>
      </c>
      <c r="I540" s="48" t="str">
        <f>IFERROR(MINUS(DIVIDE(VLOOKUP($B540,Data!$B$3:$EZ1530,9,FALSE),VLOOKUP($B540,Data!$B$3:$EZ1530,10,FALSE)),1),"")</f>
        <v/>
      </c>
      <c r="J540" s="48" t="str">
        <f>IFERROR(MINUS(DIVIDE(VLOOKUP($B540,Data!$B$3:$EZ1530,24,FALSE),VLOOKUP($B540,Data!$B$3:$EZ1530,25,FALSE)),1),"")</f>
        <v/>
      </c>
      <c r="K540" s="48">
        <f>IFERROR(MINUS(DIVIDE(VLOOKUP($B540,Data!$B$3:$EZ1530,29,FALSE),VLOOKUP($B540,Data!$B$3:$EZ1530,30,FALSE)),1),"")</f>
        <v>239.5833333</v>
      </c>
      <c r="L540" s="48">
        <f>IFERROR(MINUS(DIVIDE(VLOOKUP($B540,Data!$B$3:$EZ1530,34,FALSE),VLOOKUP($B540,Data!$B$3:$EZ1530,35,FALSE)),1),"")</f>
        <v>59.82860386</v>
      </c>
      <c r="M540" s="48">
        <f>IFERROR(MINUS(DIVIDE(VLOOKUP($B540,Data!$B$3:$EZ1530,39,FALSE),VLOOKUP($B540,Data!$B$3:$EZ1530,40,FALSE)),1),"")</f>
        <v>-7.944111776</v>
      </c>
      <c r="N540" s="48">
        <f>IFERROR(MINUS(DIVIDE(VLOOKUP($B540,Data!$B$3:$EZ1530,44,FALSE),VLOOKUP($B540,Data!$B$3:$EZ1530,45,FALSE)),1),"")</f>
        <v>-0.7403448016</v>
      </c>
      <c r="O540" s="50">
        <f>IFERROR(VLOOKUP($B540,Data!$B$3:$D1530,2,FALSE),"")</f>
        <v>1670</v>
      </c>
      <c r="P540" s="50">
        <f>IFERROR(VLOOKUP($B540,Data!$B$3:$D1530,3,FALSE),"")</f>
        <v>1000</v>
      </c>
      <c r="Q540" s="48">
        <f t="shared" si="2"/>
        <v>0.67</v>
      </c>
      <c r="R540" s="48"/>
      <c r="S540" s="48"/>
      <c r="T540" s="48"/>
      <c r="U540" s="48"/>
      <c r="V540" s="48"/>
      <c r="W540" s="50"/>
      <c r="Z540" s="15"/>
      <c r="AA540" s="15"/>
    </row>
    <row r="541">
      <c r="A541" s="9">
        <f t="shared" si="1"/>
        <v>538</v>
      </c>
      <c r="B541" s="47" t="s">
        <v>675</v>
      </c>
      <c r="C541" s="48">
        <f>IFERROR(DIVIDE(VLOOKUP($B541,Data!$B$3:$AB$1535,9,FALSE),VLOOKUP($B541,Data!$B$3:$AB$1535,4,FALSE)),"")</f>
        <v>0.3749481952</v>
      </c>
      <c r="D541" s="48">
        <f>IFERROR(DIVIDE(VLOOKUP($B541,Data!$B$3:$AB$1535,24,FALSE),VLOOKUP($B541,Data!$B$3:$AB$1535,4,FALSE)),"")</f>
        <v>0.08874898857</v>
      </c>
      <c r="E541" s="48">
        <f>IFERROR(DIVIDE(VLOOKUP($B541,Data!$B$3:$EZ1530,29,FALSE),VLOOKUP($B541,Data!$B$3:$EZ1530,4,FALSE)),"")</f>
        <v>0.06374454816</v>
      </c>
      <c r="F541" s="48">
        <f>IFERROR(DIVIDE(VLOOKUP($B541,Data!$B$3:$EZ1530,34,FALSE),VLOOKUP($B541,Data!$B$3:$EZ1530,4,FALSE)),"")</f>
        <v>0.1466321959</v>
      </c>
      <c r="G541" s="48">
        <f>IFERROR(DIVIDE(VLOOKUP($B541,Data!$B$3:$EZ1530,39,FALSE),VLOOKUP($B541,Data!$B$3:$EZ1530,4,FALSE)),"")</f>
        <v>0.04085176926</v>
      </c>
      <c r="H541" s="48">
        <f>IFERROR(DIVIDE(VLOOKUP($B541,Data!$B$3:$EZ1530,44,FALSE),VLOOKUP($B541,Data!$B$3:$EZ1530,4,FALSE)),"")</f>
        <v>0.1211935821</v>
      </c>
      <c r="I541" s="48">
        <f>IFERROR(MINUS(DIVIDE(VLOOKUP($B541,Data!$B$3:$EZ1530,9,FALSE),VLOOKUP($B541,Data!$B$3:$EZ1530,10,FALSE)),1),"")</f>
        <v>0.09403431994</v>
      </c>
      <c r="J541" s="48">
        <f>IFERROR(MINUS(DIVIDE(VLOOKUP($B541,Data!$B$3:$EZ1530,24,FALSE),VLOOKUP($B541,Data!$B$3:$EZ1530,25,FALSE)),1),"")</f>
        <v>0.08439836026</v>
      </c>
      <c r="K541" s="48">
        <f>IFERROR(MINUS(DIVIDE(VLOOKUP($B541,Data!$B$3:$EZ1530,29,FALSE),VLOOKUP($B541,Data!$B$3:$EZ1530,30,FALSE)),1),"")</f>
        <v>-0.0395480226</v>
      </c>
      <c r="L541" s="48">
        <f>IFERROR(MINUS(DIVIDE(VLOOKUP($B541,Data!$B$3:$EZ1530,34,FALSE),VLOOKUP($B541,Data!$B$3:$EZ1530,35,FALSE)),1),"")</f>
        <v>0.2327857972</v>
      </c>
      <c r="M541" s="48">
        <f>IFERROR(MINUS(DIVIDE(VLOOKUP($B541,Data!$B$3:$EZ1530,39,FALSE),VLOOKUP($B541,Data!$B$3:$EZ1530,40,FALSE)),1),"")</f>
        <v>-0.08244680851</v>
      </c>
      <c r="N541" s="48">
        <f>IFERROR(MINUS(DIVIDE(VLOOKUP($B541,Data!$B$3:$EZ1530,44,FALSE),VLOOKUP($B541,Data!$B$3:$EZ1530,45,FALSE)),1),"")</f>
        <v>0.2858040201</v>
      </c>
      <c r="O541" s="50">
        <f>IFERROR(VLOOKUP($B541,Data!$B$3:$D1530,2,FALSE),"")</f>
        <v>24910000</v>
      </c>
      <c r="P541" s="50">
        <f>IFERROR(VLOOKUP($B541,Data!$B$3:$D1530,3,FALSE),"")</f>
        <v>23010000</v>
      </c>
      <c r="Q541" s="48">
        <f t="shared" si="2"/>
        <v>0.08257279444</v>
      </c>
      <c r="R541" s="48"/>
      <c r="S541" s="48"/>
      <c r="T541" s="48"/>
      <c r="U541" s="48"/>
      <c r="V541" s="48"/>
      <c r="W541" s="50"/>
      <c r="Z541" s="11"/>
      <c r="AA541" s="11"/>
    </row>
    <row r="542">
      <c r="A542" s="9">
        <f t="shared" si="1"/>
        <v>539</v>
      </c>
      <c r="B542" s="47" t="s">
        <v>676</v>
      </c>
      <c r="C542" s="48">
        <f>IFERROR(DIVIDE(VLOOKUP($B542,Data!$B$3:$AB$1535,9,FALSE),VLOOKUP($B542,Data!$B$3:$AB$1535,4,FALSE)),"")</f>
        <v>0.3853658537</v>
      </c>
      <c r="D542" s="48">
        <f>IFERROR(DIVIDE(VLOOKUP($B542,Data!$B$3:$AB$1535,24,FALSE),VLOOKUP($B542,Data!$B$3:$AB$1535,4,FALSE)),"")</f>
        <v>0.08964878049</v>
      </c>
      <c r="E542" s="48">
        <f>IFERROR(DIVIDE(VLOOKUP($B542,Data!$B$3:$EZ1530,29,FALSE),VLOOKUP($B542,Data!$B$3:$EZ1530,4,FALSE)),"")</f>
        <v>0.07335609756</v>
      </c>
      <c r="F542" s="48">
        <f>IFERROR(DIVIDE(VLOOKUP($B542,Data!$B$3:$EZ1530,34,FALSE),VLOOKUP($B542,Data!$B$3:$EZ1530,4,FALSE)),"")</f>
        <v>0.1286829268</v>
      </c>
      <c r="G542" s="48">
        <f>IFERROR(DIVIDE(VLOOKUP($B542,Data!$B$3:$EZ1530,39,FALSE),VLOOKUP($B542,Data!$B$3:$EZ1530,4,FALSE)),"")</f>
        <v>0.07347804878</v>
      </c>
      <c r="H542" s="48">
        <f>IFERROR(DIVIDE(VLOOKUP($B542,Data!$B$3:$EZ1530,44,FALSE),VLOOKUP($B542,Data!$B$3:$EZ1530,4,FALSE)),"")</f>
        <v>0.09983414634</v>
      </c>
      <c r="I542" s="48">
        <f>IFERROR(MINUS(DIVIDE(VLOOKUP($B542,Data!$B$3:$EZ1530,9,FALSE),VLOOKUP($B542,Data!$B$3:$EZ1530,10,FALSE)),1),"")</f>
        <v>0.2148612905</v>
      </c>
      <c r="J542" s="48" t="str">
        <f>IFERROR(MINUS(DIVIDE(VLOOKUP($B542,Data!$B$3:$EZ1530,24,FALSE),VLOOKUP($B542,Data!$B$3:$EZ1530,25,FALSE)),1),"")</f>
        <v/>
      </c>
      <c r="K542" s="48">
        <f>IFERROR(MINUS(DIVIDE(VLOOKUP($B542,Data!$B$3:$EZ1530,29,FALSE),VLOOKUP($B542,Data!$B$3:$EZ1530,30,FALSE)),1),"")</f>
        <v>0.2287955548</v>
      </c>
      <c r="L542" s="48">
        <f>IFERROR(MINUS(DIVIDE(VLOOKUP($B542,Data!$B$3:$EZ1530,34,FALSE),VLOOKUP($B542,Data!$B$3:$EZ1530,35,FALSE)),1),"")</f>
        <v>0.2595492743</v>
      </c>
      <c r="M542" s="48">
        <f>IFERROR(MINUS(DIVIDE(VLOOKUP($B542,Data!$B$3:$EZ1530,39,FALSE),VLOOKUP($B542,Data!$B$3:$EZ1530,40,FALSE)),1),"")</f>
        <v>0.2964110509</v>
      </c>
      <c r="N542" s="48">
        <f>IFERROR(MINUS(DIVIDE(VLOOKUP($B542,Data!$B$3:$EZ1530,44,FALSE),VLOOKUP($B542,Data!$B$3:$EZ1530,45,FALSE)),1),"")</f>
        <v>0.1025751535</v>
      </c>
      <c r="O542" s="50">
        <f>IFERROR(VLOOKUP($B542,Data!$B$3:$D1530,2,FALSE),"")</f>
        <v>2550000</v>
      </c>
      <c r="P542" s="50">
        <f>IFERROR(VLOOKUP($B542,Data!$B$3:$D1530,3,FALSE),"")</f>
        <v>2090000</v>
      </c>
      <c r="Q542" s="48">
        <f t="shared" si="2"/>
        <v>0.2200956938</v>
      </c>
      <c r="R542" s="48"/>
      <c r="S542" s="48"/>
      <c r="T542" s="48"/>
      <c r="U542" s="48"/>
      <c r="V542" s="48"/>
      <c r="W542" s="50"/>
      <c r="Z542" s="11"/>
      <c r="AA542" s="11"/>
    </row>
    <row r="543">
      <c r="A543" s="9">
        <f t="shared" si="1"/>
        <v>540</v>
      </c>
      <c r="B543" s="47" t="s">
        <v>677</v>
      </c>
      <c r="C543" s="48">
        <f>IFERROR(DIVIDE(VLOOKUP($B543,Data!$B$3:$AB$1535,9,FALSE),VLOOKUP($B543,Data!$B$3:$AB$1535,4,FALSE)),"")</f>
        <v>0.3023694537</v>
      </c>
      <c r="D543" s="48">
        <f>IFERROR(DIVIDE(VLOOKUP($B543,Data!$B$3:$AB$1535,24,FALSE),VLOOKUP($B543,Data!$B$3:$AB$1535,4,FALSE)),"")</f>
        <v>0</v>
      </c>
      <c r="E543" s="48">
        <f>IFERROR(DIVIDE(VLOOKUP($B543,Data!$B$3:$EZ1530,29,FALSE),VLOOKUP($B543,Data!$B$3:$EZ1530,4,FALSE)),"")</f>
        <v>0.04062279907</v>
      </c>
      <c r="F543" s="48">
        <f>IFERROR(DIVIDE(VLOOKUP($B543,Data!$B$3:$EZ1530,34,FALSE),VLOOKUP($B543,Data!$B$3:$EZ1530,4,FALSE)),"")</f>
        <v>0.1116057954</v>
      </c>
      <c r="G543" s="48">
        <f>IFERROR(DIVIDE(VLOOKUP($B543,Data!$B$3:$EZ1530,39,FALSE),VLOOKUP($B543,Data!$B$3:$EZ1530,4,FALSE)),"")</f>
        <v>0.01475249019</v>
      </c>
      <c r="H543" s="48">
        <f>IFERROR(DIVIDE(VLOOKUP($B543,Data!$B$3:$EZ1530,44,FALSE),VLOOKUP($B543,Data!$B$3:$EZ1530,4,FALSE)),"")</f>
        <v>0.1136306469</v>
      </c>
      <c r="I543" s="48">
        <f>IFERROR(MINUS(DIVIDE(VLOOKUP($B543,Data!$B$3:$EZ1530,9,FALSE),VLOOKUP($B543,Data!$B$3:$EZ1530,10,FALSE)),1),"")</f>
        <v>0.1119744693</v>
      </c>
      <c r="J543" s="48">
        <f>IFERROR(MINUS(DIVIDE(VLOOKUP($B543,Data!$B$3:$EZ1530,24,FALSE),VLOOKUP($B543,Data!$B$3:$EZ1530,25,FALSE)),1),"")</f>
        <v>-1</v>
      </c>
      <c r="K543" s="48">
        <f>IFERROR(MINUS(DIVIDE(VLOOKUP($B543,Data!$B$3:$EZ1530,29,FALSE),VLOOKUP($B543,Data!$B$3:$EZ1530,30,FALSE)),1),"")</f>
        <v>0.05936372581</v>
      </c>
      <c r="L543" s="48">
        <f>IFERROR(MINUS(DIVIDE(VLOOKUP($B543,Data!$B$3:$EZ1530,34,FALSE),VLOOKUP($B543,Data!$B$3:$EZ1530,35,FALSE)),1),"")</f>
        <v>-0.1126887311</v>
      </c>
      <c r="M543" s="48">
        <f>IFERROR(MINUS(DIVIDE(VLOOKUP($B543,Data!$B$3:$EZ1530,39,FALSE),VLOOKUP($B543,Data!$B$3:$EZ1530,40,FALSE)),1),"")</f>
        <v>0.572386059</v>
      </c>
      <c r="N543" s="48">
        <f>IFERROR(MINUS(DIVIDE(VLOOKUP($B543,Data!$B$3:$EZ1530,44,FALSE),VLOOKUP($B543,Data!$B$3:$EZ1530,45,FALSE)),1),"")</f>
        <v>0.8073614723</v>
      </c>
      <c r="O543" s="50">
        <f>IFERROR(VLOOKUP($B543,Data!$B$3:$D1530,2,FALSE),"")</f>
        <v>724230</v>
      </c>
      <c r="P543" s="50">
        <f>IFERROR(VLOOKUP($B543,Data!$B$3:$D1530,3,FALSE),"")</f>
        <v>606090</v>
      </c>
      <c r="Q543" s="48">
        <f t="shared" si="2"/>
        <v>0.1949215463</v>
      </c>
      <c r="R543" s="48"/>
      <c r="S543" s="48"/>
      <c r="T543" s="48"/>
      <c r="U543" s="48"/>
      <c r="V543" s="48"/>
      <c r="W543" s="50"/>
      <c r="Z543" s="15"/>
      <c r="AA543" s="15"/>
    </row>
    <row r="544">
      <c r="A544" s="9">
        <f t="shared" si="1"/>
        <v>541</v>
      </c>
      <c r="B544" s="47" t="s">
        <v>678</v>
      </c>
      <c r="C544" s="48">
        <f>IFERROR(DIVIDE(VLOOKUP($B544,Data!$B$3:$AB$1535,9,FALSE),VLOOKUP($B544,Data!$B$3:$AB$1535,4,FALSE)),"")</f>
        <v>0.5166607143</v>
      </c>
      <c r="D544" s="48">
        <f>IFERROR(DIVIDE(VLOOKUP($B544,Data!$B$3:$AB$1535,24,FALSE),VLOOKUP($B544,Data!$B$3:$AB$1535,4,FALSE)),"")</f>
        <v>0.4849107143</v>
      </c>
      <c r="E544" s="48">
        <f>IFERROR(DIVIDE(VLOOKUP($B544,Data!$B$3:$EZ1530,29,FALSE),VLOOKUP($B544,Data!$B$3:$EZ1530,4,FALSE)),"")</f>
        <v>0.4808839286</v>
      </c>
      <c r="F544" s="48">
        <f>IFERROR(DIVIDE(VLOOKUP($B544,Data!$B$3:$EZ1530,34,FALSE),VLOOKUP($B544,Data!$B$3:$EZ1530,4,FALSE)),"")</f>
        <v>0.7943571429</v>
      </c>
      <c r="G544" s="48">
        <f>IFERROR(DIVIDE(VLOOKUP($B544,Data!$B$3:$EZ1530,39,FALSE),VLOOKUP($B544,Data!$B$3:$EZ1530,4,FALSE)),"")</f>
        <v>0.4076696429</v>
      </c>
      <c r="H544" s="48">
        <f>IFERROR(DIVIDE(VLOOKUP($B544,Data!$B$3:$EZ1530,44,FALSE),VLOOKUP($B544,Data!$B$3:$EZ1530,4,FALSE)),"")</f>
        <v>0.7318035714</v>
      </c>
      <c r="I544" s="48">
        <f>IFERROR(MINUS(DIVIDE(VLOOKUP($B544,Data!$B$3:$EZ1530,9,FALSE),VLOOKUP($B544,Data!$B$3:$EZ1530,10,FALSE)),1),"")</f>
        <v>0.5539502659</v>
      </c>
      <c r="J544" s="48">
        <f>IFERROR(MINUS(DIVIDE(VLOOKUP($B544,Data!$B$3:$EZ1530,24,FALSE),VLOOKUP($B544,Data!$B$3:$EZ1530,25,FALSE)),1),"")</f>
        <v>1.220541336</v>
      </c>
      <c r="K544" s="48">
        <f>IFERROR(MINUS(DIVIDE(VLOOKUP($B544,Data!$B$3:$EZ1530,29,FALSE),VLOOKUP($B544,Data!$B$3:$EZ1530,30,FALSE)),1),"")</f>
        <v>1.197429621</v>
      </c>
      <c r="L544" s="48">
        <f>IFERROR(MINUS(DIVIDE(VLOOKUP($B544,Data!$B$3:$EZ1530,34,FALSE),VLOOKUP($B544,Data!$B$3:$EZ1530,35,FALSE)),1),"")</f>
        <v>0.3395769028</v>
      </c>
      <c r="M544" s="48">
        <f>IFERROR(MINUS(DIVIDE(VLOOKUP($B544,Data!$B$3:$EZ1530,39,FALSE),VLOOKUP($B544,Data!$B$3:$EZ1530,40,FALSE)),1),"")</f>
        <v>1.534358348</v>
      </c>
      <c r="N544" s="48">
        <f>IFERROR(MINUS(DIVIDE(VLOOKUP($B544,Data!$B$3:$EZ1530,44,FALSE),VLOOKUP($B544,Data!$B$3:$EZ1530,45,FALSE)),1),"")</f>
        <v>0.3318275621</v>
      </c>
      <c r="O544" s="50">
        <f>IFERROR(VLOOKUP($B544,Data!$B$3:$D1530,2,FALSE),"")</f>
        <v>707170</v>
      </c>
      <c r="P544" s="50">
        <f>IFERROR(VLOOKUP($B544,Data!$B$3:$D1530,3,FALSE),"")</f>
        <v>681670</v>
      </c>
      <c r="Q544" s="48">
        <f t="shared" si="2"/>
        <v>0.03740813003</v>
      </c>
      <c r="R544" s="48"/>
      <c r="S544" s="48"/>
      <c r="T544" s="48"/>
      <c r="U544" s="48"/>
      <c r="V544" s="48"/>
      <c r="W544" s="50"/>
      <c r="Z544" s="11"/>
      <c r="AA544" s="11"/>
    </row>
    <row r="545">
      <c r="A545" s="9">
        <f t="shared" si="1"/>
        <v>542</v>
      </c>
      <c r="B545" s="47" t="s">
        <v>679</v>
      </c>
      <c r="C545" s="48">
        <f>IFERROR(DIVIDE(VLOOKUP($B545,Data!$B$3:$AB$1535,9,FALSE),VLOOKUP($B545,Data!$B$3:$AB$1535,4,FALSE)),"")</f>
        <v>0.2964607843</v>
      </c>
      <c r="D545" s="48">
        <f>IFERROR(DIVIDE(VLOOKUP($B545,Data!$B$3:$AB$1535,24,FALSE),VLOOKUP($B545,Data!$B$3:$AB$1535,4,FALSE)),"")</f>
        <v>0.08396078431</v>
      </c>
      <c r="E545" s="48">
        <f>IFERROR(DIVIDE(VLOOKUP($B545,Data!$B$3:$EZ1530,29,FALSE),VLOOKUP($B545,Data!$B$3:$EZ1530,4,FALSE)),"")</f>
        <v>0.04265686275</v>
      </c>
      <c r="F545" s="48">
        <f>IFERROR(DIVIDE(VLOOKUP($B545,Data!$B$3:$EZ1530,34,FALSE),VLOOKUP($B545,Data!$B$3:$EZ1530,4,FALSE)),"")</f>
        <v>0.1349313725</v>
      </c>
      <c r="G545" s="48">
        <f>IFERROR(DIVIDE(VLOOKUP($B545,Data!$B$3:$EZ1530,39,FALSE),VLOOKUP($B545,Data!$B$3:$EZ1530,4,FALSE)),"")</f>
        <v>0.0336372549</v>
      </c>
      <c r="H545" s="48">
        <f>IFERROR(DIVIDE(VLOOKUP($B545,Data!$B$3:$EZ1530,44,FALSE),VLOOKUP($B545,Data!$B$3:$EZ1530,4,FALSE)),"")</f>
        <v>0.0173627451</v>
      </c>
      <c r="I545" s="48">
        <f>IFERROR(MINUS(DIVIDE(VLOOKUP($B545,Data!$B$3:$EZ1530,9,FALSE),VLOOKUP($B545,Data!$B$3:$EZ1530,10,FALSE)),1),"")</f>
        <v>-0.0932561696</v>
      </c>
      <c r="J545" s="48">
        <f>IFERROR(MINUS(DIVIDE(VLOOKUP($B545,Data!$B$3:$EZ1530,24,FALSE),VLOOKUP($B545,Data!$B$3:$EZ1530,25,FALSE)),1),"")</f>
        <v>-9.266409266</v>
      </c>
      <c r="K545" s="48">
        <f>IFERROR(MINUS(DIVIDE(VLOOKUP($B545,Data!$B$3:$EZ1530,29,FALSE),VLOOKUP($B545,Data!$B$3:$EZ1530,30,FALSE)),1),"")</f>
        <v>-0.3876143561</v>
      </c>
      <c r="L545" s="48">
        <f>IFERROR(MINUS(DIVIDE(VLOOKUP($B545,Data!$B$3:$EZ1530,34,FALSE),VLOOKUP($B545,Data!$B$3:$EZ1530,35,FALSE)),1),"")</f>
        <v>-0.1413687691</v>
      </c>
      <c r="M545" s="48">
        <f>IFERROR(MINUS(DIVIDE(VLOOKUP($B545,Data!$B$3:$EZ1530,39,FALSE),VLOOKUP($B545,Data!$B$3:$EZ1530,40,FALSE)),1),"")</f>
        <v>-0.3880863207</v>
      </c>
      <c r="N545" s="48">
        <f>IFERROR(MINUS(DIVIDE(VLOOKUP($B545,Data!$B$3:$EZ1530,44,FALSE),VLOOKUP($B545,Data!$B$3:$EZ1530,45,FALSE)),1),"")</f>
        <v>-0.9031128618</v>
      </c>
      <c r="O545" s="50">
        <f>IFERROR(VLOOKUP($B545,Data!$B$3:$D1530,2,FALSE),"")</f>
        <v>993480</v>
      </c>
      <c r="P545" s="50">
        <f>IFERROR(VLOOKUP($B545,Data!$B$3:$D1530,3,FALSE),"")</f>
        <v>937170</v>
      </c>
      <c r="Q545" s="48">
        <f t="shared" si="2"/>
        <v>0.06008514997</v>
      </c>
      <c r="R545" s="48"/>
      <c r="S545" s="48"/>
      <c r="T545" s="48"/>
      <c r="U545" s="48"/>
      <c r="V545" s="48"/>
      <c r="W545" s="50"/>
      <c r="Z545" s="15"/>
      <c r="AA545" s="15"/>
    </row>
    <row r="546">
      <c r="A546" s="9">
        <f t="shared" si="1"/>
        <v>543</v>
      </c>
      <c r="B546" s="47" t="s">
        <v>680</v>
      </c>
      <c r="C546" s="48">
        <f>IFERROR(DIVIDE(VLOOKUP($B546,Data!$B$3:$AB$1535,9,FALSE),VLOOKUP($B546,Data!$B$3:$AB$1535,4,FALSE)),"")</f>
        <v>0.8532704126</v>
      </c>
      <c r="D546" s="48">
        <f>IFERROR(DIVIDE(VLOOKUP($B546,Data!$B$3:$AB$1535,24,FALSE),VLOOKUP($B546,Data!$B$3:$AB$1535,4,FALSE)),"")</f>
        <v>-1.891242318</v>
      </c>
      <c r="E546" s="48">
        <f>IFERROR(DIVIDE(VLOOKUP($B546,Data!$B$3:$EZ1530,29,FALSE),VLOOKUP($B546,Data!$B$3:$EZ1530,4,FALSE)),"")</f>
        <v>-1.9529741</v>
      </c>
      <c r="F546" s="48">
        <f>IFERROR(DIVIDE(VLOOKUP($B546,Data!$B$3:$EZ1530,34,FALSE),VLOOKUP($B546,Data!$B$3:$EZ1530,4,FALSE)),"")</f>
        <v>-1.624067164</v>
      </c>
      <c r="G546" s="48">
        <f>IFERROR(DIVIDE(VLOOKUP($B546,Data!$B$3:$EZ1530,39,FALSE),VLOOKUP($B546,Data!$B$3:$EZ1530,4,FALSE)),"")</f>
        <v>-1.955607989</v>
      </c>
      <c r="H546" s="48">
        <f>IFERROR(DIVIDE(VLOOKUP($B546,Data!$B$3:$EZ1530,44,FALSE),VLOOKUP($B546,Data!$B$3:$EZ1530,4,FALSE)),"")</f>
        <v>-1.374122037</v>
      </c>
      <c r="I546" s="48">
        <f>IFERROR(MINUS(DIVIDE(VLOOKUP($B546,Data!$B$3:$EZ1530,9,FALSE),VLOOKUP($B546,Data!$B$3:$EZ1530,10,FALSE)),1),"")</f>
        <v>1.140988572</v>
      </c>
      <c r="J546" s="48">
        <f>IFERROR(MINUS(DIVIDE(VLOOKUP($B546,Data!$B$3:$EZ1530,24,FALSE),VLOOKUP($B546,Data!$B$3:$EZ1530,25,FALSE)),1),"")</f>
        <v>0.03963561776</v>
      </c>
      <c r="K546" s="48">
        <f>IFERROR(MINUS(DIVIDE(VLOOKUP($B546,Data!$B$3:$EZ1530,29,FALSE),VLOOKUP($B546,Data!$B$3:$EZ1530,30,FALSE)),1),"")</f>
        <v>0.01953650921</v>
      </c>
      <c r="L546" s="48">
        <f>IFERROR(MINUS(DIVIDE(VLOOKUP($B546,Data!$B$3:$EZ1530,34,FALSE),VLOOKUP($B546,Data!$B$3:$EZ1530,35,FALSE)),1),"")</f>
        <v>-0.07872128494</v>
      </c>
      <c r="M546" s="48">
        <f>IFERROR(MINUS(DIVIDE(VLOOKUP($B546,Data!$B$3:$EZ1530,39,FALSE),VLOOKUP($B546,Data!$B$3:$EZ1530,40,FALSE)),1),"")</f>
        <v>0.0211747851</v>
      </c>
      <c r="N546" s="48">
        <f>IFERROR(MINUS(DIVIDE(VLOOKUP($B546,Data!$B$3:$EZ1530,44,FALSE),VLOOKUP($B546,Data!$B$3:$EZ1530,45,FALSE)),1),"")</f>
        <v>-0.165155354</v>
      </c>
      <c r="O546" s="50">
        <f>IFERROR(VLOOKUP($B546,Data!$B$3:$D1530,2,FALSE),"")</f>
        <v>351150</v>
      </c>
      <c r="P546" s="50">
        <f>IFERROR(VLOOKUP($B546,Data!$B$3:$D1530,3,FALSE),"")</f>
        <v>256740</v>
      </c>
      <c r="Q546" s="48">
        <f t="shared" si="2"/>
        <v>0.3677261042</v>
      </c>
      <c r="R546" s="48"/>
      <c r="S546" s="48"/>
      <c r="T546" s="48"/>
      <c r="U546" s="48"/>
      <c r="V546" s="48"/>
      <c r="W546" s="50"/>
      <c r="Z546" s="15"/>
      <c r="AA546" s="15"/>
    </row>
    <row r="547">
      <c r="A547" s="9">
        <f t="shared" si="1"/>
        <v>544</v>
      </c>
      <c r="B547" s="47" t="s">
        <v>681</v>
      </c>
      <c r="C547" s="48">
        <f>IFERROR(DIVIDE(VLOOKUP($B547,Data!$B$3:$AB$1535,9,FALSE),VLOOKUP($B547,Data!$B$3:$AB$1535,4,FALSE)),"")</f>
        <v>0.495584356</v>
      </c>
      <c r="D547" s="48">
        <f>IFERROR(DIVIDE(VLOOKUP($B547,Data!$B$3:$AB$1535,24,FALSE),VLOOKUP($B547,Data!$B$3:$AB$1535,4,FALSE)),"")</f>
        <v>0</v>
      </c>
      <c r="E547" s="48">
        <f>IFERROR(DIVIDE(VLOOKUP($B547,Data!$B$3:$EZ1530,29,FALSE),VLOOKUP($B547,Data!$B$3:$EZ1530,4,FALSE)),"")</f>
        <v>0.2582865007</v>
      </c>
      <c r="F547" s="48">
        <f>IFERROR(DIVIDE(VLOOKUP($B547,Data!$B$3:$EZ1530,34,FALSE),VLOOKUP($B547,Data!$B$3:$EZ1530,4,FALSE)),"")</f>
        <v>0.2978552586</v>
      </c>
      <c r="G547" s="48">
        <f>IFERROR(DIVIDE(VLOOKUP($B547,Data!$B$3:$EZ1530,39,FALSE),VLOOKUP($B547,Data!$B$3:$EZ1530,4,FALSE)),"")</f>
        <v>0.1757082234</v>
      </c>
      <c r="H547" s="48">
        <f>IFERROR(DIVIDE(VLOOKUP($B547,Data!$B$3:$EZ1530,44,FALSE),VLOOKUP($B547,Data!$B$3:$EZ1530,4,FALSE)),"")</f>
        <v>0.2230760408</v>
      </c>
      <c r="I547" s="48">
        <f>IFERROR(MINUS(DIVIDE(VLOOKUP($B547,Data!$B$3:$EZ1530,9,FALSE),VLOOKUP($B547,Data!$B$3:$EZ1530,10,FALSE)),1),"")</f>
        <v>0.09198888046</v>
      </c>
      <c r="J547" s="48" t="str">
        <f>IFERROR(MINUS(DIVIDE(VLOOKUP($B547,Data!$B$3:$EZ1530,24,FALSE),VLOOKUP($B547,Data!$B$3:$EZ1530,25,FALSE)),1),"")</f>
        <v/>
      </c>
      <c r="K547" s="48">
        <f>IFERROR(MINUS(DIVIDE(VLOOKUP($B547,Data!$B$3:$EZ1530,29,FALSE),VLOOKUP($B547,Data!$B$3:$EZ1530,30,FALSE)),1),"")</f>
        <v>0.1385237614</v>
      </c>
      <c r="L547" s="48">
        <f>IFERROR(MINUS(DIVIDE(VLOOKUP($B547,Data!$B$3:$EZ1530,34,FALSE),VLOOKUP($B547,Data!$B$3:$EZ1530,35,FALSE)),1),"")</f>
        <v>0.1013570823</v>
      </c>
      <c r="M547" s="48">
        <f>IFERROR(MINUS(DIVIDE(VLOOKUP($B547,Data!$B$3:$EZ1530,39,FALSE),VLOOKUP($B547,Data!$B$3:$EZ1530,40,FALSE)),1),"")</f>
        <v>-0.2783796514</v>
      </c>
      <c r="N547" s="48">
        <f>IFERROR(MINUS(DIVIDE(VLOOKUP($B547,Data!$B$3:$EZ1530,44,FALSE),VLOOKUP($B547,Data!$B$3:$EZ1530,45,FALSE)),1),"")</f>
        <v>0.037886873</v>
      </c>
      <c r="O547" s="50" t="str">
        <f>IFERROR(VLOOKUP($B547,Data!$B$3:$D1530,2,FALSE),"")</f>
        <v/>
      </c>
      <c r="P547" s="50" t="str">
        <f>IFERROR(VLOOKUP($B547,Data!$B$3:$D1530,3,FALSE),"")</f>
        <v/>
      </c>
      <c r="Q547" s="48" t="str">
        <f t="shared" si="2"/>
        <v/>
      </c>
      <c r="R547" s="48"/>
      <c r="S547" s="48"/>
      <c r="T547" s="48"/>
      <c r="U547" s="48"/>
      <c r="V547" s="48"/>
      <c r="W547" s="50"/>
      <c r="Z547" s="15"/>
      <c r="AA547" s="15"/>
    </row>
    <row r="548">
      <c r="A548" s="9">
        <f t="shared" si="1"/>
        <v>545</v>
      </c>
      <c r="B548" s="47" t="s">
        <v>682</v>
      </c>
      <c r="C548" s="48">
        <f>IFERROR(DIVIDE(VLOOKUP($B548,Data!$B$3:$AB$1535,9,FALSE),VLOOKUP($B548,Data!$B$3:$AB$1535,4,FALSE)),"")</f>
        <v>0.3890509958</v>
      </c>
      <c r="D548" s="48">
        <f>IFERROR(DIVIDE(VLOOKUP($B548,Data!$B$3:$AB$1535,24,FALSE),VLOOKUP($B548,Data!$B$3:$AB$1535,4,FALSE)),"")</f>
        <v>0.08336443525</v>
      </c>
      <c r="E548" s="48">
        <f>IFERROR(DIVIDE(VLOOKUP($B548,Data!$B$3:$EZ1530,29,FALSE),VLOOKUP($B548,Data!$B$3:$EZ1530,4,FALSE)),"")</f>
        <v>0.08662165372</v>
      </c>
      <c r="F548" s="48">
        <f>IFERROR(DIVIDE(VLOOKUP($B548,Data!$B$3:$EZ1530,34,FALSE),VLOOKUP($B548,Data!$B$3:$EZ1530,4,FALSE)),"")</f>
        <v>0.1688324908</v>
      </c>
      <c r="G548" s="48">
        <f>IFERROR(DIVIDE(VLOOKUP($B548,Data!$B$3:$EZ1530,39,FALSE),VLOOKUP($B548,Data!$B$3:$EZ1530,4,FALSE)),"")</f>
        <v>0.06675601398</v>
      </c>
      <c r="H548" s="48">
        <f>IFERROR(DIVIDE(VLOOKUP($B548,Data!$B$3:$EZ1530,44,FALSE),VLOOKUP($B548,Data!$B$3:$EZ1530,4,FALSE)),"")</f>
        <v>0.2138397856</v>
      </c>
      <c r="I548" s="48">
        <f>IFERROR(MINUS(DIVIDE(VLOOKUP($B548,Data!$B$3:$EZ1530,9,FALSE),VLOOKUP($B548,Data!$B$3:$EZ1530,10,FALSE)),1),"")</f>
        <v>0.1381141439</v>
      </c>
      <c r="J548" s="48">
        <f>IFERROR(MINUS(DIVIDE(VLOOKUP($B548,Data!$B$3:$EZ1530,24,FALSE),VLOOKUP($B548,Data!$B$3:$EZ1530,25,FALSE)),1),"")</f>
        <v>0.3608418721</v>
      </c>
      <c r="K548" s="48">
        <f>IFERROR(MINUS(DIVIDE(VLOOKUP($B548,Data!$B$3:$EZ1530,29,FALSE),VLOOKUP($B548,Data!$B$3:$EZ1530,30,FALSE)),1),"")</f>
        <v>0.5048629531</v>
      </c>
      <c r="L548" s="48">
        <f>IFERROR(MINUS(DIVIDE(VLOOKUP($B548,Data!$B$3:$EZ1530,34,FALSE),VLOOKUP($B548,Data!$B$3:$EZ1530,35,FALSE)),1),"")</f>
        <v>0.2446223112</v>
      </c>
      <c r="M548" s="48">
        <f>IFERROR(MINUS(DIVIDE(VLOOKUP($B548,Data!$B$3:$EZ1530,39,FALSE),VLOOKUP($B548,Data!$B$3:$EZ1530,40,FALSE)),1),"")</f>
        <v>-0.6217800846</v>
      </c>
      <c r="N548" s="48">
        <f>IFERROR(MINUS(DIVIDE(VLOOKUP($B548,Data!$B$3:$EZ1530,44,FALSE),VLOOKUP($B548,Data!$B$3:$EZ1530,45,FALSE)),1),"")</f>
        <v>0.8347889374</v>
      </c>
      <c r="O548" s="50">
        <f>IFERROR(VLOOKUP($B548,Data!$B$3:$D1530,2,FALSE),"")</f>
        <v>649010</v>
      </c>
      <c r="P548" s="50">
        <f>IFERROR(VLOOKUP($B548,Data!$B$3:$D1530,3,FALSE),"")</f>
        <v>606600</v>
      </c>
      <c r="Q548" s="48">
        <f t="shared" si="2"/>
        <v>0.06991427629</v>
      </c>
      <c r="R548" s="48"/>
      <c r="S548" s="48"/>
      <c r="T548" s="48"/>
      <c r="U548" s="48"/>
      <c r="V548" s="48"/>
      <c r="W548" s="50"/>
      <c r="Z548" s="11"/>
      <c r="AA548" s="11"/>
    </row>
    <row r="549">
      <c r="A549" s="9">
        <f t="shared" si="1"/>
        <v>546</v>
      </c>
      <c r="B549" s="47" t="s">
        <v>683</v>
      </c>
      <c r="C549" s="48">
        <f>IFERROR(DIVIDE(VLOOKUP($B549,Data!$B$3:$AB$1535,9,FALSE),VLOOKUP($B549,Data!$B$3:$AB$1535,4,FALSE)),"")</f>
        <v>0.490990991</v>
      </c>
      <c r="D549" s="48">
        <f>IFERROR(DIVIDE(VLOOKUP($B549,Data!$B$3:$AB$1535,24,FALSE),VLOOKUP($B549,Data!$B$3:$AB$1535,4,FALSE)),"")</f>
        <v>-0.0184009009</v>
      </c>
      <c r="E549" s="48">
        <f>IFERROR(DIVIDE(VLOOKUP($B549,Data!$B$3:$EZ1530,29,FALSE),VLOOKUP($B549,Data!$B$3:$EZ1530,4,FALSE)),"")</f>
        <v>-0.01411261261</v>
      </c>
      <c r="F549" s="48">
        <f>IFERROR(DIVIDE(VLOOKUP($B549,Data!$B$3:$EZ1530,34,FALSE),VLOOKUP($B549,Data!$B$3:$EZ1530,4,FALSE)),"")</f>
        <v>0.03212612613</v>
      </c>
      <c r="G549" s="48">
        <f>IFERROR(DIVIDE(VLOOKUP($B549,Data!$B$3:$EZ1530,39,FALSE),VLOOKUP($B549,Data!$B$3:$EZ1530,4,FALSE)),"")</f>
        <v>-0.02359009009</v>
      </c>
      <c r="H549" s="48">
        <f>IFERROR(DIVIDE(VLOOKUP($B549,Data!$B$3:$EZ1530,44,FALSE),VLOOKUP($B549,Data!$B$3:$EZ1530,4,FALSE)),"")</f>
        <v>-0.006400900901</v>
      </c>
      <c r="I549" s="48">
        <f>IFERROR(MINUS(DIVIDE(VLOOKUP($B549,Data!$B$3:$EZ1530,9,FALSE),VLOOKUP($B549,Data!$B$3:$EZ1530,10,FALSE)),1),"")</f>
        <v>-0.1865671642</v>
      </c>
      <c r="J549" s="48">
        <f>IFERROR(MINUS(DIVIDE(VLOOKUP($B549,Data!$B$3:$EZ1530,24,FALSE),VLOOKUP($B549,Data!$B$3:$EZ1530,25,FALSE)),1),"")</f>
        <v>-1.621860253</v>
      </c>
      <c r="K549" s="48">
        <f>IFERROR(MINUS(DIVIDE(VLOOKUP($B549,Data!$B$3:$EZ1530,29,FALSE),VLOOKUP($B549,Data!$B$3:$EZ1530,30,FALSE)),1),"")</f>
        <v>-2.553296976</v>
      </c>
      <c r="L549" s="48">
        <f>IFERROR(MINUS(DIVIDE(VLOOKUP($B549,Data!$B$3:$EZ1530,34,FALSE),VLOOKUP($B549,Data!$B$3:$EZ1530,35,FALSE)),1),"")</f>
        <v>-0.6145698227</v>
      </c>
      <c r="M549" s="48">
        <f>IFERROR(MINUS(DIVIDE(VLOOKUP($B549,Data!$B$3:$EZ1530,39,FALSE),VLOOKUP($B549,Data!$B$3:$EZ1530,40,FALSE)),1),"")</f>
        <v>14.04885057</v>
      </c>
      <c r="N549" s="48">
        <f>IFERROR(MINUS(DIVIDE(VLOOKUP($B549,Data!$B$3:$EZ1530,44,FALSE),VLOOKUP($B549,Data!$B$3:$EZ1530,45,FALSE)),1),"")</f>
        <v>-1.057266059</v>
      </c>
      <c r="O549" s="50">
        <f>IFERROR(VLOOKUP($B549,Data!$B$3:$D1530,2,FALSE),"")</f>
        <v>1580000</v>
      </c>
      <c r="P549" s="50">
        <f>IFERROR(VLOOKUP($B549,Data!$B$3:$D1530,3,FALSE),"")</f>
        <v>1500000</v>
      </c>
      <c r="Q549" s="48">
        <f t="shared" si="2"/>
        <v>0.05333333333</v>
      </c>
      <c r="R549" s="48"/>
      <c r="S549" s="48"/>
      <c r="T549" s="48"/>
      <c r="U549" s="48"/>
      <c r="V549" s="48"/>
      <c r="W549" s="50"/>
      <c r="Z549" s="12"/>
      <c r="AA549" s="12"/>
    </row>
    <row r="550">
      <c r="A550" s="9">
        <f t="shared" si="1"/>
        <v>547</v>
      </c>
      <c r="B550" s="47" t="s">
        <v>684</v>
      </c>
      <c r="C550" s="48">
        <f>IFERROR(DIVIDE(VLOOKUP($B550,Data!$B$3:$AB$1535,9,FALSE),VLOOKUP($B550,Data!$B$3:$AB$1535,4,FALSE)),"")</f>
        <v>0.3380158033</v>
      </c>
      <c r="D550" s="48">
        <f>IFERROR(DIVIDE(VLOOKUP($B550,Data!$B$3:$AB$1535,24,FALSE),VLOOKUP($B550,Data!$B$3:$AB$1535,4,FALSE)),"")</f>
        <v>0.2133450395</v>
      </c>
      <c r="E550" s="48">
        <f>IFERROR(DIVIDE(VLOOKUP($B550,Data!$B$3:$EZ1530,29,FALSE),VLOOKUP($B550,Data!$B$3:$EZ1530,4,FALSE)),"")</f>
        <v>0.1949078139</v>
      </c>
      <c r="F550" s="48">
        <f>IFERROR(DIVIDE(VLOOKUP($B550,Data!$B$3:$EZ1530,34,FALSE),VLOOKUP($B550,Data!$B$3:$EZ1530,4,FALSE)),"")</f>
        <v>0.2317822651</v>
      </c>
      <c r="G550" s="48">
        <f>IFERROR(DIVIDE(VLOOKUP($B550,Data!$B$3:$EZ1530,39,FALSE),VLOOKUP($B550,Data!$B$3:$EZ1530,4,FALSE)),"")</f>
        <v>0.1404741001</v>
      </c>
      <c r="H550" s="48">
        <f>IFERROR(DIVIDE(VLOOKUP($B550,Data!$B$3:$EZ1530,44,FALSE),VLOOKUP($B550,Data!$B$3:$EZ1530,4,FALSE)),"")</f>
        <v>0.2212467076</v>
      </c>
      <c r="I550" s="48">
        <f>IFERROR(MINUS(DIVIDE(VLOOKUP($B550,Data!$B$3:$EZ1530,9,FALSE),VLOOKUP($B550,Data!$B$3:$EZ1530,10,FALSE)),1),"")</f>
        <v>0.1063218391</v>
      </c>
      <c r="J550" s="48">
        <f>IFERROR(MINUS(DIVIDE(VLOOKUP($B550,Data!$B$3:$EZ1530,24,FALSE),VLOOKUP($B550,Data!$B$3:$EZ1530,25,FALSE)),1),"")</f>
        <v>0.1095890411</v>
      </c>
      <c r="K550" s="48">
        <f>IFERROR(MINUS(DIVIDE(VLOOKUP($B550,Data!$B$3:$EZ1530,29,FALSE),VLOOKUP($B550,Data!$B$3:$EZ1530,30,FALSE)),1),"")</f>
        <v>0.02304147465</v>
      </c>
      <c r="L550" s="48">
        <f>IFERROR(MINUS(DIVIDE(VLOOKUP($B550,Data!$B$3:$EZ1530,34,FALSE),VLOOKUP($B550,Data!$B$3:$EZ1530,35,FALSE)),1),"")</f>
        <v>0.08196721311</v>
      </c>
      <c r="M550" s="48">
        <f>IFERROR(MINUS(DIVIDE(VLOOKUP($B550,Data!$B$3:$EZ1530,39,FALSE),VLOOKUP($B550,Data!$B$3:$EZ1530,40,FALSE)),1),"")</f>
        <v>-0.2694063927</v>
      </c>
      <c r="N550" s="48">
        <f>IFERROR(MINUS(DIVIDE(VLOOKUP($B550,Data!$B$3:$EZ1530,44,FALSE),VLOOKUP($B550,Data!$B$3:$EZ1530,45,FALSE)),1),"")</f>
        <v>0.9090909091</v>
      </c>
      <c r="O550" s="50">
        <f>IFERROR(VLOOKUP($B550,Data!$B$3:$D1530,2,FALSE),"")</f>
        <v>34860000</v>
      </c>
      <c r="P550" s="50">
        <f>IFERROR(VLOOKUP($B550,Data!$B$3:$D1530,3,FALSE),"")</f>
        <v>31430000</v>
      </c>
      <c r="Q550" s="48">
        <f t="shared" si="2"/>
        <v>0.1091314031</v>
      </c>
      <c r="R550" s="48"/>
      <c r="S550" s="48"/>
      <c r="T550" s="48"/>
      <c r="U550" s="48"/>
      <c r="V550" s="48"/>
      <c r="W550" s="50"/>
      <c r="Z550" s="15"/>
      <c r="AA550" s="15"/>
    </row>
    <row r="551">
      <c r="A551" s="9">
        <f t="shared" si="1"/>
        <v>548</v>
      </c>
      <c r="B551" s="47" t="s">
        <v>685</v>
      </c>
      <c r="C551" s="48">
        <f>IFERROR(DIVIDE(VLOOKUP($B551,Data!$B$3:$AB$1535,9,FALSE),VLOOKUP($B551,Data!$B$3:$AB$1535,4,FALSE)),"")</f>
        <v>0</v>
      </c>
      <c r="D551" s="48">
        <f>IFERROR(DIVIDE(VLOOKUP($B551,Data!$B$3:$AB$1535,24,FALSE),VLOOKUP($B551,Data!$B$3:$AB$1535,4,FALSE)),"")</f>
        <v>-9.54539341</v>
      </c>
      <c r="E551" s="48">
        <f>IFERROR(DIVIDE(VLOOKUP($B551,Data!$B$3:$EZ1530,29,FALSE),VLOOKUP($B551,Data!$B$3:$EZ1530,4,FALSE)),"")</f>
        <v>-9.2266308</v>
      </c>
      <c r="F551" s="48">
        <f>IFERROR(DIVIDE(VLOOKUP($B551,Data!$B$3:$EZ1530,34,FALSE),VLOOKUP($B551,Data!$B$3:$EZ1530,4,FALSE)),"")</f>
        <v>-8.585070612</v>
      </c>
      <c r="G551" s="48">
        <f>IFERROR(DIVIDE(VLOOKUP($B551,Data!$B$3:$EZ1530,39,FALSE),VLOOKUP($B551,Data!$B$3:$EZ1530,4,FALSE)),"")</f>
        <v>-9.2266308</v>
      </c>
      <c r="H551" s="48">
        <f>IFERROR(DIVIDE(VLOOKUP($B551,Data!$B$3:$EZ1530,44,FALSE),VLOOKUP($B551,Data!$B$3:$EZ1530,4,FALSE)),"")</f>
        <v>-7.462004035</v>
      </c>
      <c r="I551" s="48" t="str">
        <f>IFERROR(MINUS(DIVIDE(VLOOKUP($B551,Data!$B$3:$EZ1530,9,FALSE),VLOOKUP($B551,Data!$B$3:$EZ1530,10,FALSE)),1),"")</f>
        <v/>
      </c>
      <c r="J551" s="48" t="str">
        <f>IFERROR(MINUS(DIVIDE(VLOOKUP($B551,Data!$B$3:$EZ1530,24,FALSE),VLOOKUP($B551,Data!$B$3:$EZ1530,25,FALSE)),1),"")</f>
        <v/>
      </c>
      <c r="K551" s="48">
        <f>IFERROR(MINUS(DIVIDE(VLOOKUP($B551,Data!$B$3:$EZ1530,29,FALSE),VLOOKUP($B551,Data!$B$3:$EZ1530,30,FALSE)),1),"")</f>
        <v>-0.02313990744</v>
      </c>
      <c r="L551" s="48">
        <f>IFERROR(MINUS(DIVIDE(VLOOKUP($B551,Data!$B$3:$EZ1530,34,FALSE),VLOOKUP($B551,Data!$B$3:$EZ1530,35,FALSE)),1),"")</f>
        <v>-0.09550800623</v>
      </c>
      <c r="M551" s="48">
        <f>IFERROR(MINUS(DIVIDE(VLOOKUP($B551,Data!$B$3:$EZ1530,39,FALSE),VLOOKUP($B551,Data!$B$3:$EZ1530,40,FALSE)),1),"")</f>
        <v>-0.02313990744</v>
      </c>
      <c r="N551" s="48">
        <f>IFERROR(MINUS(DIVIDE(VLOOKUP($B551,Data!$B$3:$EZ1530,44,FALSE),VLOOKUP($B551,Data!$B$3:$EZ1530,45,FALSE)),1),"")</f>
        <v>-0.09427801812</v>
      </c>
      <c r="O551" s="50">
        <f>IFERROR(VLOOKUP($B551,Data!$B$3:$D1530,2,FALSE),"")</f>
        <v>12670</v>
      </c>
      <c r="P551" s="50">
        <f>IFERROR(VLOOKUP($B551,Data!$B$3:$D1530,3,FALSE),"")</f>
        <v>21600</v>
      </c>
      <c r="Q551" s="48">
        <f t="shared" si="2"/>
        <v>-0.4134259259</v>
      </c>
      <c r="R551" s="48"/>
      <c r="S551" s="48"/>
      <c r="T551" s="48"/>
      <c r="U551" s="48"/>
      <c r="V551" s="48"/>
      <c r="W551" s="50"/>
      <c r="Z551" s="15"/>
      <c r="AA551" s="15"/>
    </row>
    <row r="552">
      <c r="A552" s="9">
        <f t="shared" si="1"/>
        <v>549</v>
      </c>
      <c r="B552" s="47" t="s">
        <v>686</v>
      </c>
      <c r="C552" s="48">
        <f>IFERROR(DIVIDE(VLOOKUP($B552,Data!$B$3:$AB$1535,9,FALSE),VLOOKUP($B552,Data!$B$3:$AB$1535,4,FALSE)),"")</f>
        <v>0.3669333072</v>
      </c>
      <c r="D552" s="48">
        <f>IFERROR(DIVIDE(VLOOKUP($B552,Data!$B$3:$AB$1535,24,FALSE),VLOOKUP($B552,Data!$B$3:$AB$1535,4,FALSE)),"")</f>
        <v>-0.05891446238</v>
      </c>
      <c r="E552" s="48">
        <f>IFERROR(DIVIDE(VLOOKUP($B552,Data!$B$3:$EZ1530,29,FALSE),VLOOKUP($B552,Data!$B$3:$EZ1530,4,FALSE)),"")</f>
        <v>-0.0610982971</v>
      </c>
      <c r="F552" s="48">
        <f>IFERROR(DIVIDE(VLOOKUP($B552,Data!$B$3:$EZ1530,34,FALSE),VLOOKUP($B552,Data!$B$3:$EZ1530,4,FALSE)),"")</f>
        <v>0.1365510134</v>
      </c>
      <c r="G552" s="48">
        <f>IFERROR(DIVIDE(VLOOKUP($B552,Data!$B$3:$EZ1530,39,FALSE),VLOOKUP($B552,Data!$B$3:$EZ1530,4,FALSE)),"")</f>
        <v>-0.06139274672</v>
      </c>
      <c r="H552" s="48">
        <f>IFERROR(DIVIDE(VLOOKUP($B552,Data!$B$3:$EZ1530,44,FALSE),VLOOKUP($B552,Data!$B$3:$EZ1530,4,FALSE)),"")</f>
        <v>0.1290916229</v>
      </c>
      <c r="I552" s="48">
        <f>IFERROR(MINUS(DIVIDE(VLOOKUP($B552,Data!$B$3:$EZ1530,9,FALSE),VLOOKUP($B552,Data!$B$3:$EZ1530,10,FALSE)),1),"")</f>
        <v>-0.08257668712</v>
      </c>
      <c r="J552" s="48">
        <f>IFERROR(MINUS(DIVIDE(VLOOKUP($B552,Data!$B$3:$EZ1530,24,FALSE),VLOOKUP($B552,Data!$B$3:$EZ1530,25,FALSE)),1),"")</f>
        <v>-0.2834974634</v>
      </c>
      <c r="K552" s="48">
        <f>IFERROR(MINUS(DIVIDE(VLOOKUP($B552,Data!$B$3:$EZ1530,29,FALSE),VLOOKUP($B552,Data!$B$3:$EZ1530,30,FALSE)),1),"")</f>
        <v>-0.2556053812</v>
      </c>
      <c r="L552" s="48">
        <f>IFERROR(MINUS(DIVIDE(VLOOKUP($B552,Data!$B$3:$EZ1530,34,FALSE),VLOOKUP($B552,Data!$B$3:$EZ1530,35,FALSE)),1),"")</f>
        <v>3.99103139</v>
      </c>
      <c r="M552" s="48">
        <f>IFERROR(MINUS(DIVIDE(VLOOKUP($B552,Data!$B$3:$EZ1530,39,FALSE),VLOOKUP($B552,Data!$B$3:$EZ1530,40,FALSE)),1),"")</f>
        <v>-0.3888617489</v>
      </c>
      <c r="N552" s="48">
        <f>IFERROR(MINUS(DIVIDE(VLOOKUP($B552,Data!$B$3:$EZ1530,44,FALSE),VLOOKUP($B552,Data!$B$3:$EZ1530,45,FALSE)),1),"")</f>
        <v>4.5204617</v>
      </c>
      <c r="O552" s="50" t="str">
        <f>IFERROR(VLOOKUP($B552,Data!$B$3:$D1530,2,FALSE),"")</f>
        <v/>
      </c>
      <c r="P552" s="50">
        <f>IFERROR(VLOOKUP($B552,Data!$B$3:$D1530,3,FALSE),"")</f>
        <v>673000</v>
      </c>
      <c r="Q552" s="48">
        <f t="shared" si="2"/>
        <v>-1</v>
      </c>
      <c r="R552" s="48"/>
      <c r="S552" s="48"/>
      <c r="T552" s="48"/>
      <c r="U552" s="48"/>
      <c r="V552" s="48"/>
      <c r="W552" s="50"/>
      <c r="Z552" s="15"/>
      <c r="AA552" s="15"/>
    </row>
    <row r="553">
      <c r="A553" s="9">
        <f t="shared" si="1"/>
        <v>550</v>
      </c>
      <c r="B553" s="47" t="s">
        <v>687</v>
      </c>
      <c r="C553" s="48">
        <f>IFERROR(DIVIDE(VLOOKUP($B553,Data!$B$3:$AB$1535,9,FALSE),VLOOKUP($B553,Data!$B$3:$AB$1535,4,FALSE)),"")</f>
        <v>0.06898209992</v>
      </c>
      <c r="D553" s="48">
        <f>IFERROR(DIVIDE(VLOOKUP($B553,Data!$B$3:$AB$1535,24,FALSE),VLOOKUP($B553,Data!$B$3:$AB$1535,4,FALSE)),"")</f>
        <v>0.0345177665</v>
      </c>
      <c r="E553" s="48">
        <f>IFERROR(DIVIDE(VLOOKUP($B553,Data!$B$3:$EZ1530,29,FALSE),VLOOKUP($B553,Data!$B$3:$EZ1530,4,FALSE)),"")</f>
        <v>0.0364413572</v>
      </c>
      <c r="F553" s="48">
        <f>IFERROR(DIVIDE(VLOOKUP($B553,Data!$B$3:$EZ1530,34,FALSE),VLOOKUP($B553,Data!$B$3:$EZ1530,4,FALSE)),"")</f>
        <v>0.05060112209</v>
      </c>
      <c r="G553" s="48">
        <f>IFERROR(DIVIDE(VLOOKUP($B553,Data!$B$3:$EZ1530,39,FALSE),VLOOKUP($B553,Data!$B$3:$EZ1530,4,FALSE)),"")</f>
        <v>0.02725086829</v>
      </c>
      <c r="H553" s="48">
        <f>IFERROR(DIVIDE(VLOOKUP($B553,Data!$B$3:$EZ1530,44,FALSE),VLOOKUP($B553,Data!$B$3:$EZ1530,4,FALSE)),"")</f>
        <v>0.0514560513</v>
      </c>
      <c r="I553" s="48">
        <f>IFERROR(MINUS(DIVIDE(VLOOKUP($B553,Data!$B$3:$EZ1530,9,FALSE),VLOOKUP($B553,Data!$B$3:$EZ1530,10,FALSE)),1),"")</f>
        <v>0.2974874372</v>
      </c>
      <c r="J553" s="48" t="str">
        <f>IFERROR(MINUS(DIVIDE(VLOOKUP($B553,Data!$B$3:$EZ1530,24,FALSE),VLOOKUP($B553,Data!$B$3:$EZ1530,25,FALSE)),1),"")</f>
        <v/>
      </c>
      <c r="K553" s="48">
        <f>IFERROR(MINUS(DIVIDE(VLOOKUP($B553,Data!$B$3:$EZ1530,29,FALSE),VLOOKUP($B553,Data!$B$3:$EZ1530,30,FALSE)),1),"")</f>
        <v>0.1840277778</v>
      </c>
      <c r="L553" s="48">
        <f>IFERROR(MINUS(DIVIDE(VLOOKUP($B553,Data!$B$3:$EZ1530,34,FALSE),VLOOKUP($B553,Data!$B$3:$EZ1530,35,FALSE)),1),"")</f>
        <v>0.3300561798</v>
      </c>
      <c r="M553" s="48">
        <f>IFERROR(MINUS(DIVIDE(VLOOKUP($B553,Data!$B$3:$EZ1530,39,FALSE),VLOOKUP($B553,Data!$B$3:$EZ1530,40,FALSE)),1),"")</f>
        <v>0.2977099237</v>
      </c>
      <c r="N553" s="48">
        <f>IFERROR(MINUS(DIVIDE(VLOOKUP($B553,Data!$B$3:$EZ1530,44,FALSE),VLOOKUP($B553,Data!$B$3:$EZ1530,45,FALSE)),1),"")</f>
        <v>1.963076923</v>
      </c>
      <c r="O553" s="50" t="str">
        <f>IFERROR(VLOOKUP($B553,Data!$B$3:$D1530,2,FALSE),"")</f>
        <v/>
      </c>
      <c r="P553" s="50" t="str">
        <f>IFERROR(VLOOKUP($B553,Data!$B$3:$D1530,3,FALSE),"")</f>
        <v/>
      </c>
      <c r="Q553" s="48" t="str">
        <f t="shared" si="2"/>
        <v/>
      </c>
      <c r="R553" s="48"/>
      <c r="S553" s="48"/>
      <c r="T553" s="48"/>
      <c r="U553" s="48"/>
      <c r="V553" s="48"/>
      <c r="W553" s="50"/>
      <c r="Z553" s="11"/>
      <c r="AA553" s="11"/>
    </row>
    <row r="554">
      <c r="A554" s="9">
        <f t="shared" si="1"/>
        <v>551</v>
      </c>
      <c r="B554" s="47" t="s">
        <v>688</v>
      </c>
      <c r="C554" s="48">
        <f>IFERROR(DIVIDE(VLOOKUP($B554,Data!$B$3:$AB$1535,9,FALSE),VLOOKUP($B554,Data!$B$3:$AB$1535,4,FALSE)),"")</f>
        <v>0.4189982729</v>
      </c>
      <c r="D554" s="48">
        <f>IFERROR(DIVIDE(VLOOKUP($B554,Data!$B$3:$AB$1535,24,FALSE),VLOOKUP($B554,Data!$B$3:$AB$1535,4,FALSE)),"")</f>
        <v>0</v>
      </c>
      <c r="E554" s="48">
        <f>IFERROR(DIVIDE(VLOOKUP($B554,Data!$B$3:$EZ1530,29,FALSE),VLOOKUP($B554,Data!$B$3:$EZ1530,4,FALSE)),"")</f>
        <v>-0.6476683938</v>
      </c>
      <c r="F554" s="48">
        <f>IFERROR(DIVIDE(VLOOKUP($B554,Data!$B$3:$EZ1530,34,FALSE),VLOOKUP($B554,Data!$B$3:$EZ1530,4,FALSE)),"")</f>
        <v>-0.6860103627</v>
      </c>
      <c r="G554" s="48">
        <f>IFERROR(DIVIDE(VLOOKUP($B554,Data!$B$3:$EZ1530,39,FALSE),VLOOKUP($B554,Data!$B$3:$EZ1530,4,FALSE)),"")</f>
        <v>-0.6476683938</v>
      </c>
      <c r="H554" s="48">
        <f>IFERROR(DIVIDE(VLOOKUP($B554,Data!$B$3:$EZ1530,44,FALSE),VLOOKUP($B554,Data!$B$3:$EZ1530,4,FALSE)),"")</f>
        <v>1.182037997</v>
      </c>
      <c r="I554" s="48">
        <f>IFERROR(MINUS(DIVIDE(VLOOKUP($B554,Data!$B$3:$EZ1530,9,FALSE),VLOOKUP($B554,Data!$B$3:$EZ1530,10,FALSE)),1),"")</f>
        <v>-19.54740061</v>
      </c>
      <c r="J554" s="48">
        <f>IFERROR(MINUS(DIVIDE(VLOOKUP($B554,Data!$B$3:$EZ1530,24,FALSE),VLOOKUP($B554,Data!$B$3:$EZ1530,25,FALSE)),1),"")</f>
        <v>-1</v>
      </c>
      <c r="K554" s="48">
        <f>IFERROR(MINUS(DIVIDE(VLOOKUP($B554,Data!$B$3:$EZ1530,29,FALSE),VLOOKUP($B554,Data!$B$3:$EZ1530,30,FALSE)),1),"")</f>
        <v>-0.02190923318</v>
      </c>
      <c r="L554" s="48">
        <f>IFERROR(MINUS(DIVIDE(VLOOKUP($B554,Data!$B$3:$EZ1530,34,FALSE),VLOOKUP($B554,Data!$B$3:$EZ1530,35,FALSE)),1),"")</f>
        <v>0.08583925642</v>
      </c>
      <c r="M554" s="48">
        <f>IFERROR(MINUS(DIVIDE(VLOOKUP($B554,Data!$B$3:$EZ1530,39,FALSE),VLOOKUP($B554,Data!$B$3:$EZ1530,40,FALSE)),1),"")</f>
        <v>-0.02190923318</v>
      </c>
      <c r="N554" s="48">
        <f>IFERROR(MINUS(DIVIDE(VLOOKUP($B554,Data!$B$3:$EZ1530,44,FALSE),VLOOKUP($B554,Data!$B$3:$EZ1530,45,FALSE)),1),"")</f>
        <v>-3.010575793</v>
      </c>
      <c r="O554" s="50">
        <f>IFERROR(VLOOKUP($B554,Data!$B$3:$D1530,2,FALSE),"")</f>
        <v>63120</v>
      </c>
      <c r="P554" s="50">
        <f>IFERROR(VLOOKUP($B554,Data!$B$3:$D1530,3,FALSE),"")</f>
        <v>27600</v>
      </c>
      <c r="Q554" s="48">
        <f t="shared" si="2"/>
        <v>1.286956522</v>
      </c>
      <c r="R554" s="48"/>
      <c r="S554" s="48"/>
      <c r="T554" s="48"/>
      <c r="U554" s="48"/>
      <c r="V554" s="48"/>
      <c r="W554" s="50"/>
      <c r="Z554" s="11"/>
      <c r="AA554" s="11"/>
    </row>
    <row r="555">
      <c r="A555" s="9">
        <f t="shared" si="1"/>
        <v>552</v>
      </c>
      <c r="B555" s="47" t="s">
        <v>689</v>
      </c>
      <c r="C555" s="48">
        <f>IFERROR(DIVIDE(VLOOKUP($B555,Data!$B$3:$AB$1535,9,FALSE),VLOOKUP($B555,Data!$B$3:$AB$1535,4,FALSE)),"")</f>
        <v>0.1443701395</v>
      </c>
      <c r="D555" s="48">
        <f>IFERROR(DIVIDE(VLOOKUP($B555,Data!$B$3:$AB$1535,24,FALSE),VLOOKUP($B555,Data!$B$3:$AB$1535,4,FALSE)),"")</f>
        <v>-0.1045934578</v>
      </c>
      <c r="E555" s="48">
        <f>IFERROR(DIVIDE(VLOOKUP($B555,Data!$B$3:$EZ1530,29,FALSE),VLOOKUP($B555,Data!$B$3:$EZ1530,4,FALSE)),"")</f>
        <v>-0.113505008</v>
      </c>
      <c r="F555" s="48">
        <f>IFERROR(DIVIDE(VLOOKUP($B555,Data!$B$3:$EZ1530,34,FALSE),VLOOKUP($B555,Data!$B$3:$EZ1530,4,FALSE)),"")</f>
        <v>0.0787817351</v>
      </c>
      <c r="G555" s="48">
        <f>IFERROR(DIVIDE(VLOOKUP($B555,Data!$B$3:$EZ1530,39,FALSE),VLOOKUP($B555,Data!$B$3:$EZ1530,4,FALSE)),"")</f>
        <v>-0.1276817865</v>
      </c>
      <c r="H555" s="48">
        <f>IFERROR(DIVIDE(VLOOKUP($B555,Data!$B$3:$EZ1530,44,FALSE),VLOOKUP($B555,Data!$B$3:$EZ1530,4,FALSE)),"")</f>
        <v>0.1283021152</v>
      </c>
      <c r="I555" s="48">
        <f>IFERROR(MINUS(DIVIDE(VLOOKUP($B555,Data!$B$3:$EZ1530,9,FALSE),VLOOKUP($B555,Data!$B$3:$EZ1530,10,FALSE)),1),"")</f>
        <v>-0.108640822</v>
      </c>
      <c r="J555" s="48">
        <f>IFERROR(MINUS(DIVIDE(VLOOKUP($B555,Data!$B$3:$EZ1530,24,FALSE),VLOOKUP($B555,Data!$B$3:$EZ1530,25,FALSE)),1),"")</f>
        <v>-7.851337958</v>
      </c>
      <c r="K555" s="48">
        <f>IFERROR(MINUS(DIVIDE(VLOOKUP($B555,Data!$B$3:$EZ1530,29,FALSE),VLOOKUP($B555,Data!$B$3:$EZ1530,30,FALSE)),1),"")</f>
        <v>-15.94422311</v>
      </c>
      <c r="L555" s="48">
        <f>IFERROR(MINUS(DIVIDE(VLOOKUP($B555,Data!$B$3:$EZ1530,34,FALSE),VLOOKUP($B555,Data!$B$3:$EZ1530,35,FALSE)),1),"")</f>
        <v>-0.2221392292</v>
      </c>
      <c r="M555" s="48">
        <f>IFERROR(MINUS(DIVIDE(VLOOKUP($B555,Data!$B$3:$EZ1530,39,FALSE),VLOOKUP($B555,Data!$B$3:$EZ1530,40,FALSE)),1),"")</f>
        <v>-11.95974026</v>
      </c>
      <c r="N555" s="48">
        <f>IFERROR(MINUS(DIVIDE(VLOOKUP($B555,Data!$B$3:$EZ1530,44,FALSE),VLOOKUP($B555,Data!$B$3:$EZ1530,45,FALSE)),1),"")</f>
        <v>0.5762081784</v>
      </c>
      <c r="O555" s="50">
        <f>IFERROR(VLOOKUP($B555,Data!$B$3:$D1530,2,FALSE),"")</f>
        <v>613820</v>
      </c>
      <c r="P555" s="50">
        <f>IFERROR(VLOOKUP($B555,Data!$B$3:$D1530,3,FALSE),"")</f>
        <v>559720</v>
      </c>
      <c r="Q555" s="48">
        <f t="shared" si="2"/>
        <v>0.09665547059</v>
      </c>
      <c r="R555" s="48"/>
      <c r="S555" s="48"/>
      <c r="T555" s="48"/>
      <c r="U555" s="48"/>
      <c r="V555" s="48"/>
      <c r="W555" s="50"/>
      <c r="Z555" s="12"/>
      <c r="AA555" s="12"/>
    </row>
    <row r="556">
      <c r="A556" s="9">
        <f t="shared" si="1"/>
        <v>553</v>
      </c>
      <c r="B556" s="47" t="s">
        <v>690</v>
      </c>
      <c r="C556" s="48">
        <f>IFERROR(DIVIDE(VLOOKUP($B556,Data!$B$3:$AB$1535,9,FALSE),VLOOKUP($B556,Data!$B$3:$AB$1535,4,FALSE)),"")</f>
        <v>0.2142068966</v>
      </c>
      <c r="D556" s="48">
        <f>IFERROR(DIVIDE(VLOOKUP($B556,Data!$B$3:$AB$1535,24,FALSE),VLOOKUP($B556,Data!$B$3:$AB$1535,4,FALSE)),"")</f>
        <v>-0.3862471264</v>
      </c>
      <c r="E556" s="48">
        <f>IFERROR(DIVIDE(VLOOKUP($B556,Data!$B$3:$EZ1530,29,FALSE),VLOOKUP($B556,Data!$B$3:$EZ1530,4,FALSE)),"")</f>
        <v>0.1646954023</v>
      </c>
      <c r="F556" s="48">
        <f>IFERROR(DIVIDE(VLOOKUP($B556,Data!$B$3:$EZ1530,34,FALSE),VLOOKUP($B556,Data!$B$3:$EZ1530,4,FALSE)),"")</f>
        <v>0.3276781609</v>
      </c>
      <c r="G556" s="48">
        <f>IFERROR(DIVIDE(VLOOKUP($B556,Data!$B$3:$EZ1530,39,FALSE),VLOOKUP($B556,Data!$B$3:$EZ1530,4,FALSE)),"")</f>
        <v>0.3062528736</v>
      </c>
      <c r="H556" s="48">
        <f>IFERROR(DIVIDE(VLOOKUP($B556,Data!$B$3:$EZ1530,44,FALSE),VLOOKUP($B556,Data!$B$3:$EZ1530,4,FALSE)),"")</f>
        <v>0.2349770115</v>
      </c>
      <c r="I556" s="48">
        <f>IFERROR(MINUS(DIVIDE(VLOOKUP($B556,Data!$B$3:$EZ1530,9,FALSE),VLOOKUP($B556,Data!$B$3:$EZ1530,10,FALSE)),1),"")</f>
        <v>5.183145322</v>
      </c>
      <c r="J556" s="48">
        <f>IFERROR(MINUS(DIVIDE(VLOOKUP($B556,Data!$B$3:$EZ1530,24,FALSE),VLOOKUP($B556,Data!$B$3:$EZ1530,25,FALSE)),1),"")</f>
        <v>-9.477169526</v>
      </c>
      <c r="K556" s="48">
        <f>IFERROR(MINUS(DIVIDE(VLOOKUP($B556,Data!$B$3:$EZ1530,29,FALSE),VLOOKUP($B556,Data!$B$3:$EZ1530,30,FALSE)),1),"")</f>
        <v>-0.1973953228</v>
      </c>
      <c r="L556" s="48">
        <f>IFERROR(MINUS(DIVIDE(VLOOKUP($B556,Data!$B$3:$EZ1530,34,FALSE),VLOOKUP($B556,Data!$B$3:$EZ1530,35,FALSE)),1),"")</f>
        <v>1.88323641</v>
      </c>
      <c r="M556" s="48">
        <f>IFERROR(MINUS(DIVIDE(VLOOKUP($B556,Data!$B$3:$EZ1530,39,FALSE),VLOOKUP($B556,Data!$B$3:$EZ1530,40,FALSE)),1),"")</f>
        <v>0.3038414485</v>
      </c>
      <c r="N556" s="48">
        <f>IFERROR(MINUS(DIVIDE(VLOOKUP($B556,Data!$B$3:$EZ1530,44,FALSE),VLOOKUP($B556,Data!$B$3:$EZ1530,45,FALSE)),1),"")</f>
        <v>2.041886764</v>
      </c>
      <c r="O556" s="50">
        <f>IFERROR(VLOOKUP($B556,Data!$B$3:$D1530,2,FALSE),"")</f>
        <v>708020</v>
      </c>
      <c r="P556" s="50">
        <f>IFERROR(VLOOKUP($B556,Data!$B$3:$D1530,3,FALSE),"")</f>
        <v>1120000</v>
      </c>
      <c r="Q556" s="48">
        <f t="shared" si="2"/>
        <v>-0.3678392857</v>
      </c>
      <c r="R556" s="48"/>
      <c r="S556" s="48"/>
      <c r="T556" s="48"/>
      <c r="U556" s="48"/>
      <c r="V556" s="48"/>
      <c r="W556" s="50"/>
      <c r="Z556" s="11"/>
      <c r="AA556" s="11"/>
    </row>
    <row r="557">
      <c r="A557" s="9">
        <f t="shared" si="1"/>
        <v>554</v>
      </c>
      <c r="B557" s="47" t="s">
        <v>691</v>
      </c>
      <c r="C557" s="48">
        <f>IFERROR(DIVIDE(VLOOKUP($B557,Data!$B$3:$AB$1535,9,FALSE),VLOOKUP($B557,Data!$B$3:$AB$1535,4,FALSE)),"")</f>
        <v>0.4256487432</v>
      </c>
      <c r="D557" s="48">
        <f>IFERROR(DIVIDE(VLOOKUP($B557,Data!$B$3:$AB$1535,24,FALSE),VLOOKUP($B557,Data!$B$3:$AB$1535,4,FALSE)),"")</f>
        <v>0</v>
      </c>
      <c r="E557" s="48">
        <f>IFERROR(DIVIDE(VLOOKUP($B557,Data!$B$3:$EZ1530,29,FALSE),VLOOKUP($B557,Data!$B$3:$EZ1530,4,FALSE)),"")</f>
        <v>-0.005043520703</v>
      </c>
      <c r="F557" s="48">
        <f>IFERROR(DIVIDE(VLOOKUP($B557,Data!$B$3:$EZ1530,34,FALSE),VLOOKUP($B557,Data!$B$3:$EZ1530,4,FALSE)),"")</f>
        <v>0.0637354592</v>
      </c>
      <c r="G557" s="48">
        <f>IFERROR(DIVIDE(VLOOKUP($B557,Data!$B$3:$EZ1530,39,FALSE),VLOOKUP($B557,Data!$B$3:$EZ1530,4,FALSE)),"")</f>
        <v>-0.00561295046</v>
      </c>
      <c r="H557" s="48">
        <f>IFERROR(DIVIDE(VLOOKUP($B557,Data!$B$3:$EZ1530,44,FALSE),VLOOKUP($B557,Data!$B$3:$EZ1530,4,FALSE)),"")</f>
        <v>0.06637924022</v>
      </c>
      <c r="I557" s="48">
        <f>IFERROR(MINUS(DIVIDE(VLOOKUP($B557,Data!$B$3:$EZ1530,9,FALSE),VLOOKUP($B557,Data!$B$3:$EZ1530,10,FALSE)),1),"")</f>
        <v>0.2760638946</v>
      </c>
      <c r="J557" s="48" t="str">
        <f>IFERROR(MINUS(DIVIDE(VLOOKUP($B557,Data!$B$3:$EZ1530,24,FALSE),VLOOKUP($B557,Data!$B$3:$EZ1530,25,FALSE)),1),"")</f>
        <v/>
      </c>
      <c r="K557" s="48">
        <f>IFERROR(MINUS(DIVIDE(VLOOKUP($B557,Data!$B$3:$EZ1530,29,FALSE),VLOOKUP($B557,Data!$B$3:$EZ1530,30,FALSE)),1),"")</f>
        <v>-0.7651515152</v>
      </c>
      <c r="L557" s="48">
        <f>IFERROR(MINUS(DIVIDE(VLOOKUP($B557,Data!$B$3:$EZ1530,34,FALSE),VLOOKUP($B557,Data!$B$3:$EZ1530,35,FALSE)),1),"")</f>
        <v>0.7069716776</v>
      </c>
      <c r="M557" s="48">
        <f>IFERROR(MINUS(DIVIDE(VLOOKUP($B557,Data!$B$3:$EZ1530,39,FALSE),VLOOKUP($B557,Data!$B$3:$EZ1530,40,FALSE)),1),"")</f>
        <v>-0.7425373134</v>
      </c>
      <c r="N557" s="48">
        <f>IFERROR(MINUS(DIVIDE(VLOOKUP($B557,Data!$B$3:$EZ1530,44,FALSE),VLOOKUP($B557,Data!$B$3:$EZ1530,45,FALSE)),1),"")</f>
        <v>-0.1216361679</v>
      </c>
      <c r="O557" s="50">
        <f>IFERROR(VLOOKUP($B557,Data!$B$3:$D1530,2,FALSE),"")</f>
        <v>405770</v>
      </c>
      <c r="P557" s="50">
        <f>IFERROR(VLOOKUP($B557,Data!$B$3:$D1530,3,FALSE),"")</f>
        <v>321830</v>
      </c>
      <c r="Q557" s="48">
        <f t="shared" si="2"/>
        <v>0.2608209303</v>
      </c>
      <c r="R557" s="48"/>
      <c r="S557" s="48"/>
      <c r="T557" s="48"/>
      <c r="U557" s="48"/>
      <c r="V557" s="48"/>
      <c r="W557" s="50"/>
      <c r="Z557" s="15"/>
      <c r="AA557" s="15"/>
    </row>
    <row r="558">
      <c r="A558" s="9">
        <f t="shared" si="1"/>
        <v>555</v>
      </c>
      <c r="B558" s="47" t="s">
        <v>692</v>
      </c>
      <c r="C558" s="48">
        <f>IFERROR(DIVIDE(VLOOKUP($B558,Data!$B$3:$AB$1535,9,FALSE),VLOOKUP($B558,Data!$B$3:$AB$1535,4,FALSE)),"")</f>
        <v>0.2004373178</v>
      </c>
      <c r="D558" s="48">
        <f>IFERROR(DIVIDE(VLOOKUP($B558,Data!$B$3:$AB$1535,24,FALSE),VLOOKUP($B558,Data!$B$3:$AB$1535,4,FALSE)),"")</f>
        <v>0</v>
      </c>
      <c r="E558" s="48">
        <f>IFERROR(DIVIDE(VLOOKUP($B558,Data!$B$3:$EZ1530,29,FALSE),VLOOKUP($B558,Data!$B$3:$EZ1530,4,FALSE)),"")</f>
        <v>0.08418367347</v>
      </c>
      <c r="F558" s="48">
        <f>IFERROR(DIVIDE(VLOOKUP($B558,Data!$B$3:$EZ1530,34,FALSE),VLOOKUP($B558,Data!$B$3:$EZ1530,4,FALSE)),"")</f>
        <v>0.1144314869</v>
      </c>
      <c r="G558" s="48">
        <f>IFERROR(DIVIDE(VLOOKUP($B558,Data!$B$3:$EZ1530,39,FALSE),VLOOKUP($B558,Data!$B$3:$EZ1530,4,FALSE)),"")</f>
        <v>0.06960641399</v>
      </c>
      <c r="H558" s="48">
        <f>IFERROR(DIVIDE(VLOOKUP($B558,Data!$B$3:$EZ1530,44,FALSE),VLOOKUP($B558,Data!$B$3:$EZ1530,4,FALSE)),"")</f>
        <v>0.08637026239</v>
      </c>
      <c r="I558" s="48">
        <f>IFERROR(MINUS(DIVIDE(VLOOKUP($B558,Data!$B$3:$EZ1530,9,FALSE),VLOOKUP($B558,Data!$B$3:$EZ1530,10,FALSE)),1),"")</f>
        <v>0.9503546099</v>
      </c>
      <c r="J558" s="48">
        <f>IFERROR(MINUS(DIVIDE(VLOOKUP($B558,Data!$B$3:$EZ1530,24,FALSE),VLOOKUP($B558,Data!$B$3:$EZ1530,25,FALSE)),1),"")</f>
        <v>-1</v>
      </c>
      <c r="K558" s="48">
        <f>IFERROR(MINUS(DIVIDE(VLOOKUP($B558,Data!$B$3:$EZ1530,29,FALSE),VLOOKUP($B558,Data!$B$3:$EZ1530,30,FALSE)),1),"")</f>
        <v>-0.2426229508</v>
      </c>
      <c r="L558" s="48">
        <f>IFERROR(MINUS(DIVIDE(VLOOKUP($B558,Data!$B$3:$EZ1530,34,FALSE),VLOOKUP($B558,Data!$B$3:$EZ1530,35,FALSE)),1),"")</f>
        <v>1.415384615</v>
      </c>
      <c r="M558" s="48">
        <f>IFERROR(MINUS(DIVIDE(VLOOKUP($B558,Data!$B$3:$EZ1530,39,FALSE),VLOOKUP($B558,Data!$B$3:$EZ1530,40,FALSE)),1),"")</f>
        <v>-0.2329317269</v>
      </c>
      <c r="N558" s="48">
        <f>IFERROR(MINUS(DIVIDE(VLOOKUP($B558,Data!$B$3:$EZ1530,44,FALSE),VLOOKUP($B558,Data!$B$3:$EZ1530,45,FALSE)),1),"")</f>
        <v>-2.097222222</v>
      </c>
      <c r="O558" s="50">
        <f>IFERROR(VLOOKUP($B558,Data!$B$3:$D1530,2,FALSE),"")</f>
        <v>28740</v>
      </c>
      <c r="P558" s="50">
        <f>IFERROR(VLOOKUP($B558,Data!$B$3:$D1530,3,FALSE),"")</f>
        <v>26790</v>
      </c>
      <c r="Q558" s="48">
        <f t="shared" si="2"/>
        <v>0.07278835386</v>
      </c>
      <c r="R558" s="48"/>
      <c r="S558" s="48"/>
      <c r="T558" s="48"/>
      <c r="U558" s="48"/>
      <c r="V558" s="48"/>
      <c r="W558" s="50"/>
      <c r="Z558" s="11"/>
      <c r="AA558" s="11"/>
    </row>
    <row r="559">
      <c r="A559" s="9">
        <f t="shared" si="1"/>
        <v>556</v>
      </c>
      <c r="B559" s="47" t="s">
        <v>693</v>
      </c>
      <c r="C559" s="48">
        <f>IFERROR(DIVIDE(VLOOKUP($B559,Data!$B$3:$AB$1535,9,FALSE),VLOOKUP($B559,Data!$B$3:$AB$1535,4,FALSE)),"")</f>
        <v>0.1789771242</v>
      </c>
      <c r="D559" s="48">
        <f>IFERROR(DIVIDE(VLOOKUP($B559,Data!$B$3:$AB$1535,24,FALSE),VLOOKUP($B559,Data!$B$3:$AB$1535,4,FALSE)),"")</f>
        <v>-0.04022222222</v>
      </c>
      <c r="E559" s="48">
        <f>IFERROR(DIVIDE(VLOOKUP($B559,Data!$B$3:$EZ1530,29,FALSE),VLOOKUP($B559,Data!$B$3:$EZ1530,4,FALSE)),"")</f>
        <v>-0.03925816993</v>
      </c>
      <c r="F559" s="48">
        <f>IFERROR(DIVIDE(VLOOKUP($B559,Data!$B$3:$EZ1530,34,FALSE),VLOOKUP($B559,Data!$B$3:$EZ1530,4,FALSE)),"")</f>
        <v>0.1473496732</v>
      </c>
      <c r="G559" s="48">
        <f>IFERROR(DIVIDE(VLOOKUP($B559,Data!$B$3:$EZ1530,39,FALSE),VLOOKUP($B559,Data!$B$3:$EZ1530,4,FALSE)),"")</f>
        <v>-0.03755882353</v>
      </c>
      <c r="H559" s="48">
        <f>IFERROR(DIVIDE(VLOOKUP($B559,Data!$B$3:$EZ1530,44,FALSE),VLOOKUP($B559,Data!$B$3:$EZ1530,4,FALSE)),"")</f>
        <v>0.05692810458</v>
      </c>
      <c r="I559" s="48">
        <f>IFERROR(MINUS(DIVIDE(VLOOKUP($B559,Data!$B$3:$EZ1530,9,FALSE),VLOOKUP($B559,Data!$B$3:$EZ1530,10,FALSE)),1),"")</f>
        <v>0.3897079347</v>
      </c>
      <c r="J559" s="48">
        <f>IFERROR(MINUS(DIVIDE(VLOOKUP($B559,Data!$B$3:$EZ1530,24,FALSE),VLOOKUP($B559,Data!$B$3:$EZ1530,25,FALSE)),1),"")</f>
        <v>-1.903472069</v>
      </c>
      <c r="K559" s="48">
        <f>IFERROR(MINUS(DIVIDE(VLOOKUP($B559,Data!$B$3:$EZ1530,29,FALSE),VLOOKUP($B559,Data!$B$3:$EZ1530,30,FALSE)),1),"")</f>
        <v>-2.061688025</v>
      </c>
      <c r="L559" s="48">
        <f>IFERROR(MINUS(DIVIDE(VLOOKUP($B559,Data!$B$3:$EZ1530,34,FALSE),VLOOKUP($B559,Data!$B$3:$EZ1530,35,FALSE)),1),"")</f>
        <v>0.6883471879</v>
      </c>
      <c r="M559" s="48">
        <f>IFERROR(MINUS(DIVIDE(VLOOKUP($B559,Data!$B$3:$EZ1530,39,FALSE),VLOOKUP($B559,Data!$B$3:$EZ1530,40,FALSE)),1),"")</f>
        <v>-1.796300145</v>
      </c>
      <c r="N559" s="48">
        <f>IFERROR(MINUS(DIVIDE(VLOOKUP($B559,Data!$B$3:$EZ1530,44,FALSE),VLOOKUP($B559,Data!$B$3:$EZ1530,45,FALSE)),1),"")</f>
        <v>-1.533031425</v>
      </c>
      <c r="O559" s="50">
        <f>IFERROR(VLOOKUP($B559,Data!$B$3:$D1530,2,FALSE),"")</f>
        <v>3000000</v>
      </c>
      <c r="P559" s="50">
        <f>IFERROR(VLOOKUP($B559,Data!$B$3:$D1530,3,FALSE),"")</f>
        <v>2550000</v>
      </c>
      <c r="Q559" s="48">
        <f t="shared" si="2"/>
        <v>0.1764705882</v>
      </c>
      <c r="R559" s="48"/>
      <c r="S559" s="48"/>
      <c r="T559" s="48"/>
      <c r="U559" s="48"/>
      <c r="V559" s="48"/>
      <c r="W559" s="50"/>
      <c r="Z559" s="15"/>
      <c r="AA559" s="15"/>
    </row>
    <row r="560">
      <c r="A560" s="9">
        <f t="shared" si="1"/>
        <v>557</v>
      </c>
      <c r="B560" s="47" t="s">
        <v>694</v>
      </c>
      <c r="C560" s="48">
        <f>IFERROR(DIVIDE(VLOOKUP($B560,Data!$B$3:$AB$1535,9,FALSE),VLOOKUP($B560,Data!$B$3:$AB$1535,4,FALSE)),"")</f>
        <v>0.3098277431</v>
      </c>
      <c r="D560" s="48">
        <f>IFERROR(DIVIDE(VLOOKUP($B560,Data!$B$3:$AB$1535,24,FALSE),VLOOKUP($B560,Data!$B$3:$AB$1535,4,FALSE)),"")</f>
        <v>0.1850221557</v>
      </c>
      <c r="E560" s="48">
        <f>IFERROR(DIVIDE(VLOOKUP($B560,Data!$B$3:$EZ1530,29,FALSE),VLOOKUP($B560,Data!$B$3:$EZ1530,4,FALSE)),"")</f>
        <v>0.1720808757</v>
      </c>
      <c r="F560" s="48">
        <f>IFERROR(DIVIDE(VLOOKUP($B560,Data!$B$3:$EZ1530,34,FALSE),VLOOKUP($B560,Data!$B$3:$EZ1530,4,FALSE)),"")</f>
        <v>0.3816063621</v>
      </c>
      <c r="G560" s="48">
        <f>IFERROR(DIVIDE(VLOOKUP($B560,Data!$B$3:$EZ1530,39,FALSE),VLOOKUP($B560,Data!$B$3:$EZ1530,4,FALSE)),"")</f>
        <v>0.09264313173</v>
      </c>
      <c r="H560" s="48">
        <f>IFERROR(DIVIDE(VLOOKUP($B560,Data!$B$3:$EZ1530,44,FALSE),VLOOKUP($B560,Data!$B$3:$EZ1530,4,FALSE)),"")</f>
        <v>0.24532676</v>
      </c>
      <c r="I560" s="48">
        <f>IFERROR(MINUS(DIVIDE(VLOOKUP($B560,Data!$B$3:$EZ1530,9,FALSE),VLOOKUP($B560,Data!$B$3:$EZ1530,10,FALSE)),1),"")</f>
        <v>-0.1907718249</v>
      </c>
      <c r="J560" s="48">
        <f>IFERROR(MINUS(DIVIDE(VLOOKUP($B560,Data!$B$3:$EZ1530,24,FALSE),VLOOKUP($B560,Data!$B$3:$EZ1530,25,FALSE)),1),"")</f>
        <v>-0.3286125013</v>
      </c>
      <c r="K560" s="48">
        <f>IFERROR(MINUS(DIVIDE(VLOOKUP($B560,Data!$B$3:$EZ1530,29,FALSE),VLOOKUP($B560,Data!$B$3:$EZ1530,30,FALSE)),1),"")</f>
        <v>-0.3283701752</v>
      </c>
      <c r="L560" s="48">
        <f>IFERROR(MINUS(DIVIDE(VLOOKUP($B560,Data!$B$3:$EZ1530,34,FALSE),VLOOKUP($B560,Data!$B$3:$EZ1530,35,FALSE)),1),"")</f>
        <v>-0.1637836795</v>
      </c>
      <c r="M560" s="48">
        <f>IFERROR(MINUS(DIVIDE(VLOOKUP($B560,Data!$B$3:$EZ1530,39,FALSE),VLOOKUP($B560,Data!$B$3:$EZ1530,40,FALSE)),1),"")</f>
        <v>-0.2834770767</v>
      </c>
      <c r="N560" s="48">
        <f>IFERROR(MINUS(DIVIDE(VLOOKUP($B560,Data!$B$3:$EZ1530,44,FALSE),VLOOKUP($B560,Data!$B$3:$EZ1530,45,FALSE)),1),"")</f>
        <v>-0.2271424609</v>
      </c>
      <c r="O560" s="50">
        <f>IFERROR(VLOOKUP($B560,Data!$B$3:$D1530,2,FALSE),"")</f>
        <v>260240</v>
      </c>
      <c r="P560" s="50">
        <f>IFERROR(VLOOKUP($B560,Data!$B$3:$D1530,3,FALSE),"")</f>
        <v>265480</v>
      </c>
      <c r="Q560" s="48">
        <f t="shared" si="2"/>
        <v>-0.01973783336</v>
      </c>
      <c r="R560" s="48"/>
      <c r="S560" s="48"/>
      <c r="T560" s="48"/>
      <c r="U560" s="48"/>
      <c r="V560" s="48"/>
      <c r="W560" s="50"/>
      <c r="Z560" s="15"/>
      <c r="AA560" s="15"/>
    </row>
    <row r="561">
      <c r="A561" s="9">
        <f t="shared" si="1"/>
        <v>558</v>
      </c>
      <c r="B561" s="47" t="s">
        <v>695</v>
      </c>
      <c r="C561" s="48">
        <f>IFERROR(DIVIDE(VLOOKUP($B561,Data!$B$3:$AB$1535,9,FALSE),VLOOKUP($B561,Data!$B$3:$AB$1535,4,FALSE)),"")</f>
        <v>0.175251122</v>
      </c>
      <c r="D561" s="48">
        <f>IFERROR(DIVIDE(VLOOKUP($B561,Data!$B$3:$AB$1535,24,FALSE),VLOOKUP($B561,Data!$B$3:$AB$1535,4,FALSE)),"")</f>
        <v>0.03561505816</v>
      </c>
      <c r="E561" s="48">
        <f>IFERROR(DIVIDE(VLOOKUP($B561,Data!$B$3:$EZ1530,29,FALSE),VLOOKUP($B561,Data!$B$3:$EZ1530,4,FALSE)),"")</f>
        <v>0.02656245229</v>
      </c>
      <c r="F561" s="48">
        <f>IFERROR(DIVIDE(VLOOKUP($B561,Data!$B$3:$EZ1530,34,FALSE),VLOOKUP($B561,Data!$B$3:$EZ1530,4,FALSE)),"")</f>
        <v>0.06784111379</v>
      </c>
      <c r="G561" s="48">
        <f>IFERROR(DIVIDE(VLOOKUP($B561,Data!$B$3:$EZ1530,39,FALSE),VLOOKUP($B561,Data!$B$3:$EZ1530,4,FALSE)),"")</f>
        <v>0.06498641346</v>
      </c>
      <c r="H561" s="48">
        <f>IFERROR(DIVIDE(VLOOKUP($B561,Data!$B$3:$EZ1530,44,FALSE),VLOOKUP($B561,Data!$B$3:$EZ1530,4,FALSE)),"")</f>
        <v>0.04472872714</v>
      </c>
      <c r="I561" s="48">
        <f>IFERROR(MINUS(DIVIDE(VLOOKUP($B561,Data!$B$3:$EZ1530,9,FALSE),VLOOKUP($B561,Data!$B$3:$EZ1530,10,FALSE)),1),"")</f>
        <v>0.04306741777</v>
      </c>
      <c r="J561" s="48">
        <f>IFERROR(MINUS(DIVIDE(VLOOKUP($B561,Data!$B$3:$EZ1530,24,FALSE),VLOOKUP($B561,Data!$B$3:$EZ1530,25,FALSE)),1),"")</f>
        <v>-2.112011439</v>
      </c>
      <c r="K561" s="48">
        <f>IFERROR(MINUS(DIVIDE(VLOOKUP($B561,Data!$B$3:$EZ1530,29,FALSE),VLOOKUP($B561,Data!$B$3:$EZ1530,30,FALSE)),1),"")</f>
        <v>-1.651441408</v>
      </c>
      <c r="L561" s="48">
        <f>IFERROR(MINUS(DIVIDE(VLOOKUP($B561,Data!$B$3:$EZ1530,34,FALSE),VLOOKUP($B561,Data!$B$3:$EZ1530,35,FALSE)),1),"")</f>
        <v>0.08443142997</v>
      </c>
      <c r="M561" s="48">
        <f>IFERROR(MINUS(DIVIDE(VLOOKUP($B561,Data!$B$3:$EZ1530,39,FALSE),VLOOKUP($B561,Data!$B$3:$EZ1530,40,FALSE)),1),"")</f>
        <v>-2.365736285</v>
      </c>
      <c r="N561" s="48">
        <f>IFERROR(MINUS(DIVIDE(VLOOKUP($B561,Data!$B$3:$EZ1530,44,FALSE),VLOOKUP($B561,Data!$B$3:$EZ1530,45,FALSE)),1),"")</f>
        <v>0.1286594761</v>
      </c>
      <c r="O561" s="50">
        <f>IFERROR(VLOOKUP($B561,Data!$B$3:$D1530,2,FALSE),"")</f>
        <v>602460</v>
      </c>
      <c r="P561" s="50">
        <f>IFERROR(VLOOKUP($B561,Data!$B$3:$D1530,3,FALSE),"")</f>
        <v>575800</v>
      </c>
      <c r="Q561" s="48">
        <f t="shared" si="2"/>
        <v>0.04630079889</v>
      </c>
      <c r="R561" s="48"/>
      <c r="S561" s="48"/>
      <c r="T561" s="48"/>
      <c r="U561" s="48"/>
      <c r="V561" s="48"/>
      <c r="W561" s="50"/>
      <c r="Z561" s="15"/>
      <c r="AA561" s="15"/>
    </row>
    <row r="562">
      <c r="A562" s="9">
        <f t="shared" si="1"/>
        <v>559</v>
      </c>
      <c r="B562" s="47" t="s">
        <v>696</v>
      </c>
      <c r="C562" s="48">
        <f>IFERROR(DIVIDE(VLOOKUP($B562,Data!$B$3:$AB$1535,9,FALSE),VLOOKUP($B562,Data!$B$3:$AB$1535,4,FALSE)),"")</f>
        <v>0.2077274899</v>
      </c>
      <c r="D562" s="48">
        <f>IFERROR(DIVIDE(VLOOKUP($B562,Data!$B$3:$AB$1535,24,FALSE),VLOOKUP($B562,Data!$B$3:$AB$1535,4,FALSE)),"")</f>
        <v>0.06229094136</v>
      </c>
      <c r="E562" s="48">
        <f>IFERROR(DIVIDE(VLOOKUP($B562,Data!$B$3:$EZ1530,29,FALSE),VLOOKUP($B562,Data!$B$3:$EZ1530,4,FALSE)),"")</f>
        <v>0.2596252304</v>
      </c>
      <c r="F562" s="48">
        <f>IFERROR(DIVIDE(VLOOKUP($B562,Data!$B$3:$EZ1530,34,FALSE),VLOOKUP($B562,Data!$B$3:$EZ1530,4,FALSE)),"")</f>
        <v>0.4120076456</v>
      </c>
      <c r="G562" s="48">
        <f>IFERROR(DIVIDE(VLOOKUP($B562,Data!$B$3:$EZ1530,39,FALSE),VLOOKUP($B562,Data!$B$3:$EZ1530,4,FALSE)),"")</f>
        <v>0.2592156461</v>
      </c>
      <c r="H562" s="48">
        <f>IFERROR(DIVIDE(VLOOKUP($B562,Data!$B$3:$EZ1530,44,FALSE),VLOOKUP($B562,Data!$B$3:$EZ1530,4,FALSE)),"")</f>
        <v>0.2604273329</v>
      </c>
      <c r="I562" s="48">
        <f>IFERROR(MINUS(DIVIDE(VLOOKUP($B562,Data!$B$3:$EZ1530,9,FALSE),VLOOKUP($B562,Data!$B$3:$EZ1530,10,FALSE)),1),"")</f>
        <v>0.6992880078</v>
      </c>
      <c r="J562" s="48">
        <f>IFERROR(MINUS(DIVIDE(VLOOKUP($B562,Data!$B$3:$EZ1530,24,FALSE),VLOOKUP($B562,Data!$B$3:$EZ1530,25,FALSE)),1),"")</f>
        <v>-26.17241379</v>
      </c>
      <c r="K562" s="48">
        <f>IFERROR(MINUS(DIVIDE(VLOOKUP($B562,Data!$B$3:$EZ1530,29,FALSE),VLOOKUP($B562,Data!$B$3:$EZ1530,30,FALSE)),1),"")</f>
        <v>-9.614382786</v>
      </c>
      <c r="L562" s="48">
        <f>IFERROR(MINUS(DIVIDE(VLOOKUP($B562,Data!$B$3:$EZ1530,34,FALSE),VLOOKUP($B562,Data!$B$3:$EZ1530,35,FALSE)),1),"")</f>
        <v>0.3317519859</v>
      </c>
      <c r="M562" s="48">
        <f>IFERROR(MINUS(DIVIDE(VLOOKUP($B562,Data!$B$3:$EZ1530,39,FALSE),VLOOKUP($B562,Data!$B$3:$EZ1530,40,FALSE)),1),"")</f>
        <v>82.45604396</v>
      </c>
      <c r="N562" s="48">
        <f>IFERROR(MINUS(DIVIDE(VLOOKUP($B562,Data!$B$3:$EZ1530,44,FALSE),VLOOKUP($B562,Data!$B$3:$EZ1530,45,FALSE)),1),"")</f>
        <v>0.1238768596</v>
      </c>
      <c r="O562" s="50">
        <f>IFERROR(VLOOKUP($B562,Data!$B$3:$D1530,2,FALSE),"")</f>
        <v>566580</v>
      </c>
      <c r="P562" s="50">
        <f>IFERROR(VLOOKUP($B562,Data!$B$3:$D1530,3,FALSE),"")</f>
        <v>427360</v>
      </c>
      <c r="Q562" s="48">
        <f t="shared" si="2"/>
        <v>0.3257675028</v>
      </c>
      <c r="R562" s="48"/>
      <c r="S562" s="48"/>
      <c r="T562" s="48"/>
      <c r="U562" s="48"/>
      <c r="V562" s="48"/>
      <c r="W562" s="50"/>
      <c r="Z562" s="12"/>
      <c r="AA562" s="12"/>
    </row>
    <row r="563">
      <c r="A563" s="9">
        <f t="shared" si="1"/>
        <v>560</v>
      </c>
      <c r="B563" s="47" t="s">
        <v>697</v>
      </c>
      <c r="C563" s="48">
        <f>IFERROR(DIVIDE(VLOOKUP($B563,Data!$B$3:$AB$1535,9,FALSE),VLOOKUP($B563,Data!$B$3:$AB$1535,4,FALSE)),"")</f>
        <v>0.3821989529</v>
      </c>
      <c r="D563" s="48">
        <f>IFERROR(DIVIDE(VLOOKUP($B563,Data!$B$3:$AB$1535,24,FALSE),VLOOKUP($B563,Data!$B$3:$AB$1535,4,FALSE)),"")</f>
        <v>-13.54973822</v>
      </c>
      <c r="E563" s="48">
        <f>IFERROR(DIVIDE(VLOOKUP($B563,Data!$B$3:$EZ1530,29,FALSE),VLOOKUP($B563,Data!$B$3:$EZ1530,4,FALSE)),"")</f>
        <v>-14.33507853</v>
      </c>
      <c r="F563" s="48">
        <f>IFERROR(DIVIDE(VLOOKUP($B563,Data!$B$3:$EZ1530,34,FALSE),VLOOKUP($B563,Data!$B$3:$EZ1530,4,FALSE)),"")</f>
        <v>-10.53403141</v>
      </c>
      <c r="G563" s="48">
        <f>IFERROR(DIVIDE(VLOOKUP($B563,Data!$B$3:$EZ1530,39,FALSE),VLOOKUP($B563,Data!$B$3:$EZ1530,4,FALSE)),"")</f>
        <v>-14.15706806</v>
      </c>
      <c r="H563" s="48">
        <f>IFERROR(DIVIDE(VLOOKUP($B563,Data!$B$3:$EZ1530,44,FALSE),VLOOKUP($B563,Data!$B$3:$EZ1530,4,FALSE)),"")</f>
        <v>-16.58638743</v>
      </c>
      <c r="I563" s="48">
        <f>IFERROR(MINUS(DIVIDE(VLOOKUP($B563,Data!$B$3:$EZ1530,9,FALSE),VLOOKUP($B563,Data!$B$3:$EZ1530,10,FALSE)),1),"")</f>
        <v>-1.038219895</v>
      </c>
      <c r="J563" s="48">
        <f>IFERROR(MINUS(DIVIDE(VLOOKUP($B563,Data!$B$3:$EZ1530,24,FALSE),VLOOKUP($B563,Data!$B$3:$EZ1530,25,FALSE)),1),"")</f>
        <v>-0.9320806215</v>
      </c>
      <c r="K563" s="48">
        <f>IFERROR(MINUS(DIVIDE(VLOOKUP($B563,Data!$B$3:$EZ1530,29,FALSE),VLOOKUP($B563,Data!$B$3:$EZ1530,30,FALSE)),1),"")</f>
        <v>-0.9278524374</v>
      </c>
      <c r="L563" s="48">
        <f>IFERROR(MINUS(DIVIDE(VLOOKUP($B563,Data!$B$3:$EZ1530,34,FALSE),VLOOKUP($B563,Data!$B$3:$EZ1530,35,FALSE)),1),"")</f>
        <v>1.177489177</v>
      </c>
      <c r="M563" s="48">
        <f>IFERROR(MINUS(DIVIDE(VLOOKUP($B563,Data!$B$3:$EZ1530,39,FALSE),VLOOKUP($B563,Data!$B$3:$EZ1530,40,FALSE)),1),"")</f>
        <v>-0.9223033159</v>
      </c>
      <c r="N563" s="48">
        <f>IFERROR(MINUS(DIVIDE(VLOOKUP($B563,Data!$B$3:$EZ1530,44,FALSE),VLOOKUP($B563,Data!$B$3:$EZ1530,45,FALSE)),1),"")</f>
        <v>2.245901639</v>
      </c>
      <c r="O563" s="50">
        <f>IFERROR(VLOOKUP($B563,Data!$B$3:$D1530,2,FALSE),"")</f>
        <v>134850</v>
      </c>
      <c r="P563" s="50" t="str">
        <f>IFERROR(VLOOKUP($B563,Data!$B$3:$D1530,3,FALSE),"")</f>
        <v/>
      </c>
      <c r="Q563" s="48" t="str">
        <f t="shared" si="2"/>
        <v/>
      </c>
      <c r="R563" s="48"/>
      <c r="S563" s="48"/>
      <c r="T563" s="48"/>
      <c r="U563" s="48"/>
      <c r="V563" s="48"/>
      <c r="W563" s="50"/>
      <c r="Z563" s="11"/>
      <c r="AA563" s="11"/>
    </row>
    <row r="564">
      <c r="A564" s="9">
        <f t="shared" si="1"/>
        <v>561</v>
      </c>
      <c r="B564" s="47" t="s">
        <v>698</v>
      </c>
      <c r="C564" s="48">
        <f>IFERROR(DIVIDE(VLOOKUP($B564,Data!$B$3:$AB$1535,9,FALSE),VLOOKUP($B564,Data!$B$3:$AB$1535,4,FALSE)),"")</f>
        <v>0.5054644809</v>
      </c>
      <c r="D564" s="48">
        <f>IFERROR(DIVIDE(VLOOKUP($B564,Data!$B$3:$AB$1535,24,FALSE),VLOOKUP($B564,Data!$B$3:$AB$1535,4,FALSE)),"")</f>
        <v>0.1366120219</v>
      </c>
      <c r="E564" s="48">
        <f>IFERROR(DIVIDE(VLOOKUP($B564,Data!$B$3:$EZ1530,29,FALSE),VLOOKUP($B564,Data!$B$3:$EZ1530,4,FALSE)),"")</f>
        <v>0.1194672131</v>
      </c>
      <c r="F564" s="48">
        <f>IFERROR(DIVIDE(VLOOKUP($B564,Data!$B$3:$EZ1530,34,FALSE),VLOOKUP($B564,Data!$B$3:$EZ1530,4,FALSE)),"")</f>
        <v>0.2172131148</v>
      </c>
      <c r="G564" s="48">
        <f>IFERROR(DIVIDE(VLOOKUP($B564,Data!$B$3:$EZ1530,39,FALSE),VLOOKUP($B564,Data!$B$3:$EZ1530,4,FALSE)),"")</f>
        <v>0.09909836066</v>
      </c>
      <c r="H564" s="48">
        <f>IFERROR(DIVIDE(VLOOKUP($B564,Data!$B$3:$EZ1530,44,FALSE),VLOOKUP($B564,Data!$B$3:$EZ1530,4,FALSE)),"")</f>
        <v>0.1734972678</v>
      </c>
      <c r="I564" s="48">
        <f>IFERROR(MINUS(DIVIDE(VLOOKUP($B564,Data!$B$3:$EZ1530,9,FALSE),VLOOKUP($B564,Data!$B$3:$EZ1530,10,FALSE)),1),"")</f>
        <v>0.1144578313</v>
      </c>
      <c r="J564" s="48">
        <f>IFERROR(MINUS(DIVIDE(VLOOKUP($B564,Data!$B$3:$EZ1530,24,FALSE),VLOOKUP($B564,Data!$B$3:$EZ1530,25,FALSE)),1),"")</f>
        <v>-0.1525423729</v>
      </c>
      <c r="K564" s="48">
        <f>IFERROR(MINUS(DIVIDE(VLOOKUP($B564,Data!$B$3:$EZ1530,29,FALSE),VLOOKUP($B564,Data!$B$3:$EZ1530,30,FALSE)),1),"")</f>
        <v>-0.1902777778</v>
      </c>
      <c r="L564" s="48">
        <f>IFERROR(MINUS(DIVIDE(VLOOKUP($B564,Data!$B$3:$EZ1530,34,FALSE),VLOOKUP($B564,Data!$B$3:$EZ1530,35,FALSE)),1),"")</f>
        <v>0.09655172414</v>
      </c>
      <c r="M564" s="48">
        <f>IFERROR(MINUS(DIVIDE(VLOOKUP($B564,Data!$B$3:$EZ1530,39,FALSE),VLOOKUP($B564,Data!$B$3:$EZ1530,40,FALSE)),1),"")</f>
        <v>-0.2100620712</v>
      </c>
      <c r="N564" s="48">
        <f>IFERROR(MINUS(DIVIDE(VLOOKUP($B564,Data!$B$3:$EZ1530,44,FALSE),VLOOKUP($B564,Data!$B$3:$EZ1530,45,FALSE)),1),"")</f>
        <v>-0.05223880597</v>
      </c>
      <c r="O564" s="50">
        <f>IFERROR(VLOOKUP($B564,Data!$B$3:$D1530,2,FALSE),"")</f>
        <v>7480000</v>
      </c>
      <c r="P564" s="50">
        <f>IFERROR(VLOOKUP($B564,Data!$B$3:$D1530,3,FALSE),"")</f>
        <v>6990000</v>
      </c>
      <c r="Q564" s="48">
        <f t="shared" si="2"/>
        <v>0.07010014306</v>
      </c>
      <c r="R564" s="48"/>
      <c r="S564" s="48"/>
      <c r="T564" s="48"/>
      <c r="U564" s="48"/>
      <c r="V564" s="48"/>
      <c r="W564" s="50"/>
      <c r="Z564" s="11"/>
      <c r="AA564" s="11"/>
    </row>
    <row r="565">
      <c r="A565" s="9">
        <f t="shared" si="1"/>
        <v>562</v>
      </c>
      <c r="B565" s="47" t="s">
        <v>699</v>
      </c>
      <c r="C565" s="48">
        <f>IFERROR(DIVIDE(VLOOKUP($B565,Data!$B$3:$AB$1535,9,FALSE),VLOOKUP($B565,Data!$B$3:$AB$1535,4,FALSE)),"")</f>
        <v>0.2789655172</v>
      </c>
      <c r="D565" s="48">
        <f>IFERROR(DIVIDE(VLOOKUP($B565,Data!$B$3:$AB$1535,24,FALSE),VLOOKUP($B565,Data!$B$3:$AB$1535,4,FALSE)),"")</f>
        <v>0.07773103448</v>
      </c>
      <c r="E565" s="48">
        <f>IFERROR(DIVIDE(VLOOKUP($B565,Data!$B$3:$EZ1530,29,FALSE),VLOOKUP($B565,Data!$B$3:$EZ1530,4,FALSE)),"")</f>
        <v>0.05959655172</v>
      </c>
      <c r="F565" s="48">
        <f>IFERROR(DIVIDE(VLOOKUP($B565,Data!$B$3:$EZ1530,34,FALSE),VLOOKUP($B565,Data!$B$3:$EZ1530,4,FALSE)),"")</f>
        <v>0.1316344828</v>
      </c>
      <c r="G565" s="48">
        <f>IFERROR(DIVIDE(VLOOKUP($B565,Data!$B$3:$EZ1530,39,FALSE),VLOOKUP($B565,Data!$B$3:$EZ1530,4,FALSE)),"")</f>
        <v>0.04511034483</v>
      </c>
      <c r="H565" s="48">
        <f>IFERROR(DIVIDE(VLOOKUP($B565,Data!$B$3:$EZ1530,44,FALSE),VLOOKUP($B565,Data!$B$3:$EZ1530,4,FALSE)),"")</f>
        <v>0.09282068966</v>
      </c>
      <c r="I565" s="48">
        <f>IFERROR(MINUS(DIVIDE(VLOOKUP($B565,Data!$B$3:$EZ1530,9,FALSE),VLOOKUP($B565,Data!$B$3:$EZ1530,10,FALSE)),1),"")</f>
        <v>-0.02981315808</v>
      </c>
      <c r="J565" s="48">
        <f>IFERROR(MINUS(DIVIDE(VLOOKUP($B565,Data!$B$3:$EZ1530,24,FALSE),VLOOKUP($B565,Data!$B$3:$EZ1530,25,FALSE)),1),"")</f>
        <v>-37.89361702</v>
      </c>
      <c r="K565" s="48">
        <f>IFERROR(MINUS(DIVIDE(VLOOKUP($B565,Data!$B$3:$EZ1530,29,FALSE),VLOOKUP($B565,Data!$B$3:$EZ1530,30,FALSE)),1),"")</f>
        <v>0.1027244305</v>
      </c>
      <c r="L565" s="48">
        <f>IFERROR(MINUS(DIVIDE(VLOOKUP($B565,Data!$B$3:$EZ1530,34,FALSE),VLOOKUP($B565,Data!$B$3:$EZ1530,35,FALSE)),1),"")</f>
        <v>-0.02592498086</v>
      </c>
      <c r="M565" s="48">
        <f>IFERROR(MINUS(DIVIDE(VLOOKUP($B565,Data!$B$3:$EZ1530,39,FALSE),VLOOKUP($B565,Data!$B$3:$EZ1530,40,FALSE)),1),"")</f>
        <v>-0.2359091175</v>
      </c>
      <c r="N565" s="48">
        <f>IFERROR(MINUS(DIVIDE(VLOOKUP($B565,Data!$B$3:$EZ1530,44,FALSE),VLOOKUP($B565,Data!$B$3:$EZ1530,45,FALSE)),1),"")</f>
        <v>0.06265050728</v>
      </c>
      <c r="O565" s="50">
        <f>IFERROR(VLOOKUP($B565,Data!$B$3:$D1530,2,FALSE),"")</f>
        <v>2850000</v>
      </c>
      <c r="P565" s="50">
        <f>IFERROR(VLOOKUP($B565,Data!$B$3:$D1530,3,FALSE),"")</f>
        <v>2710000</v>
      </c>
      <c r="Q565" s="48">
        <f t="shared" si="2"/>
        <v>0.05166051661</v>
      </c>
      <c r="R565" s="48"/>
      <c r="S565" s="48"/>
      <c r="T565" s="48"/>
      <c r="U565" s="48"/>
      <c r="V565" s="48"/>
      <c r="W565" s="50"/>
      <c r="Z565" s="15"/>
      <c r="AA565" s="15"/>
    </row>
    <row r="566">
      <c r="A566" s="9">
        <f t="shared" si="1"/>
        <v>563</v>
      </c>
      <c r="B566" s="47" t="s">
        <v>700</v>
      </c>
      <c r="C566" s="48" t="str">
        <f>IFERROR(DIVIDE(VLOOKUP($B566,Data!$B$3:$AB$1535,9,FALSE),VLOOKUP($B566,Data!$B$3:$AB$1535,4,FALSE)),"")</f>
        <v/>
      </c>
      <c r="D566" s="48" t="str">
        <f>IFERROR(DIVIDE(VLOOKUP($B566,Data!$B$3:$AB$1535,24,FALSE),VLOOKUP($B566,Data!$B$3:$AB$1535,4,FALSE)),"")</f>
        <v/>
      </c>
      <c r="E566" s="48" t="str">
        <f>IFERROR(DIVIDE(VLOOKUP($B566,Data!$B$3:$EZ1530,29,FALSE),VLOOKUP($B566,Data!$B$3:$EZ1530,4,FALSE)),"")</f>
        <v/>
      </c>
      <c r="F566" s="48" t="str">
        <f>IFERROR(DIVIDE(VLOOKUP($B566,Data!$B$3:$EZ1530,34,FALSE),VLOOKUP($B566,Data!$B$3:$EZ1530,4,FALSE)),"")</f>
        <v/>
      </c>
      <c r="G566" s="48" t="str">
        <f>IFERROR(DIVIDE(VLOOKUP($B566,Data!$B$3:$EZ1530,39,FALSE),VLOOKUP($B566,Data!$B$3:$EZ1530,4,FALSE)),"")</f>
        <v/>
      </c>
      <c r="H566" s="48" t="str">
        <f>IFERROR(DIVIDE(VLOOKUP($B566,Data!$B$3:$EZ1530,44,FALSE),VLOOKUP($B566,Data!$B$3:$EZ1530,4,FALSE)),"")</f>
        <v/>
      </c>
      <c r="I566" s="48">
        <f>IFERROR(MINUS(DIVIDE(VLOOKUP($B566,Data!$B$3:$EZ1530,9,FALSE),VLOOKUP($B566,Data!$B$3:$EZ1530,10,FALSE)),1),"")</f>
        <v>0.5185185185</v>
      </c>
      <c r="J566" s="48" t="str">
        <f>IFERROR(MINUS(DIVIDE(VLOOKUP($B566,Data!$B$3:$EZ1530,24,FALSE),VLOOKUP($B566,Data!$B$3:$EZ1530,25,FALSE)),1),"")</f>
        <v/>
      </c>
      <c r="K566" s="48">
        <f>IFERROR(MINUS(DIVIDE(VLOOKUP($B566,Data!$B$3:$EZ1530,29,FALSE),VLOOKUP($B566,Data!$B$3:$EZ1530,30,FALSE)),1),"")</f>
        <v>1.536974532</v>
      </c>
      <c r="L566" s="48">
        <f>IFERROR(MINUS(DIVIDE(VLOOKUP($B566,Data!$B$3:$EZ1530,34,FALSE),VLOOKUP($B566,Data!$B$3:$EZ1530,35,FALSE)),1),"")</f>
        <v>0.7595645412</v>
      </c>
      <c r="M566" s="48">
        <f>IFERROR(MINUS(DIVIDE(VLOOKUP($B566,Data!$B$3:$EZ1530,39,FALSE),VLOOKUP($B566,Data!$B$3:$EZ1530,40,FALSE)),1),"")</f>
        <v>1.536974532</v>
      </c>
      <c r="N566" s="48">
        <f>IFERROR(MINUS(DIVIDE(VLOOKUP($B566,Data!$B$3:$EZ1530,44,FALSE),VLOOKUP($B566,Data!$B$3:$EZ1530,45,FALSE)),1),"")</f>
        <v>0.75</v>
      </c>
      <c r="O566" s="50">
        <f>IFERROR(VLOOKUP($B566,Data!$B$3:$D1530,2,FALSE),"")</f>
        <v>1100</v>
      </c>
      <c r="P566" s="50">
        <f>IFERROR(VLOOKUP($B566,Data!$B$3:$D1530,3,FALSE),"")</f>
        <v>2520</v>
      </c>
      <c r="Q566" s="48">
        <f t="shared" si="2"/>
        <v>-0.5634920635</v>
      </c>
      <c r="R566" s="48"/>
      <c r="S566" s="48"/>
      <c r="T566" s="48"/>
      <c r="U566" s="48"/>
      <c r="V566" s="48"/>
      <c r="W566" s="50"/>
      <c r="Z566" s="11"/>
      <c r="AA566" s="11"/>
    </row>
    <row r="567">
      <c r="A567" s="9">
        <f t="shared" si="1"/>
        <v>564</v>
      </c>
      <c r="B567" s="47" t="s">
        <v>701</v>
      </c>
      <c r="C567" s="48">
        <f>IFERROR(DIVIDE(VLOOKUP($B567,Data!$B$3:$AB$1535,9,FALSE),VLOOKUP($B567,Data!$B$3:$AB$1535,4,FALSE)),"")</f>
        <v>0.3646326531</v>
      </c>
      <c r="D567" s="48">
        <f>IFERROR(DIVIDE(VLOOKUP($B567,Data!$B$3:$AB$1535,24,FALSE),VLOOKUP($B567,Data!$B$3:$AB$1535,4,FALSE)),"")</f>
        <v>0.1988367347</v>
      </c>
      <c r="E567" s="48">
        <f>IFERROR(DIVIDE(VLOOKUP($B567,Data!$B$3:$EZ1530,29,FALSE),VLOOKUP($B567,Data!$B$3:$EZ1530,4,FALSE)),"")</f>
        <v>0.1463605442</v>
      </c>
      <c r="F567" s="48">
        <f>IFERROR(DIVIDE(VLOOKUP($B567,Data!$B$3:$EZ1530,34,FALSE),VLOOKUP($B567,Data!$B$3:$EZ1530,4,FALSE)),"")</f>
        <v>0.3293945578</v>
      </c>
      <c r="G567" s="48">
        <f>IFERROR(DIVIDE(VLOOKUP($B567,Data!$B$3:$EZ1530,39,FALSE),VLOOKUP($B567,Data!$B$3:$EZ1530,4,FALSE)),"")</f>
        <v>0.1172517007</v>
      </c>
      <c r="H567" s="48">
        <f>IFERROR(DIVIDE(VLOOKUP($B567,Data!$B$3:$EZ1530,44,FALSE),VLOOKUP($B567,Data!$B$3:$EZ1530,4,FALSE)),"")</f>
        <v>0.2741768707</v>
      </c>
      <c r="I567" s="48">
        <f>IFERROR(MINUS(DIVIDE(VLOOKUP($B567,Data!$B$3:$EZ1530,9,FALSE),VLOOKUP($B567,Data!$B$3:$EZ1530,10,FALSE)),1),"")</f>
        <v>0.08521622935</v>
      </c>
      <c r="J567" s="48">
        <f>IFERROR(MINUS(DIVIDE(VLOOKUP($B567,Data!$B$3:$EZ1530,24,FALSE),VLOOKUP($B567,Data!$B$3:$EZ1530,25,FALSE)),1),"")</f>
        <v>0.03689382383</v>
      </c>
      <c r="K567" s="48">
        <f>IFERROR(MINUS(DIVIDE(VLOOKUP($B567,Data!$B$3:$EZ1530,29,FALSE),VLOOKUP($B567,Data!$B$3:$EZ1530,30,FALSE)),1),"")</f>
        <v>0.333023544</v>
      </c>
      <c r="L567" s="48">
        <f>IFERROR(MINUS(DIVIDE(VLOOKUP($B567,Data!$B$3:$EZ1530,34,FALSE),VLOOKUP($B567,Data!$B$3:$EZ1530,35,FALSE)),1),"")</f>
        <v>0.06160794545</v>
      </c>
      <c r="M567" s="48">
        <f>IFERROR(MINUS(DIVIDE(VLOOKUP($B567,Data!$B$3:$EZ1530,39,FALSE),VLOOKUP($B567,Data!$B$3:$EZ1530,40,FALSE)),1),"")</f>
        <v>0.36091591</v>
      </c>
      <c r="N567" s="48">
        <f>IFERROR(MINUS(DIVIDE(VLOOKUP($B567,Data!$B$3:$EZ1530,44,FALSE),VLOOKUP($B567,Data!$B$3:$EZ1530,45,FALSE)),1),"")</f>
        <v>0.1574956921</v>
      </c>
      <c r="O567" s="50">
        <f>IFERROR(VLOOKUP($B567,Data!$B$3:$D1530,2,FALSE),"")</f>
        <v>1190000</v>
      </c>
      <c r="P567" s="50">
        <f>IFERROR(VLOOKUP($B567,Data!$B$3:$D1530,3,FALSE),"")</f>
        <v>643960</v>
      </c>
      <c r="Q567" s="48">
        <f t="shared" si="2"/>
        <v>0.8479408659</v>
      </c>
      <c r="R567" s="48"/>
      <c r="S567" s="48"/>
      <c r="T567" s="48"/>
      <c r="U567" s="48"/>
      <c r="V567" s="48"/>
      <c r="W567" s="50"/>
      <c r="Z567" s="15"/>
      <c r="AA567" s="15"/>
    </row>
    <row r="568">
      <c r="A568" s="9">
        <f t="shared" si="1"/>
        <v>565</v>
      </c>
      <c r="B568" s="47" t="s">
        <v>702</v>
      </c>
      <c r="C568" s="48" t="str">
        <f>IFERROR(DIVIDE(VLOOKUP($B568,Data!$B$3:$AB$1535,9,FALSE),VLOOKUP($B568,Data!$B$3:$AB$1535,4,FALSE)),"")</f>
        <v/>
      </c>
      <c r="D568" s="48" t="str">
        <f>IFERROR(DIVIDE(VLOOKUP($B568,Data!$B$3:$AB$1535,24,FALSE),VLOOKUP($B568,Data!$B$3:$AB$1535,4,FALSE)),"")</f>
        <v/>
      </c>
      <c r="E568" s="48" t="str">
        <f>IFERROR(DIVIDE(VLOOKUP($B568,Data!$B$3:$EZ1530,29,FALSE),VLOOKUP($B568,Data!$B$3:$EZ1530,4,FALSE)),"")</f>
        <v/>
      </c>
      <c r="F568" s="48" t="str">
        <f>IFERROR(DIVIDE(VLOOKUP($B568,Data!$B$3:$EZ1530,34,FALSE),VLOOKUP($B568,Data!$B$3:$EZ1530,4,FALSE)),"")</f>
        <v/>
      </c>
      <c r="G568" s="48" t="str">
        <f>IFERROR(DIVIDE(VLOOKUP($B568,Data!$B$3:$EZ1530,39,FALSE),VLOOKUP($B568,Data!$B$3:$EZ1530,4,FALSE)),"")</f>
        <v/>
      </c>
      <c r="H568" s="48" t="str">
        <f>IFERROR(DIVIDE(VLOOKUP($B568,Data!$B$3:$EZ1530,44,FALSE),VLOOKUP($B568,Data!$B$3:$EZ1530,4,FALSE)),"")</f>
        <v/>
      </c>
      <c r="I568" s="48">
        <f>IFERROR(MINUS(DIVIDE(VLOOKUP($B568,Data!$B$3:$EZ1530,9,FALSE),VLOOKUP($B568,Data!$B$3:$EZ1530,10,FALSE)),1),"")</f>
        <v>1.601351351</v>
      </c>
      <c r="J568" s="48">
        <f>IFERROR(MINUS(DIVIDE(VLOOKUP($B568,Data!$B$3:$EZ1530,24,FALSE),VLOOKUP($B568,Data!$B$3:$EZ1530,25,FALSE)),1),"")</f>
        <v>0.4609836066</v>
      </c>
      <c r="K568" s="48">
        <f>IFERROR(MINUS(DIVIDE(VLOOKUP($B568,Data!$B$3:$EZ1530,29,FALSE),VLOOKUP($B568,Data!$B$3:$EZ1530,30,FALSE)),1),"")</f>
        <v>0.3973856209</v>
      </c>
      <c r="L568" s="48">
        <f>IFERROR(MINUS(DIVIDE(VLOOKUP($B568,Data!$B$3:$EZ1530,34,FALSE),VLOOKUP($B568,Data!$B$3:$EZ1530,35,FALSE)),1),"")</f>
        <v>0.8384853168</v>
      </c>
      <c r="M568" s="48">
        <f>IFERROR(MINUS(DIVIDE(VLOOKUP($B568,Data!$B$3:$EZ1530,39,FALSE),VLOOKUP($B568,Data!$B$3:$EZ1530,40,FALSE)),1),"")</f>
        <v>0.4225165563</v>
      </c>
      <c r="N568" s="48">
        <f>IFERROR(MINUS(DIVIDE(VLOOKUP($B568,Data!$B$3:$EZ1530,44,FALSE),VLOOKUP($B568,Data!$B$3:$EZ1530,45,FALSE)),1),"")</f>
        <v>0.4206411259</v>
      </c>
      <c r="O568" s="50">
        <f>IFERROR(VLOOKUP($B568,Data!$B$3:$D1530,2,FALSE),"")</f>
        <v>-3330</v>
      </c>
      <c r="P568" s="50" t="str">
        <f>IFERROR(VLOOKUP($B568,Data!$B$3:$D1530,3,FALSE),"")</f>
        <v/>
      </c>
      <c r="Q568" s="48" t="str">
        <f t="shared" si="2"/>
        <v/>
      </c>
      <c r="R568" s="48"/>
      <c r="S568" s="48"/>
      <c r="T568" s="48"/>
      <c r="U568" s="48"/>
      <c r="V568" s="48"/>
      <c r="W568" s="50"/>
      <c r="Z568" s="11"/>
      <c r="AA568" s="11"/>
    </row>
    <row r="569">
      <c r="A569" s="9">
        <f t="shared" si="1"/>
        <v>566</v>
      </c>
      <c r="B569" s="47" t="s">
        <v>703</v>
      </c>
      <c r="C569" s="48" t="str">
        <f>IFERROR(DIVIDE(VLOOKUP($B569,Data!$B$3:$AB$1535,9,FALSE),VLOOKUP($B569,Data!$B$3:$AB$1535,4,FALSE)),"")</f>
        <v/>
      </c>
      <c r="D569" s="48" t="str">
        <f>IFERROR(DIVIDE(VLOOKUP($B569,Data!$B$3:$AB$1535,24,FALSE),VLOOKUP($B569,Data!$B$3:$AB$1535,4,FALSE)),"")</f>
        <v/>
      </c>
      <c r="E569" s="48" t="str">
        <f>IFERROR(DIVIDE(VLOOKUP($B569,Data!$B$3:$EZ1530,29,FALSE),VLOOKUP($B569,Data!$B$3:$EZ1530,4,FALSE)),"")</f>
        <v/>
      </c>
      <c r="F569" s="48" t="str">
        <f>IFERROR(DIVIDE(VLOOKUP($B569,Data!$B$3:$EZ1530,34,FALSE),VLOOKUP($B569,Data!$B$3:$EZ1530,4,FALSE)),"")</f>
        <v/>
      </c>
      <c r="G569" s="48" t="str">
        <f>IFERROR(DIVIDE(VLOOKUP($B569,Data!$B$3:$EZ1530,39,FALSE),VLOOKUP($B569,Data!$B$3:$EZ1530,4,FALSE)),"")</f>
        <v/>
      </c>
      <c r="H569" s="48" t="str">
        <f>IFERROR(DIVIDE(VLOOKUP($B569,Data!$B$3:$EZ1530,44,FALSE),VLOOKUP($B569,Data!$B$3:$EZ1530,4,FALSE)),"")</f>
        <v/>
      </c>
      <c r="I569" s="48" t="str">
        <f>IFERROR(MINUS(DIVIDE(VLOOKUP($B569,Data!$B$3:$EZ1530,9,FALSE),VLOOKUP($B569,Data!$B$3:$EZ1530,10,FALSE)),1),"")</f>
        <v/>
      </c>
      <c r="J569" s="48" t="str">
        <f>IFERROR(MINUS(DIVIDE(VLOOKUP($B569,Data!$B$3:$EZ1530,24,FALSE),VLOOKUP($B569,Data!$B$3:$EZ1530,25,FALSE)),1),"")</f>
        <v/>
      </c>
      <c r="K569" s="48" t="str">
        <f>IFERROR(MINUS(DIVIDE(VLOOKUP($B569,Data!$B$3:$EZ1530,29,FALSE),VLOOKUP($B569,Data!$B$3:$EZ1530,30,FALSE)),1),"")</f>
        <v/>
      </c>
      <c r="L569" s="48" t="str">
        <f>IFERROR(MINUS(DIVIDE(VLOOKUP($B569,Data!$B$3:$EZ1530,34,FALSE),VLOOKUP($B569,Data!$B$3:$EZ1530,35,FALSE)),1),"")</f>
        <v/>
      </c>
      <c r="M569" s="48" t="str">
        <f>IFERROR(MINUS(DIVIDE(VLOOKUP($B569,Data!$B$3:$EZ1530,39,FALSE),VLOOKUP($B569,Data!$B$3:$EZ1530,40,FALSE)),1),"")</f>
        <v/>
      </c>
      <c r="N569" s="48" t="str">
        <f>IFERROR(MINUS(DIVIDE(VLOOKUP($B569,Data!$B$3:$EZ1530,44,FALSE),VLOOKUP($B569,Data!$B$3:$EZ1530,45,FALSE)),1),"")</f>
        <v/>
      </c>
      <c r="O569" s="50" t="str">
        <f>IFERROR(VLOOKUP($B569,Data!$B$3:$D1530,2,FALSE),"")</f>
        <v/>
      </c>
      <c r="P569" s="50" t="str">
        <f>IFERROR(VLOOKUP($B569,Data!$B$3:$D1530,3,FALSE),"")</f>
        <v/>
      </c>
      <c r="Q569" s="48" t="str">
        <f t="shared" si="2"/>
        <v/>
      </c>
      <c r="R569" s="48"/>
      <c r="S569" s="48"/>
      <c r="T569" s="48"/>
      <c r="U569" s="48"/>
      <c r="V569" s="48"/>
      <c r="W569" s="50"/>
      <c r="Z569" s="15"/>
      <c r="AA569" s="15"/>
    </row>
    <row r="570">
      <c r="A570" s="9">
        <f t="shared" si="1"/>
        <v>567</v>
      </c>
      <c r="B570" s="47" t="s">
        <v>704</v>
      </c>
      <c r="C570" s="48" t="str">
        <f>IFERROR(DIVIDE(VLOOKUP($B570,Data!$B$3:$AB$1535,9,FALSE),VLOOKUP($B570,Data!$B$3:$AB$1535,4,FALSE)),"")</f>
        <v/>
      </c>
      <c r="D570" s="48" t="str">
        <f>IFERROR(DIVIDE(VLOOKUP($B570,Data!$B$3:$AB$1535,24,FALSE),VLOOKUP($B570,Data!$B$3:$AB$1535,4,FALSE)),"")</f>
        <v/>
      </c>
      <c r="E570" s="48" t="str">
        <f>IFERROR(DIVIDE(VLOOKUP($B570,Data!$B$3:$EZ1530,29,FALSE),VLOOKUP($B570,Data!$B$3:$EZ1530,4,FALSE)),"")</f>
        <v/>
      </c>
      <c r="F570" s="48" t="str">
        <f>IFERROR(DIVIDE(VLOOKUP($B570,Data!$B$3:$EZ1530,34,FALSE),VLOOKUP($B570,Data!$B$3:$EZ1530,4,FALSE)),"")</f>
        <v/>
      </c>
      <c r="G570" s="48" t="str">
        <f>IFERROR(DIVIDE(VLOOKUP($B570,Data!$B$3:$EZ1530,39,FALSE),VLOOKUP($B570,Data!$B$3:$EZ1530,4,FALSE)),"")</f>
        <v/>
      </c>
      <c r="H570" s="48" t="str">
        <f>IFERROR(DIVIDE(VLOOKUP($B570,Data!$B$3:$EZ1530,44,FALSE),VLOOKUP($B570,Data!$B$3:$EZ1530,4,FALSE)),"")</f>
        <v/>
      </c>
      <c r="I570" s="48">
        <f>IFERROR(MINUS(DIVIDE(VLOOKUP($B570,Data!$B$3:$EZ1530,9,FALSE),VLOOKUP($B570,Data!$B$3:$EZ1530,10,FALSE)),1),"")</f>
        <v>-0.75</v>
      </c>
      <c r="J570" s="48" t="str">
        <f>IFERROR(MINUS(DIVIDE(VLOOKUP($B570,Data!$B$3:$EZ1530,24,FALSE),VLOOKUP($B570,Data!$B$3:$EZ1530,25,FALSE)),1),"")</f>
        <v/>
      </c>
      <c r="K570" s="48">
        <f>IFERROR(MINUS(DIVIDE(VLOOKUP($B570,Data!$B$3:$EZ1530,29,FALSE),VLOOKUP($B570,Data!$B$3:$EZ1530,30,FALSE)),1),"")</f>
        <v>-0.5269058296</v>
      </c>
      <c r="L570" s="48">
        <f>IFERROR(MINUS(DIVIDE(VLOOKUP($B570,Data!$B$3:$EZ1530,34,FALSE),VLOOKUP($B570,Data!$B$3:$EZ1530,35,FALSE)),1),"")</f>
        <v>-0.5696821516</v>
      </c>
      <c r="M570" s="48">
        <f>IFERROR(MINUS(DIVIDE(VLOOKUP($B570,Data!$B$3:$EZ1530,39,FALSE),VLOOKUP($B570,Data!$B$3:$EZ1530,40,FALSE)),1),"")</f>
        <v>-0.5154994259</v>
      </c>
      <c r="N570" s="48">
        <f>IFERROR(MINUS(DIVIDE(VLOOKUP($B570,Data!$B$3:$EZ1530,44,FALSE),VLOOKUP($B570,Data!$B$3:$EZ1530,45,FALSE)),1),"")</f>
        <v>-0.8490182803</v>
      </c>
      <c r="O570" s="50" t="str">
        <f>IFERROR(VLOOKUP($B570,Data!$B$3:$D1530,2,FALSE),"")</f>
        <v/>
      </c>
      <c r="P570" s="50">
        <f>IFERROR(VLOOKUP($B570,Data!$B$3:$D1530,3,FALSE),"")</f>
        <v>1250000</v>
      </c>
      <c r="Q570" s="48">
        <f t="shared" si="2"/>
        <v>-1</v>
      </c>
      <c r="R570" s="48"/>
      <c r="S570" s="48"/>
      <c r="T570" s="48"/>
      <c r="U570" s="48"/>
      <c r="V570" s="48"/>
      <c r="W570" s="50"/>
      <c r="Z570" s="11"/>
      <c r="AA570" s="12"/>
    </row>
    <row r="571">
      <c r="A571" s="9">
        <f t="shared" si="1"/>
        <v>568</v>
      </c>
      <c r="B571" s="47" t="s">
        <v>705</v>
      </c>
      <c r="C571" s="48">
        <f>IFERROR(DIVIDE(VLOOKUP($B571,Data!$B$3:$AB$1535,9,FALSE),VLOOKUP($B571,Data!$B$3:$AB$1535,4,FALSE)),"")</f>
        <v>0.08424822695</v>
      </c>
      <c r="D571" s="48">
        <f>IFERROR(DIVIDE(VLOOKUP($B571,Data!$B$3:$AB$1535,24,FALSE),VLOOKUP($B571,Data!$B$3:$AB$1535,4,FALSE)),"")</f>
        <v>0.08426950355</v>
      </c>
      <c r="E571" s="48">
        <f>IFERROR(DIVIDE(VLOOKUP($B571,Data!$B$3:$EZ1530,29,FALSE),VLOOKUP($B571,Data!$B$3:$EZ1530,4,FALSE)),"")</f>
        <v>0.08234751773</v>
      </c>
      <c r="F571" s="48">
        <f>IFERROR(DIVIDE(VLOOKUP($B571,Data!$B$3:$EZ1530,34,FALSE),VLOOKUP($B571,Data!$B$3:$EZ1530,4,FALSE)),"")</f>
        <v>0.1141134752</v>
      </c>
      <c r="G571" s="48">
        <f>IFERROR(DIVIDE(VLOOKUP($B571,Data!$B$3:$EZ1530,39,FALSE),VLOOKUP($B571,Data!$B$3:$EZ1530,4,FALSE)),"")</f>
        <v>0.06109929078</v>
      </c>
      <c r="H571" s="48">
        <f>IFERROR(DIVIDE(VLOOKUP($B571,Data!$B$3:$EZ1530,44,FALSE),VLOOKUP($B571,Data!$B$3:$EZ1530,4,FALSE)),"")</f>
        <v>0.1127801418</v>
      </c>
      <c r="I571" s="48">
        <f>IFERROR(MINUS(DIVIDE(VLOOKUP($B571,Data!$B$3:$EZ1530,9,FALSE),VLOOKUP($B571,Data!$B$3:$EZ1530,10,FALSE)),1),"")</f>
        <v>-0.02655084815</v>
      </c>
      <c r="J571" s="48" t="str">
        <f>IFERROR(MINUS(DIVIDE(VLOOKUP($B571,Data!$B$3:$EZ1530,24,FALSE),VLOOKUP($B571,Data!$B$3:$EZ1530,25,FALSE)),1),"")</f>
        <v/>
      </c>
      <c r="K571" s="48">
        <f>IFERROR(MINUS(DIVIDE(VLOOKUP($B571,Data!$B$3:$EZ1530,29,FALSE),VLOOKUP($B571,Data!$B$3:$EZ1530,30,FALSE)),1),"")</f>
        <v>-0.03442827443</v>
      </c>
      <c r="L571" s="48">
        <f>IFERROR(MINUS(DIVIDE(VLOOKUP($B571,Data!$B$3:$EZ1530,34,FALSE),VLOOKUP($B571,Data!$B$3:$EZ1530,35,FALSE)),1),"")</f>
        <v>-0.02015711589</v>
      </c>
      <c r="M571" s="48">
        <f>IFERROR(MINUS(DIVIDE(VLOOKUP($B571,Data!$B$3:$EZ1530,39,FALSE),VLOOKUP($B571,Data!$B$3:$EZ1530,40,FALSE)),1),"")</f>
        <v>-0.05506197214</v>
      </c>
      <c r="N571" s="48">
        <f>IFERROR(MINUS(DIVIDE(VLOOKUP($B571,Data!$B$3:$EZ1530,44,FALSE),VLOOKUP($B571,Data!$B$3:$EZ1530,45,FALSE)),1),"")</f>
        <v>0.04241232383</v>
      </c>
      <c r="O571" s="50">
        <f>IFERROR(VLOOKUP($B571,Data!$B$3:$D1530,2,FALSE),"")</f>
        <v>1350000</v>
      </c>
      <c r="P571" s="50">
        <f>IFERROR(VLOOKUP($B571,Data!$B$3:$D1530,3,FALSE),"")</f>
        <v>1270000</v>
      </c>
      <c r="Q571" s="48">
        <f t="shared" si="2"/>
        <v>0.06299212598</v>
      </c>
      <c r="R571" s="48"/>
      <c r="S571" s="48"/>
      <c r="T571" s="48"/>
      <c r="U571" s="48"/>
      <c r="V571" s="48"/>
      <c r="W571" s="50"/>
      <c r="Z571" s="12"/>
      <c r="AA571" s="12"/>
    </row>
    <row r="572">
      <c r="A572" s="9">
        <f t="shared" si="1"/>
        <v>569</v>
      </c>
      <c r="B572" s="47" t="s">
        <v>706</v>
      </c>
      <c r="C572" s="48">
        <f>IFERROR(DIVIDE(VLOOKUP($B572,Data!$B$3:$AB$1535,9,FALSE),VLOOKUP($B572,Data!$B$3:$AB$1535,4,FALSE)),"")</f>
        <v>0.6963690256</v>
      </c>
      <c r="D572" s="48">
        <f>IFERROR(DIVIDE(VLOOKUP($B572,Data!$B$3:$AB$1535,24,FALSE),VLOOKUP($B572,Data!$B$3:$AB$1535,4,FALSE)),"")</f>
        <v>0</v>
      </c>
      <c r="E572" s="48">
        <f>IFERROR(DIVIDE(VLOOKUP($B572,Data!$B$3:$EZ1530,29,FALSE),VLOOKUP($B572,Data!$B$3:$EZ1530,4,FALSE)),"")</f>
        <v>-0.3306780289</v>
      </c>
      <c r="F572" s="48">
        <f>IFERROR(DIVIDE(VLOOKUP($B572,Data!$B$3:$EZ1530,34,FALSE),VLOOKUP($B572,Data!$B$3:$EZ1530,4,FALSE)),"")</f>
        <v>-0.1409781401</v>
      </c>
      <c r="G572" s="48">
        <f>IFERROR(DIVIDE(VLOOKUP($B572,Data!$B$3:$EZ1530,39,FALSE),VLOOKUP($B572,Data!$B$3:$EZ1530,4,FALSE)),"")</f>
        <v>-0.3314190441</v>
      </c>
      <c r="H572" s="48">
        <f>IFERROR(DIVIDE(VLOOKUP($B572,Data!$B$3:$EZ1530,44,FALSE),VLOOKUP($B572,Data!$B$3:$EZ1530,4,FALSE)),"")</f>
        <v>-0.04761022601</v>
      </c>
      <c r="I572" s="48">
        <f>IFERROR(MINUS(DIVIDE(VLOOKUP($B572,Data!$B$3:$EZ1530,9,FALSE),VLOOKUP($B572,Data!$B$3:$EZ1530,10,FALSE)),1),"")</f>
        <v>0.2673634525</v>
      </c>
      <c r="J572" s="48" t="str">
        <f>IFERROR(MINUS(DIVIDE(VLOOKUP($B572,Data!$B$3:$EZ1530,24,FALSE),VLOOKUP($B572,Data!$B$3:$EZ1530,25,FALSE)),1),"")</f>
        <v/>
      </c>
      <c r="K572" s="48">
        <f>IFERROR(MINUS(DIVIDE(VLOOKUP($B572,Data!$B$3:$EZ1530,29,FALSE),VLOOKUP($B572,Data!$B$3:$EZ1530,30,FALSE)),1),"")</f>
        <v>-0.5049916805</v>
      </c>
      <c r="L572" s="48">
        <f>IFERROR(MINUS(DIVIDE(VLOOKUP($B572,Data!$B$3:$EZ1530,34,FALSE),VLOOKUP($B572,Data!$B$3:$EZ1530,35,FALSE)),1),"")</f>
        <v>-0.7413324269</v>
      </c>
      <c r="M572" s="48">
        <f>IFERROR(MINUS(DIVIDE(VLOOKUP($B572,Data!$B$3:$EZ1530,39,FALSE),VLOOKUP($B572,Data!$B$3:$EZ1530,40,FALSE)),1),"")</f>
        <v>-0.4755203753</v>
      </c>
      <c r="N572" s="48">
        <f>IFERROR(MINUS(DIVIDE(VLOOKUP($B572,Data!$B$3:$EZ1530,44,FALSE),VLOOKUP($B572,Data!$B$3:$EZ1530,45,FALSE)),1),"")</f>
        <v>-0.8798503974</v>
      </c>
      <c r="O572" s="50">
        <f>IFERROR(VLOOKUP($B572,Data!$B$3:$D1530,2,FALSE),"")</f>
        <v>81900</v>
      </c>
      <c r="P572" s="50">
        <f>IFERROR(VLOOKUP($B572,Data!$B$3:$D1530,3,FALSE),"")</f>
        <v>65650</v>
      </c>
      <c r="Q572" s="48">
        <f t="shared" si="2"/>
        <v>0.2475247525</v>
      </c>
      <c r="R572" s="48"/>
      <c r="S572" s="48"/>
      <c r="T572" s="48"/>
      <c r="U572" s="48"/>
      <c r="V572" s="48"/>
      <c r="W572" s="50"/>
      <c r="Z572" s="12"/>
      <c r="AA572" s="11"/>
    </row>
    <row r="573">
      <c r="A573" s="9">
        <f t="shared" si="1"/>
        <v>570</v>
      </c>
      <c r="B573" s="47" t="s">
        <v>707</v>
      </c>
      <c r="C573" s="48" t="str">
        <f>IFERROR(DIVIDE(VLOOKUP($B573,Data!$B$3:$AB$1535,9,FALSE),VLOOKUP($B573,Data!$B$3:$AB$1535,4,FALSE)),"")</f>
        <v/>
      </c>
      <c r="D573" s="48" t="str">
        <f>IFERROR(DIVIDE(VLOOKUP($B573,Data!$B$3:$AB$1535,24,FALSE),VLOOKUP($B573,Data!$B$3:$AB$1535,4,FALSE)),"")</f>
        <v/>
      </c>
      <c r="E573" s="48" t="str">
        <f>IFERROR(DIVIDE(VLOOKUP($B573,Data!$B$3:$EZ1530,29,FALSE),VLOOKUP($B573,Data!$B$3:$EZ1530,4,FALSE)),"")</f>
        <v/>
      </c>
      <c r="F573" s="48" t="str">
        <f>IFERROR(DIVIDE(VLOOKUP($B573,Data!$B$3:$EZ1530,34,FALSE),VLOOKUP($B573,Data!$B$3:$EZ1530,4,FALSE)),"")</f>
        <v/>
      </c>
      <c r="G573" s="48" t="str">
        <f>IFERROR(DIVIDE(VLOOKUP($B573,Data!$B$3:$EZ1530,39,FALSE),VLOOKUP($B573,Data!$B$3:$EZ1530,4,FALSE)),"")</f>
        <v/>
      </c>
      <c r="H573" s="48" t="str">
        <f>IFERROR(DIVIDE(VLOOKUP($B573,Data!$B$3:$EZ1530,44,FALSE),VLOOKUP($B573,Data!$B$3:$EZ1530,4,FALSE)),"")</f>
        <v/>
      </c>
      <c r="I573" s="48" t="str">
        <f>IFERROR(MINUS(DIVIDE(VLOOKUP($B573,Data!$B$3:$EZ1530,9,FALSE),VLOOKUP($B573,Data!$B$3:$EZ1530,10,FALSE)),1),"")</f>
        <v/>
      </c>
      <c r="J573" s="48" t="str">
        <f>IFERROR(MINUS(DIVIDE(VLOOKUP($B573,Data!$B$3:$EZ1530,24,FALSE),VLOOKUP($B573,Data!$B$3:$EZ1530,25,FALSE)),1),"")</f>
        <v/>
      </c>
      <c r="K573" s="48">
        <f>IFERROR(MINUS(DIVIDE(VLOOKUP($B573,Data!$B$3:$EZ1530,29,FALSE),VLOOKUP($B573,Data!$B$3:$EZ1530,30,FALSE)),1),"")</f>
        <v>-0.04388489209</v>
      </c>
      <c r="L573" s="48">
        <f>IFERROR(MINUS(DIVIDE(VLOOKUP($B573,Data!$B$3:$EZ1530,34,FALSE),VLOOKUP($B573,Data!$B$3:$EZ1530,35,FALSE)),1),"")</f>
        <v>-0.01470588235</v>
      </c>
      <c r="M573" s="48">
        <f>IFERROR(MINUS(DIVIDE(VLOOKUP($B573,Data!$B$3:$EZ1530,39,FALSE),VLOOKUP($B573,Data!$B$3:$EZ1530,40,FALSE)),1),"")</f>
        <v>-0.04388489209</v>
      </c>
      <c r="N573" s="48">
        <f>IFERROR(MINUS(DIVIDE(VLOOKUP($B573,Data!$B$3:$EZ1530,44,FALSE),VLOOKUP($B573,Data!$B$3:$EZ1530,45,FALSE)),1),"")</f>
        <v>0.06581532417</v>
      </c>
      <c r="O573" s="50" t="str">
        <f>IFERROR(VLOOKUP($B573,Data!$B$3:$D1530,2,FALSE),"")</f>
        <v/>
      </c>
      <c r="P573" s="50" t="str">
        <f>IFERROR(VLOOKUP($B573,Data!$B$3:$D1530,3,FALSE),"")</f>
        <v/>
      </c>
      <c r="Q573" s="48" t="str">
        <f t="shared" si="2"/>
        <v/>
      </c>
      <c r="R573" s="48"/>
      <c r="S573" s="48"/>
      <c r="T573" s="48"/>
      <c r="U573" s="48"/>
      <c r="V573" s="48"/>
      <c r="W573" s="50"/>
      <c r="Z573" s="11"/>
      <c r="AA573" s="11"/>
    </row>
    <row r="574">
      <c r="A574" s="9">
        <f t="shared" si="1"/>
        <v>571</v>
      </c>
      <c r="B574" s="47" t="s">
        <v>708</v>
      </c>
      <c r="C574" s="48">
        <f>IFERROR(DIVIDE(VLOOKUP($B574,Data!$B$3:$AB$1535,9,FALSE),VLOOKUP($B574,Data!$B$3:$AB$1535,4,FALSE)),"")</f>
        <v>0.2261888257</v>
      </c>
      <c r="D574" s="48">
        <f>IFERROR(DIVIDE(VLOOKUP($B574,Data!$B$3:$AB$1535,24,FALSE),VLOOKUP($B574,Data!$B$3:$AB$1535,4,FALSE)),"")</f>
        <v>0.1516012755</v>
      </c>
      <c r="E574" s="48">
        <f>IFERROR(DIVIDE(VLOOKUP($B574,Data!$B$3:$EZ1530,29,FALSE),VLOOKUP($B574,Data!$B$3:$EZ1530,4,FALSE)),"")</f>
        <v>0.01116040482</v>
      </c>
      <c r="F574" s="48">
        <f>IFERROR(DIVIDE(VLOOKUP($B574,Data!$B$3:$EZ1530,34,FALSE),VLOOKUP($B574,Data!$B$3:$EZ1530,4,FALSE)),"")</f>
        <v>0.4329682518</v>
      </c>
      <c r="G574" s="48">
        <f>IFERROR(DIVIDE(VLOOKUP($B574,Data!$B$3:$EZ1530,39,FALSE),VLOOKUP($B574,Data!$B$3:$EZ1530,4,FALSE)),"")</f>
        <v>0.01448773049</v>
      </c>
      <c r="H574" s="48">
        <f>IFERROR(DIVIDE(VLOOKUP($B574,Data!$B$3:$EZ1530,44,FALSE),VLOOKUP($B574,Data!$B$3:$EZ1530,4,FALSE)),"")</f>
        <v>0.2211978372</v>
      </c>
      <c r="I574" s="48">
        <f>IFERROR(MINUS(DIVIDE(VLOOKUP($B574,Data!$B$3:$EZ1530,9,FALSE),VLOOKUP($B574,Data!$B$3:$EZ1530,10,FALSE)),1),"")</f>
        <v>0.3072916667</v>
      </c>
      <c r="J574" s="48">
        <f>IFERROR(MINUS(DIVIDE(VLOOKUP($B574,Data!$B$3:$EZ1530,24,FALSE),VLOOKUP($B574,Data!$B$3:$EZ1530,25,FALSE)),1),"")</f>
        <v>1.072985782</v>
      </c>
      <c r="K574" s="48">
        <f>IFERROR(MINUS(DIVIDE(VLOOKUP($B574,Data!$B$3:$EZ1530,29,FALSE),VLOOKUP($B574,Data!$B$3:$EZ1530,30,FALSE)),1),"")</f>
        <v>-1.131107492</v>
      </c>
      <c r="L574" s="48">
        <f>IFERROR(MINUS(DIVIDE(VLOOKUP($B574,Data!$B$3:$EZ1530,34,FALSE),VLOOKUP($B574,Data!$B$3:$EZ1530,35,FALSE)),1),"")</f>
        <v>-0.0113960114</v>
      </c>
      <c r="M574" s="48">
        <f>IFERROR(MINUS(DIVIDE(VLOOKUP($B574,Data!$B$3:$EZ1530,39,FALSE),VLOOKUP($B574,Data!$B$3:$EZ1530,40,FALSE)),1),"")</f>
        <v>-1.17019544</v>
      </c>
      <c r="N574" s="48">
        <f>IFERROR(MINUS(DIVIDE(VLOOKUP($B574,Data!$B$3:$EZ1530,44,FALSE),VLOOKUP($B574,Data!$B$3:$EZ1530,45,FALSE)),1),"")</f>
        <v>-0.1447333155</v>
      </c>
      <c r="O574" s="50">
        <f>IFERROR(VLOOKUP($B574,Data!$B$3:$D1530,2,FALSE),"")</f>
        <v>143970</v>
      </c>
      <c r="P574" s="50">
        <f>IFERROR(VLOOKUP($B574,Data!$B$3:$D1530,3,FALSE),"")</f>
        <v>126720</v>
      </c>
      <c r="Q574" s="48">
        <f t="shared" si="2"/>
        <v>0.1361268939</v>
      </c>
      <c r="R574" s="48"/>
      <c r="S574" s="48"/>
      <c r="T574" s="48"/>
      <c r="U574" s="48"/>
      <c r="V574" s="48"/>
      <c r="W574" s="50"/>
      <c r="Z574" s="15"/>
      <c r="AA574" s="15"/>
    </row>
    <row r="575">
      <c r="A575" s="9">
        <f t="shared" si="1"/>
        <v>572</v>
      </c>
      <c r="B575" s="47" t="s">
        <v>709</v>
      </c>
      <c r="C575" s="48" t="str">
        <f>IFERROR(DIVIDE(VLOOKUP($B575,Data!$B$3:$AB$1535,9,FALSE),VLOOKUP($B575,Data!$B$3:$AB$1535,4,FALSE)),"")</f>
        <v/>
      </c>
      <c r="D575" s="48" t="str">
        <f>IFERROR(DIVIDE(VLOOKUP($B575,Data!$B$3:$AB$1535,24,FALSE),VLOOKUP($B575,Data!$B$3:$AB$1535,4,FALSE)),"")</f>
        <v/>
      </c>
      <c r="E575" s="48" t="str">
        <f>IFERROR(DIVIDE(VLOOKUP($B575,Data!$B$3:$EZ1530,29,FALSE),VLOOKUP($B575,Data!$B$3:$EZ1530,4,FALSE)),"")</f>
        <v/>
      </c>
      <c r="F575" s="48" t="str">
        <f>IFERROR(DIVIDE(VLOOKUP($B575,Data!$B$3:$EZ1530,34,FALSE),VLOOKUP($B575,Data!$B$3:$EZ1530,4,FALSE)),"")</f>
        <v/>
      </c>
      <c r="G575" s="48" t="str">
        <f>IFERROR(DIVIDE(VLOOKUP($B575,Data!$B$3:$EZ1530,39,FALSE),VLOOKUP($B575,Data!$B$3:$EZ1530,4,FALSE)),"")</f>
        <v/>
      </c>
      <c r="H575" s="48" t="str">
        <f>IFERROR(DIVIDE(VLOOKUP($B575,Data!$B$3:$EZ1530,44,FALSE),VLOOKUP($B575,Data!$B$3:$EZ1530,4,FALSE)),"")</f>
        <v/>
      </c>
      <c r="I575" s="48" t="str">
        <f>IFERROR(MINUS(DIVIDE(VLOOKUP($B575,Data!$B$3:$EZ1530,9,FALSE),VLOOKUP($B575,Data!$B$3:$EZ1530,10,FALSE)),1),"")</f>
        <v/>
      </c>
      <c r="J575" s="48" t="str">
        <f>IFERROR(MINUS(DIVIDE(VLOOKUP($B575,Data!$B$3:$EZ1530,24,FALSE),VLOOKUP($B575,Data!$B$3:$EZ1530,25,FALSE)),1),"")</f>
        <v/>
      </c>
      <c r="K575" s="48">
        <f>IFERROR(MINUS(DIVIDE(VLOOKUP($B575,Data!$B$3:$EZ1530,29,FALSE),VLOOKUP($B575,Data!$B$3:$EZ1530,30,FALSE)),1),"")</f>
        <v>0.712849162</v>
      </c>
      <c r="L575" s="48">
        <f>IFERROR(MINUS(DIVIDE(VLOOKUP($B575,Data!$B$3:$EZ1530,34,FALSE),VLOOKUP($B575,Data!$B$3:$EZ1530,35,FALSE)),1),"")</f>
        <v>0.6357239513</v>
      </c>
      <c r="M575" s="48">
        <f>IFERROR(MINUS(DIVIDE(VLOOKUP($B575,Data!$B$3:$EZ1530,39,FALSE),VLOOKUP($B575,Data!$B$3:$EZ1530,40,FALSE)),1),"")</f>
        <v>0.712849162</v>
      </c>
      <c r="N575" s="48">
        <f>IFERROR(MINUS(DIVIDE(VLOOKUP($B575,Data!$B$3:$EZ1530,44,FALSE),VLOOKUP($B575,Data!$B$3:$EZ1530,45,FALSE)),1),"")</f>
        <v>0.4349217639</v>
      </c>
      <c r="O575" s="50" t="str">
        <f>IFERROR(VLOOKUP($B575,Data!$B$3:$D1530,2,FALSE),"")</f>
        <v/>
      </c>
      <c r="P575" s="50" t="str">
        <f>IFERROR(VLOOKUP($B575,Data!$B$3:$D1530,3,FALSE),"")</f>
        <v/>
      </c>
      <c r="Q575" s="48" t="str">
        <f t="shared" si="2"/>
        <v/>
      </c>
      <c r="R575" s="48"/>
      <c r="S575" s="48"/>
      <c r="T575" s="48"/>
      <c r="U575" s="48"/>
      <c r="V575" s="48"/>
      <c r="W575" s="50"/>
      <c r="Z575" s="12"/>
      <c r="AA575" s="12"/>
    </row>
    <row r="576">
      <c r="A576" s="9">
        <f t="shared" si="1"/>
        <v>573</v>
      </c>
      <c r="B576" s="47" t="s">
        <v>710</v>
      </c>
      <c r="C576" s="48">
        <f>IFERROR(DIVIDE(VLOOKUP($B576,Data!$B$3:$AB$1535,9,FALSE),VLOOKUP($B576,Data!$B$3:$AB$1535,4,FALSE)),"")</f>
        <v>-3.72985782</v>
      </c>
      <c r="D576" s="48">
        <f>IFERROR(DIVIDE(VLOOKUP($B576,Data!$B$3:$AB$1535,24,FALSE),VLOOKUP($B576,Data!$B$3:$AB$1535,4,FALSE)),"")</f>
        <v>-133.3080569</v>
      </c>
      <c r="E576" s="48">
        <f>IFERROR(DIVIDE(VLOOKUP($B576,Data!$B$3:$EZ1530,29,FALSE),VLOOKUP($B576,Data!$B$3:$EZ1530,4,FALSE)),"")</f>
        <v>-126.4312796</v>
      </c>
      <c r="F576" s="48">
        <f>IFERROR(DIVIDE(VLOOKUP($B576,Data!$B$3:$EZ1530,34,FALSE),VLOOKUP($B576,Data!$B$3:$EZ1530,4,FALSE)),"")</f>
        <v>-132.535545</v>
      </c>
      <c r="G576" s="48">
        <f>IFERROR(DIVIDE(VLOOKUP($B576,Data!$B$3:$EZ1530,39,FALSE),VLOOKUP($B576,Data!$B$3:$EZ1530,4,FALSE)),"")</f>
        <v>-126.4312796</v>
      </c>
      <c r="H576" s="48">
        <f>IFERROR(DIVIDE(VLOOKUP($B576,Data!$B$3:$EZ1530,44,FALSE),VLOOKUP($B576,Data!$B$3:$EZ1530,4,FALSE)),"")</f>
        <v>-92.56398104</v>
      </c>
      <c r="I576" s="48">
        <f>IFERROR(MINUS(DIVIDE(VLOOKUP($B576,Data!$B$3:$EZ1530,9,FALSE),VLOOKUP($B576,Data!$B$3:$EZ1530,10,FALSE)),1),"")</f>
        <v>0.7071583514</v>
      </c>
      <c r="J576" s="48" t="str">
        <f>IFERROR(MINUS(DIVIDE(VLOOKUP($B576,Data!$B$3:$EZ1530,24,FALSE),VLOOKUP($B576,Data!$B$3:$EZ1530,25,FALSE)),1),"")</f>
        <v/>
      </c>
      <c r="K576" s="48">
        <f>IFERROR(MINUS(DIVIDE(VLOOKUP($B576,Data!$B$3:$EZ1530,29,FALSE),VLOOKUP($B576,Data!$B$3:$EZ1530,30,FALSE)),1),"")</f>
        <v>0.5314886044</v>
      </c>
      <c r="L576" s="48">
        <f>IFERROR(MINUS(DIVIDE(VLOOKUP($B576,Data!$B$3:$EZ1530,34,FALSE),VLOOKUP($B576,Data!$B$3:$EZ1530,35,FALSE)),1),"")</f>
        <v>0.5698327158</v>
      </c>
      <c r="M576" s="48">
        <f>IFERROR(MINUS(DIVIDE(VLOOKUP($B576,Data!$B$3:$EZ1530,39,FALSE),VLOOKUP($B576,Data!$B$3:$EZ1530,40,FALSE)),1),"")</f>
        <v>0.5314886044</v>
      </c>
      <c r="N576" s="48">
        <f>IFERROR(MINUS(DIVIDE(VLOOKUP($B576,Data!$B$3:$EZ1530,44,FALSE),VLOOKUP($B576,Data!$B$3:$EZ1530,45,FALSE)),1),"")</f>
        <v>0.4426798641</v>
      </c>
      <c r="O576" s="50">
        <f>IFERROR(VLOOKUP($B576,Data!$B$3:$D1530,2,FALSE),"")</f>
        <v>328390</v>
      </c>
      <c r="P576" s="50">
        <f>IFERROR(VLOOKUP($B576,Data!$B$3:$D1530,3,FALSE),"")</f>
        <v>143930</v>
      </c>
      <c r="Q576" s="48">
        <f t="shared" si="2"/>
        <v>1.28159522</v>
      </c>
      <c r="R576" s="48"/>
      <c r="S576" s="48"/>
      <c r="T576" s="48"/>
      <c r="U576" s="48"/>
      <c r="V576" s="48"/>
      <c r="W576" s="50"/>
      <c r="Z576" s="11"/>
      <c r="AA576" s="11"/>
    </row>
    <row r="577">
      <c r="A577" s="9">
        <f t="shared" si="1"/>
        <v>574</v>
      </c>
      <c r="B577" s="47" t="s">
        <v>711</v>
      </c>
      <c r="C577" s="48">
        <f>IFERROR(DIVIDE(VLOOKUP($B577,Data!$B$3:$AB$1535,9,FALSE),VLOOKUP($B577,Data!$B$3:$AB$1535,4,FALSE)),"")</f>
        <v>0.4818181818</v>
      </c>
      <c r="D577" s="48">
        <f>IFERROR(DIVIDE(VLOOKUP($B577,Data!$B$3:$AB$1535,24,FALSE),VLOOKUP($B577,Data!$B$3:$AB$1535,4,FALSE)),"")</f>
        <v>0.03745909091</v>
      </c>
      <c r="E577" s="48">
        <f>IFERROR(DIVIDE(VLOOKUP($B577,Data!$B$3:$EZ1530,29,FALSE),VLOOKUP($B577,Data!$B$3:$EZ1530,4,FALSE)),"")</f>
        <v>0.03747272727</v>
      </c>
      <c r="F577" s="48">
        <f>IFERROR(DIVIDE(VLOOKUP($B577,Data!$B$3:$EZ1530,34,FALSE),VLOOKUP($B577,Data!$B$3:$EZ1530,4,FALSE)),"")</f>
        <v>0.06635909091</v>
      </c>
      <c r="G577" s="48">
        <f>IFERROR(DIVIDE(VLOOKUP($B577,Data!$B$3:$EZ1530,39,FALSE),VLOOKUP($B577,Data!$B$3:$EZ1530,4,FALSE)),"")</f>
        <v>0.02807272727</v>
      </c>
      <c r="H577" s="48">
        <f>IFERROR(DIVIDE(VLOOKUP($B577,Data!$B$3:$EZ1530,44,FALSE),VLOOKUP($B577,Data!$B$3:$EZ1530,4,FALSE)),"")</f>
        <v>0.05325909091</v>
      </c>
      <c r="I577" s="48">
        <f>IFERROR(MINUS(DIVIDE(VLOOKUP($B577,Data!$B$3:$EZ1530,9,FALSE),VLOOKUP($B577,Data!$B$3:$EZ1530,10,FALSE)),1),"")</f>
        <v>0.009523809524</v>
      </c>
      <c r="J577" s="48">
        <f>IFERROR(MINUS(DIVIDE(VLOOKUP($B577,Data!$B$3:$EZ1530,24,FALSE),VLOOKUP($B577,Data!$B$3:$EZ1530,25,FALSE)),1),"")</f>
        <v>0.01465156365</v>
      </c>
      <c r="K577" s="48">
        <f>IFERROR(MINUS(DIVIDE(VLOOKUP($B577,Data!$B$3:$EZ1530,29,FALSE),VLOOKUP($B577,Data!$B$3:$EZ1530,30,FALSE)),1),"")</f>
        <v>0.05341170457</v>
      </c>
      <c r="L577" s="48">
        <f>IFERROR(MINUS(DIVIDE(VLOOKUP($B577,Data!$B$3:$EZ1530,34,FALSE),VLOOKUP($B577,Data!$B$3:$EZ1530,35,FALSE)),1),"")</f>
        <v>0.06422218982</v>
      </c>
      <c r="M577" s="48">
        <f>IFERROR(MINUS(DIVIDE(VLOOKUP($B577,Data!$B$3:$EZ1530,39,FALSE),VLOOKUP($B577,Data!$B$3:$EZ1530,40,FALSE)),1),"")</f>
        <v>0.2057789926</v>
      </c>
      <c r="N577" s="48">
        <f>IFERROR(MINUS(DIVIDE(VLOOKUP($B577,Data!$B$3:$EZ1530,44,FALSE),VLOOKUP($B577,Data!$B$3:$EZ1530,45,FALSE)),1),"")</f>
        <v>-0.5059036856</v>
      </c>
      <c r="O577" s="50">
        <f>IFERROR(VLOOKUP($B577,Data!$B$3:$D1530,2,FALSE),"")</f>
        <v>2190000</v>
      </c>
      <c r="P577" s="50">
        <f>IFERROR(VLOOKUP($B577,Data!$B$3:$D1530,3,FALSE),"")</f>
        <v>1860000</v>
      </c>
      <c r="Q577" s="48">
        <f t="shared" si="2"/>
        <v>0.1774193548</v>
      </c>
      <c r="R577" s="48"/>
      <c r="S577" s="48"/>
      <c r="T577" s="48"/>
      <c r="U577" s="48"/>
      <c r="V577" s="48"/>
      <c r="W577" s="50"/>
      <c r="Z577" s="12"/>
      <c r="AA577" s="12"/>
    </row>
    <row r="578">
      <c r="A578" s="9">
        <f t="shared" si="1"/>
        <v>575</v>
      </c>
      <c r="B578" s="47" t="s">
        <v>712</v>
      </c>
      <c r="C578" s="48">
        <f>IFERROR(DIVIDE(VLOOKUP($B578,Data!$B$3:$AB$1535,9,FALSE),VLOOKUP($B578,Data!$B$3:$AB$1535,4,FALSE)),"")</f>
        <v>0.3793069307</v>
      </c>
      <c r="D578" s="48">
        <f>IFERROR(DIVIDE(VLOOKUP($B578,Data!$B$3:$AB$1535,24,FALSE),VLOOKUP($B578,Data!$B$3:$AB$1535,4,FALSE)),"")</f>
        <v>0.06267326733</v>
      </c>
      <c r="E578" s="48">
        <f>IFERROR(DIVIDE(VLOOKUP($B578,Data!$B$3:$EZ1530,29,FALSE),VLOOKUP($B578,Data!$B$3:$EZ1530,4,FALSE)),"")</f>
        <v>0.03405940594</v>
      </c>
      <c r="F578" s="48">
        <f>IFERROR(DIVIDE(VLOOKUP($B578,Data!$B$3:$EZ1530,34,FALSE),VLOOKUP($B578,Data!$B$3:$EZ1530,4,FALSE)),"")</f>
        <v>0.1335643564</v>
      </c>
      <c r="G578" s="48">
        <f>IFERROR(DIVIDE(VLOOKUP($B578,Data!$B$3:$EZ1530,39,FALSE),VLOOKUP($B578,Data!$B$3:$EZ1530,4,FALSE)),"")</f>
        <v>0.0401980198</v>
      </c>
      <c r="H578" s="48">
        <f>IFERROR(DIVIDE(VLOOKUP($B578,Data!$B$3:$EZ1530,44,FALSE),VLOOKUP($B578,Data!$B$3:$EZ1530,4,FALSE)),"")</f>
        <v>0.06366336634</v>
      </c>
      <c r="I578" s="48">
        <f>IFERROR(MINUS(DIVIDE(VLOOKUP($B578,Data!$B$3:$EZ1530,9,FALSE),VLOOKUP($B578,Data!$B$3:$EZ1530,10,FALSE)),1),"")</f>
        <v>-0.06538180044</v>
      </c>
      <c r="J578" s="48">
        <f>IFERROR(MINUS(DIVIDE(VLOOKUP($B578,Data!$B$3:$EZ1530,24,FALSE),VLOOKUP($B578,Data!$B$3:$EZ1530,25,FALSE)),1),"")</f>
        <v>2.331578947</v>
      </c>
      <c r="K578" s="48">
        <f>IFERROR(MINUS(DIVIDE(VLOOKUP($B578,Data!$B$3:$EZ1530,29,FALSE),VLOOKUP($B578,Data!$B$3:$EZ1530,30,FALSE)),1),"")</f>
        <v>2.276190476</v>
      </c>
      <c r="L578" s="48">
        <f>IFERROR(MINUS(DIVIDE(VLOOKUP($B578,Data!$B$3:$EZ1530,34,FALSE),VLOOKUP($B578,Data!$B$3:$EZ1530,35,FALSE)),1),"")</f>
        <v>-0.05399719495</v>
      </c>
      <c r="M578" s="48">
        <f>IFERROR(MINUS(DIVIDE(VLOOKUP($B578,Data!$B$3:$EZ1530,39,FALSE),VLOOKUP($B578,Data!$B$3:$EZ1530,40,FALSE)),1),"")</f>
        <v>-3.52173913</v>
      </c>
      <c r="N578" s="48">
        <f>IFERROR(MINUS(DIVIDE(VLOOKUP($B578,Data!$B$3:$EZ1530,44,FALSE),VLOOKUP($B578,Data!$B$3:$EZ1530,45,FALSE)),1),"")</f>
        <v>-2.116319444</v>
      </c>
      <c r="O578" s="50">
        <f>IFERROR(VLOOKUP($B578,Data!$B$3:$D1530,2,FALSE),"")</f>
        <v>911200</v>
      </c>
      <c r="P578" s="50">
        <f>IFERROR(VLOOKUP($B578,Data!$B$3:$D1530,3,FALSE),"")</f>
        <v>819200</v>
      </c>
      <c r="Q578" s="48">
        <f t="shared" si="2"/>
        <v>0.1123046875</v>
      </c>
      <c r="R578" s="48"/>
      <c r="S578" s="48"/>
      <c r="T578" s="48"/>
      <c r="U578" s="48"/>
      <c r="V578" s="48"/>
      <c r="W578" s="50"/>
      <c r="Z578" s="11"/>
      <c r="AA578" s="11"/>
    </row>
    <row r="579">
      <c r="A579" s="9">
        <f t="shared" si="1"/>
        <v>576</v>
      </c>
      <c r="B579" s="47" t="s">
        <v>713</v>
      </c>
      <c r="C579" s="48">
        <f>IFERROR(DIVIDE(VLOOKUP($B579,Data!$B$3:$AB$1535,9,FALSE),VLOOKUP($B579,Data!$B$3:$AB$1535,4,FALSE)),"")</f>
        <v>0.1794155019</v>
      </c>
      <c r="D579" s="48">
        <f>IFERROR(DIVIDE(VLOOKUP($B579,Data!$B$3:$AB$1535,24,FALSE),VLOOKUP($B579,Data!$B$3:$AB$1535,4,FALSE)),"")</f>
        <v>0</v>
      </c>
      <c r="E579" s="48">
        <f>IFERROR(DIVIDE(VLOOKUP($B579,Data!$B$3:$EZ1530,29,FALSE),VLOOKUP($B579,Data!$B$3:$EZ1530,4,FALSE)),"")</f>
        <v>0.1067344346</v>
      </c>
      <c r="F579" s="48">
        <f>IFERROR(DIVIDE(VLOOKUP($B579,Data!$B$3:$EZ1530,34,FALSE),VLOOKUP($B579,Data!$B$3:$EZ1530,4,FALSE)),"")</f>
        <v>0.1392630241</v>
      </c>
      <c r="G579" s="48">
        <f>IFERROR(DIVIDE(VLOOKUP($B579,Data!$B$3:$EZ1530,39,FALSE),VLOOKUP($B579,Data!$B$3:$EZ1530,4,FALSE)),"")</f>
        <v>0.08843710292</v>
      </c>
      <c r="H579" s="48">
        <f>IFERROR(DIVIDE(VLOOKUP($B579,Data!$B$3:$EZ1530,44,FALSE),VLOOKUP($B579,Data!$B$3:$EZ1530,4,FALSE)),"")</f>
        <v>0.07573062262</v>
      </c>
      <c r="I579" s="48">
        <f>IFERROR(MINUS(DIVIDE(VLOOKUP($B579,Data!$B$3:$EZ1530,9,FALSE),VLOOKUP($B579,Data!$B$3:$EZ1530,10,FALSE)),1),"")</f>
        <v>0.0505952381</v>
      </c>
      <c r="J579" s="48" t="str">
        <f>IFERROR(MINUS(DIVIDE(VLOOKUP($B579,Data!$B$3:$EZ1530,24,FALSE),VLOOKUP($B579,Data!$B$3:$EZ1530,25,FALSE)),1),"")</f>
        <v/>
      </c>
      <c r="K579" s="48">
        <f>IFERROR(MINUS(DIVIDE(VLOOKUP($B579,Data!$B$3:$EZ1530,29,FALSE),VLOOKUP($B579,Data!$B$3:$EZ1530,30,FALSE)),1),"")</f>
        <v>0.02689486553</v>
      </c>
      <c r="L579" s="48">
        <f>IFERROR(MINUS(DIVIDE(VLOOKUP($B579,Data!$B$3:$EZ1530,34,FALSE),VLOOKUP($B579,Data!$B$3:$EZ1530,35,FALSE)),1),"")</f>
        <v>0.04980842912</v>
      </c>
      <c r="M579" s="48">
        <f>IFERROR(MINUS(DIVIDE(VLOOKUP($B579,Data!$B$3:$EZ1530,39,FALSE),VLOOKUP($B579,Data!$B$3:$EZ1530,40,FALSE)),1),"")</f>
        <v>0.03571428571</v>
      </c>
      <c r="N579" s="48">
        <f>IFERROR(MINUS(DIVIDE(VLOOKUP($B579,Data!$B$3:$EZ1530,44,FALSE),VLOOKUP($B579,Data!$B$3:$EZ1530,45,FALSE)),1),"")</f>
        <v>-0.05396825397</v>
      </c>
      <c r="O579" s="50">
        <f>IFERROR(VLOOKUP($B579,Data!$B$3:$D1530,2,FALSE),"")</f>
        <v>40240000</v>
      </c>
      <c r="P579" s="50">
        <f>IFERROR(VLOOKUP($B579,Data!$B$3:$D1530,3,FALSE),"")</f>
        <v>38810000</v>
      </c>
      <c r="Q579" s="48">
        <f t="shared" si="2"/>
        <v>0.03684617367</v>
      </c>
      <c r="R579" s="48"/>
      <c r="S579" s="48"/>
      <c r="T579" s="48"/>
      <c r="U579" s="48"/>
      <c r="V579" s="48"/>
      <c r="W579" s="50"/>
      <c r="Z579" s="11"/>
      <c r="AA579" s="11"/>
    </row>
    <row r="580">
      <c r="A580" s="9">
        <f t="shared" si="1"/>
        <v>577</v>
      </c>
      <c r="B580" s="47" t="s">
        <v>714</v>
      </c>
      <c r="C580" s="48">
        <f>IFERROR(DIVIDE(VLOOKUP($B580,Data!$B$3:$AB$1535,9,FALSE),VLOOKUP($B580,Data!$B$3:$AB$1535,4,FALSE)),"")</f>
        <v>0.285912411</v>
      </c>
      <c r="D580" s="48">
        <f>IFERROR(DIVIDE(VLOOKUP($B580,Data!$B$3:$AB$1535,24,FALSE),VLOOKUP($B580,Data!$B$3:$AB$1535,4,FALSE)),"")</f>
        <v>0.03662382758</v>
      </c>
      <c r="E580" s="48">
        <f>IFERROR(DIVIDE(VLOOKUP($B580,Data!$B$3:$EZ1530,29,FALSE),VLOOKUP($B580,Data!$B$3:$EZ1530,4,FALSE)),"")</f>
        <v>-0.04255144287</v>
      </c>
      <c r="F580" s="48">
        <f>IFERROR(DIVIDE(VLOOKUP($B580,Data!$B$3:$EZ1530,34,FALSE),VLOOKUP($B580,Data!$B$3:$EZ1530,4,FALSE)),"")</f>
        <v>0.1736678275</v>
      </c>
      <c r="G580" s="48">
        <f>IFERROR(DIVIDE(VLOOKUP($B580,Data!$B$3:$EZ1530,39,FALSE),VLOOKUP($B580,Data!$B$3:$EZ1530,4,FALSE)),"")</f>
        <v>-0.04063036131</v>
      </c>
      <c r="H580" s="48">
        <f>IFERROR(DIVIDE(VLOOKUP($B580,Data!$B$3:$EZ1530,44,FALSE),VLOOKUP($B580,Data!$B$3:$EZ1530,4,FALSE)),"")</f>
        <v>0.1170216045</v>
      </c>
      <c r="I580" s="48">
        <f>IFERROR(MINUS(DIVIDE(VLOOKUP($B580,Data!$B$3:$EZ1530,9,FALSE),VLOOKUP($B580,Data!$B$3:$EZ1530,10,FALSE)),1),"")</f>
        <v>0.1447904241</v>
      </c>
      <c r="J580" s="48">
        <f>IFERROR(MINUS(DIVIDE(VLOOKUP($B580,Data!$B$3:$EZ1530,24,FALSE),VLOOKUP($B580,Data!$B$3:$EZ1530,25,FALSE)),1),"")</f>
        <v>-0.3774013273</v>
      </c>
      <c r="K580" s="48">
        <f>IFERROR(MINUS(DIVIDE(VLOOKUP($B580,Data!$B$3:$EZ1530,29,FALSE),VLOOKUP($B580,Data!$B$3:$EZ1530,30,FALSE)),1),"")</f>
        <v>2.671985816</v>
      </c>
      <c r="L580" s="48">
        <f>IFERROR(MINUS(DIVIDE(VLOOKUP($B580,Data!$B$3:$EZ1530,34,FALSE),VLOOKUP($B580,Data!$B$3:$EZ1530,35,FALSE)),1),"")</f>
        <v>0.1000845969</v>
      </c>
      <c r="M580" s="48">
        <f>IFERROR(MINUS(DIVIDE(VLOOKUP($B580,Data!$B$3:$EZ1530,39,FALSE),VLOOKUP($B580,Data!$B$3:$EZ1530,40,FALSE)),1),"")</f>
        <v>0.8914395026</v>
      </c>
      <c r="N580" s="48">
        <f>IFERROR(MINUS(DIVIDE(VLOOKUP($B580,Data!$B$3:$EZ1530,44,FALSE),VLOOKUP($B580,Data!$B$3:$EZ1530,45,FALSE)),1),"")</f>
        <v>0.1655581705</v>
      </c>
      <c r="O580" s="50">
        <f>IFERROR(VLOOKUP($B580,Data!$B$3:$D1530,2,FALSE),"")</f>
        <v>845560</v>
      </c>
      <c r="P580" s="50">
        <f>IFERROR(VLOOKUP($B580,Data!$B$3:$D1530,3,FALSE),"")</f>
        <v>607930</v>
      </c>
      <c r="Q580" s="48">
        <f t="shared" si="2"/>
        <v>0.3908838189</v>
      </c>
      <c r="R580" s="48"/>
      <c r="S580" s="48"/>
      <c r="T580" s="48"/>
      <c r="U580" s="48"/>
      <c r="V580" s="48"/>
      <c r="W580" s="50"/>
      <c r="Z580" s="11"/>
      <c r="AA580" s="11"/>
    </row>
    <row r="581">
      <c r="A581" s="9">
        <f t="shared" si="1"/>
        <v>578</v>
      </c>
      <c r="B581" s="47" t="s">
        <v>715</v>
      </c>
      <c r="C581" s="48">
        <f>IFERROR(DIVIDE(VLOOKUP($B581,Data!$B$3:$AB$1535,9,FALSE),VLOOKUP($B581,Data!$B$3:$AB$1535,4,FALSE)),"")</f>
        <v>0.2755440797</v>
      </c>
      <c r="D581" s="48">
        <f>IFERROR(DIVIDE(VLOOKUP($B581,Data!$B$3:$AB$1535,24,FALSE),VLOOKUP($B581,Data!$B$3:$AB$1535,4,FALSE)),"")</f>
        <v>0</v>
      </c>
      <c r="E581" s="48">
        <f>IFERROR(DIVIDE(VLOOKUP($B581,Data!$B$3:$EZ1530,29,FALSE),VLOOKUP($B581,Data!$B$3:$EZ1530,4,FALSE)),"")</f>
        <v>0.157629411</v>
      </c>
      <c r="F581" s="48">
        <f>IFERROR(DIVIDE(VLOOKUP($B581,Data!$B$3:$EZ1530,34,FALSE),VLOOKUP($B581,Data!$B$3:$EZ1530,4,FALSE)),"")</f>
        <v>0.1361121357</v>
      </c>
      <c r="G581" s="48">
        <f>IFERROR(DIVIDE(VLOOKUP($B581,Data!$B$3:$EZ1530,39,FALSE),VLOOKUP($B581,Data!$B$3:$EZ1530,4,FALSE)),"")</f>
        <v>0.125414976</v>
      </c>
      <c r="H581" s="48">
        <f>IFERROR(DIVIDE(VLOOKUP($B581,Data!$B$3:$EZ1530,44,FALSE),VLOOKUP($B581,Data!$B$3:$EZ1530,4,FALSE)),"")</f>
        <v>0.05114963728</v>
      </c>
      <c r="I581" s="48">
        <f>IFERROR(MINUS(DIVIDE(VLOOKUP($B581,Data!$B$3:$EZ1530,9,FALSE),VLOOKUP($B581,Data!$B$3:$EZ1530,10,FALSE)),1),"")</f>
        <v>-0.1638059701</v>
      </c>
      <c r="J581" s="48" t="str">
        <f>IFERROR(MINUS(DIVIDE(VLOOKUP($B581,Data!$B$3:$EZ1530,24,FALSE),VLOOKUP($B581,Data!$B$3:$EZ1530,25,FALSE)),1),"")</f>
        <v/>
      </c>
      <c r="K581" s="48">
        <f>IFERROR(MINUS(DIVIDE(VLOOKUP($B581,Data!$B$3:$EZ1530,29,FALSE),VLOOKUP($B581,Data!$B$3:$EZ1530,30,FALSE)),1),"")</f>
        <v>-0.1487383798</v>
      </c>
      <c r="L581" s="48">
        <f>IFERROR(MINUS(DIVIDE(VLOOKUP($B581,Data!$B$3:$EZ1530,34,FALSE),VLOOKUP($B581,Data!$B$3:$EZ1530,35,FALSE)),1),"")</f>
        <v>-0.2750491159</v>
      </c>
      <c r="M581" s="48">
        <f>IFERROR(MINUS(DIVIDE(VLOOKUP($B581,Data!$B$3:$EZ1530,39,FALSE),VLOOKUP($B581,Data!$B$3:$EZ1530,40,FALSE)),1),"")</f>
        <v>-0.1962174941</v>
      </c>
      <c r="N581" s="48">
        <f>IFERROR(MINUS(DIVIDE(VLOOKUP($B581,Data!$B$3:$EZ1530,44,FALSE),VLOOKUP($B581,Data!$B$3:$EZ1530,45,FALSE)),1),"")</f>
        <v>-1.346666667</v>
      </c>
      <c r="O581" s="50" t="str">
        <f>IFERROR(VLOOKUP($B581,Data!$B$3:$D1530,2,FALSE),"")</f>
        <v/>
      </c>
      <c r="P581" s="50" t="str">
        <f>IFERROR(VLOOKUP($B581,Data!$B$3:$D1530,3,FALSE),"")</f>
        <v/>
      </c>
      <c r="Q581" s="48" t="str">
        <f t="shared" si="2"/>
        <v/>
      </c>
      <c r="R581" s="48"/>
      <c r="S581" s="48"/>
      <c r="T581" s="48"/>
      <c r="U581" s="48"/>
      <c r="V581" s="48"/>
      <c r="W581" s="50"/>
      <c r="Z581" s="11"/>
      <c r="AA581" s="11"/>
    </row>
    <row r="582">
      <c r="A582" s="9">
        <f t="shared" si="1"/>
        <v>579</v>
      </c>
      <c r="B582" s="47" t="s">
        <v>716</v>
      </c>
      <c r="C582" s="48">
        <f>IFERROR(DIVIDE(VLOOKUP($B582,Data!$B$3:$AB$1535,9,FALSE),VLOOKUP($B582,Data!$B$3:$AB$1535,4,FALSE)),"")</f>
        <v>-10.04</v>
      </c>
      <c r="D582" s="48">
        <f>IFERROR(DIVIDE(VLOOKUP($B582,Data!$B$3:$AB$1535,24,FALSE),VLOOKUP($B582,Data!$B$3:$AB$1535,4,FALSE)),"")</f>
        <v>-300.8</v>
      </c>
      <c r="E582" s="48">
        <f>IFERROR(DIVIDE(VLOOKUP($B582,Data!$B$3:$EZ1530,29,FALSE),VLOOKUP($B582,Data!$B$3:$EZ1530,4,FALSE)),"")</f>
        <v>-291.2</v>
      </c>
      <c r="F582" s="48">
        <f>IFERROR(DIVIDE(VLOOKUP($B582,Data!$B$3:$EZ1530,34,FALSE),VLOOKUP($B582,Data!$B$3:$EZ1530,4,FALSE)),"")</f>
        <v>-274.4</v>
      </c>
      <c r="G582" s="48">
        <f>IFERROR(DIVIDE(VLOOKUP($B582,Data!$B$3:$EZ1530,39,FALSE),VLOOKUP($B582,Data!$B$3:$EZ1530,4,FALSE)),"")</f>
        <v>-257.2</v>
      </c>
      <c r="H582" s="48">
        <f>IFERROR(DIVIDE(VLOOKUP($B582,Data!$B$3:$EZ1530,44,FALSE),VLOOKUP($B582,Data!$B$3:$EZ1530,4,FALSE)),"")</f>
        <v>-242</v>
      </c>
      <c r="I582" s="48">
        <f>IFERROR(MINUS(DIVIDE(VLOOKUP($B582,Data!$B$3:$EZ1530,9,FALSE),VLOOKUP($B582,Data!$B$3:$EZ1530,10,FALSE)),1),"")</f>
        <v>-0.2808022923</v>
      </c>
      <c r="J582" s="48" t="str">
        <f>IFERROR(MINUS(DIVIDE(VLOOKUP($B582,Data!$B$3:$EZ1530,24,FALSE),VLOOKUP($B582,Data!$B$3:$EZ1530,25,FALSE)),1),"")</f>
        <v/>
      </c>
      <c r="K582" s="48">
        <f>IFERROR(MINUS(DIVIDE(VLOOKUP($B582,Data!$B$3:$EZ1530,29,FALSE),VLOOKUP($B582,Data!$B$3:$EZ1530,30,FALSE)),1),"")</f>
        <v>0.2638888889</v>
      </c>
      <c r="L582" s="48">
        <f>IFERROR(MINUS(DIVIDE(VLOOKUP($B582,Data!$B$3:$EZ1530,34,FALSE),VLOOKUP($B582,Data!$B$3:$EZ1530,35,FALSE)),1),"")</f>
        <v>0.1011235955</v>
      </c>
      <c r="M582" s="48">
        <f>IFERROR(MINUS(DIVIDE(VLOOKUP($B582,Data!$B$3:$EZ1530,39,FALSE),VLOOKUP($B582,Data!$B$3:$EZ1530,40,FALSE)),1),"")</f>
        <v>0.1776556777</v>
      </c>
      <c r="N582" s="48">
        <f>IFERROR(MINUS(DIVIDE(VLOOKUP($B582,Data!$B$3:$EZ1530,44,FALSE),VLOOKUP($B582,Data!$B$3:$EZ1530,45,FALSE)),1),"")</f>
        <v>0.07651245552</v>
      </c>
      <c r="O582" s="50" t="str">
        <f>IFERROR(VLOOKUP($B582,Data!$B$3:$D1530,2,FALSE),"")</f>
        <v/>
      </c>
      <c r="P582" s="50" t="str">
        <f>IFERROR(VLOOKUP($B582,Data!$B$3:$D1530,3,FALSE),"")</f>
        <v/>
      </c>
      <c r="Q582" s="48" t="str">
        <f t="shared" si="2"/>
        <v/>
      </c>
      <c r="R582" s="48"/>
      <c r="S582" s="48"/>
      <c r="T582" s="48"/>
      <c r="U582" s="48"/>
      <c r="V582" s="48"/>
      <c r="W582" s="50"/>
      <c r="Z582" s="15"/>
      <c r="AA582" s="15"/>
    </row>
    <row r="583">
      <c r="A583" s="9">
        <f t="shared" si="1"/>
        <v>580</v>
      </c>
      <c r="B583" s="47" t="s">
        <v>717</v>
      </c>
      <c r="C583" s="48">
        <f>IFERROR(DIVIDE(VLOOKUP($B583,Data!$B$3:$AB$1535,9,FALSE),VLOOKUP($B583,Data!$B$3:$AB$1535,4,FALSE)),"")</f>
        <v>0</v>
      </c>
      <c r="D583" s="48">
        <f>IFERROR(DIVIDE(VLOOKUP($B583,Data!$B$3:$AB$1535,24,FALSE),VLOOKUP($B583,Data!$B$3:$AB$1535,4,FALSE)),"")</f>
        <v>-158.0434783</v>
      </c>
      <c r="E583" s="48">
        <f>IFERROR(DIVIDE(VLOOKUP($B583,Data!$B$3:$EZ1530,29,FALSE),VLOOKUP($B583,Data!$B$3:$EZ1530,4,FALSE)),"")</f>
        <v>-149.0217391</v>
      </c>
      <c r="F583" s="48">
        <f>IFERROR(DIVIDE(VLOOKUP($B583,Data!$B$3:$EZ1530,34,FALSE),VLOOKUP($B583,Data!$B$3:$EZ1530,4,FALSE)),"")</f>
        <v>-155.9347826</v>
      </c>
      <c r="G583" s="48">
        <f>IFERROR(DIVIDE(VLOOKUP($B583,Data!$B$3:$EZ1530,39,FALSE),VLOOKUP($B583,Data!$B$3:$EZ1530,4,FALSE)),"")</f>
        <v>-149.0217391</v>
      </c>
      <c r="H583" s="48">
        <f>IFERROR(DIVIDE(VLOOKUP($B583,Data!$B$3:$EZ1530,44,FALSE),VLOOKUP($B583,Data!$B$3:$EZ1530,4,FALSE)),"")</f>
        <v>-93.84782609</v>
      </c>
      <c r="I583" s="48" t="str">
        <f>IFERROR(MINUS(DIVIDE(VLOOKUP($B583,Data!$B$3:$EZ1530,9,FALSE),VLOOKUP($B583,Data!$B$3:$EZ1530,10,FALSE)),1),"")</f>
        <v/>
      </c>
      <c r="J583" s="48">
        <f>IFERROR(MINUS(DIVIDE(VLOOKUP($B583,Data!$B$3:$EZ1530,24,FALSE),VLOOKUP($B583,Data!$B$3:$EZ1530,25,FALSE)),1),"")</f>
        <v>1.299905093</v>
      </c>
      <c r="K583" s="48">
        <f>IFERROR(MINUS(DIVIDE(VLOOKUP($B583,Data!$B$3:$EZ1530,29,FALSE),VLOOKUP($B583,Data!$B$3:$EZ1530,30,FALSE)),1),"")</f>
        <v>1.537009623</v>
      </c>
      <c r="L583" s="48">
        <f>IFERROR(MINUS(DIVIDE(VLOOKUP($B583,Data!$B$3:$EZ1530,34,FALSE),VLOOKUP($B583,Data!$B$3:$EZ1530,35,FALSE)),1),"")</f>
        <v>1.313124798</v>
      </c>
      <c r="M583" s="48">
        <f>IFERROR(MINUS(DIVIDE(VLOOKUP($B583,Data!$B$3:$EZ1530,39,FALSE),VLOOKUP($B583,Data!$B$3:$EZ1530,40,FALSE)),1),"")</f>
        <v>1.537009623</v>
      </c>
      <c r="N583" s="48">
        <f>IFERROR(MINUS(DIVIDE(VLOOKUP($B583,Data!$B$3:$EZ1530,44,FALSE),VLOOKUP($B583,Data!$B$3:$EZ1530,45,FALSE)),1),"")</f>
        <v>1.05473584</v>
      </c>
      <c r="O583" s="50" t="str">
        <f>IFERROR(VLOOKUP($B583,Data!$B$3:$D1530,2,FALSE),"")</f>
        <v/>
      </c>
      <c r="P583" s="50" t="str">
        <f>IFERROR(VLOOKUP($B583,Data!$B$3:$D1530,3,FALSE),"")</f>
        <v/>
      </c>
      <c r="Q583" s="48" t="str">
        <f t="shared" si="2"/>
        <v/>
      </c>
      <c r="R583" s="48"/>
      <c r="S583" s="48"/>
      <c r="T583" s="48"/>
      <c r="U583" s="48"/>
      <c r="V583" s="48"/>
      <c r="W583" s="50"/>
      <c r="Z583" s="11"/>
      <c r="AA583" s="11"/>
    </row>
    <row r="584">
      <c r="A584" s="9">
        <f t="shared" si="1"/>
        <v>581</v>
      </c>
      <c r="B584" s="47" t="s">
        <v>718</v>
      </c>
      <c r="C584" s="48">
        <f>IFERROR(DIVIDE(VLOOKUP($B584,Data!$B$3:$AB$1535,9,FALSE),VLOOKUP($B584,Data!$B$3:$AB$1535,4,FALSE)),"")</f>
        <v>0.3768656716</v>
      </c>
      <c r="D584" s="48">
        <f>IFERROR(DIVIDE(VLOOKUP($B584,Data!$B$3:$AB$1535,24,FALSE),VLOOKUP($B584,Data!$B$3:$AB$1535,4,FALSE)),"")</f>
        <v>0.05289179104</v>
      </c>
      <c r="E584" s="48">
        <f>IFERROR(DIVIDE(VLOOKUP($B584,Data!$B$3:$EZ1530,29,FALSE),VLOOKUP($B584,Data!$B$3:$EZ1530,4,FALSE)),"")</f>
        <v>0.04617164179</v>
      </c>
      <c r="F584" s="48">
        <f>IFERROR(DIVIDE(VLOOKUP($B584,Data!$B$3:$EZ1530,34,FALSE),VLOOKUP($B584,Data!$B$3:$EZ1530,4,FALSE)),"")</f>
        <v>0.08024626866</v>
      </c>
      <c r="G584" s="48">
        <f>IFERROR(DIVIDE(VLOOKUP($B584,Data!$B$3:$EZ1530,39,FALSE),VLOOKUP($B584,Data!$B$3:$EZ1530,4,FALSE)),"")</f>
        <v>0.03549626866</v>
      </c>
      <c r="H584" s="48">
        <f>IFERROR(DIVIDE(VLOOKUP($B584,Data!$B$3:$EZ1530,44,FALSE),VLOOKUP($B584,Data!$B$3:$EZ1530,4,FALSE)),"")</f>
        <v>0.07384701493</v>
      </c>
      <c r="I584" s="48">
        <f>IFERROR(MINUS(DIVIDE(VLOOKUP($B584,Data!$B$3:$EZ1530,9,FALSE),VLOOKUP($B584,Data!$B$3:$EZ1530,10,FALSE)),1),"")</f>
        <v>0.06695400477</v>
      </c>
      <c r="J584" s="48">
        <f>IFERROR(MINUS(DIVIDE(VLOOKUP($B584,Data!$B$3:$EZ1530,24,FALSE),VLOOKUP($B584,Data!$B$3:$EZ1530,25,FALSE)),1),"")</f>
        <v>1.071762643</v>
      </c>
      <c r="K584" s="48">
        <f>IFERROR(MINUS(DIVIDE(VLOOKUP($B584,Data!$B$3:$EZ1530,29,FALSE),VLOOKUP($B584,Data!$B$3:$EZ1530,30,FALSE)),1),"")</f>
        <v>1.649111539</v>
      </c>
      <c r="L584" s="48">
        <f>IFERROR(MINUS(DIVIDE(VLOOKUP($B584,Data!$B$3:$EZ1530,34,FALSE),VLOOKUP($B584,Data!$B$3:$EZ1530,35,FALSE)),1),"")</f>
        <v>0.1968390005</v>
      </c>
      <c r="M584" s="48">
        <f>IFERROR(MINUS(DIVIDE(VLOOKUP($B584,Data!$B$3:$EZ1530,39,FALSE),VLOOKUP($B584,Data!$B$3:$EZ1530,40,FALSE)),1),"")</f>
        <v>6.131184408</v>
      </c>
      <c r="N584" s="48">
        <f>IFERROR(MINUS(DIVIDE(VLOOKUP($B584,Data!$B$3:$EZ1530,44,FALSE),VLOOKUP($B584,Data!$B$3:$EZ1530,45,FALSE)),1),"")</f>
        <v>1.422992165</v>
      </c>
      <c r="O584" s="50">
        <f>IFERROR(VLOOKUP($B584,Data!$B$3:$D1530,2,FALSE),"")</f>
        <v>2360000</v>
      </c>
      <c r="P584" s="50">
        <f>IFERROR(VLOOKUP($B584,Data!$B$3:$D1530,3,FALSE),"")</f>
        <v>2050000</v>
      </c>
      <c r="Q584" s="48">
        <f t="shared" si="2"/>
        <v>0.1512195122</v>
      </c>
      <c r="R584" s="48"/>
      <c r="S584" s="48"/>
      <c r="T584" s="48"/>
      <c r="U584" s="48"/>
      <c r="V584" s="48"/>
      <c r="W584" s="50"/>
      <c r="Z584" s="12"/>
      <c r="AA584" s="12"/>
    </row>
    <row r="585">
      <c r="A585" s="9">
        <f t="shared" si="1"/>
        <v>582</v>
      </c>
      <c r="B585" s="47" t="s">
        <v>719</v>
      </c>
      <c r="C585" s="48">
        <f>IFERROR(DIVIDE(VLOOKUP($B585,Data!$B$3:$AB$1535,9,FALSE),VLOOKUP($B585,Data!$B$3:$AB$1535,4,FALSE)),"")</f>
        <v>-0.5153123724</v>
      </c>
      <c r="D585" s="48">
        <f>IFERROR(DIVIDE(VLOOKUP($B585,Data!$B$3:$AB$1535,24,FALSE),VLOOKUP($B585,Data!$B$3:$AB$1535,4,FALSE)),"")</f>
        <v>-1.05920784</v>
      </c>
      <c r="E585" s="48">
        <f>IFERROR(DIVIDE(VLOOKUP($B585,Data!$B$3:$EZ1530,29,FALSE),VLOOKUP($B585,Data!$B$3:$EZ1530,4,FALSE)),"")</f>
        <v>-1.170273581</v>
      </c>
      <c r="F585" s="48">
        <f>IFERROR(DIVIDE(VLOOKUP($B585,Data!$B$3:$EZ1530,34,FALSE),VLOOKUP($B585,Data!$B$3:$EZ1530,4,FALSE)),"")</f>
        <v>-0.8023683136</v>
      </c>
      <c r="G585" s="48">
        <f>IFERROR(DIVIDE(VLOOKUP($B585,Data!$B$3:$EZ1530,39,FALSE),VLOOKUP($B585,Data!$B$3:$EZ1530,4,FALSE)),"")</f>
        <v>-1.170273581</v>
      </c>
      <c r="H585" s="48">
        <f>IFERROR(DIVIDE(VLOOKUP($B585,Data!$B$3:$EZ1530,44,FALSE),VLOOKUP($B585,Data!$B$3:$EZ1530,4,FALSE)),"")</f>
        <v>-0.8509595753</v>
      </c>
      <c r="I585" s="48">
        <f>IFERROR(MINUS(DIVIDE(VLOOKUP($B585,Data!$B$3:$EZ1530,9,FALSE),VLOOKUP($B585,Data!$B$3:$EZ1530,10,FALSE)),1),"")</f>
        <v>0.4132138858</v>
      </c>
      <c r="J585" s="48">
        <f>IFERROR(MINUS(DIVIDE(VLOOKUP($B585,Data!$B$3:$EZ1530,24,FALSE),VLOOKUP($B585,Data!$B$3:$EZ1530,25,FALSE)),1),"")</f>
        <v>0.04850444624</v>
      </c>
      <c r="K585" s="48">
        <f>IFERROR(MINUS(DIVIDE(VLOOKUP($B585,Data!$B$3:$EZ1530,29,FALSE),VLOOKUP($B585,Data!$B$3:$EZ1530,30,FALSE)),1),"")</f>
        <v>0.02430307362</v>
      </c>
      <c r="L585" s="48">
        <f>IFERROR(MINUS(DIVIDE(VLOOKUP($B585,Data!$B$3:$EZ1530,34,FALSE),VLOOKUP($B585,Data!$B$3:$EZ1530,35,FALSE)),1),"")</f>
        <v>0.269379845</v>
      </c>
      <c r="M585" s="48">
        <f>IFERROR(MINUS(DIVIDE(VLOOKUP($B585,Data!$B$3:$EZ1530,39,FALSE),VLOOKUP($B585,Data!$B$3:$EZ1530,40,FALSE)),1),"")</f>
        <v>0.02430307362</v>
      </c>
      <c r="N585" s="48">
        <f>IFERROR(MINUS(DIVIDE(VLOOKUP($B585,Data!$B$3:$EZ1530,44,FALSE),VLOOKUP($B585,Data!$B$3:$EZ1530,45,FALSE)),1),"")</f>
        <v>0.3148264984</v>
      </c>
      <c r="O585" s="50">
        <f>IFERROR(VLOOKUP($B585,Data!$B$3:$D1530,2,FALSE),"")</f>
        <v>10100</v>
      </c>
      <c r="P585" s="50">
        <f>IFERROR(VLOOKUP($B585,Data!$B$3:$D1530,3,FALSE),"")</f>
        <v>3970</v>
      </c>
      <c r="Q585" s="48">
        <f t="shared" si="2"/>
        <v>1.544080605</v>
      </c>
      <c r="R585" s="48"/>
      <c r="S585" s="48"/>
      <c r="T585" s="48"/>
      <c r="U585" s="48"/>
      <c r="V585" s="48"/>
      <c r="W585" s="50"/>
      <c r="Z585" s="12"/>
      <c r="AA585" s="12"/>
    </row>
    <row r="586">
      <c r="A586" s="9">
        <f t="shared" si="1"/>
        <v>583</v>
      </c>
      <c r="B586" s="47" t="s">
        <v>720</v>
      </c>
      <c r="C586" s="48">
        <f>IFERROR(DIVIDE(VLOOKUP($B586,Data!$B$3:$AB$1535,9,FALSE),VLOOKUP($B586,Data!$B$3:$AB$1535,4,FALSE)),"")</f>
        <v>0.2598687783</v>
      </c>
      <c r="D586" s="48">
        <f>IFERROR(DIVIDE(VLOOKUP($B586,Data!$B$3:$AB$1535,24,FALSE),VLOOKUP($B586,Data!$B$3:$AB$1535,4,FALSE)),"")</f>
        <v>0.06033936652</v>
      </c>
      <c r="E586" s="48">
        <f>IFERROR(DIVIDE(VLOOKUP($B586,Data!$B$3:$EZ1530,29,FALSE),VLOOKUP($B586,Data!$B$3:$EZ1530,4,FALSE)),"")</f>
        <v>0.03266063348</v>
      </c>
      <c r="F586" s="48">
        <f>IFERROR(DIVIDE(VLOOKUP($B586,Data!$B$3:$EZ1530,34,FALSE),VLOOKUP($B586,Data!$B$3:$EZ1530,4,FALSE)),"")</f>
        <v>0.08757466063</v>
      </c>
      <c r="G586" s="48">
        <f>IFERROR(DIVIDE(VLOOKUP($B586,Data!$B$3:$EZ1530,39,FALSE),VLOOKUP($B586,Data!$B$3:$EZ1530,4,FALSE)),"")</f>
        <v>0.02064253394</v>
      </c>
      <c r="H586" s="48">
        <f>IFERROR(DIVIDE(VLOOKUP($B586,Data!$B$3:$EZ1530,44,FALSE),VLOOKUP($B586,Data!$B$3:$EZ1530,4,FALSE)),"")</f>
        <v>0.05156561086</v>
      </c>
      <c r="I586" s="48">
        <f>IFERROR(MINUS(DIVIDE(VLOOKUP($B586,Data!$B$3:$EZ1530,9,FALSE),VLOOKUP($B586,Data!$B$3:$EZ1530,10,FALSE)),1),"")</f>
        <v>0.1212174456</v>
      </c>
      <c r="J586" s="48">
        <f>IFERROR(MINUS(DIVIDE(VLOOKUP($B586,Data!$B$3:$EZ1530,24,FALSE),VLOOKUP($B586,Data!$B$3:$EZ1530,25,FALSE)),1),"")</f>
        <v>-19051</v>
      </c>
      <c r="K586" s="48">
        <f>IFERROR(MINUS(DIVIDE(VLOOKUP($B586,Data!$B$3:$EZ1530,29,FALSE),VLOOKUP($B586,Data!$B$3:$EZ1530,30,FALSE)),1),"")</f>
        <v>1.13487134</v>
      </c>
      <c r="L586" s="48">
        <f>IFERROR(MINUS(DIVIDE(VLOOKUP($B586,Data!$B$3:$EZ1530,34,FALSE),VLOOKUP($B586,Data!$B$3:$EZ1530,35,FALSE)),1),"")</f>
        <v>0.3081446435</v>
      </c>
      <c r="M586" s="48">
        <f>IFERROR(MINUS(DIVIDE(VLOOKUP($B586,Data!$B$3:$EZ1530,39,FALSE),VLOOKUP($B586,Data!$B$3:$EZ1530,40,FALSE)),1),"")</f>
        <v>0.3716175586</v>
      </c>
      <c r="N586" s="48">
        <f>IFERROR(MINUS(DIVIDE(VLOOKUP($B586,Data!$B$3:$EZ1530,44,FALSE),VLOOKUP($B586,Data!$B$3:$EZ1530,45,FALSE)),1),"")</f>
        <v>0.9584120983</v>
      </c>
      <c r="O586" s="50">
        <f>IFERROR(VLOOKUP($B586,Data!$B$3:$D1530,2,FALSE),"")</f>
        <v>2170000</v>
      </c>
      <c r="P586" s="50">
        <f>IFERROR(VLOOKUP($B586,Data!$B$3:$D1530,3,FALSE),"")</f>
        <v>2160000</v>
      </c>
      <c r="Q586" s="48">
        <f t="shared" si="2"/>
        <v>0.00462962963</v>
      </c>
      <c r="R586" s="48"/>
      <c r="S586" s="48"/>
      <c r="T586" s="48"/>
      <c r="U586" s="48"/>
      <c r="V586" s="48"/>
      <c r="W586" s="50"/>
      <c r="Z586" s="11"/>
      <c r="AA586" s="11"/>
    </row>
    <row r="587">
      <c r="A587" s="9">
        <f t="shared" si="1"/>
        <v>584</v>
      </c>
      <c r="B587" s="47" t="s">
        <v>721</v>
      </c>
      <c r="C587" s="48">
        <f>IFERROR(DIVIDE(VLOOKUP($B587,Data!$B$3:$AB$1535,9,FALSE),VLOOKUP($B587,Data!$B$3:$AB$1535,4,FALSE)),"")</f>
        <v>0.277816655</v>
      </c>
      <c r="D587" s="48">
        <f>IFERROR(DIVIDE(VLOOKUP($B587,Data!$B$3:$AB$1535,24,FALSE),VLOOKUP($B587,Data!$B$3:$AB$1535,4,FALSE)),"")</f>
        <v>0.1427571728</v>
      </c>
      <c r="E587" s="48">
        <f>IFERROR(DIVIDE(VLOOKUP($B587,Data!$B$3:$EZ1530,29,FALSE),VLOOKUP($B587,Data!$B$3:$EZ1530,4,FALSE)),"")</f>
        <v>0.1170982039</v>
      </c>
      <c r="F587" s="48">
        <f>IFERROR(DIVIDE(VLOOKUP($B587,Data!$B$3:$EZ1530,34,FALSE),VLOOKUP($B587,Data!$B$3:$EZ1530,4,FALSE)),"")</f>
        <v>0.4564963844</v>
      </c>
      <c r="G587" s="48">
        <f>IFERROR(DIVIDE(VLOOKUP($B587,Data!$B$3:$EZ1530,39,FALSE),VLOOKUP($B587,Data!$B$3:$EZ1530,4,FALSE)),"")</f>
        <v>0.05435036156</v>
      </c>
      <c r="H587" s="48">
        <f>IFERROR(DIVIDE(VLOOKUP($B587,Data!$B$3:$EZ1530,44,FALSE),VLOOKUP($B587,Data!$B$3:$EZ1530,4,FALSE)),"")</f>
        <v>0.3013762538</v>
      </c>
      <c r="I587" s="48">
        <f>IFERROR(MINUS(DIVIDE(VLOOKUP($B587,Data!$B$3:$EZ1530,9,FALSE),VLOOKUP($B587,Data!$B$3:$EZ1530,10,FALSE)),1),"")</f>
        <v>1.142086331</v>
      </c>
      <c r="J587" s="48">
        <f>IFERROR(MINUS(DIVIDE(VLOOKUP($B587,Data!$B$3:$EZ1530,24,FALSE),VLOOKUP($B587,Data!$B$3:$EZ1530,25,FALSE)),1),"")</f>
        <v>-1.712456345</v>
      </c>
      <c r="K587" s="48">
        <f>IFERROR(MINUS(DIVIDE(VLOOKUP($B587,Data!$B$3:$EZ1530,29,FALSE),VLOOKUP($B587,Data!$B$3:$EZ1530,30,FALSE)),1),"")</f>
        <v>-1.95256167</v>
      </c>
      <c r="L587" s="48">
        <f>IFERROR(MINUS(DIVIDE(VLOOKUP($B587,Data!$B$3:$EZ1530,34,FALSE),VLOOKUP($B587,Data!$B$3:$EZ1530,35,FALSE)),1),"")</f>
        <v>0.4916158537</v>
      </c>
      <c r="M587" s="48">
        <f>IFERROR(MINUS(DIVIDE(VLOOKUP($B587,Data!$B$3:$EZ1530,39,FALSE),VLOOKUP($B587,Data!$B$3:$EZ1530,40,FALSE)),1),"")</f>
        <v>-1.505422993</v>
      </c>
      <c r="N587" s="48">
        <f>IFERROR(MINUS(DIVIDE(VLOOKUP($B587,Data!$B$3:$EZ1530,44,FALSE),VLOOKUP($B587,Data!$B$3:$EZ1530,45,FALSE)),1),"")</f>
        <v>0.558504222</v>
      </c>
      <c r="O587" s="50" t="str">
        <f>IFERROR(VLOOKUP($B587,Data!$B$3:$D1530,2,FALSE),"")</f>
        <v/>
      </c>
      <c r="P587" s="50" t="str">
        <f>IFERROR(VLOOKUP($B587,Data!$B$3:$D1530,3,FALSE),"")</f>
        <v/>
      </c>
      <c r="Q587" s="48" t="str">
        <f t="shared" si="2"/>
        <v/>
      </c>
      <c r="R587" s="48"/>
      <c r="S587" s="48"/>
      <c r="T587" s="48"/>
      <c r="U587" s="48"/>
      <c r="V587" s="48"/>
      <c r="W587" s="50"/>
      <c r="Z587" s="15"/>
      <c r="AA587" s="15"/>
    </row>
    <row r="588">
      <c r="A588" s="9">
        <f t="shared" si="1"/>
        <v>585</v>
      </c>
      <c r="B588" s="47" t="s">
        <v>722</v>
      </c>
      <c r="C588" s="48">
        <f>IFERROR(DIVIDE(VLOOKUP($B588,Data!$B$3:$AB$1535,9,FALSE),VLOOKUP($B588,Data!$B$3:$AB$1535,4,FALSE)),"")</f>
        <v>0</v>
      </c>
      <c r="D588" s="48">
        <f>IFERROR(DIVIDE(VLOOKUP($B588,Data!$B$3:$AB$1535,24,FALSE),VLOOKUP($B588,Data!$B$3:$AB$1535,4,FALSE)),"")</f>
        <v>-0.05205678922</v>
      </c>
      <c r="E588" s="48">
        <f>IFERROR(DIVIDE(VLOOKUP($B588,Data!$B$3:$EZ1530,29,FALSE),VLOOKUP($B588,Data!$B$3:$EZ1530,4,FALSE)),"")</f>
        <v>-0.09228248999</v>
      </c>
      <c r="F588" s="48">
        <f>IFERROR(DIVIDE(VLOOKUP($B588,Data!$B$3:$EZ1530,34,FALSE),VLOOKUP($B588,Data!$B$3:$EZ1530,4,FALSE)),"")</f>
        <v>0.1175828176</v>
      </c>
      <c r="G588" s="48">
        <f>IFERROR(DIVIDE(VLOOKUP($B588,Data!$B$3:$EZ1530,39,FALSE),VLOOKUP($B588,Data!$B$3:$EZ1530,4,FALSE)),"")</f>
        <v>-0.09228248999</v>
      </c>
      <c r="H588" s="48">
        <f>IFERROR(DIVIDE(VLOOKUP($B588,Data!$B$3:$EZ1530,44,FALSE),VLOOKUP($B588,Data!$B$3:$EZ1530,4,FALSE)),"")</f>
        <v>0.05897342556</v>
      </c>
      <c r="I588" s="48">
        <f>IFERROR(MINUS(DIVIDE(VLOOKUP($B588,Data!$B$3:$EZ1530,9,FALSE),VLOOKUP($B588,Data!$B$3:$EZ1530,10,FALSE)),1),"")</f>
        <v>-1</v>
      </c>
      <c r="J588" s="48" t="str">
        <f>IFERROR(MINUS(DIVIDE(VLOOKUP($B588,Data!$B$3:$EZ1530,24,FALSE),VLOOKUP($B588,Data!$B$3:$EZ1530,25,FALSE)),1),"")</f>
        <v/>
      </c>
      <c r="K588" s="48" t="str">
        <f>IFERROR(MINUS(DIVIDE(VLOOKUP($B588,Data!$B$3:$EZ1530,29,FALSE),VLOOKUP($B588,Data!$B$3:$EZ1530,30,FALSE)),1),"")</f>
        <v/>
      </c>
      <c r="L588" s="48">
        <f>IFERROR(MINUS(DIVIDE(VLOOKUP($B588,Data!$B$3:$EZ1530,34,FALSE),VLOOKUP($B588,Data!$B$3:$EZ1530,35,FALSE)),1),"")</f>
        <v>-0.09014084507</v>
      </c>
      <c r="M588" s="48" t="str">
        <f>IFERROR(MINUS(DIVIDE(VLOOKUP($B588,Data!$B$3:$EZ1530,39,FALSE),VLOOKUP($B588,Data!$B$3:$EZ1530,40,FALSE)),1),"")</f>
        <v/>
      </c>
      <c r="N588" s="48">
        <f>IFERROR(MINUS(DIVIDE(VLOOKUP($B588,Data!$B$3:$EZ1530,44,FALSE),VLOOKUP($B588,Data!$B$3:$EZ1530,45,FALSE)),1),"")</f>
        <v>-0.3659491194</v>
      </c>
      <c r="O588" s="50" t="str">
        <f>IFERROR(VLOOKUP($B588,Data!$B$3:$D1530,2,FALSE),"")</f>
        <v/>
      </c>
      <c r="P588" s="50" t="str">
        <f>IFERROR(VLOOKUP($B588,Data!$B$3:$D1530,3,FALSE),"")</f>
        <v/>
      </c>
      <c r="Q588" s="48" t="str">
        <f t="shared" si="2"/>
        <v/>
      </c>
      <c r="R588" s="48"/>
      <c r="S588" s="48"/>
      <c r="T588" s="48"/>
      <c r="U588" s="48"/>
      <c r="V588" s="48"/>
      <c r="W588" s="50"/>
      <c r="Z588" s="11"/>
      <c r="AA588" s="11"/>
    </row>
    <row r="589">
      <c r="A589" s="9">
        <f t="shared" si="1"/>
        <v>586</v>
      </c>
      <c r="B589" s="47" t="s">
        <v>723</v>
      </c>
      <c r="C589" s="48">
        <f>IFERROR(DIVIDE(VLOOKUP($B589,Data!$B$3:$AB$1535,9,FALSE),VLOOKUP($B589,Data!$B$3:$AB$1535,4,FALSE)),"")</f>
        <v>0.1059535822</v>
      </c>
      <c r="D589" s="48">
        <f>IFERROR(DIVIDE(VLOOKUP($B589,Data!$B$3:$AB$1535,24,FALSE),VLOOKUP($B589,Data!$B$3:$AB$1535,4,FALSE)),"")</f>
        <v>0.06912209889</v>
      </c>
      <c r="E589" s="48">
        <f>IFERROR(DIVIDE(VLOOKUP($B589,Data!$B$3:$EZ1530,29,FALSE),VLOOKUP($B589,Data!$B$3:$EZ1530,4,FALSE)),"")</f>
        <v>0.04263370333</v>
      </c>
      <c r="F589" s="48">
        <f>IFERROR(DIVIDE(VLOOKUP($B589,Data!$B$3:$EZ1530,34,FALSE),VLOOKUP($B589,Data!$B$3:$EZ1530,4,FALSE)),"")</f>
        <v>0.1218466196</v>
      </c>
      <c r="G589" s="48">
        <f>IFERROR(DIVIDE(VLOOKUP($B589,Data!$B$3:$EZ1530,39,FALSE),VLOOKUP($B589,Data!$B$3:$EZ1530,4,FALSE)),"")</f>
        <v>0.03027245207</v>
      </c>
      <c r="H589" s="48">
        <f>IFERROR(DIVIDE(VLOOKUP($B589,Data!$B$3:$EZ1530,44,FALSE),VLOOKUP($B589,Data!$B$3:$EZ1530,4,FALSE)),"")</f>
        <v>0.1210898083</v>
      </c>
      <c r="I589" s="48">
        <f>IFERROR(MINUS(DIVIDE(VLOOKUP($B589,Data!$B$3:$EZ1530,9,FALSE),VLOOKUP($B589,Data!$B$3:$EZ1530,10,FALSE)),1),"")</f>
        <v>-0.3170731707</v>
      </c>
      <c r="J589" s="48">
        <f>IFERROR(MINUS(DIVIDE(VLOOKUP($B589,Data!$B$3:$EZ1530,24,FALSE),VLOOKUP($B589,Data!$B$3:$EZ1530,25,FALSE)),1),"")</f>
        <v>-0.3938053097</v>
      </c>
      <c r="K589" s="48">
        <f>IFERROR(MINUS(DIVIDE(VLOOKUP($B589,Data!$B$3:$EZ1530,29,FALSE),VLOOKUP($B589,Data!$B$3:$EZ1530,30,FALSE)),1),"")</f>
        <v>-0.33984375</v>
      </c>
      <c r="L589" s="48">
        <f>IFERROR(MINUS(DIVIDE(VLOOKUP($B589,Data!$B$3:$EZ1530,34,FALSE),VLOOKUP($B589,Data!$B$3:$EZ1530,35,FALSE)),1),"")</f>
        <v>-0.2429467085</v>
      </c>
      <c r="M589" s="48">
        <f>IFERROR(MINUS(DIVIDE(VLOOKUP($B589,Data!$B$3:$EZ1530,39,FALSE),VLOOKUP($B589,Data!$B$3:$EZ1530,40,FALSE)),1),"")</f>
        <v>-0.4782608696</v>
      </c>
      <c r="N589" s="48">
        <f>IFERROR(MINUS(DIVIDE(VLOOKUP($B589,Data!$B$3:$EZ1530,44,FALSE),VLOOKUP($B589,Data!$B$3:$EZ1530,45,FALSE)),1),"")</f>
        <v>1.553191489</v>
      </c>
      <c r="O589" s="50">
        <f>IFERROR(VLOOKUP($B589,Data!$B$3:$D1530,2,FALSE),"")</f>
        <v>44200000</v>
      </c>
      <c r="P589" s="50">
        <f>IFERROR(VLOOKUP($B589,Data!$B$3:$D1530,3,FALSE),"")</f>
        <v>39020000</v>
      </c>
      <c r="Q589" s="48">
        <f t="shared" si="2"/>
        <v>0.1327524346</v>
      </c>
      <c r="R589" s="48"/>
      <c r="S589" s="48"/>
      <c r="T589" s="48"/>
      <c r="U589" s="48"/>
      <c r="V589" s="48"/>
      <c r="W589" s="50"/>
      <c r="Z589" s="12"/>
      <c r="AA589" s="12"/>
    </row>
    <row r="590">
      <c r="A590" s="9">
        <f t="shared" si="1"/>
        <v>587</v>
      </c>
      <c r="B590" s="47" t="s">
        <v>724</v>
      </c>
      <c r="C590" s="48">
        <f>IFERROR(DIVIDE(VLOOKUP($B590,Data!$B$3:$AB$1535,9,FALSE),VLOOKUP($B590,Data!$B$3:$AB$1535,4,FALSE)),"")</f>
        <v>0.6844503512</v>
      </c>
      <c r="D590" s="48">
        <f>IFERROR(DIVIDE(VLOOKUP($B590,Data!$B$3:$AB$1535,24,FALSE),VLOOKUP($B590,Data!$B$3:$AB$1535,4,FALSE)),"")</f>
        <v>0</v>
      </c>
      <c r="E590" s="48">
        <f>IFERROR(DIVIDE(VLOOKUP($B590,Data!$B$3:$EZ1530,29,FALSE),VLOOKUP($B590,Data!$B$3:$EZ1530,4,FALSE)),"")</f>
        <v>0.5734447187</v>
      </c>
      <c r="F590" s="48">
        <f>IFERROR(DIVIDE(VLOOKUP($B590,Data!$B$3:$EZ1530,34,FALSE),VLOOKUP($B590,Data!$B$3:$EZ1530,4,FALSE)),"")</f>
        <v>0.4793367508</v>
      </c>
      <c r="G590" s="48">
        <f>IFERROR(DIVIDE(VLOOKUP($B590,Data!$B$3:$EZ1530,39,FALSE),VLOOKUP($B590,Data!$B$3:$EZ1530,4,FALSE)),"")</f>
        <v>0.4054806658</v>
      </c>
      <c r="H590" s="48">
        <f>IFERROR(DIVIDE(VLOOKUP($B590,Data!$B$3:$EZ1530,44,FALSE),VLOOKUP($B590,Data!$B$3:$EZ1530,4,FALSE)),"")</f>
        <v>0.4707297007</v>
      </c>
      <c r="I590" s="48">
        <f>IFERROR(MINUS(DIVIDE(VLOOKUP($B590,Data!$B$3:$EZ1530,9,FALSE),VLOOKUP($B590,Data!$B$3:$EZ1530,10,FALSE)),1),"")</f>
        <v>0.08193277311</v>
      </c>
      <c r="J590" s="48">
        <f>IFERROR(MINUS(DIVIDE(VLOOKUP($B590,Data!$B$3:$EZ1530,24,FALSE),VLOOKUP($B590,Data!$B$3:$EZ1530,25,FALSE)),1),"")</f>
        <v>-1</v>
      </c>
      <c r="K590" s="48">
        <f>IFERROR(MINUS(DIVIDE(VLOOKUP($B590,Data!$B$3:$EZ1530,29,FALSE),VLOOKUP($B590,Data!$B$3:$EZ1530,30,FALSE)),1),"")</f>
        <v>0.0666274279</v>
      </c>
      <c r="L590" s="48">
        <f>IFERROR(MINUS(DIVIDE(VLOOKUP($B590,Data!$B$3:$EZ1530,34,FALSE),VLOOKUP($B590,Data!$B$3:$EZ1530,35,FALSE)),1),"")</f>
        <v>-0.07858880779</v>
      </c>
      <c r="M590" s="48">
        <f>IFERROR(MINUS(DIVIDE(VLOOKUP($B590,Data!$B$3:$EZ1530,39,FALSE),VLOOKUP($B590,Data!$B$3:$EZ1530,40,FALSE)),1),"")</f>
        <v>0.07572196105</v>
      </c>
      <c r="N590" s="48">
        <f>IFERROR(MINUS(DIVIDE(VLOOKUP($B590,Data!$B$3:$EZ1530,44,FALSE),VLOOKUP($B590,Data!$B$3:$EZ1530,45,FALSE)),1),"")</f>
        <v>-0.1082604004</v>
      </c>
      <c r="O590" s="50">
        <f>IFERROR(VLOOKUP($B590,Data!$B$3:$D1530,2,FALSE),"")</f>
        <v>201280</v>
      </c>
      <c r="P590" s="50">
        <f>IFERROR(VLOOKUP($B590,Data!$B$3:$D1530,3,FALSE),"")</f>
        <v>134170</v>
      </c>
      <c r="Q590" s="48">
        <f t="shared" si="2"/>
        <v>0.5001863308</v>
      </c>
      <c r="R590" s="48"/>
      <c r="S590" s="48"/>
      <c r="T590" s="48"/>
      <c r="U590" s="48"/>
      <c r="V590" s="48"/>
      <c r="W590" s="50"/>
      <c r="Z590" s="12"/>
      <c r="AA590" s="12"/>
    </row>
    <row r="591">
      <c r="A591" s="9">
        <f t="shared" si="1"/>
        <v>588</v>
      </c>
      <c r="B591" s="47" t="s">
        <v>725</v>
      </c>
      <c r="C591" s="48">
        <f>IFERROR(DIVIDE(VLOOKUP($B591,Data!$B$3:$AB$1535,9,FALSE),VLOOKUP($B591,Data!$B$3:$AB$1535,4,FALSE)),"")</f>
        <v>0.3417721519</v>
      </c>
      <c r="D591" s="48">
        <f>IFERROR(DIVIDE(VLOOKUP($B591,Data!$B$3:$AB$1535,24,FALSE),VLOOKUP($B591,Data!$B$3:$AB$1535,4,FALSE)),"")</f>
        <v>0.07204113924</v>
      </c>
      <c r="E591" s="48">
        <f>IFERROR(DIVIDE(VLOOKUP($B591,Data!$B$3:$EZ1530,29,FALSE),VLOOKUP($B591,Data!$B$3:$EZ1530,4,FALSE)),"")</f>
        <v>0.05762658228</v>
      </c>
      <c r="F591" s="48">
        <f>IFERROR(DIVIDE(VLOOKUP($B591,Data!$B$3:$EZ1530,34,FALSE),VLOOKUP($B591,Data!$B$3:$EZ1530,4,FALSE)),"")</f>
        <v>0.1136170886</v>
      </c>
      <c r="G591" s="48">
        <f>IFERROR(DIVIDE(VLOOKUP($B591,Data!$B$3:$EZ1530,39,FALSE),VLOOKUP($B591,Data!$B$3:$EZ1530,4,FALSE)),"")</f>
        <v>0.04551898734</v>
      </c>
      <c r="H591" s="48">
        <f>IFERROR(DIVIDE(VLOOKUP($B591,Data!$B$3:$EZ1530,44,FALSE),VLOOKUP($B591,Data!$B$3:$EZ1530,4,FALSE)),"")</f>
        <v>0.09141139241</v>
      </c>
      <c r="I591" s="48">
        <f>IFERROR(MINUS(DIVIDE(VLOOKUP($B591,Data!$B$3:$EZ1530,9,FALSE),VLOOKUP($B591,Data!$B$3:$EZ1530,10,FALSE)),1),"")</f>
        <v>0.009345794393</v>
      </c>
      <c r="J591" s="48">
        <f>IFERROR(MINUS(DIVIDE(VLOOKUP($B591,Data!$B$3:$EZ1530,24,FALSE),VLOOKUP($B591,Data!$B$3:$EZ1530,25,FALSE)),1),"")</f>
        <v>-0.01326340427</v>
      </c>
      <c r="K591" s="48">
        <f>IFERROR(MINUS(DIVIDE(VLOOKUP($B591,Data!$B$3:$EZ1530,29,FALSE),VLOOKUP($B591,Data!$B$3:$EZ1530,30,FALSE)),1),"")</f>
        <v>-0.009410868737</v>
      </c>
      <c r="L591" s="48">
        <f>IFERROR(MINUS(DIVIDE(VLOOKUP($B591,Data!$B$3:$EZ1530,34,FALSE),VLOOKUP($B591,Data!$B$3:$EZ1530,35,FALSE)),1),"")</f>
        <v>0.3182669359</v>
      </c>
      <c r="M591" s="48">
        <f>IFERROR(MINUS(DIVIDE(VLOOKUP($B591,Data!$B$3:$EZ1530,39,FALSE),VLOOKUP($B591,Data!$B$3:$EZ1530,40,FALSE)),1),"")</f>
        <v>0.04179039618</v>
      </c>
      <c r="N591" s="48">
        <f>IFERROR(MINUS(DIVIDE(VLOOKUP($B591,Data!$B$3:$EZ1530,44,FALSE),VLOOKUP($B591,Data!$B$3:$EZ1530,45,FALSE)),1),"")</f>
        <v>1.782047578</v>
      </c>
      <c r="O591" s="50">
        <f>IFERROR(VLOOKUP($B591,Data!$B$3:$D1530,2,FALSE),"")</f>
        <v>2630000</v>
      </c>
      <c r="P591" s="50">
        <f>IFERROR(VLOOKUP($B591,Data!$B$3:$D1530,3,FALSE),"")</f>
        <v>2190000</v>
      </c>
      <c r="Q591" s="48">
        <f t="shared" si="2"/>
        <v>0.200913242</v>
      </c>
      <c r="R591" s="48"/>
      <c r="S591" s="48"/>
      <c r="T591" s="48"/>
      <c r="U591" s="48"/>
      <c r="V591" s="48"/>
      <c r="W591" s="50"/>
      <c r="Z591" s="15"/>
      <c r="AA591" s="15"/>
    </row>
    <row r="592">
      <c r="A592" s="9">
        <f t="shared" si="1"/>
        <v>589</v>
      </c>
      <c r="B592" s="47" t="s">
        <v>726</v>
      </c>
      <c r="C592" s="48">
        <f>IFERROR(DIVIDE(VLOOKUP($B592,Data!$B$3:$AB$1535,9,FALSE),VLOOKUP($B592,Data!$B$3:$AB$1535,4,FALSE)),"")</f>
        <v>0.2383813333</v>
      </c>
      <c r="D592" s="48">
        <f>IFERROR(DIVIDE(VLOOKUP($B592,Data!$B$3:$AB$1535,24,FALSE),VLOOKUP($B592,Data!$B$3:$AB$1535,4,FALSE)),"")</f>
        <v>0.099184</v>
      </c>
      <c r="E592" s="48">
        <f>IFERROR(DIVIDE(VLOOKUP($B592,Data!$B$3:$EZ1530,29,FALSE),VLOOKUP($B592,Data!$B$3:$EZ1530,4,FALSE)),"")</f>
        <v>0.08839733333</v>
      </c>
      <c r="F592" s="48">
        <f>IFERROR(DIVIDE(VLOOKUP($B592,Data!$B$3:$EZ1530,34,FALSE),VLOOKUP($B592,Data!$B$3:$EZ1530,4,FALSE)),"")</f>
        <v>0.1704293333</v>
      </c>
      <c r="G592" s="48">
        <f>IFERROR(DIVIDE(VLOOKUP($B592,Data!$B$3:$EZ1530,39,FALSE),VLOOKUP($B592,Data!$B$3:$EZ1530,4,FALSE)),"")</f>
        <v>0.09193066667</v>
      </c>
      <c r="H592" s="48">
        <f>IFERROR(DIVIDE(VLOOKUP($B592,Data!$B$3:$EZ1530,44,FALSE),VLOOKUP($B592,Data!$B$3:$EZ1530,4,FALSE)),"")</f>
        <v>0.1277466667</v>
      </c>
      <c r="I592" s="48">
        <f>IFERROR(MINUS(DIVIDE(VLOOKUP($B592,Data!$B$3:$EZ1530,9,FALSE),VLOOKUP($B592,Data!$B$3:$EZ1530,10,FALSE)),1),"")</f>
        <v>-0.07520974934</v>
      </c>
      <c r="J592" s="48">
        <f>IFERROR(MINUS(DIVIDE(VLOOKUP($B592,Data!$B$3:$EZ1530,24,FALSE),VLOOKUP($B592,Data!$B$3:$EZ1530,25,FALSE)),1),"")</f>
        <v>-0.2914618814</v>
      </c>
      <c r="K592" s="48">
        <f>IFERROR(MINUS(DIVIDE(VLOOKUP($B592,Data!$B$3:$EZ1530,29,FALSE),VLOOKUP($B592,Data!$B$3:$EZ1530,30,FALSE)),1),"")</f>
        <v>-0.3127461956</v>
      </c>
      <c r="L592" s="48">
        <f>IFERROR(MINUS(DIVIDE(VLOOKUP($B592,Data!$B$3:$EZ1530,34,FALSE),VLOOKUP($B592,Data!$B$3:$EZ1530,35,FALSE)),1),"")</f>
        <v>-0.1748947817</v>
      </c>
      <c r="M592" s="48">
        <f>IFERROR(MINUS(DIVIDE(VLOOKUP($B592,Data!$B$3:$EZ1530,39,FALSE),VLOOKUP($B592,Data!$B$3:$EZ1530,40,FALSE)),1),"")</f>
        <v>-0.2417630757</v>
      </c>
      <c r="N592" s="48">
        <f>IFERROR(MINUS(DIVIDE(VLOOKUP($B592,Data!$B$3:$EZ1530,44,FALSE),VLOOKUP($B592,Data!$B$3:$EZ1530,45,FALSE)),1),"")</f>
        <v>-0.3137114451</v>
      </c>
      <c r="O592" s="50">
        <f>IFERROR(VLOOKUP($B592,Data!$B$3:$D1530,2,FALSE),"")</f>
        <v>2330000</v>
      </c>
      <c r="P592" s="50">
        <f>IFERROR(VLOOKUP($B592,Data!$B$3:$D1530,3,FALSE),"")</f>
        <v>1750000</v>
      </c>
      <c r="Q592" s="48">
        <f t="shared" si="2"/>
        <v>0.3314285714</v>
      </c>
      <c r="R592" s="48"/>
      <c r="S592" s="48"/>
      <c r="T592" s="48"/>
      <c r="U592" s="48"/>
      <c r="V592" s="48"/>
      <c r="W592" s="50"/>
      <c r="Z592" s="15"/>
      <c r="AA592" s="15"/>
    </row>
    <row r="593">
      <c r="A593" s="9">
        <f t="shared" si="1"/>
        <v>590</v>
      </c>
      <c r="B593" s="47" t="s">
        <v>727</v>
      </c>
      <c r="C593" s="48">
        <f>IFERROR(DIVIDE(VLOOKUP($B593,Data!$B$3:$AB$1535,9,FALSE),VLOOKUP($B593,Data!$B$3:$AB$1535,4,FALSE)),"")</f>
        <v>0.7907706093</v>
      </c>
      <c r="D593" s="48">
        <f>IFERROR(DIVIDE(VLOOKUP($B593,Data!$B$3:$AB$1535,24,FALSE),VLOOKUP($B593,Data!$B$3:$AB$1535,4,FALSE)),"")</f>
        <v>0.2410394265</v>
      </c>
      <c r="E593" s="48">
        <f>IFERROR(DIVIDE(VLOOKUP($B593,Data!$B$3:$EZ1530,29,FALSE),VLOOKUP($B593,Data!$B$3:$EZ1530,4,FALSE)),"")</f>
        <v>0.2311827957</v>
      </c>
      <c r="F593" s="48">
        <f>IFERROR(DIVIDE(VLOOKUP($B593,Data!$B$3:$EZ1530,34,FALSE),VLOOKUP($B593,Data!$B$3:$EZ1530,4,FALSE)),"")</f>
        <v>0.2849462366</v>
      </c>
      <c r="G593" s="48">
        <f>IFERROR(DIVIDE(VLOOKUP($B593,Data!$B$3:$EZ1530,39,FALSE),VLOOKUP($B593,Data!$B$3:$EZ1530,4,FALSE)),"")</f>
        <v>0.2414874552</v>
      </c>
      <c r="H593" s="48">
        <f>IFERROR(DIVIDE(VLOOKUP($B593,Data!$B$3:$EZ1530,44,FALSE),VLOOKUP($B593,Data!$B$3:$EZ1530,4,FALSE)),"")</f>
        <v>0.4094982079</v>
      </c>
      <c r="I593" s="48">
        <f>IFERROR(MINUS(DIVIDE(VLOOKUP($B593,Data!$B$3:$EZ1530,9,FALSE),VLOOKUP($B593,Data!$B$3:$EZ1530,10,FALSE)),1),"")</f>
        <v>0.01670506912</v>
      </c>
      <c r="J593" s="48">
        <f>IFERROR(MINUS(DIVIDE(VLOOKUP($B593,Data!$B$3:$EZ1530,24,FALSE),VLOOKUP($B593,Data!$B$3:$EZ1530,25,FALSE)),1),"")</f>
        <v>-0.3595238095</v>
      </c>
      <c r="K593" s="48">
        <f>IFERROR(MINUS(DIVIDE(VLOOKUP($B593,Data!$B$3:$EZ1530,29,FALSE),VLOOKUP($B593,Data!$B$3:$EZ1530,30,FALSE)),1),"")</f>
        <v>-0.3384615385</v>
      </c>
      <c r="L593" s="48">
        <f>IFERROR(MINUS(DIVIDE(VLOOKUP($B593,Data!$B$3:$EZ1530,34,FALSE),VLOOKUP($B593,Data!$B$3:$EZ1530,35,FALSE)),1),"")</f>
        <v>-0.3965844402</v>
      </c>
      <c r="M593" s="48">
        <f>IFERROR(MINUS(DIVIDE(VLOOKUP($B593,Data!$B$3:$EZ1530,39,FALSE),VLOOKUP($B593,Data!$B$3:$EZ1530,40,FALSE)),1),"")</f>
        <v>-0.01282051282</v>
      </c>
      <c r="N593" s="48">
        <f>IFERROR(MINUS(DIVIDE(VLOOKUP($B593,Data!$B$3:$EZ1530,44,FALSE),VLOOKUP($B593,Data!$B$3:$EZ1530,45,FALSE)),1),"")</f>
        <v>0.0880952381</v>
      </c>
      <c r="O593" s="50">
        <f>IFERROR(VLOOKUP($B593,Data!$B$3:$D1530,2,FALSE),"")</f>
        <v>24100000</v>
      </c>
      <c r="P593" s="50">
        <f>IFERROR(VLOOKUP($B593,Data!$B$3:$D1530,3,FALSE),"")</f>
        <v>24250000</v>
      </c>
      <c r="Q593" s="48">
        <f t="shared" si="2"/>
        <v>-0.00618556701</v>
      </c>
      <c r="R593" s="48"/>
      <c r="S593" s="48"/>
      <c r="T593" s="48"/>
      <c r="U593" s="48"/>
      <c r="V593" s="48"/>
      <c r="W593" s="50"/>
      <c r="Z593" s="15"/>
      <c r="AA593" s="15"/>
    </row>
    <row r="594">
      <c r="A594" s="9">
        <f t="shared" si="1"/>
        <v>591</v>
      </c>
      <c r="B594" s="47" t="s">
        <v>728</v>
      </c>
      <c r="C594" s="48">
        <f>IFERROR(DIVIDE(VLOOKUP($B594,Data!$B$3:$AB$1535,9,FALSE),VLOOKUP($B594,Data!$B$3:$AB$1535,4,FALSE)),"")</f>
        <v>0.354509359</v>
      </c>
      <c r="D594" s="48">
        <f>IFERROR(DIVIDE(VLOOKUP($B594,Data!$B$3:$AB$1535,24,FALSE),VLOOKUP($B594,Data!$B$3:$AB$1535,4,FALSE)),"")</f>
        <v>0.1690300624</v>
      </c>
      <c r="E594" s="48">
        <f>IFERROR(DIVIDE(VLOOKUP($B594,Data!$B$3:$EZ1530,29,FALSE),VLOOKUP($B594,Data!$B$3:$EZ1530,4,FALSE)),"")</f>
        <v>0.1474758934</v>
      </c>
      <c r="F594" s="48">
        <f>IFERROR(DIVIDE(VLOOKUP($B594,Data!$B$3:$EZ1530,34,FALSE),VLOOKUP($B594,Data!$B$3:$EZ1530,4,FALSE)),"")</f>
        <v>0.2110039705</v>
      </c>
      <c r="G594" s="48">
        <f>IFERROR(DIVIDE(VLOOKUP($B594,Data!$B$3:$EZ1530,39,FALSE),VLOOKUP($B594,Data!$B$3:$EZ1530,4,FALSE)),"")</f>
        <v>0.1236528644</v>
      </c>
      <c r="H594" s="48">
        <f>IFERROR(DIVIDE(VLOOKUP($B594,Data!$B$3:$EZ1530,44,FALSE),VLOOKUP($B594,Data!$B$3:$EZ1530,4,FALSE)),"")</f>
        <v>0.2087351106</v>
      </c>
      <c r="I594" s="48">
        <f>IFERROR(MINUS(DIVIDE(VLOOKUP($B594,Data!$B$3:$EZ1530,9,FALSE),VLOOKUP($B594,Data!$B$3:$EZ1530,10,FALSE)),1),"")</f>
        <v>0.07388316151</v>
      </c>
      <c r="J594" s="48">
        <f>IFERROR(MINUS(DIVIDE(VLOOKUP($B594,Data!$B$3:$EZ1530,24,FALSE),VLOOKUP($B594,Data!$B$3:$EZ1530,25,FALSE)),1),"")</f>
        <v>0.168627451</v>
      </c>
      <c r="K594" s="48">
        <f>IFERROR(MINUS(DIVIDE(VLOOKUP($B594,Data!$B$3:$EZ1530,29,FALSE),VLOOKUP($B594,Data!$B$3:$EZ1530,30,FALSE)),1),"")</f>
        <v>0.25</v>
      </c>
      <c r="L594" s="48">
        <f>IFERROR(MINUS(DIVIDE(VLOOKUP($B594,Data!$B$3:$EZ1530,34,FALSE),VLOOKUP($B594,Data!$B$3:$EZ1530,35,FALSE)),1),"")</f>
        <v>0.05382436261</v>
      </c>
      <c r="M594" s="48">
        <f>IFERROR(MINUS(DIVIDE(VLOOKUP($B594,Data!$B$3:$EZ1530,39,FALSE),VLOOKUP($B594,Data!$B$3:$EZ1530,40,FALSE)),1),"")</f>
        <v>0.2457142857</v>
      </c>
      <c r="N594" s="48">
        <f>IFERROR(MINUS(DIVIDE(VLOOKUP($B594,Data!$B$3:$EZ1530,44,FALSE),VLOOKUP($B594,Data!$B$3:$EZ1530,45,FALSE)),1),"")</f>
        <v>0.3096085409</v>
      </c>
      <c r="O594" s="50">
        <f>IFERROR(VLOOKUP($B594,Data!$B$3:$D1530,2,FALSE),"")</f>
        <v>17320000</v>
      </c>
      <c r="P594" s="50">
        <f>IFERROR(VLOOKUP($B594,Data!$B$3:$D1530,3,FALSE),"")</f>
        <v>17150000</v>
      </c>
      <c r="Q594" s="48">
        <f t="shared" si="2"/>
        <v>0.009912536443</v>
      </c>
      <c r="R594" s="48"/>
      <c r="S594" s="48"/>
      <c r="T594" s="48"/>
      <c r="U594" s="48"/>
      <c r="V594" s="48"/>
      <c r="W594" s="50"/>
      <c r="Z594" s="15"/>
      <c r="AA594" s="15"/>
    </row>
    <row r="595">
      <c r="A595" s="9">
        <f t="shared" si="1"/>
        <v>592</v>
      </c>
      <c r="B595" s="47" t="s">
        <v>729</v>
      </c>
      <c r="C595" s="48">
        <f>IFERROR(DIVIDE(VLOOKUP($B595,Data!$B$3:$AB$1535,9,FALSE),VLOOKUP($B595,Data!$B$3:$AB$1535,4,FALSE)),"")</f>
        <v>0.2133179672</v>
      </c>
      <c r="D595" s="48">
        <f>IFERROR(DIVIDE(VLOOKUP($B595,Data!$B$3:$AB$1535,24,FALSE),VLOOKUP($B595,Data!$B$3:$AB$1535,4,FALSE)),"")</f>
        <v>0.1367354396</v>
      </c>
      <c r="E595" s="48">
        <f>IFERROR(DIVIDE(VLOOKUP($B595,Data!$B$3:$EZ1530,29,FALSE),VLOOKUP($B595,Data!$B$3:$EZ1530,4,FALSE)),"")</f>
        <v>0.09967393749</v>
      </c>
      <c r="F595" s="48">
        <f>IFERROR(DIVIDE(VLOOKUP($B595,Data!$B$3:$EZ1530,34,FALSE),VLOOKUP($B595,Data!$B$3:$EZ1530,4,FALSE)),"")</f>
        <v>0.1824544637</v>
      </c>
      <c r="G595" s="48">
        <f>IFERROR(DIVIDE(VLOOKUP($B595,Data!$B$3:$EZ1530,39,FALSE),VLOOKUP($B595,Data!$B$3:$EZ1530,4,FALSE)),"")</f>
        <v>0.07824094895</v>
      </c>
      <c r="H595" s="48">
        <f>IFERROR(DIVIDE(VLOOKUP($B595,Data!$B$3:$EZ1530,44,FALSE),VLOOKUP($B595,Data!$B$3:$EZ1530,4,FALSE)),"")</f>
        <v>0.2672588262</v>
      </c>
      <c r="I595" s="48">
        <f>IFERROR(MINUS(DIVIDE(VLOOKUP($B595,Data!$B$3:$EZ1530,9,FALSE),VLOOKUP($B595,Data!$B$3:$EZ1530,10,FALSE)),1),"")</f>
        <v>0.2376060013</v>
      </c>
      <c r="J595" s="48">
        <f>IFERROR(MINUS(DIVIDE(VLOOKUP($B595,Data!$B$3:$EZ1530,24,FALSE),VLOOKUP($B595,Data!$B$3:$EZ1530,25,FALSE)),1),"")</f>
        <v>0.8865619546</v>
      </c>
      <c r="K595" s="48">
        <f>IFERROR(MINUS(DIVIDE(VLOOKUP($B595,Data!$B$3:$EZ1530,29,FALSE),VLOOKUP($B595,Data!$B$3:$EZ1530,30,FALSE)),1),"")</f>
        <v>3.311246201</v>
      </c>
      <c r="L595" s="48">
        <f>IFERROR(MINUS(DIVIDE(VLOOKUP($B595,Data!$B$3:$EZ1530,34,FALSE),VLOOKUP($B595,Data!$B$3:$EZ1530,35,FALSE)),1),"")</f>
        <v>0.09923793395</v>
      </c>
      <c r="M595" s="48">
        <f>IFERROR(MINUS(DIVIDE(VLOOKUP($B595,Data!$B$3:$EZ1530,39,FALSE),VLOOKUP($B595,Data!$B$3:$EZ1530,40,FALSE)),1),"")</f>
        <v>4.051724138</v>
      </c>
      <c r="N595" s="48">
        <f>IFERROR(MINUS(DIVIDE(VLOOKUP($B595,Data!$B$3:$EZ1530,44,FALSE),VLOOKUP($B595,Data!$B$3:$EZ1530,45,FALSE)),1),"")</f>
        <v>0.3814747548</v>
      </c>
      <c r="O595" s="50">
        <f>IFERROR(VLOOKUP($B595,Data!$B$3:$D1530,2,FALSE),"")</f>
        <v>740000</v>
      </c>
      <c r="P595" s="50">
        <f>IFERROR(VLOOKUP($B595,Data!$B$3:$D1530,3,FALSE),"")</f>
        <v>729350</v>
      </c>
      <c r="Q595" s="48">
        <f t="shared" si="2"/>
        <v>0.01460204291</v>
      </c>
      <c r="R595" s="48"/>
      <c r="S595" s="48"/>
      <c r="T595" s="48"/>
      <c r="U595" s="48"/>
      <c r="V595" s="48"/>
      <c r="W595" s="50"/>
      <c r="Z595" s="11"/>
      <c r="AA595" s="11"/>
    </row>
    <row r="596">
      <c r="A596" s="9">
        <f t="shared" si="1"/>
        <v>593</v>
      </c>
      <c r="B596" s="47" t="s">
        <v>730</v>
      </c>
      <c r="C596" s="48" t="str">
        <f>IFERROR(DIVIDE(VLOOKUP($B596,Data!$B$3:$AB$1535,9,FALSE),VLOOKUP($B596,Data!$B$3:$AB$1535,4,FALSE)),"")</f>
        <v/>
      </c>
      <c r="D596" s="48" t="str">
        <f>IFERROR(DIVIDE(VLOOKUP($B596,Data!$B$3:$AB$1535,24,FALSE),VLOOKUP($B596,Data!$B$3:$AB$1535,4,FALSE)),"")</f>
        <v/>
      </c>
      <c r="E596" s="48" t="str">
        <f>IFERROR(DIVIDE(VLOOKUP($B596,Data!$B$3:$EZ1530,29,FALSE),VLOOKUP($B596,Data!$B$3:$EZ1530,4,FALSE)),"")</f>
        <v/>
      </c>
      <c r="F596" s="48" t="str">
        <f>IFERROR(DIVIDE(VLOOKUP($B596,Data!$B$3:$EZ1530,34,FALSE),VLOOKUP($B596,Data!$B$3:$EZ1530,4,FALSE)),"")</f>
        <v/>
      </c>
      <c r="G596" s="48" t="str">
        <f>IFERROR(DIVIDE(VLOOKUP($B596,Data!$B$3:$EZ1530,39,FALSE),VLOOKUP($B596,Data!$B$3:$EZ1530,4,FALSE)),"")</f>
        <v/>
      </c>
      <c r="H596" s="48" t="str">
        <f>IFERROR(DIVIDE(VLOOKUP($B596,Data!$B$3:$EZ1530,44,FALSE),VLOOKUP($B596,Data!$B$3:$EZ1530,4,FALSE)),"")</f>
        <v/>
      </c>
      <c r="I596" s="48" t="str">
        <f>IFERROR(MINUS(DIVIDE(VLOOKUP($B596,Data!$B$3:$EZ1530,9,FALSE),VLOOKUP($B596,Data!$B$3:$EZ1530,10,FALSE)),1),"")</f>
        <v/>
      </c>
      <c r="J596" s="48" t="str">
        <f>IFERROR(MINUS(DIVIDE(VLOOKUP($B596,Data!$B$3:$EZ1530,24,FALSE),VLOOKUP($B596,Data!$B$3:$EZ1530,25,FALSE)),1),"")</f>
        <v/>
      </c>
      <c r="K596" s="48">
        <f>IFERROR(MINUS(DIVIDE(VLOOKUP($B596,Data!$B$3:$EZ1530,29,FALSE),VLOOKUP($B596,Data!$B$3:$EZ1530,30,FALSE)),1),"")</f>
        <v>1.09202454</v>
      </c>
      <c r="L596" s="48">
        <f>IFERROR(MINUS(DIVIDE(VLOOKUP($B596,Data!$B$3:$EZ1530,34,FALSE),VLOOKUP($B596,Data!$B$3:$EZ1530,35,FALSE)),1),"")</f>
        <v>1.162633107</v>
      </c>
      <c r="M596" s="48">
        <f>IFERROR(MINUS(DIVIDE(VLOOKUP($B596,Data!$B$3:$EZ1530,39,FALSE),VLOOKUP($B596,Data!$B$3:$EZ1530,40,FALSE)),1),"")</f>
        <v>1.07505071</v>
      </c>
      <c r="N596" s="48">
        <f>IFERROR(MINUS(DIVIDE(VLOOKUP($B596,Data!$B$3:$EZ1530,44,FALSE),VLOOKUP($B596,Data!$B$3:$EZ1530,45,FALSE)),1),"")</f>
        <v>0.6563192905</v>
      </c>
      <c r="O596" s="50" t="str">
        <f>IFERROR(VLOOKUP($B596,Data!$B$3:$D1530,2,FALSE),"")</f>
        <v/>
      </c>
      <c r="P596" s="50" t="str">
        <f>IFERROR(VLOOKUP($B596,Data!$B$3:$D1530,3,FALSE),"")</f>
        <v/>
      </c>
      <c r="Q596" s="48" t="str">
        <f t="shared" si="2"/>
        <v/>
      </c>
      <c r="R596" s="48"/>
      <c r="S596" s="48"/>
      <c r="T596" s="48"/>
      <c r="U596" s="48"/>
      <c r="V596" s="48"/>
      <c r="W596" s="50"/>
      <c r="Z596" s="15"/>
      <c r="AA596" s="15"/>
    </row>
    <row r="597">
      <c r="A597" s="9">
        <f t="shared" si="1"/>
        <v>594</v>
      </c>
      <c r="B597" s="47" t="s">
        <v>731</v>
      </c>
      <c r="C597" s="48">
        <f>IFERROR(DIVIDE(VLOOKUP($B597,Data!$B$3:$AB$1535,9,FALSE),VLOOKUP($B597,Data!$B$3:$AB$1535,4,FALSE)),"")</f>
        <v>0.3912869081</v>
      </c>
      <c r="D597" s="48">
        <f>IFERROR(DIVIDE(VLOOKUP($B597,Data!$B$3:$AB$1535,24,FALSE),VLOOKUP($B597,Data!$B$3:$AB$1535,4,FALSE)),"")</f>
        <v>-0.02168245125</v>
      </c>
      <c r="E597" s="48">
        <f>IFERROR(DIVIDE(VLOOKUP($B597,Data!$B$3:$EZ1530,29,FALSE),VLOOKUP($B597,Data!$B$3:$EZ1530,4,FALSE)),"")</f>
        <v>-0.168356546</v>
      </c>
      <c r="F597" s="48">
        <f>IFERROR(DIVIDE(VLOOKUP($B597,Data!$B$3:$EZ1530,34,FALSE),VLOOKUP($B597,Data!$B$3:$EZ1530,4,FALSE)),"")</f>
        <v>0.5157883008</v>
      </c>
      <c r="G597" s="48">
        <f>IFERROR(DIVIDE(VLOOKUP($B597,Data!$B$3:$EZ1530,39,FALSE),VLOOKUP($B597,Data!$B$3:$EZ1530,4,FALSE)),"")</f>
        <v>-0.4723342618</v>
      </c>
      <c r="H597" s="48">
        <f>IFERROR(DIVIDE(VLOOKUP($B597,Data!$B$3:$EZ1530,44,FALSE),VLOOKUP($B597,Data!$B$3:$EZ1530,4,FALSE)),"")</f>
        <v>0.248</v>
      </c>
      <c r="I597" s="48">
        <f>IFERROR(MINUS(DIVIDE(VLOOKUP($B597,Data!$B$3:$EZ1530,9,FALSE),VLOOKUP($B597,Data!$B$3:$EZ1530,10,FALSE)),1),"")</f>
        <v>0.3081278403</v>
      </c>
      <c r="J597" s="48">
        <f>IFERROR(MINUS(DIVIDE(VLOOKUP($B597,Data!$B$3:$EZ1530,24,FALSE),VLOOKUP($B597,Data!$B$3:$EZ1530,25,FALSE)),1),"")</f>
        <v>-1.314479638</v>
      </c>
      <c r="K597" s="48">
        <f>IFERROR(MINUS(DIVIDE(VLOOKUP($B597,Data!$B$3:$EZ1530,29,FALSE),VLOOKUP($B597,Data!$B$3:$EZ1530,30,FALSE)),1),"")</f>
        <v>7.114930183</v>
      </c>
      <c r="L597" s="48">
        <f>IFERROR(MINUS(DIVIDE(VLOOKUP($B597,Data!$B$3:$EZ1530,34,FALSE),VLOOKUP($B597,Data!$B$3:$EZ1530,35,FALSE)),1),"")</f>
        <v>0.4962828884</v>
      </c>
      <c r="M597" s="48">
        <f>IFERROR(MINUS(DIVIDE(VLOOKUP($B597,Data!$B$3:$EZ1530,39,FALSE),VLOOKUP($B597,Data!$B$3:$EZ1530,40,FALSE)),1),"")</f>
        <v>-0.08412911031</v>
      </c>
      <c r="N597" s="48">
        <f>IFERROR(MINUS(DIVIDE(VLOOKUP($B597,Data!$B$3:$EZ1530,44,FALSE),VLOOKUP($B597,Data!$B$3:$EZ1530,45,FALSE)),1),"")</f>
        <v>-0.2482437179</v>
      </c>
      <c r="O597" s="50">
        <f>IFERROR(VLOOKUP($B597,Data!$B$3:$D1530,2,FALSE),"")</f>
        <v>412270</v>
      </c>
      <c r="P597" s="50">
        <f>IFERROR(VLOOKUP($B597,Data!$B$3:$D1530,3,FALSE),"")</f>
        <v>422180</v>
      </c>
      <c r="Q597" s="48">
        <f t="shared" si="2"/>
        <v>-0.02347339997</v>
      </c>
      <c r="R597" s="48"/>
      <c r="S597" s="48"/>
      <c r="T597" s="48"/>
      <c r="U597" s="48"/>
      <c r="V597" s="48"/>
      <c r="W597" s="50"/>
      <c r="Z597" s="11"/>
      <c r="AA597" s="11"/>
    </row>
    <row r="598">
      <c r="A598" s="9">
        <f t="shared" si="1"/>
        <v>595</v>
      </c>
      <c r="B598" s="47" t="s">
        <v>732</v>
      </c>
      <c r="C598" s="48">
        <f>IFERROR(DIVIDE(VLOOKUP($B598,Data!$B$3:$AB$1535,9,FALSE),VLOOKUP($B598,Data!$B$3:$AB$1535,4,FALSE)),"")</f>
        <v>0.5042474276</v>
      </c>
      <c r="D598" s="48">
        <f>IFERROR(DIVIDE(VLOOKUP($B598,Data!$B$3:$AB$1535,24,FALSE),VLOOKUP($B598,Data!$B$3:$AB$1535,4,FALSE)),"")</f>
        <v>0.1087730318</v>
      </c>
      <c r="E598" s="48">
        <f>IFERROR(DIVIDE(VLOOKUP($B598,Data!$B$3:$EZ1530,29,FALSE),VLOOKUP($B598,Data!$B$3:$EZ1530,4,FALSE)),"")</f>
        <v>-0.1753409907</v>
      </c>
      <c r="F598" s="48">
        <f>IFERROR(DIVIDE(VLOOKUP($B598,Data!$B$3:$EZ1530,34,FALSE),VLOOKUP($B598,Data!$B$3:$EZ1530,4,FALSE)),"")</f>
        <v>0.6917324719</v>
      </c>
      <c r="G598" s="48">
        <f>IFERROR(DIVIDE(VLOOKUP($B598,Data!$B$3:$EZ1530,39,FALSE),VLOOKUP($B598,Data!$B$3:$EZ1530,4,FALSE)),"")</f>
        <v>-0.1505443886</v>
      </c>
      <c r="H598" s="48">
        <f>IFERROR(DIVIDE(VLOOKUP($B598,Data!$B$3:$EZ1530,44,FALSE),VLOOKUP($B598,Data!$B$3:$EZ1530,4,FALSE)),"")</f>
        <v>0.4848797559</v>
      </c>
      <c r="I598" s="48">
        <f>IFERROR(MINUS(DIVIDE(VLOOKUP($B598,Data!$B$3:$EZ1530,9,FALSE),VLOOKUP($B598,Data!$B$3:$EZ1530,10,FALSE)),1),"")</f>
        <v>0.06463734251</v>
      </c>
      <c r="J598" s="48">
        <f>IFERROR(MINUS(DIVIDE(VLOOKUP($B598,Data!$B$3:$EZ1530,24,FALSE),VLOOKUP($B598,Data!$B$3:$EZ1530,25,FALSE)),1),"")</f>
        <v>-0.7270816916</v>
      </c>
      <c r="K598" s="48">
        <f>IFERROR(MINUS(DIVIDE(VLOOKUP($B598,Data!$B$3:$EZ1530,29,FALSE),VLOOKUP($B598,Data!$B$3:$EZ1530,30,FALSE)),1),"")</f>
        <v>-1.940930979</v>
      </c>
      <c r="L598" s="48">
        <f>IFERROR(MINUS(DIVIDE(VLOOKUP($B598,Data!$B$3:$EZ1530,34,FALSE),VLOOKUP($B598,Data!$B$3:$EZ1530,35,FALSE)),1),"")</f>
        <v>0.08093201524</v>
      </c>
      <c r="M598" s="48">
        <f>IFERROR(MINUS(DIVIDE(VLOOKUP($B598,Data!$B$3:$EZ1530,39,FALSE),VLOOKUP($B598,Data!$B$3:$EZ1530,40,FALSE)),1),"")</f>
        <v>-3.111157718</v>
      </c>
      <c r="N598" s="48">
        <f>IFERROR(MINUS(DIVIDE(VLOOKUP($B598,Data!$B$3:$EZ1530,44,FALSE),VLOOKUP($B598,Data!$B$3:$EZ1530,45,FALSE)),1),"")</f>
        <v>0.1192391342</v>
      </c>
      <c r="O598" s="50">
        <f>IFERROR(VLOOKUP($B598,Data!$B$3:$D1530,2,FALSE),"")</f>
        <v>737080</v>
      </c>
      <c r="P598" s="50">
        <f>IFERROR(VLOOKUP($B598,Data!$B$3:$D1530,3,FALSE),"")</f>
        <v>659260</v>
      </c>
      <c r="Q598" s="48">
        <f t="shared" si="2"/>
        <v>0.1180414404</v>
      </c>
      <c r="R598" s="48"/>
      <c r="S598" s="48"/>
      <c r="T598" s="48"/>
      <c r="U598" s="48"/>
      <c r="V598" s="48"/>
      <c r="W598" s="50"/>
      <c r="Z598" s="12"/>
      <c r="AA598" s="12"/>
    </row>
    <row r="599">
      <c r="A599" s="9">
        <f t="shared" si="1"/>
        <v>596</v>
      </c>
      <c r="B599" s="47" t="s">
        <v>733</v>
      </c>
      <c r="C599" s="48">
        <f>IFERROR(DIVIDE(VLOOKUP($B599,Data!$B$3:$AB$1535,9,FALSE),VLOOKUP($B599,Data!$B$3:$AB$1535,4,FALSE)),"")</f>
        <v>0.5422113074</v>
      </c>
      <c r="D599" s="48">
        <f>IFERROR(DIVIDE(VLOOKUP($B599,Data!$B$3:$AB$1535,24,FALSE),VLOOKUP($B599,Data!$B$3:$AB$1535,4,FALSE)),"")</f>
        <v>0.08772346774</v>
      </c>
      <c r="E599" s="48">
        <f>IFERROR(DIVIDE(VLOOKUP($B599,Data!$B$3:$EZ1530,29,FALSE),VLOOKUP($B599,Data!$B$3:$EZ1530,4,FALSE)),"")</f>
        <v>-0.09181652539</v>
      </c>
      <c r="F599" s="48">
        <f>IFERROR(DIVIDE(VLOOKUP($B599,Data!$B$3:$EZ1530,34,FALSE),VLOOKUP($B599,Data!$B$3:$EZ1530,4,FALSE)),"")</f>
        <v>0.7268214107</v>
      </c>
      <c r="G599" s="48">
        <f>IFERROR(DIVIDE(VLOOKUP($B599,Data!$B$3:$EZ1530,39,FALSE),VLOOKUP($B599,Data!$B$3:$EZ1530,4,FALSE)),"")</f>
        <v>-0.09881433362</v>
      </c>
      <c r="H599" s="48">
        <f>IFERROR(DIVIDE(VLOOKUP($B599,Data!$B$3:$EZ1530,44,FALSE),VLOOKUP($B599,Data!$B$3:$EZ1530,4,FALSE)),"")</f>
        <v>0.6364308537</v>
      </c>
      <c r="I599" s="48">
        <f>IFERROR(MINUS(DIVIDE(VLOOKUP($B599,Data!$B$3:$EZ1530,9,FALSE),VLOOKUP($B599,Data!$B$3:$EZ1530,10,FALSE)),1),"")</f>
        <v>-0.04234877105</v>
      </c>
      <c r="J599" s="48">
        <f>IFERROR(MINUS(DIVIDE(VLOOKUP($B599,Data!$B$3:$EZ1530,24,FALSE),VLOOKUP($B599,Data!$B$3:$EZ1530,25,FALSE)),1),"")</f>
        <v>-24.56028369</v>
      </c>
      <c r="K599" s="48">
        <f>IFERROR(MINUS(DIVIDE(VLOOKUP($B599,Data!$B$3:$EZ1530,29,FALSE),VLOOKUP($B599,Data!$B$3:$EZ1530,30,FALSE)),1),"")</f>
        <v>-1.271534557</v>
      </c>
      <c r="L599" s="48">
        <f>IFERROR(MINUS(DIVIDE(VLOOKUP($B599,Data!$B$3:$EZ1530,34,FALSE),VLOOKUP($B599,Data!$B$3:$EZ1530,35,FALSE)),1),"")</f>
        <v>-0.0248015873</v>
      </c>
      <c r="M599" s="48">
        <f>IFERROR(MINUS(DIVIDE(VLOOKUP($B599,Data!$B$3:$EZ1530,39,FALSE),VLOOKUP($B599,Data!$B$3:$EZ1530,40,FALSE)),1),"")</f>
        <v>-1.364717349</v>
      </c>
      <c r="N599" s="48">
        <f>IFERROR(MINUS(DIVIDE(VLOOKUP($B599,Data!$B$3:$EZ1530,44,FALSE),VLOOKUP($B599,Data!$B$3:$EZ1530,45,FALSE)),1),"")</f>
        <v>0.2111055276</v>
      </c>
      <c r="O599" s="50">
        <f>IFERROR(VLOOKUP($B599,Data!$B$3:$D1530,2,FALSE),"")</f>
        <v>295600</v>
      </c>
      <c r="P599" s="50">
        <f>IFERROR(VLOOKUP($B599,Data!$B$3:$D1530,3,FALSE),"")</f>
        <v>329550</v>
      </c>
      <c r="Q599" s="48">
        <f t="shared" si="2"/>
        <v>-0.1030192687</v>
      </c>
      <c r="R599" s="48"/>
      <c r="S599" s="48"/>
      <c r="T599" s="48"/>
      <c r="U599" s="48"/>
      <c r="V599" s="48"/>
      <c r="W599" s="50"/>
      <c r="Z599" s="11"/>
      <c r="AA599" s="11"/>
    </row>
    <row r="600">
      <c r="A600" s="9">
        <f t="shared" si="1"/>
        <v>597</v>
      </c>
      <c r="B600" s="47" t="s">
        <v>734</v>
      </c>
      <c r="C600" s="48">
        <f>IFERROR(DIVIDE(VLOOKUP($B600,Data!$B$3:$AB$1535,9,FALSE),VLOOKUP($B600,Data!$B$3:$AB$1535,4,FALSE)),"")</f>
        <v>0</v>
      </c>
      <c r="D600" s="48">
        <f>IFERROR(DIVIDE(VLOOKUP($B600,Data!$B$3:$AB$1535,24,FALSE),VLOOKUP($B600,Data!$B$3:$AB$1535,4,FALSE)),"")</f>
        <v>0.1656942686</v>
      </c>
      <c r="E600" s="48">
        <f>IFERROR(DIVIDE(VLOOKUP($B600,Data!$B$3:$EZ1530,29,FALSE),VLOOKUP($B600,Data!$B$3:$EZ1530,4,FALSE)),"")</f>
        <v>0.1658717855</v>
      </c>
      <c r="F600" s="48">
        <f>IFERROR(DIVIDE(VLOOKUP($B600,Data!$B$3:$EZ1530,34,FALSE),VLOOKUP($B600,Data!$B$3:$EZ1530,4,FALSE)),"")</f>
        <v>0.3927147067</v>
      </c>
      <c r="G600" s="48">
        <f>IFERROR(DIVIDE(VLOOKUP($B600,Data!$B$3:$EZ1530,39,FALSE),VLOOKUP($B600,Data!$B$3:$EZ1530,4,FALSE)),"")</f>
        <v>0.1773393768</v>
      </c>
      <c r="H600" s="48">
        <f>IFERROR(DIVIDE(VLOOKUP($B600,Data!$B$3:$EZ1530,44,FALSE),VLOOKUP($B600,Data!$B$3:$EZ1530,4,FALSE)),"")</f>
        <v>3.798861525</v>
      </c>
      <c r="I600" s="48" t="str">
        <f>IFERROR(MINUS(DIVIDE(VLOOKUP($B600,Data!$B$3:$EZ1530,9,FALSE),VLOOKUP($B600,Data!$B$3:$EZ1530,10,FALSE)),1),"")</f>
        <v/>
      </c>
      <c r="J600" s="48">
        <f>IFERROR(MINUS(DIVIDE(VLOOKUP($B600,Data!$B$3:$EZ1530,24,FALSE),VLOOKUP($B600,Data!$B$3:$EZ1530,25,FALSE)),1),"")</f>
        <v>-2.928246798</v>
      </c>
      <c r="K600" s="48">
        <f>IFERROR(MINUS(DIVIDE(VLOOKUP($B600,Data!$B$3:$EZ1530,29,FALSE),VLOOKUP($B600,Data!$B$3:$EZ1530,30,FALSE)),1),"")</f>
        <v>-4.947057167</v>
      </c>
      <c r="L600" s="48">
        <f>IFERROR(MINUS(DIVIDE(VLOOKUP($B600,Data!$B$3:$EZ1530,34,FALSE),VLOOKUP($B600,Data!$B$3:$EZ1530,35,FALSE)),1),"")</f>
        <v>-5.827465813</v>
      </c>
      <c r="M600" s="48">
        <f>IFERROR(MINUS(DIVIDE(VLOOKUP($B600,Data!$B$3:$EZ1530,39,FALSE),VLOOKUP($B600,Data!$B$3:$EZ1530,40,FALSE)),1),"")</f>
        <v>-6.121326042</v>
      </c>
      <c r="N600" s="48">
        <f>IFERROR(MINUS(DIVIDE(VLOOKUP($B600,Data!$B$3:$EZ1530,44,FALSE),VLOOKUP($B600,Data!$B$3:$EZ1530,45,FALSE)),1),"")</f>
        <v>-23.53105917</v>
      </c>
      <c r="O600" s="50">
        <f>IFERROR(VLOOKUP($B600,Data!$B$3:$D1530,2,FALSE),"")</f>
        <v>734850</v>
      </c>
      <c r="P600" s="50">
        <f>IFERROR(VLOOKUP($B600,Data!$B$3:$D1530,3,FALSE),"")</f>
        <v>664920</v>
      </c>
      <c r="Q600" s="48">
        <f t="shared" si="2"/>
        <v>0.1051705468</v>
      </c>
      <c r="R600" s="48"/>
      <c r="S600" s="48"/>
      <c r="T600" s="48"/>
      <c r="U600" s="48"/>
      <c r="V600" s="48"/>
      <c r="W600" s="50"/>
      <c r="Z600" s="11"/>
      <c r="AA600" s="11"/>
    </row>
    <row r="601">
      <c r="A601" s="9">
        <f t="shared" si="1"/>
        <v>598</v>
      </c>
      <c r="B601" s="47" t="s">
        <v>735</v>
      </c>
      <c r="C601" s="48">
        <f>IFERROR(DIVIDE(VLOOKUP($B601,Data!$B$3:$AB$1535,9,FALSE),VLOOKUP($B601,Data!$B$3:$AB$1535,4,FALSE)),"")</f>
        <v>0.6474305994</v>
      </c>
      <c r="D601" s="48">
        <f>IFERROR(DIVIDE(VLOOKUP($B601,Data!$B$3:$AB$1535,24,FALSE),VLOOKUP($B601,Data!$B$3:$AB$1535,4,FALSE)),"")</f>
        <v>0.01759929992</v>
      </c>
      <c r="E601" s="48">
        <f>IFERROR(DIVIDE(VLOOKUP($B601,Data!$B$3:$EZ1530,29,FALSE),VLOOKUP($B601,Data!$B$3:$EZ1530,4,FALSE)),"")</f>
        <v>0.02270406923</v>
      </c>
      <c r="F601" s="48">
        <f>IFERROR(DIVIDE(VLOOKUP($B601,Data!$B$3:$EZ1530,34,FALSE),VLOOKUP($B601,Data!$B$3:$EZ1530,4,FALSE)),"")</f>
        <v>0.04779036414</v>
      </c>
      <c r="G601" s="48">
        <f>IFERROR(DIVIDE(VLOOKUP($B601,Data!$B$3:$EZ1530,39,FALSE),VLOOKUP($B601,Data!$B$3:$EZ1530,4,FALSE)),"")</f>
        <v>0.02156157324</v>
      </c>
      <c r="H601" s="48">
        <f>IFERROR(DIVIDE(VLOOKUP($B601,Data!$B$3:$EZ1530,44,FALSE),VLOOKUP($B601,Data!$B$3:$EZ1530,4,FALSE)),"")</f>
        <v>0.09285818465</v>
      </c>
      <c r="I601" s="48">
        <f>IFERROR(MINUS(DIVIDE(VLOOKUP($B601,Data!$B$3:$EZ1530,9,FALSE),VLOOKUP($B601,Data!$B$3:$EZ1530,10,FALSE)),1),"")</f>
        <v>0.1495036685</v>
      </c>
      <c r="J601" s="48">
        <f>IFERROR(MINUS(DIVIDE(VLOOKUP($B601,Data!$B$3:$EZ1530,24,FALSE),VLOOKUP($B601,Data!$B$3:$EZ1530,25,FALSE)),1),"")</f>
        <v>-1.582930757</v>
      </c>
      <c r="K601" s="48">
        <f>IFERROR(MINUS(DIVIDE(VLOOKUP($B601,Data!$B$3:$EZ1530,29,FALSE),VLOOKUP($B601,Data!$B$3:$EZ1530,30,FALSE)),1),"")</f>
        <v>-1.738339921</v>
      </c>
      <c r="L601" s="48">
        <f>IFERROR(MINUS(DIVIDE(VLOOKUP($B601,Data!$B$3:$EZ1530,34,FALSE),VLOOKUP($B601,Data!$B$3:$EZ1530,35,FALSE)),1),"")</f>
        <v>1.845151954</v>
      </c>
      <c r="M601" s="48">
        <f>IFERROR(MINUS(DIVIDE(VLOOKUP($B601,Data!$B$3:$EZ1530,39,FALSE),VLOOKUP($B601,Data!$B$3:$EZ1530,40,FALSE)),1),"")</f>
        <v>-1.671969697</v>
      </c>
      <c r="N601" s="48">
        <f>IFERROR(MINUS(DIVIDE(VLOOKUP($B601,Data!$B$3:$EZ1530,44,FALSE),VLOOKUP($B601,Data!$B$3:$EZ1530,45,FALSE)),1),"")</f>
        <v>0.1830288015</v>
      </c>
      <c r="O601" s="50">
        <f>IFERROR(VLOOKUP($B601,Data!$B$3:$D1530,2,FALSE),"")</f>
        <v>566620</v>
      </c>
      <c r="P601" s="50">
        <f>IFERROR(VLOOKUP($B601,Data!$B$3:$D1530,3,FALSE),"")</f>
        <v>527460</v>
      </c>
      <c r="Q601" s="48">
        <f t="shared" si="2"/>
        <v>0.0742425966</v>
      </c>
      <c r="R601" s="48"/>
      <c r="S601" s="48"/>
      <c r="T601" s="48"/>
      <c r="U601" s="48"/>
      <c r="V601" s="48"/>
      <c r="W601" s="50"/>
      <c r="Z601" s="11"/>
      <c r="AA601" s="11"/>
    </row>
    <row r="602">
      <c r="A602" s="9">
        <f t="shared" si="1"/>
        <v>599</v>
      </c>
      <c r="B602" s="47" t="s">
        <v>736</v>
      </c>
      <c r="C602" s="48" t="str">
        <f>IFERROR(DIVIDE(VLOOKUP($B602,Data!$B$3:$AB$1535,9,FALSE),VLOOKUP($B602,Data!$B$3:$AB$1535,4,FALSE)),"")</f>
        <v/>
      </c>
      <c r="D602" s="48" t="str">
        <f>IFERROR(DIVIDE(VLOOKUP($B602,Data!$B$3:$AB$1535,24,FALSE),VLOOKUP($B602,Data!$B$3:$AB$1535,4,FALSE)),"")</f>
        <v/>
      </c>
      <c r="E602" s="48" t="str">
        <f>IFERROR(DIVIDE(VLOOKUP($B602,Data!$B$3:$EZ1530,29,FALSE),VLOOKUP($B602,Data!$B$3:$EZ1530,4,FALSE)),"")</f>
        <v/>
      </c>
      <c r="F602" s="48" t="str">
        <f>IFERROR(DIVIDE(VLOOKUP($B602,Data!$B$3:$EZ1530,34,FALSE),VLOOKUP($B602,Data!$B$3:$EZ1530,4,FALSE)),"")</f>
        <v/>
      </c>
      <c r="G602" s="48" t="str">
        <f>IFERROR(DIVIDE(VLOOKUP($B602,Data!$B$3:$EZ1530,39,FALSE),VLOOKUP($B602,Data!$B$3:$EZ1530,4,FALSE)),"")</f>
        <v/>
      </c>
      <c r="H602" s="48" t="str">
        <f>IFERROR(DIVIDE(VLOOKUP($B602,Data!$B$3:$EZ1530,44,FALSE),VLOOKUP($B602,Data!$B$3:$EZ1530,4,FALSE)),"")</f>
        <v/>
      </c>
      <c r="I602" s="48">
        <f>IFERROR(MINUS(DIVIDE(VLOOKUP($B602,Data!$B$3:$EZ1530,9,FALSE),VLOOKUP($B602,Data!$B$3:$EZ1530,10,FALSE)),1),"")</f>
        <v>2.269090909</v>
      </c>
      <c r="J602" s="48" t="str">
        <f>IFERROR(MINUS(DIVIDE(VLOOKUP($B602,Data!$B$3:$EZ1530,24,FALSE),VLOOKUP($B602,Data!$B$3:$EZ1530,25,FALSE)),1),"")</f>
        <v/>
      </c>
      <c r="K602" s="48">
        <f>IFERROR(MINUS(DIVIDE(VLOOKUP($B602,Data!$B$3:$EZ1530,29,FALSE),VLOOKUP($B602,Data!$B$3:$EZ1530,30,FALSE)),1),"")</f>
        <v>0.1992956288</v>
      </c>
      <c r="L602" s="48">
        <f>IFERROR(MINUS(DIVIDE(VLOOKUP($B602,Data!$B$3:$EZ1530,34,FALSE),VLOOKUP($B602,Data!$B$3:$EZ1530,35,FALSE)),1),"")</f>
        <v>0.1807534648</v>
      </c>
      <c r="M602" s="48">
        <f>IFERROR(MINUS(DIVIDE(VLOOKUP($B602,Data!$B$3:$EZ1530,39,FALSE),VLOOKUP($B602,Data!$B$3:$EZ1530,40,FALSE)),1),"")</f>
        <v>0.1992956288</v>
      </c>
      <c r="N602" s="48">
        <f>IFERROR(MINUS(DIVIDE(VLOOKUP($B602,Data!$B$3:$EZ1530,44,FALSE),VLOOKUP($B602,Data!$B$3:$EZ1530,45,FALSE)),1),"")</f>
        <v>0.1996307408</v>
      </c>
      <c r="O602" s="50" t="str">
        <f>IFERROR(VLOOKUP($B602,Data!$B$3:$D1530,2,FALSE),"")</f>
        <v/>
      </c>
      <c r="P602" s="50">
        <f>IFERROR(VLOOKUP($B602,Data!$B$3:$D1530,3,FALSE),"")</f>
        <v>9000</v>
      </c>
      <c r="Q602" s="48">
        <f t="shared" si="2"/>
        <v>-1</v>
      </c>
      <c r="R602" s="48"/>
      <c r="S602" s="48"/>
      <c r="T602" s="48"/>
      <c r="U602" s="48"/>
      <c r="V602" s="48"/>
      <c r="W602" s="50"/>
      <c r="Z602" s="11"/>
      <c r="AA602" s="11"/>
    </row>
    <row r="603">
      <c r="A603" s="9">
        <f t="shared" si="1"/>
        <v>600</v>
      </c>
      <c r="B603" s="47" t="s">
        <v>737</v>
      </c>
      <c r="C603" s="48">
        <f>IFERROR(DIVIDE(VLOOKUP($B603,Data!$B$3:$AB$1535,9,FALSE),VLOOKUP($B603,Data!$B$3:$AB$1535,4,FALSE)),"")</f>
        <v>0.1050714078</v>
      </c>
      <c r="D603" s="48">
        <f>IFERROR(DIVIDE(VLOOKUP($B603,Data!$B$3:$AB$1535,24,FALSE),VLOOKUP($B603,Data!$B$3:$AB$1535,4,FALSE)),"")</f>
        <v>0.04167881084</v>
      </c>
      <c r="E603" s="48">
        <f>IFERROR(DIVIDE(VLOOKUP($B603,Data!$B$3:$EZ1530,29,FALSE),VLOOKUP($B603,Data!$B$3:$EZ1530,4,FALSE)),"")</f>
        <v>0.05421160012</v>
      </c>
      <c r="F603" s="48">
        <f>IFERROR(DIVIDE(VLOOKUP($B603,Data!$B$3:$EZ1530,34,FALSE),VLOOKUP($B603,Data!$B$3:$EZ1530,4,FALSE)),"")</f>
        <v>0.1455843777</v>
      </c>
      <c r="G603" s="48">
        <f>IFERROR(DIVIDE(VLOOKUP($B603,Data!$B$3:$EZ1530,39,FALSE),VLOOKUP($B603,Data!$B$3:$EZ1530,4,FALSE)),"")</f>
        <v>0.04903818129</v>
      </c>
      <c r="H603" s="48">
        <f>IFERROR(DIVIDE(VLOOKUP($B603,Data!$B$3:$EZ1530,44,FALSE),VLOOKUP($B603,Data!$B$3:$EZ1530,4,FALSE)),"")</f>
        <v>0.109443311</v>
      </c>
      <c r="I603" s="48">
        <f>IFERROR(MINUS(DIVIDE(VLOOKUP($B603,Data!$B$3:$EZ1530,9,FALSE),VLOOKUP($B603,Data!$B$3:$EZ1530,10,FALSE)),1),"")</f>
        <v>-0.3415525114</v>
      </c>
      <c r="J603" s="48">
        <f>IFERROR(MINUS(DIVIDE(VLOOKUP($B603,Data!$B$3:$EZ1530,24,FALSE),VLOOKUP($B603,Data!$B$3:$EZ1530,25,FALSE)),1),"")</f>
        <v>0.2170212766</v>
      </c>
      <c r="K603" s="48">
        <f>IFERROR(MINUS(DIVIDE(VLOOKUP($B603,Data!$B$3:$EZ1530,29,FALSE),VLOOKUP($B603,Data!$B$3:$EZ1530,30,FALSE)),1),"")</f>
        <v>-0.1298245614</v>
      </c>
      <c r="L603" s="48">
        <f>IFERROR(MINUS(DIVIDE(VLOOKUP($B603,Data!$B$3:$EZ1530,34,FALSE),VLOOKUP($B603,Data!$B$3:$EZ1530,35,FALSE)),1),"")</f>
        <v>0.1081530782</v>
      </c>
      <c r="M603" s="48">
        <f>IFERROR(MINUS(DIVIDE(VLOOKUP($B603,Data!$B$3:$EZ1530,39,FALSE),VLOOKUP($B603,Data!$B$3:$EZ1530,40,FALSE)),1),"")</f>
        <v>-0.1670792079</v>
      </c>
      <c r="N603" s="48">
        <f>IFERROR(MINUS(DIVIDE(VLOOKUP($B603,Data!$B$3:$EZ1530,44,FALSE),VLOOKUP($B603,Data!$B$3:$EZ1530,45,FALSE)),1),"")</f>
        <v>-0.01572739187</v>
      </c>
      <c r="O603" s="50">
        <f>IFERROR(VLOOKUP($B603,Data!$B$3:$D1530,2,FALSE),"")</f>
        <v>131750000</v>
      </c>
      <c r="P603" s="50">
        <f>IFERROR(VLOOKUP($B603,Data!$B$3:$D1530,3,FALSE),"")</f>
        <v>118510000</v>
      </c>
      <c r="Q603" s="48">
        <f t="shared" si="2"/>
        <v>0.1117205299</v>
      </c>
      <c r="R603" s="48"/>
      <c r="S603" s="48"/>
      <c r="T603" s="48"/>
      <c r="U603" s="48"/>
      <c r="V603" s="48"/>
      <c r="W603" s="50"/>
      <c r="Z603" s="12"/>
      <c r="AA603" s="12"/>
    </row>
    <row r="604">
      <c r="A604" s="9">
        <f t="shared" si="1"/>
        <v>601</v>
      </c>
      <c r="B604" s="47" t="s">
        <v>738</v>
      </c>
      <c r="C604" s="48">
        <f>IFERROR(DIVIDE(VLOOKUP($B604,Data!$B$3:$AB$1535,9,FALSE),VLOOKUP($B604,Data!$B$3:$AB$1535,4,FALSE)),"")</f>
        <v>0</v>
      </c>
      <c r="D604" s="48">
        <f>IFERROR(DIVIDE(VLOOKUP($B604,Data!$B$3:$AB$1535,24,FALSE),VLOOKUP($B604,Data!$B$3:$AB$1535,4,FALSE)),"")</f>
        <v>0</v>
      </c>
      <c r="E604" s="48">
        <f>IFERROR(DIVIDE(VLOOKUP($B604,Data!$B$3:$EZ1530,29,FALSE),VLOOKUP($B604,Data!$B$3:$EZ1530,4,FALSE)),"")</f>
        <v>0.5325884544</v>
      </c>
      <c r="F604" s="48">
        <f>IFERROR(DIVIDE(VLOOKUP($B604,Data!$B$3:$EZ1530,34,FALSE),VLOOKUP($B604,Data!$B$3:$EZ1530,4,FALSE)),"")</f>
        <v>0.5176908752</v>
      </c>
      <c r="G604" s="48">
        <f>IFERROR(DIVIDE(VLOOKUP($B604,Data!$B$3:$EZ1530,39,FALSE),VLOOKUP($B604,Data!$B$3:$EZ1530,4,FALSE)),"")</f>
        <v>0.4040968343</v>
      </c>
      <c r="H604" s="48">
        <f>IFERROR(DIVIDE(VLOOKUP($B604,Data!$B$3:$EZ1530,44,FALSE),VLOOKUP($B604,Data!$B$3:$EZ1530,4,FALSE)),"")</f>
        <v>0.2476722533</v>
      </c>
      <c r="I604" s="48" t="str">
        <f>IFERROR(MINUS(DIVIDE(VLOOKUP($B604,Data!$B$3:$EZ1530,9,FALSE),VLOOKUP($B604,Data!$B$3:$EZ1530,10,FALSE)),1),"")</f>
        <v/>
      </c>
      <c r="J604" s="48" t="str">
        <f>IFERROR(MINUS(DIVIDE(VLOOKUP($B604,Data!$B$3:$EZ1530,24,FALSE),VLOOKUP($B604,Data!$B$3:$EZ1530,25,FALSE)),1),"")</f>
        <v/>
      </c>
      <c r="K604" s="48">
        <f>IFERROR(MINUS(DIVIDE(VLOOKUP($B604,Data!$B$3:$EZ1530,29,FALSE),VLOOKUP($B604,Data!$B$3:$EZ1530,30,FALSE)),1),"")</f>
        <v>0.7763975155</v>
      </c>
      <c r="L604" s="48">
        <f>IFERROR(MINUS(DIVIDE(VLOOKUP($B604,Data!$B$3:$EZ1530,34,FALSE),VLOOKUP($B604,Data!$B$3:$EZ1530,35,FALSE)),1),"")</f>
        <v>0.8911564626</v>
      </c>
      <c r="M604" s="48">
        <f>IFERROR(MINUS(DIVIDE(VLOOKUP($B604,Data!$B$3:$EZ1530,39,FALSE),VLOOKUP($B604,Data!$B$3:$EZ1530,40,FALSE)),1),"")</f>
        <v>0.4761904762</v>
      </c>
      <c r="N604" s="48">
        <f>IFERROR(MINUS(DIVIDE(VLOOKUP($B604,Data!$B$3:$EZ1530,44,FALSE),VLOOKUP($B604,Data!$B$3:$EZ1530,45,FALSE)),1),"")</f>
        <v>0.3168316832</v>
      </c>
      <c r="O604" s="50">
        <f>IFERROR(VLOOKUP($B604,Data!$B$3:$D1530,2,FALSE),"")</f>
        <v>1330000</v>
      </c>
      <c r="P604" s="50">
        <f>IFERROR(VLOOKUP($B604,Data!$B$3:$D1530,3,FALSE),"")</f>
        <v>1530000</v>
      </c>
      <c r="Q604" s="48">
        <f t="shared" si="2"/>
        <v>-0.1307189542</v>
      </c>
      <c r="R604" s="48"/>
      <c r="S604" s="48"/>
      <c r="T604" s="48"/>
      <c r="U604" s="48"/>
      <c r="V604" s="48"/>
      <c r="W604" s="50"/>
      <c r="Z604" s="12"/>
      <c r="AA604" s="11"/>
    </row>
    <row r="605">
      <c r="A605" s="9">
        <f t="shared" si="1"/>
        <v>602</v>
      </c>
      <c r="B605" s="47" t="s">
        <v>739</v>
      </c>
      <c r="C605" s="48" t="str">
        <f>IFERROR(DIVIDE(VLOOKUP($B605,Data!$B$3:$AB$1535,9,FALSE),VLOOKUP($B605,Data!$B$3:$AB$1535,4,FALSE)),"")</f>
        <v/>
      </c>
      <c r="D605" s="48" t="str">
        <f>IFERROR(DIVIDE(VLOOKUP($B605,Data!$B$3:$AB$1535,24,FALSE),VLOOKUP($B605,Data!$B$3:$AB$1535,4,FALSE)),"")</f>
        <v/>
      </c>
      <c r="E605" s="48" t="str">
        <f>IFERROR(DIVIDE(VLOOKUP($B605,Data!$B$3:$EZ1530,29,FALSE),VLOOKUP($B605,Data!$B$3:$EZ1530,4,FALSE)),"")</f>
        <v/>
      </c>
      <c r="F605" s="48" t="str">
        <f>IFERROR(DIVIDE(VLOOKUP($B605,Data!$B$3:$EZ1530,34,FALSE),VLOOKUP($B605,Data!$B$3:$EZ1530,4,FALSE)),"")</f>
        <v/>
      </c>
      <c r="G605" s="48" t="str">
        <f>IFERROR(DIVIDE(VLOOKUP($B605,Data!$B$3:$EZ1530,39,FALSE),VLOOKUP($B605,Data!$B$3:$EZ1530,4,FALSE)),"")</f>
        <v/>
      </c>
      <c r="H605" s="48" t="str">
        <f>IFERROR(DIVIDE(VLOOKUP($B605,Data!$B$3:$EZ1530,44,FALSE),VLOOKUP($B605,Data!$B$3:$EZ1530,4,FALSE)),"")</f>
        <v/>
      </c>
      <c r="I605" s="48">
        <f>IFERROR(MINUS(DIVIDE(VLOOKUP($B605,Data!$B$3:$EZ1530,9,FALSE),VLOOKUP($B605,Data!$B$3:$EZ1530,10,FALSE)),1),"")</f>
        <v>6.955390335</v>
      </c>
      <c r="J605" s="48">
        <f>IFERROR(MINUS(DIVIDE(VLOOKUP($B605,Data!$B$3:$EZ1530,24,FALSE),VLOOKUP($B605,Data!$B$3:$EZ1530,25,FALSE)),1),"")</f>
        <v>-0.3250750751</v>
      </c>
      <c r="K605" s="48">
        <f>IFERROR(MINUS(DIVIDE(VLOOKUP($B605,Data!$B$3:$EZ1530,29,FALSE),VLOOKUP($B605,Data!$B$3:$EZ1530,30,FALSE)),1),"")</f>
        <v>-0.3488460083</v>
      </c>
      <c r="L605" s="48">
        <f>IFERROR(MINUS(DIVIDE(VLOOKUP($B605,Data!$B$3:$EZ1530,34,FALSE),VLOOKUP($B605,Data!$B$3:$EZ1530,35,FALSE)),1),"")</f>
        <v>0.4137207909</v>
      </c>
      <c r="M605" s="48">
        <f>IFERROR(MINUS(DIVIDE(VLOOKUP($B605,Data!$B$3:$EZ1530,39,FALSE),VLOOKUP($B605,Data!$B$3:$EZ1530,40,FALSE)),1),"")</f>
        <v>-0.3510296618</v>
      </c>
      <c r="N605" s="48">
        <f>IFERROR(MINUS(DIVIDE(VLOOKUP($B605,Data!$B$3:$EZ1530,44,FALSE),VLOOKUP($B605,Data!$B$3:$EZ1530,45,FALSE)),1),"")</f>
        <v>0.4351116156</v>
      </c>
      <c r="O605" s="50">
        <f>IFERROR(VLOOKUP($B605,Data!$B$3:$D1530,2,FALSE),"")</f>
        <v>24370</v>
      </c>
      <c r="P605" s="50" t="str">
        <f>IFERROR(VLOOKUP($B605,Data!$B$3:$D1530,3,FALSE),"")</f>
        <v/>
      </c>
      <c r="Q605" s="48" t="str">
        <f t="shared" si="2"/>
        <v/>
      </c>
      <c r="R605" s="48"/>
      <c r="S605" s="48"/>
      <c r="T605" s="48"/>
      <c r="U605" s="48"/>
      <c r="V605" s="48"/>
      <c r="W605" s="50"/>
      <c r="Z605" s="15"/>
      <c r="AA605" s="15"/>
    </row>
    <row r="606">
      <c r="A606" s="9">
        <f t="shared" si="1"/>
        <v>603</v>
      </c>
      <c r="B606" s="47" t="s">
        <v>740</v>
      </c>
      <c r="C606" s="48">
        <f>IFERROR(DIVIDE(VLOOKUP($B606,Data!$B$3:$AB$1535,9,FALSE),VLOOKUP($B606,Data!$B$3:$AB$1535,4,FALSE)),"")</f>
        <v>0.2952086553</v>
      </c>
      <c r="D606" s="48">
        <f>IFERROR(DIVIDE(VLOOKUP($B606,Data!$B$3:$AB$1535,24,FALSE),VLOOKUP($B606,Data!$B$3:$AB$1535,4,FALSE)),"")</f>
        <v>-0.06128284389</v>
      </c>
      <c r="E606" s="48">
        <f>IFERROR(DIVIDE(VLOOKUP($B606,Data!$B$3:$EZ1530,29,FALSE),VLOOKUP($B606,Data!$B$3:$EZ1530,4,FALSE)),"")</f>
        <v>-0.06596599691</v>
      </c>
      <c r="F606" s="48">
        <f>IFERROR(DIVIDE(VLOOKUP($B606,Data!$B$3:$EZ1530,34,FALSE),VLOOKUP($B606,Data!$B$3:$EZ1530,4,FALSE)),"")</f>
        <v>0.02193199382</v>
      </c>
      <c r="G606" s="48">
        <f>IFERROR(DIVIDE(VLOOKUP($B606,Data!$B$3:$EZ1530,39,FALSE),VLOOKUP($B606,Data!$B$3:$EZ1530,4,FALSE)),"")</f>
        <v>-0.07177743431</v>
      </c>
      <c r="H606" s="48">
        <f>IFERROR(DIVIDE(VLOOKUP($B606,Data!$B$3:$EZ1530,44,FALSE),VLOOKUP($B606,Data!$B$3:$EZ1530,4,FALSE)),"")</f>
        <v>-0.06406491499</v>
      </c>
      <c r="I606" s="48">
        <f>IFERROR(MINUS(DIVIDE(VLOOKUP($B606,Data!$B$3:$EZ1530,9,FALSE),VLOOKUP($B606,Data!$B$3:$EZ1530,10,FALSE)),1),"")</f>
        <v>-0.1318181818</v>
      </c>
      <c r="J606" s="48">
        <f>IFERROR(MINUS(DIVIDE(VLOOKUP($B606,Data!$B$3:$EZ1530,24,FALSE),VLOOKUP($B606,Data!$B$3:$EZ1530,25,FALSE)),1),"")</f>
        <v>-0.4298245614</v>
      </c>
      <c r="K606" s="48">
        <f>IFERROR(MINUS(DIVIDE(VLOOKUP($B606,Data!$B$3:$EZ1530,29,FALSE),VLOOKUP($B606,Data!$B$3:$EZ1530,30,FALSE)),1),"")</f>
        <v>-0.4332757934</v>
      </c>
      <c r="L606" s="48">
        <f>IFERROR(MINUS(DIVIDE(VLOOKUP($B606,Data!$B$3:$EZ1530,34,FALSE),VLOOKUP($B606,Data!$B$3:$EZ1530,35,FALSE)),1),"")</f>
        <v>-0.6602824994</v>
      </c>
      <c r="M606" s="48">
        <f>IFERROR(MINUS(DIVIDE(VLOOKUP($B606,Data!$B$3:$EZ1530,39,FALSE),VLOOKUP($B606,Data!$B$3:$EZ1530,40,FALSE)),1),"")</f>
        <v>-0.4157020634</v>
      </c>
      <c r="N606" s="48">
        <f>IFERROR(MINUS(DIVIDE(VLOOKUP($B606,Data!$B$3:$EZ1530,44,FALSE),VLOOKUP($B606,Data!$B$3:$EZ1530,45,FALSE)),1),"")</f>
        <v>-2.27499231</v>
      </c>
      <c r="O606" s="50" t="str">
        <f>IFERROR(VLOOKUP($B606,Data!$B$3:$D1530,2,FALSE),"")</f>
        <v/>
      </c>
      <c r="P606" s="50" t="str">
        <f>IFERROR(VLOOKUP($B606,Data!$B$3:$D1530,3,FALSE),"")</f>
        <v/>
      </c>
      <c r="Q606" s="48" t="str">
        <f t="shared" si="2"/>
        <v/>
      </c>
      <c r="R606" s="48"/>
      <c r="S606" s="48"/>
      <c r="T606" s="48"/>
      <c r="U606" s="48"/>
      <c r="V606" s="48"/>
      <c r="W606" s="50"/>
      <c r="Z606" s="11"/>
      <c r="AA606" s="11"/>
    </row>
    <row r="607">
      <c r="A607" s="9">
        <f t="shared" si="1"/>
        <v>604</v>
      </c>
      <c r="B607" s="47" t="s">
        <v>741</v>
      </c>
      <c r="C607" s="48">
        <f>IFERROR(DIVIDE(VLOOKUP($B607,Data!$B$3:$AB$1535,9,FALSE),VLOOKUP($B607,Data!$B$3:$AB$1535,4,FALSE)),"")</f>
        <v>0.4932754881</v>
      </c>
      <c r="D607" s="48">
        <f>IFERROR(DIVIDE(VLOOKUP($B607,Data!$B$3:$AB$1535,24,FALSE),VLOOKUP($B607,Data!$B$3:$AB$1535,4,FALSE)),"")</f>
        <v>0</v>
      </c>
      <c r="E607" s="48">
        <f>IFERROR(DIVIDE(VLOOKUP($B607,Data!$B$3:$EZ1530,29,FALSE),VLOOKUP($B607,Data!$B$3:$EZ1530,4,FALSE)),"")</f>
        <v>0.115334557</v>
      </c>
      <c r="F607" s="48">
        <f>IFERROR(DIVIDE(VLOOKUP($B607,Data!$B$3:$EZ1530,34,FALSE),VLOOKUP($B607,Data!$B$3:$EZ1530,4,FALSE)),"")</f>
        <v>0.7262806608</v>
      </c>
      <c r="G607" s="48">
        <f>IFERROR(DIVIDE(VLOOKUP($B607,Data!$B$3:$EZ1530,39,FALSE),VLOOKUP($B607,Data!$B$3:$EZ1530,4,FALSE)),"")</f>
        <v>0.05903554147</v>
      </c>
      <c r="H607" s="48">
        <f>IFERROR(DIVIDE(VLOOKUP($B607,Data!$B$3:$EZ1530,44,FALSE),VLOOKUP($B607,Data!$B$3:$EZ1530,4,FALSE)),"")</f>
        <v>0.5570498915</v>
      </c>
      <c r="I607" s="48">
        <f>IFERROR(MINUS(DIVIDE(VLOOKUP($B607,Data!$B$3:$EZ1530,9,FALSE),VLOOKUP($B607,Data!$B$3:$EZ1530,10,FALSE)),1),"")</f>
        <v>-0.1374803058</v>
      </c>
      <c r="J607" s="48" t="str">
        <f>IFERROR(MINUS(DIVIDE(VLOOKUP($B607,Data!$B$3:$EZ1530,24,FALSE),VLOOKUP($B607,Data!$B$3:$EZ1530,25,FALSE)),1),"")</f>
        <v/>
      </c>
      <c r="K607" s="48">
        <f>IFERROR(MINUS(DIVIDE(VLOOKUP($B607,Data!$B$3:$EZ1530,29,FALSE),VLOOKUP($B607,Data!$B$3:$EZ1530,30,FALSE)),1),"")</f>
        <v>-0.6276664512</v>
      </c>
      <c r="L607" s="48">
        <f>IFERROR(MINUS(DIVIDE(VLOOKUP($B607,Data!$B$3:$EZ1530,34,FALSE),VLOOKUP($B607,Data!$B$3:$EZ1530,35,FALSE)),1),"")</f>
        <v>-0.147785566</v>
      </c>
      <c r="M607" s="48">
        <f>IFERROR(MINUS(DIVIDE(VLOOKUP($B607,Data!$B$3:$EZ1530,39,FALSE),VLOOKUP($B607,Data!$B$3:$EZ1530,40,FALSE)),1),"")</f>
        <v>-0.7542031402</v>
      </c>
      <c r="N607" s="48">
        <f>IFERROR(MINUS(DIVIDE(VLOOKUP($B607,Data!$B$3:$EZ1530,44,FALSE),VLOOKUP($B607,Data!$B$3:$EZ1530,45,FALSE)),1),"")</f>
        <v>0.2102668213</v>
      </c>
      <c r="O607" s="50">
        <f>IFERROR(VLOOKUP($B607,Data!$B$3:$D1530,2,FALSE),"")</f>
        <v>289340</v>
      </c>
      <c r="P607" s="50">
        <f>IFERROR(VLOOKUP($B607,Data!$B$3:$D1530,3,FALSE),"")</f>
        <v>285450</v>
      </c>
      <c r="Q607" s="48">
        <f t="shared" si="2"/>
        <v>0.01362760554</v>
      </c>
      <c r="R607" s="48"/>
      <c r="S607" s="48"/>
      <c r="T607" s="48"/>
      <c r="U607" s="48"/>
      <c r="V607" s="48"/>
      <c r="W607" s="50"/>
      <c r="Z607" s="11"/>
      <c r="AA607" s="12"/>
    </row>
    <row r="608">
      <c r="A608" s="9">
        <f t="shared" si="1"/>
        <v>605</v>
      </c>
      <c r="B608" s="47" t="s">
        <v>742</v>
      </c>
      <c r="C608" s="48" t="str">
        <f>IFERROR(DIVIDE(VLOOKUP($B608,Data!$B$3:$AB$1535,9,FALSE),VLOOKUP($B608,Data!$B$3:$AB$1535,4,FALSE)),"")</f>
        <v/>
      </c>
      <c r="D608" s="48" t="str">
        <f>IFERROR(DIVIDE(VLOOKUP($B608,Data!$B$3:$AB$1535,24,FALSE),VLOOKUP($B608,Data!$B$3:$AB$1535,4,FALSE)),"")</f>
        <v/>
      </c>
      <c r="E608" s="48" t="str">
        <f>IFERROR(DIVIDE(VLOOKUP($B608,Data!$B$3:$EZ1530,29,FALSE),VLOOKUP($B608,Data!$B$3:$EZ1530,4,FALSE)),"")</f>
        <v/>
      </c>
      <c r="F608" s="48" t="str">
        <f>IFERROR(DIVIDE(VLOOKUP($B608,Data!$B$3:$EZ1530,34,FALSE),VLOOKUP($B608,Data!$B$3:$EZ1530,4,FALSE)),"")</f>
        <v/>
      </c>
      <c r="G608" s="48" t="str">
        <f>IFERROR(DIVIDE(VLOOKUP($B608,Data!$B$3:$EZ1530,39,FALSE),VLOOKUP($B608,Data!$B$3:$EZ1530,4,FALSE)),"")</f>
        <v/>
      </c>
      <c r="H608" s="48" t="str">
        <f>IFERROR(DIVIDE(VLOOKUP($B608,Data!$B$3:$EZ1530,44,FALSE),VLOOKUP($B608,Data!$B$3:$EZ1530,4,FALSE)),"")</f>
        <v/>
      </c>
      <c r="I608" s="48">
        <f>IFERROR(MINUS(DIVIDE(VLOOKUP($B608,Data!$B$3:$EZ1530,9,FALSE),VLOOKUP($B608,Data!$B$3:$EZ1530,10,FALSE)),1),"")</f>
        <v>-1</v>
      </c>
      <c r="J608" s="48">
        <f>IFERROR(MINUS(DIVIDE(VLOOKUP($B608,Data!$B$3:$EZ1530,24,FALSE),VLOOKUP($B608,Data!$B$3:$EZ1530,25,FALSE)),1),"")</f>
        <v>-0.591796875</v>
      </c>
      <c r="K608" s="48">
        <f>IFERROR(MINUS(DIVIDE(VLOOKUP($B608,Data!$B$3:$EZ1530,29,FALSE),VLOOKUP($B608,Data!$B$3:$EZ1530,30,FALSE)),1),"")</f>
        <v>-0.2895683453</v>
      </c>
      <c r="L608" s="48">
        <f>IFERROR(MINUS(DIVIDE(VLOOKUP($B608,Data!$B$3:$EZ1530,34,FALSE),VLOOKUP($B608,Data!$B$3:$EZ1530,35,FALSE)),1),"")</f>
        <v>-0.5230224321</v>
      </c>
      <c r="M608" s="48">
        <f>IFERROR(MINUS(DIVIDE(VLOOKUP($B608,Data!$B$3:$EZ1530,39,FALSE),VLOOKUP($B608,Data!$B$3:$EZ1530,40,FALSE)),1),"")</f>
        <v>-0.2662942272</v>
      </c>
      <c r="N608" s="48">
        <f>IFERROR(MINUS(DIVIDE(VLOOKUP($B608,Data!$B$3:$EZ1530,44,FALSE),VLOOKUP($B608,Data!$B$3:$EZ1530,45,FALSE)),1),"")</f>
        <v>-0.3541899441</v>
      </c>
      <c r="O608" s="50" t="str">
        <f>IFERROR(VLOOKUP($B608,Data!$B$3:$D1530,2,FALSE),"")</f>
        <v/>
      </c>
      <c r="P608" s="50" t="str">
        <f>IFERROR(VLOOKUP($B608,Data!$B$3:$D1530,3,FALSE),"")</f>
        <v/>
      </c>
      <c r="Q608" s="48" t="str">
        <f t="shared" si="2"/>
        <v/>
      </c>
      <c r="R608" s="48"/>
      <c r="S608" s="48"/>
      <c r="T608" s="48"/>
      <c r="U608" s="48"/>
      <c r="V608" s="48"/>
      <c r="W608" s="50"/>
      <c r="Z608" s="11"/>
      <c r="AA608" s="11"/>
    </row>
    <row r="609">
      <c r="A609" s="9">
        <f t="shared" si="1"/>
        <v>606</v>
      </c>
      <c r="B609" s="47" t="s">
        <v>743</v>
      </c>
      <c r="C609" s="48">
        <f>IFERROR(DIVIDE(VLOOKUP($B609,Data!$B$3:$AB$1535,9,FALSE),VLOOKUP($B609,Data!$B$3:$AB$1535,4,FALSE)),"")</f>
        <v>0.2921851852</v>
      </c>
      <c r="D609" s="48">
        <f>IFERROR(DIVIDE(VLOOKUP($B609,Data!$B$3:$AB$1535,24,FALSE),VLOOKUP($B609,Data!$B$3:$AB$1535,4,FALSE)),"")</f>
        <v>0.03463580247</v>
      </c>
      <c r="E609" s="48">
        <f>IFERROR(DIVIDE(VLOOKUP($B609,Data!$B$3:$EZ1530,29,FALSE),VLOOKUP($B609,Data!$B$3:$EZ1530,4,FALSE)),"")</f>
        <v>0.01429938272</v>
      </c>
      <c r="F609" s="48">
        <f>IFERROR(DIVIDE(VLOOKUP($B609,Data!$B$3:$EZ1530,34,FALSE),VLOOKUP($B609,Data!$B$3:$EZ1530,4,FALSE)),"")</f>
        <v>0.08664506173</v>
      </c>
      <c r="G609" s="48">
        <f>IFERROR(DIVIDE(VLOOKUP($B609,Data!$B$3:$EZ1530,39,FALSE),VLOOKUP($B609,Data!$B$3:$EZ1530,4,FALSE)),"")</f>
        <v>0.007194444444</v>
      </c>
      <c r="H609" s="48">
        <f>IFERROR(DIVIDE(VLOOKUP($B609,Data!$B$3:$EZ1530,44,FALSE),VLOOKUP($B609,Data!$B$3:$EZ1530,4,FALSE)),"")</f>
        <v>0.09354320988</v>
      </c>
      <c r="I609" s="48">
        <f>IFERROR(MINUS(DIVIDE(VLOOKUP($B609,Data!$B$3:$EZ1530,9,FALSE),VLOOKUP($B609,Data!$B$3:$EZ1530,10,FALSE)),1),"")</f>
        <v>0.06769223829</v>
      </c>
      <c r="J609" s="48">
        <f>IFERROR(MINUS(DIVIDE(VLOOKUP($B609,Data!$B$3:$EZ1530,24,FALSE),VLOOKUP($B609,Data!$B$3:$EZ1530,25,FALSE)),1),"")</f>
        <v>-0.2030395568</v>
      </c>
      <c r="K609" s="48">
        <f>IFERROR(MINUS(DIVIDE(VLOOKUP($B609,Data!$B$3:$EZ1530,29,FALSE),VLOOKUP($B609,Data!$B$3:$EZ1530,30,FALSE)),1),"")</f>
        <v>-0.3385208452</v>
      </c>
      <c r="L609" s="48">
        <f>IFERROR(MINUS(DIVIDE(VLOOKUP($B609,Data!$B$3:$EZ1530,34,FALSE),VLOOKUP($B609,Data!$B$3:$EZ1530,35,FALSE)),1),"")</f>
        <v>0.03812587826</v>
      </c>
      <c r="M609" s="48">
        <f>IFERROR(MINUS(DIVIDE(VLOOKUP($B609,Data!$B$3:$EZ1530,39,FALSE),VLOOKUP($B609,Data!$B$3:$EZ1530,40,FALSE)),1),"")</f>
        <v>-0.5732332479</v>
      </c>
      <c r="N609" s="48">
        <f>IFERROR(MINUS(DIVIDE(VLOOKUP($B609,Data!$B$3:$EZ1530,44,FALSE),VLOOKUP($B609,Data!$B$3:$EZ1530,45,FALSE)),1),"")</f>
        <v>0.5653341597</v>
      </c>
      <c r="O609" s="50">
        <f>IFERROR(VLOOKUP($B609,Data!$B$3:$D1530,2,FALSE),"")</f>
        <v>3210000</v>
      </c>
      <c r="P609" s="50">
        <f>IFERROR(VLOOKUP($B609,Data!$B$3:$D1530,3,FALSE),"")</f>
        <v>3160000</v>
      </c>
      <c r="Q609" s="48">
        <f t="shared" si="2"/>
        <v>0.01582278481</v>
      </c>
      <c r="R609" s="48"/>
      <c r="S609" s="48"/>
      <c r="T609" s="48"/>
      <c r="U609" s="48"/>
      <c r="V609" s="48"/>
      <c r="W609" s="50"/>
      <c r="Z609" s="11"/>
      <c r="AA609" s="11"/>
    </row>
    <row r="610">
      <c r="A610" s="9">
        <f t="shared" si="1"/>
        <v>607</v>
      </c>
      <c r="B610" s="47" t="s">
        <v>744</v>
      </c>
      <c r="C610" s="48">
        <f>IFERROR(DIVIDE(VLOOKUP($B610,Data!$B$3:$AB$1535,9,FALSE),VLOOKUP($B610,Data!$B$3:$AB$1535,4,FALSE)),"")</f>
        <v>0.08020539153</v>
      </c>
      <c r="D610" s="48">
        <f>IFERROR(DIVIDE(VLOOKUP($B610,Data!$B$3:$AB$1535,24,FALSE),VLOOKUP($B610,Data!$B$3:$AB$1535,4,FALSE)),"")</f>
        <v>-0.07324775353</v>
      </c>
      <c r="E610" s="48">
        <f>IFERROR(DIVIDE(VLOOKUP($B610,Data!$B$3:$EZ1530,29,FALSE),VLOOKUP($B610,Data!$B$3:$EZ1530,4,FALSE)),"")</f>
        <v>-0.1437483954</v>
      </c>
      <c r="F610" s="48">
        <f>IFERROR(DIVIDE(VLOOKUP($B610,Data!$B$3:$EZ1530,34,FALSE),VLOOKUP($B610,Data!$B$3:$EZ1530,4,FALSE)),"")</f>
        <v>0.187830552</v>
      </c>
      <c r="G610" s="48">
        <f>IFERROR(DIVIDE(VLOOKUP($B610,Data!$B$3:$EZ1530,39,FALSE),VLOOKUP($B610,Data!$B$3:$EZ1530,4,FALSE)),"")</f>
        <v>-0.1437483954</v>
      </c>
      <c r="H610" s="48">
        <f>IFERROR(DIVIDE(VLOOKUP($B610,Data!$B$3:$EZ1530,44,FALSE),VLOOKUP($B610,Data!$B$3:$EZ1530,4,FALSE)),"")</f>
        <v>0.1569191271</v>
      </c>
      <c r="I610" s="48">
        <f>IFERROR(MINUS(DIVIDE(VLOOKUP($B610,Data!$B$3:$EZ1530,9,FALSE),VLOOKUP($B610,Data!$B$3:$EZ1530,10,FALSE)),1),"")</f>
        <v>-0.6378390911</v>
      </c>
      <c r="J610" s="48">
        <f>IFERROR(MINUS(DIVIDE(VLOOKUP($B610,Data!$B$3:$EZ1530,24,FALSE),VLOOKUP($B610,Data!$B$3:$EZ1530,25,FALSE)),1),"")</f>
        <v>2.788844622</v>
      </c>
      <c r="K610" s="48">
        <f>IFERROR(MINUS(DIVIDE(VLOOKUP($B610,Data!$B$3:$EZ1530,29,FALSE),VLOOKUP($B610,Data!$B$3:$EZ1530,30,FALSE)),1),"")</f>
        <v>0.6997571342</v>
      </c>
      <c r="L610" s="48">
        <f>IFERROR(MINUS(DIVIDE(VLOOKUP($B610,Data!$B$3:$EZ1530,34,FALSE),VLOOKUP($B610,Data!$B$3:$EZ1530,35,FALSE)),1),"")</f>
        <v>-0.4031165864</v>
      </c>
      <c r="M610" s="48">
        <f>IFERROR(MINUS(DIVIDE(VLOOKUP($B610,Data!$B$3:$EZ1530,39,FALSE),VLOOKUP($B610,Data!$B$3:$EZ1530,40,FALSE)),1),"")</f>
        <v>0.6997571342</v>
      </c>
      <c r="N610" s="48">
        <f>IFERROR(MINUS(DIVIDE(VLOOKUP($B610,Data!$B$3:$EZ1530,44,FALSE),VLOOKUP($B610,Data!$B$3:$EZ1530,45,FALSE)),1),"")</f>
        <v>-0.07267485966</v>
      </c>
      <c r="O610" s="50">
        <f>IFERROR(VLOOKUP($B610,Data!$B$3:$D1530,2,FALSE),"")</f>
        <v>218270</v>
      </c>
      <c r="P610" s="50">
        <f>IFERROR(VLOOKUP($B610,Data!$B$3:$D1530,3,FALSE),"")</f>
        <v>198360</v>
      </c>
      <c r="Q610" s="48">
        <f t="shared" si="2"/>
        <v>0.1003730591</v>
      </c>
      <c r="R610" s="48"/>
      <c r="S610" s="48"/>
      <c r="T610" s="48"/>
      <c r="U610" s="48"/>
      <c r="V610" s="48"/>
      <c r="W610" s="50"/>
      <c r="Z610" s="12"/>
      <c r="AA610" s="12"/>
    </row>
    <row r="611">
      <c r="A611" s="9">
        <f t="shared" si="1"/>
        <v>608</v>
      </c>
      <c r="B611" s="47" t="s">
        <v>745</v>
      </c>
      <c r="C611" s="48">
        <f>IFERROR(DIVIDE(VLOOKUP($B611,Data!$B$3:$AB$1535,9,FALSE),VLOOKUP($B611,Data!$B$3:$AB$1535,4,FALSE)),"")</f>
        <v>0.3249261531</v>
      </c>
      <c r="D611" s="48">
        <f>IFERROR(DIVIDE(VLOOKUP($B611,Data!$B$3:$AB$1535,24,FALSE),VLOOKUP($B611,Data!$B$3:$AB$1535,4,FALSE)),"")</f>
        <v>0</v>
      </c>
      <c r="E611" s="48">
        <f>IFERROR(DIVIDE(VLOOKUP($B611,Data!$B$3:$EZ1530,29,FALSE),VLOOKUP($B611,Data!$B$3:$EZ1530,4,FALSE)),"")</f>
        <v>-0.5372642581</v>
      </c>
      <c r="F611" s="48">
        <f>IFERROR(DIVIDE(VLOOKUP($B611,Data!$B$3:$EZ1530,34,FALSE),VLOOKUP($B611,Data!$B$3:$EZ1530,4,FALSE)),"")</f>
        <v>-0.3925244263</v>
      </c>
      <c r="G611" s="48">
        <f>IFERROR(DIVIDE(VLOOKUP($B611,Data!$B$3:$EZ1530,39,FALSE),VLOOKUP($B611,Data!$B$3:$EZ1530,4,FALSE)),"")</f>
        <v>-0.5379459214</v>
      </c>
      <c r="H611" s="48">
        <f>IFERROR(DIVIDE(VLOOKUP($B611,Data!$B$3:$EZ1530,44,FALSE),VLOOKUP($B611,Data!$B$3:$EZ1530,4,FALSE)),"")</f>
        <v>-0.3968416269</v>
      </c>
      <c r="I611" s="48">
        <f>IFERROR(MINUS(DIVIDE(VLOOKUP($B611,Data!$B$3:$EZ1530,9,FALSE),VLOOKUP($B611,Data!$B$3:$EZ1530,10,FALSE)),1),"")</f>
        <v>0.4681724846</v>
      </c>
      <c r="J611" s="48" t="str">
        <f>IFERROR(MINUS(DIVIDE(VLOOKUP($B611,Data!$B$3:$EZ1530,24,FALSE),VLOOKUP($B611,Data!$B$3:$EZ1530,25,FALSE)),1),"")</f>
        <v/>
      </c>
      <c r="K611" s="48">
        <f>IFERROR(MINUS(DIVIDE(VLOOKUP($B611,Data!$B$3:$EZ1530,29,FALSE),VLOOKUP($B611,Data!$B$3:$EZ1530,30,FALSE)),1),"")</f>
        <v>-0.06096108022</v>
      </c>
      <c r="L611" s="48">
        <f>IFERROR(MINUS(DIVIDE(VLOOKUP($B611,Data!$B$3:$EZ1530,34,FALSE),VLOOKUP($B611,Data!$B$3:$EZ1530,35,FALSE)),1),"")</f>
        <v>-0.1506882989</v>
      </c>
      <c r="M611" s="48">
        <f>IFERROR(MINUS(DIVIDE(VLOOKUP($B611,Data!$B$3:$EZ1530,39,FALSE),VLOOKUP($B611,Data!$B$3:$EZ1530,40,FALSE)),1),"")</f>
        <v>-0.06237623762</v>
      </c>
      <c r="N611" s="48">
        <f>IFERROR(MINUS(DIVIDE(VLOOKUP($B611,Data!$B$3:$EZ1530,44,FALSE),VLOOKUP($B611,Data!$B$3:$EZ1530,45,FALSE)),1),"")</f>
        <v>0.07443863427</v>
      </c>
      <c r="O611" s="50">
        <f>IFERROR(VLOOKUP($B611,Data!$B$3:$D1530,2,FALSE),"")</f>
        <v>135260</v>
      </c>
      <c r="P611" s="50">
        <f>IFERROR(VLOOKUP($B611,Data!$B$3:$D1530,3,FALSE),"")</f>
        <v>127890</v>
      </c>
      <c r="Q611" s="48">
        <f t="shared" si="2"/>
        <v>0.05762764876</v>
      </c>
      <c r="R611" s="48"/>
      <c r="S611" s="48"/>
      <c r="T611" s="48"/>
      <c r="U611" s="48"/>
      <c r="V611" s="48"/>
      <c r="W611" s="50"/>
      <c r="Z611" s="11"/>
      <c r="AA611" s="11"/>
    </row>
    <row r="612">
      <c r="A612" s="9">
        <f t="shared" si="1"/>
        <v>609</v>
      </c>
      <c r="B612" s="47" t="s">
        <v>746</v>
      </c>
      <c r="C612" s="48" t="str">
        <f>IFERROR(DIVIDE(VLOOKUP($B612,Data!$B$3:$AB$1535,9,FALSE),VLOOKUP($B612,Data!$B$3:$AB$1535,4,FALSE)),"")</f>
        <v/>
      </c>
      <c r="D612" s="48" t="str">
        <f>IFERROR(DIVIDE(VLOOKUP($B612,Data!$B$3:$AB$1535,24,FALSE),VLOOKUP($B612,Data!$B$3:$AB$1535,4,FALSE)),"")</f>
        <v/>
      </c>
      <c r="E612" s="48" t="str">
        <f>IFERROR(DIVIDE(VLOOKUP($B612,Data!$B$3:$EZ1530,29,FALSE),VLOOKUP($B612,Data!$B$3:$EZ1530,4,FALSE)),"")</f>
        <v/>
      </c>
      <c r="F612" s="48" t="str">
        <f>IFERROR(DIVIDE(VLOOKUP($B612,Data!$B$3:$EZ1530,34,FALSE),VLOOKUP($B612,Data!$B$3:$EZ1530,4,FALSE)),"")</f>
        <v/>
      </c>
      <c r="G612" s="48" t="str">
        <f>IFERROR(DIVIDE(VLOOKUP($B612,Data!$B$3:$EZ1530,39,FALSE),VLOOKUP($B612,Data!$B$3:$EZ1530,4,FALSE)),"")</f>
        <v/>
      </c>
      <c r="H612" s="48" t="str">
        <f>IFERROR(DIVIDE(VLOOKUP($B612,Data!$B$3:$EZ1530,44,FALSE),VLOOKUP($B612,Data!$B$3:$EZ1530,4,FALSE)),"")</f>
        <v/>
      </c>
      <c r="I612" s="48">
        <f>IFERROR(MINUS(DIVIDE(VLOOKUP($B612,Data!$B$3:$EZ1530,9,FALSE),VLOOKUP($B612,Data!$B$3:$EZ1530,10,FALSE)),1),"")</f>
        <v>1.166666667</v>
      </c>
      <c r="J612" s="48" t="str">
        <f>IFERROR(MINUS(DIVIDE(VLOOKUP($B612,Data!$B$3:$EZ1530,24,FALSE),VLOOKUP($B612,Data!$B$3:$EZ1530,25,FALSE)),1),"")</f>
        <v/>
      </c>
      <c r="K612" s="48">
        <f>IFERROR(MINUS(DIVIDE(VLOOKUP($B612,Data!$B$3:$EZ1530,29,FALSE),VLOOKUP($B612,Data!$B$3:$EZ1530,30,FALSE)),1),"")</f>
        <v>-0.1390460792</v>
      </c>
      <c r="L612" s="48">
        <f>IFERROR(MINUS(DIVIDE(VLOOKUP($B612,Data!$B$3:$EZ1530,34,FALSE),VLOOKUP($B612,Data!$B$3:$EZ1530,35,FALSE)),1),"")</f>
        <v>-0.1367313916</v>
      </c>
      <c r="M612" s="48">
        <f>IFERROR(MINUS(DIVIDE(VLOOKUP($B612,Data!$B$3:$EZ1530,39,FALSE),VLOOKUP($B612,Data!$B$3:$EZ1530,40,FALSE)),1),"")</f>
        <v>-0.1390460792</v>
      </c>
      <c r="N612" s="48">
        <f>IFERROR(MINUS(DIVIDE(VLOOKUP($B612,Data!$B$3:$EZ1530,44,FALSE),VLOOKUP($B612,Data!$B$3:$EZ1530,45,FALSE)),1),"")</f>
        <v>0.01317715959</v>
      </c>
      <c r="O612" s="50">
        <f>IFERROR(VLOOKUP($B612,Data!$B$3:$D1530,2,FALSE),"")</f>
        <v>50000</v>
      </c>
      <c r="P612" s="50" t="str">
        <f>IFERROR(VLOOKUP($B612,Data!$B$3:$D1530,3,FALSE),"")</f>
        <v/>
      </c>
      <c r="Q612" s="48" t="str">
        <f t="shared" si="2"/>
        <v/>
      </c>
      <c r="R612" s="48"/>
      <c r="S612" s="48"/>
      <c r="T612" s="48"/>
      <c r="U612" s="48"/>
      <c r="V612" s="48"/>
      <c r="W612" s="50"/>
      <c r="Z612" s="11"/>
      <c r="AA612" s="11"/>
    </row>
    <row r="613">
      <c r="A613" s="9">
        <f t="shared" si="1"/>
        <v>610</v>
      </c>
      <c r="B613" s="47" t="s">
        <v>747</v>
      </c>
      <c r="C613" s="48">
        <f>IFERROR(DIVIDE(VLOOKUP($B613,Data!$B$3:$AB$1535,9,FALSE),VLOOKUP($B613,Data!$B$3:$AB$1535,4,FALSE)),"")</f>
        <v>0.3700591398</v>
      </c>
      <c r="D613" s="48">
        <f>IFERROR(DIVIDE(VLOOKUP($B613,Data!$B$3:$AB$1535,24,FALSE),VLOOKUP($B613,Data!$B$3:$AB$1535,4,FALSE)),"")</f>
        <v>0</v>
      </c>
      <c r="E613" s="48">
        <f>IFERROR(DIVIDE(VLOOKUP($B613,Data!$B$3:$EZ1530,29,FALSE),VLOOKUP($B613,Data!$B$3:$EZ1530,4,FALSE)),"")</f>
        <v>0.2690430108</v>
      </c>
      <c r="F613" s="48">
        <f>IFERROR(DIVIDE(VLOOKUP($B613,Data!$B$3:$EZ1530,34,FALSE),VLOOKUP($B613,Data!$B$3:$EZ1530,4,FALSE)),"")</f>
        <v>0.3189462366</v>
      </c>
      <c r="G613" s="48">
        <f>IFERROR(DIVIDE(VLOOKUP($B613,Data!$B$3:$EZ1530,39,FALSE),VLOOKUP($B613,Data!$B$3:$EZ1530,4,FALSE)),"")</f>
        <v>0.2256236559</v>
      </c>
      <c r="H613" s="48">
        <f>IFERROR(DIVIDE(VLOOKUP($B613,Data!$B$3:$EZ1530,44,FALSE),VLOOKUP($B613,Data!$B$3:$EZ1530,4,FALSE)),"")</f>
        <v>0.2720268817</v>
      </c>
      <c r="I613" s="48">
        <f>IFERROR(MINUS(DIVIDE(VLOOKUP($B613,Data!$B$3:$EZ1530,9,FALSE),VLOOKUP($B613,Data!$B$3:$EZ1530,10,FALSE)),1),"")</f>
        <v>-0.003128303909</v>
      </c>
      <c r="J613" s="48" t="str">
        <f>IFERROR(MINUS(DIVIDE(VLOOKUP($B613,Data!$B$3:$EZ1530,24,FALSE),VLOOKUP($B613,Data!$B$3:$EZ1530,25,FALSE)),1),"")</f>
        <v/>
      </c>
      <c r="K613" s="48">
        <f>IFERROR(MINUS(DIVIDE(VLOOKUP($B613,Data!$B$3:$EZ1530,29,FALSE),VLOOKUP($B613,Data!$B$3:$EZ1530,30,FALSE)),1),"")</f>
        <v>-0.04143281295</v>
      </c>
      <c r="L613" s="48">
        <f>IFERROR(MINUS(DIVIDE(VLOOKUP($B613,Data!$B$3:$EZ1530,34,FALSE),VLOOKUP($B613,Data!$B$3:$EZ1530,35,FALSE)),1),"")</f>
        <v>-0.0279693926</v>
      </c>
      <c r="M613" s="48">
        <f>IFERROR(MINUS(DIVIDE(VLOOKUP($B613,Data!$B$3:$EZ1530,39,FALSE),VLOOKUP($B613,Data!$B$3:$EZ1530,40,FALSE)),1),"")</f>
        <v>-0.0416095734</v>
      </c>
      <c r="N613" s="48">
        <f>IFERROR(MINUS(DIVIDE(VLOOKUP($B613,Data!$B$3:$EZ1530,44,FALSE),VLOOKUP($B613,Data!$B$3:$EZ1530,45,FALSE)),1),"")</f>
        <v>-0.08408457333</v>
      </c>
      <c r="O613" s="50">
        <f>IFERROR(VLOOKUP($B613,Data!$B$3:$D1530,2,FALSE),"")</f>
        <v>1880000</v>
      </c>
      <c r="P613" s="50">
        <f>IFERROR(VLOOKUP($B613,Data!$B$3:$D1530,3,FALSE),"")</f>
        <v>1610000</v>
      </c>
      <c r="Q613" s="48">
        <f t="shared" si="2"/>
        <v>0.1677018634</v>
      </c>
      <c r="R613" s="48"/>
      <c r="S613" s="48"/>
      <c r="T613" s="48"/>
      <c r="U613" s="48"/>
      <c r="V613" s="48"/>
      <c r="W613" s="50"/>
      <c r="Z613" s="11"/>
      <c r="AA613" s="11"/>
    </row>
    <row r="614">
      <c r="A614" s="9">
        <f t="shared" si="1"/>
        <v>611</v>
      </c>
      <c r="B614" s="47" t="s">
        <v>748</v>
      </c>
      <c r="C614" s="48">
        <f>IFERROR(DIVIDE(VLOOKUP($B614,Data!$B$3:$AB$1535,9,FALSE),VLOOKUP($B614,Data!$B$3:$AB$1535,4,FALSE)),"")</f>
        <v>0.1642816662</v>
      </c>
      <c r="D614" s="48">
        <f>IFERROR(DIVIDE(VLOOKUP($B614,Data!$B$3:$AB$1535,24,FALSE),VLOOKUP($B614,Data!$B$3:$AB$1535,4,FALSE)),"")</f>
        <v>0</v>
      </c>
      <c r="E614" s="48">
        <f>IFERROR(DIVIDE(VLOOKUP($B614,Data!$B$3:$EZ1530,29,FALSE),VLOOKUP($B614,Data!$B$3:$EZ1530,4,FALSE)),"")</f>
        <v>0.0530320204</v>
      </c>
      <c r="F614" s="48">
        <f>IFERROR(DIVIDE(VLOOKUP($B614,Data!$B$3:$EZ1530,34,FALSE),VLOOKUP($B614,Data!$B$3:$EZ1530,4,FALSE)),"")</f>
        <v>0.2772315103</v>
      </c>
      <c r="G614" s="48">
        <f>IFERROR(DIVIDE(VLOOKUP($B614,Data!$B$3:$EZ1530,39,FALSE),VLOOKUP($B614,Data!$B$3:$EZ1530,4,FALSE)),"")</f>
        <v>0.05269198073</v>
      </c>
      <c r="H614" s="48">
        <f>IFERROR(DIVIDE(VLOOKUP($B614,Data!$B$3:$EZ1530,44,FALSE),VLOOKUP($B614,Data!$B$3:$EZ1530,4,FALSE)),"")</f>
        <v>0.2247237178</v>
      </c>
      <c r="I614" s="48">
        <f>IFERROR(MINUS(DIVIDE(VLOOKUP($B614,Data!$B$3:$EZ1530,9,FALSE),VLOOKUP($B614,Data!$B$3:$EZ1530,10,FALSE)),1),"")</f>
        <v>-0.2640431609</v>
      </c>
      <c r="J614" s="48">
        <f>IFERROR(MINUS(DIVIDE(VLOOKUP($B614,Data!$B$3:$EZ1530,24,FALSE),VLOOKUP($B614,Data!$B$3:$EZ1530,25,FALSE)),1),"")</f>
        <v>-1</v>
      </c>
      <c r="K614" s="48">
        <f>IFERROR(MINUS(DIVIDE(VLOOKUP($B614,Data!$B$3:$EZ1530,29,FALSE),VLOOKUP($B614,Data!$B$3:$EZ1530,30,FALSE)),1),"")</f>
        <v>-0.5584522826</v>
      </c>
      <c r="L614" s="48">
        <f>IFERROR(MINUS(DIVIDE(VLOOKUP($B614,Data!$B$3:$EZ1530,34,FALSE),VLOOKUP($B614,Data!$B$3:$EZ1530,35,FALSE)),1),"")</f>
        <v>-0.1673262692</v>
      </c>
      <c r="M614" s="48">
        <f>IFERROR(MINUS(DIVIDE(VLOOKUP($B614,Data!$B$3:$EZ1530,39,FALSE),VLOOKUP($B614,Data!$B$3:$EZ1530,40,FALSE)),1),"")</f>
        <v>-0.5600898983</v>
      </c>
      <c r="N614" s="48">
        <f>IFERROR(MINUS(DIVIDE(VLOOKUP($B614,Data!$B$3:$EZ1530,44,FALSE),VLOOKUP($B614,Data!$B$3:$EZ1530,45,FALSE)),1),"")</f>
        <v>-0.1504097702</v>
      </c>
      <c r="O614" s="50">
        <f>IFERROR(VLOOKUP($B614,Data!$B$3:$D1530,2,FALSE),"")</f>
        <v>460020</v>
      </c>
      <c r="P614" s="50">
        <f>IFERROR(VLOOKUP($B614,Data!$B$3:$D1530,3,FALSE),"")</f>
        <v>375120</v>
      </c>
      <c r="Q614" s="48">
        <f t="shared" si="2"/>
        <v>0.2263275752</v>
      </c>
      <c r="R614" s="48"/>
      <c r="S614" s="48"/>
      <c r="T614" s="48"/>
      <c r="U614" s="48"/>
      <c r="V614" s="48"/>
      <c r="W614" s="50"/>
      <c r="Z614" s="11"/>
      <c r="AA614" s="12"/>
    </row>
    <row r="615">
      <c r="A615" s="9">
        <f t="shared" si="1"/>
        <v>612</v>
      </c>
      <c r="B615" s="47" t="s">
        <v>749</v>
      </c>
      <c r="C615" s="48">
        <f>IFERROR(DIVIDE(VLOOKUP($B615,Data!$B$3:$AB$1535,9,FALSE),VLOOKUP($B615,Data!$B$3:$AB$1535,4,FALSE)),"")</f>
        <v>0.2907647908</v>
      </c>
      <c r="D615" s="48">
        <f>IFERROR(DIVIDE(VLOOKUP($B615,Data!$B$3:$AB$1535,24,FALSE),VLOOKUP($B615,Data!$B$3:$AB$1535,4,FALSE)),"")</f>
        <v>0.1298701299</v>
      </c>
      <c r="E615" s="48">
        <f>IFERROR(DIVIDE(VLOOKUP($B615,Data!$B$3:$EZ1530,29,FALSE),VLOOKUP($B615,Data!$B$3:$EZ1530,4,FALSE)),"")</f>
        <v>0.02805699856</v>
      </c>
      <c r="F615" s="48">
        <f>IFERROR(DIVIDE(VLOOKUP($B615,Data!$B$3:$EZ1530,34,FALSE),VLOOKUP($B615,Data!$B$3:$EZ1530,4,FALSE)),"")</f>
        <v>0.2554112554</v>
      </c>
      <c r="G615" s="48">
        <f>IFERROR(DIVIDE(VLOOKUP($B615,Data!$B$3:$EZ1530,39,FALSE),VLOOKUP($B615,Data!$B$3:$EZ1530,4,FALSE)),"")</f>
        <v>-0.008461038961</v>
      </c>
      <c r="H615" s="48">
        <f>IFERROR(DIVIDE(VLOOKUP($B615,Data!$B$3:$EZ1530,44,FALSE),VLOOKUP($B615,Data!$B$3:$EZ1530,4,FALSE)),"")</f>
        <v>0.1659451659</v>
      </c>
      <c r="I615" s="48">
        <f>IFERROR(MINUS(DIVIDE(VLOOKUP($B615,Data!$B$3:$EZ1530,9,FALSE),VLOOKUP($B615,Data!$B$3:$EZ1530,10,FALSE)),1),"")</f>
        <v>0.7911111111</v>
      </c>
      <c r="J615" s="48">
        <f>IFERROR(MINUS(DIVIDE(VLOOKUP($B615,Data!$B$3:$EZ1530,24,FALSE),VLOOKUP($B615,Data!$B$3:$EZ1530,25,FALSE)),1),"")</f>
        <v>2.986092965</v>
      </c>
      <c r="K615" s="48">
        <f>IFERROR(MINUS(DIVIDE(VLOOKUP($B615,Data!$B$3:$EZ1530,29,FALSE),VLOOKUP($B615,Data!$B$3:$EZ1530,30,FALSE)),1),"")</f>
        <v>-1.805147211</v>
      </c>
      <c r="L615" s="48">
        <f>IFERROR(MINUS(DIVIDE(VLOOKUP($B615,Data!$B$3:$EZ1530,34,FALSE),VLOOKUP($B615,Data!$B$3:$EZ1530,35,FALSE)),1),"")</f>
        <v>2.07826087</v>
      </c>
      <c r="M615" s="48">
        <f>IFERROR(MINUS(DIVIDE(VLOOKUP($B615,Data!$B$3:$EZ1530,39,FALSE),VLOOKUP($B615,Data!$B$3:$EZ1530,40,FALSE)),1),"")</f>
        <v>-0.892412844</v>
      </c>
      <c r="N615" s="48">
        <f>IFERROR(MINUS(DIVIDE(VLOOKUP($B615,Data!$B$3:$EZ1530,44,FALSE),VLOOKUP($B615,Data!$B$3:$EZ1530,45,FALSE)),1),"")</f>
        <v>0.654676259</v>
      </c>
      <c r="O615" s="50">
        <f>IFERROR(VLOOKUP($B615,Data!$B$3:$D1530,2,FALSE),"")</f>
        <v>2040000</v>
      </c>
      <c r="P615" s="50">
        <f>IFERROR(VLOOKUP($B615,Data!$B$3:$D1530,3,FALSE),"")</f>
        <v>1330000</v>
      </c>
      <c r="Q615" s="48">
        <f t="shared" si="2"/>
        <v>0.5338345865</v>
      </c>
      <c r="R615" s="48"/>
      <c r="S615" s="48"/>
      <c r="T615" s="48"/>
      <c r="U615" s="48"/>
      <c r="V615" s="48"/>
      <c r="W615" s="50"/>
      <c r="Z615" s="11"/>
      <c r="AA615" s="11"/>
    </row>
    <row r="616">
      <c r="A616" s="9">
        <f t="shared" si="1"/>
        <v>613</v>
      </c>
      <c r="B616" s="47" t="s">
        <v>750</v>
      </c>
      <c r="C616" s="48">
        <f>IFERROR(DIVIDE(VLOOKUP($B616,Data!$B$3:$AB$1535,9,FALSE),VLOOKUP($B616,Data!$B$3:$AB$1535,4,FALSE)),"")</f>
        <v>0.2433903577</v>
      </c>
      <c r="D616" s="48">
        <f>IFERROR(DIVIDE(VLOOKUP($B616,Data!$B$3:$AB$1535,24,FALSE),VLOOKUP($B616,Data!$B$3:$AB$1535,4,FALSE)),"")</f>
        <v>0.6275272162</v>
      </c>
      <c r="E616" s="48">
        <f>IFERROR(DIVIDE(VLOOKUP($B616,Data!$B$3:$EZ1530,29,FALSE),VLOOKUP($B616,Data!$B$3:$EZ1530,4,FALSE)),"")</f>
        <v>0.6391912908</v>
      </c>
      <c r="F616" s="48">
        <f>IFERROR(DIVIDE(VLOOKUP($B616,Data!$B$3:$EZ1530,34,FALSE),VLOOKUP($B616,Data!$B$3:$EZ1530,4,FALSE)),"")</f>
        <v>0.4416796267</v>
      </c>
      <c r="G616" s="48">
        <f>IFERROR(DIVIDE(VLOOKUP($B616,Data!$B$3:$EZ1530,39,FALSE),VLOOKUP($B616,Data!$B$3:$EZ1530,4,FALSE)),"")</f>
        <v>0.4097978227</v>
      </c>
      <c r="H616" s="48">
        <f>IFERROR(DIVIDE(VLOOKUP($B616,Data!$B$3:$EZ1530,44,FALSE),VLOOKUP($B616,Data!$B$3:$EZ1530,4,FALSE)),"")</f>
        <v>0.3048211509</v>
      </c>
      <c r="I616" s="48">
        <f>IFERROR(MINUS(DIVIDE(VLOOKUP($B616,Data!$B$3:$EZ1530,9,FALSE),VLOOKUP($B616,Data!$B$3:$EZ1530,10,FALSE)),1),"")</f>
        <v>0.4904761905</v>
      </c>
      <c r="J616" s="48">
        <f>IFERROR(MINUS(DIVIDE(VLOOKUP($B616,Data!$B$3:$EZ1530,24,FALSE),VLOOKUP($B616,Data!$B$3:$EZ1530,25,FALSE)),1),"")</f>
        <v>21.00049072</v>
      </c>
      <c r="K616" s="48">
        <f>IFERROR(MINUS(DIVIDE(VLOOKUP($B616,Data!$B$3:$EZ1530,29,FALSE),VLOOKUP($B616,Data!$B$3:$EZ1530,30,FALSE)),1),"")</f>
        <v>-23.40942177</v>
      </c>
      <c r="L616" s="48">
        <f>IFERROR(MINUS(DIVIDE(VLOOKUP($B616,Data!$B$3:$EZ1530,34,FALSE),VLOOKUP($B616,Data!$B$3:$EZ1530,35,FALSE)),1),"")</f>
        <v>0.4869109948</v>
      </c>
      <c r="M616" s="48">
        <f>IFERROR(MINUS(DIVIDE(VLOOKUP($B616,Data!$B$3:$EZ1530,39,FALSE),VLOOKUP($B616,Data!$B$3:$EZ1530,40,FALSE)),1),"")</f>
        <v>-3.635</v>
      </c>
      <c r="N616" s="48">
        <f>IFERROR(MINUS(DIVIDE(VLOOKUP($B616,Data!$B$3:$EZ1530,44,FALSE),VLOOKUP($B616,Data!$B$3:$EZ1530,45,FALSE)),1),"")</f>
        <v>0.711790393</v>
      </c>
      <c r="O616" s="50">
        <f>IFERROR(VLOOKUP($B616,Data!$B$3:$D1530,2,FALSE),"")</f>
        <v>11720000</v>
      </c>
      <c r="P616" s="50">
        <f>IFERROR(VLOOKUP($B616,Data!$B$3:$D1530,3,FALSE),"")</f>
        <v>11190000</v>
      </c>
      <c r="Q616" s="48">
        <f t="shared" si="2"/>
        <v>0.04736371761</v>
      </c>
      <c r="R616" s="48"/>
      <c r="S616" s="48"/>
      <c r="T616" s="48"/>
      <c r="U616" s="48"/>
      <c r="V616" s="48"/>
      <c r="W616" s="50"/>
      <c r="Z616" s="11"/>
      <c r="AA616" s="11"/>
    </row>
    <row r="617">
      <c r="A617" s="9">
        <f t="shared" si="1"/>
        <v>614</v>
      </c>
      <c r="B617" s="47" t="s">
        <v>751</v>
      </c>
      <c r="C617" s="48">
        <f>IFERROR(DIVIDE(VLOOKUP($B617,Data!$B$3:$AB$1535,9,FALSE),VLOOKUP($B617,Data!$B$3:$AB$1535,4,FALSE)),"")</f>
        <v>0.5096964286</v>
      </c>
      <c r="D617" s="48">
        <f>IFERROR(DIVIDE(VLOOKUP($B617,Data!$B$3:$AB$1535,24,FALSE),VLOOKUP($B617,Data!$B$3:$AB$1535,4,FALSE)),"")</f>
        <v>0.1105119048</v>
      </c>
      <c r="E617" s="48">
        <f>IFERROR(DIVIDE(VLOOKUP($B617,Data!$B$3:$EZ1530,29,FALSE),VLOOKUP($B617,Data!$B$3:$EZ1530,4,FALSE)),"")</f>
        <v>0.09831547619</v>
      </c>
      <c r="F617" s="48">
        <f>IFERROR(DIVIDE(VLOOKUP($B617,Data!$B$3:$EZ1530,34,FALSE),VLOOKUP($B617,Data!$B$3:$EZ1530,4,FALSE)),"")</f>
        <v>0.1312440476</v>
      </c>
      <c r="G617" s="48">
        <f>IFERROR(DIVIDE(VLOOKUP($B617,Data!$B$3:$EZ1530,39,FALSE),VLOOKUP($B617,Data!$B$3:$EZ1530,4,FALSE)),"")</f>
        <v>0.07206547619</v>
      </c>
      <c r="H617" s="48">
        <f>IFERROR(DIVIDE(VLOOKUP($B617,Data!$B$3:$EZ1530,44,FALSE),VLOOKUP($B617,Data!$B$3:$EZ1530,4,FALSE)),"")</f>
        <v>0.07992857143</v>
      </c>
      <c r="I617" s="48">
        <f>IFERROR(MINUS(DIVIDE(VLOOKUP($B617,Data!$B$3:$EZ1530,9,FALSE),VLOOKUP($B617,Data!$B$3:$EZ1530,10,FALSE)),1),"")</f>
        <v>0.02289994266</v>
      </c>
      <c r="J617" s="48">
        <f>IFERROR(MINUS(DIVIDE(VLOOKUP($B617,Data!$B$3:$EZ1530,24,FALSE),VLOOKUP($B617,Data!$B$3:$EZ1530,25,FALSE)),1),"")</f>
        <v>0.06688886335</v>
      </c>
      <c r="K617" s="48">
        <f>IFERROR(MINUS(DIVIDE(VLOOKUP($B617,Data!$B$3:$EZ1530,29,FALSE),VLOOKUP($B617,Data!$B$3:$EZ1530,30,FALSE)),1),"")</f>
        <v>0.09893546241</v>
      </c>
      <c r="L617" s="48">
        <f>IFERROR(MINUS(DIVIDE(VLOOKUP($B617,Data!$B$3:$EZ1530,34,FALSE),VLOOKUP($B617,Data!$B$3:$EZ1530,35,FALSE)),1),"")</f>
        <v>0.02802126072</v>
      </c>
      <c r="M617" s="48">
        <f>IFERROR(MINUS(DIVIDE(VLOOKUP($B617,Data!$B$3:$EZ1530,39,FALSE),VLOOKUP($B617,Data!$B$3:$EZ1530,40,FALSE)),1),"")</f>
        <v>0.2122759587</v>
      </c>
      <c r="N617" s="48">
        <f>IFERROR(MINUS(DIVIDE(VLOOKUP($B617,Data!$B$3:$EZ1530,44,FALSE),VLOOKUP($B617,Data!$B$3:$EZ1530,45,FALSE)),1),"")</f>
        <v>-0.1779614325</v>
      </c>
      <c r="O617" s="50">
        <f>IFERROR(VLOOKUP($B617,Data!$B$3:$D1530,2,FALSE),"")</f>
        <v>1680000</v>
      </c>
      <c r="P617" s="50">
        <f>IFERROR(VLOOKUP($B617,Data!$B$3:$D1530,3,FALSE),"")</f>
        <v>1480000</v>
      </c>
      <c r="Q617" s="48">
        <f t="shared" si="2"/>
        <v>0.1351351351</v>
      </c>
      <c r="R617" s="48"/>
      <c r="S617" s="48"/>
      <c r="T617" s="48"/>
      <c r="U617" s="48"/>
      <c r="V617" s="48"/>
      <c r="W617" s="50"/>
      <c r="Z617" s="11"/>
      <c r="AA617" s="11"/>
    </row>
    <row r="618">
      <c r="A618" s="9">
        <f t="shared" si="1"/>
        <v>615</v>
      </c>
      <c r="B618" s="47" t="s">
        <v>752</v>
      </c>
      <c r="C618" s="48">
        <f>IFERROR(DIVIDE(VLOOKUP($B618,Data!$B$3:$AB$1535,9,FALSE),VLOOKUP($B618,Data!$B$3:$AB$1535,4,FALSE)),"")</f>
        <v>0.5663517644</v>
      </c>
      <c r="D618" s="48">
        <f>IFERROR(DIVIDE(VLOOKUP($B618,Data!$B$3:$AB$1535,24,FALSE),VLOOKUP($B618,Data!$B$3:$AB$1535,4,FALSE)),"")</f>
        <v>0.1886496249</v>
      </c>
      <c r="E618" s="48">
        <f>IFERROR(DIVIDE(VLOOKUP($B618,Data!$B$3:$EZ1530,29,FALSE),VLOOKUP($B618,Data!$B$3:$EZ1530,4,FALSE)),"")</f>
        <v>0.170894693</v>
      </c>
      <c r="F618" s="48">
        <f>IFERROR(DIVIDE(VLOOKUP($B618,Data!$B$3:$EZ1530,34,FALSE),VLOOKUP($B618,Data!$B$3:$EZ1530,4,FALSE)),"")</f>
        <v>0.265379272</v>
      </c>
      <c r="G618" s="48">
        <f>IFERROR(DIVIDE(VLOOKUP($B618,Data!$B$3:$EZ1530,39,FALSE),VLOOKUP($B618,Data!$B$3:$EZ1530,4,FALSE)),"")</f>
        <v>0.1583634343</v>
      </c>
      <c r="H618" s="48">
        <f>IFERROR(DIVIDE(VLOOKUP($B618,Data!$B$3:$EZ1530,44,FALSE),VLOOKUP($B618,Data!$B$3:$EZ1530,4,FALSE)),"")</f>
        <v>0.06285079189</v>
      </c>
      <c r="I618" s="48">
        <f>IFERROR(MINUS(DIVIDE(VLOOKUP($B618,Data!$B$3:$EZ1530,9,FALSE),VLOOKUP($B618,Data!$B$3:$EZ1530,10,FALSE)),1),"")</f>
        <v>0.06050988554</v>
      </c>
      <c r="J618" s="48">
        <f>IFERROR(MINUS(DIVIDE(VLOOKUP($B618,Data!$B$3:$EZ1530,24,FALSE),VLOOKUP($B618,Data!$B$3:$EZ1530,25,FALSE)),1),"")</f>
        <v>-0.07506300661</v>
      </c>
      <c r="K618" s="48">
        <f>IFERROR(MINUS(DIVIDE(VLOOKUP($B618,Data!$B$3:$EZ1530,29,FALSE),VLOOKUP($B618,Data!$B$3:$EZ1530,30,FALSE)),1),"")</f>
        <v>-0.1157357487</v>
      </c>
      <c r="L618" s="48">
        <f>IFERROR(MINUS(DIVIDE(VLOOKUP($B618,Data!$B$3:$EZ1530,34,FALSE),VLOOKUP($B618,Data!$B$3:$EZ1530,35,FALSE)),1),"")</f>
        <v>0.1629124559</v>
      </c>
      <c r="M618" s="48">
        <f>IFERROR(MINUS(DIVIDE(VLOOKUP($B618,Data!$B$3:$EZ1530,39,FALSE),VLOOKUP($B618,Data!$B$3:$EZ1530,40,FALSE)),1),"")</f>
        <v>0.04138498081</v>
      </c>
      <c r="N618" s="48">
        <f>IFERROR(MINUS(DIVIDE(VLOOKUP($B618,Data!$B$3:$EZ1530,44,FALSE),VLOOKUP($B618,Data!$B$3:$EZ1530,45,FALSE)),1),"")</f>
        <v>-0.1914209115</v>
      </c>
      <c r="O618" s="50">
        <f>IFERROR(VLOOKUP($B618,Data!$B$3:$D1530,2,FALSE),"")</f>
        <v>508510</v>
      </c>
      <c r="P618" s="50">
        <f>IFERROR(VLOOKUP($B618,Data!$B$3:$D1530,3,FALSE),"")</f>
        <v>420000</v>
      </c>
      <c r="Q618" s="48">
        <f t="shared" si="2"/>
        <v>0.2107380952</v>
      </c>
      <c r="R618" s="48"/>
      <c r="S618" s="48"/>
      <c r="T618" s="48"/>
      <c r="U618" s="48"/>
      <c r="V618" s="48"/>
      <c r="W618" s="50"/>
      <c r="Z618" s="15"/>
      <c r="AA618" s="15"/>
    </row>
    <row r="619">
      <c r="A619" s="9">
        <f t="shared" si="1"/>
        <v>616</v>
      </c>
      <c r="B619" s="47" t="s">
        <v>753</v>
      </c>
      <c r="C619" s="48" t="str">
        <f>IFERROR(DIVIDE(VLOOKUP($B619,Data!$B$3:$AB$1535,9,FALSE),VLOOKUP($B619,Data!$B$3:$AB$1535,4,FALSE)),"")</f>
        <v/>
      </c>
      <c r="D619" s="48" t="str">
        <f>IFERROR(DIVIDE(VLOOKUP($B619,Data!$B$3:$AB$1535,24,FALSE),VLOOKUP($B619,Data!$B$3:$AB$1535,4,FALSE)),"")</f>
        <v/>
      </c>
      <c r="E619" s="48" t="str">
        <f>IFERROR(DIVIDE(VLOOKUP($B619,Data!$B$3:$EZ1530,29,FALSE),VLOOKUP($B619,Data!$B$3:$EZ1530,4,FALSE)),"")</f>
        <v/>
      </c>
      <c r="F619" s="48" t="str">
        <f>IFERROR(DIVIDE(VLOOKUP($B619,Data!$B$3:$EZ1530,34,FALSE),VLOOKUP($B619,Data!$B$3:$EZ1530,4,FALSE)),"")</f>
        <v/>
      </c>
      <c r="G619" s="48" t="str">
        <f>IFERROR(DIVIDE(VLOOKUP($B619,Data!$B$3:$EZ1530,39,FALSE),VLOOKUP($B619,Data!$B$3:$EZ1530,4,FALSE)),"")</f>
        <v/>
      </c>
      <c r="H619" s="48" t="str">
        <f>IFERROR(DIVIDE(VLOOKUP($B619,Data!$B$3:$EZ1530,44,FALSE),VLOOKUP($B619,Data!$B$3:$EZ1530,4,FALSE)),"")</f>
        <v/>
      </c>
      <c r="I619" s="48">
        <f>IFERROR(MINUS(DIVIDE(VLOOKUP($B619,Data!$B$3:$EZ1530,9,FALSE),VLOOKUP($B619,Data!$B$3:$EZ1530,10,FALSE)),1),"")</f>
        <v>9.404040404</v>
      </c>
      <c r="J619" s="48">
        <f>IFERROR(MINUS(DIVIDE(VLOOKUP($B619,Data!$B$3:$EZ1530,24,FALSE),VLOOKUP($B619,Data!$B$3:$EZ1530,25,FALSE)),1),"")</f>
        <v>0.2493455937</v>
      </c>
      <c r="K619" s="48">
        <f>IFERROR(MINUS(DIVIDE(VLOOKUP($B619,Data!$B$3:$EZ1530,29,FALSE),VLOOKUP($B619,Data!$B$3:$EZ1530,30,FALSE)),1),"")</f>
        <v>0.2268490168</v>
      </c>
      <c r="L619" s="48">
        <f>IFERROR(MINUS(DIVIDE(VLOOKUP($B619,Data!$B$3:$EZ1530,34,FALSE),VLOOKUP($B619,Data!$B$3:$EZ1530,35,FALSE)),1),"")</f>
        <v>0.8118941842</v>
      </c>
      <c r="M619" s="48">
        <f>IFERROR(MINUS(DIVIDE(VLOOKUP($B619,Data!$B$3:$EZ1530,39,FALSE),VLOOKUP($B619,Data!$B$3:$EZ1530,40,FALSE)),1),"")</f>
        <v>0.2268490168</v>
      </c>
      <c r="N619" s="48">
        <f>IFERROR(MINUS(DIVIDE(VLOOKUP($B619,Data!$B$3:$EZ1530,44,FALSE),VLOOKUP($B619,Data!$B$3:$EZ1530,45,FALSE)),1),"")</f>
        <v>1.796434169</v>
      </c>
      <c r="O619" s="50" t="str">
        <f>IFERROR(VLOOKUP($B619,Data!$B$3:$D1530,2,FALSE),"")</f>
        <v/>
      </c>
      <c r="P619" s="50" t="str">
        <f>IFERROR(VLOOKUP($B619,Data!$B$3:$D1530,3,FALSE),"")</f>
        <v/>
      </c>
      <c r="Q619" s="48" t="str">
        <f t="shared" si="2"/>
        <v/>
      </c>
      <c r="R619" s="48"/>
      <c r="S619" s="48"/>
      <c r="T619" s="48"/>
      <c r="U619" s="48"/>
      <c r="V619" s="48"/>
      <c r="W619" s="50"/>
      <c r="Z619" s="15"/>
      <c r="AA619" s="15"/>
    </row>
    <row r="620">
      <c r="A620" s="9">
        <f t="shared" si="1"/>
        <v>617</v>
      </c>
      <c r="B620" s="47" t="s">
        <v>754</v>
      </c>
      <c r="C620" s="48">
        <f>IFERROR(DIVIDE(VLOOKUP($B620,Data!$B$3:$AB$1535,9,FALSE),VLOOKUP($B620,Data!$B$3:$AB$1535,4,FALSE)),"")</f>
        <v>0.1445182724</v>
      </c>
      <c r="D620" s="48">
        <f>IFERROR(DIVIDE(VLOOKUP($B620,Data!$B$3:$AB$1535,24,FALSE),VLOOKUP($B620,Data!$B$3:$AB$1535,4,FALSE)),"")</f>
        <v>0.02980066445</v>
      </c>
      <c r="E620" s="48">
        <f>IFERROR(DIVIDE(VLOOKUP($B620,Data!$B$3:$EZ1530,29,FALSE),VLOOKUP($B620,Data!$B$3:$EZ1530,4,FALSE)),"")</f>
        <v>0.01887873754</v>
      </c>
      <c r="F620" s="48">
        <f>IFERROR(DIVIDE(VLOOKUP($B620,Data!$B$3:$EZ1530,34,FALSE),VLOOKUP($B620,Data!$B$3:$EZ1530,4,FALSE)),"")</f>
        <v>0.03906976744</v>
      </c>
      <c r="G620" s="48">
        <f>IFERROR(DIVIDE(VLOOKUP($B620,Data!$B$3:$EZ1530,39,FALSE),VLOOKUP($B620,Data!$B$3:$EZ1530,4,FALSE)),"")</f>
        <v>0.01392026578</v>
      </c>
      <c r="H620" s="48">
        <f>IFERROR(DIVIDE(VLOOKUP($B620,Data!$B$3:$EZ1530,44,FALSE),VLOOKUP($B620,Data!$B$3:$EZ1530,4,FALSE)),"")</f>
        <v>0.02991694352</v>
      </c>
      <c r="I620" s="48">
        <f>IFERROR(MINUS(DIVIDE(VLOOKUP($B620,Data!$B$3:$EZ1530,9,FALSE),VLOOKUP($B620,Data!$B$3:$EZ1530,10,FALSE)),1),"")</f>
        <v>0.04819277108</v>
      </c>
      <c r="J620" s="48">
        <f>IFERROR(MINUS(DIVIDE(VLOOKUP($B620,Data!$B$3:$EZ1530,24,FALSE),VLOOKUP($B620,Data!$B$3:$EZ1530,25,FALSE)),1),"")</f>
        <v>-0.01744393022</v>
      </c>
      <c r="K620" s="48">
        <f>IFERROR(MINUS(DIVIDE(VLOOKUP($B620,Data!$B$3:$EZ1530,29,FALSE),VLOOKUP($B620,Data!$B$3:$EZ1530,30,FALSE)),1),"")</f>
        <v>0.1066212269</v>
      </c>
      <c r="L620" s="48">
        <f>IFERROR(MINUS(DIVIDE(VLOOKUP($B620,Data!$B$3:$EZ1530,34,FALSE),VLOOKUP($B620,Data!$B$3:$EZ1530,35,FALSE)),1),"")</f>
        <v>-0.03511650804</v>
      </c>
      <c r="M620" s="48">
        <f>IFERROR(MINUS(DIVIDE(VLOOKUP($B620,Data!$B$3:$EZ1530,39,FALSE),VLOOKUP($B620,Data!$B$3:$EZ1530,40,FALSE)),1),"")</f>
        <v>0.1000262536</v>
      </c>
      <c r="N620" s="48">
        <f>IFERROR(MINUS(DIVIDE(VLOOKUP($B620,Data!$B$3:$EZ1530,44,FALSE),VLOOKUP($B620,Data!$B$3:$EZ1530,45,FALSE)),1),"")</f>
        <v>0.5554691886</v>
      </c>
      <c r="O620" s="50">
        <f>IFERROR(VLOOKUP($B620,Data!$B$3:$D1530,2,FALSE),"")</f>
        <v>11700000</v>
      </c>
      <c r="P620" s="50">
        <f>IFERROR(VLOOKUP($B620,Data!$B$3:$D1530,3,FALSE),"")</f>
        <v>10680000</v>
      </c>
      <c r="Q620" s="48">
        <f t="shared" si="2"/>
        <v>0.09550561798</v>
      </c>
      <c r="R620" s="48"/>
      <c r="S620" s="48"/>
      <c r="T620" s="48"/>
      <c r="U620" s="48"/>
      <c r="V620" s="48"/>
      <c r="W620" s="50"/>
      <c r="Z620" s="15"/>
      <c r="AA620" s="15"/>
    </row>
    <row r="621">
      <c r="A621" s="9">
        <f t="shared" si="1"/>
        <v>618</v>
      </c>
      <c r="B621" s="47" t="s">
        <v>755</v>
      </c>
      <c r="C621" s="48">
        <f>IFERROR(DIVIDE(VLOOKUP($B621,Data!$B$3:$AB$1535,9,FALSE),VLOOKUP($B621,Data!$B$3:$AB$1535,4,FALSE)),"")</f>
        <v>0.3534957983</v>
      </c>
      <c r="D621" s="48">
        <f>IFERROR(DIVIDE(VLOOKUP($B621,Data!$B$3:$AB$1535,24,FALSE),VLOOKUP($B621,Data!$B$3:$AB$1535,4,FALSE)),"")</f>
        <v>-0.001957983193</v>
      </c>
      <c r="E621" s="48">
        <f>IFERROR(DIVIDE(VLOOKUP($B621,Data!$B$3:$EZ1530,29,FALSE),VLOOKUP($B621,Data!$B$3:$EZ1530,4,FALSE)),"")</f>
        <v>-0.01602521008</v>
      </c>
      <c r="F621" s="48">
        <f>IFERROR(DIVIDE(VLOOKUP($B621,Data!$B$3:$EZ1530,34,FALSE),VLOOKUP($B621,Data!$B$3:$EZ1530,4,FALSE)),"")</f>
        <v>0.03378151261</v>
      </c>
      <c r="G621" s="48">
        <f>IFERROR(DIVIDE(VLOOKUP($B621,Data!$B$3:$EZ1530,39,FALSE),VLOOKUP($B621,Data!$B$3:$EZ1530,4,FALSE)),"")</f>
        <v>-0.01230252101</v>
      </c>
      <c r="H621" s="48">
        <f>IFERROR(DIVIDE(VLOOKUP($B621,Data!$B$3:$EZ1530,44,FALSE),VLOOKUP($B621,Data!$B$3:$EZ1530,4,FALSE)),"")</f>
        <v>-0.02053781513</v>
      </c>
      <c r="I621" s="48">
        <f>IFERROR(MINUS(DIVIDE(VLOOKUP($B621,Data!$B$3:$EZ1530,9,FALSE),VLOOKUP($B621,Data!$B$3:$EZ1530,10,FALSE)),1),"")</f>
        <v>0.124008016</v>
      </c>
      <c r="J621" s="48">
        <f>IFERROR(MINUS(DIVIDE(VLOOKUP($B621,Data!$B$3:$EZ1530,24,FALSE),VLOOKUP($B621,Data!$B$3:$EZ1530,25,FALSE)),1),"")</f>
        <v>-0.9752022137</v>
      </c>
      <c r="K621" s="48">
        <f>IFERROR(MINUS(DIVIDE(VLOOKUP($B621,Data!$B$3:$EZ1530,29,FALSE),VLOOKUP($B621,Data!$B$3:$EZ1530,30,FALSE)),1),"")</f>
        <v>-0.8229011887</v>
      </c>
      <c r="L621" s="48">
        <f>IFERROR(MINUS(DIVIDE(VLOOKUP($B621,Data!$B$3:$EZ1530,34,FALSE),VLOOKUP($B621,Data!$B$3:$EZ1530,35,FALSE)),1),"")</f>
        <v>-2.627530364</v>
      </c>
      <c r="M621" s="48">
        <f>IFERROR(MINUS(DIVIDE(VLOOKUP($B621,Data!$B$3:$EZ1530,39,FALSE),VLOOKUP($B621,Data!$B$3:$EZ1530,40,FALSE)),1),"")</f>
        <v>-0.8657250298</v>
      </c>
      <c r="N621" s="48">
        <f>IFERROR(MINUS(DIVIDE(VLOOKUP($B621,Data!$B$3:$EZ1530,44,FALSE),VLOOKUP($B621,Data!$B$3:$EZ1530,45,FALSE)),1),"")</f>
        <v>-0.4239924582</v>
      </c>
      <c r="O621" s="50">
        <f>IFERROR(VLOOKUP($B621,Data!$B$3:$D1530,2,FALSE),"")</f>
        <v>1010000</v>
      </c>
      <c r="P621" s="50">
        <f>IFERROR(VLOOKUP($B621,Data!$B$3:$D1530,3,FALSE),"")</f>
        <v>844930</v>
      </c>
      <c r="Q621" s="48">
        <f t="shared" si="2"/>
        <v>0.1953652965</v>
      </c>
      <c r="R621" s="48"/>
      <c r="S621" s="48"/>
      <c r="T621" s="48"/>
      <c r="U621" s="48"/>
      <c r="V621" s="48"/>
      <c r="W621" s="50"/>
      <c r="Z621" s="12"/>
      <c r="AA621" s="12"/>
    </row>
    <row r="622">
      <c r="A622" s="9">
        <f t="shared" si="1"/>
        <v>619</v>
      </c>
      <c r="B622" s="47" t="s">
        <v>756</v>
      </c>
      <c r="C622" s="48">
        <f>IFERROR(DIVIDE(VLOOKUP($B622,Data!$B$3:$AB$1535,9,FALSE),VLOOKUP($B622,Data!$B$3:$AB$1535,4,FALSE)),"")</f>
        <v>0.3742368742</v>
      </c>
      <c r="D622" s="48">
        <f>IFERROR(DIVIDE(VLOOKUP($B622,Data!$B$3:$AB$1535,24,FALSE),VLOOKUP($B622,Data!$B$3:$AB$1535,4,FALSE)),"")</f>
        <v>0.02142857143</v>
      </c>
      <c r="E622" s="48">
        <f>IFERROR(DIVIDE(VLOOKUP($B622,Data!$B$3:$EZ1530,29,FALSE),VLOOKUP($B622,Data!$B$3:$EZ1530,4,FALSE)),"")</f>
        <v>0.03223443223</v>
      </c>
      <c r="F622" s="48">
        <f>IFERROR(DIVIDE(VLOOKUP($B622,Data!$B$3:$EZ1530,34,FALSE),VLOOKUP($B622,Data!$B$3:$EZ1530,4,FALSE)),"")</f>
        <v>0.09584859585</v>
      </c>
      <c r="G622" s="48">
        <f>IFERROR(DIVIDE(VLOOKUP($B622,Data!$B$3:$EZ1530,39,FALSE),VLOOKUP($B622,Data!$B$3:$EZ1530,4,FALSE)),"")</f>
        <v>0.02142857143</v>
      </c>
      <c r="H622" s="48">
        <f>IFERROR(DIVIDE(VLOOKUP($B622,Data!$B$3:$EZ1530,44,FALSE),VLOOKUP($B622,Data!$B$3:$EZ1530,4,FALSE)),"")</f>
        <v>0.08608058608</v>
      </c>
      <c r="I622" s="48">
        <f>IFERROR(MINUS(DIVIDE(VLOOKUP($B622,Data!$B$3:$EZ1530,9,FALSE),VLOOKUP($B622,Data!$B$3:$EZ1530,10,FALSE)),1),"")</f>
        <v>-0.02852614897</v>
      </c>
      <c r="J622" s="48">
        <f>IFERROR(MINUS(DIVIDE(VLOOKUP($B622,Data!$B$3:$EZ1530,24,FALSE),VLOOKUP($B622,Data!$B$3:$EZ1530,25,FALSE)),1),"")</f>
        <v>-0.74</v>
      </c>
      <c r="K622" s="48">
        <f>IFERROR(MINUS(DIVIDE(VLOOKUP($B622,Data!$B$3:$EZ1530,29,FALSE),VLOOKUP($B622,Data!$B$3:$EZ1530,30,FALSE)),1),"")</f>
        <v>-0.6</v>
      </c>
      <c r="L622" s="48">
        <f>IFERROR(MINUS(DIVIDE(VLOOKUP($B622,Data!$B$3:$EZ1530,34,FALSE),VLOOKUP($B622,Data!$B$3:$EZ1530,35,FALSE)),1),"")</f>
        <v>-0.1780104712</v>
      </c>
      <c r="M622" s="48">
        <f>IFERROR(MINUS(DIVIDE(VLOOKUP($B622,Data!$B$3:$EZ1530,39,FALSE),VLOOKUP($B622,Data!$B$3:$EZ1530,40,FALSE)),1),"")</f>
        <v>-0.649</v>
      </c>
      <c r="N622" s="48">
        <f>IFERROR(MINUS(DIVIDE(VLOOKUP($B622,Data!$B$3:$EZ1530,44,FALSE),VLOOKUP($B622,Data!$B$3:$EZ1530,45,FALSE)),1),"")</f>
        <v>0.02173913043</v>
      </c>
      <c r="O622" s="50">
        <f>IFERROR(VLOOKUP($B622,Data!$B$3:$D1530,2,FALSE),"")</f>
        <v>14950000</v>
      </c>
      <c r="P622" s="50">
        <f>IFERROR(VLOOKUP($B622,Data!$B$3:$D1530,3,FALSE),"")</f>
        <v>13100000</v>
      </c>
      <c r="Q622" s="48">
        <f t="shared" si="2"/>
        <v>0.141221374</v>
      </c>
      <c r="R622" s="48"/>
      <c r="S622" s="48"/>
      <c r="T622" s="48"/>
      <c r="U622" s="48"/>
      <c r="V622" s="48"/>
      <c r="W622" s="50"/>
      <c r="Z622" s="11"/>
      <c r="AA622" s="11"/>
    </row>
    <row r="623">
      <c r="A623" s="9">
        <f t="shared" si="1"/>
        <v>620</v>
      </c>
      <c r="B623" s="47" t="s">
        <v>757</v>
      </c>
      <c r="C623" s="48">
        <f>IFERROR(DIVIDE(VLOOKUP($B623,Data!$B$3:$AB$1535,9,FALSE),VLOOKUP($B623,Data!$B$3:$AB$1535,4,FALSE)),"")</f>
        <v>0.4049489796</v>
      </c>
      <c r="D623" s="48">
        <f>IFERROR(DIVIDE(VLOOKUP($B623,Data!$B$3:$AB$1535,24,FALSE),VLOOKUP($B623,Data!$B$3:$AB$1535,4,FALSE)),"")</f>
        <v>0.1585204082</v>
      </c>
      <c r="E623" s="48">
        <f>IFERROR(DIVIDE(VLOOKUP($B623,Data!$B$3:$EZ1530,29,FALSE),VLOOKUP($B623,Data!$B$3:$EZ1530,4,FALSE)),"")</f>
        <v>0.09362244898</v>
      </c>
      <c r="F623" s="48">
        <f>IFERROR(DIVIDE(VLOOKUP($B623,Data!$B$3:$EZ1530,34,FALSE),VLOOKUP($B623,Data!$B$3:$EZ1530,4,FALSE)),"")</f>
        <v>0.2715306122</v>
      </c>
      <c r="G623" s="48">
        <f>IFERROR(DIVIDE(VLOOKUP($B623,Data!$B$3:$EZ1530,39,FALSE),VLOOKUP($B623,Data!$B$3:$EZ1530,4,FALSE)),"")</f>
        <v>0.06443877551</v>
      </c>
      <c r="H623" s="48">
        <f>IFERROR(DIVIDE(VLOOKUP($B623,Data!$B$3:$EZ1530,44,FALSE),VLOOKUP($B623,Data!$B$3:$EZ1530,4,FALSE)),"")</f>
        <v>0.2000510204</v>
      </c>
      <c r="I623" s="48">
        <f>IFERROR(MINUS(DIVIDE(VLOOKUP($B623,Data!$B$3:$EZ1530,9,FALSE),VLOOKUP($B623,Data!$B$3:$EZ1530,10,FALSE)),1),"")</f>
        <v>0.1454755376</v>
      </c>
      <c r="J623" s="48">
        <f>IFERROR(MINUS(DIVIDE(VLOOKUP($B623,Data!$B$3:$EZ1530,24,FALSE),VLOOKUP($B623,Data!$B$3:$EZ1530,25,FALSE)),1),"")</f>
        <v>0.1854254101</v>
      </c>
      <c r="K623" s="48">
        <f>IFERROR(MINUS(DIVIDE(VLOOKUP($B623,Data!$B$3:$EZ1530,29,FALSE),VLOOKUP($B623,Data!$B$3:$EZ1530,30,FALSE)),1),"")</f>
        <v>-0.2507145774</v>
      </c>
      <c r="L623" s="48">
        <f>IFERROR(MINUS(DIVIDE(VLOOKUP($B623,Data!$B$3:$EZ1530,34,FALSE),VLOOKUP($B623,Data!$B$3:$EZ1530,35,FALSE)),1),"")</f>
        <v>0.06910405785</v>
      </c>
      <c r="M623" s="48">
        <f>IFERROR(MINUS(DIVIDE(VLOOKUP($B623,Data!$B$3:$EZ1530,39,FALSE),VLOOKUP($B623,Data!$B$3:$EZ1530,40,FALSE)),1),"")</f>
        <v>-0.2464200477</v>
      </c>
      <c r="N623" s="48">
        <f>IFERROR(MINUS(DIVIDE(VLOOKUP($B623,Data!$B$3:$EZ1530,44,FALSE),VLOOKUP($B623,Data!$B$3:$EZ1530,45,FALSE)),1),"")</f>
        <v>0.1464912281</v>
      </c>
      <c r="O623" s="50">
        <f>IFERROR(VLOOKUP($B623,Data!$B$3:$D1530,2,FALSE),"")</f>
        <v>1860000</v>
      </c>
      <c r="P623" s="50">
        <f>IFERROR(VLOOKUP($B623,Data!$B$3:$D1530,3,FALSE),"")</f>
        <v>1710000</v>
      </c>
      <c r="Q623" s="48">
        <f t="shared" si="2"/>
        <v>0.08771929825</v>
      </c>
      <c r="R623" s="48"/>
      <c r="S623" s="48"/>
      <c r="T623" s="48"/>
      <c r="U623" s="48"/>
      <c r="V623" s="48"/>
      <c r="W623" s="50"/>
      <c r="Z623" s="15"/>
      <c r="AA623" s="15"/>
    </row>
    <row r="624">
      <c r="A624" s="9">
        <f t="shared" si="1"/>
        <v>621</v>
      </c>
      <c r="B624" s="47" t="s">
        <v>758</v>
      </c>
      <c r="C624" s="48">
        <f>IFERROR(DIVIDE(VLOOKUP($B624,Data!$B$3:$AB$1535,9,FALSE),VLOOKUP($B624,Data!$B$3:$AB$1535,4,FALSE)),"")</f>
        <v>0.2096859763</v>
      </c>
      <c r="D624" s="48">
        <f>IFERROR(DIVIDE(VLOOKUP($B624,Data!$B$3:$AB$1535,24,FALSE),VLOOKUP($B624,Data!$B$3:$AB$1535,4,FALSE)),"")</f>
        <v>0.08276280221</v>
      </c>
      <c r="E624" s="48">
        <f>IFERROR(DIVIDE(VLOOKUP($B624,Data!$B$3:$EZ1530,29,FALSE),VLOOKUP($B624,Data!$B$3:$EZ1530,4,FALSE)),"")</f>
        <v>0.1065230023</v>
      </c>
      <c r="F624" s="48">
        <f>IFERROR(DIVIDE(VLOOKUP($B624,Data!$B$3:$EZ1530,34,FALSE),VLOOKUP($B624,Data!$B$3:$EZ1530,4,FALSE)),"")</f>
        <v>0.0928428871</v>
      </c>
      <c r="G624" s="48">
        <f>IFERROR(DIVIDE(VLOOKUP($B624,Data!$B$3:$EZ1530,39,FALSE),VLOOKUP($B624,Data!$B$3:$EZ1530,4,FALSE)),"")</f>
        <v>0.07409746608</v>
      </c>
      <c r="H624" s="48">
        <f>IFERROR(DIVIDE(VLOOKUP($B624,Data!$B$3:$EZ1530,44,FALSE),VLOOKUP($B624,Data!$B$3:$EZ1530,4,FALSE)),"")</f>
        <v>-0.02786549781</v>
      </c>
      <c r="I624" s="48">
        <f>IFERROR(MINUS(DIVIDE(VLOOKUP($B624,Data!$B$3:$EZ1530,9,FALSE),VLOOKUP($B624,Data!$B$3:$EZ1530,10,FALSE)),1),"")</f>
        <v>0.3030850145</v>
      </c>
      <c r="J624" s="48">
        <f>IFERROR(MINUS(DIVIDE(VLOOKUP($B624,Data!$B$3:$EZ1530,24,FALSE),VLOOKUP($B624,Data!$B$3:$EZ1530,25,FALSE)),1),"")</f>
        <v>-0.08759225735</v>
      </c>
      <c r="K624" s="48">
        <f>IFERROR(MINUS(DIVIDE(VLOOKUP($B624,Data!$B$3:$EZ1530,29,FALSE),VLOOKUP($B624,Data!$B$3:$EZ1530,30,FALSE)),1),"")</f>
        <v>0.03257009918</v>
      </c>
      <c r="L624" s="48">
        <f>IFERROR(MINUS(DIVIDE(VLOOKUP($B624,Data!$B$3:$EZ1530,34,FALSE),VLOOKUP($B624,Data!$B$3:$EZ1530,35,FALSE)),1),"")</f>
        <v>-0.04471016376</v>
      </c>
      <c r="M624" s="48">
        <f>IFERROR(MINUS(DIVIDE(VLOOKUP($B624,Data!$B$3:$EZ1530,39,FALSE),VLOOKUP($B624,Data!$B$3:$EZ1530,40,FALSE)),1),"")</f>
        <v>0.1363812476</v>
      </c>
      <c r="N624" s="48">
        <f>IFERROR(MINUS(DIVIDE(VLOOKUP($B624,Data!$B$3:$EZ1530,44,FALSE),VLOOKUP($B624,Data!$B$3:$EZ1530,45,FALSE)),1),"")</f>
        <v>-0.4412360689</v>
      </c>
      <c r="O624" s="50">
        <f>IFERROR(VLOOKUP($B624,Data!$B$3:$D1530,2,FALSE),"")</f>
        <v>967600</v>
      </c>
      <c r="P624" s="50">
        <f>IFERROR(VLOOKUP($B624,Data!$B$3:$D1530,3,FALSE),"")</f>
        <v>890470</v>
      </c>
      <c r="Q624" s="48">
        <f t="shared" si="2"/>
        <v>0.08661717969</v>
      </c>
      <c r="R624" s="48"/>
      <c r="S624" s="48"/>
      <c r="T624" s="48"/>
      <c r="U624" s="48"/>
      <c r="V624" s="48"/>
      <c r="W624" s="50"/>
      <c r="Z624" s="11"/>
      <c r="AA624" s="11"/>
    </row>
    <row r="625">
      <c r="A625" s="9">
        <f t="shared" si="1"/>
        <v>622</v>
      </c>
      <c r="B625" s="47" t="s">
        <v>759</v>
      </c>
      <c r="C625" s="48">
        <f>IFERROR(DIVIDE(VLOOKUP($B625,Data!$B$3:$AB$1535,9,FALSE),VLOOKUP($B625,Data!$B$3:$AB$1535,4,FALSE)),"")</f>
        <v>0.437254902</v>
      </c>
      <c r="D625" s="48">
        <f>IFERROR(DIVIDE(VLOOKUP($B625,Data!$B$3:$AB$1535,24,FALSE),VLOOKUP($B625,Data!$B$3:$AB$1535,4,FALSE)),"")</f>
        <v>0.2137254902</v>
      </c>
      <c r="E625" s="48">
        <f>IFERROR(DIVIDE(VLOOKUP($B625,Data!$B$3:$EZ1530,29,FALSE),VLOOKUP($B625,Data!$B$3:$EZ1530,4,FALSE)),"")</f>
        <v>0.1662098039</v>
      </c>
      <c r="F625" s="48">
        <f>IFERROR(DIVIDE(VLOOKUP($B625,Data!$B$3:$EZ1530,34,FALSE),VLOOKUP($B625,Data!$B$3:$EZ1530,4,FALSE)),"")</f>
        <v>0.2784313725</v>
      </c>
      <c r="G625" s="48">
        <f>IFERROR(DIVIDE(VLOOKUP($B625,Data!$B$3:$EZ1530,39,FALSE),VLOOKUP($B625,Data!$B$3:$EZ1530,4,FALSE)),"")</f>
        <v>0.1225784314</v>
      </c>
      <c r="H625" s="48">
        <f>IFERROR(DIVIDE(VLOOKUP($B625,Data!$B$3:$EZ1530,44,FALSE),VLOOKUP($B625,Data!$B$3:$EZ1530,4,FALSE)),"")</f>
        <v>0.1124313725</v>
      </c>
      <c r="I625" s="48">
        <f>IFERROR(MINUS(DIVIDE(VLOOKUP($B625,Data!$B$3:$EZ1530,9,FALSE),VLOOKUP($B625,Data!$B$3:$EZ1530,10,FALSE)),1),"")</f>
        <v>0.1319796954</v>
      </c>
      <c r="J625" s="48" t="str">
        <f>IFERROR(MINUS(DIVIDE(VLOOKUP($B625,Data!$B$3:$EZ1530,24,FALSE),VLOOKUP($B625,Data!$B$3:$EZ1530,25,FALSE)),1),"")</f>
        <v/>
      </c>
      <c r="K625" s="48">
        <f>IFERROR(MINUS(DIVIDE(VLOOKUP($B625,Data!$B$3:$EZ1530,29,FALSE),VLOOKUP($B625,Data!$B$3:$EZ1530,30,FALSE)),1),"")</f>
        <v>0.1503501249</v>
      </c>
      <c r="L625" s="48">
        <f>IFERROR(MINUS(DIVIDE(VLOOKUP($B625,Data!$B$3:$EZ1530,34,FALSE),VLOOKUP($B625,Data!$B$3:$EZ1530,35,FALSE)),1),"")</f>
        <v>0.1639344262</v>
      </c>
      <c r="M625" s="48">
        <f>IFERROR(MINUS(DIVIDE(VLOOKUP($B625,Data!$B$3:$EZ1530,39,FALSE),VLOOKUP($B625,Data!$B$3:$EZ1530,40,FALSE)),1),"")</f>
        <v>0.04778425851</v>
      </c>
      <c r="N625" s="48">
        <f>IFERROR(MINUS(DIVIDE(VLOOKUP($B625,Data!$B$3:$EZ1530,44,FALSE),VLOOKUP($B625,Data!$B$3:$EZ1530,45,FALSE)),1),"")</f>
        <v>-0.2256478818</v>
      </c>
      <c r="O625" s="50">
        <f>IFERROR(VLOOKUP($B625,Data!$B$3:$D1530,2,FALSE),"")</f>
        <v>6890000</v>
      </c>
      <c r="P625" s="50">
        <f>IFERROR(VLOOKUP($B625,Data!$B$3:$D1530,3,FALSE),"")</f>
        <v>6430000</v>
      </c>
      <c r="Q625" s="48">
        <f t="shared" si="2"/>
        <v>0.07153965785</v>
      </c>
      <c r="R625" s="48"/>
      <c r="S625" s="48"/>
      <c r="T625" s="48"/>
      <c r="U625" s="48"/>
      <c r="V625" s="48"/>
      <c r="W625" s="50"/>
      <c r="Z625" s="15"/>
      <c r="AA625" s="15"/>
    </row>
    <row r="626">
      <c r="A626" s="9">
        <f t="shared" si="1"/>
        <v>623</v>
      </c>
      <c r="B626" s="47" t="s">
        <v>760</v>
      </c>
      <c r="C626" s="48">
        <f>IFERROR(DIVIDE(VLOOKUP($B626,Data!$B$3:$AB$1535,9,FALSE),VLOOKUP($B626,Data!$B$3:$AB$1535,4,FALSE)),"")</f>
        <v>0.5930851064</v>
      </c>
      <c r="D626" s="48">
        <f>IFERROR(DIVIDE(VLOOKUP($B626,Data!$B$3:$AB$1535,24,FALSE),VLOOKUP($B626,Data!$B$3:$AB$1535,4,FALSE)),"")</f>
        <v>0</v>
      </c>
      <c r="E626" s="48">
        <f>IFERROR(DIVIDE(VLOOKUP($B626,Data!$B$3:$EZ1530,29,FALSE),VLOOKUP($B626,Data!$B$3:$EZ1530,4,FALSE)),"")</f>
        <v>0.2625585106</v>
      </c>
      <c r="F626" s="48">
        <f>IFERROR(DIVIDE(VLOOKUP($B626,Data!$B$3:$EZ1530,34,FALSE),VLOOKUP($B626,Data!$B$3:$EZ1530,4,FALSE)),"")</f>
        <v>0.2792553191</v>
      </c>
      <c r="G626" s="48">
        <f>IFERROR(DIVIDE(VLOOKUP($B626,Data!$B$3:$EZ1530,39,FALSE),VLOOKUP($B626,Data!$B$3:$EZ1530,4,FALSE)),"")</f>
        <v>0.2533218085</v>
      </c>
      <c r="H626" s="48">
        <f>IFERROR(DIVIDE(VLOOKUP($B626,Data!$B$3:$EZ1530,44,FALSE),VLOOKUP($B626,Data!$B$3:$EZ1530,4,FALSE)),"")</f>
        <v>0.1857845745</v>
      </c>
      <c r="I626" s="48">
        <f>IFERROR(MINUS(DIVIDE(VLOOKUP($B626,Data!$B$3:$EZ1530,9,FALSE),VLOOKUP($B626,Data!$B$3:$EZ1530,10,FALSE)),1),"")</f>
        <v>0.1262626263</v>
      </c>
      <c r="J626" s="48" t="str">
        <f>IFERROR(MINUS(DIVIDE(VLOOKUP($B626,Data!$B$3:$EZ1530,24,FALSE),VLOOKUP($B626,Data!$B$3:$EZ1530,25,FALSE)),1),"")</f>
        <v/>
      </c>
      <c r="K626" s="48">
        <f>IFERROR(MINUS(DIVIDE(VLOOKUP($B626,Data!$B$3:$EZ1530,29,FALSE),VLOOKUP($B626,Data!$B$3:$EZ1530,30,FALSE)),1),"")</f>
        <v>0.1991740055</v>
      </c>
      <c r="L626" s="48">
        <f>IFERROR(MINUS(DIVIDE(VLOOKUP($B626,Data!$B$3:$EZ1530,34,FALSE),VLOOKUP($B626,Data!$B$3:$EZ1530,35,FALSE)),1),"")</f>
        <v>0.200631189</v>
      </c>
      <c r="M626" s="48">
        <f>IFERROR(MINUS(DIVIDE(VLOOKUP($B626,Data!$B$3:$EZ1530,39,FALSE),VLOOKUP($B626,Data!$B$3:$EZ1530,40,FALSE)),1),"")</f>
        <v>0.3723057861</v>
      </c>
      <c r="N626" s="48">
        <f>IFERROR(MINUS(DIVIDE(VLOOKUP($B626,Data!$B$3:$EZ1530,44,FALSE),VLOOKUP($B626,Data!$B$3:$EZ1530,45,FALSE)),1),"")</f>
        <v>-0.2403101618</v>
      </c>
      <c r="O626" s="50">
        <f>IFERROR(VLOOKUP($B626,Data!$B$3:$D1530,2,FALSE),"")</f>
        <v>4050000</v>
      </c>
      <c r="P626" s="50">
        <f>IFERROR(VLOOKUP($B626,Data!$B$3:$D1530,3,FALSE),"")</f>
        <v>3740000</v>
      </c>
      <c r="Q626" s="48">
        <f t="shared" si="2"/>
        <v>0.08288770053</v>
      </c>
      <c r="R626" s="48"/>
      <c r="S626" s="48"/>
      <c r="T626" s="48"/>
      <c r="U626" s="48"/>
      <c r="V626" s="48"/>
      <c r="W626" s="50"/>
      <c r="Z626" s="11"/>
      <c r="AA626" s="11"/>
    </row>
    <row r="627">
      <c r="A627" s="9">
        <f t="shared" si="1"/>
        <v>624</v>
      </c>
      <c r="B627" s="47" t="s">
        <v>761</v>
      </c>
      <c r="C627" s="48">
        <f>IFERROR(DIVIDE(VLOOKUP($B627,Data!$B$3:$AB$1535,9,FALSE),VLOOKUP($B627,Data!$B$3:$AB$1535,4,FALSE)),"")</f>
        <v>0</v>
      </c>
      <c r="D627" s="48">
        <f>IFERROR(DIVIDE(VLOOKUP($B627,Data!$B$3:$AB$1535,24,FALSE),VLOOKUP($B627,Data!$B$3:$AB$1535,4,FALSE)),"")</f>
        <v>0</v>
      </c>
      <c r="E627" s="48">
        <f>IFERROR(DIVIDE(VLOOKUP($B627,Data!$B$3:$EZ1530,29,FALSE),VLOOKUP($B627,Data!$B$3:$EZ1530,4,FALSE)),"")</f>
        <v>-21.60869565</v>
      </c>
      <c r="F627" s="48">
        <f>IFERROR(DIVIDE(VLOOKUP($B627,Data!$B$3:$EZ1530,34,FALSE),VLOOKUP($B627,Data!$B$3:$EZ1530,4,FALSE)),"")</f>
        <v>-21.32723112</v>
      </c>
      <c r="G627" s="48">
        <f>IFERROR(DIVIDE(VLOOKUP($B627,Data!$B$3:$EZ1530,39,FALSE),VLOOKUP($B627,Data!$B$3:$EZ1530,4,FALSE)),"")</f>
        <v>-21.60869565</v>
      </c>
      <c r="H627" s="48">
        <f>IFERROR(DIVIDE(VLOOKUP($B627,Data!$B$3:$EZ1530,44,FALSE),VLOOKUP($B627,Data!$B$3:$EZ1530,4,FALSE)),"")</f>
        <v>-19.46681922</v>
      </c>
      <c r="I627" s="48" t="str">
        <f>IFERROR(MINUS(DIVIDE(VLOOKUP($B627,Data!$B$3:$EZ1530,9,FALSE),VLOOKUP($B627,Data!$B$3:$EZ1530,10,FALSE)),1),"")</f>
        <v/>
      </c>
      <c r="J627" s="48" t="str">
        <f>IFERROR(MINUS(DIVIDE(VLOOKUP($B627,Data!$B$3:$EZ1530,24,FALSE),VLOOKUP($B627,Data!$B$3:$EZ1530,25,FALSE)),1),"")</f>
        <v/>
      </c>
      <c r="K627" s="48">
        <f>IFERROR(MINUS(DIVIDE(VLOOKUP($B627,Data!$B$3:$EZ1530,29,FALSE),VLOOKUP($B627,Data!$B$3:$EZ1530,30,FALSE)),1),"")</f>
        <v>0.4577029948</v>
      </c>
      <c r="L627" s="48">
        <f>IFERROR(MINUS(DIVIDE(VLOOKUP($B627,Data!$B$3:$EZ1530,34,FALSE),VLOOKUP($B627,Data!$B$3:$EZ1530,35,FALSE)),1),"")</f>
        <v>0.5124959429</v>
      </c>
      <c r="M627" s="48">
        <f>IFERROR(MINUS(DIVIDE(VLOOKUP($B627,Data!$B$3:$EZ1530,39,FALSE),VLOOKUP($B627,Data!$B$3:$EZ1530,40,FALSE)),1),"")</f>
        <v>0.4577029948</v>
      </c>
      <c r="N627" s="48">
        <f>IFERROR(MINUS(DIVIDE(VLOOKUP($B627,Data!$B$3:$EZ1530,44,FALSE),VLOOKUP($B627,Data!$B$3:$EZ1530,45,FALSE)),1),"")</f>
        <v>1.229297694</v>
      </c>
      <c r="O627" s="50">
        <f>IFERROR(VLOOKUP($B627,Data!$B$3:$D1530,2,FALSE),"")</f>
        <v>4840</v>
      </c>
      <c r="P627" s="50">
        <f>IFERROR(VLOOKUP($B627,Data!$B$3:$D1530,3,FALSE),"")</f>
        <v>4180</v>
      </c>
      <c r="Q627" s="48">
        <f t="shared" si="2"/>
        <v>0.1578947368</v>
      </c>
      <c r="R627" s="48"/>
      <c r="S627" s="48"/>
      <c r="T627" s="48"/>
      <c r="U627" s="48"/>
      <c r="V627" s="48"/>
      <c r="W627" s="50"/>
      <c r="Z627" s="11"/>
      <c r="AA627" s="11"/>
    </row>
    <row r="628">
      <c r="A628" s="9">
        <f t="shared" si="1"/>
        <v>625</v>
      </c>
      <c r="B628" s="47" t="s">
        <v>762</v>
      </c>
      <c r="C628" s="48" t="str">
        <f>IFERROR(DIVIDE(VLOOKUP($B628,Data!$B$3:$AB$1535,9,FALSE),VLOOKUP($B628,Data!$B$3:$AB$1535,4,FALSE)),"")</f>
        <v/>
      </c>
      <c r="D628" s="48" t="str">
        <f>IFERROR(DIVIDE(VLOOKUP($B628,Data!$B$3:$AB$1535,24,FALSE),VLOOKUP($B628,Data!$B$3:$AB$1535,4,FALSE)),"")</f>
        <v/>
      </c>
      <c r="E628" s="48" t="str">
        <f>IFERROR(DIVIDE(VLOOKUP($B628,Data!$B$3:$EZ1530,29,FALSE),VLOOKUP($B628,Data!$B$3:$EZ1530,4,FALSE)),"")</f>
        <v/>
      </c>
      <c r="F628" s="48" t="str">
        <f>IFERROR(DIVIDE(VLOOKUP($B628,Data!$B$3:$EZ1530,34,FALSE),VLOOKUP($B628,Data!$B$3:$EZ1530,4,FALSE)),"")</f>
        <v/>
      </c>
      <c r="G628" s="48" t="str">
        <f>IFERROR(DIVIDE(VLOOKUP($B628,Data!$B$3:$EZ1530,39,FALSE),VLOOKUP($B628,Data!$B$3:$EZ1530,4,FALSE)),"")</f>
        <v/>
      </c>
      <c r="H628" s="48" t="str">
        <f>IFERROR(DIVIDE(VLOOKUP($B628,Data!$B$3:$EZ1530,44,FALSE),VLOOKUP($B628,Data!$B$3:$EZ1530,4,FALSE)),"")</f>
        <v/>
      </c>
      <c r="I628" s="48">
        <f>IFERROR(MINUS(DIVIDE(VLOOKUP($B628,Data!$B$3:$EZ1530,9,FALSE),VLOOKUP($B628,Data!$B$3:$EZ1530,10,FALSE)),1),"")</f>
        <v>1.102362205</v>
      </c>
      <c r="J628" s="48" t="str">
        <f>IFERROR(MINUS(DIVIDE(VLOOKUP($B628,Data!$B$3:$EZ1530,24,FALSE),VLOOKUP($B628,Data!$B$3:$EZ1530,25,FALSE)),1),"")</f>
        <v/>
      </c>
      <c r="K628" s="48">
        <f>IFERROR(MINUS(DIVIDE(VLOOKUP($B628,Data!$B$3:$EZ1530,29,FALSE),VLOOKUP($B628,Data!$B$3:$EZ1530,30,FALSE)),1),"")</f>
        <v>1.173221757</v>
      </c>
      <c r="L628" s="48">
        <f>IFERROR(MINUS(DIVIDE(VLOOKUP($B628,Data!$B$3:$EZ1530,34,FALSE),VLOOKUP($B628,Data!$B$3:$EZ1530,35,FALSE)),1),"")</f>
        <v>1.089515126</v>
      </c>
      <c r="M628" s="48">
        <f>IFERROR(MINUS(DIVIDE(VLOOKUP($B628,Data!$B$3:$EZ1530,39,FALSE),VLOOKUP($B628,Data!$B$3:$EZ1530,40,FALSE)),1),"")</f>
        <v>1.192989865</v>
      </c>
      <c r="N628" s="48">
        <f>IFERROR(MINUS(DIVIDE(VLOOKUP($B628,Data!$B$3:$EZ1530,44,FALSE),VLOOKUP($B628,Data!$B$3:$EZ1530,45,FALSE)),1),"")</f>
        <v>1.104645918</v>
      </c>
      <c r="O628" s="50">
        <f>IFERROR(VLOOKUP($B628,Data!$B$3:$D1530,2,FALSE),"")</f>
        <v>32500</v>
      </c>
      <c r="P628" s="50" t="str">
        <f>IFERROR(VLOOKUP($B628,Data!$B$3:$D1530,3,FALSE),"")</f>
        <v/>
      </c>
      <c r="Q628" s="48" t="str">
        <f t="shared" si="2"/>
        <v/>
      </c>
      <c r="R628" s="48"/>
      <c r="S628" s="48"/>
      <c r="T628" s="48"/>
      <c r="U628" s="48"/>
      <c r="V628" s="48"/>
      <c r="W628" s="50"/>
      <c r="Z628" s="15"/>
      <c r="AA628" s="15"/>
    </row>
    <row r="629">
      <c r="A629" s="9">
        <f t="shared" si="1"/>
        <v>626</v>
      </c>
      <c r="B629" s="47" t="s">
        <v>763</v>
      </c>
      <c r="C629" s="48">
        <f>IFERROR(DIVIDE(VLOOKUP($B629,Data!$B$3:$AB$1535,9,FALSE),VLOOKUP($B629,Data!$B$3:$AB$1535,4,FALSE)),"")</f>
        <v>0.4037578288</v>
      </c>
      <c r="D629" s="48">
        <f>IFERROR(DIVIDE(VLOOKUP($B629,Data!$B$3:$AB$1535,24,FALSE),VLOOKUP($B629,Data!$B$3:$AB$1535,4,FALSE)),"")</f>
        <v>0.05135699374</v>
      </c>
      <c r="E629" s="48">
        <f>IFERROR(DIVIDE(VLOOKUP($B629,Data!$B$3:$EZ1530,29,FALSE),VLOOKUP($B629,Data!$B$3:$EZ1530,4,FALSE)),"")</f>
        <v>0.04801670146</v>
      </c>
      <c r="F629" s="48">
        <f>IFERROR(DIVIDE(VLOOKUP($B629,Data!$B$3:$EZ1530,34,FALSE),VLOOKUP($B629,Data!$B$3:$EZ1530,4,FALSE)),"")</f>
        <v>0.132776618</v>
      </c>
      <c r="G629" s="48">
        <f>IFERROR(DIVIDE(VLOOKUP($B629,Data!$B$3:$EZ1530,39,FALSE),VLOOKUP($B629,Data!$B$3:$EZ1530,4,FALSE)),"")</f>
        <v>0.03543507307</v>
      </c>
      <c r="H629" s="48">
        <f>IFERROR(DIVIDE(VLOOKUP($B629,Data!$B$3:$EZ1530,44,FALSE),VLOOKUP($B629,Data!$B$3:$EZ1530,4,FALSE)),"")</f>
        <v>0.1135699374</v>
      </c>
      <c r="I629" s="48">
        <f>IFERROR(MINUS(DIVIDE(VLOOKUP($B629,Data!$B$3:$EZ1530,9,FALSE),VLOOKUP($B629,Data!$B$3:$EZ1530,10,FALSE)),1),"")</f>
        <v>-0.002063983488</v>
      </c>
      <c r="J629" s="48">
        <f>IFERROR(MINUS(DIVIDE(VLOOKUP($B629,Data!$B$3:$EZ1530,24,FALSE),VLOOKUP($B629,Data!$B$3:$EZ1530,25,FALSE)),1),"")</f>
        <v>-0.102189781</v>
      </c>
      <c r="K629" s="48">
        <f>IFERROR(MINUS(DIVIDE(VLOOKUP($B629,Data!$B$3:$EZ1530,29,FALSE),VLOOKUP($B629,Data!$B$3:$EZ1530,30,FALSE)),1),"")</f>
        <v>-0.0873015873</v>
      </c>
      <c r="L629" s="48">
        <f>IFERROR(MINUS(DIVIDE(VLOOKUP($B629,Data!$B$3:$EZ1530,34,FALSE),VLOOKUP($B629,Data!$B$3:$EZ1530,35,FALSE)),1),"")</f>
        <v>-0.03343465046</v>
      </c>
      <c r="M629" s="48">
        <f>IFERROR(MINUS(DIVIDE(VLOOKUP($B629,Data!$B$3:$EZ1530,39,FALSE),VLOOKUP($B629,Data!$B$3:$EZ1530,40,FALSE)),1),"")</f>
        <v>-0.08615454193</v>
      </c>
      <c r="N629" s="48">
        <f>IFERROR(MINUS(DIVIDE(VLOOKUP($B629,Data!$B$3:$EZ1530,44,FALSE),VLOOKUP($B629,Data!$B$3:$EZ1530,45,FALSE)),1),"")</f>
        <v>-0.2971576227</v>
      </c>
      <c r="O629" s="50" t="str">
        <f>IFERROR(VLOOKUP($B629,Data!$B$3:$D1530,2,FALSE),"")</f>
        <v/>
      </c>
      <c r="P629" s="50" t="str">
        <f>IFERROR(VLOOKUP($B629,Data!$B$3:$D1530,3,FALSE),"")</f>
        <v/>
      </c>
      <c r="Q629" s="48" t="str">
        <f t="shared" si="2"/>
        <v/>
      </c>
      <c r="R629" s="48"/>
      <c r="S629" s="48"/>
      <c r="T629" s="48"/>
      <c r="U629" s="48"/>
      <c r="V629" s="48"/>
      <c r="W629" s="50"/>
      <c r="Z629" s="11"/>
      <c r="AA629" s="11"/>
    </row>
    <row r="630">
      <c r="A630" s="9">
        <f t="shared" si="1"/>
        <v>627</v>
      </c>
      <c r="B630" s="47" t="s">
        <v>764</v>
      </c>
      <c r="C630" s="48">
        <f>IFERROR(DIVIDE(VLOOKUP($B630,Data!$B$3:$AB$1535,9,FALSE),VLOOKUP($B630,Data!$B$3:$AB$1535,4,FALSE)),"")</f>
        <v>0.5569912321</v>
      </c>
      <c r="D630" s="48">
        <f>IFERROR(DIVIDE(VLOOKUP($B630,Data!$B$3:$AB$1535,24,FALSE),VLOOKUP($B630,Data!$B$3:$AB$1535,4,FALSE)),"")</f>
        <v>-0.2491924319</v>
      </c>
      <c r="E630" s="48">
        <f>IFERROR(DIVIDE(VLOOKUP($B630,Data!$B$3:$EZ1530,29,FALSE),VLOOKUP($B630,Data!$B$3:$EZ1530,4,FALSE)),"")</f>
        <v>-0.2328103369</v>
      </c>
      <c r="F630" s="48">
        <f>IFERROR(DIVIDE(VLOOKUP($B630,Data!$B$3:$EZ1530,34,FALSE),VLOOKUP($B630,Data!$B$3:$EZ1530,4,FALSE)),"")</f>
        <v>-0.1975080757</v>
      </c>
      <c r="G630" s="48">
        <f>IFERROR(DIVIDE(VLOOKUP($B630,Data!$B$3:$EZ1530,39,FALSE),VLOOKUP($B630,Data!$B$3:$EZ1530,4,FALSE)),"")</f>
        <v>-0.2385786802</v>
      </c>
      <c r="H630" s="48">
        <f>IFERROR(DIVIDE(VLOOKUP($B630,Data!$B$3:$EZ1530,44,FALSE),VLOOKUP($B630,Data!$B$3:$EZ1530,4,FALSE)),"")</f>
        <v>-0.1079833872</v>
      </c>
      <c r="I630" s="48">
        <f>IFERROR(MINUS(DIVIDE(VLOOKUP($B630,Data!$B$3:$EZ1530,9,FALSE),VLOOKUP($B630,Data!$B$3:$EZ1530,10,FALSE)),1),"")</f>
        <v>-0.2368005058</v>
      </c>
      <c r="J630" s="48" t="str">
        <f>IFERROR(MINUS(DIVIDE(VLOOKUP($B630,Data!$B$3:$EZ1530,24,FALSE),VLOOKUP($B630,Data!$B$3:$EZ1530,25,FALSE)),1),"")</f>
        <v/>
      </c>
      <c r="K630" s="48" t="str">
        <f>IFERROR(MINUS(DIVIDE(VLOOKUP($B630,Data!$B$3:$EZ1530,29,FALSE),VLOOKUP($B630,Data!$B$3:$EZ1530,30,FALSE)),1),"")</f>
        <v/>
      </c>
      <c r="L630" s="48">
        <f>IFERROR(MINUS(DIVIDE(VLOOKUP($B630,Data!$B$3:$EZ1530,34,FALSE),VLOOKUP($B630,Data!$B$3:$EZ1530,35,FALSE)),1),"")</f>
        <v>-6.35</v>
      </c>
      <c r="M630" s="48" t="str">
        <f>IFERROR(MINUS(DIVIDE(VLOOKUP($B630,Data!$B$3:$EZ1530,39,FALSE),VLOOKUP($B630,Data!$B$3:$EZ1530,40,FALSE)),1),"")</f>
        <v/>
      </c>
      <c r="N630" s="48">
        <f>IFERROR(MINUS(DIVIDE(VLOOKUP($B630,Data!$B$3:$EZ1530,44,FALSE),VLOOKUP($B630,Data!$B$3:$EZ1530,45,FALSE)),1),"")</f>
        <v>-2.554817276</v>
      </c>
      <c r="O630" s="50" t="str">
        <f>IFERROR(VLOOKUP($B630,Data!$B$3:$D1530,2,FALSE),"")</f>
        <v/>
      </c>
      <c r="P630" s="50">
        <f>IFERROR(VLOOKUP($B630,Data!$B$3:$D1530,3,FALSE),"")</f>
        <v>41000</v>
      </c>
      <c r="Q630" s="48">
        <f t="shared" si="2"/>
        <v>-1</v>
      </c>
      <c r="R630" s="48"/>
      <c r="S630" s="48"/>
      <c r="T630" s="48"/>
      <c r="U630" s="48"/>
      <c r="V630" s="48"/>
      <c r="W630" s="50"/>
      <c r="Z630" s="11"/>
      <c r="AA630" s="12"/>
    </row>
    <row r="631">
      <c r="A631" s="9">
        <f t="shared" si="1"/>
        <v>628</v>
      </c>
      <c r="B631" s="47" t="s">
        <v>765</v>
      </c>
      <c r="C631" s="48">
        <f>IFERROR(DIVIDE(VLOOKUP($B631,Data!$B$3:$AB$1535,9,FALSE),VLOOKUP($B631,Data!$B$3:$AB$1535,4,FALSE)),"")</f>
        <v>0.6782222222</v>
      </c>
      <c r="D631" s="48">
        <f>IFERROR(DIVIDE(VLOOKUP($B631,Data!$B$3:$AB$1535,24,FALSE),VLOOKUP($B631,Data!$B$3:$AB$1535,4,FALSE)),"")</f>
        <v>0.1783703704</v>
      </c>
      <c r="E631" s="48">
        <f>IFERROR(DIVIDE(VLOOKUP($B631,Data!$B$3:$EZ1530,29,FALSE),VLOOKUP($B631,Data!$B$3:$EZ1530,4,FALSE)),"")</f>
        <v>0.1822222222</v>
      </c>
      <c r="F631" s="48">
        <f>IFERROR(DIVIDE(VLOOKUP($B631,Data!$B$3:$EZ1530,34,FALSE),VLOOKUP($B631,Data!$B$3:$EZ1530,4,FALSE)),"")</f>
        <v>0.2998518519</v>
      </c>
      <c r="G631" s="48">
        <f>IFERROR(DIVIDE(VLOOKUP($B631,Data!$B$3:$EZ1530,39,FALSE),VLOOKUP($B631,Data!$B$3:$EZ1530,4,FALSE)),"")</f>
        <v>0.1377777778</v>
      </c>
      <c r="H631" s="48">
        <f>IFERROR(DIVIDE(VLOOKUP($B631,Data!$B$3:$EZ1530,44,FALSE),VLOOKUP($B631,Data!$B$3:$EZ1530,4,FALSE)),"")</f>
        <v>0.2136296296</v>
      </c>
      <c r="I631" s="48">
        <f>IFERROR(MINUS(DIVIDE(VLOOKUP($B631,Data!$B$3:$EZ1530,9,FALSE),VLOOKUP($B631,Data!$B$3:$EZ1530,10,FALSE)),1),"")</f>
        <v>0.09364548495</v>
      </c>
      <c r="J631" s="48">
        <f>IFERROR(MINUS(DIVIDE(VLOOKUP($B631,Data!$B$3:$EZ1530,24,FALSE),VLOOKUP($B631,Data!$B$3:$EZ1530,25,FALSE)),1),"")</f>
        <v>0.1992031873</v>
      </c>
      <c r="K631" s="48">
        <f>IFERROR(MINUS(DIVIDE(VLOOKUP($B631,Data!$B$3:$EZ1530,29,FALSE),VLOOKUP($B631,Data!$B$3:$EZ1530,30,FALSE)),1),"")</f>
        <v>0.2893081761</v>
      </c>
      <c r="L631" s="48">
        <f>IFERROR(MINUS(DIVIDE(VLOOKUP($B631,Data!$B$3:$EZ1530,34,FALSE),VLOOKUP($B631,Data!$B$3:$EZ1530,35,FALSE)),1),"")</f>
        <v>0.02636916836</v>
      </c>
      <c r="M631" s="48">
        <f>IFERROR(MINUS(DIVIDE(VLOOKUP($B631,Data!$B$3:$EZ1530,39,FALSE),VLOOKUP($B631,Data!$B$3:$EZ1530,40,FALSE)),1),"")</f>
        <v>0.2845303867</v>
      </c>
      <c r="N631" s="48">
        <f>IFERROR(MINUS(DIVIDE(VLOOKUP($B631,Data!$B$3:$EZ1530,44,FALSE),VLOOKUP($B631,Data!$B$3:$EZ1530,45,FALSE)),1),"")</f>
        <v>-0.07207207207</v>
      </c>
      <c r="O631" s="50">
        <f>IFERROR(VLOOKUP($B631,Data!$B$3:$D1530,2,FALSE),"")</f>
        <v>46750000</v>
      </c>
      <c r="P631" s="50">
        <f>IFERROR(VLOOKUP($B631,Data!$B$3:$D1530,3,FALSE),"")</f>
        <v>44900000</v>
      </c>
      <c r="Q631" s="48">
        <f t="shared" si="2"/>
        <v>0.04120267261</v>
      </c>
      <c r="R631" s="48"/>
      <c r="S631" s="48"/>
      <c r="T631" s="48"/>
      <c r="U631" s="48"/>
      <c r="V631" s="48"/>
      <c r="W631" s="50"/>
      <c r="Z631" s="12"/>
      <c r="AA631" s="12"/>
    </row>
    <row r="632">
      <c r="A632" s="9">
        <f t="shared" si="1"/>
        <v>629</v>
      </c>
      <c r="B632" s="47" t="s">
        <v>766</v>
      </c>
      <c r="C632" s="48">
        <f>IFERROR(DIVIDE(VLOOKUP($B632,Data!$B$3:$AB$1535,9,FALSE),VLOOKUP($B632,Data!$B$3:$AB$1535,4,FALSE)),"")</f>
        <v>0.4610494064</v>
      </c>
      <c r="D632" s="48">
        <f>IFERROR(DIVIDE(VLOOKUP($B632,Data!$B$3:$AB$1535,24,FALSE),VLOOKUP($B632,Data!$B$3:$AB$1535,4,FALSE)),"")</f>
        <v>0</v>
      </c>
      <c r="E632" s="48">
        <f>IFERROR(DIVIDE(VLOOKUP($B632,Data!$B$3:$EZ1530,29,FALSE),VLOOKUP($B632,Data!$B$3:$EZ1530,4,FALSE)),"")</f>
        <v>0.1525852164</v>
      </c>
      <c r="F632" s="48">
        <f>IFERROR(DIVIDE(VLOOKUP($B632,Data!$B$3:$EZ1530,34,FALSE),VLOOKUP($B632,Data!$B$3:$EZ1530,4,FALSE)),"")</f>
        <v>0.6028724627</v>
      </c>
      <c r="G632" s="48">
        <f>IFERROR(DIVIDE(VLOOKUP($B632,Data!$B$3:$EZ1530,39,FALSE),VLOOKUP($B632,Data!$B$3:$EZ1530,4,FALSE)),"")</f>
        <v>0.1525852164</v>
      </c>
      <c r="H632" s="48">
        <f>IFERROR(DIVIDE(VLOOKUP($B632,Data!$B$3:$EZ1530,44,FALSE),VLOOKUP($B632,Data!$B$3:$EZ1530,4,FALSE)),"")</f>
        <v>0.3576407507</v>
      </c>
      <c r="I632" s="48">
        <f>IFERROR(MINUS(DIVIDE(VLOOKUP($B632,Data!$B$3:$EZ1530,9,FALSE),VLOOKUP($B632,Data!$B$3:$EZ1530,10,FALSE)),1),"")</f>
        <v>0.7002824859</v>
      </c>
      <c r="J632" s="48">
        <f>IFERROR(MINUS(DIVIDE(VLOOKUP($B632,Data!$B$3:$EZ1530,24,FALSE),VLOOKUP($B632,Data!$B$3:$EZ1530,25,FALSE)),1),"")</f>
        <v>-1</v>
      </c>
      <c r="K632" s="48">
        <f>IFERROR(MINUS(DIVIDE(VLOOKUP($B632,Data!$B$3:$EZ1530,29,FALSE),VLOOKUP($B632,Data!$B$3:$EZ1530,30,FALSE)),1),"")</f>
        <v>-1.695166638</v>
      </c>
      <c r="L632" s="48">
        <f>IFERROR(MINUS(DIVIDE(VLOOKUP($B632,Data!$B$3:$EZ1530,34,FALSE),VLOOKUP($B632,Data!$B$3:$EZ1530,35,FALSE)),1),"")</f>
        <v>0.6222817685</v>
      </c>
      <c r="M632" s="48">
        <f>IFERROR(MINUS(DIVIDE(VLOOKUP($B632,Data!$B$3:$EZ1530,39,FALSE),VLOOKUP($B632,Data!$B$3:$EZ1530,40,FALSE)),1),"")</f>
        <v>-1.694560669</v>
      </c>
      <c r="N632" s="48">
        <f>IFERROR(MINUS(DIVIDE(VLOOKUP($B632,Data!$B$3:$EZ1530,44,FALSE),VLOOKUP($B632,Data!$B$3:$EZ1530,45,FALSE)),1),"")</f>
        <v>0.9560117302</v>
      </c>
      <c r="O632" s="50">
        <f>IFERROR(VLOOKUP($B632,Data!$B$3:$D1530,2,FALSE),"")</f>
        <v>286170</v>
      </c>
      <c r="P632" s="50">
        <f>IFERROR(VLOOKUP($B632,Data!$B$3:$D1530,3,FALSE),"")</f>
        <v>275710</v>
      </c>
      <c r="Q632" s="48">
        <f t="shared" si="2"/>
        <v>0.03793841355</v>
      </c>
      <c r="R632" s="48"/>
      <c r="S632" s="48"/>
      <c r="T632" s="48"/>
      <c r="U632" s="48"/>
      <c r="V632" s="48"/>
      <c r="W632" s="50"/>
      <c r="Z632" s="15"/>
      <c r="AA632" s="15"/>
    </row>
    <row r="633">
      <c r="A633" s="9">
        <f t="shared" si="1"/>
        <v>630</v>
      </c>
      <c r="B633" s="47" t="s">
        <v>767</v>
      </c>
      <c r="C633" s="48">
        <f>IFERROR(DIVIDE(VLOOKUP($B633,Data!$B$3:$AB$1535,9,FALSE),VLOOKUP($B633,Data!$B$3:$AB$1535,4,FALSE)),"")</f>
        <v>-0.002672839506</v>
      </c>
      <c r="D633" s="48">
        <f>IFERROR(DIVIDE(VLOOKUP($B633,Data!$B$3:$AB$1535,24,FALSE),VLOOKUP($B633,Data!$B$3:$AB$1535,4,FALSE)),"")</f>
        <v>-0.2499074074</v>
      </c>
      <c r="E633" s="48">
        <f>IFERROR(DIVIDE(VLOOKUP($B633,Data!$B$3:$EZ1530,29,FALSE),VLOOKUP($B633,Data!$B$3:$EZ1530,4,FALSE)),"")</f>
        <v>-0.2542098765</v>
      </c>
      <c r="F633" s="48">
        <f>IFERROR(DIVIDE(VLOOKUP($B633,Data!$B$3:$EZ1530,34,FALSE),VLOOKUP($B633,Data!$B$3:$EZ1530,4,FALSE)),"")</f>
        <v>-0.06788271605</v>
      </c>
      <c r="G633" s="48">
        <f>IFERROR(DIVIDE(VLOOKUP($B633,Data!$B$3:$EZ1530,39,FALSE),VLOOKUP($B633,Data!$B$3:$EZ1530,4,FALSE)),"")</f>
        <v>-0.2254567901</v>
      </c>
      <c r="H633" s="48">
        <f>IFERROR(DIVIDE(VLOOKUP($B633,Data!$B$3:$EZ1530,44,FALSE),VLOOKUP($B633,Data!$B$3:$EZ1530,4,FALSE)),"")</f>
        <v>-0.04478395062</v>
      </c>
      <c r="I633" s="48">
        <f>IFERROR(MINUS(DIVIDE(VLOOKUP($B633,Data!$B$3:$EZ1530,9,FALSE),VLOOKUP($B633,Data!$B$3:$EZ1530,10,FALSE)),1),"")</f>
        <v>-1.012637908</v>
      </c>
      <c r="J633" s="48">
        <f>IFERROR(MINUS(DIVIDE(VLOOKUP($B633,Data!$B$3:$EZ1530,24,FALSE),VLOOKUP($B633,Data!$B$3:$EZ1530,25,FALSE)),1),"")</f>
        <v>5.355572998</v>
      </c>
      <c r="K633" s="48">
        <f>IFERROR(MINUS(DIVIDE(VLOOKUP($B633,Data!$B$3:$EZ1530,29,FALSE),VLOOKUP($B633,Data!$B$3:$EZ1530,30,FALSE)),1),"")</f>
        <v>-12.57773405</v>
      </c>
      <c r="L633" s="48">
        <f>IFERROR(MINUS(DIVIDE(VLOOKUP($B633,Data!$B$3:$EZ1530,34,FALSE),VLOOKUP($B633,Data!$B$3:$EZ1530,35,FALSE)),1),"")</f>
        <v>-1.614666592</v>
      </c>
      <c r="M633" s="48">
        <f>IFERROR(MINUS(DIVIDE(VLOOKUP($B633,Data!$B$3:$EZ1530,39,FALSE),VLOOKUP($B633,Data!$B$3:$EZ1530,40,FALSE)),1),"")</f>
        <v>-11.67953216</v>
      </c>
      <c r="N633" s="48">
        <f>IFERROR(MINUS(DIVIDE(VLOOKUP($B633,Data!$B$3:$EZ1530,44,FALSE),VLOOKUP($B633,Data!$B$3:$EZ1530,45,FALSE)),1),"")</f>
        <v>-1.934802216</v>
      </c>
      <c r="O633" s="50">
        <f>IFERROR(VLOOKUP($B633,Data!$B$3:$D1530,2,FALSE),"")</f>
        <v>1500000</v>
      </c>
      <c r="P633" s="50">
        <f>IFERROR(VLOOKUP($B633,Data!$B$3:$D1530,3,FALSE),"")</f>
        <v>1720000</v>
      </c>
      <c r="Q633" s="48">
        <f t="shared" si="2"/>
        <v>-0.1279069767</v>
      </c>
      <c r="R633" s="48"/>
      <c r="S633" s="48"/>
      <c r="T633" s="48"/>
      <c r="U633" s="48"/>
      <c r="V633" s="48"/>
      <c r="W633" s="50"/>
      <c r="Z633" s="11"/>
      <c r="AA633" s="11"/>
    </row>
    <row r="634">
      <c r="A634" s="9">
        <f t="shared" si="1"/>
        <v>631</v>
      </c>
      <c r="B634" s="47" t="s">
        <v>768</v>
      </c>
      <c r="C634" s="48">
        <f>IFERROR(DIVIDE(VLOOKUP($B634,Data!$B$3:$AB$1535,9,FALSE),VLOOKUP($B634,Data!$B$3:$AB$1535,4,FALSE)),"")</f>
        <v>0.1708468686</v>
      </c>
      <c r="D634" s="48">
        <f>IFERROR(DIVIDE(VLOOKUP($B634,Data!$B$3:$AB$1535,24,FALSE),VLOOKUP($B634,Data!$B$3:$AB$1535,4,FALSE)),"")</f>
        <v>-0.1477676211</v>
      </c>
      <c r="E634" s="48">
        <f>IFERROR(DIVIDE(VLOOKUP($B634,Data!$B$3:$EZ1530,29,FALSE),VLOOKUP($B634,Data!$B$3:$EZ1530,4,FALSE)),"")</f>
        <v>-0.1909042834</v>
      </c>
      <c r="F634" s="48">
        <f>IFERROR(DIVIDE(VLOOKUP($B634,Data!$B$3:$EZ1530,34,FALSE),VLOOKUP($B634,Data!$B$3:$EZ1530,4,FALSE)),"")</f>
        <v>0.2154189016</v>
      </c>
      <c r="G634" s="48">
        <f>IFERROR(DIVIDE(VLOOKUP($B634,Data!$B$3:$EZ1530,39,FALSE),VLOOKUP($B634,Data!$B$3:$EZ1530,4,FALSE)),"")</f>
        <v>-0.2547027272</v>
      </c>
      <c r="H634" s="48">
        <f>IFERROR(DIVIDE(VLOOKUP($B634,Data!$B$3:$EZ1530,44,FALSE),VLOOKUP($B634,Data!$B$3:$EZ1530,4,FALSE)),"")</f>
        <v>0.08627332477</v>
      </c>
      <c r="I634" s="48">
        <f>IFERROR(MINUS(DIVIDE(VLOOKUP($B634,Data!$B$3:$EZ1530,9,FALSE),VLOOKUP($B634,Data!$B$3:$EZ1530,10,FALSE)),1),"")</f>
        <v>0.705505279</v>
      </c>
      <c r="J634" s="48">
        <f>IFERROR(MINUS(DIVIDE(VLOOKUP($B634,Data!$B$3:$EZ1530,24,FALSE),VLOOKUP($B634,Data!$B$3:$EZ1530,25,FALSE)),1),"")</f>
        <v>-8.610894942</v>
      </c>
      <c r="K634" s="48">
        <f>IFERROR(MINUS(DIVIDE(VLOOKUP($B634,Data!$B$3:$EZ1530,29,FALSE),VLOOKUP($B634,Data!$B$3:$EZ1530,30,FALSE)),1),"")</f>
        <v>3.312286689</v>
      </c>
      <c r="L634" s="48">
        <f>IFERROR(MINUS(DIVIDE(VLOOKUP($B634,Data!$B$3:$EZ1530,34,FALSE),VLOOKUP($B634,Data!$B$3:$EZ1530,35,FALSE)),1),"")</f>
        <v>0.2729910714</v>
      </c>
      <c r="M634" s="48">
        <f>IFERROR(MINUS(DIVIDE(VLOOKUP($B634,Data!$B$3:$EZ1530,39,FALSE),VLOOKUP($B634,Data!$B$3:$EZ1530,40,FALSE)),1),"")</f>
        <v>2.721302428</v>
      </c>
      <c r="N634" s="48">
        <f>IFERROR(MINUS(DIVIDE(VLOOKUP($B634,Data!$B$3:$EZ1530,44,FALSE),VLOOKUP($B634,Data!$B$3:$EZ1530,45,FALSE)),1),"")</f>
        <v>-4.021164021</v>
      </c>
      <c r="O634" s="50">
        <f>IFERROR(VLOOKUP($B634,Data!$B$3:$D1530,2,FALSE),"")</f>
        <v>330780</v>
      </c>
      <c r="P634" s="50">
        <f>IFERROR(VLOOKUP($B634,Data!$B$3:$D1530,3,FALSE),"")</f>
        <v>303500</v>
      </c>
      <c r="Q634" s="48">
        <f t="shared" si="2"/>
        <v>0.08988467875</v>
      </c>
      <c r="R634" s="48"/>
      <c r="S634" s="48"/>
      <c r="T634" s="48"/>
      <c r="U634" s="48"/>
      <c r="V634" s="48"/>
      <c r="W634" s="50"/>
      <c r="Z634" s="11"/>
      <c r="AA634" s="11"/>
    </row>
    <row r="635">
      <c r="A635" s="9">
        <f t="shared" si="1"/>
        <v>632</v>
      </c>
      <c r="B635" s="47" t="s">
        <v>769</v>
      </c>
      <c r="C635" s="48" t="str">
        <f>IFERROR(DIVIDE(VLOOKUP($B635,Data!$B$3:$AB$1535,9,FALSE),VLOOKUP($B635,Data!$B$3:$AB$1535,4,FALSE)),"")</f>
        <v/>
      </c>
      <c r="D635" s="48" t="str">
        <f>IFERROR(DIVIDE(VLOOKUP($B635,Data!$B$3:$AB$1535,24,FALSE),VLOOKUP($B635,Data!$B$3:$AB$1535,4,FALSE)),"")</f>
        <v/>
      </c>
      <c r="E635" s="48" t="str">
        <f>IFERROR(DIVIDE(VLOOKUP($B635,Data!$B$3:$EZ1530,29,FALSE),VLOOKUP($B635,Data!$B$3:$EZ1530,4,FALSE)),"")</f>
        <v/>
      </c>
      <c r="F635" s="48" t="str">
        <f>IFERROR(DIVIDE(VLOOKUP($B635,Data!$B$3:$EZ1530,34,FALSE),VLOOKUP($B635,Data!$B$3:$EZ1530,4,FALSE)),"")</f>
        <v/>
      </c>
      <c r="G635" s="48" t="str">
        <f>IFERROR(DIVIDE(VLOOKUP($B635,Data!$B$3:$EZ1530,39,FALSE),VLOOKUP($B635,Data!$B$3:$EZ1530,4,FALSE)),"")</f>
        <v/>
      </c>
      <c r="H635" s="48" t="str">
        <f>IFERROR(DIVIDE(VLOOKUP($B635,Data!$B$3:$EZ1530,44,FALSE),VLOOKUP($B635,Data!$B$3:$EZ1530,4,FALSE)),"")</f>
        <v/>
      </c>
      <c r="I635" s="48" t="str">
        <f>IFERROR(MINUS(DIVIDE(VLOOKUP($B635,Data!$B$3:$EZ1530,9,FALSE),VLOOKUP($B635,Data!$B$3:$EZ1530,10,FALSE)),1),"")</f>
        <v/>
      </c>
      <c r="J635" s="48">
        <f>IFERROR(MINUS(DIVIDE(VLOOKUP($B635,Data!$B$3:$EZ1530,24,FALSE),VLOOKUP($B635,Data!$B$3:$EZ1530,25,FALSE)),1),"")</f>
        <v>-1</v>
      </c>
      <c r="K635" s="48">
        <f>IFERROR(MINUS(DIVIDE(VLOOKUP($B635,Data!$B$3:$EZ1530,29,FALSE),VLOOKUP($B635,Data!$B$3:$EZ1530,30,FALSE)),1),"")</f>
        <v>-0.05078125</v>
      </c>
      <c r="L635" s="48">
        <f>IFERROR(MINUS(DIVIDE(VLOOKUP($B635,Data!$B$3:$EZ1530,34,FALSE),VLOOKUP($B635,Data!$B$3:$EZ1530,35,FALSE)),1),"")</f>
        <v>-0.1758340848</v>
      </c>
      <c r="M635" s="48">
        <f>IFERROR(MINUS(DIVIDE(VLOOKUP($B635,Data!$B$3:$EZ1530,39,FALSE),VLOOKUP($B635,Data!$B$3:$EZ1530,40,FALSE)),1),"")</f>
        <v>-0.05078125</v>
      </c>
      <c r="N635" s="48">
        <f>IFERROR(MINUS(DIVIDE(VLOOKUP($B635,Data!$B$3:$EZ1530,44,FALSE),VLOOKUP($B635,Data!$B$3:$EZ1530,45,FALSE)),1),"")</f>
        <v>-0.06528189911</v>
      </c>
      <c r="O635" s="50" t="str">
        <f>IFERROR(VLOOKUP($B635,Data!$B$3:$D1530,2,FALSE),"")</f>
        <v/>
      </c>
      <c r="P635" s="50" t="str">
        <f>IFERROR(VLOOKUP($B635,Data!$B$3:$D1530,3,FALSE),"")</f>
        <v/>
      </c>
      <c r="Q635" s="48" t="str">
        <f t="shared" si="2"/>
        <v/>
      </c>
      <c r="R635" s="48"/>
      <c r="S635" s="48"/>
      <c r="T635" s="48"/>
      <c r="U635" s="48"/>
      <c r="V635" s="48"/>
      <c r="W635" s="50"/>
      <c r="Z635" s="12"/>
      <c r="AA635" s="12"/>
    </row>
    <row r="636">
      <c r="A636" s="9">
        <f t="shared" si="1"/>
        <v>633</v>
      </c>
      <c r="B636" s="54" t="s">
        <v>770</v>
      </c>
      <c r="C636" s="48">
        <f>IFERROR(DIVIDE(VLOOKUP($B636,Data!$B$3:$AB$1535,9,FALSE),VLOOKUP($B636,Data!$B$3:$AB$1535,4,FALSE)),"")</f>
        <v>0.2420338983</v>
      </c>
      <c r="D636" s="48">
        <f>IFERROR(DIVIDE(VLOOKUP($B636,Data!$B$3:$AB$1535,24,FALSE),VLOOKUP($B636,Data!$B$3:$AB$1535,4,FALSE)),"")</f>
        <v>0.03979661017</v>
      </c>
      <c r="E636" s="48">
        <f>IFERROR(DIVIDE(VLOOKUP($B636,Data!$B$3:$EZ1530,29,FALSE),VLOOKUP($B636,Data!$B$3:$EZ1530,4,FALSE)),"")</f>
        <v>0.012</v>
      </c>
      <c r="F636" s="48">
        <f>IFERROR(DIVIDE(VLOOKUP($B636,Data!$B$3:$EZ1530,34,FALSE),VLOOKUP($B636,Data!$B$3:$EZ1530,4,FALSE)),"")</f>
        <v>0.1098305085</v>
      </c>
      <c r="G636" s="48">
        <f>IFERROR(DIVIDE(VLOOKUP($B636,Data!$B$3:$EZ1530,39,FALSE),VLOOKUP($B636,Data!$B$3:$EZ1530,4,FALSE)),"")</f>
        <v>-0.02108474576</v>
      </c>
      <c r="H636" s="48">
        <f>IFERROR(DIVIDE(VLOOKUP($B636,Data!$B$3:$EZ1530,44,FALSE),VLOOKUP($B636,Data!$B$3:$EZ1530,4,FALSE)),"")</f>
        <v>0.08203389831</v>
      </c>
      <c r="I636" s="48">
        <f>IFERROR(MINUS(DIVIDE(VLOOKUP($B636,Data!$B$3:$EZ1530,9,FALSE),VLOOKUP($B636,Data!$B$3:$EZ1530,10,FALSE)),1),"")</f>
        <v>-0.09620253165</v>
      </c>
      <c r="J636" s="48">
        <f>IFERROR(MINUS(DIVIDE(VLOOKUP($B636,Data!$B$3:$EZ1530,24,FALSE),VLOOKUP($B636,Data!$B$3:$EZ1530,25,FALSE)),1),"")</f>
        <v>-0.6086666667</v>
      </c>
      <c r="K636" s="48">
        <f>IFERROR(MINUS(DIVIDE(VLOOKUP($B636,Data!$B$3:$EZ1530,29,FALSE),VLOOKUP($B636,Data!$B$3:$EZ1530,30,FALSE)),1),"")</f>
        <v>-0.8247524752</v>
      </c>
      <c r="L636" s="48">
        <f>IFERROR(MINUS(DIVIDE(VLOOKUP($B636,Data!$B$3:$EZ1530,34,FALSE),VLOOKUP($B636,Data!$B$3:$EZ1530,35,FALSE)),1),"")</f>
        <v>-0.1859296482</v>
      </c>
      <c r="M636" s="48">
        <f>IFERROR(MINUS(DIVIDE(VLOOKUP($B636,Data!$B$3:$EZ1530,39,FALSE),VLOOKUP($B636,Data!$B$3:$EZ1530,40,FALSE)),1),"")</f>
        <v>-1.448773449</v>
      </c>
      <c r="N636" s="48">
        <f>IFERROR(MINUS(DIVIDE(VLOOKUP($B636,Data!$B$3:$EZ1530,44,FALSE),VLOOKUP($B636,Data!$B$3:$EZ1530,45,FALSE)),1),"")</f>
        <v>0.3209606987</v>
      </c>
      <c r="O636" s="50">
        <f>IFERROR(VLOOKUP($B636,Data!$B$3:$D1530,2,FALSE),"")</f>
        <v>13580000</v>
      </c>
      <c r="P636" s="50">
        <f>IFERROR(VLOOKUP($B636,Data!$B$3:$D1530,3,FALSE),"")</f>
        <v>12710000</v>
      </c>
      <c r="Q636" s="48">
        <f t="shared" si="2"/>
        <v>0.06845003934</v>
      </c>
      <c r="R636" s="48"/>
      <c r="S636" s="48"/>
      <c r="T636" s="48"/>
      <c r="U636" s="48"/>
      <c r="V636" s="48"/>
      <c r="W636" s="50"/>
      <c r="Z636" s="15"/>
      <c r="AA636" s="15"/>
    </row>
    <row r="637">
      <c r="A637" s="9">
        <f t="shared" si="1"/>
        <v>634</v>
      </c>
      <c r="B637" s="54" t="s">
        <v>771</v>
      </c>
      <c r="C637" s="48">
        <f>IFERROR(DIVIDE(VLOOKUP($B637,Data!$B$3:$AB$1535,9,FALSE),VLOOKUP($B637,Data!$B$3:$AB$1535,4,FALSE)),"")</f>
        <v>0.4481948302</v>
      </c>
      <c r="D637" s="48">
        <f>IFERROR(DIVIDE(VLOOKUP($B637,Data!$B$3:$AB$1535,24,FALSE),VLOOKUP($B637,Data!$B$3:$AB$1535,4,FALSE)),"")</f>
        <v>-2.020508438</v>
      </c>
      <c r="E637" s="48">
        <f>IFERROR(DIVIDE(VLOOKUP($B637,Data!$B$3:$EZ1530,29,FALSE),VLOOKUP($B637,Data!$B$3:$EZ1530,4,FALSE)),"")</f>
        <v>-2.090151677</v>
      </c>
      <c r="F637" s="48">
        <f>IFERROR(DIVIDE(VLOOKUP($B637,Data!$B$3:$EZ1530,34,FALSE),VLOOKUP($B637,Data!$B$3:$EZ1530,4,FALSE)),"")</f>
        <v>-0.7622302927</v>
      </c>
      <c r="G637" s="48">
        <f>IFERROR(DIVIDE(VLOOKUP($B637,Data!$B$3:$EZ1530,39,FALSE),VLOOKUP($B637,Data!$B$3:$EZ1530,4,FALSE)),"")</f>
        <v>-2.090151677</v>
      </c>
      <c r="H637" s="48">
        <f>IFERROR(DIVIDE(VLOOKUP($B637,Data!$B$3:$EZ1530,44,FALSE),VLOOKUP($B637,Data!$B$3:$EZ1530,4,FALSE)),"")</f>
        <v>-0.6233710746</v>
      </c>
      <c r="I637" s="48">
        <f>IFERROR(MINUS(DIVIDE(VLOOKUP($B637,Data!$B$3:$EZ1530,9,FALSE),VLOOKUP($B637,Data!$B$3:$EZ1530,10,FALSE)),1),"")</f>
        <v>0.4975017844</v>
      </c>
      <c r="J637" s="48">
        <f>IFERROR(MINUS(DIVIDE(VLOOKUP($B637,Data!$B$3:$EZ1530,24,FALSE),VLOOKUP($B637,Data!$B$3:$EZ1530,25,FALSE)),1),"")</f>
        <v>0.2938440492</v>
      </c>
      <c r="K637" s="48">
        <f>IFERROR(MINUS(DIVIDE(VLOOKUP($B637,Data!$B$3:$EZ1530,29,FALSE),VLOOKUP($B637,Data!$B$3:$EZ1530,30,FALSE)),1),"")</f>
        <v>0.3923438167</v>
      </c>
      <c r="L637" s="48">
        <f>IFERROR(MINUS(DIVIDE(VLOOKUP($B637,Data!$B$3:$EZ1530,34,FALSE),VLOOKUP($B637,Data!$B$3:$EZ1530,35,FALSE)),1),"")</f>
        <v>0.06253722454</v>
      </c>
      <c r="M637" s="48">
        <f>IFERROR(MINUS(DIVIDE(VLOOKUP($B637,Data!$B$3:$EZ1530,39,FALSE),VLOOKUP($B637,Data!$B$3:$EZ1530,40,FALSE)),1),"")</f>
        <v>0.3923438167</v>
      </c>
      <c r="N637" s="48">
        <f>IFERROR(MINUS(DIVIDE(VLOOKUP($B637,Data!$B$3:$EZ1530,44,FALSE),VLOOKUP($B637,Data!$B$3:$EZ1530,45,FALSE)),1),"")</f>
        <v>-0.005114217525</v>
      </c>
      <c r="O637" s="50">
        <f>IFERROR(VLOOKUP($B637,Data!$B$3:$D1530,2,FALSE),"")</f>
        <v>94010</v>
      </c>
      <c r="P637" s="50">
        <f>IFERROR(VLOOKUP($B637,Data!$B$3:$D1530,3,FALSE),"")</f>
        <v>61650</v>
      </c>
      <c r="Q637" s="48">
        <f t="shared" si="2"/>
        <v>0.5248986212</v>
      </c>
      <c r="R637" s="48"/>
      <c r="S637" s="48"/>
      <c r="T637" s="48"/>
      <c r="U637" s="48"/>
      <c r="V637" s="48"/>
      <c r="W637" s="50"/>
      <c r="Z637" s="12"/>
      <c r="AA637" s="12"/>
    </row>
    <row r="638">
      <c r="A638" s="9">
        <f t="shared" si="1"/>
        <v>635</v>
      </c>
      <c r="B638" s="47" t="s">
        <v>772</v>
      </c>
      <c r="C638" s="48" t="str">
        <f>IFERROR(DIVIDE(VLOOKUP($B638,Data!$B$3:$AB$1535,9,FALSE),VLOOKUP($B638,Data!$B$3:$AB$1535,4,FALSE)),"")</f>
        <v/>
      </c>
      <c r="D638" s="48" t="str">
        <f>IFERROR(DIVIDE(VLOOKUP($B638,Data!$B$3:$AB$1535,24,FALSE),VLOOKUP($B638,Data!$B$3:$AB$1535,4,FALSE)),"")</f>
        <v/>
      </c>
      <c r="E638" s="48" t="str">
        <f>IFERROR(DIVIDE(VLOOKUP($B638,Data!$B$3:$EZ1530,29,FALSE),VLOOKUP($B638,Data!$B$3:$EZ1530,4,FALSE)),"")</f>
        <v/>
      </c>
      <c r="F638" s="48" t="str">
        <f>IFERROR(DIVIDE(VLOOKUP($B638,Data!$B$3:$EZ1530,34,FALSE),VLOOKUP($B638,Data!$B$3:$EZ1530,4,FALSE)),"")</f>
        <v/>
      </c>
      <c r="G638" s="48" t="str">
        <f>IFERROR(DIVIDE(VLOOKUP($B638,Data!$B$3:$EZ1530,39,FALSE),VLOOKUP($B638,Data!$B$3:$EZ1530,4,FALSE)),"")</f>
        <v/>
      </c>
      <c r="H638" s="48" t="str">
        <f>IFERROR(DIVIDE(VLOOKUP($B638,Data!$B$3:$EZ1530,44,FALSE),VLOOKUP($B638,Data!$B$3:$EZ1530,4,FALSE)),"")</f>
        <v/>
      </c>
      <c r="I638" s="48">
        <f>IFERROR(MINUS(DIVIDE(VLOOKUP($B638,Data!$B$3:$EZ1530,9,FALSE),VLOOKUP($B638,Data!$B$3:$EZ1530,10,FALSE)),1),"")</f>
        <v>1.034285714</v>
      </c>
      <c r="J638" s="48" t="str">
        <f>IFERROR(MINUS(DIVIDE(VLOOKUP($B638,Data!$B$3:$EZ1530,24,FALSE),VLOOKUP($B638,Data!$B$3:$EZ1530,25,FALSE)),1),"")</f>
        <v/>
      </c>
      <c r="K638" s="48">
        <f>IFERROR(MINUS(DIVIDE(VLOOKUP($B638,Data!$B$3:$EZ1530,29,FALSE),VLOOKUP($B638,Data!$B$3:$EZ1530,30,FALSE)),1),"")</f>
        <v>0.4356899988</v>
      </c>
      <c r="L638" s="48">
        <f>IFERROR(MINUS(DIVIDE(VLOOKUP($B638,Data!$B$3:$EZ1530,34,FALSE),VLOOKUP($B638,Data!$B$3:$EZ1530,35,FALSE)),1),"")</f>
        <v>0.4441701268</v>
      </c>
      <c r="M638" s="48">
        <f>IFERROR(MINUS(DIVIDE(VLOOKUP($B638,Data!$B$3:$EZ1530,39,FALSE),VLOOKUP($B638,Data!$B$3:$EZ1530,40,FALSE)),1),"")</f>
        <v>0.4356899988</v>
      </c>
      <c r="N638" s="48">
        <f>IFERROR(MINUS(DIVIDE(VLOOKUP($B638,Data!$B$3:$EZ1530,44,FALSE),VLOOKUP($B638,Data!$B$3:$EZ1530,45,FALSE)),1),"")</f>
        <v>0.3399273314</v>
      </c>
      <c r="O638" s="50">
        <f>IFERROR(VLOOKUP($B638,Data!$B$3:$D1530,2,FALSE),"")</f>
        <v>18510</v>
      </c>
      <c r="P638" s="50">
        <f>IFERROR(VLOOKUP($B638,Data!$B$3:$D1530,3,FALSE),"")</f>
        <v>27090</v>
      </c>
      <c r="Q638" s="48">
        <f t="shared" si="2"/>
        <v>-0.3167220377</v>
      </c>
      <c r="R638" s="48"/>
      <c r="S638" s="48"/>
      <c r="T638" s="48"/>
      <c r="U638" s="48"/>
      <c r="V638" s="48"/>
      <c r="W638" s="50"/>
      <c r="Z638" s="15"/>
      <c r="AA638" s="15"/>
    </row>
    <row r="639">
      <c r="A639" s="9">
        <f t="shared" si="1"/>
        <v>636</v>
      </c>
      <c r="B639" s="47" t="s">
        <v>773</v>
      </c>
      <c r="C639" s="48">
        <f>IFERROR(DIVIDE(VLOOKUP($B639,Data!$B$3:$AB$1535,9,FALSE),VLOOKUP($B639,Data!$B$3:$AB$1535,4,FALSE)),"")</f>
        <v>0.4075471698</v>
      </c>
      <c r="D639" s="48">
        <f>IFERROR(DIVIDE(VLOOKUP($B639,Data!$B$3:$AB$1535,24,FALSE),VLOOKUP($B639,Data!$B$3:$AB$1535,4,FALSE)),"")</f>
        <v>-2.237735849</v>
      </c>
      <c r="E639" s="48">
        <f>IFERROR(DIVIDE(VLOOKUP($B639,Data!$B$3:$EZ1530,29,FALSE),VLOOKUP($B639,Data!$B$3:$EZ1530,4,FALSE)),"")</f>
        <v>-2.168867925</v>
      </c>
      <c r="F639" s="48">
        <f>IFERROR(DIVIDE(VLOOKUP($B639,Data!$B$3:$EZ1530,34,FALSE),VLOOKUP($B639,Data!$B$3:$EZ1530,4,FALSE)),"")</f>
        <v>-0.4981132075</v>
      </c>
      <c r="G639" s="48">
        <f>IFERROR(DIVIDE(VLOOKUP($B639,Data!$B$3:$EZ1530,39,FALSE),VLOOKUP($B639,Data!$B$3:$EZ1530,4,FALSE)),"")</f>
        <v>-2.433962264</v>
      </c>
      <c r="H639" s="48">
        <f>IFERROR(DIVIDE(VLOOKUP($B639,Data!$B$3:$EZ1530,44,FALSE),VLOOKUP($B639,Data!$B$3:$EZ1530,4,FALSE)),"")</f>
        <v>-1.454716981</v>
      </c>
      <c r="I639" s="48">
        <f>IFERROR(MINUS(DIVIDE(VLOOKUP($B639,Data!$B$3:$EZ1530,9,FALSE),VLOOKUP($B639,Data!$B$3:$EZ1530,10,FALSE)),1),"")</f>
        <v>12.58490566</v>
      </c>
      <c r="J639" s="48">
        <f>IFERROR(MINUS(DIVIDE(VLOOKUP($B639,Data!$B$3:$EZ1530,24,FALSE),VLOOKUP($B639,Data!$B$3:$EZ1530,25,FALSE)),1),"")</f>
        <v>-0.7191569974</v>
      </c>
      <c r="K639" s="48">
        <f>IFERROR(MINUS(DIVIDE(VLOOKUP($B639,Data!$B$3:$EZ1530,29,FALSE),VLOOKUP($B639,Data!$B$3:$EZ1530,30,FALSE)),1),"")</f>
        <v>-0.7231788079</v>
      </c>
      <c r="L639" s="48">
        <f>IFERROR(MINUS(DIVIDE(VLOOKUP($B639,Data!$B$3:$EZ1530,34,FALSE),VLOOKUP($B639,Data!$B$3:$EZ1530,35,FALSE)),1),"")</f>
        <v>-0.4787759131</v>
      </c>
      <c r="M639" s="48">
        <f>IFERROR(MINUS(DIVIDE(VLOOKUP($B639,Data!$B$3:$EZ1530,39,FALSE),VLOOKUP($B639,Data!$B$3:$EZ1530,40,FALSE)),1),"")</f>
        <v>-0.6312178388</v>
      </c>
      <c r="N639" s="48">
        <f>IFERROR(MINUS(DIVIDE(VLOOKUP($B639,Data!$B$3:$EZ1530,44,FALSE),VLOOKUP($B639,Data!$B$3:$EZ1530,45,FALSE)),1),"")</f>
        <v>-1.889273356</v>
      </c>
      <c r="O639" s="50" t="str">
        <f>IFERROR(VLOOKUP($B639,Data!$B$3:$D1530,2,FALSE),"")</f>
        <v/>
      </c>
      <c r="P639" s="50" t="str">
        <f>IFERROR(VLOOKUP($B639,Data!$B$3:$D1530,3,FALSE),"")</f>
        <v/>
      </c>
      <c r="Q639" s="48" t="str">
        <f t="shared" si="2"/>
        <v/>
      </c>
      <c r="R639" s="48"/>
      <c r="S639" s="48"/>
      <c r="T639" s="48"/>
      <c r="U639" s="48"/>
      <c r="V639" s="48"/>
      <c r="W639" s="50"/>
      <c r="Z639" s="11"/>
      <c r="AA639" s="11"/>
    </row>
    <row r="640">
      <c r="A640" s="9">
        <f t="shared" si="1"/>
        <v>637</v>
      </c>
      <c r="B640" s="47" t="s">
        <v>774</v>
      </c>
      <c r="C640" s="48">
        <f>IFERROR(DIVIDE(VLOOKUP($B640,Data!$B$3:$AB$1535,9,FALSE),VLOOKUP($B640,Data!$B$3:$AB$1535,4,FALSE)),"")</f>
        <v>0.1141433712</v>
      </c>
      <c r="D640" s="48">
        <f>IFERROR(DIVIDE(VLOOKUP($B640,Data!$B$3:$AB$1535,24,FALSE),VLOOKUP($B640,Data!$B$3:$AB$1535,4,FALSE)),"")</f>
        <v>0</v>
      </c>
      <c r="E640" s="48">
        <f>IFERROR(DIVIDE(VLOOKUP($B640,Data!$B$3:$EZ1530,29,FALSE),VLOOKUP($B640,Data!$B$3:$EZ1530,4,FALSE)),"")</f>
        <v>0.05530030446</v>
      </c>
      <c r="F640" s="48">
        <f>IFERROR(DIVIDE(VLOOKUP($B640,Data!$B$3:$EZ1530,34,FALSE),VLOOKUP($B640,Data!$B$3:$EZ1530,4,FALSE)),"")</f>
        <v>0.1218378079</v>
      </c>
      <c r="G640" s="48">
        <f>IFERROR(DIVIDE(VLOOKUP($B640,Data!$B$3:$EZ1530,39,FALSE),VLOOKUP($B640,Data!$B$3:$EZ1530,4,FALSE)),"")</f>
        <v>0.03725435926</v>
      </c>
      <c r="H640" s="48">
        <f>IFERROR(DIVIDE(VLOOKUP($B640,Data!$B$3:$EZ1530,44,FALSE),VLOOKUP($B640,Data!$B$3:$EZ1530,4,FALSE)),"")</f>
        <v>0.1569886521</v>
      </c>
      <c r="I640" s="48">
        <f>IFERROR(MINUS(DIVIDE(VLOOKUP($B640,Data!$B$3:$EZ1530,9,FALSE),VLOOKUP($B640,Data!$B$3:$EZ1530,10,FALSE)),1),"")</f>
        <v>0.4008152174</v>
      </c>
      <c r="J640" s="48" t="str">
        <f>IFERROR(MINUS(DIVIDE(VLOOKUP($B640,Data!$B$3:$EZ1530,24,FALSE),VLOOKUP($B640,Data!$B$3:$EZ1530,25,FALSE)),1),"")</f>
        <v/>
      </c>
      <c r="K640" s="48">
        <f>IFERROR(MINUS(DIVIDE(VLOOKUP($B640,Data!$B$3:$EZ1530,29,FALSE),VLOOKUP($B640,Data!$B$3:$EZ1530,30,FALSE)),1),"")</f>
        <v>0.4648093842</v>
      </c>
      <c r="L640" s="48">
        <f>IFERROR(MINUS(DIVIDE(VLOOKUP($B640,Data!$B$3:$EZ1530,34,FALSE),VLOOKUP($B640,Data!$B$3:$EZ1530,35,FALSE)),1),"")</f>
        <v>0.3912768647</v>
      </c>
      <c r="M640" s="48">
        <f>IFERROR(MINUS(DIVIDE(VLOOKUP($B640,Data!$B$3:$EZ1530,39,FALSE),VLOOKUP($B640,Data!$B$3:$EZ1530,40,FALSE)),1),"")</f>
        <v>0.337972167</v>
      </c>
      <c r="N640" s="48">
        <f>IFERROR(MINUS(DIVIDE(VLOOKUP($B640,Data!$B$3:$EZ1530,44,FALSE),VLOOKUP($B640,Data!$B$3:$EZ1530,45,FALSE)),1),"")</f>
        <v>3.158357771</v>
      </c>
      <c r="O640" s="50" t="str">
        <f>IFERROR(VLOOKUP($B640,Data!$B$3:$D1530,2,FALSE),"")</f>
        <v/>
      </c>
      <c r="P640" s="50" t="str">
        <f>IFERROR(VLOOKUP($B640,Data!$B$3:$D1530,3,FALSE),"")</f>
        <v/>
      </c>
      <c r="Q640" s="48" t="str">
        <f t="shared" si="2"/>
        <v/>
      </c>
      <c r="R640" s="48"/>
      <c r="S640" s="48"/>
      <c r="T640" s="48"/>
      <c r="U640" s="48"/>
      <c r="V640" s="48"/>
      <c r="W640" s="50"/>
      <c r="Z640" s="11"/>
      <c r="AA640" s="11"/>
    </row>
    <row r="641">
      <c r="A641" s="9">
        <f t="shared" si="1"/>
        <v>638</v>
      </c>
      <c r="B641" s="47" t="s">
        <v>775</v>
      </c>
      <c r="C641" s="48">
        <f>IFERROR(DIVIDE(VLOOKUP($B641,Data!$B$3:$AB$1535,9,FALSE),VLOOKUP($B641,Data!$B$3:$AB$1535,4,FALSE)),"")</f>
        <v>0.1172259036</v>
      </c>
      <c r="D641" s="48">
        <f>IFERROR(DIVIDE(VLOOKUP($B641,Data!$B$3:$AB$1535,24,FALSE),VLOOKUP($B641,Data!$B$3:$AB$1535,4,FALSE)),"")</f>
        <v>0.01697891566</v>
      </c>
      <c r="E641" s="48">
        <f>IFERROR(DIVIDE(VLOOKUP($B641,Data!$B$3:$EZ1530,29,FALSE),VLOOKUP($B641,Data!$B$3:$EZ1530,4,FALSE)),"")</f>
        <v>0.0193253012</v>
      </c>
      <c r="F641" s="48">
        <f>IFERROR(DIVIDE(VLOOKUP($B641,Data!$B$3:$EZ1530,34,FALSE),VLOOKUP($B641,Data!$B$3:$EZ1530,4,FALSE)),"")</f>
        <v>0.0686626506</v>
      </c>
      <c r="G641" s="48">
        <f>IFERROR(DIVIDE(VLOOKUP($B641,Data!$B$3:$EZ1530,39,FALSE),VLOOKUP($B641,Data!$B$3:$EZ1530,4,FALSE)),"")</f>
        <v>0.01277409639</v>
      </c>
      <c r="H641" s="48">
        <f>IFERROR(DIVIDE(VLOOKUP($B641,Data!$B$3:$EZ1530,44,FALSE),VLOOKUP($B641,Data!$B$3:$EZ1530,4,FALSE)),"")</f>
        <v>0.02602108434</v>
      </c>
      <c r="I641" s="48">
        <f>IFERROR(MINUS(DIVIDE(VLOOKUP($B641,Data!$B$3:$EZ1530,9,FALSE),VLOOKUP($B641,Data!$B$3:$EZ1530,10,FALSE)),1),"")</f>
        <v>0.2357984314</v>
      </c>
      <c r="J641" s="48" t="str">
        <f>IFERROR(MINUS(DIVIDE(VLOOKUP($B641,Data!$B$3:$EZ1530,24,FALSE),VLOOKUP($B641,Data!$B$3:$EZ1530,25,FALSE)),1),"")</f>
        <v/>
      </c>
      <c r="K641" s="48">
        <f>IFERROR(MINUS(DIVIDE(VLOOKUP($B641,Data!$B$3:$EZ1530,29,FALSE),VLOOKUP($B641,Data!$B$3:$EZ1530,30,FALSE)),1),"")</f>
        <v>-0.3857936052</v>
      </c>
      <c r="L641" s="48">
        <f>IFERROR(MINUS(DIVIDE(VLOOKUP($B641,Data!$B$3:$EZ1530,34,FALSE),VLOOKUP($B641,Data!$B$3:$EZ1530,35,FALSE)),1),"")</f>
        <v>0.4169567379</v>
      </c>
      <c r="M641" s="48">
        <f>IFERROR(MINUS(DIVIDE(VLOOKUP($B641,Data!$B$3:$EZ1530,39,FALSE),VLOOKUP($B641,Data!$B$3:$EZ1530,40,FALSE)),1),"")</f>
        <v>-0.386251809</v>
      </c>
      <c r="N641" s="48">
        <f>IFERROR(MINUS(DIVIDE(VLOOKUP($B641,Data!$B$3:$EZ1530,44,FALSE),VLOOKUP($B641,Data!$B$3:$EZ1530,45,FALSE)),1),"")</f>
        <v>-0.4090971272</v>
      </c>
      <c r="O641" s="50">
        <f>IFERROR(VLOOKUP($B641,Data!$B$3:$D1530,2,FALSE),"")</f>
        <v>3540000</v>
      </c>
      <c r="P641" s="50">
        <f>IFERROR(VLOOKUP($B641,Data!$B$3:$D1530,3,FALSE),"")</f>
        <v>3410000</v>
      </c>
      <c r="Q641" s="48">
        <f t="shared" si="2"/>
        <v>0.03812316716</v>
      </c>
      <c r="R641" s="48"/>
      <c r="S641" s="48"/>
      <c r="T641" s="48"/>
      <c r="U641" s="48"/>
      <c r="V641" s="48"/>
      <c r="W641" s="50"/>
      <c r="Z641" s="15"/>
      <c r="AA641" s="15"/>
    </row>
    <row r="642">
      <c r="A642" s="9">
        <f t="shared" si="1"/>
        <v>639</v>
      </c>
      <c r="B642" s="47" t="s">
        <v>776</v>
      </c>
      <c r="C642" s="48">
        <f>IFERROR(DIVIDE(VLOOKUP($B642,Data!$B$3:$AB$1535,9,FALSE),VLOOKUP($B642,Data!$B$3:$AB$1535,4,FALSE)),"")</f>
        <v>0.9126415456</v>
      </c>
      <c r="D642" s="48">
        <f>IFERROR(DIVIDE(VLOOKUP($B642,Data!$B$3:$AB$1535,24,FALSE),VLOOKUP($B642,Data!$B$3:$AB$1535,4,FALSE)),"")</f>
        <v>0</v>
      </c>
      <c r="E642" s="48">
        <f>IFERROR(DIVIDE(VLOOKUP($B642,Data!$B$3:$EZ1530,29,FALSE),VLOOKUP($B642,Data!$B$3:$EZ1530,4,FALSE)),"")</f>
        <v>-0.04238372465</v>
      </c>
      <c r="F642" s="48">
        <f>IFERROR(DIVIDE(VLOOKUP($B642,Data!$B$3:$EZ1530,34,FALSE),VLOOKUP($B642,Data!$B$3:$EZ1530,4,FALSE)),"")</f>
        <v>-0.3635404005</v>
      </c>
      <c r="G642" s="48">
        <f>IFERROR(DIVIDE(VLOOKUP($B642,Data!$B$3:$EZ1530,39,FALSE),VLOOKUP($B642,Data!$B$3:$EZ1530,4,FALSE)),"")</f>
        <v>-0.02898087135</v>
      </c>
      <c r="H642" s="48">
        <f>IFERROR(DIVIDE(VLOOKUP($B642,Data!$B$3:$EZ1530,44,FALSE),VLOOKUP($B642,Data!$B$3:$EZ1530,4,FALSE)),"")</f>
        <v>-0.3965837119</v>
      </c>
      <c r="I642" s="48">
        <f>IFERROR(MINUS(DIVIDE(VLOOKUP($B642,Data!$B$3:$EZ1530,9,FALSE),VLOOKUP($B642,Data!$B$3:$EZ1530,10,FALSE)),1),"")</f>
        <v>62.68526786</v>
      </c>
      <c r="J642" s="48" t="str">
        <f>IFERROR(MINUS(DIVIDE(VLOOKUP($B642,Data!$B$3:$EZ1530,24,FALSE),VLOOKUP($B642,Data!$B$3:$EZ1530,25,FALSE)),1),"")</f>
        <v/>
      </c>
      <c r="K642" s="48">
        <f>IFERROR(MINUS(DIVIDE(VLOOKUP($B642,Data!$B$3:$EZ1530,29,FALSE),VLOOKUP($B642,Data!$B$3:$EZ1530,30,FALSE)),1),"")</f>
        <v>-0.9506738143</v>
      </c>
      <c r="L642" s="48">
        <f>IFERROR(MINUS(DIVIDE(VLOOKUP($B642,Data!$B$3:$EZ1530,34,FALSE),VLOOKUP($B642,Data!$B$3:$EZ1530,35,FALSE)),1),"")</f>
        <v>-0.5707595271</v>
      </c>
      <c r="M642" s="48">
        <f>IFERROR(MINUS(DIVIDE(VLOOKUP($B642,Data!$B$3:$EZ1530,39,FALSE),VLOOKUP($B642,Data!$B$3:$EZ1530,40,FALSE)),1),"")</f>
        <v>-0.9667754593</v>
      </c>
      <c r="N642" s="48">
        <f>IFERROR(MINUS(DIVIDE(VLOOKUP($B642,Data!$B$3:$EZ1530,44,FALSE),VLOOKUP($B642,Data!$B$3:$EZ1530,45,FALSE)),1),"")</f>
        <v>-0.5829240396</v>
      </c>
      <c r="O642" s="50">
        <f>IFERROR(VLOOKUP($B642,Data!$B$3:$D1530,2,FALSE),"")</f>
        <v>791100</v>
      </c>
      <c r="P642" s="50">
        <f>IFERROR(VLOOKUP($B642,Data!$B$3:$D1530,3,FALSE),"")</f>
        <v>510380</v>
      </c>
      <c r="Q642" s="48">
        <f t="shared" si="2"/>
        <v>0.5500215526</v>
      </c>
      <c r="R642" s="48"/>
      <c r="S642" s="48"/>
      <c r="T642" s="48"/>
      <c r="U642" s="48"/>
      <c r="V642" s="48"/>
      <c r="W642" s="50"/>
      <c r="Z642" s="11"/>
      <c r="AA642" s="11"/>
    </row>
    <row r="643">
      <c r="A643" s="9">
        <f t="shared" si="1"/>
        <v>640</v>
      </c>
      <c r="B643" s="47" t="s">
        <v>777</v>
      </c>
      <c r="C643" s="48">
        <f>IFERROR(DIVIDE(VLOOKUP($B643,Data!$B$3:$AB$1535,9,FALSE),VLOOKUP($B643,Data!$B$3:$AB$1535,4,FALSE)),"")</f>
        <v>0.5131096701</v>
      </c>
      <c r="D643" s="48">
        <f>IFERROR(DIVIDE(VLOOKUP($B643,Data!$B$3:$AB$1535,24,FALSE),VLOOKUP($B643,Data!$B$3:$AB$1535,4,FALSE)),"")</f>
        <v>0</v>
      </c>
      <c r="E643" s="48">
        <f>IFERROR(DIVIDE(VLOOKUP($B643,Data!$B$3:$EZ1530,29,FALSE),VLOOKUP($B643,Data!$B$3:$EZ1530,4,FALSE)),"")</f>
        <v>0.09557372427</v>
      </c>
      <c r="F643" s="48">
        <f>IFERROR(DIVIDE(VLOOKUP($B643,Data!$B$3:$EZ1530,34,FALSE),VLOOKUP($B643,Data!$B$3:$EZ1530,4,FALSE)),"")</f>
        <v>0.4316323654</v>
      </c>
      <c r="G643" s="48">
        <f>IFERROR(DIVIDE(VLOOKUP($B643,Data!$B$3:$EZ1530,39,FALSE),VLOOKUP($B643,Data!$B$3:$EZ1530,4,FALSE)),"")</f>
        <v>0.06258810262</v>
      </c>
      <c r="H643" s="48">
        <f>IFERROR(DIVIDE(VLOOKUP($B643,Data!$B$3:$EZ1530,44,FALSE),VLOOKUP($B643,Data!$B$3:$EZ1530,4,FALSE)),"")</f>
        <v>0.3261911474</v>
      </c>
      <c r="I643" s="48">
        <f>IFERROR(MINUS(DIVIDE(VLOOKUP($B643,Data!$B$3:$EZ1530,9,FALSE),VLOOKUP($B643,Data!$B$3:$EZ1530,10,FALSE)),1),"")</f>
        <v>-0.08173562059</v>
      </c>
      <c r="J643" s="48" t="str">
        <f>IFERROR(MINUS(DIVIDE(VLOOKUP($B643,Data!$B$3:$EZ1530,24,FALSE),VLOOKUP($B643,Data!$B$3:$EZ1530,25,FALSE)),1),"")</f>
        <v/>
      </c>
      <c r="K643" s="48">
        <f>IFERROR(MINUS(DIVIDE(VLOOKUP($B643,Data!$B$3:$EZ1530,29,FALSE),VLOOKUP($B643,Data!$B$3:$EZ1530,30,FALSE)),1),"")</f>
        <v>-0.3067484663</v>
      </c>
      <c r="L643" s="48">
        <f>IFERROR(MINUS(DIVIDE(VLOOKUP($B643,Data!$B$3:$EZ1530,34,FALSE),VLOOKUP($B643,Data!$B$3:$EZ1530,35,FALSE)),1),"")</f>
        <v>-0.08542413381</v>
      </c>
      <c r="M643" s="48">
        <f>IFERROR(MINUS(DIVIDE(VLOOKUP($B643,Data!$B$3:$EZ1530,39,FALSE),VLOOKUP($B643,Data!$B$3:$EZ1530,40,FALSE)),1),"")</f>
        <v>-0.2838709677</v>
      </c>
      <c r="N643" s="48">
        <f>IFERROR(MINUS(DIVIDE(VLOOKUP($B643,Data!$B$3:$EZ1530,44,FALSE),VLOOKUP($B643,Data!$B$3:$EZ1530,45,FALSE)),1),"")</f>
        <v>0.02298850575</v>
      </c>
      <c r="O643" s="50">
        <f>IFERROR(VLOOKUP($B643,Data!$B$3:$D1530,2,FALSE),"")</f>
        <v>2440000</v>
      </c>
      <c r="P643" s="50">
        <f>IFERROR(VLOOKUP($B643,Data!$B$3:$D1530,3,FALSE),"")</f>
        <v>2330000</v>
      </c>
      <c r="Q643" s="48">
        <f t="shared" si="2"/>
        <v>0.04721030043</v>
      </c>
      <c r="R643" s="48"/>
      <c r="S643" s="48"/>
      <c r="T643" s="48"/>
      <c r="U643" s="48"/>
      <c r="V643" s="48"/>
      <c r="W643" s="50"/>
      <c r="Z643" s="11"/>
      <c r="AA643" s="11"/>
    </row>
    <row r="644">
      <c r="A644" s="9">
        <f t="shared" si="1"/>
        <v>641</v>
      </c>
      <c r="B644" s="47" t="s">
        <v>778</v>
      </c>
      <c r="C644" s="48">
        <f>IFERROR(DIVIDE(VLOOKUP($B644,Data!$B$3:$AB$1535,9,FALSE),VLOOKUP($B644,Data!$B$3:$AB$1535,4,FALSE)),"")</f>
        <v>0.122310757</v>
      </c>
      <c r="D644" s="48">
        <f>IFERROR(DIVIDE(VLOOKUP($B644,Data!$B$3:$AB$1535,24,FALSE),VLOOKUP($B644,Data!$B$3:$AB$1535,4,FALSE)),"")</f>
        <v>0.04661354582</v>
      </c>
      <c r="E644" s="48">
        <f>IFERROR(DIVIDE(VLOOKUP($B644,Data!$B$3:$EZ1530,29,FALSE),VLOOKUP($B644,Data!$B$3:$EZ1530,4,FALSE)),"")</f>
        <v>0.2011952191</v>
      </c>
      <c r="F644" s="48">
        <f>IFERROR(DIVIDE(VLOOKUP($B644,Data!$B$3:$EZ1530,34,FALSE),VLOOKUP($B644,Data!$B$3:$EZ1530,4,FALSE)),"")</f>
        <v>0.1033864542</v>
      </c>
      <c r="G644" s="48">
        <f>IFERROR(DIVIDE(VLOOKUP($B644,Data!$B$3:$EZ1530,39,FALSE),VLOOKUP($B644,Data!$B$3:$EZ1530,4,FALSE)),"")</f>
        <v>0.1525896414</v>
      </c>
      <c r="H644" s="48">
        <f>IFERROR(DIVIDE(VLOOKUP($B644,Data!$B$3:$EZ1530,44,FALSE),VLOOKUP($B644,Data!$B$3:$EZ1530,4,FALSE)),"")</f>
        <v>0.08565737052</v>
      </c>
      <c r="I644" s="48">
        <f>IFERROR(MINUS(DIVIDE(VLOOKUP($B644,Data!$B$3:$EZ1530,9,FALSE),VLOOKUP($B644,Data!$B$3:$EZ1530,10,FALSE)),1),"")</f>
        <v>-0.05828220859</v>
      </c>
      <c r="J644" s="48">
        <f>IFERROR(MINUS(DIVIDE(VLOOKUP($B644,Data!$B$3:$EZ1530,24,FALSE),VLOOKUP($B644,Data!$B$3:$EZ1530,25,FALSE)),1),"")</f>
        <v>0.4444444444</v>
      </c>
      <c r="K644" s="48">
        <f>IFERROR(MINUS(DIVIDE(VLOOKUP($B644,Data!$B$3:$EZ1530,29,FALSE),VLOOKUP($B644,Data!$B$3:$EZ1530,30,FALSE)),1),"")</f>
        <v>0.06203995794</v>
      </c>
      <c r="L644" s="48">
        <f>IFERROR(MINUS(DIVIDE(VLOOKUP($B644,Data!$B$3:$EZ1530,34,FALSE),VLOOKUP($B644,Data!$B$3:$EZ1530,35,FALSE)),1),"")</f>
        <v>-0.135</v>
      </c>
      <c r="M644" s="48">
        <f>IFERROR(MINUS(DIVIDE(VLOOKUP($B644,Data!$B$3:$EZ1530,39,FALSE),VLOOKUP($B644,Data!$B$3:$EZ1530,40,FALSE)),1),"")</f>
        <v>-0.003901170351</v>
      </c>
      <c r="N644" s="48">
        <f>IFERROR(MINUS(DIVIDE(VLOOKUP($B644,Data!$B$3:$EZ1530,44,FALSE),VLOOKUP($B644,Data!$B$3:$EZ1530,45,FALSE)),1),"")</f>
        <v>0.2609970674</v>
      </c>
      <c r="O644" s="50">
        <f>IFERROR(VLOOKUP($B644,Data!$B$3:$D1530,2,FALSE),"")</f>
        <v>4080000</v>
      </c>
      <c r="P644" s="50">
        <f>IFERROR(VLOOKUP($B644,Data!$B$3:$D1530,3,FALSE),"")</f>
        <v>2930000</v>
      </c>
      <c r="Q644" s="48">
        <f t="shared" si="2"/>
        <v>0.3924914676</v>
      </c>
      <c r="R644" s="48"/>
      <c r="S644" s="48"/>
      <c r="T644" s="48"/>
      <c r="U644" s="48"/>
      <c r="V644" s="48"/>
      <c r="W644" s="50"/>
      <c r="Z644" s="11"/>
      <c r="AA644" s="11"/>
    </row>
    <row r="645">
      <c r="A645" s="9">
        <f t="shared" si="1"/>
        <v>642</v>
      </c>
      <c r="B645" s="52" t="s">
        <v>779</v>
      </c>
      <c r="C645" s="48">
        <f>IFERROR(DIVIDE(VLOOKUP($B645,Data!$B$3:$AB$1535,9,FALSE),VLOOKUP($B645,Data!$B$3:$AB$1535,4,FALSE)),"")</f>
        <v>0.2147173145</v>
      </c>
      <c r="D645" s="48">
        <f>IFERROR(DIVIDE(VLOOKUP($B645,Data!$B$3:$AB$1535,24,FALSE),VLOOKUP($B645,Data!$B$3:$AB$1535,4,FALSE)),"")</f>
        <v>0.1158515901</v>
      </c>
      <c r="E645" s="48">
        <f>IFERROR(DIVIDE(VLOOKUP($B645,Data!$B$3:$EZ1530,29,FALSE),VLOOKUP($B645,Data!$B$3:$EZ1530,4,FALSE)),"")</f>
        <v>0.1077738516</v>
      </c>
      <c r="F645" s="48">
        <f>IFERROR(DIVIDE(VLOOKUP($B645,Data!$B$3:$EZ1530,34,FALSE),VLOOKUP($B645,Data!$B$3:$EZ1530,4,FALSE)),"")</f>
        <v>0.1699929329</v>
      </c>
      <c r="G645" s="48">
        <f>IFERROR(DIVIDE(VLOOKUP($B645,Data!$B$3:$EZ1530,39,FALSE),VLOOKUP($B645,Data!$B$3:$EZ1530,4,FALSE)),"")</f>
        <v>0.07914487633</v>
      </c>
      <c r="H645" s="48">
        <f>IFERROR(DIVIDE(VLOOKUP($B645,Data!$B$3:$EZ1530,44,FALSE),VLOOKUP($B645,Data!$B$3:$EZ1530,4,FALSE)),"")</f>
        <v>0.1714275618</v>
      </c>
      <c r="I645" s="48">
        <f>IFERROR(MINUS(DIVIDE(VLOOKUP($B645,Data!$B$3:$EZ1530,9,FALSE),VLOOKUP($B645,Data!$B$3:$EZ1530,10,FALSE)),1),"")</f>
        <v>-0.0352158519</v>
      </c>
      <c r="J645" s="48">
        <f>IFERROR(MINUS(DIVIDE(VLOOKUP($B645,Data!$B$3:$EZ1530,24,FALSE),VLOOKUP($B645,Data!$B$3:$EZ1530,25,FALSE)),1),"")</f>
        <v>0.1188997338</v>
      </c>
      <c r="K645" s="48">
        <f>IFERROR(MINUS(DIVIDE(VLOOKUP($B645,Data!$B$3:$EZ1530,29,FALSE),VLOOKUP($B645,Data!$B$3:$EZ1530,30,FALSE)),1),"")</f>
        <v>0.0127506973</v>
      </c>
      <c r="L645" s="48">
        <f>IFERROR(MINUS(DIVIDE(VLOOKUP($B645,Data!$B$3:$EZ1530,34,FALSE),VLOOKUP($B645,Data!$B$3:$EZ1530,35,FALSE)),1),"")</f>
        <v>-0.01454381581</v>
      </c>
      <c r="M645" s="48">
        <f>IFERROR(MINUS(DIVIDE(VLOOKUP($B645,Data!$B$3:$EZ1530,39,FALSE),VLOOKUP($B645,Data!$B$3:$EZ1530,40,FALSE)),1),"")</f>
        <v>-0.03953687822</v>
      </c>
      <c r="N645" s="48">
        <f>IFERROR(MINUS(DIVIDE(VLOOKUP($B645,Data!$B$3:$EZ1530,44,FALSE),VLOOKUP($B645,Data!$B$3:$EZ1530,45,FALSE)),1),"")</f>
        <v>-0.04595779827</v>
      </c>
      <c r="O645" s="50">
        <f>IFERROR(VLOOKUP($B645,Data!$B$3:$D1530,2,FALSE),"")</f>
        <v>1920000</v>
      </c>
      <c r="P645" s="50">
        <f>IFERROR(VLOOKUP($B645,Data!$B$3:$D1530,3,FALSE),"")</f>
        <v>1010000</v>
      </c>
      <c r="Q645" s="48">
        <f t="shared" si="2"/>
        <v>0.900990099</v>
      </c>
      <c r="R645" s="48"/>
      <c r="S645" s="48"/>
      <c r="T645" s="48"/>
      <c r="U645" s="48"/>
      <c r="V645" s="48"/>
      <c r="W645" s="50"/>
      <c r="Z645" s="11"/>
      <c r="AA645" s="11"/>
    </row>
    <row r="646">
      <c r="A646" s="9">
        <f t="shared" si="1"/>
        <v>643</v>
      </c>
      <c r="B646" s="47" t="s">
        <v>780</v>
      </c>
      <c r="C646" s="48">
        <f>IFERROR(DIVIDE(VLOOKUP($B646,Data!$B$3:$AB$1535,9,FALSE),VLOOKUP($B646,Data!$B$3:$AB$1535,4,FALSE)),"")</f>
        <v>0.1869086957</v>
      </c>
      <c r="D646" s="48">
        <f>IFERROR(DIVIDE(VLOOKUP($B646,Data!$B$3:$AB$1535,24,FALSE),VLOOKUP($B646,Data!$B$3:$AB$1535,4,FALSE)),"")</f>
        <v>-0.006486956522</v>
      </c>
      <c r="E646" s="48">
        <f>IFERROR(DIVIDE(VLOOKUP($B646,Data!$B$3:$EZ1530,29,FALSE),VLOOKUP($B646,Data!$B$3:$EZ1530,4,FALSE)),"")</f>
        <v>-0.02260434783</v>
      </c>
      <c r="F646" s="48">
        <f>IFERROR(DIVIDE(VLOOKUP($B646,Data!$B$3:$EZ1530,34,FALSE),VLOOKUP($B646,Data!$B$3:$EZ1530,4,FALSE)),"")</f>
        <v>0.04461304348</v>
      </c>
      <c r="G646" s="48">
        <f>IFERROR(DIVIDE(VLOOKUP($B646,Data!$B$3:$EZ1530,39,FALSE),VLOOKUP($B646,Data!$B$3:$EZ1530,4,FALSE)),"")</f>
        <v>-0.0217173913</v>
      </c>
      <c r="H646" s="48">
        <f>IFERROR(DIVIDE(VLOOKUP($B646,Data!$B$3:$EZ1530,44,FALSE),VLOOKUP($B646,Data!$B$3:$EZ1530,4,FALSE)),"")</f>
        <v>0.02153043478</v>
      </c>
      <c r="I646" s="48">
        <f>IFERROR(MINUS(DIVIDE(VLOOKUP($B646,Data!$B$3:$EZ1530,9,FALSE),VLOOKUP($B646,Data!$B$3:$EZ1530,10,FALSE)),1),"")</f>
        <v>-0.1352737659</v>
      </c>
      <c r="J646" s="48">
        <f>IFERROR(MINUS(DIVIDE(VLOOKUP($B646,Data!$B$3:$EZ1530,24,FALSE),VLOOKUP($B646,Data!$B$3:$EZ1530,25,FALSE)),1),"")</f>
        <v>-1.14084773</v>
      </c>
      <c r="K646" s="48">
        <f>IFERROR(MINUS(DIVIDE(VLOOKUP($B646,Data!$B$3:$EZ1530,29,FALSE),VLOOKUP($B646,Data!$B$3:$EZ1530,30,FALSE)),1),"")</f>
        <v>-1.640270936</v>
      </c>
      <c r="L646" s="48">
        <f>IFERROR(MINUS(DIVIDE(VLOOKUP($B646,Data!$B$3:$EZ1530,34,FALSE),VLOOKUP($B646,Data!$B$3:$EZ1530,35,FALSE)),1),"")</f>
        <v>-0.4884590458</v>
      </c>
      <c r="M646" s="48">
        <f>IFERROR(MINUS(DIVIDE(VLOOKUP($B646,Data!$B$3:$EZ1530,39,FALSE),VLOOKUP($B646,Data!$B$3:$EZ1530,40,FALSE)),1),"")</f>
        <v>-1.605968701</v>
      </c>
      <c r="N646" s="48">
        <f>IFERROR(MINUS(DIVIDE(VLOOKUP($B646,Data!$B$3:$EZ1530,44,FALSE),VLOOKUP($B646,Data!$B$3:$EZ1530,45,FALSE)),1),"")</f>
        <v>-0.5917896299</v>
      </c>
      <c r="O646" s="50">
        <f>IFERROR(VLOOKUP($B646,Data!$B$3:$D1530,2,FALSE),"")</f>
        <v>2040000</v>
      </c>
      <c r="P646" s="50">
        <f>IFERROR(VLOOKUP($B646,Data!$B$3:$D1530,3,FALSE),"")</f>
        <v>2050000</v>
      </c>
      <c r="Q646" s="48">
        <f t="shared" si="2"/>
        <v>-0.00487804878</v>
      </c>
      <c r="R646" s="48"/>
      <c r="S646" s="48"/>
      <c r="T646" s="48"/>
      <c r="U646" s="48"/>
      <c r="V646" s="48"/>
      <c r="W646" s="50"/>
      <c r="Z646" s="15"/>
      <c r="AA646" s="15"/>
    </row>
    <row r="647">
      <c r="A647" s="9">
        <f t="shared" si="1"/>
        <v>644</v>
      </c>
      <c r="B647" s="47" t="s">
        <v>781</v>
      </c>
      <c r="C647" s="48">
        <f>IFERROR(DIVIDE(VLOOKUP($B647,Data!$B$3:$AB$1535,9,FALSE),VLOOKUP($B647,Data!$B$3:$AB$1535,4,FALSE)),"")</f>
        <v>0.7676412062</v>
      </c>
      <c r="D647" s="48">
        <f>IFERROR(DIVIDE(VLOOKUP($B647,Data!$B$3:$AB$1535,24,FALSE),VLOOKUP($B647,Data!$B$3:$AB$1535,4,FALSE)),"")</f>
        <v>-0.3449665799</v>
      </c>
      <c r="E647" s="48">
        <f>IFERROR(DIVIDE(VLOOKUP($B647,Data!$B$3:$EZ1530,29,FALSE),VLOOKUP($B647,Data!$B$3:$EZ1530,4,FALSE)),"")</f>
        <v>-0.3686412572</v>
      </c>
      <c r="F647" s="48">
        <f>IFERROR(DIVIDE(VLOOKUP($B647,Data!$B$3:$EZ1530,34,FALSE),VLOOKUP($B647,Data!$B$3:$EZ1530,4,FALSE)),"")</f>
        <v>-0.1662329711</v>
      </c>
      <c r="G647" s="48">
        <f>IFERROR(DIVIDE(VLOOKUP($B647,Data!$B$3:$EZ1530,39,FALSE),VLOOKUP($B647,Data!$B$3:$EZ1530,4,FALSE)),"")</f>
        <v>-0.3685902342</v>
      </c>
      <c r="H647" s="48">
        <f>IFERROR(DIVIDE(VLOOKUP($B647,Data!$B$3:$EZ1530,44,FALSE),VLOOKUP($B647,Data!$B$3:$EZ1530,4,FALSE)),"")</f>
        <v>-0.4358385632</v>
      </c>
      <c r="I647" s="48">
        <f>IFERROR(MINUS(DIVIDE(VLOOKUP($B647,Data!$B$3:$EZ1530,9,FALSE),VLOOKUP($B647,Data!$B$3:$EZ1530,10,FALSE)),1),"")</f>
        <v>0.06152543569</v>
      </c>
      <c r="J647" s="48" t="str">
        <f>IFERROR(MINUS(DIVIDE(VLOOKUP($B647,Data!$B$3:$EZ1530,24,FALSE),VLOOKUP($B647,Data!$B$3:$EZ1530,25,FALSE)),1),"")</f>
        <v/>
      </c>
      <c r="K647" s="48">
        <f>IFERROR(MINUS(DIVIDE(VLOOKUP($B647,Data!$B$3:$EZ1530,29,FALSE),VLOOKUP($B647,Data!$B$3:$EZ1530,30,FALSE)),1),"")</f>
        <v>-0.4172917171</v>
      </c>
      <c r="L647" s="48">
        <f>IFERROR(MINUS(DIVIDE(VLOOKUP($B647,Data!$B$3:$EZ1530,34,FALSE),VLOOKUP($B647,Data!$B$3:$EZ1530,35,FALSE)),1),"")</f>
        <v>-0.7068562174</v>
      </c>
      <c r="M647" s="48">
        <f>IFERROR(MINUS(DIVIDE(VLOOKUP($B647,Data!$B$3:$EZ1530,39,FALSE),VLOOKUP($B647,Data!$B$3:$EZ1530,40,FALSE)),1),"")</f>
        <v>-0.100709573</v>
      </c>
      <c r="N647" s="48">
        <f>IFERROR(MINUS(DIVIDE(VLOOKUP($B647,Data!$B$3:$EZ1530,44,FALSE),VLOOKUP($B647,Data!$B$3:$EZ1530,45,FALSE)),1),"")</f>
        <v>0.7256565657</v>
      </c>
      <c r="O647" s="50">
        <f>IFERROR(VLOOKUP($B647,Data!$B$3:$D1530,2,FALSE),"")</f>
        <v>375450</v>
      </c>
      <c r="P647" s="50">
        <f>IFERROR(VLOOKUP($B647,Data!$B$3:$D1530,3,FALSE),"")</f>
        <v>235710</v>
      </c>
      <c r="Q647" s="48">
        <f t="shared" si="2"/>
        <v>0.5928471427</v>
      </c>
      <c r="R647" s="48"/>
      <c r="S647" s="48"/>
      <c r="T647" s="48"/>
      <c r="U647" s="48"/>
      <c r="V647" s="48"/>
      <c r="W647" s="50"/>
      <c r="Z647" s="19"/>
      <c r="AA647" s="19"/>
    </row>
    <row r="648">
      <c r="A648" s="9">
        <f t="shared" si="1"/>
        <v>645</v>
      </c>
      <c r="B648" s="47" t="s">
        <v>782</v>
      </c>
      <c r="C648" s="48">
        <f>IFERROR(DIVIDE(VLOOKUP($B648,Data!$B$3:$AB$1535,9,FALSE),VLOOKUP($B648,Data!$B$3:$AB$1535,4,FALSE)),"")</f>
        <v>0</v>
      </c>
      <c r="D648" s="48">
        <f>IFERROR(DIVIDE(VLOOKUP($B648,Data!$B$3:$AB$1535,24,FALSE),VLOOKUP($B648,Data!$B$3:$AB$1535,4,FALSE)),"")</f>
        <v>0</v>
      </c>
      <c r="E648" s="48">
        <f>IFERROR(DIVIDE(VLOOKUP($B648,Data!$B$3:$EZ1530,29,FALSE),VLOOKUP($B648,Data!$B$3:$EZ1530,4,FALSE)),"")</f>
        <v>-9.614186851</v>
      </c>
      <c r="F648" s="48">
        <f>IFERROR(DIVIDE(VLOOKUP($B648,Data!$B$3:$EZ1530,34,FALSE),VLOOKUP($B648,Data!$B$3:$EZ1530,4,FALSE)),"")</f>
        <v>-9.584775087</v>
      </c>
      <c r="G648" s="48">
        <f>IFERROR(DIVIDE(VLOOKUP($B648,Data!$B$3:$EZ1530,39,FALSE),VLOOKUP($B648,Data!$B$3:$EZ1530,4,FALSE)),"")</f>
        <v>-9.614186851</v>
      </c>
      <c r="H648" s="48">
        <f>IFERROR(DIVIDE(VLOOKUP($B648,Data!$B$3:$EZ1530,44,FALSE),VLOOKUP($B648,Data!$B$3:$EZ1530,4,FALSE)),"")</f>
        <v>-0.4982698962</v>
      </c>
      <c r="I648" s="48" t="str">
        <f>IFERROR(MINUS(DIVIDE(VLOOKUP($B648,Data!$B$3:$EZ1530,9,FALSE),VLOOKUP($B648,Data!$B$3:$EZ1530,10,FALSE)),1),"")</f>
        <v/>
      </c>
      <c r="J648" s="48" t="str">
        <f>IFERROR(MINUS(DIVIDE(VLOOKUP($B648,Data!$B$3:$EZ1530,24,FALSE),VLOOKUP($B648,Data!$B$3:$EZ1530,25,FALSE)),1),"")</f>
        <v/>
      </c>
      <c r="K648" s="48">
        <f>IFERROR(MINUS(DIVIDE(VLOOKUP($B648,Data!$B$3:$EZ1530,29,FALSE),VLOOKUP($B648,Data!$B$3:$EZ1530,30,FALSE)),1),"")</f>
        <v>1.030325174</v>
      </c>
      <c r="L648" s="48">
        <f>IFERROR(MINUS(DIVIDE(VLOOKUP($B648,Data!$B$3:$EZ1530,34,FALSE),VLOOKUP($B648,Data!$B$3:$EZ1530,35,FALSE)),1),"")</f>
        <v>1.045790251</v>
      </c>
      <c r="M648" s="48">
        <f>IFERROR(MINUS(DIVIDE(VLOOKUP($B648,Data!$B$3:$EZ1530,39,FALSE),VLOOKUP($B648,Data!$B$3:$EZ1530,40,FALSE)),1),"")</f>
        <v>1.030325174</v>
      </c>
      <c r="N648" s="48">
        <f>IFERROR(MINUS(DIVIDE(VLOOKUP($B648,Data!$B$3:$EZ1530,44,FALSE),VLOOKUP($B648,Data!$B$3:$EZ1530,45,FALSE)),1),"")</f>
        <v>-0.8938444526</v>
      </c>
      <c r="O648" s="50">
        <f>IFERROR(VLOOKUP($B648,Data!$B$3:$D1530,2,FALSE),"")</f>
        <v>26000</v>
      </c>
      <c r="P648" s="50">
        <f>IFERROR(VLOOKUP($B648,Data!$B$3:$D1530,3,FALSE),"")</f>
        <v>17950</v>
      </c>
      <c r="Q648" s="48">
        <f t="shared" si="2"/>
        <v>0.4484679666</v>
      </c>
      <c r="R648" s="48"/>
      <c r="S648" s="48"/>
      <c r="T648" s="48"/>
      <c r="U648" s="48"/>
      <c r="V648" s="48"/>
      <c r="W648" s="50"/>
      <c r="Z648" s="15"/>
      <c r="AA648" s="15"/>
    </row>
    <row r="649">
      <c r="A649" s="9">
        <f t="shared" si="1"/>
        <v>646</v>
      </c>
      <c r="B649" s="47" t="s">
        <v>783</v>
      </c>
      <c r="C649" s="48">
        <f>IFERROR(DIVIDE(VLOOKUP($B649,Data!$B$3:$AB$1535,9,FALSE),VLOOKUP($B649,Data!$B$3:$AB$1535,4,FALSE)),"")</f>
        <v>0.4968152866</v>
      </c>
      <c r="D649" s="48">
        <f>IFERROR(DIVIDE(VLOOKUP($B649,Data!$B$3:$AB$1535,24,FALSE),VLOOKUP($B649,Data!$B$3:$AB$1535,4,FALSE)),"")</f>
        <v>0.1570191083</v>
      </c>
      <c r="E649" s="48">
        <f>IFERROR(DIVIDE(VLOOKUP($B649,Data!$B$3:$EZ1530,29,FALSE),VLOOKUP($B649,Data!$B$3:$EZ1530,4,FALSE)),"")</f>
        <v>0.1261592357</v>
      </c>
      <c r="F649" s="48">
        <f>IFERROR(DIVIDE(VLOOKUP($B649,Data!$B$3:$EZ1530,34,FALSE),VLOOKUP($B649,Data!$B$3:$EZ1530,4,FALSE)),"")</f>
        <v>0.1940276008</v>
      </c>
      <c r="G649" s="48">
        <f>IFERROR(DIVIDE(VLOOKUP($B649,Data!$B$3:$EZ1530,39,FALSE),VLOOKUP($B649,Data!$B$3:$EZ1530,4,FALSE)),"")</f>
        <v>0.1104989384</v>
      </c>
      <c r="H649" s="48">
        <f>IFERROR(DIVIDE(VLOOKUP($B649,Data!$B$3:$EZ1530,44,FALSE),VLOOKUP($B649,Data!$B$3:$EZ1530,4,FALSE)),"")</f>
        <v>0.1386539278</v>
      </c>
      <c r="I649" s="48">
        <f>IFERROR(MINUS(DIVIDE(VLOOKUP($B649,Data!$B$3:$EZ1530,9,FALSE),VLOOKUP($B649,Data!$B$3:$EZ1530,10,FALSE)),1),"")</f>
        <v>0.01298701299</v>
      </c>
      <c r="J649" s="48">
        <f>IFERROR(MINUS(DIVIDE(VLOOKUP($B649,Data!$B$3:$EZ1530,24,FALSE),VLOOKUP($B649,Data!$B$3:$EZ1530,25,FALSE)),1),"")</f>
        <v>1.152825081</v>
      </c>
      <c r="K649" s="48">
        <f>IFERROR(MINUS(DIVIDE(VLOOKUP($B649,Data!$B$3:$EZ1530,29,FALSE),VLOOKUP($B649,Data!$B$3:$EZ1530,30,FALSE)),1),"")</f>
        <v>1.197522189</v>
      </c>
      <c r="L649" s="48">
        <f>IFERROR(MINUS(DIVIDE(VLOOKUP($B649,Data!$B$3:$EZ1530,34,FALSE),VLOOKUP($B649,Data!$B$3:$EZ1530,35,FALSE)),1),"")</f>
        <v>0.4432108904</v>
      </c>
      <c r="M649" s="48">
        <f>IFERROR(MINUS(DIVIDE(VLOOKUP($B649,Data!$B$3:$EZ1530,39,FALSE),VLOOKUP($B649,Data!$B$3:$EZ1530,40,FALSE)),1),"")</f>
        <v>1.361067005</v>
      </c>
      <c r="N649" s="48">
        <f>IFERROR(MINUS(DIVIDE(VLOOKUP($B649,Data!$B$3:$EZ1530,44,FALSE),VLOOKUP($B649,Data!$B$3:$EZ1530,45,FALSE)),1),"")</f>
        <v>0.01092879257</v>
      </c>
      <c r="O649" s="50">
        <f>IFERROR(VLOOKUP($B649,Data!$B$3:$D1530,2,FALSE),"")</f>
        <v>6000000</v>
      </c>
      <c r="P649" s="50">
        <f>IFERROR(VLOOKUP($B649,Data!$B$3:$D1530,3,FALSE),"")</f>
        <v>5380000</v>
      </c>
      <c r="Q649" s="48">
        <f t="shared" si="2"/>
        <v>0.1152416357</v>
      </c>
      <c r="R649" s="48"/>
      <c r="S649" s="48"/>
      <c r="T649" s="48"/>
      <c r="U649" s="48"/>
      <c r="V649" s="48"/>
      <c r="W649" s="50"/>
      <c r="Z649" s="11"/>
      <c r="AA649" s="11"/>
    </row>
    <row r="650">
      <c r="A650" s="9">
        <f t="shared" si="1"/>
        <v>647</v>
      </c>
      <c r="B650" s="47" t="s">
        <v>784</v>
      </c>
      <c r="C650" s="48">
        <f>IFERROR(DIVIDE(VLOOKUP($B650,Data!$B$3:$AB$1535,9,FALSE),VLOOKUP($B650,Data!$B$3:$AB$1535,4,FALSE)),"")</f>
        <v>0.1336134797</v>
      </c>
      <c r="D650" s="48">
        <f>IFERROR(DIVIDE(VLOOKUP($B650,Data!$B$3:$AB$1535,24,FALSE),VLOOKUP($B650,Data!$B$3:$AB$1535,4,FALSE)),"")</f>
        <v>0.03396434254</v>
      </c>
      <c r="E650" s="48">
        <f>IFERROR(DIVIDE(VLOOKUP($B650,Data!$B$3:$EZ1530,29,FALSE),VLOOKUP($B650,Data!$B$3:$EZ1530,4,FALSE)),"")</f>
        <v>0.02727346905</v>
      </c>
      <c r="F650" s="48">
        <f>IFERROR(DIVIDE(VLOOKUP($B650,Data!$B$3:$EZ1530,34,FALSE),VLOOKUP($B650,Data!$B$3:$EZ1530,4,FALSE)),"")</f>
        <v>0.07631267594</v>
      </c>
      <c r="G650" s="48">
        <f>IFERROR(DIVIDE(VLOOKUP($B650,Data!$B$3:$EZ1530,39,FALSE),VLOOKUP($B650,Data!$B$3:$EZ1530,4,FALSE)),"")</f>
        <v>0.01978703439</v>
      </c>
      <c r="H650" s="48">
        <f>IFERROR(DIVIDE(VLOOKUP($B650,Data!$B$3:$EZ1530,44,FALSE),VLOOKUP($B650,Data!$B$3:$EZ1530,4,FALSE)),"")</f>
        <v>0.0878177145</v>
      </c>
      <c r="I650" s="48">
        <f>IFERROR(MINUS(DIVIDE(VLOOKUP($B650,Data!$B$3:$EZ1530,9,FALSE),VLOOKUP($B650,Data!$B$3:$EZ1530,10,FALSE)),1),"")</f>
        <v>0.1729942693</v>
      </c>
      <c r="J650" s="48" t="str">
        <f>IFERROR(MINUS(DIVIDE(VLOOKUP($B650,Data!$B$3:$EZ1530,24,FALSE),VLOOKUP($B650,Data!$B$3:$EZ1530,25,FALSE)),1),"")</f>
        <v/>
      </c>
      <c r="K650" s="48">
        <f>IFERROR(MINUS(DIVIDE(VLOOKUP($B650,Data!$B$3:$EZ1530,29,FALSE),VLOOKUP($B650,Data!$B$3:$EZ1530,30,FALSE)),1),"")</f>
        <v>-4.301234568</v>
      </c>
      <c r="L650" s="48">
        <f>IFERROR(MINUS(DIVIDE(VLOOKUP($B650,Data!$B$3:$EZ1530,34,FALSE),VLOOKUP($B650,Data!$B$3:$EZ1530,35,FALSE)),1),"")</f>
        <v>0.3043933054</v>
      </c>
      <c r="M650" s="48">
        <f>IFERROR(MINUS(DIVIDE(VLOOKUP($B650,Data!$B$3:$EZ1530,39,FALSE),VLOOKUP($B650,Data!$B$3:$EZ1530,40,FALSE)),1),"")</f>
        <v>-1.443935927</v>
      </c>
      <c r="N650" s="48">
        <f>IFERROR(MINUS(DIVIDE(VLOOKUP($B650,Data!$B$3:$EZ1530,44,FALSE),VLOOKUP($B650,Data!$B$3:$EZ1530,45,FALSE)),1),"")</f>
        <v>-4.133187773</v>
      </c>
      <c r="O650" s="50">
        <f>IFERROR(VLOOKUP($B650,Data!$B$3:$D1530,2,FALSE),"")</f>
        <v>468630</v>
      </c>
      <c r="P650" s="50">
        <f>IFERROR(VLOOKUP($B650,Data!$B$3:$D1530,3,FALSE),"")</f>
        <v>431520</v>
      </c>
      <c r="Q650" s="48">
        <f t="shared" si="2"/>
        <v>0.08599833148</v>
      </c>
      <c r="R650" s="48"/>
      <c r="S650" s="48"/>
      <c r="T650" s="48"/>
      <c r="U650" s="48"/>
      <c r="V650" s="48"/>
      <c r="W650" s="50"/>
      <c r="Z650" s="11"/>
      <c r="AA650" s="11"/>
    </row>
    <row r="651">
      <c r="A651" s="9">
        <f t="shared" si="1"/>
        <v>648</v>
      </c>
      <c r="B651" s="47" t="s">
        <v>785</v>
      </c>
      <c r="C651" s="48">
        <f>IFERROR(DIVIDE(VLOOKUP($B651,Data!$B$3:$AB$1535,9,FALSE),VLOOKUP($B651,Data!$B$3:$AB$1535,4,FALSE)),"")</f>
        <v>0.3988522238</v>
      </c>
      <c r="D651" s="48">
        <f>IFERROR(DIVIDE(VLOOKUP($B651,Data!$B$3:$AB$1535,24,FALSE),VLOOKUP($B651,Data!$B$3:$AB$1535,4,FALSE)),"")</f>
        <v>0.1240186514</v>
      </c>
      <c r="E651" s="48">
        <f>IFERROR(DIVIDE(VLOOKUP($B651,Data!$B$3:$EZ1530,29,FALSE),VLOOKUP($B651,Data!$B$3:$EZ1530,4,FALSE)),"")</f>
        <v>0.09752223816</v>
      </c>
      <c r="F651" s="48">
        <f>IFERROR(DIVIDE(VLOOKUP($B651,Data!$B$3:$EZ1530,34,FALSE),VLOOKUP($B651,Data!$B$3:$EZ1530,4,FALSE)),"")</f>
        <v>0.156384505</v>
      </c>
      <c r="G651" s="48">
        <f>IFERROR(DIVIDE(VLOOKUP($B651,Data!$B$3:$EZ1530,39,FALSE),VLOOKUP($B651,Data!$B$3:$EZ1530,4,FALSE)),"")</f>
        <v>0.08618651363</v>
      </c>
      <c r="H651" s="48">
        <f>IFERROR(DIVIDE(VLOOKUP($B651,Data!$B$3:$EZ1530,44,FALSE),VLOOKUP($B651,Data!$B$3:$EZ1530,4,FALSE)),"")</f>
        <v>0.1152697274</v>
      </c>
      <c r="I651" s="48">
        <f>IFERROR(MINUS(DIVIDE(VLOOKUP($B651,Data!$B$3:$EZ1530,9,FALSE),VLOOKUP($B651,Data!$B$3:$EZ1530,10,FALSE)),1),"")</f>
        <v>0.03731343284</v>
      </c>
      <c r="J651" s="48">
        <f>IFERROR(MINUS(DIVIDE(VLOOKUP($B651,Data!$B$3:$EZ1530,24,FALSE),VLOOKUP($B651,Data!$B$3:$EZ1530,25,FALSE)),1),"")</f>
        <v>-14.78864253</v>
      </c>
      <c r="K651" s="48">
        <f>IFERROR(MINUS(DIVIDE(VLOOKUP($B651,Data!$B$3:$EZ1530,29,FALSE),VLOOKUP($B651,Data!$B$3:$EZ1530,30,FALSE)),1),"")</f>
        <v>0.05617017309</v>
      </c>
      <c r="L651" s="48">
        <f>IFERROR(MINUS(DIVIDE(VLOOKUP($B651,Data!$B$3:$EZ1530,34,FALSE),VLOOKUP($B651,Data!$B$3:$EZ1530,35,FALSE)),1),"")</f>
        <v>0.01869158879</v>
      </c>
      <c r="M651" s="48">
        <f>IFERROR(MINUS(DIVIDE(VLOOKUP($B651,Data!$B$3:$EZ1530,39,FALSE),VLOOKUP($B651,Data!$B$3:$EZ1530,40,FALSE)),1),"")</f>
        <v>0.1131246873</v>
      </c>
      <c r="N651" s="48">
        <f>IFERROR(MINUS(DIVIDE(VLOOKUP($B651,Data!$B$3:$EZ1530,44,FALSE),VLOOKUP($B651,Data!$B$3:$EZ1530,45,FALSE)),1),"")</f>
        <v>0.2487255207</v>
      </c>
      <c r="O651" s="50">
        <f>IFERROR(VLOOKUP($B651,Data!$B$3:$D1530,2,FALSE),"")</f>
        <v>6600000</v>
      </c>
      <c r="P651" s="50">
        <f>IFERROR(VLOOKUP($B651,Data!$B$3:$D1530,3,FALSE),"")</f>
        <v>6320000</v>
      </c>
      <c r="Q651" s="48">
        <f t="shared" si="2"/>
        <v>0.04430379747</v>
      </c>
      <c r="R651" s="48"/>
      <c r="S651" s="48"/>
      <c r="T651" s="48"/>
      <c r="U651" s="48"/>
      <c r="V651" s="48"/>
      <c r="W651" s="50"/>
      <c r="Z651" s="15"/>
      <c r="AA651" s="15"/>
    </row>
    <row r="652">
      <c r="A652" s="9">
        <f t="shared" si="1"/>
        <v>649</v>
      </c>
      <c r="B652" s="47" t="s">
        <v>786</v>
      </c>
      <c r="C652" s="48">
        <f>IFERROR(DIVIDE(VLOOKUP($B652,Data!$B$3:$AB$1535,9,FALSE),VLOOKUP($B652,Data!$B$3:$AB$1535,4,FALSE)),"")</f>
        <v>0.5042175934</v>
      </c>
      <c r="D652" s="48">
        <f>IFERROR(DIVIDE(VLOOKUP($B652,Data!$B$3:$AB$1535,24,FALSE),VLOOKUP($B652,Data!$B$3:$AB$1535,4,FALSE)),"")</f>
        <v>0.00324496471</v>
      </c>
      <c r="E652" s="48">
        <f>IFERROR(DIVIDE(VLOOKUP($B652,Data!$B$3:$EZ1530,29,FALSE),VLOOKUP($B652,Data!$B$3:$EZ1530,4,FALSE)),"")</f>
        <v>-0.04734033396</v>
      </c>
      <c r="F652" s="48">
        <f>IFERROR(DIVIDE(VLOOKUP($B652,Data!$B$3:$EZ1530,34,FALSE),VLOOKUP($B652,Data!$B$3:$EZ1530,4,FALSE)),"")</f>
        <v>0.0823721811</v>
      </c>
      <c r="G652" s="48">
        <f>IFERROR(DIVIDE(VLOOKUP($B652,Data!$B$3:$EZ1530,39,FALSE),VLOOKUP($B652,Data!$B$3:$EZ1530,4,FALSE)),"")</f>
        <v>-0.04036839387</v>
      </c>
      <c r="H652" s="48">
        <f>IFERROR(DIVIDE(VLOOKUP($B652,Data!$B$3:$EZ1530,44,FALSE),VLOOKUP($B652,Data!$B$3:$EZ1530,4,FALSE)),"")</f>
        <v>0.06928903426</v>
      </c>
      <c r="I652" s="48">
        <f>IFERROR(MINUS(DIVIDE(VLOOKUP($B652,Data!$B$3:$EZ1530,9,FALSE),VLOOKUP($B652,Data!$B$3:$EZ1530,10,FALSE)),1),"")</f>
        <v>0.01349480969</v>
      </c>
      <c r="J652" s="48">
        <f>IFERROR(MINUS(DIVIDE(VLOOKUP($B652,Data!$B$3:$EZ1530,24,FALSE),VLOOKUP($B652,Data!$B$3:$EZ1530,25,FALSE)),1),"")</f>
        <v>-1.155785124</v>
      </c>
      <c r="K652" s="48">
        <f>IFERROR(MINUS(DIVIDE(VLOOKUP($B652,Data!$B$3:$EZ1530,29,FALSE),VLOOKUP($B652,Data!$B$3:$EZ1530,30,FALSE)),1),"")</f>
        <v>-0.3107769424</v>
      </c>
      <c r="L652" s="48">
        <f>IFERROR(MINUS(DIVIDE(VLOOKUP($B652,Data!$B$3:$EZ1530,34,FALSE),VLOOKUP($B652,Data!$B$3:$EZ1530,35,FALSE)),1),"")</f>
        <v>0.08503401361</v>
      </c>
      <c r="M652" s="48">
        <f>IFERROR(MINUS(DIVIDE(VLOOKUP($B652,Data!$B$3:$EZ1530,39,FALSE),VLOOKUP($B652,Data!$B$3:$EZ1530,40,FALSE)),1),"")</f>
        <v>0.09069767442</v>
      </c>
      <c r="N652" s="48">
        <f>IFERROR(MINUS(DIVIDE(VLOOKUP($B652,Data!$B$3:$EZ1530,44,FALSE),VLOOKUP($B652,Data!$B$3:$EZ1530,45,FALSE)),1),"")</f>
        <v>1.795138889</v>
      </c>
      <c r="O652" s="50">
        <f>IFERROR(VLOOKUP($B652,Data!$B$3:$D1530,2,FALSE),"")</f>
        <v>110690</v>
      </c>
      <c r="P652" s="50">
        <f>IFERROR(VLOOKUP($B652,Data!$B$3:$D1530,3,FALSE),"")</f>
        <v>99560</v>
      </c>
      <c r="Q652" s="48">
        <f t="shared" si="2"/>
        <v>0.1117918843</v>
      </c>
      <c r="R652" s="48"/>
      <c r="S652" s="48"/>
      <c r="T652" s="48"/>
      <c r="U652" s="48"/>
      <c r="V652" s="48"/>
      <c r="W652" s="50"/>
      <c r="Z652" s="15"/>
      <c r="AA652" s="15"/>
    </row>
    <row r="653">
      <c r="A653" s="9">
        <f t="shared" si="1"/>
        <v>650</v>
      </c>
      <c r="B653" s="47" t="s">
        <v>787</v>
      </c>
      <c r="C653" s="48">
        <f>IFERROR(DIVIDE(VLOOKUP($B653,Data!$B$3:$AB$1535,9,FALSE),VLOOKUP($B653,Data!$B$3:$AB$1535,4,FALSE)),"")</f>
        <v>0.1010542169</v>
      </c>
      <c r="D653" s="48">
        <f>IFERROR(DIVIDE(VLOOKUP($B653,Data!$B$3:$AB$1535,24,FALSE),VLOOKUP($B653,Data!$B$3:$AB$1535,4,FALSE)),"")</f>
        <v>-0.2273915663</v>
      </c>
      <c r="E653" s="48">
        <f>IFERROR(DIVIDE(VLOOKUP($B653,Data!$B$3:$EZ1530,29,FALSE),VLOOKUP($B653,Data!$B$3:$EZ1530,4,FALSE)),"")</f>
        <v>-0.3619096386</v>
      </c>
      <c r="F653" s="48">
        <f>IFERROR(DIVIDE(VLOOKUP($B653,Data!$B$3:$EZ1530,34,FALSE),VLOOKUP($B653,Data!$B$3:$EZ1530,4,FALSE)),"")</f>
        <v>0.3399698795</v>
      </c>
      <c r="G653" s="48">
        <f>IFERROR(DIVIDE(VLOOKUP($B653,Data!$B$3:$EZ1530,39,FALSE),VLOOKUP($B653,Data!$B$3:$EZ1530,4,FALSE)),"")</f>
        <v>-0.2748192771</v>
      </c>
      <c r="H653" s="48">
        <f>IFERROR(DIVIDE(VLOOKUP($B653,Data!$B$3:$EZ1530,44,FALSE),VLOOKUP($B653,Data!$B$3:$EZ1530,4,FALSE)),"")</f>
        <v>0.1952168675</v>
      </c>
      <c r="I653" s="48">
        <f>IFERROR(MINUS(DIVIDE(VLOOKUP($B653,Data!$B$3:$EZ1530,9,FALSE),VLOOKUP($B653,Data!$B$3:$EZ1530,10,FALSE)),1),"")</f>
        <v>-0.6267743514</v>
      </c>
      <c r="J653" s="48">
        <f>IFERROR(MINUS(DIVIDE(VLOOKUP($B653,Data!$B$3:$EZ1530,24,FALSE),VLOOKUP($B653,Data!$B$3:$EZ1530,25,FALSE)),1),"")</f>
        <v>-1.953616452</v>
      </c>
      <c r="K653" s="48">
        <f>IFERROR(MINUS(DIVIDE(VLOOKUP($B653,Data!$B$3:$EZ1530,29,FALSE),VLOOKUP($B653,Data!$B$3:$EZ1530,30,FALSE)),1),"")</f>
        <v>-3.713137335</v>
      </c>
      <c r="L653" s="48">
        <f>IFERROR(MINUS(DIVIDE(VLOOKUP($B653,Data!$B$3:$EZ1530,34,FALSE),VLOOKUP($B653,Data!$B$3:$EZ1530,35,FALSE)),1),"")</f>
        <v>-0.3183520147</v>
      </c>
      <c r="M653" s="48">
        <f>IFERROR(MINUS(DIVIDE(VLOOKUP($B653,Data!$B$3:$EZ1530,39,FALSE),VLOOKUP($B653,Data!$B$3:$EZ1530,40,FALSE)),1),"")</f>
        <v>-5.120675639</v>
      </c>
      <c r="N653" s="48">
        <f>IFERROR(MINUS(DIVIDE(VLOOKUP($B653,Data!$B$3:$EZ1530,44,FALSE),VLOOKUP($B653,Data!$B$3:$EZ1530,45,FALSE)),1),"")</f>
        <v>-0.3924748317</v>
      </c>
      <c r="O653" s="50">
        <f>IFERROR(VLOOKUP($B653,Data!$B$3:$D1530,2,FALSE),"")</f>
        <v>1560000</v>
      </c>
      <c r="P653" s="50">
        <f>IFERROR(VLOOKUP($B653,Data!$B$3:$D1530,3,FALSE),"")</f>
        <v>1480000</v>
      </c>
      <c r="Q653" s="48">
        <f t="shared" si="2"/>
        <v>0.05405405405</v>
      </c>
      <c r="R653" s="48"/>
      <c r="S653" s="48"/>
      <c r="T653" s="48"/>
      <c r="U653" s="48"/>
      <c r="V653" s="48"/>
      <c r="W653" s="50"/>
      <c r="Z653" s="15"/>
      <c r="AA653" s="15"/>
    </row>
    <row r="654">
      <c r="A654" s="9">
        <f t="shared" si="1"/>
        <v>651</v>
      </c>
      <c r="B654" s="47" t="s">
        <v>788</v>
      </c>
      <c r="C654" s="48">
        <f>IFERROR(DIVIDE(VLOOKUP($B654,Data!$B$3:$AB$1535,9,FALSE),VLOOKUP($B654,Data!$B$3:$AB$1535,4,FALSE)),"")</f>
        <v>0.1503700818</v>
      </c>
      <c r="D654" s="48">
        <f>IFERROR(DIVIDE(VLOOKUP($B654,Data!$B$3:$AB$1535,24,FALSE),VLOOKUP($B654,Data!$B$3:$AB$1535,4,FALSE)),"")</f>
        <v>0.136540709</v>
      </c>
      <c r="E654" s="48">
        <f>IFERROR(DIVIDE(VLOOKUP($B654,Data!$B$3:$EZ1530,29,FALSE),VLOOKUP($B654,Data!$B$3:$EZ1530,4,FALSE)),"")</f>
        <v>0.1020646669</v>
      </c>
      <c r="F654" s="48">
        <f>IFERROR(DIVIDE(VLOOKUP($B654,Data!$B$3:$EZ1530,34,FALSE),VLOOKUP($B654,Data!$B$3:$EZ1530,4,FALSE)),"")</f>
        <v>0.1910790806</v>
      </c>
      <c r="G654" s="48">
        <f>IFERROR(DIVIDE(VLOOKUP($B654,Data!$B$3:$EZ1530,39,FALSE),VLOOKUP($B654,Data!$B$3:$EZ1530,4,FALSE)),"")</f>
        <v>0.06836774445</v>
      </c>
      <c r="H654" s="48">
        <f>IFERROR(DIVIDE(VLOOKUP($B654,Data!$B$3:$EZ1530,44,FALSE),VLOOKUP($B654,Data!$B$3:$EZ1530,4,FALSE)),"")</f>
        <v>0.148032723</v>
      </c>
      <c r="I654" s="48">
        <f>IFERROR(MINUS(DIVIDE(VLOOKUP($B654,Data!$B$3:$EZ1530,9,FALSE),VLOOKUP($B654,Data!$B$3:$EZ1530,10,FALSE)),1),"")</f>
        <v>0.09659090909</v>
      </c>
      <c r="J654" s="48">
        <f>IFERROR(MINUS(DIVIDE(VLOOKUP($B654,Data!$B$3:$EZ1530,24,FALSE),VLOOKUP($B654,Data!$B$3:$EZ1530,25,FALSE)),1),"")</f>
        <v>0.05731523379</v>
      </c>
      <c r="K654" s="48">
        <f>IFERROR(MINUS(DIVIDE(VLOOKUP($B654,Data!$B$3:$EZ1530,29,FALSE),VLOOKUP($B654,Data!$B$3:$EZ1530,30,FALSE)),1),"")</f>
        <v>-0.01872659176</v>
      </c>
      <c r="L654" s="48">
        <f>IFERROR(MINUS(DIVIDE(VLOOKUP($B654,Data!$B$3:$EZ1530,34,FALSE),VLOOKUP($B654,Data!$B$3:$EZ1530,35,FALSE)),1),"")</f>
        <v>0.1059751973</v>
      </c>
      <c r="M654" s="48">
        <f>IFERROR(MINUS(DIVIDE(VLOOKUP($B654,Data!$B$3:$EZ1530,39,FALSE),VLOOKUP($B654,Data!$B$3:$EZ1530,40,FALSE)),1),"")</f>
        <v>-0.07387862797</v>
      </c>
      <c r="N654" s="48">
        <f>IFERROR(MINUS(DIVIDE(VLOOKUP($B654,Data!$B$3:$EZ1530,44,FALSE),VLOOKUP($B654,Data!$B$3:$EZ1530,45,FALSE)),1),"")</f>
        <v>0.124260355</v>
      </c>
      <c r="O654" s="50">
        <f>IFERROR(VLOOKUP($B654,Data!$B$3:$D1530,2,FALSE),"")</f>
        <v>54860000</v>
      </c>
      <c r="P654" s="50">
        <f>IFERROR(VLOOKUP($B654,Data!$B$3:$D1530,3,FALSE),"")</f>
        <v>49900000</v>
      </c>
      <c r="Q654" s="48">
        <f t="shared" si="2"/>
        <v>0.0993987976</v>
      </c>
      <c r="R654" s="48"/>
      <c r="S654" s="48"/>
      <c r="T654" s="48"/>
      <c r="U654" s="48"/>
      <c r="V654" s="48"/>
      <c r="W654" s="50"/>
      <c r="Z654" s="11"/>
      <c r="AA654" s="11"/>
    </row>
    <row r="655">
      <c r="A655" s="9">
        <f t="shared" si="1"/>
        <v>652</v>
      </c>
      <c r="B655" s="47" t="s">
        <v>789</v>
      </c>
      <c r="C655" s="48">
        <f>IFERROR(DIVIDE(VLOOKUP($B655,Data!$B$3:$AB$1535,9,FALSE),VLOOKUP($B655,Data!$B$3:$AB$1535,4,FALSE)),"")</f>
        <v>0.3310314961</v>
      </c>
      <c r="D655" s="48">
        <f>IFERROR(DIVIDE(VLOOKUP($B655,Data!$B$3:$AB$1535,24,FALSE),VLOOKUP($B655,Data!$B$3:$AB$1535,4,FALSE)),"")</f>
        <v>0.3121653543</v>
      </c>
      <c r="E655" s="48">
        <f>IFERROR(DIVIDE(VLOOKUP($B655,Data!$B$3:$EZ1530,29,FALSE),VLOOKUP($B655,Data!$B$3:$EZ1530,4,FALSE)),"")</f>
        <v>0.2890708661</v>
      </c>
      <c r="F655" s="48">
        <f>IFERROR(DIVIDE(VLOOKUP($B655,Data!$B$3:$EZ1530,34,FALSE),VLOOKUP($B655,Data!$B$3:$EZ1530,4,FALSE)),"")</f>
        <v>0.381015748</v>
      </c>
      <c r="G655" s="48">
        <f>IFERROR(DIVIDE(VLOOKUP($B655,Data!$B$3:$EZ1530,39,FALSE),VLOOKUP($B655,Data!$B$3:$EZ1530,4,FALSE)),"")</f>
        <v>0.2375590551</v>
      </c>
      <c r="H655" s="48">
        <f>IFERROR(DIVIDE(VLOOKUP($B655,Data!$B$3:$EZ1530,44,FALSE),VLOOKUP($B655,Data!$B$3:$EZ1530,4,FALSE)),"")</f>
        <v>0.4195354331</v>
      </c>
      <c r="I655" s="48">
        <f>IFERROR(MINUS(DIVIDE(VLOOKUP($B655,Data!$B$3:$EZ1530,9,FALSE),VLOOKUP($B655,Data!$B$3:$EZ1530,10,FALSE)),1),"")</f>
        <v>-0.2411097874</v>
      </c>
      <c r="J655" s="48" t="str">
        <f>IFERROR(MINUS(DIVIDE(VLOOKUP($B655,Data!$B$3:$EZ1530,24,FALSE),VLOOKUP($B655,Data!$B$3:$EZ1530,25,FALSE)),1),"")</f>
        <v/>
      </c>
      <c r="K655" s="48">
        <f>IFERROR(MINUS(DIVIDE(VLOOKUP($B655,Data!$B$3:$EZ1530,29,FALSE),VLOOKUP($B655,Data!$B$3:$EZ1530,30,FALSE)),1),"")</f>
        <v>-0.2205023675</v>
      </c>
      <c r="L655" s="48">
        <f>IFERROR(MINUS(DIVIDE(VLOOKUP($B655,Data!$B$3:$EZ1530,34,FALSE),VLOOKUP($B655,Data!$B$3:$EZ1530,35,FALSE)),1),"")</f>
        <v>-0.215126841</v>
      </c>
      <c r="M655" s="48">
        <f>IFERROR(MINUS(DIVIDE(VLOOKUP($B655,Data!$B$3:$EZ1530,39,FALSE),VLOOKUP($B655,Data!$B$3:$EZ1530,40,FALSE)),1),"")</f>
        <v>-0.567014452</v>
      </c>
      <c r="N655" s="48">
        <f>IFERROR(MINUS(DIVIDE(VLOOKUP($B655,Data!$B$3:$EZ1530,44,FALSE),VLOOKUP($B655,Data!$B$3:$EZ1530,45,FALSE)),1),"")</f>
        <v>-0.04753307115</v>
      </c>
      <c r="O655" s="50">
        <f>IFERROR(VLOOKUP($B655,Data!$B$3:$D1530,2,FALSE),"")</f>
        <v>1070000</v>
      </c>
      <c r="P655" s="50">
        <f>IFERROR(VLOOKUP($B655,Data!$B$3:$D1530,3,FALSE),"")</f>
        <v>831440</v>
      </c>
      <c r="Q655" s="48">
        <f t="shared" si="2"/>
        <v>0.2869238911</v>
      </c>
      <c r="R655" s="48"/>
      <c r="S655" s="48"/>
      <c r="T655" s="48"/>
      <c r="U655" s="48"/>
      <c r="V655" s="48"/>
      <c r="W655" s="50"/>
      <c r="Z655" s="15"/>
      <c r="AA655" s="15"/>
    </row>
    <row r="656">
      <c r="A656" s="9">
        <f t="shared" si="1"/>
        <v>653</v>
      </c>
      <c r="B656" s="47" t="s">
        <v>790</v>
      </c>
      <c r="C656" s="48">
        <f>IFERROR(DIVIDE(VLOOKUP($B656,Data!$B$3:$AB$1535,9,FALSE),VLOOKUP($B656,Data!$B$3:$AB$1535,4,FALSE)),"")</f>
        <v>0.2183686177</v>
      </c>
      <c r="D656" s="48">
        <f>IFERROR(DIVIDE(VLOOKUP($B656,Data!$B$3:$AB$1535,24,FALSE),VLOOKUP($B656,Data!$B$3:$AB$1535,4,FALSE)),"")</f>
        <v>0</v>
      </c>
      <c r="E656" s="48">
        <f>IFERROR(DIVIDE(VLOOKUP($B656,Data!$B$3:$EZ1530,29,FALSE),VLOOKUP($B656,Data!$B$3:$EZ1530,4,FALSE)),"")</f>
        <v>-0.6887297634</v>
      </c>
      <c r="F656" s="48">
        <f>IFERROR(DIVIDE(VLOOKUP($B656,Data!$B$3:$EZ1530,34,FALSE),VLOOKUP($B656,Data!$B$3:$EZ1530,4,FALSE)),"")</f>
        <v>-0.7202988792</v>
      </c>
      <c r="G656" s="48">
        <f>IFERROR(DIVIDE(VLOOKUP($B656,Data!$B$3:$EZ1530,39,FALSE),VLOOKUP($B656,Data!$B$3:$EZ1530,4,FALSE)),"")</f>
        <v>-0.5174968867</v>
      </c>
      <c r="H656" s="48">
        <f>IFERROR(DIVIDE(VLOOKUP($B656,Data!$B$3:$EZ1530,44,FALSE),VLOOKUP($B656,Data!$B$3:$EZ1530,4,FALSE)),"")</f>
        <v>-0.3940846824</v>
      </c>
      <c r="I656" s="48">
        <f>IFERROR(MINUS(DIVIDE(VLOOKUP($B656,Data!$B$3:$EZ1530,9,FALSE),VLOOKUP($B656,Data!$B$3:$EZ1530,10,FALSE)),1),"")</f>
        <v>-0.3335233751</v>
      </c>
      <c r="J656" s="48" t="str">
        <f>IFERROR(MINUS(DIVIDE(VLOOKUP($B656,Data!$B$3:$EZ1530,24,FALSE),VLOOKUP($B656,Data!$B$3:$EZ1530,25,FALSE)),1),"")</f>
        <v/>
      </c>
      <c r="K656" s="48">
        <f>IFERROR(MINUS(DIVIDE(VLOOKUP($B656,Data!$B$3:$EZ1530,29,FALSE),VLOOKUP($B656,Data!$B$3:$EZ1530,30,FALSE)),1),"")</f>
        <v>0.7019541468</v>
      </c>
      <c r="L656" s="48">
        <f>IFERROR(MINUS(DIVIDE(VLOOKUP($B656,Data!$B$3:$EZ1530,34,FALSE),VLOOKUP($B656,Data!$B$3:$EZ1530,35,FALSE)),1),"")</f>
        <v>0.7049373618</v>
      </c>
      <c r="M656" s="48">
        <f>IFERROR(MINUS(DIVIDE(VLOOKUP($B656,Data!$B$3:$EZ1530,39,FALSE),VLOOKUP($B656,Data!$B$3:$EZ1530,40,FALSE)),1),"")</f>
        <v>0.4814616756</v>
      </c>
      <c r="N656" s="48">
        <f>IFERROR(MINUS(DIVIDE(VLOOKUP($B656,Data!$B$3:$EZ1530,44,FALSE),VLOOKUP($B656,Data!$B$3:$EZ1530,45,FALSE)),1),"")</f>
        <v>2.214321991</v>
      </c>
      <c r="O656" s="50">
        <f>IFERROR(VLOOKUP($B656,Data!$B$3:$D1530,2,FALSE),"")</f>
        <v>289640</v>
      </c>
      <c r="P656" s="50">
        <f>IFERROR(VLOOKUP($B656,Data!$B$3:$D1530,3,FALSE),"")</f>
        <v>217310</v>
      </c>
      <c r="Q656" s="48">
        <f t="shared" si="2"/>
        <v>0.3328424831</v>
      </c>
      <c r="R656" s="48"/>
      <c r="S656" s="48"/>
      <c r="T656" s="48"/>
      <c r="U656" s="48"/>
      <c r="V656" s="48"/>
      <c r="W656" s="50"/>
      <c r="Z656" s="11"/>
      <c r="AA656" s="11"/>
    </row>
    <row r="657">
      <c r="A657" s="9">
        <f t="shared" si="1"/>
        <v>654</v>
      </c>
      <c r="B657" s="47" t="s">
        <v>791</v>
      </c>
      <c r="C657" s="48">
        <f>IFERROR(DIVIDE(VLOOKUP($B657,Data!$B$3:$AB$1535,9,FALSE),VLOOKUP($B657,Data!$B$3:$AB$1535,4,FALSE)),"")</f>
        <v>0.1238586957</v>
      </c>
      <c r="D657" s="48">
        <f>IFERROR(DIVIDE(VLOOKUP($B657,Data!$B$3:$AB$1535,24,FALSE),VLOOKUP($B657,Data!$B$3:$AB$1535,4,FALSE)),"")</f>
        <v>0</v>
      </c>
      <c r="E657" s="48">
        <f>IFERROR(DIVIDE(VLOOKUP($B657,Data!$B$3:$EZ1530,29,FALSE),VLOOKUP($B657,Data!$B$3:$EZ1530,4,FALSE)),"")</f>
        <v>0.04625</v>
      </c>
      <c r="F657" s="48">
        <f>IFERROR(DIVIDE(VLOOKUP($B657,Data!$B$3:$EZ1530,34,FALSE),VLOOKUP($B657,Data!$B$3:$EZ1530,4,FALSE)),"")</f>
        <v>0.04990217391</v>
      </c>
      <c r="G657" s="48">
        <f>IFERROR(DIVIDE(VLOOKUP($B657,Data!$B$3:$EZ1530,39,FALSE),VLOOKUP($B657,Data!$B$3:$EZ1530,4,FALSE)),"")</f>
        <v>0.03509782609</v>
      </c>
      <c r="H657" s="48">
        <f>IFERROR(DIVIDE(VLOOKUP($B657,Data!$B$3:$EZ1530,44,FALSE),VLOOKUP($B657,Data!$B$3:$EZ1530,4,FALSE)),"")</f>
        <v>0.05085869565</v>
      </c>
      <c r="I657" s="48">
        <f>IFERROR(MINUS(DIVIDE(VLOOKUP($B657,Data!$B$3:$EZ1530,9,FALSE),VLOOKUP($B657,Data!$B$3:$EZ1530,10,FALSE)),1),"")</f>
        <v>-0.02789626344</v>
      </c>
      <c r="J657" s="48" t="str">
        <f>IFERROR(MINUS(DIVIDE(VLOOKUP($B657,Data!$B$3:$EZ1530,24,FALSE),VLOOKUP($B657,Data!$B$3:$EZ1530,25,FALSE)),1),"")</f>
        <v/>
      </c>
      <c r="K657" s="48">
        <f>IFERROR(MINUS(DIVIDE(VLOOKUP($B657,Data!$B$3:$EZ1530,29,FALSE),VLOOKUP($B657,Data!$B$3:$EZ1530,30,FALSE)),1),"")</f>
        <v>-0.1482334101</v>
      </c>
      <c r="L657" s="48">
        <f>IFERROR(MINUS(DIVIDE(VLOOKUP($B657,Data!$B$3:$EZ1530,34,FALSE),VLOOKUP($B657,Data!$B$3:$EZ1530,35,FALSE)),1),"")</f>
        <v>-0.1427504435</v>
      </c>
      <c r="M657" s="48">
        <f>IFERROR(MINUS(DIVIDE(VLOOKUP($B657,Data!$B$3:$EZ1530,39,FALSE),VLOOKUP($B657,Data!$B$3:$EZ1530,40,FALSE)),1),"")</f>
        <v>-0.2267720307</v>
      </c>
      <c r="N657" s="48">
        <f>IFERROR(MINUS(DIVIDE(VLOOKUP($B657,Data!$B$3:$EZ1530,44,FALSE),VLOOKUP($B657,Data!$B$3:$EZ1530,45,FALSE)),1),"")</f>
        <v>0.1693115082</v>
      </c>
      <c r="O657" s="50">
        <f>IFERROR(VLOOKUP($B657,Data!$B$3:$D1530,2,FALSE),"")</f>
        <v>1850000</v>
      </c>
      <c r="P657" s="50">
        <f>IFERROR(VLOOKUP($B657,Data!$B$3:$D1530,3,FALSE),"")</f>
        <v>1790000</v>
      </c>
      <c r="Q657" s="48">
        <f t="shared" si="2"/>
        <v>0.03351955307</v>
      </c>
      <c r="R657" s="48"/>
      <c r="S657" s="48"/>
      <c r="T657" s="48"/>
      <c r="U657" s="48"/>
      <c r="V657" s="48"/>
      <c r="W657" s="50"/>
      <c r="Z657" s="15"/>
      <c r="AA657" s="15"/>
    </row>
    <row r="658">
      <c r="A658" s="9">
        <f t="shared" si="1"/>
        <v>655</v>
      </c>
      <c r="B658" s="47" t="s">
        <v>792</v>
      </c>
      <c r="C658" s="48">
        <f>IFERROR(DIVIDE(VLOOKUP($B658,Data!$B$3:$AB$1535,9,FALSE),VLOOKUP($B658,Data!$B$3:$AB$1535,4,FALSE)),"")</f>
        <v>0.3227796426</v>
      </c>
      <c r="D658" s="48">
        <f>IFERROR(DIVIDE(VLOOKUP($B658,Data!$B$3:$AB$1535,24,FALSE),VLOOKUP($B658,Data!$B$3:$AB$1535,4,FALSE)),"")</f>
        <v>0</v>
      </c>
      <c r="E658" s="48">
        <f>IFERROR(DIVIDE(VLOOKUP($B658,Data!$B$3:$EZ1530,29,FALSE),VLOOKUP($B658,Data!$B$3:$EZ1530,4,FALSE)),"")</f>
        <v>0.133538964</v>
      </c>
      <c r="F658" s="48">
        <f>IFERROR(DIVIDE(VLOOKUP($B658,Data!$B$3:$EZ1530,34,FALSE),VLOOKUP($B658,Data!$B$3:$EZ1530,4,FALSE)),"")</f>
        <v>0.1645650005</v>
      </c>
      <c r="G658" s="48">
        <f>IFERROR(DIVIDE(VLOOKUP($B658,Data!$B$3:$EZ1530,39,FALSE),VLOOKUP($B658,Data!$B$3:$EZ1530,4,FALSE)),"")</f>
        <v>0.1019686111</v>
      </c>
      <c r="H658" s="48">
        <f>IFERROR(DIVIDE(VLOOKUP($B658,Data!$B$3:$EZ1530,44,FALSE),VLOOKUP($B658,Data!$B$3:$EZ1530,4,FALSE)),"")</f>
        <v>0.1244670235</v>
      </c>
      <c r="I658" s="48">
        <f>IFERROR(MINUS(DIVIDE(VLOOKUP($B658,Data!$B$3:$EZ1530,9,FALSE),VLOOKUP($B658,Data!$B$3:$EZ1530,10,FALSE)),1),"")</f>
        <v>0.00821762539</v>
      </c>
      <c r="J658" s="48">
        <f>IFERROR(MINUS(DIVIDE(VLOOKUP($B658,Data!$B$3:$EZ1530,24,FALSE),VLOOKUP($B658,Data!$B$3:$EZ1530,25,FALSE)),1),"")</f>
        <v>-1</v>
      </c>
      <c r="K658" s="48">
        <f>IFERROR(MINUS(DIVIDE(VLOOKUP($B658,Data!$B$3:$EZ1530,29,FALSE),VLOOKUP($B658,Data!$B$3:$EZ1530,30,FALSE)),1),"")</f>
        <v>0.01098901099</v>
      </c>
      <c r="L658" s="48">
        <f>IFERROR(MINUS(DIVIDE(VLOOKUP($B658,Data!$B$3:$EZ1530,34,FALSE),VLOOKUP($B658,Data!$B$3:$EZ1530,35,FALSE)),1),"")</f>
        <v>0.01171221417</v>
      </c>
      <c r="M658" s="48">
        <f>IFERROR(MINUS(DIVIDE(VLOOKUP($B658,Data!$B$3:$EZ1530,39,FALSE),VLOOKUP($B658,Data!$B$3:$EZ1530,40,FALSE)),1),"")</f>
        <v>0.01079136691</v>
      </c>
      <c r="N658" s="48">
        <f>IFERROR(MINUS(DIVIDE(VLOOKUP($B658,Data!$B$3:$EZ1530,44,FALSE),VLOOKUP($B658,Data!$B$3:$EZ1530,45,FALSE)),1),"")</f>
        <v>0.05214723926</v>
      </c>
      <c r="O658" s="50">
        <f>IFERROR(VLOOKUP($B658,Data!$B$3:$D1530,2,FALSE),"")</f>
        <v>120990000</v>
      </c>
      <c r="P658" s="50">
        <f>IFERROR(VLOOKUP($B658,Data!$B$3:$D1530,3,FALSE),"")</f>
        <v>118200000</v>
      </c>
      <c r="Q658" s="48">
        <f t="shared" si="2"/>
        <v>0.02360406091</v>
      </c>
      <c r="R658" s="48"/>
      <c r="S658" s="48"/>
      <c r="T658" s="48"/>
      <c r="U658" s="48"/>
      <c r="V658" s="48"/>
      <c r="W658" s="50"/>
      <c r="Z658" s="11"/>
      <c r="AA658" s="11"/>
    </row>
    <row r="659">
      <c r="A659" s="9">
        <f t="shared" si="1"/>
        <v>656</v>
      </c>
      <c r="B659" s="47" t="s">
        <v>793</v>
      </c>
      <c r="C659" s="48">
        <f>IFERROR(DIVIDE(VLOOKUP($B659,Data!$B$3:$AB$1535,9,FALSE),VLOOKUP($B659,Data!$B$3:$AB$1535,4,FALSE)),"")</f>
        <v>0.3739837398</v>
      </c>
      <c r="D659" s="48">
        <f>IFERROR(DIVIDE(VLOOKUP($B659,Data!$B$3:$AB$1535,24,FALSE),VLOOKUP($B659,Data!$B$3:$AB$1535,4,FALSE)),"")</f>
        <v>0.1175609756</v>
      </c>
      <c r="E659" s="48">
        <f>IFERROR(DIVIDE(VLOOKUP($B659,Data!$B$3:$EZ1530,29,FALSE),VLOOKUP($B659,Data!$B$3:$EZ1530,4,FALSE)),"")</f>
        <v>0.09967479675</v>
      </c>
      <c r="F659" s="48">
        <f>IFERROR(DIVIDE(VLOOKUP($B659,Data!$B$3:$EZ1530,34,FALSE),VLOOKUP($B659,Data!$B$3:$EZ1530,4,FALSE)),"")</f>
        <v>0.1380487805</v>
      </c>
      <c r="G659" s="48">
        <f>IFERROR(DIVIDE(VLOOKUP($B659,Data!$B$3:$EZ1530,39,FALSE),VLOOKUP($B659,Data!$B$3:$EZ1530,4,FALSE)),"")</f>
        <v>0.07333333333</v>
      </c>
      <c r="H659" s="48">
        <f>IFERROR(DIVIDE(VLOOKUP($B659,Data!$B$3:$EZ1530,44,FALSE),VLOOKUP($B659,Data!$B$3:$EZ1530,4,FALSE)),"")</f>
        <v>0.1100813008</v>
      </c>
      <c r="I659" s="48">
        <f>IFERROR(MINUS(DIVIDE(VLOOKUP($B659,Data!$B$3:$EZ1530,9,FALSE),VLOOKUP($B659,Data!$B$3:$EZ1530,10,FALSE)),1),"")</f>
        <v>0.008771929825</v>
      </c>
      <c r="J659" s="48">
        <f>IFERROR(MINUS(DIVIDE(VLOOKUP($B659,Data!$B$3:$EZ1530,24,FALSE),VLOOKUP($B659,Data!$B$3:$EZ1530,25,FALSE)),1),"")</f>
        <v>0.1038167939</v>
      </c>
      <c r="K659" s="48">
        <f>IFERROR(MINUS(DIVIDE(VLOOKUP($B659,Data!$B$3:$EZ1530,29,FALSE),VLOOKUP($B659,Data!$B$3:$EZ1530,30,FALSE)),1),"")</f>
        <v>0.1653992395</v>
      </c>
      <c r="L659" s="48">
        <f>IFERROR(MINUS(DIVIDE(VLOOKUP($B659,Data!$B$3:$EZ1530,34,FALSE),VLOOKUP($B659,Data!$B$3:$EZ1530,35,FALSE)),1),"")</f>
        <v>0.004733727811</v>
      </c>
      <c r="M659" s="48">
        <f>IFERROR(MINUS(DIVIDE(VLOOKUP($B659,Data!$B$3:$EZ1530,39,FALSE),VLOOKUP($B659,Data!$B$3:$EZ1530,40,FALSE)),1),"")</f>
        <v>0.1534526854</v>
      </c>
      <c r="N659" s="48">
        <f>IFERROR(MINUS(DIVIDE(VLOOKUP($B659,Data!$B$3:$EZ1530,44,FALSE),VLOOKUP($B659,Data!$B$3:$EZ1530,45,FALSE)),1),"")</f>
        <v>0.1592465753</v>
      </c>
      <c r="O659" s="50">
        <f>IFERROR(VLOOKUP($B659,Data!$B$3:$D1530,2,FALSE),"")</f>
        <v>6170000</v>
      </c>
      <c r="P659" s="50">
        <f>IFERROR(VLOOKUP($B659,Data!$B$3:$D1530,3,FALSE),"")</f>
        <v>5970000</v>
      </c>
      <c r="Q659" s="48">
        <f t="shared" si="2"/>
        <v>0.03350083752</v>
      </c>
      <c r="R659" s="48"/>
      <c r="S659" s="48"/>
      <c r="T659" s="48"/>
      <c r="U659" s="48"/>
      <c r="V659" s="48"/>
      <c r="W659" s="50"/>
      <c r="Z659" s="11"/>
      <c r="AA659" s="11"/>
    </row>
    <row r="660">
      <c r="A660" s="9">
        <f t="shared" si="1"/>
        <v>657</v>
      </c>
      <c r="B660" s="47" t="s">
        <v>794</v>
      </c>
      <c r="C660" s="48">
        <f>IFERROR(DIVIDE(VLOOKUP($B660,Data!$B$3:$AB$1535,9,FALSE),VLOOKUP($B660,Data!$B$3:$AB$1535,4,FALSE)),"")</f>
        <v>0.3369851852</v>
      </c>
      <c r="D660" s="48">
        <f>IFERROR(DIVIDE(VLOOKUP($B660,Data!$B$3:$AB$1535,24,FALSE),VLOOKUP($B660,Data!$B$3:$AB$1535,4,FALSE)),"")</f>
        <v>0.1300296296</v>
      </c>
      <c r="E660" s="48">
        <f>IFERROR(DIVIDE(VLOOKUP($B660,Data!$B$3:$EZ1530,29,FALSE),VLOOKUP($B660,Data!$B$3:$EZ1530,4,FALSE)),"")</f>
        <v>0.08582222222</v>
      </c>
      <c r="F660" s="48">
        <f>IFERROR(DIVIDE(VLOOKUP($B660,Data!$B$3:$EZ1530,34,FALSE),VLOOKUP($B660,Data!$B$3:$EZ1530,4,FALSE)),"")</f>
        <v>0.3527111111</v>
      </c>
      <c r="G660" s="48">
        <f>IFERROR(DIVIDE(VLOOKUP($B660,Data!$B$3:$EZ1530,39,FALSE),VLOOKUP($B660,Data!$B$3:$EZ1530,4,FALSE)),"")</f>
        <v>0.0646</v>
      </c>
      <c r="H660" s="48">
        <f>IFERROR(DIVIDE(VLOOKUP($B660,Data!$B$3:$EZ1530,44,FALSE),VLOOKUP($B660,Data!$B$3:$EZ1530,4,FALSE)),"")</f>
        <v>0.2353185185</v>
      </c>
      <c r="I660" s="48">
        <f>IFERROR(MINUS(DIVIDE(VLOOKUP($B660,Data!$B$3:$EZ1530,9,FALSE),VLOOKUP($B660,Data!$B$3:$EZ1530,10,FALSE)),1),"")</f>
        <v>0.1079099898</v>
      </c>
      <c r="J660" s="48">
        <f>IFERROR(MINUS(DIVIDE(VLOOKUP($B660,Data!$B$3:$EZ1530,24,FALSE),VLOOKUP($B660,Data!$B$3:$EZ1530,25,FALSE)),1),"")</f>
        <v>0.1003572996</v>
      </c>
      <c r="K660" s="48">
        <f>IFERROR(MINUS(DIVIDE(VLOOKUP($B660,Data!$B$3:$EZ1530,29,FALSE),VLOOKUP($B660,Data!$B$3:$EZ1530,30,FALSE)),1),"")</f>
        <v>0.1070131856</v>
      </c>
      <c r="L660" s="48">
        <f>IFERROR(MINUS(DIVIDE(VLOOKUP($B660,Data!$B$3:$EZ1530,34,FALSE),VLOOKUP($B660,Data!$B$3:$EZ1530,35,FALSE)),1),"")</f>
        <v>0.2006051437</v>
      </c>
      <c r="M660" s="48">
        <f>IFERROR(MINUS(DIVIDE(VLOOKUP($B660,Data!$B$3:$EZ1530,39,FALSE),VLOOKUP($B660,Data!$B$3:$EZ1530,40,FALSE)),1),"")</f>
        <v>0.1382145654</v>
      </c>
      <c r="N660" s="48">
        <f>IFERROR(MINUS(DIVIDE(VLOOKUP($B660,Data!$B$3:$EZ1530,44,FALSE),VLOOKUP($B660,Data!$B$3:$EZ1530,45,FALSE)),1),"")</f>
        <v>0.2850612839</v>
      </c>
      <c r="O660" s="50">
        <f>IFERROR(VLOOKUP($B660,Data!$B$3:$D1530,2,FALSE),"")</f>
        <v>1210000</v>
      </c>
      <c r="P660" s="50">
        <f>IFERROR(VLOOKUP($B660,Data!$B$3:$D1530,3,FALSE),"")</f>
        <v>1170000</v>
      </c>
      <c r="Q660" s="48">
        <f t="shared" si="2"/>
        <v>0.03418803419</v>
      </c>
      <c r="R660" s="48"/>
      <c r="S660" s="48"/>
      <c r="T660" s="48"/>
      <c r="U660" s="48"/>
      <c r="V660" s="48"/>
      <c r="W660" s="50"/>
      <c r="Z660" s="11"/>
      <c r="AA660" s="11"/>
    </row>
    <row r="661">
      <c r="A661" s="9">
        <f t="shared" si="1"/>
        <v>658</v>
      </c>
      <c r="B661" s="47" t="s">
        <v>795</v>
      </c>
      <c r="C661" s="48">
        <f>IFERROR(DIVIDE(VLOOKUP($B661,Data!$B$3:$AB$1535,9,FALSE),VLOOKUP($B661,Data!$B$3:$AB$1535,4,FALSE)),"")</f>
        <v>0.4274126214</v>
      </c>
      <c r="D661" s="48">
        <f>IFERROR(DIVIDE(VLOOKUP($B661,Data!$B$3:$AB$1535,24,FALSE),VLOOKUP($B661,Data!$B$3:$AB$1535,4,FALSE)),"")</f>
        <v>0.2219466019</v>
      </c>
      <c r="E661" s="48">
        <f>IFERROR(DIVIDE(VLOOKUP($B661,Data!$B$3:$EZ1530,29,FALSE),VLOOKUP($B661,Data!$B$3:$EZ1530,4,FALSE)),"")</f>
        <v>0.2125436893</v>
      </c>
      <c r="F661" s="48">
        <f>IFERROR(DIVIDE(VLOOKUP($B661,Data!$B$3:$EZ1530,34,FALSE),VLOOKUP($B661,Data!$B$3:$EZ1530,4,FALSE)),"")</f>
        <v>0.2633203883</v>
      </c>
      <c r="G661" s="48">
        <f>IFERROR(DIVIDE(VLOOKUP($B661,Data!$B$3:$EZ1530,39,FALSE),VLOOKUP($B661,Data!$B$3:$EZ1530,4,FALSE)),"")</f>
        <v>0.1591747573</v>
      </c>
      <c r="H661" s="48">
        <f>IFERROR(DIVIDE(VLOOKUP($B661,Data!$B$3:$EZ1530,44,FALSE),VLOOKUP($B661,Data!$B$3:$EZ1530,4,FALSE)),"")</f>
        <v>0.2123203883</v>
      </c>
      <c r="I661" s="48">
        <f>IFERROR(MINUS(DIVIDE(VLOOKUP($B661,Data!$B$3:$EZ1530,9,FALSE),VLOOKUP($B661,Data!$B$3:$EZ1530,10,FALSE)),1),"")</f>
        <v>0.1768314688</v>
      </c>
      <c r="J661" s="48">
        <f>IFERROR(MINUS(DIVIDE(VLOOKUP($B661,Data!$B$3:$EZ1530,24,FALSE),VLOOKUP($B661,Data!$B$3:$EZ1530,25,FALSE)),1),"")</f>
        <v>0.2148854759</v>
      </c>
      <c r="K661" s="48">
        <f>IFERROR(MINUS(DIVIDE(VLOOKUP($B661,Data!$B$3:$EZ1530,29,FALSE),VLOOKUP($B661,Data!$B$3:$EZ1530,30,FALSE)),1),"")</f>
        <v>0.2288865812</v>
      </c>
      <c r="L661" s="48">
        <f>IFERROR(MINUS(DIVIDE(VLOOKUP($B661,Data!$B$3:$EZ1530,34,FALSE),VLOOKUP($B661,Data!$B$3:$EZ1530,35,FALSE)),1),"")</f>
        <v>0.2025627951</v>
      </c>
      <c r="M661" s="48">
        <f>IFERROR(MINUS(DIVIDE(VLOOKUP($B661,Data!$B$3:$EZ1530,39,FALSE),VLOOKUP($B661,Data!$B$3:$EZ1530,40,FALSE)),1),"")</f>
        <v>0.2648998958</v>
      </c>
      <c r="N661" s="48">
        <f>IFERROR(MINUS(DIVIDE(VLOOKUP($B661,Data!$B$3:$EZ1530,44,FALSE),VLOOKUP($B661,Data!$B$3:$EZ1530,45,FALSE)),1),"")</f>
        <v>0.3314864988</v>
      </c>
      <c r="O661" s="50">
        <f>IFERROR(VLOOKUP($B661,Data!$B$3:$D1530,2,FALSE),"")</f>
        <v>1880000</v>
      </c>
      <c r="P661" s="50">
        <f>IFERROR(VLOOKUP($B661,Data!$B$3:$D1530,3,FALSE),"")</f>
        <v>1770000</v>
      </c>
      <c r="Q661" s="48">
        <f t="shared" si="2"/>
        <v>0.06214689266</v>
      </c>
      <c r="R661" s="48"/>
      <c r="S661" s="48"/>
      <c r="T661" s="48"/>
      <c r="U661" s="48"/>
      <c r="V661" s="48"/>
      <c r="W661" s="50"/>
      <c r="Z661" s="11"/>
      <c r="AA661" s="11"/>
    </row>
    <row r="662">
      <c r="A662" s="9">
        <f t="shared" si="1"/>
        <v>659</v>
      </c>
      <c r="B662" s="47" t="s">
        <v>796</v>
      </c>
      <c r="C662" s="48">
        <f>IFERROR(DIVIDE(VLOOKUP($B662,Data!$B$3:$AB$1535,9,FALSE),VLOOKUP($B662,Data!$B$3:$AB$1535,4,FALSE)),"")</f>
        <v>0.4101754386</v>
      </c>
      <c r="D662" s="48">
        <f>IFERROR(DIVIDE(VLOOKUP($B662,Data!$B$3:$AB$1535,24,FALSE),VLOOKUP($B662,Data!$B$3:$AB$1535,4,FALSE)),"")</f>
        <v>0.104625731</v>
      </c>
      <c r="E662" s="48">
        <f>IFERROR(DIVIDE(VLOOKUP($B662,Data!$B$3:$EZ1530,29,FALSE),VLOOKUP($B662,Data!$B$3:$EZ1530,4,FALSE)),"")</f>
        <v>0.09704093567</v>
      </c>
      <c r="F662" s="48">
        <f>IFERROR(DIVIDE(VLOOKUP($B662,Data!$B$3:$EZ1530,34,FALSE),VLOOKUP($B662,Data!$B$3:$EZ1530,4,FALSE)),"")</f>
        <v>0.1545964912</v>
      </c>
      <c r="G662" s="48">
        <f>IFERROR(DIVIDE(VLOOKUP($B662,Data!$B$3:$EZ1530,39,FALSE),VLOOKUP($B662,Data!$B$3:$EZ1530,4,FALSE)),"")</f>
        <v>0.08908187135</v>
      </c>
      <c r="H662" s="48">
        <f>IFERROR(DIVIDE(VLOOKUP($B662,Data!$B$3:$EZ1530,44,FALSE),VLOOKUP($B662,Data!$B$3:$EZ1530,4,FALSE)),"")</f>
        <v>0.1586491228</v>
      </c>
      <c r="I662" s="48">
        <f>IFERROR(MINUS(DIVIDE(VLOOKUP($B662,Data!$B$3:$EZ1530,9,FALSE),VLOOKUP($B662,Data!$B$3:$EZ1530,10,FALSE)),1),"")</f>
        <v>0.1399687947</v>
      </c>
      <c r="J662" s="48">
        <f>IFERROR(MINUS(DIVIDE(VLOOKUP($B662,Data!$B$3:$EZ1530,24,FALSE),VLOOKUP($B662,Data!$B$3:$EZ1530,25,FALSE)),1),"")</f>
        <v>-0.113999901</v>
      </c>
      <c r="K662" s="48">
        <f>IFERROR(MINUS(DIVIDE(VLOOKUP($B662,Data!$B$3:$EZ1530,29,FALSE),VLOOKUP($B662,Data!$B$3:$EZ1530,30,FALSE)),1),"")</f>
        <v>-0.1173404255</v>
      </c>
      <c r="L662" s="48">
        <f>IFERROR(MINUS(DIVIDE(VLOOKUP($B662,Data!$B$3:$EZ1530,34,FALSE),VLOOKUP($B662,Data!$B$3:$EZ1530,35,FALSE)),1),"")</f>
        <v>0.1293574846</v>
      </c>
      <c r="M662" s="48">
        <f>IFERROR(MINUS(DIVIDE(VLOOKUP($B662,Data!$B$3:$EZ1530,39,FALSE),VLOOKUP($B662,Data!$B$3:$EZ1530,40,FALSE)),1),"")</f>
        <v>-0.1256457353</v>
      </c>
      <c r="N662" s="48">
        <f>IFERROR(MINUS(DIVIDE(VLOOKUP($B662,Data!$B$3:$EZ1530,44,FALSE),VLOOKUP($B662,Data!$B$3:$EZ1530,45,FALSE)),1),"")</f>
        <v>0.389093702</v>
      </c>
      <c r="O662" s="50">
        <f>IFERROR(VLOOKUP($B662,Data!$B$3:$D1530,2,FALSE),"")</f>
        <v>1860000</v>
      </c>
      <c r="P662" s="50">
        <f>IFERROR(VLOOKUP($B662,Data!$B$3:$D1530,3,FALSE),"")</f>
        <v>1810000</v>
      </c>
      <c r="Q662" s="48">
        <f t="shared" si="2"/>
        <v>0.02762430939</v>
      </c>
      <c r="R662" s="48"/>
      <c r="S662" s="48"/>
      <c r="T662" s="48"/>
      <c r="U662" s="48"/>
      <c r="V662" s="48"/>
      <c r="W662" s="50"/>
      <c r="Z662" s="11"/>
      <c r="AA662" s="11"/>
    </row>
    <row r="663">
      <c r="A663" s="9">
        <f t="shared" si="1"/>
        <v>660</v>
      </c>
      <c r="B663" s="47" t="s">
        <v>797</v>
      </c>
      <c r="C663" s="48">
        <f>IFERROR(DIVIDE(VLOOKUP($B663,Data!$B$3:$AB$1535,9,FALSE),VLOOKUP($B663,Data!$B$3:$AB$1535,4,FALSE)),"")</f>
        <v>0.2864130435</v>
      </c>
      <c r="D663" s="48">
        <f>IFERROR(DIVIDE(VLOOKUP($B663,Data!$B$3:$AB$1535,24,FALSE),VLOOKUP($B663,Data!$B$3:$AB$1535,4,FALSE)),"")</f>
        <v>0</v>
      </c>
      <c r="E663" s="48">
        <f>IFERROR(DIVIDE(VLOOKUP($B663,Data!$B$3:$EZ1530,29,FALSE),VLOOKUP($B663,Data!$B$3:$EZ1530,4,FALSE)),"")</f>
        <v>0.1483695652</v>
      </c>
      <c r="F663" s="48">
        <f>IFERROR(DIVIDE(VLOOKUP($B663,Data!$B$3:$EZ1530,34,FALSE),VLOOKUP($B663,Data!$B$3:$EZ1530,4,FALSE)),"")</f>
        <v>0.1989130435</v>
      </c>
      <c r="G663" s="48">
        <f>IFERROR(DIVIDE(VLOOKUP($B663,Data!$B$3:$EZ1530,39,FALSE),VLOOKUP($B663,Data!$B$3:$EZ1530,4,FALSE)),"")</f>
        <v>0.1173913043</v>
      </c>
      <c r="H663" s="48">
        <f>IFERROR(DIVIDE(VLOOKUP($B663,Data!$B$3:$EZ1530,44,FALSE),VLOOKUP($B663,Data!$B$3:$EZ1530,4,FALSE)),"")</f>
        <v>0.07880434783</v>
      </c>
      <c r="I663" s="48">
        <f>IFERROR(MINUS(DIVIDE(VLOOKUP($B663,Data!$B$3:$EZ1530,9,FALSE),VLOOKUP($B663,Data!$B$3:$EZ1530,10,FALSE)),1),"")</f>
        <v>-0.18798151</v>
      </c>
      <c r="J663" s="48" t="str">
        <f>IFERROR(MINUS(DIVIDE(VLOOKUP($B663,Data!$B$3:$EZ1530,24,FALSE),VLOOKUP($B663,Data!$B$3:$EZ1530,25,FALSE)),1),"")</f>
        <v/>
      </c>
      <c r="K663" s="48">
        <f>IFERROR(MINUS(DIVIDE(VLOOKUP($B663,Data!$B$3:$EZ1530,29,FALSE),VLOOKUP($B663,Data!$B$3:$EZ1530,30,FALSE)),1),"")</f>
        <v>-0.3225806452</v>
      </c>
      <c r="L663" s="48">
        <f>IFERROR(MINUS(DIVIDE(VLOOKUP($B663,Data!$B$3:$EZ1530,34,FALSE),VLOOKUP($B663,Data!$B$3:$EZ1530,35,FALSE)),1),"")</f>
        <v>-0.2212765957</v>
      </c>
      <c r="M663" s="48">
        <f>IFERROR(MINUS(DIVIDE(VLOOKUP($B663,Data!$B$3:$EZ1530,39,FALSE),VLOOKUP($B663,Data!$B$3:$EZ1530,40,FALSE)),1),"")</f>
        <v>-0.2751677852</v>
      </c>
      <c r="N663" s="48">
        <f>IFERROR(MINUS(DIVIDE(VLOOKUP($B663,Data!$B$3:$EZ1530,44,FALSE),VLOOKUP($B663,Data!$B$3:$EZ1530,45,FALSE)),1),"")</f>
        <v>-1.911949686</v>
      </c>
      <c r="O663" s="50">
        <f>IFERROR(VLOOKUP($B663,Data!$B$3:$D1530,2,FALSE),"")</f>
        <v>1680000</v>
      </c>
      <c r="P663" s="50">
        <f>IFERROR(VLOOKUP($B663,Data!$B$3:$D1530,3,FALSE),"")</f>
        <v>1170000</v>
      </c>
      <c r="Q663" s="48">
        <f t="shared" si="2"/>
        <v>0.4358974359</v>
      </c>
      <c r="R663" s="48"/>
      <c r="S663" s="48"/>
      <c r="T663" s="48"/>
      <c r="U663" s="48"/>
      <c r="V663" s="48"/>
      <c r="W663" s="50"/>
      <c r="Z663" s="11"/>
      <c r="AA663" s="11"/>
    </row>
    <row r="664">
      <c r="A664" s="9">
        <f t="shared" si="1"/>
        <v>661</v>
      </c>
      <c r="B664" s="47" t="s">
        <v>798</v>
      </c>
      <c r="C664" s="48">
        <f>IFERROR(DIVIDE(VLOOKUP($B664,Data!$B$3:$AB$1535,9,FALSE),VLOOKUP($B664,Data!$B$3:$AB$1535,4,FALSE)),"")</f>
        <v>0.3000084746</v>
      </c>
      <c r="D664" s="48">
        <f>IFERROR(DIVIDE(VLOOKUP($B664,Data!$B$3:$AB$1535,24,FALSE),VLOOKUP($B664,Data!$B$3:$AB$1535,4,FALSE)),"")</f>
        <v>0.03061016949</v>
      </c>
      <c r="E664" s="48">
        <f>IFERROR(DIVIDE(VLOOKUP($B664,Data!$B$3:$EZ1530,29,FALSE),VLOOKUP($B664,Data!$B$3:$EZ1530,4,FALSE)),"")</f>
        <v>0.03078813559</v>
      </c>
      <c r="F664" s="48">
        <f>IFERROR(DIVIDE(VLOOKUP($B664,Data!$B$3:$EZ1530,34,FALSE),VLOOKUP($B664,Data!$B$3:$EZ1530,4,FALSE)),"")</f>
        <v>0.07179661017</v>
      </c>
      <c r="G664" s="48">
        <f>IFERROR(DIVIDE(VLOOKUP($B664,Data!$B$3:$EZ1530,39,FALSE),VLOOKUP($B664,Data!$B$3:$EZ1530,4,FALSE)),"")</f>
        <v>0.02316949153</v>
      </c>
      <c r="H664" s="48">
        <f>IFERROR(DIVIDE(VLOOKUP($B664,Data!$B$3:$EZ1530,44,FALSE),VLOOKUP($B664,Data!$B$3:$EZ1530,4,FALSE)),"")</f>
        <v>0.07821186441</v>
      </c>
      <c r="I664" s="48">
        <f>IFERROR(MINUS(DIVIDE(VLOOKUP($B664,Data!$B$3:$EZ1530,9,FALSE),VLOOKUP($B664,Data!$B$3:$EZ1530,10,FALSE)),1),"")</f>
        <v>0.1734619464</v>
      </c>
      <c r="J664" s="48" t="str">
        <f>IFERROR(MINUS(DIVIDE(VLOOKUP($B664,Data!$B$3:$EZ1530,24,FALSE),VLOOKUP($B664,Data!$B$3:$EZ1530,25,FALSE)),1),"")</f>
        <v/>
      </c>
      <c r="K664" s="48">
        <f>IFERROR(MINUS(DIVIDE(VLOOKUP($B664,Data!$B$3:$EZ1530,29,FALSE),VLOOKUP($B664,Data!$B$3:$EZ1530,30,FALSE)),1),"")</f>
        <v>-0.03274760383</v>
      </c>
      <c r="L664" s="48">
        <f>IFERROR(MINUS(DIVIDE(VLOOKUP($B664,Data!$B$3:$EZ1530,34,FALSE),VLOOKUP($B664,Data!$B$3:$EZ1530,35,FALSE)),1),"")</f>
        <v>0.3116581514</v>
      </c>
      <c r="M664" s="48">
        <f>IFERROR(MINUS(DIVIDE(VLOOKUP($B664,Data!$B$3:$EZ1530,39,FALSE),VLOOKUP($B664,Data!$B$3:$EZ1530,40,FALSE)),1),"")</f>
        <v>-0.03800140746</v>
      </c>
      <c r="N664" s="48">
        <f>IFERROR(MINUS(DIVIDE(VLOOKUP($B664,Data!$B$3:$EZ1530,44,FALSE),VLOOKUP($B664,Data!$B$3:$EZ1530,45,FALSE)),1),"")</f>
        <v>0.2570144375</v>
      </c>
      <c r="O664" s="50">
        <f>IFERROR(VLOOKUP($B664,Data!$B$3:$D1530,2,FALSE),"")</f>
        <v>1220000</v>
      </c>
      <c r="P664" s="50">
        <f>IFERROR(VLOOKUP($B664,Data!$B$3:$D1530,3,FALSE),"")</f>
        <v>1220000</v>
      </c>
      <c r="Q664" s="48">
        <f t="shared" si="2"/>
        <v>0</v>
      </c>
      <c r="R664" s="48"/>
      <c r="S664" s="48"/>
      <c r="T664" s="48"/>
      <c r="U664" s="48"/>
      <c r="V664" s="48"/>
      <c r="W664" s="50"/>
      <c r="Z664" s="15"/>
      <c r="AA664" s="15"/>
    </row>
    <row r="665">
      <c r="A665" s="9">
        <f t="shared" si="1"/>
        <v>662</v>
      </c>
      <c r="B665" s="47" t="s">
        <v>799</v>
      </c>
      <c r="C665" s="48">
        <f>IFERROR(DIVIDE(VLOOKUP($B665,Data!$B$3:$AB$1535,9,FALSE),VLOOKUP($B665,Data!$B$3:$AB$1535,4,FALSE)),"")</f>
        <v>0.1719101124</v>
      </c>
      <c r="D665" s="48">
        <f>IFERROR(DIVIDE(VLOOKUP($B665,Data!$B$3:$AB$1535,24,FALSE),VLOOKUP($B665,Data!$B$3:$AB$1535,4,FALSE)),"")</f>
        <v>0.0795505618</v>
      </c>
      <c r="E665" s="48">
        <f>IFERROR(DIVIDE(VLOOKUP($B665,Data!$B$3:$EZ1530,29,FALSE),VLOOKUP($B665,Data!$B$3:$EZ1530,4,FALSE)),"")</f>
        <v>0.07674157303</v>
      </c>
      <c r="F665" s="48">
        <f>IFERROR(DIVIDE(VLOOKUP($B665,Data!$B$3:$EZ1530,34,FALSE),VLOOKUP($B665,Data!$B$3:$EZ1530,4,FALSE)),"")</f>
        <v>0.108988764</v>
      </c>
      <c r="G665" s="48">
        <f>IFERROR(DIVIDE(VLOOKUP($B665,Data!$B$3:$EZ1530,39,FALSE),VLOOKUP($B665,Data!$B$3:$EZ1530,4,FALSE)),"")</f>
        <v>0.06168539326</v>
      </c>
      <c r="H665" s="48">
        <f>IFERROR(DIVIDE(VLOOKUP($B665,Data!$B$3:$EZ1530,44,FALSE),VLOOKUP($B665,Data!$B$3:$EZ1530,4,FALSE)),"")</f>
        <v>0.1006741573</v>
      </c>
      <c r="I665" s="48">
        <f>IFERROR(MINUS(DIVIDE(VLOOKUP($B665,Data!$B$3:$EZ1530,9,FALSE),VLOOKUP($B665,Data!$B$3:$EZ1530,10,FALSE)),1),"")</f>
        <v>-0.1452513966</v>
      </c>
      <c r="J665" s="48" t="str">
        <f>IFERROR(MINUS(DIVIDE(VLOOKUP($B665,Data!$B$3:$EZ1530,24,FALSE),VLOOKUP($B665,Data!$B$3:$EZ1530,25,FALSE)),1),"")</f>
        <v/>
      </c>
      <c r="K665" s="48">
        <f>IFERROR(MINUS(DIVIDE(VLOOKUP($B665,Data!$B$3:$EZ1530,29,FALSE),VLOOKUP($B665,Data!$B$3:$EZ1530,30,FALSE)),1),"")</f>
        <v>-0.2966014418</v>
      </c>
      <c r="L665" s="48">
        <f>IFERROR(MINUS(DIVIDE(VLOOKUP($B665,Data!$B$3:$EZ1530,34,FALSE),VLOOKUP($B665,Data!$B$3:$EZ1530,35,FALSE)),1),"")</f>
        <v>-0.1339285714</v>
      </c>
      <c r="M665" s="48">
        <f>IFERROR(MINUS(DIVIDE(VLOOKUP($B665,Data!$B$3:$EZ1530,39,FALSE),VLOOKUP($B665,Data!$B$3:$EZ1530,40,FALSE)),1),"")</f>
        <v>-0.3433014354</v>
      </c>
      <c r="N665" s="48">
        <f>IFERROR(MINUS(DIVIDE(VLOOKUP($B665,Data!$B$3:$EZ1530,44,FALSE),VLOOKUP($B665,Data!$B$3:$EZ1530,45,FALSE)),1),"")</f>
        <v>-0.01969365427</v>
      </c>
      <c r="O665" s="50">
        <f>IFERROR(VLOOKUP($B665,Data!$B$3:$D1530,2,FALSE),"")</f>
        <v>9250000</v>
      </c>
      <c r="P665" s="50">
        <f>IFERROR(VLOOKUP($B665,Data!$B$3:$D1530,3,FALSE),"")</f>
        <v>8960000</v>
      </c>
      <c r="Q665" s="48">
        <f t="shared" si="2"/>
        <v>0.03236607143</v>
      </c>
      <c r="R665" s="48"/>
      <c r="S665" s="48"/>
      <c r="T665" s="48"/>
      <c r="U665" s="48"/>
      <c r="V665" s="48"/>
      <c r="W665" s="50"/>
      <c r="Z665" s="15"/>
      <c r="AA665" s="15"/>
    </row>
    <row r="666">
      <c r="A666" s="9">
        <f t="shared" si="1"/>
        <v>663</v>
      </c>
      <c r="B666" s="47" t="s">
        <v>800</v>
      </c>
      <c r="C666" s="48">
        <f>IFERROR(DIVIDE(VLOOKUP($B666,Data!$B$3:$AB$1535,9,FALSE),VLOOKUP($B666,Data!$B$3:$AB$1535,4,FALSE)),"")</f>
        <v>0.1811766454</v>
      </c>
      <c r="D666" s="48">
        <f>IFERROR(DIVIDE(VLOOKUP($B666,Data!$B$3:$AB$1535,24,FALSE),VLOOKUP($B666,Data!$B$3:$AB$1535,4,FALSE)),"")</f>
        <v>-0.02167582826</v>
      </c>
      <c r="E666" s="48">
        <f>IFERROR(DIVIDE(VLOOKUP($B666,Data!$B$3:$EZ1530,29,FALSE),VLOOKUP($B666,Data!$B$3:$EZ1530,4,FALSE)),"")</f>
        <v>-0.0227603625</v>
      </c>
      <c r="F666" s="48">
        <f>IFERROR(DIVIDE(VLOOKUP($B666,Data!$B$3:$EZ1530,34,FALSE),VLOOKUP($B666,Data!$B$3:$EZ1530,4,FALSE)),"")</f>
        <v>0.009062546427</v>
      </c>
      <c r="G666" s="48">
        <f>IFERROR(DIVIDE(VLOOKUP($B666,Data!$B$3:$EZ1530,39,FALSE),VLOOKUP($B666,Data!$B$3:$EZ1530,4,FALSE)),"")</f>
        <v>-0.02026444808</v>
      </c>
      <c r="H666" s="48">
        <f>IFERROR(DIVIDE(VLOOKUP($B666,Data!$B$3:$EZ1530,44,FALSE),VLOOKUP($B666,Data!$B$3:$EZ1530,4,FALSE)),"")</f>
        <v>0.01139503788</v>
      </c>
      <c r="I666" s="48">
        <f>IFERROR(MINUS(DIVIDE(VLOOKUP($B666,Data!$B$3:$EZ1530,9,FALSE),VLOOKUP($B666,Data!$B$3:$EZ1530,10,FALSE)),1),"")</f>
        <v>-0.2245819292</v>
      </c>
      <c r="J666" s="48">
        <f>IFERROR(MINUS(DIVIDE(VLOOKUP($B666,Data!$B$3:$EZ1530,24,FALSE),VLOOKUP($B666,Data!$B$3:$EZ1530,25,FALSE)),1),"")</f>
        <v>-3.691881919</v>
      </c>
      <c r="K666" s="48">
        <f>IFERROR(MINUS(DIVIDE(VLOOKUP($B666,Data!$B$3:$EZ1530,29,FALSE),VLOOKUP($B666,Data!$B$3:$EZ1530,30,FALSE)),1),"")</f>
        <v>-2.886699507</v>
      </c>
      <c r="L666" s="48">
        <f>IFERROR(MINUS(DIVIDE(VLOOKUP($B666,Data!$B$3:$EZ1530,34,FALSE),VLOOKUP($B666,Data!$B$3:$EZ1530,35,FALSE)),1),"")</f>
        <v>-0.7428330523</v>
      </c>
      <c r="M666" s="48">
        <f>IFERROR(MINUS(DIVIDE(VLOOKUP($B666,Data!$B$3:$EZ1530,39,FALSE),VLOOKUP($B666,Data!$B$3:$EZ1530,40,FALSE)),1),"")</f>
        <v>-2.5915986</v>
      </c>
      <c r="N666" s="48">
        <f>IFERROR(MINUS(DIVIDE(VLOOKUP($B666,Data!$B$3:$EZ1530,44,FALSE),VLOOKUP($B666,Data!$B$3:$EZ1530,45,FALSE)),1),"")</f>
        <v>0.9127182045</v>
      </c>
      <c r="O666" s="50">
        <f>IFERROR(VLOOKUP($B666,Data!$B$3:$D1530,2,FALSE),"")</f>
        <v>830420</v>
      </c>
      <c r="P666" s="50">
        <f>IFERROR(VLOOKUP($B666,Data!$B$3:$D1530,3,FALSE),"")</f>
        <v>756030</v>
      </c>
      <c r="Q666" s="48">
        <f t="shared" si="2"/>
        <v>0.09839556631</v>
      </c>
      <c r="R666" s="48"/>
      <c r="S666" s="48"/>
      <c r="T666" s="48"/>
      <c r="U666" s="48"/>
      <c r="V666" s="48"/>
      <c r="W666" s="50"/>
      <c r="Z666" s="11"/>
      <c r="AA666" s="11"/>
    </row>
    <row r="667">
      <c r="A667" s="9">
        <f t="shared" si="1"/>
        <v>664</v>
      </c>
      <c r="B667" s="47" t="s">
        <v>801</v>
      </c>
      <c r="C667" s="48">
        <f>IFERROR(DIVIDE(VLOOKUP($B667,Data!$B$3:$AB$1535,9,FALSE),VLOOKUP($B667,Data!$B$3:$AB$1535,4,FALSE)),"")</f>
        <v>0.01027321108</v>
      </c>
      <c r="D667" s="48">
        <f>IFERROR(DIVIDE(VLOOKUP($B667,Data!$B$3:$AB$1535,24,FALSE),VLOOKUP($B667,Data!$B$3:$AB$1535,4,FALSE)),"")</f>
        <v>-0.08528395867</v>
      </c>
      <c r="E667" s="48">
        <f>IFERROR(DIVIDE(VLOOKUP($B667,Data!$B$3:$EZ1530,29,FALSE),VLOOKUP($B667,Data!$B$3:$EZ1530,4,FALSE)),"")</f>
        <v>-0.1833167796</v>
      </c>
      <c r="F667" s="48">
        <f>IFERROR(DIVIDE(VLOOKUP($B667,Data!$B$3:$EZ1530,34,FALSE),VLOOKUP($B667,Data!$B$3:$EZ1530,4,FALSE)),"")</f>
        <v>0.2301466119</v>
      </c>
      <c r="G667" s="48">
        <f>IFERROR(DIVIDE(VLOOKUP($B667,Data!$B$3:$EZ1530,39,FALSE),VLOOKUP($B667,Data!$B$3:$EZ1530,4,FALSE)),"")</f>
        <v>-0.1475903168</v>
      </c>
      <c r="H667" s="48">
        <f>IFERROR(DIVIDE(VLOOKUP($B667,Data!$B$3:$EZ1530,44,FALSE),VLOOKUP($B667,Data!$B$3:$EZ1530,4,FALSE)),"")</f>
        <v>0.1791808115</v>
      </c>
      <c r="I667" s="48">
        <f>IFERROR(MINUS(DIVIDE(VLOOKUP($B667,Data!$B$3:$EZ1530,9,FALSE),VLOOKUP($B667,Data!$B$3:$EZ1530,10,FALSE)),1),"")</f>
        <v>-0.7107679466</v>
      </c>
      <c r="J667" s="48">
        <f>IFERROR(MINUS(DIVIDE(VLOOKUP($B667,Data!$B$3:$EZ1530,24,FALSE),VLOOKUP($B667,Data!$B$3:$EZ1530,25,FALSE)),1),"")</f>
        <v>13.1004902</v>
      </c>
      <c r="K667" s="48">
        <f>IFERROR(MINUS(DIVIDE(VLOOKUP($B667,Data!$B$3:$EZ1530,29,FALSE),VLOOKUP($B667,Data!$B$3:$EZ1530,30,FALSE)),1),"")</f>
        <v>2.717979555</v>
      </c>
      <c r="L667" s="48">
        <f>IFERROR(MINUS(DIVIDE(VLOOKUP($B667,Data!$B$3:$EZ1530,34,FALSE),VLOOKUP($B667,Data!$B$3:$EZ1530,35,FALSE)),1),"")</f>
        <v>0.2723324045</v>
      </c>
      <c r="M667" s="48">
        <f>IFERROR(MINUS(DIVIDE(VLOOKUP($B667,Data!$B$3:$EZ1530,39,FALSE),VLOOKUP($B667,Data!$B$3:$EZ1530,40,FALSE)),1),"")</f>
        <v>2.748493976</v>
      </c>
      <c r="N667" s="48">
        <f>IFERROR(MINUS(DIVIDE(VLOOKUP($B667,Data!$B$3:$EZ1530,44,FALSE),VLOOKUP($B667,Data!$B$3:$EZ1530,45,FALSE)),1),"")</f>
        <v>0.2828486521</v>
      </c>
      <c r="O667" s="50">
        <f>IFERROR(VLOOKUP($B667,Data!$B$3:$D1530,2,FALSE),"")</f>
        <v>766960</v>
      </c>
      <c r="P667" s="50">
        <f>IFERROR(VLOOKUP($B667,Data!$B$3:$D1530,3,FALSE),"")</f>
        <v>618500</v>
      </c>
      <c r="Q667" s="48">
        <f t="shared" si="2"/>
        <v>0.2400323363</v>
      </c>
      <c r="R667" s="48"/>
      <c r="S667" s="48"/>
      <c r="T667" s="48"/>
      <c r="U667" s="48"/>
      <c r="V667" s="48"/>
      <c r="W667" s="50"/>
      <c r="Z667" s="15"/>
      <c r="AA667" s="15"/>
    </row>
    <row r="668">
      <c r="A668" s="9">
        <f t="shared" si="1"/>
        <v>665</v>
      </c>
      <c r="B668" s="47" t="s">
        <v>802</v>
      </c>
      <c r="C668" s="48">
        <f>IFERROR(DIVIDE(VLOOKUP($B668,Data!$B$3:$AB$1535,9,FALSE),VLOOKUP($B668,Data!$B$3:$AB$1535,4,FALSE)),"")</f>
        <v>0.7868852459</v>
      </c>
      <c r="D668" s="48">
        <f>IFERROR(DIVIDE(VLOOKUP($B668,Data!$B$3:$AB$1535,24,FALSE),VLOOKUP($B668,Data!$B$3:$AB$1535,4,FALSE)),"")</f>
        <v>0.1130122951</v>
      </c>
      <c r="E668" s="48">
        <f>IFERROR(DIVIDE(VLOOKUP($B668,Data!$B$3:$EZ1530,29,FALSE),VLOOKUP($B668,Data!$B$3:$EZ1530,4,FALSE)),"")</f>
        <v>0.0925</v>
      </c>
      <c r="F668" s="48">
        <f>IFERROR(DIVIDE(VLOOKUP($B668,Data!$B$3:$EZ1530,34,FALSE),VLOOKUP($B668,Data!$B$3:$EZ1530,4,FALSE)),"")</f>
        <v>0.1290163934</v>
      </c>
      <c r="G668" s="48">
        <f>IFERROR(DIVIDE(VLOOKUP($B668,Data!$B$3:$EZ1530,39,FALSE),VLOOKUP($B668,Data!$B$3:$EZ1530,4,FALSE)),"")</f>
        <v>0.0637295082</v>
      </c>
      <c r="H668" s="48">
        <f>IFERROR(DIVIDE(VLOOKUP($B668,Data!$B$3:$EZ1530,44,FALSE),VLOOKUP($B668,Data!$B$3:$EZ1530,4,FALSE)),"")</f>
        <v>0.09375</v>
      </c>
      <c r="I668" s="48">
        <f>IFERROR(MINUS(DIVIDE(VLOOKUP($B668,Data!$B$3:$EZ1530,9,FALSE),VLOOKUP($B668,Data!$B$3:$EZ1530,10,FALSE)),1),"")</f>
        <v>-0.01285347044</v>
      </c>
      <c r="J668" s="48">
        <f>IFERROR(MINUS(DIVIDE(VLOOKUP($B668,Data!$B$3:$EZ1530,24,FALSE),VLOOKUP($B668,Data!$B$3:$EZ1530,25,FALSE)),1),"")</f>
        <v>-0.07497484066</v>
      </c>
      <c r="K668" s="48">
        <f>IFERROR(MINUS(DIVIDE(VLOOKUP($B668,Data!$B$3:$EZ1530,29,FALSE),VLOOKUP($B668,Data!$B$3:$EZ1530,30,FALSE)),1),"")</f>
        <v>-0.02757432141</v>
      </c>
      <c r="L668" s="48">
        <f>IFERROR(MINUS(DIVIDE(VLOOKUP($B668,Data!$B$3:$EZ1530,34,FALSE),VLOOKUP($B668,Data!$B$3:$EZ1530,35,FALSE)),1),"")</f>
        <v>-0.1715789474</v>
      </c>
      <c r="M668" s="48">
        <f>IFERROR(MINUS(DIVIDE(VLOOKUP($B668,Data!$B$3:$EZ1530,39,FALSE),VLOOKUP($B668,Data!$B$3:$EZ1530,40,FALSE)),1),"")</f>
        <v>0.04855023601</v>
      </c>
      <c r="N668" s="48">
        <f>IFERROR(MINUS(DIVIDE(VLOOKUP($B668,Data!$B$3:$EZ1530,44,FALSE),VLOOKUP($B668,Data!$B$3:$EZ1530,45,FALSE)),1),"")</f>
        <v>-0.2944170265</v>
      </c>
      <c r="O668" s="50">
        <f>IFERROR(VLOOKUP($B668,Data!$B$3:$D1530,2,FALSE),"")</f>
        <v>5490000</v>
      </c>
      <c r="P668" s="50">
        <f>IFERROR(VLOOKUP($B668,Data!$B$3:$D1530,3,FALSE),"")</f>
        <v>5210000</v>
      </c>
      <c r="Q668" s="48">
        <f t="shared" si="2"/>
        <v>0.0537428023</v>
      </c>
      <c r="R668" s="48"/>
      <c r="S668" s="48"/>
      <c r="T668" s="48"/>
      <c r="U668" s="48"/>
      <c r="V668" s="48"/>
      <c r="W668" s="50"/>
      <c r="Z668" s="15"/>
      <c r="AA668" s="15"/>
    </row>
    <row r="669">
      <c r="A669" s="9">
        <f t="shared" si="1"/>
        <v>666</v>
      </c>
      <c r="B669" s="47" t="s">
        <v>803</v>
      </c>
      <c r="C669" s="48">
        <f>IFERROR(DIVIDE(VLOOKUP($B669,Data!$B$3:$AB$1535,9,FALSE),VLOOKUP($B669,Data!$B$3:$AB$1535,4,FALSE)),"")</f>
        <v>0.220464135</v>
      </c>
      <c r="D669" s="48">
        <f>IFERROR(DIVIDE(VLOOKUP($B669,Data!$B$3:$AB$1535,24,FALSE),VLOOKUP($B669,Data!$B$3:$AB$1535,4,FALSE)),"")</f>
        <v>0</v>
      </c>
      <c r="E669" s="48">
        <f>IFERROR(DIVIDE(VLOOKUP($B669,Data!$B$3:$EZ1530,29,FALSE),VLOOKUP($B669,Data!$B$3:$EZ1530,4,FALSE)),"")</f>
        <v>0.1308016878</v>
      </c>
      <c r="F669" s="48">
        <f>IFERROR(DIVIDE(VLOOKUP($B669,Data!$B$3:$EZ1530,34,FALSE),VLOOKUP($B669,Data!$B$3:$EZ1530,4,FALSE)),"")</f>
        <v>0.2056962025</v>
      </c>
      <c r="G669" s="48">
        <f>IFERROR(DIVIDE(VLOOKUP($B669,Data!$B$3:$EZ1530,39,FALSE),VLOOKUP($B669,Data!$B$3:$EZ1530,4,FALSE)),"")</f>
        <v>0.09293248945</v>
      </c>
      <c r="H669" s="48">
        <f>IFERROR(DIVIDE(VLOOKUP($B669,Data!$B$3:$EZ1530,44,FALSE),VLOOKUP($B669,Data!$B$3:$EZ1530,4,FALSE)),"")</f>
        <v>0.1540084388</v>
      </c>
      <c r="I669" s="48">
        <f>IFERROR(MINUS(DIVIDE(VLOOKUP($B669,Data!$B$3:$EZ1530,9,FALSE),VLOOKUP($B669,Data!$B$3:$EZ1530,10,FALSE)),1),"")</f>
        <v>0.0829015544</v>
      </c>
      <c r="J669" s="48">
        <f>IFERROR(MINUS(DIVIDE(VLOOKUP($B669,Data!$B$3:$EZ1530,24,FALSE),VLOOKUP($B669,Data!$B$3:$EZ1530,25,FALSE)),1),"")</f>
        <v>-1</v>
      </c>
      <c r="K669" s="48">
        <f>IFERROR(MINUS(DIVIDE(VLOOKUP($B669,Data!$B$3:$EZ1530,29,FALSE),VLOOKUP($B669,Data!$B$3:$EZ1530,30,FALSE)),1),"")</f>
        <v>0.1481481481</v>
      </c>
      <c r="L669" s="48">
        <f>IFERROR(MINUS(DIVIDE(VLOOKUP($B669,Data!$B$3:$EZ1530,34,FALSE),VLOOKUP($B669,Data!$B$3:$EZ1530,35,FALSE)),1),"")</f>
        <v>0.1079545455</v>
      </c>
      <c r="M669" s="48">
        <f>IFERROR(MINUS(DIVIDE(VLOOKUP($B669,Data!$B$3:$EZ1530,39,FALSE),VLOOKUP($B669,Data!$B$3:$EZ1530,40,FALSE)),1),"")</f>
        <v>0.1531413613</v>
      </c>
      <c r="N669" s="48">
        <f>IFERROR(MINUS(DIVIDE(VLOOKUP($B669,Data!$B$3:$EZ1530,44,FALSE),VLOOKUP($B669,Data!$B$3:$EZ1530,45,FALSE)),1),"")</f>
        <v>0.1587301587</v>
      </c>
      <c r="O669" s="50">
        <f>IFERROR(VLOOKUP($B669,Data!$B$3:$D1530,2,FALSE),"")</f>
        <v>8510000</v>
      </c>
      <c r="P669" s="50">
        <f>IFERROR(VLOOKUP($B669,Data!$B$3:$D1530,3,FALSE),"")</f>
        <v>5870000</v>
      </c>
      <c r="Q669" s="48">
        <f t="shared" si="2"/>
        <v>0.4497444634</v>
      </c>
      <c r="R669" s="48"/>
      <c r="S669" s="48"/>
      <c r="T669" s="48"/>
      <c r="U669" s="48"/>
      <c r="V669" s="48"/>
      <c r="W669" s="50"/>
      <c r="Z669" s="15"/>
      <c r="AA669" s="15"/>
    </row>
    <row r="670">
      <c r="A670" s="9">
        <f t="shared" si="1"/>
        <v>667</v>
      </c>
      <c r="B670" s="47" t="s">
        <v>804</v>
      </c>
      <c r="C670" s="48" t="str">
        <f>IFERROR(DIVIDE(VLOOKUP($B670,Data!$B$3:$AB$1535,9,FALSE),VLOOKUP($B670,Data!$B$3:$AB$1535,4,FALSE)),"")</f>
        <v/>
      </c>
      <c r="D670" s="48" t="str">
        <f>IFERROR(DIVIDE(VLOOKUP($B670,Data!$B$3:$AB$1535,24,FALSE),VLOOKUP($B670,Data!$B$3:$AB$1535,4,FALSE)),"")</f>
        <v/>
      </c>
      <c r="E670" s="48" t="str">
        <f>IFERROR(DIVIDE(VLOOKUP($B670,Data!$B$3:$EZ1530,29,FALSE),VLOOKUP($B670,Data!$B$3:$EZ1530,4,FALSE)),"")</f>
        <v/>
      </c>
      <c r="F670" s="48" t="str">
        <f>IFERROR(DIVIDE(VLOOKUP($B670,Data!$B$3:$EZ1530,34,FALSE),VLOOKUP($B670,Data!$B$3:$EZ1530,4,FALSE)),"")</f>
        <v/>
      </c>
      <c r="G670" s="48" t="str">
        <f>IFERROR(DIVIDE(VLOOKUP($B670,Data!$B$3:$EZ1530,39,FALSE),VLOOKUP($B670,Data!$B$3:$EZ1530,4,FALSE)),"")</f>
        <v/>
      </c>
      <c r="H670" s="48" t="str">
        <f>IFERROR(DIVIDE(VLOOKUP($B670,Data!$B$3:$EZ1530,44,FALSE),VLOOKUP($B670,Data!$B$3:$EZ1530,4,FALSE)),"")</f>
        <v/>
      </c>
      <c r="I670" s="48" t="str">
        <f>IFERROR(MINUS(DIVIDE(VLOOKUP($B670,Data!$B$3:$EZ1530,9,FALSE),VLOOKUP($B670,Data!$B$3:$EZ1530,10,FALSE)),1),"")</f>
        <v/>
      </c>
      <c r="J670" s="48">
        <f>IFERROR(MINUS(DIVIDE(VLOOKUP($B670,Data!$B$3:$EZ1530,24,FALSE),VLOOKUP($B670,Data!$B$3:$EZ1530,25,FALSE)),1),"")</f>
        <v>-0.08503730621</v>
      </c>
      <c r="K670" s="48">
        <f>IFERROR(MINUS(DIVIDE(VLOOKUP($B670,Data!$B$3:$EZ1530,29,FALSE),VLOOKUP($B670,Data!$B$3:$EZ1530,30,FALSE)),1),"")</f>
        <v>-0.1934489167</v>
      </c>
      <c r="L670" s="48" t="str">
        <f>IFERROR(MINUS(DIVIDE(VLOOKUP($B670,Data!$B$3:$EZ1530,34,FALSE),VLOOKUP($B670,Data!$B$3:$EZ1530,35,FALSE)),1),"")</f>
        <v/>
      </c>
      <c r="M670" s="48">
        <f>IFERROR(MINUS(DIVIDE(VLOOKUP($B670,Data!$B$3:$EZ1530,39,FALSE),VLOOKUP($B670,Data!$B$3:$EZ1530,40,FALSE)),1),"")</f>
        <v>-0.2532605846</v>
      </c>
      <c r="N670" s="48">
        <f>IFERROR(MINUS(DIVIDE(VLOOKUP($B670,Data!$B$3:$EZ1530,44,FALSE),VLOOKUP($B670,Data!$B$3:$EZ1530,45,FALSE)),1),"")</f>
        <v>0.2621554401</v>
      </c>
      <c r="O670" s="50" t="str">
        <f>IFERROR(VLOOKUP($B670,Data!$B$3:$D1530,2,FALSE),"")</f>
        <v/>
      </c>
      <c r="P670" s="50" t="str">
        <f>IFERROR(VLOOKUP($B670,Data!$B$3:$D1530,3,FALSE),"")</f>
        <v/>
      </c>
      <c r="Q670" s="48" t="str">
        <f t="shared" si="2"/>
        <v/>
      </c>
      <c r="R670" s="48"/>
      <c r="S670" s="48"/>
      <c r="T670" s="48"/>
      <c r="U670" s="48"/>
      <c r="V670" s="48"/>
      <c r="W670" s="50"/>
      <c r="Z670" s="15"/>
      <c r="AA670" s="15"/>
    </row>
    <row r="671">
      <c r="A671" s="9">
        <f t="shared" si="1"/>
        <v>668</v>
      </c>
      <c r="B671" s="47" t="s">
        <v>805</v>
      </c>
      <c r="C671" s="48">
        <f>IFERROR(DIVIDE(VLOOKUP($B671,Data!$B$3:$AB$1535,9,FALSE),VLOOKUP($B671,Data!$B$3:$AB$1535,4,FALSE)),"")</f>
        <v>0.6397605285</v>
      </c>
      <c r="D671" s="48">
        <f>IFERROR(DIVIDE(VLOOKUP($B671,Data!$B$3:$AB$1535,24,FALSE),VLOOKUP($B671,Data!$B$3:$AB$1535,4,FALSE)),"")</f>
        <v>0.5789980732</v>
      </c>
      <c r="E671" s="48">
        <f>IFERROR(DIVIDE(VLOOKUP($B671,Data!$B$3:$EZ1530,29,FALSE),VLOOKUP($B671,Data!$B$3:$EZ1530,4,FALSE)),"")</f>
        <v>0.4130195431</v>
      </c>
      <c r="F671" s="48">
        <f>IFERROR(DIVIDE(VLOOKUP($B671,Data!$B$3:$EZ1530,34,FALSE),VLOOKUP($B671,Data!$B$3:$EZ1530,4,FALSE)),"")</f>
        <v>0.7197219928</v>
      </c>
      <c r="G671" s="48">
        <f>IFERROR(DIVIDE(VLOOKUP($B671,Data!$B$3:$EZ1530,39,FALSE),VLOOKUP($B671,Data!$B$3:$EZ1530,4,FALSE)),"")</f>
        <v>0.362923204</v>
      </c>
      <c r="H671" s="48">
        <f>IFERROR(DIVIDE(VLOOKUP($B671,Data!$B$3:$EZ1530,44,FALSE),VLOOKUP($B671,Data!$B$3:$EZ1530,4,FALSE)),"")</f>
        <v>0.5866363887</v>
      </c>
      <c r="I671" s="48">
        <f>IFERROR(MINUS(DIVIDE(VLOOKUP($B671,Data!$B$3:$EZ1530,9,FALSE),VLOOKUP($B671,Data!$B$3:$EZ1530,10,FALSE)),1),"")</f>
        <v>-0.0666599739</v>
      </c>
      <c r="J671" s="48">
        <f>IFERROR(MINUS(DIVIDE(VLOOKUP($B671,Data!$B$3:$EZ1530,24,FALSE),VLOOKUP($B671,Data!$B$3:$EZ1530,25,FALSE)),1),"")</f>
        <v>-0.1178444118</v>
      </c>
      <c r="K671" s="48">
        <f>IFERROR(MINUS(DIVIDE(VLOOKUP($B671,Data!$B$3:$EZ1530,29,FALSE),VLOOKUP($B671,Data!$B$3:$EZ1530,30,FALSE)),1),"")</f>
        <v>-0.3015244967</v>
      </c>
      <c r="L671" s="48">
        <f>IFERROR(MINUS(DIVIDE(VLOOKUP($B671,Data!$B$3:$EZ1530,34,FALSE),VLOOKUP($B671,Data!$B$3:$EZ1530,35,FALSE)),1),"")</f>
        <v>-0.06482474964</v>
      </c>
      <c r="M671" s="48">
        <f>IFERROR(MINUS(DIVIDE(VLOOKUP($B671,Data!$B$3:$EZ1530,39,FALSE),VLOOKUP($B671,Data!$B$3:$EZ1530,40,FALSE)),1),"")</f>
        <v>-0.3205359443</v>
      </c>
      <c r="N671" s="48">
        <f>IFERROR(MINUS(DIVIDE(VLOOKUP($B671,Data!$B$3:$EZ1530,44,FALSE),VLOOKUP($B671,Data!$B$3:$EZ1530,45,FALSE)),1),"")</f>
        <v>-0.07013525305</v>
      </c>
      <c r="O671" s="50">
        <f>IFERROR(VLOOKUP($B671,Data!$B$3:$D1530,2,FALSE),"")</f>
        <v>151040</v>
      </c>
      <c r="P671" s="50">
        <f>IFERROR(VLOOKUP($B671,Data!$B$3:$D1530,3,FALSE),"")</f>
        <v>142850</v>
      </c>
      <c r="Q671" s="48">
        <f t="shared" si="2"/>
        <v>0.05733286664</v>
      </c>
      <c r="R671" s="48"/>
      <c r="S671" s="48"/>
      <c r="T671" s="48"/>
      <c r="U671" s="48"/>
      <c r="V671" s="48"/>
      <c r="W671" s="50"/>
      <c r="Z671" s="15"/>
      <c r="AA671" s="15"/>
    </row>
    <row r="672">
      <c r="A672" s="9">
        <f t="shared" si="1"/>
        <v>669</v>
      </c>
      <c r="B672" s="47" t="s">
        <v>806</v>
      </c>
      <c r="C672" s="48">
        <f>IFERROR(DIVIDE(VLOOKUP($B672,Data!$B$3:$AB$1535,9,FALSE),VLOOKUP($B672,Data!$B$3:$AB$1535,4,FALSE)),"")</f>
        <v>0.3060344828</v>
      </c>
      <c r="D672" s="48">
        <f>IFERROR(DIVIDE(VLOOKUP($B672,Data!$B$3:$AB$1535,24,FALSE),VLOOKUP($B672,Data!$B$3:$AB$1535,4,FALSE)),"")</f>
        <v>0.1652618135</v>
      </c>
      <c r="E672" s="48">
        <f>IFERROR(DIVIDE(VLOOKUP($B672,Data!$B$3:$EZ1530,29,FALSE),VLOOKUP($B672,Data!$B$3:$EZ1530,4,FALSE)),"")</f>
        <v>0.1666028097</v>
      </c>
      <c r="F672" s="48">
        <f>IFERROR(DIVIDE(VLOOKUP($B672,Data!$B$3:$EZ1530,34,FALSE),VLOOKUP($B672,Data!$B$3:$EZ1530,4,FALSE)),"")</f>
        <v>0.2430236271</v>
      </c>
      <c r="G672" s="48">
        <f>IFERROR(DIVIDE(VLOOKUP($B672,Data!$B$3:$EZ1530,39,FALSE),VLOOKUP($B672,Data!$B$3:$EZ1530,4,FALSE)),"")</f>
        <v>0.1392401022</v>
      </c>
      <c r="H672" s="48">
        <f>IFERROR(DIVIDE(VLOOKUP($B672,Data!$B$3:$EZ1530,44,FALSE),VLOOKUP($B672,Data!$B$3:$EZ1530,4,FALSE)),"")</f>
        <v>0.2211845466</v>
      </c>
      <c r="I672" s="48">
        <f>IFERROR(MINUS(DIVIDE(VLOOKUP($B672,Data!$B$3:$EZ1530,9,FALSE),VLOOKUP($B672,Data!$B$3:$EZ1530,10,FALSE)),1),"")</f>
        <v>-0.02532031727</v>
      </c>
      <c r="J672" s="48">
        <f>IFERROR(MINUS(DIVIDE(VLOOKUP($B672,Data!$B$3:$EZ1530,24,FALSE),VLOOKUP($B672,Data!$B$3:$EZ1530,25,FALSE)),1),"")</f>
        <v>0.6369386464</v>
      </c>
      <c r="K672" s="48">
        <f>IFERROR(MINUS(DIVIDE(VLOOKUP($B672,Data!$B$3:$EZ1530,29,FALSE),VLOOKUP($B672,Data!$B$3:$EZ1530,30,FALSE)),1),"")</f>
        <v>0.9683138438</v>
      </c>
      <c r="L672" s="48">
        <f>IFERROR(MINUS(DIVIDE(VLOOKUP($B672,Data!$B$3:$EZ1530,34,FALSE),VLOOKUP($B672,Data!$B$3:$EZ1530,35,FALSE)),1),"")</f>
        <v>0.01846524386</v>
      </c>
      <c r="M672" s="48">
        <f>IFERROR(MINUS(DIVIDE(VLOOKUP($B672,Data!$B$3:$EZ1530,39,FALSE),VLOOKUP($B672,Data!$B$3:$EZ1530,40,FALSE)),1),"")</f>
        <v>0.5861065648</v>
      </c>
      <c r="N672" s="48">
        <f>IFERROR(MINUS(DIVIDE(VLOOKUP($B672,Data!$B$3:$EZ1530,44,FALSE),VLOOKUP($B672,Data!$B$3:$EZ1530,45,FALSE)),1),"")</f>
        <v>0.4363466722</v>
      </c>
      <c r="O672" s="50">
        <f>IFERROR(VLOOKUP($B672,Data!$B$3:$D1530,2,FALSE),"")</f>
        <v>743350</v>
      </c>
      <c r="P672" s="50">
        <f>IFERROR(VLOOKUP($B672,Data!$B$3:$D1530,3,FALSE),"")</f>
        <v>694110</v>
      </c>
      <c r="Q672" s="48">
        <f t="shared" si="2"/>
        <v>0.07093976459</v>
      </c>
      <c r="R672" s="48"/>
      <c r="S672" s="48"/>
      <c r="T672" s="48"/>
      <c r="U672" s="48"/>
      <c r="V672" s="48"/>
      <c r="W672" s="50"/>
      <c r="Z672" s="15"/>
      <c r="AA672" s="15"/>
    </row>
    <row r="673">
      <c r="A673" s="9">
        <f t="shared" si="1"/>
        <v>670</v>
      </c>
      <c r="B673" s="47" t="s">
        <v>807</v>
      </c>
      <c r="C673" s="48">
        <f>IFERROR(DIVIDE(VLOOKUP($B673,Data!$B$3:$AB$1535,9,FALSE),VLOOKUP($B673,Data!$B$3:$AB$1535,4,FALSE)),"")</f>
        <v>0.059712774</v>
      </c>
      <c r="D673" s="48">
        <f>IFERROR(DIVIDE(VLOOKUP($B673,Data!$B$3:$AB$1535,24,FALSE),VLOOKUP($B673,Data!$B$3:$AB$1535,4,FALSE)),"")</f>
        <v>-0.1262282691</v>
      </c>
      <c r="E673" s="48">
        <f>IFERROR(DIVIDE(VLOOKUP($B673,Data!$B$3:$EZ1530,29,FALSE),VLOOKUP($B673,Data!$B$3:$EZ1530,4,FALSE)),"")</f>
        <v>-0.1061980348</v>
      </c>
      <c r="F673" s="48">
        <f>IFERROR(DIVIDE(VLOOKUP($B673,Data!$B$3:$EZ1530,34,FALSE),VLOOKUP($B673,Data!$B$3:$EZ1530,4,FALSE)),"")</f>
        <v>0.1814058957</v>
      </c>
      <c r="G673" s="48">
        <f>IFERROR(DIVIDE(VLOOKUP($B673,Data!$B$3:$EZ1530,39,FALSE),VLOOKUP($B673,Data!$B$3:$EZ1530,4,FALSE)),"")</f>
        <v>-0.09863945578</v>
      </c>
      <c r="H673" s="48">
        <f>IFERROR(DIVIDE(VLOOKUP($B673,Data!$B$3:$EZ1530,44,FALSE),VLOOKUP($B673,Data!$B$3:$EZ1530,4,FALSE)),"")</f>
        <v>0.1780045351</v>
      </c>
      <c r="I673" s="48">
        <f>IFERROR(MINUS(DIVIDE(VLOOKUP($B673,Data!$B$3:$EZ1530,9,FALSE),VLOOKUP($B673,Data!$B$3:$EZ1530,10,FALSE)),1),"")</f>
        <v>0.476635514</v>
      </c>
      <c r="J673" s="48">
        <f>IFERROR(MINUS(DIVIDE(VLOOKUP($B673,Data!$B$3:$EZ1530,24,FALSE),VLOOKUP($B673,Data!$B$3:$EZ1530,25,FALSE)),1),"")</f>
        <v>-0.3992805755</v>
      </c>
      <c r="K673" s="48">
        <f>IFERROR(MINUS(DIVIDE(VLOOKUP($B673,Data!$B$3:$EZ1530,29,FALSE),VLOOKUP($B673,Data!$B$3:$EZ1530,30,FALSE)),1),"")</f>
        <v>-0.4084210526</v>
      </c>
      <c r="L673" s="48">
        <f>IFERROR(MINUS(DIVIDE(VLOOKUP($B673,Data!$B$3:$EZ1530,34,FALSE),VLOOKUP($B673,Data!$B$3:$EZ1530,35,FALSE)),1),"")</f>
        <v>0.6783216783</v>
      </c>
      <c r="M673" s="48">
        <f>IFERROR(MINUS(DIVIDE(VLOOKUP($B673,Data!$B$3:$EZ1530,39,FALSE),VLOOKUP($B673,Data!$B$3:$EZ1530,40,FALSE)),1),"")</f>
        <v>-0.4161073826</v>
      </c>
      <c r="N673" s="48">
        <f>IFERROR(MINUS(DIVIDE(VLOOKUP($B673,Data!$B$3:$EZ1530,44,FALSE),VLOOKUP($B673,Data!$B$3:$EZ1530,45,FALSE)),1),"")</f>
        <v>0.2139175258</v>
      </c>
      <c r="O673" s="50" t="str">
        <f>IFERROR(VLOOKUP($B673,Data!$B$3:$D1530,2,FALSE),"")</f>
        <v/>
      </c>
      <c r="P673" s="50" t="str">
        <f>IFERROR(VLOOKUP($B673,Data!$B$3:$D1530,3,FALSE),"")</f>
        <v/>
      </c>
      <c r="Q673" s="48" t="str">
        <f t="shared" si="2"/>
        <v/>
      </c>
      <c r="R673" s="48"/>
      <c r="S673" s="48"/>
      <c r="T673" s="48"/>
      <c r="U673" s="48"/>
      <c r="V673" s="48"/>
      <c r="W673" s="50"/>
      <c r="Z673" s="11"/>
      <c r="AA673" s="11"/>
    </row>
    <row r="674">
      <c r="A674" s="9">
        <f t="shared" si="1"/>
        <v>671</v>
      </c>
      <c r="B674" s="47" t="s">
        <v>808</v>
      </c>
      <c r="C674" s="48">
        <f>IFERROR(DIVIDE(VLOOKUP($B674,Data!$B$3:$AB$1535,9,FALSE),VLOOKUP($B674,Data!$B$3:$AB$1535,4,FALSE)),"")</f>
        <v>0.05827872984</v>
      </c>
      <c r="D674" s="48">
        <f>IFERROR(DIVIDE(VLOOKUP($B674,Data!$B$3:$AB$1535,24,FALSE),VLOOKUP($B674,Data!$B$3:$AB$1535,4,FALSE)),"")</f>
        <v>-0.220640121</v>
      </c>
      <c r="E674" s="48">
        <f>IFERROR(DIVIDE(VLOOKUP($B674,Data!$B$3:$EZ1530,29,FALSE),VLOOKUP($B674,Data!$B$3:$EZ1530,4,FALSE)),"")</f>
        <v>-0.2589465726</v>
      </c>
      <c r="F674" s="48">
        <f>IFERROR(DIVIDE(VLOOKUP($B674,Data!$B$3:$EZ1530,34,FALSE),VLOOKUP($B674,Data!$B$3:$EZ1530,4,FALSE)),"")</f>
        <v>0.1748361895</v>
      </c>
      <c r="G674" s="48">
        <f>IFERROR(DIVIDE(VLOOKUP($B674,Data!$B$3:$EZ1530,39,FALSE),VLOOKUP($B674,Data!$B$3:$EZ1530,4,FALSE)),"")</f>
        <v>-0.1857043851</v>
      </c>
      <c r="H674" s="48">
        <f>IFERROR(DIVIDE(VLOOKUP($B674,Data!$B$3:$EZ1530,44,FALSE),VLOOKUP($B674,Data!$B$3:$EZ1530,4,FALSE)),"")</f>
        <v>0.1204637097</v>
      </c>
      <c r="I674" s="48">
        <f>IFERROR(MINUS(DIVIDE(VLOOKUP($B674,Data!$B$3:$EZ1530,9,FALSE),VLOOKUP($B674,Data!$B$3:$EZ1530,10,FALSE)),1),"")</f>
        <v>-0.381270903</v>
      </c>
      <c r="J674" s="48">
        <f>IFERROR(MINUS(DIVIDE(VLOOKUP($B674,Data!$B$3:$EZ1530,24,FALSE),VLOOKUP($B674,Data!$B$3:$EZ1530,25,FALSE)),1),"")</f>
        <v>-4.460474308</v>
      </c>
      <c r="K674" s="48">
        <f>IFERROR(MINUS(DIVIDE(VLOOKUP($B674,Data!$B$3:$EZ1530,29,FALSE),VLOOKUP($B674,Data!$B$3:$EZ1530,30,FALSE)),1),"")</f>
        <v>-24.15492958</v>
      </c>
      <c r="L674" s="48">
        <f>IFERROR(MINUS(DIVIDE(VLOOKUP($B674,Data!$B$3:$EZ1530,34,FALSE),VLOOKUP($B674,Data!$B$3:$EZ1530,35,FALSE)),1),"")</f>
        <v>-0.1244675816</v>
      </c>
      <c r="M674" s="48">
        <f>IFERROR(MINUS(DIVIDE(VLOOKUP($B674,Data!$B$3:$EZ1530,39,FALSE),VLOOKUP($B674,Data!$B$3:$EZ1530,40,FALSE)),1),"")</f>
        <v>-8.923387097</v>
      </c>
      <c r="N674" s="48">
        <f>IFERROR(MINUS(DIVIDE(VLOOKUP($B674,Data!$B$3:$EZ1530,44,FALSE),VLOOKUP($B674,Data!$B$3:$EZ1530,45,FALSE)),1),"")</f>
        <v>-0.2584836145</v>
      </c>
      <c r="O674" s="50">
        <f>IFERROR(VLOOKUP($B674,Data!$B$3:$D1530,2,FALSE),"")</f>
        <v>245800</v>
      </c>
      <c r="P674" s="50">
        <f>IFERROR(VLOOKUP($B674,Data!$B$3:$D1530,3,FALSE),"")</f>
        <v>264300</v>
      </c>
      <c r="Q674" s="48">
        <f t="shared" si="2"/>
        <v>-0.06999621642</v>
      </c>
      <c r="R674" s="48"/>
      <c r="S674" s="48"/>
      <c r="T674" s="48"/>
      <c r="U674" s="48"/>
      <c r="V674" s="48"/>
      <c r="W674" s="50"/>
      <c r="Z674" s="11"/>
      <c r="AA674" s="11"/>
    </row>
    <row r="675">
      <c r="A675" s="9">
        <f t="shared" si="1"/>
        <v>672</v>
      </c>
      <c r="B675" s="47" t="s">
        <v>809</v>
      </c>
      <c r="C675" s="48">
        <f>IFERROR(DIVIDE(VLOOKUP($B675,Data!$B$3:$AB$1535,9,FALSE),VLOOKUP($B675,Data!$B$3:$AB$1535,4,FALSE)),"")</f>
        <v>0.1826561016</v>
      </c>
      <c r="D675" s="48">
        <f>IFERROR(DIVIDE(VLOOKUP($B675,Data!$B$3:$AB$1535,24,FALSE),VLOOKUP($B675,Data!$B$3:$AB$1535,4,FALSE)),"")</f>
        <v>0.03803084378</v>
      </c>
      <c r="E675" s="48">
        <f>IFERROR(DIVIDE(VLOOKUP($B675,Data!$B$3:$EZ1530,29,FALSE),VLOOKUP($B675,Data!$B$3:$EZ1530,4,FALSE)),"")</f>
        <v>0.03590255722</v>
      </c>
      <c r="F675" s="48">
        <f>IFERROR(DIVIDE(VLOOKUP($B675,Data!$B$3:$EZ1530,34,FALSE),VLOOKUP($B675,Data!$B$3:$EZ1530,4,FALSE)),"")</f>
        <v>0.04880324809</v>
      </c>
      <c r="G675" s="48">
        <f>IFERROR(DIVIDE(VLOOKUP($B675,Data!$B$3:$EZ1530,39,FALSE),VLOOKUP($B675,Data!$B$3:$EZ1530,4,FALSE)),"")</f>
        <v>0.0278314397</v>
      </c>
      <c r="H675" s="48">
        <f>IFERROR(DIVIDE(VLOOKUP($B675,Data!$B$3:$EZ1530,44,FALSE),VLOOKUP($B675,Data!$B$3:$EZ1530,4,FALSE)),"")</f>
        <v>0.06733571265</v>
      </c>
      <c r="I675" s="48">
        <f>IFERROR(MINUS(DIVIDE(VLOOKUP($B675,Data!$B$3:$EZ1530,9,FALSE),VLOOKUP($B675,Data!$B$3:$EZ1530,10,FALSE)),1),"")</f>
        <v>-0.2310820124</v>
      </c>
      <c r="J675" s="48">
        <f>IFERROR(MINUS(DIVIDE(VLOOKUP($B675,Data!$B$3:$EZ1530,24,FALSE),VLOOKUP($B675,Data!$B$3:$EZ1530,25,FALSE)),1),"")</f>
        <v>-0.5590356872</v>
      </c>
      <c r="K675" s="48">
        <f>IFERROR(MINUS(DIVIDE(VLOOKUP($B675,Data!$B$3:$EZ1530,29,FALSE),VLOOKUP($B675,Data!$B$3:$EZ1530,30,FALSE)),1),"")</f>
        <v>-0.5749176197</v>
      </c>
      <c r="L675" s="48">
        <f>IFERROR(MINUS(DIVIDE(VLOOKUP($B675,Data!$B$3:$EZ1530,34,FALSE),VLOOKUP($B675,Data!$B$3:$EZ1530,35,FALSE)),1),"")</f>
        <v>-0.5082481029</v>
      </c>
      <c r="M675" s="48">
        <f>IFERROR(MINUS(DIVIDE(VLOOKUP($B675,Data!$B$3:$EZ1530,39,FALSE),VLOOKUP($B675,Data!$B$3:$EZ1530,40,FALSE)),1),"")</f>
        <v>-0.5727569741</v>
      </c>
      <c r="N675" s="48">
        <f>IFERROR(MINUS(DIVIDE(VLOOKUP($B675,Data!$B$3:$EZ1530,44,FALSE),VLOOKUP($B675,Data!$B$3:$EZ1530,45,FALSE)),1),"")</f>
        <v>3.257763975</v>
      </c>
      <c r="O675" s="50">
        <f>IFERROR(VLOOKUP($B675,Data!$B$3:$D1530,2,FALSE),"")</f>
        <v>618050</v>
      </c>
      <c r="P675" s="50">
        <f>IFERROR(VLOOKUP($B675,Data!$B$3:$D1530,3,FALSE),"")</f>
        <v>584730</v>
      </c>
      <c r="Q675" s="48">
        <f t="shared" si="2"/>
        <v>0.05698356506</v>
      </c>
      <c r="R675" s="48"/>
      <c r="S675" s="48"/>
      <c r="T675" s="48"/>
      <c r="U675" s="48"/>
      <c r="V675" s="48"/>
      <c r="W675" s="50"/>
      <c r="Z675" s="12"/>
      <c r="AA675" s="12"/>
    </row>
    <row r="676">
      <c r="A676" s="9">
        <f t="shared" si="1"/>
        <v>673</v>
      </c>
      <c r="B676" s="47" t="s">
        <v>810</v>
      </c>
      <c r="C676" s="48">
        <f>IFERROR(DIVIDE(VLOOKUP($B676,Data!$B$3:$AB$1535,9,FALSE),VLOOKUP($B676,Data!$B$3:$AB$1535,4,FALSE)),"")</f>
        <v>0.3152985075</v>
      </c>
      <c r="D676" s="48">
        <f>IFERROR(DIVIDE(VLOOKUP($B676,Data!$B$3:$AB$1535,24,FALSE),VLOOKUP($B676,Data!$B$3:$AB$1535,4,FALSE)),"")</f>
        <v>0.09841604478</v>
      </c>
      <c r="E676" s="48">
        <f>IFERROR(DIVIDE(VLOOKUP($B676,Data!$B$3:$EZ1530,29,FALSE),VLOOKUP($B676,Data!$B$3:$EZ1530,4,FALSE)),"")</f>
        <v>0.1039962687</v>
      </c>
      <c r="F676" s="48">
        <f>IFERROR(DIVIDE(VLOOKUP($B676,Data!$B$3:$EZ1530,34,FALSE),VLOOKUP($B676,Data!$B$3:$EZ1530,4,FALSE)),"")</f>
        <v>0.1478246269</v>
      </c>
      <c r="G676" s="48">
        <f>IFERROR(DIVIDE(VLOOKUP($B676,Data!$B$3:$EZ1530,39,FALSE),VLOOKUP($B676,Data!$B$3:$EZ1530,4,FALSE)),"")</f>
        <v>0.07903731343</v>
      </c>
      <c r="H676" s="48">
        <f>IFERROR(DIVIDE(VLOOKUP($B676,Data!$B$3:$EZ1530,44,FALSE),VLOOKUP($B676,Data!$B$3:$EZ1530,4,FALSE)),"")</f>
        <v>0.1619906716</v>
      </c>
      <c r="I676" s="48">
        <f>IFERROR(MINUS(DIVIDE(VLOOKUP($B676,Data!$B$3:$EZ1530,9,FALSE),VLOOKUP($B676,Data!$B$3:$EZ1530,10,FALSE)),1),"")</f>
        <v>-0.1421319797</v>
      </c>
      <c r="J676" s="48">
        <f>IFERROR(MINUS(DIVIDE(VLOOKUP($B676,Data!$B$3:$EZ1530,24,FALSE),VLOOKUP($B676,Data!$B$3:$EZ1530,25,FALSE)),1),"")</f>
        <v>-0.2485719577</v>
      </c>
      <c r="K676" s="48">
        <f>IFERROR(MINUS(DIVIDE(VLOOKUP($B676,Data!$B$3:$EZ1530,29,FALSE),VLOOKUP($B676,Data!$B$3:$EZ1530,30,FALSE)),1),"")</f>
        <v>-0.1881799514</v>
      </c>
      <c r="L676" s="48">
        <f>IFERROR(MINUS(DIVIDE(VLOOKUP($B676,Data!$B$3:$EZ1530,34,FALSE),VLOOKUP($B676,Data!$B$3:$EZ1530,35,FALSE)),1),"")</f>
        <v>-0.252509434</v>
      </c>
      <c r="M676" s="48">
        <f>IFERROR(MINUS(DIVIDE(VLOOKUP($B676,Data!$B$3:$EZ1530,39,FALSE),VLOOKUP($B676,Data!$B$3:$EZ1530,40,FALSE)),1),"")</f>
        <v>-0.2028600997</v>
      </c>
      <c r="N676" s="48">
        <f>IFERROR(MINUS(DIVIDE(VLOOKUP($B676,Data!$B$3:$EZ1530,44,FALSE),VLOOKUP($B676,Data!$B$3:$EZ1530,45,FALSE)),1),"")</f>
        <v>-0.2824214876</v>
      </c>
      <c r="O676" s="50">
        <f>IFERROR(VLOOKUP($B676,Data!$B$3:$D1530,2,FALSE),"")</f>
        <v>4190000</v>
      </c>
      <c r="P676" s="50">
        <f>IFERROR(VLOOKUP($B676,Data!$B$3:$D1530,3,FALSE),"")</f>
        <v>3470000</v>
      </c>
      <c r="Q676" s="48">
        <f t="shared" si="2"/>
        <v>0.2074927954</v>
      </c>
      <c r="R676" s="48"/>
      <c r="S676" s="48"/>
      <c r="T676" s="48"/>
      <c r="U676" s="48"/>
      <c r="V676" s="48"/>
      <c r="W676" s="50"/>
      <c r="Z676" s="12"/>
      <c r="AA676" s="12"/>
    </row>
    <row r="677">
      <c r="A677" s="9">
        <f t="shared" si="1"/>
        <v>674</v>
      </c>
      <c r="B677" s="47" t="s">
        <v>811</v>
      </c>
      <c r="C677" s="48">
        <f>IFERROR(DIVIDE(VLOOKUP($B677,Data!$B$3:$AB$1535,9,FALSE),VLOOKUP($B677,Data!$B$3:$AB$1535,4,FALSE)),"")</f>
        <v>0.2776131387</v>
      </c>
      <c r="D677" s="48">
        <f>IFERROR(DIVIDE(VLOOKUP($B677,Data!$B$3:$AB$1535,24,FALSE),VLOOKUP($B677,Data!$B$3:$AB$1535,4,FALSE)),"")</f>
        <v>-0.1098540146</v>
      </c>
      <c r="E677" s="48">
        <f>IFERROR(DIVIDE(VLOOKUP($B677,Data!$B$3:$EZ1530,29,FALSE),VLOOKUP($B677,Data!$B$3:$EZ1530,4,FALSE)),"")</f>
        <v>-0.1396058394</v>
      </c>
      <c r="F677" s="48">
        <f>IFERROR(DIVIDE(VLOOKUP($B677,Data!$B$3:$EZ1530,34,FALSE),VLOOKUP($B677,Data!$B$3:$EZ1530,4,FALSE)),"")</f>
        <v>0.1783065693</v>
      </c>
      <c r="G677" s="48">
        <f>IFERROR(DIVIDE(VLOOKUP($B677,Data!$B$3:$EZ1530,39,FALSE),VLOOKUP($B677,Data!$B$3:$EZ1530,4,FALSE)),"")</f>
        <v>-0.1565255474</v>
      </c>
      <c r="H677" s="48">
        <f>IFERROR(DIVIDE(VLOOKUP($B677,Data!$B$3:$EZ1530,44,FALSE),VLOOKUP($B677,Data!$B$3:$EZ1530,4,FALSE)),"")</f>
        <v>0.105729927</v>
      </c>
      <c r="I677" s="48">
        <f>IFERROR(MINUS(DIVIDE(VLOOKUP($B677,Data!$B$3:$EZ1530,9,FALSE),VLOOKUP($B677,Data!$B$3:$EZ1530,10,FALSE)),1),"")</f>
        <v>0.002213497062</v>
      </c>
      <c r="J677" s="48" t="str">
        <f>IFERROR(MINUS(DIVIDE(VLOOKUP($B677,Data!$B$3:$EZ1530,24,FALSE),VLOOKUP($B677,Data!$B$3:$EZ1530,25,FALSE)),1),"")</f>
        <v/>
      </c>
      <c r="K677" s="48">
        <f>IFERROR(MINUS(DIVIDE(VLOOKUP($B677,Data!$B$3:$EZ1530,29,FALSE),VLOOKUP($B677,Data!$B$3:$EZ1530,30,FALSE)),1),"")</f>
        <v>-4.904859126</v>
      </c>
      <c r="L677" s="48">
        <f>IFERROR(MINUS(DIVIDE(VLOOKUP($B677,Data!$B$3:$EZ1530,34,FALSE),VLOOKUP($B677,Data!$B$3:$EZ1530,35,FALSE)),1),"")</f>
        <v>0.583560223</v>
      </c>
      <c r="M677" s="48">
        <f>IFERROR(MINUS(DIVIDE(VLOOKUP($B677,Data!$B$3:$EZ1530,39,FALSE),VLOOKUP($B677,Data!$B$3:$EZ1530,40,FALSE)),1),"")</f>
        <v>-5.376326531</v>
      </c>
      <c r="N677" s="48">
        <f>IFERROR(MINUS(DIVIDE(VLOOKUP($B677,Data!$B$3:$EZ1530,44,FALSE),VLOOKUP($B677,Data!$B$3:$EZ1530,45,FALSE)),1),"")</f>
        <v>0.6778640102</v>
      </c>
      <c r="O677" s="50">
        <f>IFERROR(VLOOKUP($B677,Data!$B$3:$D1530,2,FALSE),"")</f>
        <v>1520000</v>
      </c>
      <c r="P677" s="50">
        <f>IFERROR(VLOOKUP($B677,Data!$B$3:$D1530,3,FALSE),"")</f>
        <v>1520000</v>
      </c>
      <c r="Q677" s="48">
        <f t="shared" si="2"/>
        <v>0</v>
      </c>
      <c r="R677" s="48"/>
      <c r="S677" s="48"/>
      <c r="T677" s="48"/>
      <c r="U677" s="48"/>
      <c r="V677" s="48"/>
      <c r="W677" s="50"/>
      <c r="Z677" s="15"/>
      <c r="AA677" s="15"/>
    </row>
    <row r="678">
      <c r="A678" s="9">
        <f t="shared" si="1"/>
        <v>675</v>
      </c>
      <c r="B678" s="47" t="s">
        <v>812</v>
      </c>
      <c r="C678" s="48">
        <f>IFERROR(DIVIDE(VLOOKUP($B678,Data!$B$3:$AB$1535,9,FALSE),VLOOKUP($B678,Data!$B$3:$AB$1535,4,FALSE)),"")</f>
        <v>0.3849087442</v>
      </c>
      <c r="D678" s="48">
        <f>IFERROR(DIVIDE(VLOOKUP($B678,Data!$B$3:$AB$1535,24,FALSE),VLOOKUP($B678,Data!$B$3:$AB$1535,4,FALSE)),"")</f>
        <v>0.1909561427</v>
      </c>
      <c r="E678" s="48">
        <f>IFERROR(DIVIDE(VLOOKUP($B678,Data!$B$3:$EZ1530,29,FALSE),VLOOKUP($B678,Data!$B$3:$EZ1530,4,FALSE)),"")</f>
        <v>0.2059384364</v>
      </c>
      <c r="F678" s="48">
        <f>IFERROR(DIVIDE(VLOOKUP($B678,Data!$B$3:$EZ1530,34,FALSE),VLOOKUP($B678,Data!$B$3:$EZ1530,4,FALSE)),"")</f>
        <v>0.2293652956</v>
      </c>
      <c r="G678" s="48">
        <f>IFERROR(DIVIDE(VLOOKUP($B678,Data!$B$3:$EZ1530,39,FALSE),VLOOKUP($B678,Data!$B$3:$EZ1530,4,FALSE)),"")</f>
        <v>0.1672568782</v>
      </c>
      <c r="H678" s="48">
        <f>IFERROR(DIVIDE(VLOOKUP($B678,Data!$B$3:$EZ1530,44,FALSE),VLOOKUP($B678,Data!$B$3:$EZ1530,4,FALSE)),"")</f>
        <v>0.187959684</v>
      </c>
      <c r="I678" s="48">
        <f>IFERROR(MINUS(DIVIDE(VLOOKUP($B678,Data!$B$3:$EZ1530,9,FALSE),VLOOKUP($B678,Data!$B$3:$EZ1530,10,FALSE)),1),"")</f>
        <v>-0.08306294614</v>
      </c>
      <c r="J678" s="48">
        <f>IFERROR(MINUS(DIVIDE(VLOOKUP($B678,Data!$B$3:$EZ1530,24,FALSE),VLOOKUP($B678,Data!$B$3:$EZ1530,25,FALSE)),1),"")</f>
        <v>0.03698224852</v>
      </c>
      <c r="K678" s="48">
        <f>IFERROR(MINUS(DIVIDE(VLOOKUP($B678,Data!$B$3:$EZ1530,29,FALSE),VLOOKUP($B678,Data!$B$3:$EZ1530,30,FALSE)),1),"")</f>
        <v>0.009345794393</v>
      </c>
      <c r="L678" s="48">
        <f>IFERROR(MINUS(DIVIDE(VLOOKUP($B678,Data!$B$3:$EZ1530,34,FALSE),VLOOKUP($B678,Data!$B$3:$EZ1530,35,FALSE)),1),"")</f>
        <v>-0.05499438833</v>
      </c>
      <c r="M678" s="48">
        <f>IFERROR(MINUS(DIVIDE(VLOOKUP($B678,Data!$B$3:$EZ1530,39,FALSE),VLOOKUP($B678,Data!$B$3:$EZ1530,40,FALSE)),1),"")</f>
        <v>-0.09305760709</v>
      </c>
      <c r="N678" s="48">
        <f>IFERROR(MINUS(DIVIDE(VLOOKUP($B678,Data!$B$3:$EZ1530,44,FALSE),VLOOKUP($B678,Data!$B$3:$EZ1530,45,FALSE)),1),"")</f>
        <v>0.07309486781</v>
      </c>
      <c r="O678" s="50">
        <f>IFERROR(VLOOKUP($B678,Data!$B$3:$D1530,2,FALSE),"")</f>
        <v>33710000</v>
      </c>
      <c r="P678" s="50">
        <f>IFERROR(VLOOKUP($B678,Data!$B$3:$D1530,3,FALSE),"")</f>
        <v>31980000</v>
      </c>
      <c r="Q678" s="48">
        <f t="shared" si="2"/>
        <v>0.05409631019</v>
      </c>
      <c r="R678" s="48"/>
      <c r="S678" s="48"/>
      <c r="T678" s="48"/>
      <c r="U678" s="48"/>
      <c r="V678" s="48"/>
      <c r="W678" s="50"/>
      <c r="Z678" s="15"/>
      <c r="AA678" s="15"/>
    </row>
    <row r="679">
      <c r="A679" s="9">
        <f t="shared" si="1"/>
        <v>676</v>
      </c>
      <c r="B679" s="47" t="s">
        <v>813</v>
      </c>
      <c r="C679" s="48">
        <f>IFERROR(DIVIDE(VLOOKUP($B679,Data!$B$3:$AB$1535,9,FALSE),VLOOKUP($B679,Data!$B$3:$AB$1535,4,FALSE)),"")</f>
        <v>0</v>
      </c>
      <c r="D679" s="48">
        <f>IFERROR(DIVIDE(VLOOKUP($B679,Data!$B$3:$AB$1535,24,FALSE),VLOOKUP($B679,Data!$B$3:$AB$1535,4,FALSE)),"")</f>
        <v>0</v>
      </c>
      <c r="E679" s="48">
        <f>IFERROR(DIVIDE(VLOOKUP($B679,Data!$B$3:$EZ1530,29,FALSE),VLOOKUP($B679,Data!$B$3:$EZ1530,4,FALSE)),"")</f>
        <v>-3.604690117</v>
      </c>
      <c r="F679" s="48">
        <f>IFERROR(DIVIDE(VLOOKUP($B679,Data!$B$3:$EZ1530,34,FALSE),VLOOKUP($B679,Data!$B$3:$EZ1530,4,FALSE)),"")</f>
        <v>-4.021775544</v>
      </c>
      <c r="G679" s="48">
        <f>IFERROR(DIVIDE(VLOOKUP($B679,Data!$B$3:$EZ1530,39,FALSE),VLOOKUP($B679,Data!$B$3:$EZ1530,4,FALSE)),"")</f>
        <v>-3.604690117</v>
      </c>
      <c r="H679" s="48">
        <f>IFERROR(DIVIDE(VLOOKUP($B679,Data!$B$3:$EZ1530,44,FALSE),VLOOKUP($B679,Data!$B$3:$EZ1530,4,FALSE)),"")</f>
        <v>-3.29480737</v>
      </c>
      <c r="I679" s="48" t="str">
        <f>IFERROR(MINUS(DIVIDE(VLOOKUP($B679,Data!$B$3:$EZ1530,9,FALSE),VLOOKUP($B679,Data!$B$3:$EZ1530,10,FALSE)),1),"")</f>
        <v/>
      </c>
      <c r="J679" s="48" t="str">
        <f>IFERROR(MINUS(DIVIDE(VLOOKUP($B679,Data!$B$3:$EZ1530,24,FALSE),VLOOKUP($B679,Data!$B$3:$EZ1530,25,FALSE)),1),"")</f>
        <v/>
      </c>
      <c r="K679" s="48">
        <f>IFERROR(MINUS(DIVIDE(VLOOKUP($B679,Data!$B$3:$EZ1530,29,FALSE),VLOOKUP($B679,Data!$B$3:$EZ1530,30,FALSE)),1),"")</f>
        <v>1.655151141</v>
      </c>
      <c r="L679" s="48">
        <f>IFERROR(MINUS(DIVIDE(VLOOKUP($B679,Data!$B$3:$EZ1530,34,FALSE),VLOOKUP($B679,Data!$B$3:$EZ1530,35,FALSE)),1),"")</f>
        <v>1.337877313</v>
      </c>
      <c r="M679" s="48">
        <f>IFERROR(MINUS(DIVIDE(VLOOKUP($B679,Data!$B$3:$EZ1530,39,FALSE),VLOOKUP($B679,Data!$B$3:$EZ1530,40,FALSE)),1),"")</f>
        <v>1.650246305</v>
      </c>
      <c r="N679" s="48">
        <f>IFERROR(MINUS(DIVIDE(VLOOKUP($B679,Data!$B$3:$EZ1530,44,FALSE),VLOOKUP($B679,Data!$B$3:$EZ1530,45,FALSE)),1),"")</f>
        <v>1.622666667</v>
      </c>
      <c r="O679" s="50">
        <f>IFERROR(VLOOKUP($B679,Data!$B$3:$D1530,2,FALSE),"")</f>
        <v>9650</v>
      </c>
      <c r="P679" s="50">
        <f>IFERROR(VLOOKUP($B679,Data!$B$3:$D1530,3,FALSE),"")</f>
        <v>17500</v>
      </c>
      <c r="Q679" s="48">
        <f t="shared" si="2"/>
        <v>-0.4485714286</v>
      </c>
      <c r="R679" s="48"/>
      <c r="S679" s="48"/>
      <c r="T679" s="48"/>
      <c r="U679" s="48"/>
      <c r="V679" s="48"/>
      <c r="W679" s="50"/>
      <c r="Z679" s="11"/>
      <c r="AA679" s="11"/>
    </row>
    <row r="680">
      <c r="A680" s="9">
        <f t="shared" si="1"/>
        <v>677</v>
      </c>
      <c r="B680" s="47" t="s">
        <v>814</v>
      </c>
      <c r="C680" s="48">
        <f>IFERROR(DIVIDE(VLOOKUP($B680,Data!$B$3:$AB$1535,9,FALSE),VLOOKUP($B680,Data!$B$3:$AB$1535,4,FALSE)),"")</f>
        <v>0.1461442786</v>
      </c>
      <c r="D680" s="48">
        <f>IFERROR(DIVIDE(VLOOKUP($B680,Data!$B$3:$AB$1535,24,FALSE),VLOOKUP($B680,Data!$B$3:$AB$1535,4,FALSE)),"")</f>
        <v>0.01067661692</v>
      </c>
      <c r="E680" s="48">
        <f>IFERROR(DIVIDE(VLOOKUP($B680,Data!$B$3:$EZ1530,29,FALSE),VLOOKUP($B680,Data!$B$3:$EZ1530,4,FALSE)),"")</f>
        <v>-0.01973631841</v>
      </c>
      <c r="F680" s="48">
        <f>IFERROR(DIVIDE(VLOOKUP($B680,Data!$B$3:$EZ1530,34,FALSE),VLOOKUP($B680,Data!$B$3:$EZ1530,4,FALSE)),"")</f>
        <v>0.03145273632</v>
      </c>
      <c r="G680" s="48">
        <f>IFERROR(DIVIDE(VLOOKUP($B680,Data!$B$3:$EZ1530,39,FALSE),VLOOKUP($B680,Data!$B$3:$EZ1530,4,FALSE)),"")</f>
        <v>-0.02095522388</v>
      </c>
      <c r="H680" s="48">
        <f>IFERROR(DIVIDE(VLOOKUP($B680,Data!$B$3:$EZ1530,44,FALSE),VLOOKUP($B680,Data!$B$3:$EZ1530,4,FALSE)),"")</f>
        <v>-0.1195024876</v>
      </c>
      <c r="I680" s="48">
        <f>IFERROR(MINUS(DIVIDE(VLOOKUP($B680,Data!$B$3:$EZ1530,9,FALSE),VLOOKUP($B680,Data!$B$3:$EZ1530,10,FALSE)),1),"")</f>
        <v>-0.08846893812</v>
      </c>
      <c r="J680" s="48">
        <f>IFERROR(MINUS(DIVIDE(VLOOKUP($B680,Data!$B$3:$EZ1530,24,FALSE),VLOOKUP($B680,Data!$B$3:$EZ1530,25,FALSE)),1),"")</f>
        <v>-0.7544903329</v>
      </c>
      <c r="K680" s="48">
        <f>IFERROR(MINUS(DIVIDE(VLOOKUP($B680,Data!$B$3:$EZ1530,29,FALSE),VLOOKUP($B680,Data!$B$3:$EZ1530,30,FALSE)),1),"")</f>
        <v>-5.867484663</v>
      </c>
      <c r="L680" s="48">
        <f>IFERROR(MINUS(DIVIDE(VLOOKUP($B680,Data!$B$3:$EZ1530,34,FALSE),VLOOKUP($B680,Data!$B$3:$EZ1530,35,FALSE)),1),"")</f>
        <v>-0.3345263158</v>
      </c>
      <c r="M680" s="48">
        <f>IFERROR(MINUS(DIVIDE(VLOOKUP($B680,Data!$B$3:$EZ1530,39,FALSE),VLOOKUP($B680,Data!$B$3:$EZ1530,40,FALSE)),1),"")</f>
        <v>-10.31858407</v>
      </c>
      <c r="N680" s="48">
        <f>IFERROR(MINUS(DIVIDE(VLOOKUP($B680,Data!$B$3:$EZ1530,44,FALSE),VLOOKUP($B680,Data!$B$3:$EZ1530,45,FALSE)),1),"")</f>
        <v>5.294549266</v>
      </c>
      <c r="O680" s="50" t="str">
        <f>IFERROR(VLOOKUP($B680,Data!$B$3:$D1530,2,FALSE),"")</f>
        <v/>
      </c>
      <c r="P680" s="50">
        <f>IFERROR(VLOOKUP($B680,Data!$B$3:$D1530,3,FALSE),"")</f>
        <v>2270000</v>
      </c>
      <c r="Q680" s="48">
        <f t="shared" si="2"/>
        <v>-1</v>
      </c>
      <c r="R680" s="48"/>
      <c r="S680" s="48"/>
      <c r="T680" s="48"/>
      <c r="U680" s="48"/>
      <c r="V680" s="48"/>
      <c r="W680" s="50"/>
      <c r="Z680" s="11"/>
      <c r="AA680" s="11"/>
    </row>
    <row r="681">
      <c r="A681" s="9">
        <f t="shared" si="1"/>
        <v>678</v>
      </c>
      <c r="B681" s="47" t="s">
        <v>815</v>
      </c>
      <c r="C681" s="48">
        <f>IFERROR(DIVIDE(VLOOKUP($B681,Data!$B$3:$AB$1535,9,FALSE),VLOOKUP($B681,Data!$B$3:$AB$1535,4,FALSE)),"")</f>
        <v>0.5473975075</v>
      </c>
      <c r="D681" s="48">
        <f>IFERROR(DIVIDE(VLOOKUP($B681,Data!$B$3:$AB$1535,24,FALSE),VLOOKUP($B681,Data!$B$3:$AB$1535,4,FALSE)),"")</f>
        <v>0.06804639185</v>
      </c>
      <c r="E681" s="48">
        <f>IFERROR(DIVIDE(VLOOKUP($B681,Data!$B$3:$EZ1530,29,FALSE),VLOOKUP($B681,Data!$B$3:$EZ1530,4,FALSE)),"")</f>
        <v>0.08112934454</v>
      </c>
      <c r="F681" s="48">
        <f>IFERROR(DIVIDE(VLOOKUP($B681,Data!$B$3:$EZ1530,34,FALSE),VLOOKUP($B681,Data!$B$3:$EZ1530,4,FALSE)),"")</f>
        <v>0.3091599466</v>
      </c>
      <c r="G681" s="48">
        <f>IFERROR(DIVIDE(VLOOKUP($B681,Data!$B$3:$EZ1530,39,FALSE),VLOOKUP($B681,Data!$B$3:$EZ1530,4,FALSE)),"")</f>
        <v>0.0745502735</v>
      </c>
      <c r="H681" s="48">
        <f>IFERROR(DIVIDE(VLOOKUP($B681,Data!$B$3:$EZ1530,44,FALSE),VLOOKUP($B681,Data!$B$3:$EZ1530,4,FALSE)),"")</f>
        <v>0.2075039004</v>
      </c>
      <c r="I681" s="48">
        <f>IFERROR(MINUS(DIVIDE(VLOOKUP($B681,Data!$B$3:$EZ1530,9,FALSE),VLOOKUP($B681,Data!$B$3:$EZ1530,10,FALSE)),1),"")</f>
        <v>0.6615884971</v>
      </c>
      <c r="J681" s="48">
        <f>IFERROR(MINUS(DIVIDE(VLOOKUP($B681,Data!$B$3:$EZ1530,24,FALSE),VLOOKUP($B681,Data!$B$3:$EZ1530,25,FALSE)),1),"")</f>
        <v>-0.5209739315</v>
      </c>
      <c r="K681" s="48">
        <f>IFERROR(MINUS(DIVIDE(VLOOKUP($B681,Data!$B$3:$EZ1530,29,FALSE),VLOOKUP($B681,Data!$B$3:$EZ1530,30,FALSE)),1),"")</f>
        <v>-0.4307570562</v>
      </c>
      <c r="L681" s="48">
        <f>IFERROR(MINUS(DIVIDE(VLOOKUP($B681,Data!$B$3:$EZ1530,34,FALSE),VLOOKUP($B681,Data!$B$3:$EZ1530,35,FALSE)),1),"")</f>
        <v>0.7157312748</v>
      </c>
      <c r="M681" s="48">
        <f>IFERROR(MINUS(DIVIDE(VLOOKUP($B681,Data!$B$3:$EZ1530,39,FALSE),VLOOKUP($B681,Data!$B$3:$EZ1530,40,FALSE)),1),"")</f>
        <v>-0.4633288227</v>
      </c>
      <c r="N681" s="48">
        <f>IFERROR(MINUS(DIVIDE(VLOOKUP($B681,Data!$B$3:$EZ1530,44,FALSE),VLOOKUP($B681,Data!$B$3:$EZ1530,45,FALSE)),1),"")</f>
        <v>-0.0267148651</v>
      </c>
      <c r="O681" s="50">
        <f>IFERROR(VLOOKUP($B681,Data!$B$3:$D1530,2,FALSE),"")</f>
        <v>795800</v>
      </c>
      <c r="P681" s="50">
        <f>IFERROR(VLOOKUP($B681,Data!$B$3:$D1530,3,FALSE),"")</f>
        <v>738660</v>
      </c>
      <c r="Q681" s="48">
        <f t="shared" si="2"/>
        <v>0.07735629383</v>
      </c>
      <c r="R681" s="48"/>
      <c r="S681" s="48"/>
      <c r="T681" s="48"/>
      <c r="U681" s="48"/>
      <c r="V681" s="48"/>
      <c r="W681" s="50"/>
      <c r="Z681" s="11"/>
      <c r="AA681" s="11"/>
    </row>
    <row r="682">
      <c r="A682" s="9">
        <f t="shared" si="1"/>
        <v>679</v>
      </c>
      <c r="B682" s="47" t="s">
        <v>816</v>
      </c>
      <c r="C682" s="48" t="str">
        <f>IFERROR(DIVIDE(VLOOKUP($B682,Data!$B$3:$AB$1535,9,FALSE),VLOOKUP($B682,Data!$B$3:$AB$1535,4,FALSE)),"")</f>
        <v/>
      </c>
      <c r="D682" s="48" t="str">
        <f>IFERROR(DIVIDE(VLOOKUP($B682,Data!$B$3:$AB$1535,24,FALSE),VLOOKUP($B682,Data!$B$3:$AB$1535,4,FALSE)),"")</f>
        <v/>
      </c>
      <c r="E682" s="48" t="str">
        <f>IFERROR(DIVIDE(VLOOKUP($B682,Data!$B$3:$EZ1530,29,FALSE),VLOOKUP($B682,Data!$B$3:$EZ1530,4,FALSE)),"")</f>
        <v/>
      </c>
      <c r="F682" s="48" t="str">
        <f>IFERROR(DIVIDE(VLOOKUP($B682,Data!$B$3:$EZ1530,34,FALSE),VLOOKUP($B682,Data!$B$3:$EZ1530,4,FALSE)),"")</f>
        <v/>
      </c>
      <c r="G682" s="48" t="str">
        <f>IFERROR(DIVIDE(VLOOKUP($B682,Data!$B$3:$EZ1530,39,FALSE),VLOOKUP($B682,Data!$B$3:$EZ1530,4,FALSE)),"")</f>
        <v/>
      </c>
      <c r="H682" s="48" t="str">
        <f>IFERROR(DIVIDE(VLOOKUP($B682,Data!$B$3:$EZ1530,44,FALSE),VLOOKUP($B682,Data!$B$3:$EZ1530,4,FALSE)),"")</f>
        <v/>
      </c>
      <c r="I682" s="48" t="str">
        <f>IFERROR(MINUS(DIVIDE(VLOOKUP($B682,Data!$B$3:$EZ1530,9,FALSE),VLOOKUP($B682,Data!$B$3:$EZ1530,10,FALSE)),1),"")</f>
        <v/>
      </c>
      <c r="J682" s="48" t="str">
        <f>IFERROR(MINUS(DIVIDE(VLOOKUP($B682,Data!$B$3:$EZ1530,24,FALSE),VLOOKUP($B682,Data!$B$3:$EZ1530,25,FALSE)),1),"")</f>
        <v/>
      </c>
      <c r="K682" s="48" t="str">
        <f>IFERROR(MINUS(DIVIDE(VLOOKUP($B682,Data!$B$3:$EZ1530,29,FALSE),VLOOKUP($B682,Data!$B$3:$EZ1530,30,FALSE)),1),"")</f>
        <v/>
      </c>
      <c r="L682" s="48" t="str">
        <f>IFERROR(MINUS(DIVIDE(VLOOKUP($B682,Data!$B$3:$EZ1530,34,FALSE),VLOOKUP($B682,Data!$B$3:$EZ1530,35,FALSE)),1),"")</f>
        <v/>
      </c>
      <c r="M682" s="48" t="str">
        <f>IFERROR(MINUS(DIVIDE(VLOOKUP($B682,Data!$B$3:$EZ1530,39,FALSE),VLOOKUP($B682,Data!$B$3:$EZ1530,40,FALSE)),1),"")</f>
        <v/>
      </c>
      <c r="N682" s="48" t="str">
        <f>IFERROR(MINUS(DIVIDE(VLOOKUP($B682,Data!$B$3:$EZ1530,44,FALSE),VLOOKUP($B682,Data!$B$3:$EZ1530,45,FALSE)),1),"")</f>
        <v/>
      </c>
      <c r="O682" s="50">
        <f>IFERROR(VLOOKUP($B682,Data!$B$3:$D1530,2,FALSE),"")</f>
        <v>522600</v>
      </c>
      <c r="P682" s="50">
        <f>IFERROR(VLOOKUP($B682,Data!$B$3:$D1530,3,FALSE),"")</f>
        <v>500540</v>
      </c>
      <c r="Q682" s="48">
        <f t="shared" si="2"/>
        <v>0.04407240181</v>
      </c>
      <c r="R682" s="48"/>
      <c r="S682" s="48"/>
      <c r="T682" s="48"/>
      <c r="U682" s="48"/>
      <c r="V682" s="48"/>
      <c r="W682" s="50"/>
      <c r="Z682" s="11"/>
      <c r="AA682" s="11"/>
    </row>
    <row r="683">
      <c r="A683" s="9">
        <f t="shared" si="1"/>
        <v>680</v>
      </c>
      <c r="B683" s="47" t="s">
        <v>817</v>
      </c>
      <c r="C683" s="48">
        <f>IFERROR(DIVIDE(VLOOKUP($B683,Data!$B$3:$AB$1535,9,FALSE),VLOOKUP($B683,Data!$B$3:$AB$1535,4,FALSE)),"")</f>
        <v>0.1978947368</v>
      </c>
      <c r="D683" s="48">
        <f>IFERROR(DIVIDE(VLOOKUP($B683,Data!$B$3:$AB$1535,24,FALSE),VLOOKUP($B683,Data!$B$3:$AB$1535,4,FALSE)),"")</f>
        <v>0.1242105263</v>
      </c>
      <c r="E683" s="48">
        <f>IFERROR(DIVIDE(VLOOKUP($B683,Data!$B$3:$EZ1530,29,FALSE),VLOOKUP($B683,Data!$B$3:$EZ1530,4,FALSE)),"")</f>
        <v>0.1273684211</v>
      </c>
      <c r="F683" s="48">
        <f>IFERROR(DIVIDE(VLOOKUP($B683,Data!$B$3:$EZ1530,34,FALSE),VLOOKUP($B683,Data!$B$3:$EZ1530,4,FALSE)),"")</f>
        <v>0.1410526316</v>
      </c>
      <c r="G683" s="48">
        <f>IFERROR(DIVIDE(VLOOKUP($B683,Data!$B$3:$EZ1530,39,FALSE),VLOOKUP($B683,Data!$B$3:$EZ1530,4,FALSE)),"")</f>
        <v>0.1030326316</v>
      </c>
      <c r="H683" s="48">
        <f>IFERROR(DIVIDE(VLOOKUP($B683,Data!$B$3:$EZ1530,44,FALSE),VLOOKUP($B683,Data!$B$3:$EZ1530,4,FALSE)),"")</f>
        <v>0.09715789474</v>
      </c>
      <c r="I683" s="48">
        <f>IFERROR(MINUS(DIVIDE(VLOOKUP($B683,Data!$B$3:$EZ1530,9,FALSE),VLOOKUP($B683,Data!$B$3:$EZ1530,10,FALSE)),1),"")</f>
        <v>-0.05050505051</v>
      </c>
      <c r="J683" s="48">
        <f>IFERROR(MINUS(DIVIDE(VLOOKUP($B683,Data!$B$3:$EZ1530,24,FALSE),VLOOKUP($B683,Data!$B$3:$EZ1530,25,FALSE)),1),"")</f>
        <v>-84.92603129</v>
      </c>
      <c r="K683" s="48">
        <f>IFERROR(MINUS(DIVIDE(VLOOKUP($B683,Data!$B$3:$EZ1530,29,FALSE),VLOOKUP($B683,Data!$B$3:$EZ1530,30,FALSE)),1),"")</f>
        <v>0.02542372881</v>
      </c>
      <c r="L683" s="48">
        <f>IFERROR(MINUS(DIVIDE(VLOOKUP($B683,Data!$B$3:$EZ1530,34,FALSE),VLOOKUP($B683,Data!$B$3:$EZ1530,35,FALSE)),1),"")</f>
        <v>0.03076923077</v>
      </c>
      <c r="M683" s="48">
        <f>IFERROR(MINUS(DIVIDE(VLOOKUP($B683,Data!$B$3:$EZ1530,39,FALSE),VLOOKUP($B683,Data!$B$3:$EZ1530,40,FALSE)),1),"")</f>
        <v>-0.03088118812</v>
      </c>
      <c r="N683" s="48">
        <f>IFERROR(MINUS(DIVIDE(VLOOKUP($B683,Data!$B$3:$EZ1530,44,FALSE),VLOOKUP($B683,Data!$B$3:$EZ1530,45,FALSE)),1),"")</f>
        <v>-0.2556451613</v>
      </c>
      <c r="O683" s="50">
        <f>IFERROR(VLOOKUP($B683,Data!$B$3:$D1530,2,FALSE),"")</f>
        <v>10120000</v>
      </c>
      <c r="P683" s="50">
        <f>IFERROR(VLOOKUP($B683,Data!$B$3:$D1530,3,FALSE),"")</f>
        <v>9770000</v>
      </c>
      <c r="Q683" s="48">
        <f t="shared" si="2"/>
        <v>0.03582395087</v>
      </c>
      <c r="R683" s="48"/>
      <c r="S683" s="48"/>
      <c r="T683" s="48"/>
      <c r="U683" s="48"/>
      <c r="V683" s="48"/>
      <c r="W683" s="50"/>
      <c r="Z683" s="11"/>
      <c r="AA683" s="11"/>
    </row>
    <row r="684">
      <c r="A684" s="9">
        <f t="shared" si="1"/>
        <v>681</v>
      </c>
      <c r="B684" s="47" t="s">
        <v>818</v>
      </c>
      <c r="C684" s="48">
        <f>IFERROR(DIVIDE(VLOOKUP($B684,Data!$B$3:$AB$1535,9,FALSE),VLOOKUP($B684,Data!$B$3:$AB$1535,4,FALSE)),"")</f>
        <v>0.2892606584</v>
      </c>
      <c r="D684" s="48">
        <f>IFERROR(DIVIDE(VLOOKUP($B684,Data!$B$3:$AB$1535,24,FALSE),VLOOKUP($B684,Data!$B$3:$AB$1535,4,FALSE)),"")</f>
        <v>0.06475984889</v>
      </c>
      <c r="E684" s="48">
        <f>IFERROR(DIVIDE(VLOOKUP($B684,Data!$B$3:$EZ1530,29,FALSE),VLOOKUP($B684,Data!$B$3:$EZ1530,4,FALSE)),"")</f>
        <v>0.09821910416</v>
      </c>
      <c r="F684" s="48">
        <f>IFERROR(DIVIDE(VLOOKUP($B684,Data!$B$3:$EZ1530,34,FALSE),VLOOKUP($B684,Data!$B$3:$EZ1530,4,FALSE)),"")</f>
        <v>0.1699946033</v>
      </c>
      <c r="G684" s="48">
        <f>IFERROR(DIVIDE(VLOOKUP($B684,Data!$B$3:$EZ1530,39,FALSE),VLOOKUP($B684,Data!$B$3:$EZ1530,4,FALSE)),"")</f>
        <v>0.08904479223</v>
      </c>
      <c r="H684" s="48">
        <f>IFERROR(DIVIDE(VLOOKUP($B684,Data!$B$3:$EZ1530,44,FALSE),VLOOKUP($B684,Data!$B$3:$EZ1530,4,FALSE)),"")</f>
        <v>0.05067458176</v>
      </c>
      <c r="I684" s="48">
        <f>IFERROR(MINUS(DIVIDE(VLOOKUP($B684,Data!$B$3:$EZ1530,9,FALSE),VLOOKUP($B684,Data!$B$3:$EZ1530,10,FALSE)),1),"")</f>
        <v>1.493023256</v>
      </c>
      <c r="J684" s="48">
        <f>IFERROR(MINUS(DIVIDE(VLOOKUP($B684,Data!$B$3:$EZ1530,24,FALSE),VLOOKUP($B684,Data!$B$3:$EZ1530,25,FALSE)),1),"")</f>
        <v>0.09090909091</v>
      </c>
      <c r="K684" s="48">
        <f>IFERROR(MINUS(DIVIDE(VLOOKUP($B684,Data!$B$3:$EZ1530,29,FALSE),VLOOKUP($B684,Data!$B$3:$EZ1530,30,FALSE)),1),"")</f>
        <v>0.9654427646</v>
      </c>
      <c r="L684" s="48">
        <f>IFERROR(MINUS(DIVIDE(VLOOKUP($B684,Data!$B$3:$EZ1530,34,FALSE),VLOOKUP($B684,Data!$B$3:$EZ1530,35,FALSE)),1),"")</f>
        <v>1.202797203</v>
      </c>
      <c r="M684" s="48">
        <f>IFERROR(MINUS(DIVIDE(VLOOKUP($B684,Data!$B$3:$EZ1530,39,FALSE),VLOOKUP($B684,Data!$B$3:$EZ1530,40,FALSE)),1),"")</f>
        <v>1.294853964</v>
      </c>
      <c r="N684" s="48">
        <f>IFERROR(MINUS(DIVIDE(VLOOKUP($B684,Data!$B$3:$EZ1530,44,FALSE),VLOOKUP($B684,Data!$B$3:$EZ1530,45,FALSE)),1),"")</f>
        <v>0.2503328895</v>
      </c>
      <c r="O684" s="50" t="str">
        <f>IFERROR(VLOOKUP($B684,Data!$B$3:$D1530,2,FALSE),"")</f>
        <v/>
      </c>
      <c r="P684" s="50" t="str">
        <f>IFERROR(VLOOKUP($B684,Data!$B$3:$D1530,3,FALSE),"")</f>
        <v/>
      </c>
      <c r="Q684" s="48" t="str">
        <f t="shared" si="2"/>
        <v/>
      </c>
      <c r="R684" s="48"/>
      <c r="S684" s="48"/>
      <c r="T684" s="48"/>
      <c r="U684" s="48"/>
      <c r="V684" s="48"/>
      <c r="W684" s="50"/>
      <c r="Z684" s="11"/>
      <c r="AA684" s="11"/>
    </row>
    <row r="685">
      <c r="A685" s="9">
        <f t="shared" si="1"/>
        <v>682</v>
      </c>
      <c r="B685" s="47" t="s">
        <v>819</v>
      </c>
      <c r="C685" s="48">
        <f>IFERROR(DIVIDE(VLOOKUP($B685,Data!$B$3:$AB$1535,9,FALSE),VLOOKUP($B685,Data!$B$3:$AB$1535,4,FALSE)),"")</f>
        <v>0.5778584641</v>
      </c>
      <c r="D685" s="48">
        <f>IFERROR(DIVIDE(VLOOKUP($B685,Data!$B$3:$AB$1535,24,FALSE),VLOOKUP($B685,Data!$B$3:$AB$1535,4,FALSE)),"")</f>
        <v>0</v>
      </c>
      <c r="E685" s="48">
        <f>IFERROR(DIVIDE(VLOOKUP($B685,Data!$B$3:$EZ1530,29,FALSE),VLOOKUP($B685,Data!$B$3:$EZ1530,4,FALSE)),"")</f>
        <v>-1.402685483</v>
      </c>
      <c r="F685" s="48">
        <f>IFERROR(DIVIDE(VLOOKUP($B685,Data!$B$3:$EZ1530,34,FALSE),VLOOKUP($B685,Data!$B$3:$EZ1530,4,FALSE)),"")</f>
        <v>-1.429403302</v>
      </c>
      <c r="G685" s="48">
        <f>IFERROR(DIVIDE(VLOOKUP($B685,Data!$B$3:$EZ1530,39,FALSE),VLOOKUP($B685,Data!$B$3:$EZ1530,4,FALSE)),"")</f>
        <v>-1.402685483</v>
      </c>
      <c r="H685" s="48">
        <f>IFERROR(DIVIDE(VLOOKUP($B685,Data!$B$3:$EZ1530,44,FALSE),VLOOKUP($B685,Data!$B$3:$EZ1530,4,FALSE)),"")</f>
        <v>-0.8534630404</v>
      </c>
      <c r="I685" s="48">
        <f>IFERROR(MINUS(DIVIDE(VLOOKUP($B685,Data!$B$3:$EZ1530,9,FALSE),VLOOKUP($B685,Data!$B$3:$EZ1530,10,FALSE)),1),"")</f>
        <v>0.6883506805</v>
      </c>
      <c r="J685" s="48" t="str">
        <f>IFERROR(MINUS(DIVIDE(VLOOKUP($B685,Data!$B$3:$EZ1530,24,FALSE),VLOOKUP($B685,Data!$B$3:$EZ1530,25,FALSE)),1),"")</f>
        <v/>
      </c>
      <c r="K685" s="48">
        <f>IFERROR(MINUS(DIVIDE(VLOOKUP($B685,Data!$B$3:$EZ1530,29,FALSE),VLOOKUP($B685,Data!$B$3:$EZ1530,30,FALSE)),1),"")</f>
        <v>0.1448781033</v>
      </c>
      <c r="L685" s="48">
        <f>IFERROR(MINUS(DIVIDE(VLOOKUP($B685,Data!$B$3:$EZ1530,34,FALSE),VLOOKUP($B685,Data!$B$3:$EZ1530,35,FALSE)),1),"")</f>
        <v>0.1437890582</v>
      </c>
      <c r="M685" s="48">
        <f>IFERROR(MINUS(DIVIDE(VLOOKUP($B685,Data!$B$3:$EZ1530,39,FALSE),VLOOKUP($B685,Data!$B$3:$EZ1530,40,FALSE)),1),"")</f>
        <v>0.1448781033</v>
      </c>
      <c r="N685" s="48">
        <f>IFERROR(MINUS(DIVIDE(VLOOKUP($B685,Data!$B$3:$EZ1530,44,FALSE),VLOOKUP($B685,Data!$B$3:$EZ1530,45,FALSE)),1),"")</f>
        <v>-0.350503102</v>
      </c>
      <c r="O685" s="50">
        <f>IFERROR(VLOOKUP($B685,Data!$B$3:$D1530,2,FALSE),"")</f>
        <v>174190</v>
      </c>
      <c r="P685" s="50">
        <f>IFERROR(VLOOKUP($B685,Data!$B$3:$D1530,3,FALSE),"")</f>
        <v>82040</v>
      </c>
      <c r="Q685" s="48">
        <f t="shared" si="2"/>
        <v>1.123232569</v>
      </c>
      <c r="R685" s="48"/>
      <c r="S685" s="48"/>
      <c r="T685" s="48"/>
      <c r="U685" s="48"/>
      <c r="V685" s="48"/>
      <c r="W685" s="50"/>
      <c r="Z685" s="15"/>
      <c r="AA685" s="15"/>
    </row>
    <row r="686">
      <c r="A686" s="9">
        <f t="shared" si="1"/>
        <v>683</v>
      </c>
      <c r="B686" s="47" t="s">
        <v>820</v>
      </c>
      <c r="C686" s="48">
        <f>IFERROR(DIVIDE(VLOOKUP($B686,Data!$B$3:$AB$1535,9,FALSE),VLOOKUP($B686,Data!$B$3:$AB$1535,4,FALSE)),"")</f>
        <v>0.3093093093</v>
      </c>
      <c r="D686" s="48">
        <f>IFERROR(DIVIDE(VLOOKUP($B686,Data!$B$3:$AB$1535,24,FALSE),VLOOKUP($B686,Data!$B$3:$AB$1535,4,FALSE)),"")</f>
        <v>0.0718978979</v>
      </c>
      <c r="E686" s="48">
        <f>IFERROR(DIVIDE(VLOOKUP($B686,Data!$B$3:$EZ1530,29,FALSE),VLOOKUP($B686,Data!$B$3:$EZ1530,4,FALSE)),"")</f>
        <v>0.0680990991</v>
      </c>
      <c r="F686" s="48">
        <f>IFERROR(DIVIDE(VLOOKUP($B686,Data!$B$3:$EZ1530,34,FALSE),VLOOKUP($B686,Data!$B$3:$EZ1530,4,FALSE)),"")</f>
        <v>0.09188288288</v>
      </c>
      <c r="G686" s="48">
        <f>IFERROR(DIVIDE(VLOOKUP($B686,Data!$B$3:$EZ1530,39,FALSE),VLOOKUP($B686,Data!$B$3:$EZ1530,4,FALSE)),"")</f>
        <v>0.05144344344</v>
      </c>
      <c r="H686" s="48">
        <f>IFERROR(DIVIDE(VLOOKUP($B686,Data!$B$3:$EZ1530,44,FALSE),VLOOKUP($B686,Data!$B$3:$EZ1530,4,FALSE)),"")</f>
        <v>0.06547447447</v>
      </c>
      <c r="I686" s="48">
        <f>IFERROR(MINUS(DIVIDE(VLOOKUP($B686,Data!$B$3:$EZ1530,9,FALSE),VLOOKUP($B686,Data!$B$3:$EZ1530,10,FALSE)),1),"")</f>
        <v>0.0618556701</v>
      </c>
      <c r="J686" s="48" t="str">
        <f>IFERROR(MINUS(DIVIDE(VLOOKUP($B686,Data!$B$3:$EZ1530,24,FALSE),VLOOKUP($B686,Data!$B$3:$EZ1530,25,FALSE)),1),"")</f>
        <v/>
      </c>
      <c r="K686" s="48">
        <f>IFERROR(MINUS(DIVIDE(VLOOKUP($B686,Data!$B$3:$EZ1530,29,FALSE),VLOOKUP($B686,Data!$B$3:$EZ1530,30,FALSE)),1),"")</f>
        <v>0.2672490873</v>
      </c>
      <c r="L686" s="48">
        <f>IFERROR(MINUS(DIVIDE(VLOOKUP($B686,Data!$B$3:$EZ1530,34,FALSE),VLOOKUP($B686,Data!$B$3:$EZ1530,35,FALSE)),1),"")</f>
        <v>0.09653565882</v>
      </c>
      <c r="M686" s="48">
        <f>IFERROR(MINUS(DIVIDE(VLOOKUP($B686,Data!$B$3:$EZ1530,39,FALSE),VLOOKUP($B686,Data!$B$3:$EZ1530,40,FALSE)),1),"")</f>
        <v>0.1931649331</v>
      </c>
      <c r="N686" s="48">
        <f>IFERROR(MINUS(DIVIDE(VLOOKUP($B686,Data!$B$3:$EZ1530,44,FALSE),VLOOKUP($B686,Data!$B$3:$EZ1530,45,FALSE)),1),"")</f>
        <v>-0.04471966234</v>
      </c>
      <c r="O686" s="50">
        <f>IFERROR(VLOOKUP($B686,Data!$B$3:$D1530,2,FALSE),"")</f>
        <v>9900000</v>
      </c>
      <c r="P686" s="50">
        <f>IFERROR(VLOOKUP($B686,Data!$B$3:$D1530,3,FALSE),"")</f>
        <v>8570000</v>
      </c>
      <c r="Q686" s="48">
        <f t="shared" si="2"/>
        <v>0.1551925321</v>
      </c>
      <c r="R686" s="48"/>
      <c r="S686" s="48"/>
      <c r="T686" s="48"/>
      <c r="U686" s="48"/>
      <c r="V686" s="48"/>
      <c r="W686" s="50"/>
      <c r="Z686" s="12"/>
      <c r="AA686" s="12"/>
    </row>
    <row r="687">
      <c r="A687" s="9">
        <f t="shared" si="1"/>
        <v>684</v>
      </c>
      <c r="B687" s="47" t="s">
        <v>821</v>
      </c>
      <c r="C687" s="48">
        <f>IFERROR(DIVIDE(VLOOKUP($B687,Data!$B$3:$AB$1535,9,FALSE),VLOOKUP($B687,Data!$B$3:$AB$1535,4,FALSE)),"")</f>
        <v>0.4439099951</v>
      </c>
      <c r="D687" s="48">
        <f>IFERROR(DIVIDE(VLOOKUP($B687,Data!$B$3:$AB$1535,24,FALSE),VLOOKUP($B687,Data!$B$3:$AB$1535,4,FALSE)),"")</f>
        <v>0.002665905756</v>
      </c>
      <c r="E687" s="48">
        <f>IFERROR(DIVIDE(VLOOKUP($B687,Data!$B$3:$EZ1530,29,FALSE),VLOOKUP($B687,Data!$B$3:$EZ1530,4,FALSE)),"")</f>
        <v>-0.02103375183</v>
      </c>
      <c r="F687" s="48">
        <f>IFERROR(DIVIDE(VLOOKUP($B687,Data!$B$3:$EZ1530,34,FALSE),VLOOKUP($B687,Data!$B$3:$EZ1530,4,FALSE)),"")</f>
        <v>0.0563345834</v>
      </c>
      <c r="G687" s="48">
        <f>IFERROR(DIVIDE(VLOOKUP($B687,Data!$B$3:$EZ1530,39,FALSE),VLOOKUP($B687,Data!$B$3:$EZ1530,4,FALSE)),"")</f>
        <v>-0.01198434698</v>
      </c>
      <c r="H687" s="48">
        <f>IFERROR(DIVIDE(VLOOKUP($B687,Data!$B$3:$EZ1530,44,FALSE),VLOOKUP($B687,Data!$B$3:$EZ1530,4,FALSE)),"")</f>
        <v>0.02690363607</v>
      </c>
      <c r="I687" s="48">
        <f>IFERROR(MINUS(DIVIDE(VLOOKUP($B687,Data!$B$3:$EZ1530,9,FALSE),VLOOKUP($B687,Data!$B$3:$EZ1530,10,FALSE)),1),"")</f>
        <v>-0.03866525424</v>
      </c>
      <c r="J687" s="48">
        <f>IFERROR(MINUS(DIVIDE(VLOOKUP($B687,Data!$B$3:$EZ1530,24,FALSE),VLOOKUP($B687,Data!$B$3:$EZ1530,25,FALSE)),1),"")</f>
        <v>-0.9137203166</v>
      </c>
      <c r="K687" s="48">
        <f>IFERROR(MINUS(DIVIDE(VLOOKUP($B687,Data!$B$3:$EZ1530,29,FALSE),VLOOKUP($B687,Data!$B$3:$EZ1530,30,FALSE)),1),"")</f>
        <v>-1.677165354</v>
      </c>
      <c r="L687" s="48">
        <f>IFERROR(MINUS(DIVIDE(VLOOKUP($B687,Data!$B$3:$EZ1530,34,FALSE),VLOOKUP($B687,Data!$B$3:$EZ1530,35,FALSE)),1),"")</f>
        <v>-0.5510071475</v>
      </c>
      <c r="M687" s="48">
        <f>IFERROR(MINUS(DIVIDE(VLOOKUP($B687,Data!$B$3:$EZ1530,39,FALSE),VLOOKUP($B687,Data!$B$3:$EZ1530,40,FALSE)),1),"")</f>
        <v>-1.251282051</v>
      </c>
      <c r="N687" s="48">
        <f>IFERROR(MINUS(DIVIDE(VLOOKUP($B687,Data!$B$3:$EZ1530,44,FALSE),VLOOKUP($B687,Data!$B$3:$EZ1530,45,FALSE)),1),"")</f>
        <v>-0.7516930023</v>
      </c>
      <c r="O687" s="50">
        <f>IFERROR(VLOOKUP($B687,Data!$B$3:$D1530,2,FALSE),"")</f>
        <v>210350</v>
      </c>
      <c r="P687" s="50">
        <f>IFERROR(VLOOKUP($B687,Data!$B$3:$D1530,3,FALSE),"")</f>
        <v>177810</v>
      </c>
      <c r="Q687" s="48">
        <f t="shared" si="2"/>
        <v>0.1830043305</v>
      </c>
      <c r="R687" s="48"/>
      <c r="S687" s="48"/>
      <c r="T687" s="48"/>
      <c r="U687" s="48"/>
      <c r="V687" s="48"/>
      <c r="W687" s="50"/>
      <c r="Z687" s="11"/>
      <c r="AA687" s="11"/>
    </row>
    <row r="688">
      <c r="A688" s="9">
        <f t="shared" si="1"/>
        <v>685</v>
      </c>
      <c r="B688" s="47" t="s">
        <v>822</v>
      </c>
      <c r="C688" s="48" t="str">
        <f>IFERROR(DIVIDE(VLOOKUP($B688,Data!$B$3:$AB$1535,9,FALSE),VLOOKUP($B688,Data!$B$3:$AB$1535,4,FALSE)),"")</f>
        <v/>
      </c>
      <c r="D688" s="48" t="str">
        <f>IFERROR(DIVIDE(VLOOKUP($B688,Data!$B$3:$AB$1535,24,FALSE),VLOOKUP($B688,Data!$B$3:$AB$1535,4,FALSE)),"")</f>
        <v/>
      </c>
      <c r="E688" s="48" t="str">
        <f>IFERROR(DIVIDE(VLOOKUP($B688,Data!$B$3:$EZ1530,29,FALSE),VLOOKUP($B688,Data!$B$3:$EZ1530,4,FALSE)),"")</f>
        <v/>
      </c>
      <c r="F688" s="48" t="str">
        <f>IFERROR(DIVIDE(VLOOKUP($B688,Data!$B$3:$EZ1530,34,FALSE),VLOOKUP($B688,Data!$B$3:$EZ1530,4,FALSE)),"")</f>
        <v/>
      </c>
      <c r="G688" s="48" t="str">
        <f>IFERROR(DIVIDE(VLOOKUP($B688,Data!$B$3:$EZ1530,39,FALSE),VLOOKUP($B688,Data!$B$3:$EZ1530,4,FALSE)),"")</f>
        <v/>
      </c>
      <c r="H688" s="48" t="str">
        <f>IFERROR(DIVIDE(VLOOKUP($B688,Data!$B$3:$EZ1530,44,FALSE),VLOOKUP($B688,Data!$B$3:$EZ1530,4,FALSE)),"")</f>
        <v/>
      </c>
      <c r="I688" s="48" t="str">
        <f>IFERROR(MINUS(DIVIDE(VLOOKUP($B688,Data!$B$3:$EZ1530,9,FALSE),VLOOKUP($B688,Data!$B$3:$EZ1530,10,FALSE)),1),"")</f>
        <v/>
      </c>
      <c r="J688" s="48" t="str">
        <f>IFERROR(MINUS(DIVIDE(VLOOKUP($B688,Data!$B$3:$EZ1530,24,FALSE),VLOOKUP($B688,Data!$B$3:$EZ1530,25,FALSE)),1),"")</f>
        <v/>
      </c>
      <c r="K688" s="48" t="str">
        <f>IFERROR(MINUS(DIVIDE(VLOOKUP($B688,Data!$B$3:$EZ1530,29,FALSE),VLOOKUP($B688,Data!$B$3:$EZ1530,30,FALSE)),1),"")</f>
        <v/>
      </c>
      <c r="L688" s="48" t="str">
        <f>IFERROR(MINUS(DIVIDE(VLOOKUP($B688,Data!$B$3:$EZ1530,34,FALSE),VLOOKUP($B688,Data!$B$3:$EZ1530,35,FALSE)),1),"")</f>
        <v/>
      </c>
      <c r="M688" s="48" t="str">
        <f>IFERROR(MINUS(DIVIDE(VLOOKUP($B688,Data!$B$3:$EZ1530,39,FALSE),VLOOKUP($B688,Data!$B$3:$EZ1530,40,FALSE)),1),"")</f>
        <v/>
      </c>
      <c r="N688" s="48" t="str">
        <f>IFERROR(MINUS(DIVIDE(VLOOKUP($B688,Data!$B$3:$EZ1530,44,FALSE),VLOOKUP($B688,Data!$B$3:$EZ1530,45,FALSE)),1),"")</f>
        <v/>
      </c>
      <c r="O688" s="50">
        <f>IFERROR(VLOOKUP($B688,Data!$B$3:$D1530,2,FALSE),"")</f>
        <v>772890</v>
      </c>
      <c r="P688" s="50">
        <f>IFERROR(VLOOKUP($B688,Data!$B$3:$D1530,3,FALSE),"")</f>
        <v>742830</v>
      </c>
      <c r="Q688" s="48">
        <f t="shared" si="2"/>
        <v>0.04046686321</v>
      </c>
      <c r="R688" s="48"/>
      <c r="S688" s="48"/>
      <c r="T688" s="48"/>
      <c r="U688" s="48"/>
      <c r="V688" s="48"/>
      <c r="W688" s="50"/>
      <c r="Z688" s="11"/>
      <c r="AA688" s="11"/>
    </row>
    <row r="689">
      <c r="A689" s="9">
        <f t="shared" si="1"/>
        <v>686</v>
      </c>
      <c r="B689" s="47" t="s">
        <v>823</v>
      </c>
      <c r="C689" s="48">
        <f>IFERROR(DIVIDE(VLOOKUP($B689,Data!$B$3:$AB$1535,9,FALSE),VLOOKUP($B689,Data!$B$3:$AB$1535,4,FALSE)),"")</f>
        <v>0</v>
      </c>
      <c r="D689" s="48">
        <f>IFERROR(DIVIDE(VLOOKUP($B689,Data!$B$3:$AB$1535,24,FALSE),VLOOKUP($B689,Data!$B$3:$AB$1535,4,FALSE)),"")</f>
        <v>-6.803278689</v>
      </c>
      <c r="E689" s="48">
        <f>IFERROR(DIVIDE(VLOOKUP($B689,Data!$B$3:$EZ1530,29,FALSE),VLOOKUP($B689,Data!$B$3:$EZ1530,4,FALSE)),"")</f>
        <v>-6.668852459</v>
      </c>
      <c r="F689" s="48">
        <f>IFERROR(DIVIDE(VLOOKUP($B689,Data!$B$3:$EZ1530,34,FALSE),VLOOKUP($B689,Data!$B$3:$EZ1530,4,FALSE)),"")</f>
        <v>-6.268852459</v>
      </c>
      <c r="G689" s="48">
        <f>IFERROR(DIVIDE(VLOOKUP($B689,Data!$B$3:$EZ1530,39,FALSE),VLOOKUP($B689,Data!$B$3:$EZ1530,4,FALSE)),"")</f>
        <v>-6.563934426</v>
      </c>
      <c r="H689" s="48">
        <f>IFERROR(DIVIDE(VLOOKUP($B689,Data!$B$3:$EZ1530,44,FALSE),VLOOKUP($B689,Data!$B$3:$EZ1530,4,FALSE)),"")</f>
        <v>-4.193442623</v>
      </c>
      <c r="I689" s="48" t="str">
        <f>IFERROR(MINUS(DIVIDE(VLOOKUP($B689,Data!$B$3:$EZ1530,9,FALSE),VLOOKUP($B689,Data!$B$3:$EZ1530,10,FALSE)),1),"")</f>
        <v/>
      </c>
      <c r="J689" s="48">
        <f>IFERROR(MINUS(DIVIDE(VLOOKUP($B689,Data!$B$3:$EZ1530,24,FALSE),VLOOKUP($B689,Data!$B$3:$EZ1530,25,FALSE)),1),"")</f>
        <v>0.1553452116</v>
      </c>
      <c r="K689" s="48">
        <f>IFERROR(MINUS(DIVIDE(VLOOKUP($B689,Data!$B$3:$EZ1530,29,FALSE),VLOOKUP($B689,Data!$B$3:$EZ1530,30,FALSE)),1),"")</f>
        <v>0.156996587</v>
      </c>
      <c r="L689" s="48">
        <f>IFERROR(MINUS(DIVIDE(VLOOKUP($B689,Data!$B$3:$EZ1530,34,FALSE),VLOOKUP($B689,Data!$B$3:$EZ1530,35,FALSE)),1),"")</f>
        <v>0.109692397</v>
      </c>
      <c r="M689" s="48">
        <f>IFERROR(MINUS(DIVIDE(VLOOKUP($B689,Data!$B$3:$EZ1530,39,FALSE),VLOOKUP($B689,Data!$B$3:$EZ1530,40,FALSE)),1),"")</f>
        <v>0.2727272727</v>
      </c>
      <c r="N689" s="48">
        <f>IFERROR(MINUS(DIVIDE(VLOOKUP($B689,Data!$B$3:$EZ1530,44,FALSE),VLOOKUP($B689,Data!$B$3:$EZ1530,45,FALSE)),1),"")</f>
        <v>-0.4031731218</v>
      </c>
      <c r="O689" s="50">
        <f>IFERROR(VLOOKUP($B689,Data!$B$3:$D1530,2,FALSE),"")</f>
        <v>2360</v>
      </c>
      <c r="P689" s="50">
        <f>IFERROR(VLOOKUP($B689,Data!$B$3:$D1530,3,FALSE),"")</f>
        <v>1750</v>
      </c>
      <c r="Q689" s="48">
        <f t="shared" si="2"/>
        <v>0.3485714286</v>
      </c>
      <c r="R689" s="48"/>
      <c r="S689" s="48"/>
      <c r="T689" s="48"/>
      <c r="U689" s="48"/>
      <c r="V689" s="48"/>
      <c r="W689" s="50"/>
      <c r="Z689" s="11"/>
      <c r="AA689" s="11"/>
    </row>
    <row r="690">
      <c r="A690" s="9">
        <f t="shared" si="1"/>
        <v>687</v>
      </c>
      <c r="B690" s="47" t="s">
        <v>824</v>
      </c>
      <c r="C690" s="48">
        <f>IFERROR(DIVIDE(VLOOKUP($B690,Data!$B$3:$AB$1535,9,FALSE),VLOOKUP($B690,Data!$B$3:$AB$1535,4,FALSE)),"")</f>
        <v>0.3572469136</v>
      </c>
      <c r="D690" s="48">
        <f>IFERROR(DIVIDE(VLOOKUP($B690,Data!$B$3:$AB$1535,24,FALSE),VLOOKUP($B690,Data!$B$3:$AB$1535,4,FALSE)),"")</f>
        <v>0.254691358</v>
      </c>
      <c r="E690" s="48">
        <f>IFERROR(DIVIDE(VLOOKUP($B690,Data!$B$3:$EZ1530,29,FALSE),VLOOKUP($B690,Data!$B$3:$EZ1530,4,FALSE)),"")</f>
        <v>0.2291419753</v>
      </c>
      <c r="F690" s="48">
        <f>IFERROR(DIVIDE(VLOOKUP($B690,Data!$B$3:$EZ1530,34,FALSE),VLOOKUP($B690,Data!$B$3:$EZ1530,4,FALSE)),"")</f>
        <v>0.3142777778</v>
      </c>
      <c r="G690" s="48">
        <f>IFERROR(DIVIDE(VLOOKUP($B690,Data!$B$3:$EZ1530,39,FALSE),VLOOKUP($B690,Data!$B$3:$EZ1530,4,FALSE)),"")</f>
        <v>0.1580308642</v>
      </c>
      <c r="H690" s="48">
        <f>IFERROR(DIVIDE(VLOOKUP($B690,Data!$B$3:$EZ1530,44,FALSE),VLOOKUP($B690,Data!$B$3:$EZ1530,4,FALSE)),"")</f>
        <v>0.4760617284</v>
      </c>
      <c r="I690" s="48">
        <f>IFERROR(MINUS(DIVIDE(VLOOKUP($B690,Data!$B$3:$EZ1530,9,FALSE),VLOOKUP($B690,Data!$B$3:$EZ1530,10,FALSE)),1),"")</f>
        <v>0.07269424674</v>
      </c>
      <c r="J690" s="48">
        <f>IFERROR(MINUS(DIVIDE(VLOOKUP($B690,Data!$B$3:$EZ1530,24,FALSE),VLOOKUP($B690,Data!$B$3:$EZ1530,25,FALSE)),1),"")</f>
        <v>0.7434293924</v>
      </c>
      <c r="K690" s="48">
        <f>IFERROR(MINUS(DIVIDE(VLOOKUP($B690,Data!$B$3:$EZ1530,29,FALSE),VLOOKUP($B690,Data!$B$3:$EZ1530,30,FALSE)),1),"")</f>
        <v>0.763300399</v>
      </c>
      <c r="L690" s="48">
        <f>IFERROR(MINUS(DIVIDE(VLOOKUP($B690,Data!$B$3:$EZ1530,34,FALSE),VLOOKUP($B690,Data!$B$3:$EZ1530,35,FALSE)),1),"")</f>
        <v>0.02898199236</v>
      </c>
      <c r="M690" s="48">
        <f>IFERROR(MINUS(DIVIDE(VLOOKUP($B690,Data!$B$3:$EZ1530,39,FALSE),VLOOKUP($B690,Data!$B$3:$EZ1530,40,FALSE)),1),"")</f>
        <v>1.365862674</v>
      </c>
      <c r="N690" s="48">
        <f>IFERROR(MINUS(DIVIDE(VLOOKUP($B690,Data!$B$3:$EZ1530,44,FALSE),VLOOKUP($B690,Data!$B$3:$EZ1530,45,FALSE)),1),"")</f>
        <v>0.6737271583</v>
      </c>
      <c r="O690" s="50">
        <f>IFERROR(VLOOKUP($B690,Data!$B$3:$D1530,2,FALSE),"")</f>
        <v>2430000</v>
      </c>
      <c r="P690" s="50">
        <f>IFERROR(VLOOKUP($B690,Data!$B$3:$D1530,3,FALSE),"")</f>
        <v>1650000</v>
      </c>
      <c r="Q690" s="48">
        <f t="shared" si="2"/>
        <v>0.4727272727</v>
      </c>
      <c r="R690" s="48"/>
      <c r="S690" s="48"/>
      <c r="T690" s="48"/>
      <c r="U690" s="48"/>
      <c r="V690" s="48"/>
      <c r="W690" s="50"/>
      <c r="Z690" s="11"/>
      <c r="AA690" s="11"/>
    </row>
    <row r="691">
      <c r="A691" s="9">
        <f t="shared" si="1"/>
        <v>688</v>
      </c>
      <c r="B691" s="47" t="s">
        <v>825</v>
      </c>
      <c r="C691" s="48">
        <f>IFERROR(DIVIDE(VLOOKUP($B691,Data!$B$3:$AB$1535,9,FALSE),VLOOKUP($B691,Data!$B$3:$AB$1535,4,FALSE)),"")</f>
        <v>0.1566133843</v>
      </c>
      <c r="D691" s="48">
        <f>IFERROR(DIVIDE(VLOOKUP($B691,Data!$B$3:$AB$1535,24,FALSE),VLOOKUP($B691,Data!$B$3:$AB$1535,4,FALSE)),"")</f>
        <v>0</v>
      </c>
      <c r="E691" s="48">
        <f>IFERROR(DIVIDE(VLOOKUP($B691,Data!$B$3:$EZ1530,29,FALSE),VLOOKUP($B691,Data!$B$3:$EZ1530,4,FALSE)),"")</f>
        <v>0.1628296639</v>
      </c>
      <c r="F691" s="48">
        <f>IFERROR(DIVIDE(VLOOKUP($B691,Data!$B$3:$EZ1530,34,FALSE),VLOOKUP($B691,Data!$B$3:$EZ1530,4,FALSE)),"")</f>
        <v>0.2733655038</v>
      </c>
      <c r="G691" s="48">
        <f>IFERROR(DIVIDE(VLOOKUP($B691,Data!$B$3:$EZ1530,39,FALSE),VLOOKUP($B691,Data!$B$3:$EZ1530,4,FALSE)),"")</f>
        <v>0.1222646694</v>
      </c>
      <c r="H691" s="48">
        <f>IFERROR(DIVIDE(VLOOKUP($B691,Data!$B$3:$EZ1530,44,FALSE),VLOOKUP($B691,Data!$B$3:$EZ1530,4,FALSE)),"")</f>
        <v>0.2452498241</v>
      </c>
      <c r="I691" s="48">
        <f>IFERROR(MINUS(DIVIDE(VLOOKUP($B691,Data!$B$3:$EZ1530,9,FALSE),VLOOKUP($B691,Data!$B$3:$EZ1530,10,FALSE)),1),"")</f>
        <v>0.01136117723</v>
      </c>
      <c r="J691" s="48" t="str">
        <f>IFERROR(MINUS(DIVIDE(VLOOKUP($B691,Data!$B$3:$EZ1530,24,FALSE),VLOOKUP($B691,Data!$B$3:$EZ1530,25,FALSE)),1),"")</f>
        <v/>
      </c>
      <c r="K691" s="48">
        <f>IFERROR(MINUS(DIVIDE(VLOOKUP($B691,Data!$B$3:$EZ1530,29,FALSE),VLOOKUP($B691,Data!$B$3:$EZ1530,30,FALSE)),1),"")</f>
        <v>0.05722367276</v>
      </c>
      <c r="L691" s="48">
        <f>IFERROR(MINUS(DIVIDE(VLOOKUP($B691,Data!$B$3:$EZ1530,34,FALSE),VLOOKUP($B691,Data!$B$3:$EZ1530,35,FALSE)),1),"")</f>
        <v>-0.01324543365</v>
      </c>
      <c r="M691" s="48">
        <f>IFERROR(MINUS(DIVIDE(VLOOKUP($B691,Data!$B$3:$EZ1530,39,FALSE),VLOOKUP($B691,Data!$B$3:$EZ1530,40,FALSE)),1),"")</f>
        <v>0.003990093561</v>
      </c>
      <c r="N691" s="48">
        <f>IFERROR(MINUS(DIVIDE(VLOOKUP($B691,Data!$B$3:$EZ1530,44,FALSE),VLOOKUP($B691,Data!$B$3:$EZ1530,45,FALSE)),1),"")</f>
        <v>-0.001160092807</v>
      </c>
      <c r="O691" s="50">
        <f>IFERROR(VLOOKUP($B691,Data!$B$3:$D1530,2,FALSE),"")</f>
        <v>691130</v>
      </c>
      <c r="P691" s="50">
        <f>IFERROR(VLOOKUP($B691,Data!$B$3:$D1530,3,FALSE),"")</f>
        <v>663670</v>
      </c>
      <c r="Q691" s="48">
        <f t="shared" si="2"/>
        <v>0.04137598505</v>
      </c>
      <c r="R691" s="48"/>
      <c r="S691" s="48"/>
      <c r="T691" s="48"/>
      <c r="U691" s="48"/>
      <c r="V691" s="48"/>
      <c r="W691" s="50"/>
      <c r="Z691" s="11"/>
      <c r="AA691" s="11"/>
    </row>
    <row r="692">
      <c r="A692" s="9">
        <f t="shared" si="1"/>
        <v>689</v>
      </c>
      <c r="B692" s="47" t="s">
        <v>826</v>
      </c>
      <c r="C692" s="48">
        <f>IFERROR(DIVIDE(VLOOKUP($B692,Data!$B$3:$AB$1535,9,FALSE),VLOOKUP($B692,Data!$B$3:$AB$1535,4,FALSE)),"")</f>
        <v>0.1768916155</v>
      </c>
      <c r="D692" s="48">
        <f>IFERROR(DIVIDE(VLOOKUP($B692,Data!$B$3:$AB$1535,24,FALSE),VLOOKUP($B692,Data!$B$3:$AB$1535,4,FALSE)),"")</f>
        <v>0.07321063395</v>
      </c>
      <c r="E692" s="48">
        <f>IFERROR(DIVIDE(VLOOKUP($B692,Data!$B$3:$EZ1530,29,FALSE),VLOOKUP($B692,Data!$B$3:$EZ1530,4,FALSE)),"")</f>
        <v>0.001329243354</v>
      </c>
      <c r="F692" s="48">
        <f>IFERROR(DIVIDE(VLOOKUP($B692,Data!$B$3:$EZ1530,34,FALSE),VLOOKUP($B692,Data!$B$3:$EZ1530,4,FALSE)),"")</f>
        <v>0.3834355828</v>
      </c>
      <c r="G692" s="48">
        <f>IFERROR(DIVIDE(VLOOKUP($B692,Data!$B$3:$EZ1530,39,FALSE),VLOOKUP($B692,Data!$B$3:$EZ1530,4,FALSE)),"")</f>
        <v>-0.005930470348</v>
      </c>
      <c r="H692" s="48">
        <f>IFERROR(DIVIDE(VLOOKUP($B692,Data!$B$3:$EZ1530,44,FALSE),VLOOKUP($B692,Data!$B$3:$EZ1530,4,FALSE)),"")</f>
        <v>0.3404907975</v>
      </c>
      <c r="I692" s="48">
        <f>IFERROR(MINUS(DIVIDE(VLOOKUP($B692,Data!$B$3:$EZ1530,9,FALSE),VLOOKUP($B692,Data!$B$3:$EZ1530,10,FALSE)),1),"")</f>
        <v>0</v>
      </c>
      <c r="J692" s="48">
        <f>IFERROR(MINUS(DIVIDE(VLOOKUP($B692,Data!$B$3:$EZ1530,24,FALSE),VLOOKUP($B692,Data!$B$3:$EZ1530,25,FALSE)),1),"")</f>
        <v>0.2605633803</v>
      </c>
      <c r="K692" s="48">
        <f>IFERROR(MINUS(DIVIDE(VLOOKUP($B692,Data!$B$3:$EZ1530,29,FALSE),VLOOKUP($B692,Data!$B$3:$EZ1530,30,FALSE)),1),"")</f>
        <v>-1.050583658</v>
      </c>
      <c r="L692" s="48">
        <f>IFERROR(MINUS(DIVIDE(VLOOKUP($B692,Data!$B$3:$EZ1530,34,FALSE),VLOOKUP($B692,Data!$B$3:$EZ1530,35,FALSE)),1),"")</f>
        <v>0.1194029851</v>
      </c>
      <c r="M692" s="48">
        <f>IFERROR(MINUS(DIVIDE(VLOOKUP($B692,Data!$B$3:$EZ1530,39,FALSE),VLOOKUP($B692,Data!$B$3:$EZ1530,40,FALSE)),1),"")</f>
        <v>-0.7422222222</v>
      </c>
      <c r="N692" s="48">
        <f>IFERROR(MINUS(DIVIDE(VLOOKUP($B692,Data!$B$3:$EZ1530,44,FALSE),VLOOKUP($B692,Data!$B$3:$EZ1530,45,FALSE)),1),"")</f>
        <v>0.30078125</v>
      </c>
      <c r="O692" s="50">
        <f>IFERROR(VLOOKUP($B692,Data!$B$3:$D1530,2,FALSE),"")</f>
        <v>7480000</v>
      </c>
      <c r="P692" s="50">
        <f>IFERROR(VLOOKUP($B692,Data!$B$3:$D1530,3,FALSE),"")</f>
        <v>6210000</v>
      </c>
      <c r="Q692" s="48">
        <f t="shared" si="2"/>
        <v>0.2045088567</v>
      </c>
      <c r="R692" s="48"/>
      <c r="S692" s="48"/>
      <c r="T692" s="48"/>
      <c r="U692" s="48"/>
      <c r="V692" s="48"/>
      <c r="W692" s="50"/>
      <c r="Z692" s="15"/>
      <c r="AA692" s="15"/>
    </row>
    <row r="693">
      <c r="A693" s="9">
        <f t="shared" si="1"/>
        <v>690</v>
      </c>
      <c r="B693" s="47" t="s">
        <v>827</v>
      </c>
      <c r="C693" s="48">
        <f>IFERROR(DIVIDE(VLOOKUP($B693,Data!$B$3:$AB$1535,9,FALSE),VLOOKUP($B693,Data!$B$3:$AB$1535,4,FALSE)),"")</f>
        <v>0.06992643052</v>
      </c>
      <c r="D693" s="48">
        <f>IFERROR(DIVIDE(VLOOKUP($B693,Data!$B$3:$AB$1535,24,FALSE),VLOOKUP($B693,Data!$B$3:$AB$1535,4,FALSE)),"")</f>
        <v>0</v>
      </c>
      <c r="E693" s="48">
        <f>IFERROR(DIVIDE(VLOOKUP($B693,Data!$B$3:$EZ1530,29,FALSE),VLOOKUP($B693,Data!$B$3:$EZ1530,4,FALSE)),"")</f>
        <v>0.03920163488</v>
      </c>
      <c r="F693" s="48">
        <f>IFERROR(DIVIDE(VLOOKUP($B693,Data!$B$3:$EZ1530,34,FALSE),VLOOKUP($B693,Data!$B$3:$EZ1530,4,FALSE)),"")</f>
        <v>0.07338147139</v>
      </c>
      <c r="G693" s="48">
        <f>IFERROR(DIVIDE(VLOOKUP($B693,Data!$B$3:$EZ1530,39,FALSE),VLOOKUP($B693,Data!$B$3:$EZ1530,4,FALSE)),"")</f>
        <v>0.02920163488</v>
      </c>
      <c r="H693" s="48">
        <f>IFERROR(DIVIDE(VLOOKUP($B693,Data!$B$3:$EZ1530,44,FALSE),VLOOKUP($B693,Data!$B$3:$EZ1530,4,FALSE)),"")</f>
        <v>0.06934877384</v>
      </c>
      <c r="I693" s="48">
        <f>IFERROR(MINUS(DIVIDE(VLOOKUP($B693,Data!$B$3:$EZ1530,9,FALSE),VLOOKUP($B693,Data!$B$3:$EZ1530,10,FALSE)),1),"")</f>
        <v>0.2446287405</v>
      </c>
      <c r="J693" s="48">
        <f>IFERROR(MINUS(DIVIDE(VLOOKUP($B693,Data!$B$3:$EZ1530,24,FALSE),VLOOKUP($B693,Data!$B$3:$EZ1530,25,FALSE)),1),"")</f>
        <v>-1</v>
      </c>
      <c r="K693" s="48">
        <f>IFERROR(MINUS(DIVIDE(VLOOKUP($B693,Data!$B$3:$EZ1530,29,FALSE),VLOOKUP($B693,Data!$B$3:$EZ1530,30,FALSE)),1),"")</f>
        <v>0.2325023559</v>
      </c>
      <c r="L693" s="48">
        <f>IFERROR(MINUS(DIVIDE(VLOOKUP($B693,Data!$B$3:$EZ1530,34,FALSE),VLOOKUP($B693,Data!$B$3:$EZ1530,35,FALSE)),1),"")</f>
        <v>0.3103196614</v>
      </c>
      <c r="M693" s="48">
        <f>IFERROR(MINUS(DIVIDE(VLOOKUP($B693,Data!$B$3:$EZ1530,39,FALSE),VLOOKUP($B693,Data!$B$3:$EZ1530,40,FALSE)),1),"")</f>
        <v>0.2225644536</v>
      </c>
      <c r="N693" s="48">
        <f>IFERROR(MINUS(DIVIDE(VLOOKUP($B693,Data!$B$3:$EZ1530,44,FALSE),VLOOKUP($B693,Data!$B$3:$EZ1530,45,FALSE)),1),"")</f>
        <v>0.2071238854</v>
      </c>
      <c r="O693" s="50">
        <f>IFERROR(VLOOKUP($B693,Data!$B$3:$D1530,2,FALSE),"")</f>
        <v>3650000</v>
      </c>
      <c r="P693" s="50">
        <f>IFERROR(VLOOKUP($B693,Data!$B$3:$D1530,3,FALSE),"")</f>
        <v>3410000</v>
      </c>
      <c r="Q693" s="48">
        <f t="shared" si="2"/>
        <v>0.07038123167</v>
      </c>
      <c r="R693" s="48"/>
      <c r="S693" s="48"/>
      <c r="T693" s="48"/>
      <c r="U693" s="48"/>
      <c r="V693" s="48"/>
      <c r="W693" s="50"/>
      <c r="Z693" s="11"/>
      <c r="AA693" s="11"/>
    </row>
    <row r="694">
      <c r="A694" s="9">
        <f t="shared" si="1"/>
        <v>691</v>
      </c>
      <c r="B694" s="47" t="s">
        <v>828</v>
      </c>
      <c r="C694" s="48">
        <f>IFERROR(DIVIDE(VLOOKUP($B694,Data!$B$3:$AB$1535,9,FALSE),VLOOKUP($B694,Data!$B$3:$AB$1535,4,FALSE)),"")</f>
        <v>0.2029411765</v>
      </c>
      <c r="D694" s="48">
        <f>IFERROR(DIVIDE(VLOOKUP($B694,Data!$B$3:$AB$1535,24,FALSE),VLOOKUP($B694,Data!$B$3:$AB$1535,4,FALSE)),"")</f>
        <v>0</v>
      </c>
      <c r="E694" s="48">
        <f>IFERROR(DIVIDE(VLOOKUP($B694,Data!$B$3:$EZ1530,29,FALSE),VLOOKUP($B694,Data!$B$3:$EZ1530,4,FALSE)),"")</f>
        <v>0.0575</v>
      </c>
      <c r="F694" s="48">
        <f>IFERROR(DIVIDE(VLOOKUP($B694,Data!$B$3:$EZ1530,34,FALSE),VLOOKUP($B694,Data!$B$3:$EZ1530,4,FALSE)),"")</f>
        <v>0.1152941176</v>
      </c>
      <c r="G694" s="48">
        <f>IFERROR(DIVIDE(VLOOKUP($B694,Data!$B$3:$EZ1530,39,FALSE),VLOOKUP($B694,Data!$B$3:$EZ1530,4,FALSE)),"")</f>
        <v>0.05779411765</v>
      </c>
      <c r="H694" s="48">
        <f>IFERROR(DIVIDE(VLOOKUP($B694,Data!$B$3:$EZ1530,44,FALSE),VLOOKUP($B694,Data!$B$3:$EZ1530,4,FALSE)),"")</f>
        <v>0.1319117647</v>
      </c>
      <c r="I694" s="48">
        <f>IFERROR(MINUS(DIVIDE(VLOOKUP($B694,Data!$B$3:$EZ1530,9,FALSE),VLOOKUP($B694,Data!$B$3:$EZ1530,10,FALSE)),1),"")</f>
        <v>-0.2159090909</v>
      </c>
      <c r="J694" s="48">
        <f>IFERROR(MINUS(DIVIDE(VLOOKUP($B694,Data!$B$3:$EZ1530,24,FALSE),VLOOKUP($B694,Data!$B$3:$EZ1530,25,FALSE)),1),"")</f>
        <v>-1</v>
      </c>
      <c r="K694" s="48">
        <f>IFERROR(MINUS(DIVIDE(VLOOKUP($B694,Data!$B$3:$EZ1530,29,FALSE),VLOOKUP($B694,Data!$B$3:$EZ1530,30,FALSE)),1),"")</f>
        <v>-0.4673024523</v>
      </c>
      <c r="L694" s="48">
        <f>IFERROR(MINUS(DIVIDE(VLOOKUP($B694,Data!$B$3:$EZ1530,34,FALSE),VLOOKUP($B694,Data!$B$3:$EZ1530,35,FALSE)),1),"")</f>
        <v>-0.280733945</v>
      </c>
      <c r="M694" s="48">
        <f>IFERROR(MINUS(DIVIDE(VLOOKUP($B694,Data!$B$3:$EZ1530,39,FALSE),VLOOKUP($B694,Data!$B$3:$EZ1530,40,FALSE)),1),"")</f>
        <v>0.04521276596</v>
      </c>
      <c r="N694" s="48">
        <f>IFERROR(MINUS(DIVIDE(VLOOKUP($B694,Data!$B$3:$EZ1530,44,FALSE),VLOOKUP($B694,Data!$B$3:$EZ1530,45,FALSE)),1),"")</f>
        <v>-0.258677686</v>
      </c>
      <c r="O694" s="50">
        <f>IFERROR(VLOOKUP($B694,Data!$B$3:$D1530,2,FALSE),"")</f>
        <v>6470000</v>
      </c>
      <c r="P694" s="50">
        <f>IFERROR(VLOOKUP($B694,Data!$B$3:$D1530,3,FALSE),"")</f>
        <v>5680000</v>
      </c>
      <c r="Q694" s="48">
        <f t="shared" si="2"/>
        <v>0.139084507</v>
      </c>
      <c r="R694" s="48"/>
      <c r="S694" s="48"/>
      <c r="T694" s="48"/>
      <c r="U694" s="48"/>
      <c r="V694" s="48"/>
      <c r="W694" s="50"/>
      <c r="Z694" s="11"/>
      <c r="AA694" s="11"/>
    </row>
    <row r="695">
      <c r="A695" s="9">
        <f t="shared" si="1"/>
        <v>692</v>
      </c>
      <c r="B695" s="47" t="s">
        <v>829</v>
      </c>
      <c r="C695" s="48">
        <f>IFERROR(DIVIDE(VLOOKUP($B695,Data!$B$3:$AB$1535,9,FALSE),VLOOKUP($B695,Data!$B$3:$AB$1535,4,FALSE)),"")</f>
        <v>0.515885777</v>
      </c>
      <c r="D695" s="48">
        <f>IFERROR(DIVIDE(VLOOKUP($B695,Data!$B$3:$AB$1535,24,FALSE),VLOOKUP($B695,Data!$B$3:$AB$1535,4,FALSE)),"")</f>
        <v>0.03367859502</v>
      </c>
      <c r="E695" s="48">
        <f>IFERROR(DIVIDE(VLOOKUP($B695,Data!$B$3:$EZ1530,29,FALSE),VLOOKUP($B695,Data!$B$3:$EZ1530,4,FALSE)),"")</f>
        <v>0.03579752957</v>
      </c>
      <c r="F695" s="48">
        <f>IFERROR(DIVIDE(VLOOKUP($B695,Data!$B$3:$EZ1530,34,FALSE),VLOOKUP($B695,Data!$B$3:$EZ1530,4,FALSE)),"")</f>
        <v>0.06235899737</v>
      </c>
      <c r="G695" s="48">
        <f>IFERROR(DIVIDE(VLOOKUP($B695,Data!$B$3:$EZ1530,39,FALSE),VLOOKUP($B695,Data!$B$3:$EZ1530,4,FALSE)),"")</f>
        <v>0.02725946977</v>
      </c>
      <c r="H695" s="48">
        <f>IFERROR(DIVIDE(VLOOKUP($B695,Data!$B$3:$EZ1530,44,FALSE),VLOOKUP($B695,Data!$B$3:$EZ1530,4,FALSE)),"")</f>
        <v>0.07904872303</v>
      </c>
      <c r="I695" s="48">
        <f>IFERROR(MINUS(DIVIDE(VLOOKUP($B695,Data!$B$3:$EZ1530,9,FALSE),VLOOKUP($B695,Data!$B$3:$EZ1530,10,FALSE)),1),"")</f>
        <v>-0.07311774981</v>
      </c>
      <c r="J695" s="48" t="str">
        <f>IFERROR(MINUS(DIVIDE(VLOOKUP($B695,Data!$B$3:$EZ1530,24,FALSE),VLOOKUP($B695,Data!$B$3:$EZ1530,25,FALSE)),1),"")</f>
        <v/>
      </c>
      <c r="K695" s="48">
        <f>IFERROR(MINUS(DIVIDE(VLOOKUP($B695,Data!$B$3:$EZ1530,29,FALSE),VLOOKUP($B695,Data!$B$3:$EZ1530,30,FALSE)),1),"")</f>
        <v>-0.2892848305</v>
      </c>
      <c r="L695" s="48">
        <f>IFERROR(MINUS(DIVIDE(VLOOKUP($B695,Data!$B$3:$EZ1530,34,FALSE),VLOOKUP($B695,Data!$B$3:$EZ1530,35,FALSE)),1),"")</f>
        <v>-0.2994959395</v>
      </c>
      <c r="M695" s="48">
        <f>IFERROR(MINUS(DIVIDE(VLOOKUP($B695,Data!$B$3:$EZ1530,39,FALSE),VLOOKUP($B695,Data!$B$3:$EZ1530,40,FALSE)),1),"")</f>
        <v>-0.2784559551</v>
      </c>
      <c r="N695" s="48">
        <f>IFERROR(MINUS(DIVIDE(VLOOKUP($B695,Data!$B$3:$EZ1530,44,FALSE),VLOOKUP($B695,Data!$B$3:$EZ1530,45,FALSE)),1),"")</f>
        <v>-0.09901974712</v>
      </c>
      <c r="O695" s="50">
        <f>IFERROR(VLOOKUP($B695,Data!$B$3:$D1530,2,FALSE),"")</f>
        <v>777230</v>
      </c>
      <c r="P695" s="50">
        <f>IFERROR(VLOOKUP($B695,Data!$B$3:$D1530,3,FALSE),"")</f>
        <v>739000</v>
      </c>
      <c r="Q695" s="48">
        <f t="shared" si="2"/>
        <v>0.05173207037</v>
      </c>
      <c r="R695" s="48"/>
      <c r="S695" s="48"/>
      <c r="T695" s="48"/>
      <c r="U695" s="48"/>
      <c r="V695" s="48"/>
      <c r="W695" s="50"/>
      <c r="Z695" s="11"/>
      <c r="AA695" s="11"/>
    </row>
    <row r="696">
      <c r="A696" s="9">
        <f t="shared" si="1"/>
        <v>693</v>
      </c>
      <c r="B696" s="47" t="s">
        <v>830</v>
      </c>
      <c r="C696" s="48">
        <f>IFERROR(DIVIDE(VLOOKUP($B696,Data!$B$3:$AB$1535,9,FALSE),VLOOKUP($B696,Data!$B$3:$AB$1535,4,FALSE)),"")</f>
        <v>0.1879303961</v>
      </c>
      <c r="D696" s="48">
        <f>IFERROR(DIVIDE(VLOOKUP($B696,Data!$B$3:$AB$1535,24,FALSE),VLOOKUP($B696,Data!$B$3:$AB$1535,4,FALSE)),"")</f>
        <v>0.077138097</v>
      </c>
      <c r="E696" s="48">
        <f>IFERROR(DIVIDE(VLOOKUP($B696,Data!$B$3:$EZ1530,29,FALSE),VLOOKUP($B696,Data!$B$3:$EZ1530,4,FALSE)),"")</f>
        <v>0.0721214365</v>
      </c>
      <c r="F696" s="48">
        <f>IFERROR(DIVIDE(VLOOKUP($B696,Data!$B$3:$EZ1530,34,FALSE),VLOOKUP($B696,Data!$B$3:$EZ1530,4,FALSE)),"")</f>
        <v>0.1182154757</v>
      </c>
      <c r="G696" s="48">
        <f>IFERROR(DIVIDE(VLOOKUP($B696,Data!$B$3:$EZ1530,39,FALSE),VLOOKUP($B696,Data!$B$3:$EZ1530,4,FALSE)),"")</f>
        <v>0.05251758608</v>
      </c>
      <c r="H696" s="48">
        <f>IFERROR(DIVIDE(VLOOKUP($B696,Data!$B$3:$EZ1530,44,FALSE),VLOOKUP($B696,Data!$B$3:$EZ1530,4,FALSE)),"")</f>
        <v>0.1127915587</v>
      </c>
      <c r="I696" s="48">
        <f>IFERROR(MINUS(DIVIDE(VLOOKUP($B696,Data!$B$3:$EZ1530,9,FALSE),VLOOKUP($B696,Data!$B$3:$EZ1530,10,FALSE)),1),"")</f>
        <v>0.05816135084</v>
      </c>
      <c r="J696" s="48" t="str">
        <f>IFERROR(MINUS(DIVIDE(VLOOKUP($B696,Data!$B$3:$EZ1530,24,FALSE),VLOOKUP($B696,Data!$B$3:$EZ1530,25,FALSE)),1),"")</f>
        <v/>
      </c>
      <c r="K696" s="48">
        <f>IFERROR(MINUS(DIVIDE(VLOOKUP($B696,Data!$B$3:$EZ1530,29,FALSE),VLOOKUP($B696,Data!$B$3:$EZ1530,30,FALSE)),1),"")</f>
        <v>0.1619445273</v>
      </c>
      <c r="L696" s="48">
        <f>IFERROR(MINUS(DIVIDE(VLOOKUP($B696,Data!$B$3:$EZ1530,34,FALSE),VLOOKUP($B696,Data!$B$3:$EZ1530,35,FALSE)),1),"")</f>
        <v>0.09031927608</v>
      </c>
      <c r="M696" s="48">
        <f>IFERROR(MINUS(DIVIDE(VLOOKUP($B696,Data!$B$3:$EZ1530,39,FALSE),VLOOKUP($B696,Data!$B$3:$EZ1530,40,FALSE)),1),"")</f>
        <v>0.1612771183</v>
      </c>
      <c r="N696" s="48">
        <f>IFERROR(MINUS(DIVIDE(VLOOKUP($B696,Data!$B$3:$EZ1530,44,FALSE),VLOOKUP($B696,Data!$B$3:$EZ1530,45,FALSE)),1),"")</f>
        <v>0.2696395082</v>
      </c>
      <c r="O696" s="50" t="str">
        <f>IFERROR(VLOOKUP($B696,Data!$B$3:$D1530,2,FALSE),"")</f>
        <v/>
      </c>
      <c r="P696" s="50">
        <f>IFERROR(VLOOKUP($B696,Data!$B$3:$D1530,3,FALSE),"")</f>
        <v>575720</v>
      </c>
      <c r="Q696" s="48">
        <f t="shared" si="2"/>
        <v>-1</v>
      </c>
      <c r="R696" s="48"/>
      <c r="S696" s="48"/>
      <c r="T696" s="48"/>
      <c r="U696" s="48"/>
      <c r="V696" s="48"/>
      <c r="W696" s="50"/>
      <c r="Z696" s="15"/>
      <c r="AA696" s="15"/>
    </row>
    <row r="697">
      <c r="A697" s="9">
        <f t="shared" si="1"/>
        <v>694</v>
      </c>
      <c r="B697" s="47" t="s">
        <v>831</v>
      </c>
      <c r="C697" s="48">
        <f>IFERROR(DIVIDE(VLOOKUP($B697,Data!$B$3:$AB$1535,9,FALSE),VLOOKUP($B697,Data!$B$3:$AB$1535,4,FALSE)),"")</f>
        <v>0.2744725738</v>
      </c>
      <c r="D697" s="48">
        <f>IFERROR(DIVIDE(VLOOKUP($B697,Data!$B$3:$AB$1535,24,FALSE),VLOOKUP($B697,Data!$B$3:$AB$1535,4,FALSE)),"")</f>
        <v>0</v>
      </c>
      <c r="E697" s="48">
        <f>IFERROR(DIVIDE(VLOOKUP($B697,Data!$B$3:$EZ1530,29,FALSE),VLOOKUP($B697,Data!$B$3:$EZ1530,4,FALSE)),"")</f>
        <v>0.1602109705</v>
      </c>
      <c r="F697" s="48">
        <f>IFERROR(DIVIDE(VLOOKUP($B697,Data!$B$3:$EZ1530,34,FALSE),VLOOKUP($B697,Data!$B$3:$EZ1530,4,FALSE)),"")</f>
        <v>0.2434177215</v>
      </c>
      <c r="G697" s="48">
        <f>IFERROR(DIVIDE(VLOOKUP($B697,Data!$B$3:$EZ1530,39,FALSE),VLOOKUP($B697,Data!$B$3:$EZ1530,4,FALSE)),"")</f>
        <v>0.1293670886</v>
      </c>
      <c r="H697" s="48">
        <f>IFERROR(DIVIDE(VLOOKUP($B697,Data!$B$3:$EZ1530,44,FALSE),VLOOKUP($B697,Data!$B$3:$EZ1530,4,FALSE)),"")</f>
        <v>0.2072151899</v>
      </c>
      <c r="I697" s="48">
        <f>IFERROR(MINUS(DIVIDE(VLOOKUP($B697,Data!$B$3:$EZ1530,9,FALSE),VLOOKUP($B697,Data!$B$3:$EZ1530,10,FALSE)),1),"")</f>
        <v>0.1182740244</v>
      </c>
      <c r="J697" s="48">
        <f>IFERROR(MINUS(DIVIDE(VLOOKUP($B697,Data!$B$3:$EZ1530,24,FALSE),VLOOKUP($B697,Data!$B$3:$EZ1530,25,FALSE)),1),"")</f>
        <v>-1</v>
      </c>
      <c r="K697" s="48">
        <f>IFERROR(MINUS(DIVIDE(VLOOKUP($B697,Data!$B$3:$EZ1530,29,FALSE),VLOOKUP($B697,Data!$B$3:$EZ1530,30,FALSE)),1),"")</f>
        <v>0.1385307346</v>
      </c>
      <c r="L697" s="48">
        <f>IFERROR(MINUS(DIVIDE(VLOOKUP($B697,Data!$B$3:$EZ1530,34,FALSE),VLOOKUP($B697,Data!$B$3:$EZ1530,35,FALSE)),1),"")</f>
        <v>0.1473747017</v>
      </c>
      <c r="M697" s="48">
        <f>IFERROR(MINUS(DIVIDE(VLOOKUP($B697,Data!$B$3:$EZ1530,39,FALSE),VLOOKUP($B697,Data!$B$3:$EZ1530,40,FALSE)),1),"")</f>
        <v>0.1084598698</v>
      </c>
      <c r="N697" s="48">
        <f>IFERROR(MINUS(DIVIDE(VLOOKUP($B697,Data!$B$3:$EZ1530,44,FALSE),VLOOKUP($B697,Data!$B$3:$EZ1530,45,FALSE)),1),"")</f>
        <v>0.1654010441</v>
      </c>
      <c r="O697" s="50">
        <f>IFERROR(VLOOKUP($B697,Data!$B$3:$D1530,2,FALSE),"")</f>
        <v>1810000</v>
      </c>
      <c r="P697" s="50">
        <f>IFERROR(VLOOKUP($B697,Data!$B$3:$D1530,3,FALSE),"")</f>
        <v>1710000</v>
      </c>
      <c r="Q697" s="48">
        <f t="shared" si="2"/>
        <v>0.05847953216</v>
      </c>
      <c r="R697" s="48"/>
      <c r="S697" s="48"/>
      <c r="T697" s="48"/>
      <c r="U697" s="48"/>
      <c r="V697" s="48"/>
      <c r="W697" s="50"/>
      <c r="Z697" s="11"/>
      <c r="AA697" s="11"/>
    </row>
    <row r="698">
      <c r="A698" s="9">
        <f t="shared" si="1"/>
        <v>695</v>
      </c>
      <c r="B698" s="47" t="s">
        <v>832</v>
      </c>
      <c r="C698" s="48">
        <f>IFERROR(DIVIDE(VLOOKUP($B698,Data!$B$3:$AB$1535,9,FALSE),VLOOKUP($B698,Data!$B$3:$AB$1535,4,FALSE)),"")</f>
        <v>0.1718541033</v>
      </c>
      <c r="D698" s="48">
        <f>IFERROR(DIVIDE(VLOOKUP($B698,Data!$B$3:$AB$1535,24,FALSE),VLOOKUP($B698,Data!$B$3:$AB$1535,4,FALSE)),"")</f>
        <v>0.02130699088</v>
      </c>
      <c r="E698" s="48">
        <f>IFERROR(DIVIDE(VLOOKUP($B698,Data!$B$3:$EZ1530,29,FALSE),VLOOKUP($B698,Data!$B$3:$EZ1530,4,FALSE)),"")</f>
        <v>0.01455927052</v>
      </c>
      <c r="F698" s="48">
        <f>IFERROR(DIVIDE(VLOOKUP($B698,Data!$B$3:$EZ1530,34,FALSE),VLOOKUP($B698,Data!$B$3:$EZ1530,4,FALSE)),"")</f>
        <v>0.03683890578</v>
      </c>
      <c r="G698" s="48">
        <f>IFERROR(DIVIDE(VLOOKUP($B698,Data!$B$3:$EZ1530,39,FALSE),VLOOKUP($B698,Data!$B$3:$EZ1530,4,FALSE)),"")</f>
        <v>0.01088145897</v>
      </c>
      <c r="H698" s="48">
        <f>IFERROR(DIVIDE(VLOOKUP($B698,Data!$B$3:$EZ1530,44,FALSE),VLOOKUP($B698,Data!$B$3:$EZ1530,4,FALSE)),"")</f>
        <v>0.02331306991</v>
      </c>
      <c r="I698" s="48">
        <f>IFERROR(MINUS(DIVIDE(VLOOKUP($B698,Data!$B$3:$EZ1530,9,FALSE),VLOOKUP($B698,Data!$B$3:$EZ1530,10,FALSE)),1),"")</f>
        <v>0.1383128649</v>
      </c>
      <c r="J698" s="48">
        <f>IFERROR(MINUS(DIVIDE(VLOOKUP($B698,Data!$B$3:$EZ1530,24,FALSE),VLOOKUP($B698,Data!$B$3:$EZ1530,25,FALSE)),1),"")</f>
        <v>-36.05</v>
      </c>
      <c r="K698" s="48">
        <f>IFERROR(MINUS(DIVIDE(VLOOKUP($B698,Data!$B$3:$EZ1530,29,FALSE),VLOOKUP($B698,Data!$B$3:$EZ1530,30,FALSE)),1),"")</f>
        <v>0.3087431694</v>
      </c>
      <c r="L698" s="48">
        <f>IFERROR(MINUS(DIVIDE(VLOOKUP($B698,Data!$B$3:$EZ1530,34,FALSE),VLOOKUP($B698,Data!$B$3:$EZ1530,35,FALSE)),1),"")</f>
        <v>0.4690909091</v>
      </c>
      <c r="M698" s="48">
        <f>IFERROR(MINUS(DIVIDE(VLOOKUP($B698,Data!$B$3:$EZ1530,39,FALSE),VLOOKUP($B698,Data!$B$3:$EZ1530,40,FALSE)),1),"")</f>
        <v>0.03170028818</v>
      </c>
      <c r="N698" s="48">
        <f>IFERROR(MINUS(DIVIDE(VLOOKUP($B698,Data!$B$3:$EZ1530,44,FALSE),VLOOKUP($B698,Data!$B$3:$EZ1530,45,FALSE)),1),"")</f>
        <v>0.1346153846</v>
      </c>
      <c r="O698" s="50">
        <f>IFERROR(VLOOKUP($B698,Data!$B$3:$D1530,2,FALSE),"")</f>
        <v>3270000</v>
      </c>
      <c r="P698" s="50">
        <f>IFERROR(VLOOKUP($B698,Data!$B$3:$D1530,3,FALSE),"")</f>
        <v>2970000</v>
      </c>
      <c r="Q698" s="48">
        <f t="shared" si="2"/>
        <v>0.101010101</v>
      </c>
      <c r="R698" s="48"/>
      <c r="S698" s="48"/>
      <c r="T698" s="48"/>
      <c r="U698" s="48"/>
      <c r="V698" s="48"/>
      <c r="W698" s="50"/>
      <c r="Z698" s="15"/>
      <c r="AA698" s="15"/>
    </row>
    <row r="699">
      <c r="A699" s="9">
        <f t="shared" si="1"/>
        <v>696</v>
      </c>
      <c r="B699" s="47" t="s">
        <v>833</v>
      </c>
      <c r="C699" s="48">
        <f>IFERROR(DIVIDE(VLOOKUP($B699,Data!$B$3:$AB$1535,9,FALSE),VLOOKUP($B699,Data!$B$3:$AB$1535,4,FALSE)),"")</f>
        <v>0.7214230769</v>
      </c>
      <c r="D699" s="48">
        <f>IFERROR(DIVIDE(VLOOKUP($B699,Data!$B$3:$AB$1535,24,FALSE),VLOOKUP($B699,Data!$B$3:$AB$1535,4,FALSE)),"")</f>
        <v>0.06056923077</v>
      </c>
      <c r="E699" s="48">
        <f>IFERROR(DIVIDE(VLOOKUP($B699,Data!$B$3:$EZ1530,29,FALSE),VLOOKUP($B699,Data!$B$3:$EZ1530,4,FALSE)),"")</f>
        <v>-0.01555384615</v>
      </c>
      <c r="F699" s="48">
        <f>IFERROR(DIVIDE(VLOOKUP($B699,Data!$B$3:$EZ1530,34,FALSE),VLOOKUP($B699,Data!$B$3:$EZ1530,4,FALSE)),"")</f>
        <v>0.29</v>
      </c>
      <c r="G699" s="48">
        <f>IFERROR(DIVIDE(VLOOKUP($B699,Data!$B$3:$EZ1530,39,FALSE),VLOOKUP($B699,Data!$B$3:$EZ1530,4,FALSE)),"")</f>
        <v>0.4407846154</v>
      </c>
      <c r="H699" s="48">
        <f>IFERROR(DIVIDE(VLOOKUP($B699,Data!$B$3:$EZ1530,44,FALSE),VLOOKUP($B699,Data!$B$3:$EZ1530,4,FALSE)),"")</f>
        <v>0.3279461538</v>
      </c>
      <c r="I699" s="48">
        <f>IFERROR(MINUS(DIVIDE(VLOOKUP($B699,Data!$B$3:$EZ1530,9,FALSE),VLOOKUP($B699,Data!$B$3:$EZ1530,10,FALSE)),1),"")</f>
        <v>0.1489458145</v>
      </c>
      <c r="J699" s="48">
        <f>IFERROR(MINUS(DIVIDE(VLOOKUP($B699,Data!$B$3:$EZ1530,24,FALSE),VLOOKUP($B699,Data!$B$3:$EZ1530,25,FALSE)),1),"")</f>
        <v>-2.106054221</v>
      </c>
      <c r="K699" s="48">
        <f>IFERROR(MINUS(DIVIDE(VLOOKUP($B699,Data!$B$3:$EZ1530,29,FALSE),VLOOKUP($B699,Data!$B$3:$EZ1530,30,FALSE)),1),"")</f>
        <v>-0.7567665103</v>
      </c>
      <c r="L699" s="48">
        <f>IFERROR(MINUS(DIVIDE(VLOOKUP($B699,Data!$B$3:$EZ1530,34,FALSE),VLOOKUP($B699,Data!$B$3:$EZ1530,35,FALSE)),1),"")</f>
        <v>0.1935289834</v>
      </c>
      <c r="M699" s="48">
        <f>IFERROR(MINUS(DIVIDE(VLOOKUP($B699,Data!$B$3:$EZ1530,39,FALSE),VLOOKUP($B699,Data!$B$3:$EZ1530,40,FALSE)),1),"")</f>
        <v>-15.93017196</v>
      </c>
      <c r="N699" s="48">
        <f>IFERROR(MINUS(DIVIDE(VLOOKUP($B699,Data!$B$3:$EZ1530,44,FALSE),VLOOKUP($B699,Data!$B$3:$EZ1530,45,FALSE)),1),"")</f>
        <v>1.191477331</v>
      </c>
      <c r="O699" s="50">
        <f>IFERROR(VLOOKUP($B699,Data!$B$3:$D1530,2,FALSE),"")</f>
        <v>2620000</v>
      </c>
      <c r="P699" s="50">
        <f>IFERROR(VLOOKUP($B699,Data!$B$3:$D1530,3,FALSE),"")</f>
        <v>1910000</v>
      </c>
      <c r="Q699" s="48">
        <f t="shared" si="2"/>
        <v>0.3717277487</v>
      </c>
      <c r="R699" s="48"/>
      <c r="S699" s="48"/>
      <c r="T699" s="48"/>
      <c r="U699" s="48"/>
      <c r="V699" s="48"/>
      <c r="W699" s="50"/>
      <c r="Z699" s="11"/>
      <c r="AA699" s="11"/>
    </row>
    <row r="700">
      <c r="A700" s="9">
        <f t="shared" si="1"/>
        <v>697</v>
      </c>
      <c r="B700" s="47" t="s">
        <v>834</v>
      </c>
      <c r="C700" s="48">
        <f>IFERROR(DIVIDE(VLOOKUP($B700,Data!$B$3:$AB$1535,9,FALSE),VLOOKUP($B700,Data!$B$3:$AB$1535,4,FALSE)),"")</f>
        <v>0.2603467742</v>
      </c>
      <c r="D700" s="48">
        <f>IFERROR(DIVIDE(VLOOKUP($B700,Data!$B$3:$AB$1535,24,FALSE),VLOOKUP($B700,Data!$B$3:$AB$1535,4,FALSE)),"")</f>
        <v>0.04881451613</v>
      </c>
      <c r="E700" s="48">
        <f>IFERROR(DIVIDE(VLOOKUP($B700,Data!$B$3:$EZ1530,29,FALSE),VLOOKUP($B700,Data!$B$3:$EZ1530,4,FALSE)),"")</f>
        <v>0.03947580645</v>
      </c>
      <c r="F700" s="48">
        <f>IFERROR(DIVIDE(VLOOKUP($B700,Data!$B$3:$EZ1530,34,FALSE),VLOOKUP($B700,Data!$B$3:$EZ1530,4,FALSE)),"")</f>
        <v>0.06066935484</v>
      </c>
      <c r="G700" s="48">
        <f>IFERROR(DIVIDE(VLOOKUP($B700,Data!$B$3:$EZ1530,39,FALSE),VLOOKUP($B700,Data!$B$3:$EZ1530,4,FALSE)),"")</f>
        <v>0.02902419355</v>
      </c>
      <c r="H700" s="48">
        <f>IFERROR(DIVIDE(VLOOKUP($B700,Data!$B$3:$EZ1530,44,FALSE),VLOOKUP($B700,Data!$B$3:$EZ1530,4,FALSE)),"")</f>
        <v>-0.01002419355</v>
      </c>
      <c r="I700" s="48">
        <f>IFERROR(MINUS(DIVIDE(VLOOKUP($B700,Data!$B$3:$EZ1530,9,FALSE),VLOOKUP($B700,Data!$B$3:$EZ1530,10,FALSE)),1),"")</f>
        <v>0.08248667136</v>
      </c>
      <c r="J700" s="48">
        <f>IFERROR(MINUS(DIVIDE(VLOOKUP($B700,Data!$B$3:$EZ1530,24,FALSE),VLOOKUP($B700,Data!$B$3:$EZ1530,25,FALSE)),1),"")</f>
        <v>-0.04194365305</v>
      </c>
      <c r="K700" s="48">
        <f>IFERROR(MINUS(DIVIDE(VLOOKUP($B700,Data!$B$3:$EZ1530,29,FALSE),VLOOKUP($B700,Data!$B$3:$EZ1530,30,FALSE)),1),"")</f>
        <v>-0.08126876877</v>
      </c>
      <c r="L700" s="48">
        <f>IFERROR(MINUS(DIVIDE(VLOOKUP($B700,Data!$B$3:$EZ1530,34,FALSE),VLOOKUP($B700,Data!$B$3:$EZ1530,35,FALSE)),1),"")</f>
        <v>0.03880143607</v>
      </c>
      <c r="M700" s="48">
        <f>IFERROR(MINUS(DIVIDE(VLOOKUP($B700,Data!$B$3:$EZ1530,39,FALSE),VLOOKUP($B700,Data!$B$3:$EZ1530,40,FALSE)),1),"")</f>
        <v>-0.0844568812</v>
      </c>
      <c r="N700" s="48">
        <f>IFERROR(MINUS(DIVIDE(VLOOKUP($B700,Data!$B$3:$EZ1530,44,FALSE),VLOOKUP($B700,Data!$B$3:$EZ1530,45,FALSE)),1),"")</f>
        <v>-1.176537424</v>
      </c>
      <c r="O700" s="50">
        <f>IFERROR(VLOOKUP($B700,Data!$B$3:$D1530,2,FALSE),"")</f>
        <v>1430000</v>
      </c>
      <c r="P700" s="50">
        <f>IFERROR(VLOOKUP($B700,Data!$B$3:$D1530,3,FALSE),"")</f>
        <v>1440000</v>
      </c>
      <c r="Q700" s="48">
        <f t="shared" si="2"/>
        <v>-0.006944444444</v>
      </c>
      <c r="R700" s="48"/>
      <c r="S700" s="48"/>
      <c r="T700" s="48"/>
      <c r="U700" s="48"/>
      <c r="V700" s="48"/>
      <c r="W700" s="50"/>
      <c r="Z700" s="11"/>
      <c r="AA700" s="11"/>
    </row>
    <row r="701">
      <c r="A701" s="9">
        <f t="shared" si="1"/>
        <v>698</v>
      </c>
      <c r="B701" s="47" t="s">
        <v>835</v>
      </c>
      <c r="C701" s="48">
        <f>IFERROR(DIVIDE(VLOOKUP($B701,Data!$B$3:$AB$1535,9,FALSE),VLOOKUP($B701,Data!$B$3:$AB$1535,4,FALSE)),"")</f>
        <v>0.02982978723</v>
      </c>
      <c r="D701" s="48">
        <f>IFERROR(DIVIDE(VLOOKUP($B701,Data!$B$3:$AB$1535,24,FALSE),VLOOKUP($B701,Data!$B$3:$AB$1535,4,FALSE)),"")</f>
        <v>-0.2784609929</v>
      </c>
      <c r="E701" s="48">
        <f>IFERROR(DIVIDE(VLOOKUP($B701,Data!$B$3:$EZ1530,29,FALSE),VLOOKUP($B701,Data!$B$3:$EZ1530,4,FALSE)),"")</f>
        <v>-0.3076312057</v>
      </c>
      <c r="F701" s="48">
        <f>IFERROR(DIVIDE(VLOOKUP($B701,Data!$B$3:$EZ1530,34,FALSE),VLOOKUP($B701,Data!$B$3:$EZ1530,4,FALSE)),"")</f>
        <v>0.2464609929</v>
      </c>
      <c r="G701" s="48">
        <f>IFERROR(DIVIDE(VLOOKUP($B701,Data!$B$3:$EZ1530,39,FALSE),VLOOKUP($B701,Data!$B$3:$EZ1530,4,FALSE)),"")</f>
        <v>-0.3512978723</v>
      </c>
      <c r="H701" s="48">
        <f>IFERROR(DIVIDE(VLOOKUP($B701,Data!$B$3:$EZ1530,44,FALSE),VLOOKUP($B701,Data!$B$3:$EZ1530,4,FALSE)),"")</f>
        <v>0.3246666667</v>
      </c>
      <c r="I701" s="48">
        <f>IFERROR(MINUS(DIVIDE(VLOOKUP($B701,Data!$B$3:$EZ1530,9,FALSE),VLOOKUP($B701,Data!$B$3:$EZ1530,10,FALSE)),1),"")</f>
        <v>-0.6191252377</v>
      </c>
      <c r="J701" s="48">
        <f>IFERROR(MINUS(DIVIDE(VLOOKUP($B701,Data!$B$3:$EZ1530,24,FALSE),VLOOKUP($B701,Data!$B$3:$EZ1530,25,FALSE)),1),"")</f>
        <v>15.55269815</v>
      </c>
      <c r="K701" s="48">
        <f>IFERROR(MINUS(DIVIDE(VLOOKUP($B701,Data!$B$3:$EZ1530,29,FALSE),VLOOKUP($B701,Data!$B$3:$EZ1530,30,FALSE)),1),"")</f>
        <v>-21.15613383</v>
      </c>
      <c r="L701" s="48">
        <f>IFERROR(MINUS(DIVIDE(VLOOKUP($B701,Data!$B$3:$EZ1530,34,FALSE),VLOOKUP($B701,Data!$B$3:$EZ1530,35,FALSE)),1),"")</f>
        <v>-0.1306381808</v>
      </c>
      <c r="M701" s="48">
        <f>IFERROR(MINUS(DIVIDE(VLOOKUP($B701,Data!$B$3:$EZ1530,39,FALSE),VLOOKUP($B701,Data!$B$3:$EZ1530,40,FALSE)),1),"")</f>
        <v>11.17027027</v>
      </c>
      <c r="N701" s="48">
        <f>IFERROR(MINUS(DIVIDE(VLOOKUP($B701,Data!$B$3:$EZ1530,44,FALSE),VLOOKUP($B701,Data!$B$3:$EZ1530,45,FALSE)),1),"")</f>
        <v>1.019320688</v>
      </c>
      <c r="O701" s="50">
        <f>IFERROR(VLOOKUP($B701,Data!$B$3:$D1530,2,FALSE),"")</f>
        <v>1260000</v>
      </c>
      <c r="P701" s="50">
        <f>IFERROR(VLOOKUP($B701,Data!$B$3:$D1530,3,FALSE),"")</f>
        <v>1160000</v>
      </c>
      <c r="Q701" s="48">
        <f t="shared" si="2"/>
        <v>0.08620689655</v>
      </c>
      <c r="R701" s="48"/>
      <c r="S701" s="48"/>
      <c r="T701" s="48"/>
      <c r="U701" s="48"/>
      <c r="V701" s="48"/>
      <c r="W701" s="50"/>
      <c r="Z701" s="11"/>
      <c r="AA701" s="11"/>
    </row>
    <row r="702">
      <c r="A702" s="9">
        <f t="shared" si="1"/>
        <v>699</v>
      </c>
      <c r="B702" s="47" t="s">
        <v>836</v>
      </c>
      <c r="C702" s="48">
        <f>IFERROR(DIVIDE(VLOOKUP($B702,Data!$B$3:$AB$1535,9,FALSE),VLOOKUP($B702,Data!$B$3:$AB$1535,4,FALSE)),"")</f>
        <v>0.1638014921</v>
      </c>
      <c r="D702" s="48">
        <f>IFERROR(DIVIDE(VLOOKUP($B702,Data!$B$3:$AB$1535,24,FALSE),VLOOKUP($B702,Data!$B$3:$AB$1535,4,FALSE)),"")</f>
        <v>0.06746675316</v>
      </c>
      <c r="E702" s="48">
        <f>IFERROR(DIVIDE(VLOOKUP($B702,Data!$B$3:$EZ1530,29,FALSE),VLOOKUP($B702,Data!$B$3:$EZ1530,4,FALSE)),"")</f>
        <v>0.07071034706</v>
      </c>
      <c r="F702" s="48">
        <f>IFERROR(DIVIDE(VLOOKUP($B702,Data!$B$3:$EZ1530,34,FALSE),VLOOKUP($B702,Data!$B$3:$EZ1530,4,FALSE)),"")</f>
        <v>0.09422640285</v>
      </c>
      <c r="G702" s="48">
        <f>IFERROR(DIVIDE(VLOOKUP($B702,Data!$B$3:$EZ1530,39,FALSE),VLOOKUP($B702,Data!$B$3:$EZ1530,4,FALSE)),"")</f>
        <v>0.05222186182</v>
      </c>
      <c r="H702" s="48">
        <f>IFERROR(DIVIDE(VLOOKUP($B702,Data!$B$3:$EZ1530,44,FALSE),VLOOKUP($B702,Data!$B$3:$EZ1530,4,FALSE)),"")</f>
        <v>0.06470969835</v>
      </c>
      <c r="I702" s="48">
        <f>IFERROR(MINUS(DIVIDE(VLOOKUP($B702,Data!$B$3:$EZ1530,9,FALSE),VLOOKUP($B702,Data!$B$3:$EZ1530,10,FALSE)),1),"")</f>
        <v>0.04880581516</v>
      </c>
      <c r="J702" s="48">
        <f>IFERROR(MINUS(DIVIDE(VLOOKUP($B702,Data!$B$3:$EZ1530,24,FALSE),VLOOKUP($B702,Data!$B$3:$EZ1530,25,FALSE)),1),"")</f>
        <v>0.05583756345</v>
      </c>
      <c r="K702" s="48">
        <f>IFERROR(MINUS(DIVIDE(VLOOKUP($B702,Data!$B$3:$EZ1530,29,FALSE),VLOOKUP($B702,Data!$B$3:$EZ1530,30,FALSE)),1),"")</f>
        <v>-0.03539823009</v>
      </c>
      <c r="L702" s="48">
        <f>IFERROR(MINUS(DIVIDE(VLOOKUP($B702,Data!$B$3:$EZ1530,34,FALSE),VLOOKUP($B702,Data!$B$3:$EZ1530,35,FALSE)),1),"")</f>
        <v>0.1303501946</v>
      </c>
      <c r="M702" s="48">
        <f>IFERROR(MINUS(DIVIDE(VLOOKUP($B702,Data!$B$3:$EZ1530,39,FALSE),VLOOKUP($B702,Data!$B$3:$EZ1530,40,FALSE)),1),"")</f>
        <v>-0.03880597015</v>
      </c>
      <c r="N702" s="48">
        <f>IFERROR(MINUS(DIVIDE(VLOOKUP($B702,Data!$B$3:$EZ1530,44,FALSE),VLOOKUP($B702,Data!$B$3:$EZ1530,45,FALSE)),1),"")</f>
        <v>-0.06117647059</v>
      </c>
      <c r="O702" s="50">
        <f>IFERROR(VLOOKUP($B702,Data!$B$3:$D1530,2,FALSE),"")</f>
        <v>2950000</v>
      </c>
      <c r="P702" s="50">
        <f>IFERROR(VLOOKUP($B702,Data!$B$3:$D1530,3,FALSE),"")</f>
        <v>2970000</v>
      </c>
      <c r="Q702" s="48">
        <f t="shared" si="2"/>
        <v>-0.006734006734</v>
      </c>
      <c r="R702" s="48"/>
      <c r="S702" s="48"/>
      <c r="T702" s="48"/>
      <c r="U702" s="48"/>
      <c r="V702" s="48"/>
      <c r="W702" s="50"/>
      <c r="Z702" s="11"/>
      <c r="AA702" s="11"/>
    </row>
    <row r="703">
      <c r="A703" s="9">
        <f t="shared" si="1"/>
        <v>700</v>
      </c>
      <c r="B703" s="47" t="s">
        <v>837</v>
      </c>
      <c r="C703" s="48">
        <f>IFERROR(DIVIDE(VLOOKUP($B703,Data!$B$3:$AB$1535,9,FALSE),VLOOKUP($B703,Data!$B$3:$AB$1535,4,FALSE)),"")</f>
        <v>0.2704437086</v>
      </c>
      <c r="D703" s="48">
        <f>IFERROR(DIVIDE(VLOOKUP($B703,Data!$B$3:$AB$1535,24,FALSE),VLOOKUP($B703,Data!$B$3:$AB$1535,4,FALSE)),"")</f>
        <v>0.0802384106</v>
      </c>
      <c r="E703" s="48">
        <f>IFERROR(DIVIDE(VLOOKUP($B703,Data!$B$3:$EZ1530,29,FALSE),VLOOKUP($B703,Data!$B$3:$EZ1530,4,FALSE)),"")</f>
        <v>0.06133112583</v>
      </c>
      <c r="F703" s="48">
        <f>IFERROR(DIVIDE(VLOOKUP($B703,Data!$B$3:$EZ1530,34,FALSE),VLOOKUP($B703,Data!$B$3:$EZ1530,4,FALSE)),"")</f>
        <v>0.1343642384</v>
      </c>
      <c r="G703" s="48">
        <f>IFERROR(DIVIDE(VLOOKUP($B703,Data!$B$3:$EZ1530,39,FALSE),VLOOKUP($B703,Data!$B$3:$EZ1530,4,FALSE)),"")</f>
        <v>0.04513907285</v>
      </c>
      <c r="H703" s="48">
        <f>IFERROR(DIVIDE(VLOOKUP($B703,Data!$B$3:$EZ1530,44,FALSE),VLOOKUP($B703,Data!$B$3:$EZ1530,4,FALSE)),"")</f>
        <v>0.08150331126</v>
      </c>
      <c r="I703" s="48">
        <f>IFERROR(MINUS(DIVIDE(VLOOKUP($B703,Data!$B$3:$EZ1530,9,FALSE),VLOOKUP($B703,Data!$B$3:$EZ1530,10,FALSE)),1),"")</f>
        <v>0.185777752</v>
      </c>
      <c r="J703" s="48">
        <f>IFERROR(MINUS(DIVIDE(VLOOKUP($B703,Data!$B$3:$EZ1530,24,FALSE),VLOOKUP($B703,Data!$B$3:$EZ1530,25,FALSE)),1),"")</f>
        <v>0.2997210899</v>
      </c>
      <c r="K703" s="48">
        <f>IFERROR(MINUS(DIVIDE(VLOOKUP($B703,Data!$B$3:$EZ1530,29,FALSE),VLOOKUP($B703,Data!$B$3:$EZ1530,30,FALSE)),1),"")</f>
        <v>0.2828646627</v>
      </c>
      <c r="L703" s="48">
        <f>IFERROR(MINUS(DIVIDE(VLOOKUP($B703,Data!$B$3:$EZ1530,34,FALSE),VLOOKUP($B703,Data!$B$3:$EZ1530,35,FALSE)),1),"")</f>
        <v>0.3120150026</v>
      </c>
      <c r="M703" s="48">
        <f>IFERROR(MINUS(DIVIDE(VLOOKUP($B703,Data!$B$3:$EZ1530,39,FALSE),VLOOKUP($B703,Data!$B$3:$EZ1530,40,FALSE)),1),"")</f>
        <v>0.2449315068</v>
      </c>
      <c r="N703" s="48">
        <f>IFERROR(MINUS(DIVIDE(VLOOKUP($B703,Data!$B$3:$EZ1530,44,FALSE),VLOOKUP($B703,Data!$B$3:$EZ1530,45,FALSE)),1),"")</f>
        <v>0.2736210287</v>
      </c>
      <c r="O703" s="50">
        <f>IFERROR(VLOOKUP($B703,Data!$B$3:$D1530,2,FALSE),"")</f>
        <v>1620000</v>
      </c>
      <c r="P703" s="50">
        <f>IFERROR(VLOOKUP($B703,Data!$B$3:$D1530,3,FALSE),"")</f>
        <v>1530000</v>
      </c>
      <c r="Q703" s="48">
        <f t="shared" si="2"/>
        <v>0.05882352941</v>
      </c>
      <c r="R703" s="48"/>
      <c r="S703" s="48"/>
      <c r="T703" s="48"/>
      <c r="U703" s="48"/>
      <c r="V703" s="48"/>
      <c r="W703" s="50"/>
      <c r="Z703" s="15"/>
      <c r="AA703" s="15"/>
    </row>
    <row r="704">
      <c r="A704" s="9">
        <f t="shared" si="1"/>
        <v>701</v>
      </c>
      <c r="B704" s="47" t="s">
        <v>838</v>
      </c>
      <c r="C704" s="48">
        <f>IFERROR(DIVIDE(VLOOKUP($B704,Data!$B$3:$AB$1535,9,FALSE),VLOOKUP($B704,Data!$B$3:$AB$1535,4,FALSE)),"")</f>
        <v>0.1181463823</v>
      </c>
      <c r="D704" s="48">
        <f>IFERROR(DIVIDE(VLOOKUP($B704,Data!$B$3:$AB$1535,24,FALSE),VLOOKUP($B704,Data!$B$3:$AB$1535,4,FALSE)),"")</f>
        <v>0</v>
      </c>
      <c r="E704" s="48">
        <f>IFERROR(DIVIDE(VLOOKUP($B704,Data!$B$3:$EZ1530,29,FALSE),VLOOKUP($B704,Data!$B$3:$EZ1530,4,FALSE)),"")</f>
        <v>0.006893885703</v>
      </c>
      <c r="F704" s="48">
        <f>IFERROR(DIVIDE(VLOOKUP($B704,Data!$B$3:$EZ1530,34,FALSE),VLOOKUP($B704,Data!$B$3:$EZ1530,4,FALSE)),"")</f>
        <v>0.05941949617</v>
      </c>
      <c r="G704" s="48">
        <f>IFERROR(DIVIDE(VLOOKUP($B704,Data!$B$3:$EZ1530,39,FALSE),VLOOKUP($B704,Data!$B$3:$EZ1530,4,FALSE)),"")</f>
        <v>0.01728303589</v>
      </c>
      <c r="H704" s="48">
        <f>IFERROR(DIVIDE(VLOOKUP($B704,Data!$B$3:$EZ1530,44,FALSE),VLOOKUP($B704,Data!$B$3:$EZ1530,4,FALSE)),"")</f>
        <v>0.09205270279</v>
      </c>
      <c r="I704" s="48">
        <f>IFERROR(MINUS(DIVIDE(VLOOKUP($B704,Data!$B$3:$EZ1530,9,FALSE),VLOOKUP($B704,Data!$B$3:$EZ1530,10,FALSE)),1),"")</f>
        <v>-0.3926471806</v>
      </c>
      <c r="J704" s="48">
        <f>IFERROR(MINUS(DIVIDE(VLOOKUP($B704,Data!$B$3:$EZ1530,24,FALSE),VLOOKUP($B704,Data!$B$3:$EZ1530,25,FALSE)),1),"")</f>
        <v>-1</v>
      </c>
      <c r="K704" s="48">
        <f>IFERROR(MINUS(DIVIDE(VLOOKUP($B704,Data!$B$3:$EZ1530,29,FALSE),VLOOKUP($B704,Data!$B$3:$EZ1530,30,FALSE)),1),"")</f>
        <v>-0.9210623386</v>
      </c>
      <c r="L704" s="48">
        <f>IFERROR(MINUS(DIVIDE(VLOOKUP($B704,Data!$B$3:$EZ1530,34,FALSE),VLOOKUP($B704,Data!$B$3:$EZ1530,35,FALSE)),1),"")</f>
        <v>-0.5696955558</v>
      </c>
      <c r="M704" s="48">
        <f>IFERROR(MINUS(DIVIDE(VLOOKUP($B704,Data!$B$3:$EZ1530,39,FALSE),VLOOKUP($B704,Data!$B$3:$EZ1530,40,FALSE)),1),"")</f>
        <v>-0.8146164478</v>
      </c>
      <c r="N704" s="48">
        <f>IFERROR(MINUS(DIVIDE(VLOOKUP($B704,Data!$B$3:$EZ1530,44,FALSE),VLOOKUP($B704,Data!$B$3:$EZ1530,45,FALSE)),1),"")</f>
        <v>-0.05505952381</v>
      </c>
      <c r="O704" s="50">
        <f>IFERROR(VLOOKUP($B704,Data!$B$3:$D1530,2,FALSE),"")</f>
        <v>872090</v>
      </c>
      <c r="P704" s="50">
        <f>IFERROR(VLOOKUP($B704,Data!$B$3:$D1530,3,FALSE),"")</f>
        <v>817470</v>
      </c>
      <c r="Q704" s="48">
        <f t="shared" si="2"/>
        <v>0.06681590762</v>
      </c>
      <c r="R704" s="48"/>
      <c r="S704" s="48"/>
      <c r="T704" s="48"/>
      <c r="U704" s="48"/>
      <c r="V704" s="48"/>
      <c r="W704" s="50"/>
      <c r="Z704" s="15"/>
      <c r="AA704" s="15"/>
    </row>
    <row r="705">
      <c r="A705" s="9">
        <f t="shared" si="1"/>
        <v>702</v>
      </c>
      <c r="B705" s="47" t="s">
        <v>839</v>
      </c>
      <c r="C705" s="48">
        <f>IFERROR(DIVIDE(VLOOKUP($B705,Data!$B$3:$AB$1535,9,FALSE),VLOOKUP($B705,Data!$B$3:$AB$1535,4,FALSE)),"")</f>
        <v>0.3322683706</v>
      </c>
      <c r="D705" s="48">
        <f>IFERROR(DIVIDE(VLOOKUP($B705,Data!$B$3:$AB$1535,24,FALSE),VLOOKUP($B705,Data!$B$3:$AB$1535,4,FALSE)),"")</f>
        <v>0.155484558</v>
      </c>
      <c r="E705" s="48">
        <f>IFERROR(DIVIDE(VLOOKUP($B705,Data!$B$3:$EZ1530,29,FALSE),VLOOKUP($B705,Data!$B$3:$EZ1530,4,FALSE)),"")</f>
        <v>0.118743344</v>
      </c>
      <c r="F705" s="48">
        <f>IFERROR(DIVIDE(VLOOKUP($B705,Data!$B$3:$EZ1530,34,FALSE),VLOOKUP($B705,Data!$B$3:$EZ1530,4,FALSE)),"")</f>
        <v>0.225772098</v>
      </c>
      <c r="G705" s="48">
        <f>IFERROR(DIVIDE(VLOOKUP($B705,Data!$B$3:$EZ1530,39,FALSE),VLOOKUP($B705,Data!$B$3:$EZ1530,4,FALSE)),"")</f>
        <v>0.08998935037</v>
      </c>
      <c r="H705" s="48">
        <f>IFERROR(DIVIDE(VLOOKUP($B705,Data!$B$3:$EZ1530,44,FALSE),VLOOKUP($B705,Data!$B$3:$EZ1530,4,FALSE)),"")</f>
        <v>0.1890308839</v>
      </c>
      <c r="I705" s="48">
        <f>IFERROR(MINUS(DIVIDE(VLOOKUP($B705,Data!$B$3:$EZ1530,9,FALSE),VLOOKUP($B705,Data!$B$3:$EZ1530,10,FALSE)),1),"")</f>
        <v>-0.05454545455</v>
      </c>
      <c r="J705" s="48">
        <f>IFERROR(MINUS(DIVIDE(VLOOKUP($B705,Data!$B$3:$EZ1530,24,FALSE),VLOOKUP($B705,Data!$B$3:$EZ1530,25,FALSE)),1),"")</f>
        <v>0.431372549</v>
      </c>
      <c r="K705" s="48">
        <f>IFERROR(MINUS(DIVIDE(VLOOKUP($B705,Data!$B$3:$EZ1530,29,FALSE),VLOOKUP($B705,Data!$B$3:$EZ1530,30,FALSE)),1),"")</f>
        <v>-0.5439672802</v>
      </c>
      <c r="L705" s="48">
        <f>IFERROR(MINUS(DIVIDE(VLOOKUP($B705,Data!$B$3:$EZ1530,34,FALSE),VLOOKUP($B705,Data!$B$3:$EZ1530,35,FALSE)),1),"")</f>
        <v>0.04433497537</v>
      </c>
      <c r="M705" s="48">
        <f>IFERROR(MINUS(DIVIDE(VLOOKUP($B705,Data!$B$3:$EZ1530,39,FALSE),VLOOKUP($B705,Data!$B$3:$EZ1530,40,FALSE)),1),"")</f>
        <v>-0.6210762332</v>
      </c>
      <c r="N705" s="48">
        <f>IFERROR(MINUS(DIVIDE(VLOOKUP($B705,Data!$B$3:$EZ1530,44,FALSE),VLOOKUP($B705,Data!$B$3:$EZ1530,45,FALSE)),1),"")</f>
        <v>0.5848214286</v>
      </c>
      <c r="O705" s="50">
        <f>IFERROR(VLOOKUP($B705,Data!$B$3:$D1530,2,FALSE),"")</f>
        <v>5380000</v>
      </c>
      <c r="P705" s="50">
        <f>IFERROR(VLOOKUP($B705,Data!$B$3:$D1530,3,FALSE),"")</f>
        <v>5000000</v>
      </c>
      <c r="Q705" s="48">
        <f t="shared" si="2"/>
        <v>0.076</v>
      </c>
      <c r="R705" s="48"/>
      <c r="S705" s="48"/>
      <c r="T705" s="48"/>
      <c r="U705" s="48"/>
      <c r="V705" s="48"/>
      <c r="W705" s="50"/>
      <c r="Z705" s="11"/>
      <c r="AA705" s="11"/>
    </row>
    <row r="706">
      <c r="A706" s="9">
        <f t="shared" si="1"/>
        <v>703</v>
      </c>
      <c r="B706" s="47" t="s">
        <v>840</v>
      </c>
      <c r="C706" s="48">
        <f>IFERROR(DIVIDE(VLOOKUP($B706,Data!$B$3:$AB$1535,9,FALSE),VLOOKUP($B706,Data!$B$3:$AB$1535,4,FALSE)),"")</f>
        <v>0.2740747331</v>
      </c>
      <c r="D706" s="48">
        <f>IFERROR(DIVIDE(VLOOKUP($B706,Data!$B$3:$AB$1535,24,FALSE),VLOOKUP($B706,Data!$B$3:$AB$1535,4,FALSE)),"")</f>
        <v>0</v>
      </c>
      <c r="E706" s="48">
        <f>IFERROR(DIVIDE(VLOOKUP($B706,Data!$B$3:$EZ1530,29,FALSE),VLOOKUP($B706,Data!$B$3:$EZ1530,4,FALSE)),"")</f>
        <v>0.1519537367</v>
      </c>
      <c r="F706" s="48">
        <f>IFERROR(DIVIDE(VLOOKUP($B706,Data!$B$3:$EZ1530,34,FALSE),VLOOKUP($B706,Data!$B$3:$EZ1530,4,FALSE)),"")</f>
        <v>0.1871601423</v>
      </c>
      <c r="G706" s="48">
        <f>IFERROR(DIVIDE(VLOOKUP($B706,Data!$B$3:$EZ1530,39,FALSE),VLOOKUP($B706,Data!$B$3:$EZ1530,4,FALSE)),"")</f>
        <v>0.1330925267</v>
      </c>
      <c r="H706" s="48">
        <f>IFERROR(DIVIDE(VLOOKUP($B706,Data!$B$3:$EZ1530,44,FALSE),VLOOKUP($B706,Data!$B$3:$EZ1530,4,FALSE)),"")</f>
        <v>0.1468113879</v>
      </c>
      <c r="I706" s="48">
        <f>IFERROR(MINUS(DIVIDE(VLOOKUP($B706,Data!$B$3:$EZ1530,9,FALSE),VLOOKUP($B706,Data!$B$3:$EZ1530,10,FALSE)),1),"")</f>
        <v>0.08221853746</v>
      </c>
      <c r="J706" s="48">
        <f>IFERROR(MINUS(DIVIDE(VLOOKUP($B706,Data!$B$3:$EZ1530,24,FALSE),VLOOKUP($B706,Data!$B$3:$EZ1530,25,FALSE)),1),"")</f>
        <v>-1</v>
      </c>
      <c r="K706" s="48">
        <f>IFERROR(MINUS(DIVIDE(VLOOKUP($B706,Data!$B$3:$EZ1530,29,FALSE),VLOOKUP($B706,Data!$B$3:$EZ1530,30,FALSE)),1),"")</f>
        <v>0.1710869148</v>
      </c>
      <c r="L706" s="48">
        <f>IFERROR(MINUS(DIVIDE(VLOOKUP($B706,Data!$B$3:$EZ1530,34,FALSE),VLOOKUP($B706,Data!$B$3:$EZ1530,35,FALSE)),1),"")</f>
        <v>0.1742168836</v>
      </c>
      <c r="M706" s="48">
        <f>IFERROR(MINUS(DIVIDE(VLOOKUP($B706,Data!$B$3:$EZ1530,39,FALSE),VLOOKUP($B706,Data!$B$3:$EZ1530,40,FALSE)),1),"")</f>
        <v>0.1590838654</v>
      </c>
      <c r="N706" s="48">
        <f>IFERROR(MINUS(DIVIDE(VLOOKUP($B706,Data!$B$3:$EZ1530,44,FALSE),VLOOKUP($B706,Data!$B$3:$EZ1530,45,FALSE)),1),"")</f>
        <v>0.5403629303</v>
      </c>
      <c r="O706" s="50">
        <f>IFERROR(VLOOKUP($B706,Data!$B$3:$D1530,2,FALSE),"")</f>
        <v>3050000</v>
      </c>
      <c r="P706" s="50">
        <f>IFERROR(VLOOKUP($B706,Data!$B$3:$D1530,3,FALSE),"")</f>
        <v>2720000</v>
      </c>
      <c r="Q706" s="48">
        <f t="shared" si="2"/>
        <v>0.1213235294</v>
      </c>
      <c r="R706" s="48"/>
      <c r="S706" s="48"/>
      <c r="T706" s="48"/>
      <c r="U706" s="48"/>
      <c r="V706" s="48"/>
      <c r="W706" s="50"/>
      <c r="Z706" s="15"/>
      <c r="AA706" s="15"/>
    </row>
    <row r="707">
      <c r="A707" s="9">
        <f t="shared" si="1"/>
        <v>704</v>
      </c>
      <c r="B707" s="47" t="s">
        <v>841</v>
      </c>
      <c r="C707" s="48">
        <f>IFERROR(DIVIDE(VLOOKUP($B707,Data!$B$3:$AB$1535,9,FALSE),VLOOKUP($B707,Data!$B$3:$AB$1535,4,FALSE)),"")</f>
        <v>0.9473809524</v>
      </c>
      <c r="D707" s="48">
        <f>IFERROR(DIVIDE(VLOOKUP($B707,Data!$B$3:$AB$1535,24,FALSE),VLOOKUP($B707,Data!$B$3:$AB$1535,4,FALSE)),"")</f>
        <v>0</v>
      </c>
      <c r="E707" s="48">
        <f>IFERROR(DIVIDE(VLOOKUP($B707,Data!$B$3:$EZ1530,29,FALSE),VLOOKUP($B707,Data!$B$3:$EZ1530,4,FALSE)),"")</f>
        <v>-1.367777778</v>
      </c>
      <c r="F707" s="48">
        <f>IFERROR(DIVIDE(VLOOKUP($B707,Data!$B$3:$EZ1530,34,FALSE),VLOOKUP($B707,Data!$B$3:$EZ1530,4,FALSE)),"")</f>
        <v>-1.203888889</v>
      </c>
      <c r="G707" s="48">
        <f>IFERROR(DIVIDE(VLOOKUP($B707,Data!$B$3:$EZ1530,39,FALSE),VLOOKUP($B707,Data!$B$3:$EZ1530,4,FALSE)),"")</f>
        <v>-1.367777778</v>
      </c>
      <c r="H707" s="48">
        <f>IFERROR(DIVIDE(VLOOKUP($B707,Data!$B$3:$EZ1530,44,FALSE),VLOOKUP($B707,Data!$B$3:$EZ1530,4,FALSE)),"")</f>
        <v>-0.9121031746</v>
      </c>
      <c r="I707" s="48">
        <f>IFERROR(MINUS(DIVIDE(VLOOKUP($B707,Data!$B$3:$EZ1530,9,FALSE),VLOOKUP($B707,Data!$B$3:$EZ1530,10,FALSE)),1),"")</f>
        <v>0.3823972206</v>
      </c>
      <c r="J707" s="48" t="str">
        <f>IFERROR(MINUS(DIVIDE(VLOOKUP($B707,Data!$B$3:$EZ1530,24,FALSE),VLOOKUP($B707,Data!$B$3:$EZ1530,25,FALSE)),1),"")</f>
        <v/>
      </c>
      <c r="K707" s="48">
        <f>IFERROR(MINUS(DIVIDE(VLOOKUP($B707,Data!$B$3:$EZ1530,29,FALSE),VLOOKUP($B707,Data!$B$3:$EZ1530,30,FALSE)),1),"")</f>
        <v>0.1146035442</v>
      </c>
      <c r="L707" s="48">
        <f>IFERROR(MINUS(DIVIDE(VLOOKUP($B707,Data!$B$3:$EZ1530,34,FALSE),VLOOKUP($B707,Data!$B$3:$EZ1530,35,FALSE)),1),"")</f>
        <v>0.07999003239</v>
      </c>
      <c r="M707" s="48">
        <f>IFERROR(MINUS(DIVIDE(VLOOKUP($B707,Data!$B$3:$EZ1530,39,FALSE),VLOOKUP($B707,Data!$B$3:$EZ1530,40,FALSE)),1),"")</f>
        <v>0.1146035442</v>
      </c>
      <c r="N707" s="48">
        <f>IFERROR(MINUS(DIVIDE(VLOOKUP($B707,Data!$B$3:$EZ1530,44,FALSE),VLOOKUP($B707,Data!$B$3:$EZ1530,45,FALSE)),1),"")</f>
        <v>-0.04511653026</v>
      </c>
      <c r="O707" s="50">
        <f>IFERROR(VLOOKUP($B707,Data!$B$3:$D1530,2,FALSE),"")</f>
        <v>368970</v>
      </c>
      <c r="P707" s="50">
        <f>IFERROR(VLOOKUP($B707,Data!$B$3:$D1530,3,FALSE),"")</f>
        <v>312980</v>
      </c>
      <c r="Q707" s="48">
        <f t="shared" si="2"/>
        <v>0.17889322</v>
      </c>
      <c r="R707" s="48"/>
      <c r="S707" s="48"/>
      <c r="T707" s="48"/>
      <c r="U707" s="48"/>
      <c r="V707" s="48"/>
      <c r="W707" s="50"/>
      <c r="Z707" s="15"/>
      <c r="AA707" s="15"/>
    </row>
    <row r="708">
      <c r="A708" s="9">
        <f t="shared" si="1"/>
        <v>705</v>
      </c>
      <c r="B708" s="47" t="s">
        <v>842</v>
      </c>
      <c r="C708" s="48">
        <f>IFERROR(DIVIDE(VLOOKUP($B708,Data!$B$3:$AB$1535,9,FALSE),VLOOKUP($B708,Data!$B$3:$AB$1535,4,FALSE)),"")</f>
        <v>0.5601659751</v>
      </c>
      <c r="D708" s="48">
        <f>IFERROR(DIVIDE(VLOOKUP($B708,Data!$B$3:$AB$1535,24,FALSE),VLOOKUP($B708,Data!$B$3:$AB$1535,4,FALSE)),"")</f>
        <v>0.2259834025</v>
      </c>
      <c r="E708" s="48">
        <f>IFERROR(DIVIDE(VLOOKUP($B708,Data!$B$3:$EZ1530,29,FALSE),VLOOKUP($B708,Data!$B$3:$EZ1530,4,FALSE)),"")</f>
        <v>0.2166887967</v>
      </c>
      <c r="F708" s="48">
        <f>IFERROR(DIVIDE(VLOOKUP($B708,Data!$B$3:$EZ1530,34,FALSE),VLOOKUP($B708,Data!$B$3:$EZ1530,4,FALSE)),"")</f>
        <v>0.2619087137</v>
      </c>
      <c r="G708" s="48">
        <f>IFERROR(DIVIDE(VLOOKUP($B708,Data!$B$3:$EZ1530,39,FALSE),VLOOKUP($B708,Data!$B$3:$EZ1530,4,FALSE)),"")</f>
        <v>0.1774771784</v>
      </c>
      <c r="H708" s="48">
        <f>IFERROR(DIVIDE(VLOOKUP($B708,Data!$B$3:$EZ1530,44,FALSE),VLOOKUP($B708,Data!$B$3:$EZ1530,4,FALSE)),"")</f>
        <v>0.1905228216</v>
      </c>
      <c r="I708" s="48">
        <f>IFERROR(MINUS(DIVIDE(VLOOKUP($B708,Data!$B$3:$EZ1530,9,FALSE),VLOOKUP($B708,Data!$B$3:$EZ1530,10,FALSE)),1),"")</f>
        <v>0.08870967742</v>
      </c>
      <c r="J708" s="48">
        <f>IFERROR(MINUS(DIVIDE(VLOOKUP($B708,Data!$B$3:$EZ1530,24,FALSE),VLOOKUP($B708,Data!$B$3:$EZ1530,25,FALSE)),1),"")</f>
        <v>0.1062541894</v>
      </c>
      <c r="K708" s="48">
        <f>IFERROR(MINUS(DIVIDE(VLOOKUP($B708,Data!$B$3:$EZ1530,29,FALSE),VLOOKUP($B708,Data!$B$3:$EZ1530,30,FALSE)),1),"")</f>
        <v>0.1408659938</v>
      </c>
      <c r="L708" s="48">
        <f>IFERROR(MINUS(DIVIDE(VLOOKUP($B708,Data!$B$3:$EZ1530,34,FALSE),VLOOKUP($B708,Data!$B$3:$EZ1530,35,FALSE)),1),"")</f>
        <v>0.09181484813</v>
      </c>
      <c r="M708" s="48">
        <f>IFERROR(MINUS(DIVIDE(VLOOKUP($B708,Data!$B$3:$EZ1530,39,FALSE),VLOOKUP($B708,Data!$B$3:$EZ1530,40,FALSE)),1),"")</f>
        <v>0.1344455348</v>
      </c>
      <c r="N708" s="48">
        <f>IFERROR(MINUS(DIVIDE(VLOOKUP($B708,Data!$B$3:$EZ1530,44,FALSE),VLOOKUP($B708,Data!$B$3:$EZ1530,45,FALSE)),1),"")</f>
        <v>0.1476704659</v>
      </c>
      <c r="O708" s="50">
        <f>IFERROR(VLOOKUP($B708,Data!$B$3:$D1530,2,FALSE),"")</f>
        <v>2880000</v>
      </c>
      <c r="P708" s="50">
        <f>IFERROR(VLOOKUP($B708,Data!$B$3:$D1530,3,FALSE),"")</f>
        <v>2600000</v>
      </c>
      <c r="Q708" s="48">
        <f t="shared" si="2"/>
        <v>0.1076923077</v>
      </c>
      <c r="R708" s="48"/>
      <c r="S708" s="48"/>
      <c r="T708" s="48"/>
      <c r="U708" s="48"/>
      <c r="V708" s="48"/>
      <c r="W708" s="50"/>
      <c r="Z708" s="11"/>
      <c r="AA708" s="11"/>
    </row>
    <row r="709">
      <c r="A709" s="9">
        <f t="shared" si="1"/>
        <v>706</v>
      </c>
      <c r="B709" s="47" t="s">
        <v>843</v>
      </c>
      <c r="C709" s="48" t="str">
        <f>IFERROR(DIVIDE(VLOOKUP($B709,Data!$B$3:$AB$1535,9,FALSE),VLOOKUP($B709,Data!$B$3:$AB$1535,4,FALSE)),"")</f>
        <v/>
      </c>
      <c r="D709" s="48" t="str">
        <f>IFERROR(DIVIDE(VLOOKUP($B709,Data!$B$3:$AB$1535,24,FALSE),VLOOKUP($B709,Data!$B$3:$AB$1535,4,FALSE)),"")</f>
        <v/>
      </c>
      <c r="E709" s="48" t="str">
        <f>IFERROR(DIVIDE(VLOOKUP($B709,Data!$B$3:$EZ1530,29,FALSE),VLOOKUP($B709,Data!$B$3:$EZ1530,4,FALSE)),"")</f>
        <v/>
      </c>
      <c r="F709" s="48" t="str">
        <f>IFERROR(DIVIDE(VLOOKUP($B709,Data!$B$3:$EZ1530,34,FALSE),VLOOKUP($B709,Data!$B$3:$EZ1530,4,FALSE)),"")</f>
        <v/>
      </c>
      <c r="G709" s="48" t="str">
        <f>IFERROR(DIVIDE(VLOOKUP($B709,Data!$B$3:$EZ1530,39,FALSE),VLOOKUP($B709,Data!$B$3:$EZ1530,4,FALSE)),"")</f>
        <v/>
      </c>
      <c r="H709" s="48" t="str">
        <f>IFERROR(DIVIDE(VLOOKUP($B709,Data!$B$3:$EZ1530,44,FALSE),VLOOKUP($B709,Data!$B$3:$EZ1530,4,FALSE)),"")</f>
        <v/>
      </c>
      <c r="I709" s="48">
        <f>IFERROR(MINUS(DIVIDE(VLOOKUP($B709,Data!$B$3:$EZ1530,9,FALSE),VLOOKUP($B709,Data!$B$3:$EZ1530,10,FALSE)),1),"")</f>
        <v>0.4108352144</v>
      </c>
      <c r="J709" s="48" t="str">
        <f>IFERROR(MINUS(DIVIDE(VLOOKUP($B709,Data!$B$3:$EZ1530,24,FALSE),VLOOKUP($B709,Data!$B$3:$EZ1530,25,FALSE)),1),"")</f>
        <v/>
      </c>
      <c r="K709" s="48">
        <f>IFERROR(MINUS(DIVIDE(VLOOKUP($B709,Data!$B$3:$EZ1530,29,FALSE),VLOOKUP($B709,Data!$B$3:$EZ1530,30,FALSE)),1),"")</f>
        <v>0.222125182</v>
      </c>
      <c r="L709" s="48">
        <f>IFERROR(MINUS(DIVIDE(VLOOKUP($B709,Data!$B$3:$EZ1530,34,FALSE),VLOOKUP($B709,Data!$B$3:$EZ1530,35,FALSE)),1),"")</f>
        <v>0.2110892204</v>
      </c>
      <c r="M709" s="48">
        <f>IFERROR(MINUS(DIVIDE(VLOOKUP($B709,Data!$B$3:$EZ1530,39,FALSE),VLOOKUP($B709,Data!$B$3:$EZ1530,40,FALSE)),1),"")</f>
        <v>0.222125182</v>
      </c>
      <c r="N709" s="48">
        <f>IFERROR(MINUS(DIVIDE(VLOOKUP($B709,Data!$B$3:$EZ1530,44,FALSE),VLOOKUP($B709,Data!$B$3:$EZ1530,45,FALSE)),1),"")</f>
        <v>0.377986966</v>
      </c>
      <c r="O709" s="50">
        <f>IFERROR(VLOOKUP($B709,Data!$B$3:$D1530,2,FALSE),"")</f>
        <v>21430</v>
      </c>
      <c r="P709" s="50">
        <f>IFERROR(VLOOKUP($B709,Data!$B$3:$D1530,3,FALSE),"")</f>
        <v>61250</v>
      </c>
      <c r="Q709" s="48">
        <f t="shared" si="2"/>
        <v>-0.650122449</v>
      </c>
      <c r="R709" s="48"/>
      <c r="S709" s="48"/>
      <c r="T709" s="48"/>
      <c r="U709" s="48"/>
      <c r="V709" s="48"/>
      <c r="W709" s="50"/>
      <c r="Z709" s="11"/>
      <c r="AA709" s="11"/>
    </row>
    <row r="710">
      <c r="A710" s="9">
        <f t="shared" si="1"/>
        <v>707</v>
      </c>
      <c r="B710" s="47" t="s">
        <v>844</v>
      </c>
      <c r="C710" s="48">
        <f>IFERROR(DIVIDE(VLOOKUP($B710,Data!$B$3:$AB$1535,9,FALSE),VLOOKUP($B710,Data!$B$3:$AB$1535,4,FALSE)),"")</f>
        <v>0.1686111111</v>
      </c>
      <c r="D710" s="48">
        <f>IFERROR(DIVIDE(VLOOKUP($B710,Data!$B$3:$AB$1535,24,FALSE),VLOOKUP($B710,Data!$B$3:$AB$1535,4,FALSE)),"")</f>
        <v>0.0387962963</v>
      </c>
      <c r="E710" s="48">
        <f>IFERROR(DIVIDE(VLOOKUP($B710,Data!$B$3:$EZ1530,29,FALSE),VLOOKUP($B710,Data!$B$3:$EZ1530,4,FALSE)),"")</f>
        <v>0.03716666667</v>
      </c>
      <c r="F710" s="48">
        <f>IFERROR(DIVIDE(VLOOKUP($B710,Data!$B$3:$EZ1530,34,FALSE),VLOOKUP($B710,Data!$B$3:$EZ1530,4,FALSE)),"")</f>
        <v>0.04730555556</v>
      </c>
      <c r="G710" s="48">
        <f>IFERROR(DIVIDE(VLOOKUP($B710,Data!$B$3:$EZ1530,39,FALSE),VLOOKUP($B710,Data!$B$3:$EZ1530,4,FALSE)),"")</f>
        <v>0.03075</v>
      </c>
      <c r="H710" s="48">
        <f>IFERROR(DIVIDE(VLOOKUP($B710,Data!$B$3:$EZ1530,44,FALSE),VLOOKUP($B710,Data!$B$3:$EZ1530,4,FALSE)),"")</f>
        <v>0.03585185185</v>
      </c>
      <c r="I710" s="48">
        <f>IFERROR(MINUS(DIVIDE(VLOOKUP($B710,Data!$B$3:$EZ1530,9,FALSE),VLOOKUP($B710,Data!$B$3:$EZ1530,10,FALSE)),1),"")</f>
        <v>0.2143238197</v>
      </c>
      <c r="J710" s="48">
        <f>IFERROR(MINUS(DIVIDE(VLOOKUP($B710,Data!$B$3:$EZ1530,24,FALSE),VLOOKUP($B710,Data!$B$3:$EZ1530,25,FALSE)),1),"")</f>
        <v>0.6016819572</v>
      </c>
      <c r="K710" s="48">
        <f>IFERROR(MINUS(DIVIDE(VLOOKUP($B710,Data!$B$3:$EZ1530,29,FALSE),VLOOKUP($B710,Data!$B$3:$EZ1530,30,FALSE)),1),"")</f>
        <v>0.6484599589</v>
      </c>
      <c r="L710" s="48">
        <f>IFERROR(MINUS(DIVIDE(VLOOKUP($B710,Data!$B$3:$EZ1530,34,FALSE),VLOOKUP($B710,Data!$B$3:$EZ1530,35,FALSE)),1),"")</f>
        <v>0.4638968481</v>
      </c>
      <c r="M710" s="48">
        <f>IFERROR(MINUS(DIVIDE(VLOOKUP($B710,Data!$B$3:$EZ1530,39,FALSE),VLOOKUP($B710,Data!$B$3:$EZ1530,40,FALSE)),1),"")</f>
        <v>-3.345338983</v>
      </c>
      <c r="N710" s="48">
        <f>IFERROR(MINUS(DIVIDE(VLOOKUP($B710,Data!$B$3:$EZ1530,44,FALSE),VLOOKUP($B710,Data!$B$3:$EZ1530,45,FALSE)),1),"")</f>
        <v>2.168576105</v>
      </c>
      <c r="O710" s="50">
        <f>IFERROR(VLOOKUP($B710,Data!$B$3:$D1530,2,FALSE),"")</f>
        <v>511210</v>
      </c>
      <c r="P710" s="50" t="str">
        <f>IFERROR(VLOOKUP($B710,Data!$B$3:$D1530,3,FALSE),"")</f>
        <v/>
      </c>
      <c r="Q710" s="48" t="str">
        <f t="shared" si="2"/>
        <v/>
      </c>
      <c r="R710" s="48"/>
      <c r="S710" s="48"/>
      <c r="T710" s="48"/>
      <c r="U710" s="48"/>
      <c r="V710" s="48"/>
      <c r="W710" s="50"/>
      <c r="Z710" s="11"/>
      <c r="AA710" s="11"/>
    </row>
    <row r="711">
      <c r="A711" s="9">
        <f t="shared" si="1"/>
        <v>708</v>
      </c>
      <c r="B711" s="47" t="s">
        <v>845</v>
      </c>
      <c r="C711" s="48">
        <f>IFERROR(DIVIDE(VLOOKUP($B711,Data!$B$3:$AB$1535,9,FALSE),VLOOKUP($B711,Data!$B$3:$AB$1535,4,FALSE)),"")</f>
        <v>0.373540856</v>
      </c>
      <c r="D711" s="48">
        <f>IFERROR(DIVIDE(VLOOKUP($B711,Data!$B$3:$AB$1535,24,FALSE),VLOOKUP($B711,Data!$B$3:$AB$1535,4,FALSE)),"")</f>
        <v>0.1281089494</v>
      </c>
      <c r="E711" s="48">
        <f>IFERROR(DIVIDE(VLOOKUP($B711,Data!$B$3:$EZ1530,29,FALSE),VLOOKUP($B711,Data!$B$3:$EZ1530,4,FALSE)),"")</f>
        <v>0.1084533074</v>
      </c>
      <c r="F711" s="48">
        <f>IFERROR(DIVIDE(VLOOKUP($B711,Data!$B$3:$EZ1530,34,FALSE),VLOOKUP($B711,Data!$B$3:$EZ1530,4,FALSE)),"")</f>
        <v>0.2159533074</v>
      </c>
      <c r="G711" s="48">
        <f>IFERROR(DIVIDE(VLOOKUP($B711,Data!$B$3:$EZ1530,39,FALSE),VLOOKUP($B711,Data!$B$3:$EZ1530,4,FALSE)),"")</f>
        <v>0.08808949416</v>
      </c>
      <c r="H711" s="48">
        <f>IFERROR(DIVIDE(VLOOKUP($B711,Data!$B$3:$EZ1530,44,FALSE),VLOOKUP($B711,Data!$B$3:$EZ1530,4,FALSE)),"")</f>
        <v>0.1359863813</v>
      </c>
      <c r="I711" s="48">
        <f>IFERROR(MINUS(DIVIDE(VLOOKUP($B711,Data!$B$3:$EZ1530,9,FALSE),VLOOKUP($B711,Data!$B$3:$EZ1530,10,FALSE)),1),"")</f>
        <v>0.1636363636</v>
      </c>
      <c r="J711" s="48">
        <f>IFERROR(MINUS(DIVIDE(VLOOKUP($B711,Data!$B$3:$EZ1530,24,FALSE),VLOOKUP($B711,Data!$B$3:$EZ1530,25,FALSE)),1),"")</f>
        <v>0.1518130455</v>
      </c>
      <c r="K711" s="48">
        <f>IFERROR(MINUS(DIVIDE(VLOOKUP($B711,Data!$B$3:$EZ1530,29,FALSE),VLOOKUP($B711,Data!$B$3:$EZ1530,30,FALSE)),1),"")</f>
        <v>0.2449749866</v>
      </c>
      <c r="L711" s="48">
        <f>IFERROR(MINUS(DIVIDE(VLOOKUP($B711,Data!$B$3:$EZ1530,34,FALSE),VLOOKUP($B711,Data!$B$3:$EZ1530,35,FALSE)),1),"")</f>
        <v>0.2703571878</v>
      </c>
      <c r="M711" s="48">
        <f>IFERROR(MINUS(DIVIDE(VLOOKUP($B711,Data!$B$3:$EZ1530,39,FALSE),VLOOKUP($B711,Data!$B$3:$EZ1530,40,FALSE)),1),"")</f>
        <v>0.3578647473</v>
      </c>
      <c r="N711" s="48">
        <f>IFERROR(MINUS(DIVIDE(VLOOKUP($B711,Data!$B$3:$EZ1530,44,FALSE),VLOOKUP($B711,Data!$B$3:$EZ1530,45,FALSE)),1),"")</f>
        <v>0.5973536268</v>
      </c>
      <c r="O711" s="50">
        <f>IFERROR(VLOOKUP($B711,Data!$B$3:$D1530,2,FALSE),"")</f>
        <v>5290000</v>
      </c>
      <c r="P711" s="50">
        <f>IFERROR(VLOOKUP($B711,Data!$B$3:$D1530,3,FALSE),"")</f>
        <v>5070000</v>
      </c>
      <c r="Q711" s="48">
        <f t="shared" si="2"/>
        <v>0.04339250493</v>
      </c>
      <c r="R711" s="48"/>
      <c r="S711" s="48"/>
      <c r="T711" s="48"/>
      <c r="U711" s="48"/>
      <c r="V711" s="48"/>
      <c r="W711" s="50"/>
      <c r="Z711" s="11"/>
      <c r="AA711" s="11"/>
    </row>
    <row r="712">
      <c r="A712" s="9">
        <f t="shared" si="1"/>
        <v>709</v>
      </c>
      <c r="B712" s="47" t="s">
        <v>846</v>
      </c>
      <c r="C712" s="48" t="str">
        <f>IFERROR(DIVIDE(VLOOKUP($B712,Data!$B$3:$AB$1535,9,FALSE),VLOOKUP($B712,Data!$B$3:$AB$1535,4,FALSE)),"")</f>
        <v/>
      </c>
      <c r="D712" s="48" t="str">
        <f>IFERROR(DIVIDE(VLOOKUP($B712,Data!$B$3:$AB$1535,24,FALSE),VLOOKUP($B712,Data!$B$3:$AB$1535,4,FALSE)),"")</f>
        <v/>
      </c>
      <c r="E712" s="48" t="str">
        <f>IFERROR(DIVIDE(VLOOKUP($B712,Data!$B$3:$EZ1530,29,FALSE),VLOOKUP($B712,Data!$B$3:$EZ1530,4,FALSE)),"")</f>
        <v/>
      </c>
      <c r="F712" s="48" t="str">
        <f>IFERROR(DIVIDE(VLOOKUP($B712,Data!$B$3:$EZ1530,34,FALSE),VLOOKUP($B712,Data!$B$3:$EZ1530,4,FALSE)),"")</f>
        <v/>
      </c>
      <c r="G712" s="48" t="str">
        <f>IFERROR(DIVIDE(VLOOKUP($B712,Data!$B$3:$EZ1530,39,FALSE),VLOOKUP($B712,Data!$B$3:$EZ1530,4,FALSE)),"")</f>
        <v/>
      </c>
      <c r="H712" s="48" t="str">
        <f>IFERROR(DIVIDE(VLOOKUP($B712,Data!$B$3:$EZ1530,44,FALSE),VLOOKUP($B712,Data!$B$3:$EZ1530,4,FALSE)),"")</f>
        <v/>
      </c>
      <c r="I712" s="48">
        <f>IFERROR(MINUS(DIVIDE(VLOOKUP($B712,Data!$B$3:$EZ1530,9,FALSE),VLOOKUP($B712,Data!$B$3:$EZ1530,10,FALSE)),1),"")</f>
        <v>2.619512195</v>
      </c>
      <c r="J712" s="48" t="str">
        <f>IFERROR(MINUS(DIVIDE(VLOOKUP($B712,Data!$B$3:$EZ1530,24,FALSE),VLOOKUP($B712,Data!$B$3:$EZ1530,25,FALSE)),1),"")</f>
        <v/>
      </c>
      <c r="K712" s="48">
        <f>IFERROR(MINUS(DIVIDE(VLOOKUP($B712,Data!$B$3:$EZ1530,29,FALSE),VLOOKUP($B712,Data!$B$3:$EZ1530,30,FALSE)),1),"")</f>
        <v>0.694910435</v>
      </c>
      <c r="L712" s="48">
        <f>IFERROR(MINUS(DIVIDE(VLOOKUP($B712,Data!$B$3:$EZ1530,34,FALSE),VLOOKUP($B712,Data!$B$3:$EZ1530,35,FALSE)),1),"")</f>
        <v>0.4219770322</v>
      </c>
      <c r="M712" s="48">
        <f>IFERROR(MINUS(DIVIDE(VLOOKUP($B712,Data!$B$3:$EZ1530,39,FALSE),VLOOKUP($B712,Data!$B$3:$EZ1530,40,FALSE)),1),"")</f>
        <v>0.694910435</v>
      </c>
      <c r="N712" s="48">
        <f>IFERROR(MINUS(DIVIDE(VLOOKUP($B712,Data!$B$3:$EZ1530,44,FALSE),VLOOKUP($B712,Data!$B$3:$EZ1530,45,FALSE)),1),"")</f>
        <v>0.7289953522</v>
      </c>
      <c r="O712" s="50">
        <f>IFERROR(VLOOKUP($B712,Data!$B$3:$D1530,2,FALSE),"")</f>
        <v>1700</v>
      </c>
      <c r="P712" s="50">
        <f>IFERROR(VLOOKUP($B712,Data!$B$3:$D1530,3,FALSE),"")</f>
        <v>1770</v>
      </c>
      <c r="Q712" s="48">
        <f t="shared" si="2"/>
        <v>-0.0395480226</v>
      </c>
      <c r="R712" s="48"/>
      <c r="S712" s="48"/>
      <c r="T712" s="48"/>
      <c r="U712" s="48"/>
      <c r="V712" s="48"/>
      <c r="W712" s="50"/>
      <c r="Z712" s="11"/>
      <c r="AA712" s="11"/>
    </row>
    <row r="713">
      <c r="A713" s="9">
        <f t="shared" si="1"/>
        <v>710</v>
      </c>
      <c r="B713" s="47" t="s">
        <v>847</v>
      </c>
      <c r="C713" s="48" t="str">
        <f>IFERROR(DIVIDE(VLOOKUP($B713,Data!$B$3:$AB$1535,9,FALSE),VLOOKUP($B713,Data!$B$3:$AB$1535,4,FALSE)),"")</f>
        <v/>
      </c>
      <c r="D713" s="48" t="str">
        <f>IFERROR(DIVIDE(VLOOKUP($B713,Data!$B$3:$AB$1535,24,FALSE),VLOOKUP($B713,Data!$B$3:$AB$1535,4,FALSE)),"")</f>
        <v/>
      </c>
      <c r="E713" s="48" t="str">
        <f>IFERROR(DIVIDE(VLOOKUP($B713,Data!$B$3:$EZ1530,29,FALSE),VLOOKUP($B713,Data!$B$3:$EZ1530,4,FALSE)),"")</f>
        <v/>
      </c>
      <c r="F713" s="48" t="str">
        <f>IFERROR(DIVIDE(VLOOKUP($B713,Data!$B$3:$EZ1530,34,FALSE),VLOOKUP($B713,Data!$B$3:$EZ1530,4,FALSE)),"")</f>
        <v/>
      </c>
      <c r="G713" s="48" t="str">
        <f>IFERROR(DIVIDE(VLOOKUP($B713,Data!$B$3:$EZ1530,39,FALSE),VLOOKUP($B713,Data!$B$3:$EZ1530,4,FALSE)),"")</f>
        <v/>
      </c>
      <c r="H713" s="48" t="str">
        <f>IFERROR(DIVIDE(VLOOKUP($B713,Data!$B$3:$EZ1530,44,FALSE),VLOOKUP($B713,Data!$B$3:$EZ1530,4,FALSE)),"")</f>
        <v/>
      </c>
      <c r="I713" s="48">
        <f>IFERROR(MINUS(DIVIDE(VLOOKUP($B713,Data!$B$3:$EZ1530,9,FALSE),VLOOKUP($B713,Data!$B$3:$EZ1530,10,FALSE)),1),"")</f>
        <v>7.381294964</v>
      </c>
      <c r="J713" s="48" t="str">
        <f>IFERROR(MINUS(DIVIDE(VLOOKUP($B713,Data!$B$3:$EZ1530,24,FALSE),VLOOKUP($B713,Data!$B$3:$EZ1530,25,FALSE)),1),"")</f>
        <v/>
      </c>
      <c r="K713" s="48">
        <f>IFERROR(MINUS(DIVIDE(VLOOKUP($B713,Data!$B$3:$EZ1530,29,FALSE),VLOOKUP($B713,Data!$B$3:$EZ1530,30,FALSE)),1),"")</f>
        <v>0.8991633642</v>
      </c>
      <c r="L713" s="48">
        <f>IFERROR(MINUS(DIVIDE(VLOOKUP($B713,Data!$B$3:$EZ1530,34,FALSE),VLOOKUP($B713,Data!$B$3:$EZ1530,35,FALSE)),1),"")</f>
        <v>0.8733896046</v>
      </c>
      <c r="M713" s="48">
        <f>IFERROR(MINUS(DIVIDE(VLOOKUP($B713,Data!$B$3:$EZ1530,39,FALSE),VLOOKUP($B713,Data!$B$3:$EZ1530,40,FALSE)),1),"")</f>
        <v>0.8991633642</v>
      </c>
      <c r="N713" s="48">
        <f>IFERROR(MINUS(DIVIDE(VLOOKUP($B713,Data!$B$3:$EZ1530,44,FALSE),VLOOKUP($B713,Data!$B$3:$EZ1530,45,FALSE)),1),"")</f>
        <v>1.188622754</v>
      </c>
      <c r="O713" s="50" t="str">
        <f>IFERROR(VLOOKUP($B713,Data!$B$3:$D1530,2,FALSE),"")</f>
        <v/>
      </c>
      <c r="P713" s="50" t="str">
        <f>IFERROR(VLOOKUP($B713,Data!$B$3:$D1530,3,FALSE),"")</f>
        <v/>
      </c>
      <c r="Q713" s="48" t="str">
        <f t="shared" si="2"/>
        <v/>
      </c>
      <c r="R713" s="48"/>
      <c r="S713" s="48"/>
      <c r="T713" s="48"/>
      <c r="U713" s="48"/>
      <c r="V713" s="48"/>
      <c r="W713" s="50"/>
      <c r="Z713" s="15"/>
      <c r="AA713" s="15"/>
    </row>
    <row r="714">
      <c r="A714" s="9">
        <f t="shared" si="1"/>
        <v>711</v>
      </c>
      <c r="B714" s="47" t="s">
        <v>848</v>
      </c>
      <c r="C714" s="48">
        <f>IFERROR(DIVIDE(VLOOKUP($B714,Data!$B$3:$AB$1535,9,FALSE),VLOOKUP($B714,Data!$B$3:$AB$1535,4,FALSE)),"")</f>
        <v>0.2435785124</v>
      </c>
      <c r="D714" s="48">
        <f>IFERROR(DIVIDE(VLOOKUP($B714,Data!$B$3:$AB$1535,24,FALSE),VLOOKUP($B714,Data!$B$3:$AB$1535,4,FALSE)),"")</f>
        <v>0.1399283747</v>
      </c>
      <c r="E714" s="48">
        <f>IFERROR(DIVIDE(VLOOKUP($B714,Data!$B$3:$EZ1530,29,FALSE),VLOOKUP($B714,Data!$B$3:$EZ1530,4,FALSE)),"")</f>
        <v>0.1176859504</v>
      </c>
      <c r="F714" s="48">
        <f>IFERROR(DIVIDE(VLOOKUP($B714,Data!$B$3:$EZ1530,34,FALSE),VLOOKUP($B714,Data!$B$3:$EZ1530,4,FALSE)),"")</f>
        <v>0.197369146</v>
      </c>
      <c r="G714" s="48">
        <f>IFERROR(DIVIDE(VLOOKUP($B714,Data!$B$3:$EZ1530,39,FALSE),VLOOKUP($B714,Data!$B$3:$EZ1530,4,FALSE)),"")</f>
        <v>0.08313774105</v>
      </c>
      <c r="H714" s="48">
        <f>IFERROR(DIVIDE(VLOOKUP($B714,Data!$B$3:$EZ1530,44,FALSE),VLOOKUP($B714,Data!$B$3:$EZ1530,4,FALSE)),"")</f>
        <v>0.1399283747</v>
      </c>
      <c r="I714" s="48">
        <f>IFERROR(MINUS(DIVIDE(VLOOKUP($B714,Data!$B$3:$EZ1530,9,FALSE),VLOOKUP($B714,Data!$B$3:$EZ1530,10,FALSE)),1),"")</f>
        <v>0.1981543715</v>
      </c>
      <c r="J714" s="48">
        <f>IFERROR(MINUS(DIVIDE(VLOOKUP($B714,Data!$B$3:$EZ1530,24,FALSE),VLOOKUP($B714,Data!$B$3:$EZ1530,25,FALSE)),1),"")</f>
        <v>-7.213333333</v>
      </c>
      <c r="K714" s="48">
        <f>IFERROR(MINUS(DIVIDE(VLOOKUP($B714,Data!$B$3:$EZ1530,29,FALSE),VLOOKUP($B714,Data!$B$3:$EZ1530,30,FALSE)),1),"")</f>
        <v>0.1793611794</v>
      </c>
      <c r="L714" s="48">
        <f>IFERROR(MINUS(DIVIDE(VLOOKUP($B714,Data!$B$3:$EZ1530,34,FALSE),VLOOKUP($B714,Data!$B$3:$EZ1530,35,FALSE)),1),"")</f>
        <v>0.212328883</v>
      </c>
      <c r="M714" s="48">
        <f>IFERROR(MINUS(DIVIDE(VLOOKUP($B714,Data!$B$3:$EZ1530,39,FALSE),VLOOKUP($B714,Data!$B$3:$EZ1530,40,FALSE)),1),"")</f>
        <v>0.1530144418</v>
      </c>
      <c r="N714" s="48">
        <f>IFERROR(MINUS(DIVIDE(VLOOKUP($B714,Data!$B$3:$EZ1530,44,FALSE),VLOOKUP($B714,Data!$B$3:$EZ1530,45,FALSE)),1),"")</f>
        <v>-0.07976882802</v>
      </c>
      <c r="O714" s="50" t="str">
        <f>IFERROR(VLOOKUP($B714,Data!$B$3:$D1530,2,FALSE),"")</f>
        <v/>
      </c>
      <c r="P714" s="50" t="str">
        <f>IFERROR(VLOOKUP($B714,Data!$B$3:$D1530,3,FALSE),"")</f>
        <v/>
      </c>
      <c r="Q714" s="48" t="str">
        <f t="shared" si="2"/>
        <v/>
      </c>
      <c r="R714" s="48"/>
      <c r="S714" s="48"/>
      <c r="T714" s="48"/>
      <c r="U714" s="48"/>
      <c r="V714" s="48"/>
      <c r="W714" s="50"/>
      <c r="Z714" s="11"/>
      <c r="AA714" s="11"/>
    </row>
    <row r="715">
      <c r="A715" s="9">
        <f t="shared" si="1"/>
        <v>712</v>
      </c>
      <c r="B715" s="47" t="s">
        <v>849</v>
      </c>
      <c r="C715" s="48">
        <f>IFERROR(DIVIDE(VLOOKUP($B715,Data!$B$3:$AB$1535,9,FALSE),VLOOKUP($B715,Data!$B$3:$AB$1535,4,FALSE)),"")</f>
        <v>0.06455860086</v>
      </c>
      <c r="D715" s="48">
        <f>IFERROR(DIVIDE(VLOOKUP($B715,Data!$B$3:$AB$1535,24,FALSE),VLOOKUP($B715,Data!$B$3:$AB$1535,4,FALSE)),"")</f>
        <v>0.0148339953</v>
      </c>
      <c r="E715" s="48">
        <f>IFERROR(DIVIDE(VLOOKUP($B715,Data!$B$3:$EZ1530,29,FALSE),VLOOKUP($B715,Data!$B$3:$EZ1530,4,FALSE)),"")</f>
        <v>0.01637005991</v>
      </c>
      <c r="F715" s="48">
        <f>IFERROR(DIVIDE(VLOOKUP($B715,Data!$B$3:$EZ1530,34,FALSE),VLOOKUP($B715,Data!$B$3:$EZ1530,4,FALSE)),"")</f>
        <v>0.04042044283</v>
      </c>
      <c r="G715" s="48">
        <f>IFERROR(DIVIDE(VLOOKUP($B715,Data!$B$3:$EZ1530,39,FALSE),VLOOKUP($B715,Data!$B$3:$EZ1530,4,FALSE)),"")</f>
        <v>0.01228851682</v>
      </c>
      <c r="H715" s="48">
        <f>IFERROR(DIVIDE(VLOOKUP($B715,Data!$B$3:$EZ1530,44,FALSE),VLOOKUP($B715,Data!$B$3:$EZ1530,4,FALSE)),"")</f>
        <v>0.01393430032</v>
      </c>
      <c r="I715" s="48">
        <f>IFERROR(MINUS(DIVIDE(VLOOKUP($B715,Data!$B$3:$EZ1530,9,FALSE),VLOOKUP($B715,Data!$B$3:$EZ1530,10,FALSE)),1),"")</f>
        <v>-0.5780263913</v>
      </c>
      <c r="J715" s="48">
        <f>IFERROR(MINUS(DIVIDE(VLOOKUP($B715,Data!$B$3:$EZ1530,24,FALSE),VLOOKUP($B715,Data!$B$3:$EZ1530,25,FALSE)),1),"")</f>
        <v>-0.8410533741</v>
      </c>
      <c r="K715" s="48">
        <f>IFERROR(MINUS(DIVIDE(VLOOKUP($B715,Data!$B$3:$EZ1530,29,FALSE),VLOOKUP($B715,Data!$B$3:$EZ1530,30,FALSE)),1),"")</f>
        <v>-0.8250058644</v>
      </c>
      <c r="L715" s="48">
        <f>IFERROR(MINUS(DIVIDE(VLOOKUP($B715,Data!$B$3:$EZ1530,34,FALSE),VLOOKUP($B715,Data!$B$3:$EZ1530,35,FALSE)),1),"")</f>
        <v>-0.6602102933</v>
      </c>
      <c r="M715" s="48">
        <f>IFERROR(MINUS(DIVIDE(VLOOKUP($B715,Data!$B$3:$EZ1530,39,FALSE),VLOOKUP($B715,Data!$B$3:$EZ1530,40,FALSE)),1),"")</f>
        <v>-0.8456024262</v>
      </c>
      <c r="N715" s="48">
        <f>IFERROR(MINUS(DIVIDE(VLOOKUP($B715,Data!$B$3:$EZ1530,44,FALSE),VLOOKUP($B715,Data!$B$3:$EZ1530,45,FALSE)),1),"")</f>
        <v>-0.8823420419</v>
      </c>
      <c r="O715" s="50">
        <f>IFERROR(VLOOKUP($B715,Data!$B$3:$D1530,2,FALSE),"")</f>
        <v>437660</v>
      </c>
      <c r="P715" s="50">
        <f>IFERROR(VLOOKUP($B715,Data!$B$3:$D1530,3,FALSE),"")</f>
        <v>448710</v>
      </c>
      <c r="Q715" s="48">
        <f t="shared" si="2"/>
        <v>-0.02462615052</v>
      </c>
      <c r="R715" s="48"/>
      <c r="S715" s="48"/>
      <c r="T715" s="48"/>
      <c r="U715" s="48"/>
      <c r="V715" s="48"/>
      <c r="W715" s="50"/>
      <c r="Z715" s="12"/>
      <c r="AA715" s="12"/>
    </row>
    <row r="716">
      <c r="A716" s="9">
        <f t="shared" si="1"/>
        <v>713</v>
      </c>
      <c r="B716" s="47" t="s">
        <v>850</v>
      </c>
      <c r="C716" s="48" t="str">
        <f>IFERROR(DIVIDE(VLOOKUP($B716,Data!$B$3:$AB$1535,9,FALSE),VLOOKUP($B716,Data!$B$3:$AB$1535,4,FALSE)),"")</f>
        <v/>
      </c>
      <c r="D716" s="48" t="str">
        <f>IFERROR(DIVIDE(VLOOKUP($B716,Data!$B$3:$AB$1535,24,FALSE),VLOOKUP($B716,Data!$B$3:$AB$1535,4,FALSE)),"")</f>
        <v/>
      </c>
      <c r="E716" s="48" t="str">
        <f>IFERROR(DIVIDE(VLOOKUP($B716,Data!$B$3:$EZ1530,29,FALSE),VLOOKUP($B716,Data!$B$3:$EZ1530,4,FALSE)),"")</f>
        <v/>
      </c>
      <c r="F716" s="48" t="str">
        <f>IFERROR(DIVIDE(VLOOKUP($B716,Data!$B$3:$EZ1530,34,FALSE),VLOOKUP($B716,Data!$B$3:$EZ1530,4,FALSE)),"")</f>
        <v/>
      </c>
      <c r="G716" s="48" t="str">
        <f>IFERROR(DIVIDE(VLOOKUP($B716,Data!$B$3:$EZ1530,39,FALSE),VLOOKUP($B716,Data!$B$3:$EZ1530,4,FALSE)),"")</f>
        <v/>
      </c>
      <c r="H716" s="48" t="str">
        <f>IFERROR(DIVIDE(VLOOKUP($B716,Data!$B$3:$EZ1530,44,FALSE),VLOOKUP($B716,Data!$B$3:$EZ1530,4,FALSE)),"")</f>
        <v/>
      </c>
      <c r="I716" s="48" t="str">
        <f>IFERROR(MINUS(DIVIDE(VLOOKUP($B716,Data!$B$3:$EZ1530,9,FALSE),VLOOKUP($B716,Data!$B$3:$EZ1530,10,FALSE)),1),"")</f>
        <v/>
      </c>
      <c r="J716" s="48" t="str">
        <f>IFERROR(MINUS(DIVIDE(VLOOKUP($B716,Data!$B$3:$EZ1530,24,FALSE),VLOOKUP($B716,Data!$B$3:$EZ1530,25,FALSE)),1),"")</f>
        <v/>
      </c>
      <c r="K716" s="48" t="str">
        <f>IFERROR(MINUS(DIVIDE(VLOOKUP($B716,Data!$B$3:$EZ1530,29,FALSE),VLOOKUP($B716,Data!$B$3:$EZ1530,30,FALSE)),1),"")</f>
        <v/>
      </c>
      <c r="L716" s="48" t="str">
        <f>IFERROR(MINUS(DIVIDE(VLOOKUP($B716,Data!$B$3:$EZ1530,34,FALSE),VLOOKUP($B716,Data!$B$3:$EZ1530,35,FALSE)),1),"")</f>
        <v/>
      </c>
      <c r="M716" s="48" t="str">
        <f>IFERROR(MINUS(DIVIDE(VLOOKUP($B716,Data!$B$3:$EZ1530,39,FALSE),VLOOKUP($B716,Data!$B$3:$EZ1530,40,FALSE)),1),"")</f>
        <v/>
      </c>
      <c r="N716" s="48" t="str">
        <f>IFERROR(MINUS(DIVIDE(VLOOKUP($B716,Data!$B$3:$EZ1530,44,FALSE),VLOOKUP($B716,Data!$B$3:$EZ1530,45,FALSE)),1),"")</f>
        <v/>
      </c>
      <c r="O716" s="50" t="str">
        <f>IFERROR(VLOOKUP($B716,Data!$B$3:$D1530,2,FALSE),"")</f>
        <v/>
      </c>
      <c r="P716" s="50" t="str">
        <f>IFERROR(VLOOKUP($B716,Data!$B$3:$D1530,3,FALSE),"")</f>
        <v/>
      </c>
      <c r="Q716" s="48" t="str">
        <f t="shared" si="2"/>
        <v/>
      </c>
      <c r="R716" s="48"/>
      <c r="S716" s="48"/>
      <c r="T716" s="48"/>
      <c r="U716" s="48"/>
      <c r="V716" s="48"/>
      <c r="W716" s="50"/>
      <c r="Z716" s="12"/>
      <c r="AA716" s="12"/>
    </row>
    <row r="717">
      <c r="A717" s="9">
        <f t="shared" si="1"/>
        <v>714</v>
      </c>
      <c r="B717" s="47" t="s">
        <v>851</v>
      </c>
      <c r="C717" s="48">
        <f>IFERROR(DIVIDE(VLOOKUP($B717,Data!$B$3:$AB$1535,9,FALSE),VLOOKUP($B717,Data!$B$3:$AB$1535,4,FALSE)),"")</f>
        <v>0.697740113</v>
      </c>
      <c r="D717" s="48">
        <f>IFERROR(DIVIDE(VLOOKUP($B717,Data!$B$3:$AB$1535,24,FALSE),VLOOKUP($B717,Data!$B$3:$AB$1535,4,FALSE)),"")</f>
        <v>0.3079096045</v>
      </c>
      <c r="E717" s="48">
        <f>IFERROR(DIVIDE(VLOOKUP($B717,Data!$B$3:$EZ1530,29,FALSE),VLOOKUP($B717,Data!$B$3:$EZ1530,4,FALSE)),"")</f>
        <v>0.3163841808</v>
      </c>
      <c r="F717" s="48">
        <f>IFERROR(DIVIDE(VLOOKUP($B717,Data!$B$3:$EZ1530,34,FALSE),VLOOKUP($B717,Data!$B$3:$EZ1530,4,FALSE)),"")</f>
        <v>0.3333333333</v>
      </c>
      <c r="G717" s="48">
        <f>IFERROR(DIVIDE(VLOOKUP($B717,Data!$B$3:$EZ1530,39,FALSE),VLOOKUP($B717,Data!$B$3:$EZ1530,4,FALSE)),"")</f>
        <v>0.2824858757</v>
      </c>
      <c r="H717" s="48">
        <f>IFERROR(DIVIDE(VLOOKUP($B717,Data!$B$3:$EZ1530,44,FALSE),VLOOKUP($B717,Data!$B$3:$EZ1530,4,FALSE)),"")</f>
        <v>0.2966101695</v>
      </c>
      <c r="I717" s="48">
        <f>IFERROR(MINUS(DIVIDE(VLOOKUP($B717,Data!$B$3:$EZ1530,9,FALSE),VLOOKUP($B717,Data!$B$3:$EZ1530,10,FALSE)),1),"")</f>
        <v>0.06008583691</v>
      </c>
      <c r="J717" s="48">
        <f>IFERROR(MINUS(DIVIDE(VLOOKUP($B717,Data!$B$3:$EZ1530,24,FALSE),VLOOKUP($B717,Data!$B$3:$EZ1530,25,FALSE)),1),"")</f>
        <v>0.2057522124</v>
      </c>
      <c r="K717" s="48">
        <f>IFERROR(MINUS(DIVIDE(VLOOKUP($B717,Data!$B$3:$EZ1530,29,FALSE),VLOOKUP($B717,Data!$B$3:$EZ1530,30,FALSE)),1),"")</f>
        <v>0.2527964206</v>
      </c>
      <c r="L717" s="48">
        <f>IFERROR(MINUS(DIVIDE(VLOOKUP($B717,Data!$B$3:$EZ1530,34,FALSE),VLOOKUP($B717,Data!$B$3:$EZ1530,35,FALSE)),1),"")</f>
        <v>0.1132075472</v>
      </c>
      <c r="M717" s="48">
        <f>IFERROR(MINUS(DIVIDE(VLOOKUP($B717,Data!$B$3:$EZ1530,39,FALSE),VLOOKUP($B717,Data!$B$3:$EZ1530,40,FALSE)),1),"")</f>
        <v>0.210653753</v>
      </c>
      <c r="N717" s="48">
        <f>IFERROR(MINUS(DIVIDE(VLOOKUP($B717,Data!$B$3:$EZ1530,44,FALSE),VLOOKUP($B717,Data!$B$3:$EZ1530,45,FALSE)),1),"")</f>
        <v>-0.07894736842</v>
      </c>
      <c r="O717" s="50">
        <f>IFERROR(VLOOKUP($B717,Data!$B$3:$D1530,2,FALSE),"")</f>
        <v>3930000</v>
      </c>
      <c r="P717" s="50">
        <f>IFERROR(VLOOKUP($B717,Data!$B$3:$D1530,3,FALSE),"")</f>
        <v>3080000</v>
      </c>
      <c r="Q717" s="48">
        <f t="shared" si="2"/>
        <v>0.275974026</v>
      </c>
      <c r="R717" s="48"/>
      <c r="S717" s="48"/>
      <c r="T717" s="48"/>
      <c r="U717" s="48"/>
      <c r="V717" s="48"/>
      <c r="W717" s="50"/>
      <c r="Z717" s="11"/>
      <c r="AA717" s="11"/>
    </row>
    <row r="718">
      <c r="A718" s="9">
        <f t="shared" si="1"/>
        <v>715</v>
      </c>
      <c r="B718" s="47" t="s">
        <v>852</v>
      </c>
      <c r="C718" s="48" t="str">
        <f>IFERROR(DIVIDE(VLOOKUP($B718,Data!$B$3:$AB$1535,9,FALSE),VLOOKUP($B718,Data!$B$3:$AB$1535,4,FALSE)),"")</f>
        <v/>
      </c>
      <c r="D718" s="48" t="str">
        <f>IFERROR(DIVIDE(VLOOKUP($B718,Data!$B$3:$AB$1535,24,FALSE),VLOOKUP($B718,Data!$B$3:$AB$1535,4,FALSE)),"")</f>
        <v/>
      </c>
      <c r="E718" s="48" t="str">
        <f>IFERROR(DIVIDE(VLOOKUP($B718,Data!$B$3:$EZ1530,29,FALSE),VLOOKUP($B718,Data!$B$3:$EZ1530,4,FALSE)),"")</f>
        <v/>
      </c>
      <c r="F718" s="48" t="str">
        <f>IFERROR(DIVIDE(VLOOKUP($B718,Data!$B$3:$EZ1530,34,FALSE),VLOOKUP($B718,Data!$B$3:$EZ1530,4,FALSE)),"")</f>
        <v/>
      </c>
      <c r="G718" s="48" t="str">
        <f>IFERROR(DIVIDE(VLOOKUP($B718,Data!$B$3:$EZ1530,39,FALSE),VLOOKUP($B718,Data!$B$3:$EZ1530,4,FALSE)),"")</f>
        <v/>
      </c>
      <c r="H718" s="48" t="str">
        <f>IFERROR(DIVIDE(VLOOKUP($B718,Data!$B$3:$EZ1530,44,FALSE),VLOOKUP($B718,Data!$B$3:$EZ1530,4,FALSE)),"")</f>
        <v/>
      </c>
      <c r="I718" s="48" t="str">
        <f>IFERROR(MINUS(DIVIDE(VLOOKUP($B718,Data!$B$3:$EZ1530,9,FALSE),VLOOKUP($B718,Data!$B$3:$EZ1530,10,FALSE)),1),"")</f>
        <v/>
      </c>
      <c r="J718" s="48" t="str">
        <f>IFERROR(MINUS(DIVIDE(VLOOKUP($B718,Data!$B$3:$EZ1530,24,FALSE),VLOOKUP($B718,Data!$B$3:$EZ1530,25,FALSE)),1),"")</f>
        <v/>
      </c>
      <c r="K718" s="48" t="str">
        <f>IFERROR(MINUS(DIVIDE(VLOOKUP($B718,Data!$B$3:$EZ1530,29,FALSE),VLOOKUP($B718,Data!$B$3:$EZ1530,30,FALSE)),1),"")</f>
        <v/>
      </c>
      <c r="L718" s="48" t="str">
        <f>IFERROR(MINUS(DIVIDE(VLOOKUP($B718,Data!$B$3:$EZ1530,34,FALSE),VLOOKUP($B718,Data!$B$3:$EZ1530,35,FALSE)),1),"")</f>
        <v/>
      </c>
      <c r="M718" s="48" t="str">
        <f>IFERROR(MINUS(DIVIDE(VLOOKUP($B718,Data!$B$3:$EZ1530,39,FALSE),VLOOKUP($B718,Data!$B$3:$EZ1530,40,FALSE)),1),"")</f>
        <v/>
      </c>
      <c r="N718" s="48" t="str">
        <f>IFERROR(MINUS(DIVIDE(VLOOKUP($B718,Data!$B$3:$EZ1530,44,FALSE),VLOOKUP($B718,Data!$B$3:$EZ1530,45,FALSE)),1),"")</f>
        <v/>
      </c>
      <c r="O718" s="50">
        <f>IFERROR(VLOOKUP($B718,Data!$B$3:$D1530,2,FALSE),"")</f>
        <v>51600</v>
      </c>
      <c r="P718" s="50">
        <f>IFERROR(VLOOKUP($B718,Data!$B$3:$D1530,3,FALSE),"")</f>
        <v>22590</v>
      </c>
      <c r="Q718" s="48">
        <f t="shared" si="2"/>
        <v>1.284196547</v>
      </c>
      <c r="R718" s="48"/>
      <c r="S718" s="48"/>
      <c r="T718" s="48"/>
      <c r="U718" s="48"/>
      <c r="V718" s="48"/>
      <c r="W718" s="50"/>
      <c r="Z718" s="12"/>
      <c r="AA718" s="12"/>
    </row>
    <row r="719">
      <c r="A719" s="9">
        <f t="shared" si="1"/>
        <v>716</v>
      </c>
      <c r="B719" s="47" t="s">
        <v>853</v>
      </c>
      <c r="C719" s="48">
        <f>IFERROR(DIVIDE(VLOOKUP($B719,Data!$B$3:$AB$1535,9,FALSE),VLOOKUP($B719,Data!$B$3:$AB$1535,4,FALSE)),"")</f>
        <v>0.5343476722</v>
      </c>
      <c r="D719" s="48">
        <f>IFERROR(DIVIDE(VLOOKUP($B719,Data!$B$3:$AB$1535,24,FALSE),VLOOKUP($B719,Data!$B$3:$AB$1535,4,FALSE)),"")</f>
        <v>0.1992114442</v>
      </c>
      <c r="E719" s="48">
        <f>IFERROR(DIVIDE(VLOOKUP($B719,Data!$B$3:$EZ1530,29,FALSE),VLOOKUP($B719,Data!$B$3:$EZ1530,4,FALSE)),"")</f>
        <v>0.1904160137</v>
      </c>
      <c r="F719" s="48">
        <f>IFERROR(DIVIDE(VLOOKUP($B719,Data!$B$3:$EZ1530,34,FALSE),VLOOKUP($B719,Data!$B$3:$EZ1530,4,FALSE)),"")</f>
        <v>0.3673861396</v>
      </c>
      <c r="G719" s="48">
        <f>IFERROR(DIVIDE(VLOOKUP($B719,Data!$B$3:$EZ1530,39,FALSE),VLOOKUP($B719,Data!$B$3:$EZ1530,4,FALSE)),"")</f>
        <v>0.1184602942</v>
      </c>
      <c r="H719" s="48">
        <f>IFERROR(DIVIDE(VLOOKUP($B719,Data!$B$3:$EZ1530,44,FALSE),VLOOKUP($B719,Data!$B$3:$EZ1530,4,FALSE)),"")</f>
        <v>0.2284284487</v>
      </c>
      <c r="I719" s="48">
        <f>IFERROR(MINUS(DIVIDE(VLOOKUP($B719,Data!$B$3:$EZ1530,9,FALSE),VLOOKUP($B719,Data!$B$3:$EZ1530,10,FALSE)),1),"")</f>
        <v>0.03749141231</v>
      </c>
      <c r="J719" s="48">
        <f>IFERROR(MINUS(DIVIDE(VLOOKUP($B719,Data!$B$3:$EZ1530,24,FALSE),VLOOKUP($B719,Data!$B$3:$EZ1530,25,FALSE)),1),"")</f>
        <v>0.6961480525</v>
      </c>
      <c r="K719" s="48">
        <f>IFERROR(MINUS(DIVIDE(VLOOKUP($B719,Data!$B$3:$EZ1530,29,FALSE),VLOOKUP($B719,Data!$B$3:$EZ1530,30,FALSE)),1),"")</f>
        <v>0.7275854162</v>
      </c>
      <c r="L719" s="48">
        <f>IFERROR(MINUS(DIVIDE(VLOOKUP($B719,Data!$B$3:$EZ1530,34,FALSE),VLOOKUP($B719,Data!$B$3:$EZ1530,35,FALSE)),1),"")</f>
        <v>0.143846396</v>
      </c>
      <c r="M719" s="48">
        <f>IFERROR(MINUS(DIVIDE(VLOOKUP($B719,Data!$B$3:$EZ1530,39,FALSE),VLOOKUP($B719,Data!$B$3:$EZ1530,40,FALSE)),1),"")</f>
        <v>1.052101576</v>
      </c>
      <c r="N719" s="48">
        <f>IFERROR(MINUS(DIVIDE(VLOOKUP($B719,Data!$B$3:$EZ1530,44,FALSE),VLOOKUP($B719,Data!$B$3:$EZ1530,45,FALSE)),1),"")</f>
        <v>-0.1781394926</v>
      </c>
      <c r="O719" s="50">
        <f>IFERROR(VLOOKUP($B719,Data!$B$3:$D1530,2,FALSE),"")</f>
        <v>359560</v>
      </c>
      <c r="P719" s="50">
        <f>IFERROR(VLOOKUP($B719,Data!$B$3:$D1530,3,FALSE),"")</f>
        <v>183960</v>
      </c>
      <c r="Q719" s="48">
        <f t="shared" si="2"/>
        <v>0.9545553381</v>
      </c>
      <c r="R719" s="48"/>
      <c r="S719" s="48"/>
      <c r="T719" s="48"/>
      <c r="U719" s="48"/>
      <c r="V719" s="48"/>
      <c r="W719" s="50"/>
      <c r="Z719" s="11"/>
      <c r="AA719" s="11"/>
    </row>
    <row r="720">
      <c r="A720" s="9">
        <f t="shared" si="1"/>
        <v>717</v>
      </c>
      <c r="B720" s="47" t="s">
        <v>854</v>
      </c>
      <c r="C720" s="48">
        <f>IFERROR(DIVIDE(VLOOKUP($B720,Data!$B$3:$AB$1535,9,FALSE),VLOOKUP($B720,Data!$B$3:$AB$1535,4,FALSE)),"")</f>
        <v>0</v>
      </c>
      <c r="D720" s="48">
        <f>IFERROR(DIVIDE(VLOOKUP($B720,Data!$B$3:$AB$1535,24,FALSE),VLOOKUP($B720,Data!$B$3:$AB$1535,4,FALSE)),"")</f>
        <v>-1.110246749</v>
      </c>
      <c r="E720" s="48">
        <f>IFERROR(DIVIDE(VLOOKUP($B720,Data!$B$3:$EZ1530,29,FALSE),VLOOKUP($B720,Data!$B$3:$EZ1530,4,FALSE)),"")</f>
        <v>-1.265710466</v>
      </c>
      <c r="F720" s="48">
        <f>IFERROR(DIVIDE(VLOOKUP($B720,Data!$B$3:$EZ1530,34,FALSE),VLOOKUP($B720,Data!$B$3:$EZ1530,4,FALSE)),"")</f>
        <v>-0.8108666586</v>
      </c>
      <c r="G720" s="48">
        <f>IFERROR(DIVIDE(VLOOKUP($B720,Data!$B$3:$EZ1530,39,FALSE),VLOOKUP($B720,Data!$B$3:$EZ1530,4,FALSE)),"")</f>
        <v>-1.265710466</v>
      </c>
      <c r="H720" s="48">
        <f>IFERROR(DIVIDE(VLOOKUP($B720,Data!$B$3:$EZ1530,44,FALSE),VLOOKUP($B720,Data!$B$3:$EZ1530,4,FALSE)),"")</f>
        <v>-1.043636806</v>
      </c>
      <c r="I720" s="48" t="str">
        <f>IFERROR(MINUS(DIVIDE(VLOOKUP($B720,Data!$B$3:$EZ1530,9,FALSE),VLOOKUP($B720,Data!$B$3:$EZ1530,10,FALSE)),1),"")</f>
        <v/>
      </c>
      <c r="J720" s="48">
        <f>IFERROR(MINUS(DIVIDE(VLOOKUP($B720,Data!$B$3:$EZ1530,24,FALSE),VLOOKUP($B720,Data!$B$3:$EZ1530,25,FALSE)),1),"")</f>
        <v>-0.4342520904</v>
      </c>
      <c r="K720" s="48">
        <f>IFERROR(MINUS(DIVIDE(VLOOKUP($B720,Data!$B$3:$EZ1530,29,FALSE),VLOOKUP($B720,Data!$B$3:$EZ1530,30,FALSE)),1),"")</f>
        <v>-0.3832622601</v>
      </c>
      <c r="L720" s="48">
        <f>IFERROR(MINUS(DIVIDE(VLOOKUP($B720,Data!$B$3:$EZ1530,34,FALSE),VLOOKUP($B720,Data!$B$3:$EZ1530,35,FALSE)),1),"")</f>
        <v>-0.5563019621</v>
      </c>
      <c r="M720" s="48">
        <f>IFERROR(MINUS(DIVIDE(VLOOKUP($B720,Data!$B$3:$EZ1530,39,FALSE),VLOOKUP($B720,Data!$B$3:$EZ1530,40,FALSE)),1),"")</f>
        <v>-0.3832622601</v>
      </c>
      <c r="N720" s="48">
        <f>IFERROR(MINUS(DIVIDE(VLOOKUP($B720,Data!$B$3:$EZ1530,44,FALSE),VLOOKUP($B720,Data!$B$3:$EZ1530,45,FALSE)),1),"")</f>
        <v>-0.4840764331</v>
      </c>
      <c r="O720" s="50">
        <f>IFERROR(VLOOKUP($B720,Data!$B$3:$D1530,2,FALSE),"")</f>
        <v>52240</v>
      </c>
      <c r="P720" s="50">
        <f>IFERROR(VLOOKUP($B720,Data!$B$3:$D1530,3,FALSE),"")</f>
        <v>62850</v>
      </c>
      <c r="Q720" s="48">
        <f t="shared" si="2"/>
        <v>-0.168814638</v>
      </c>
      <c r="R720" s="48"/>
      <c r="S720" s="48"/>
      <c r="T720" s="48"/>
      <c r="U720" s="48"/>
      <c r="V720" s="48"/>
      <c r="W720" s="50"/>
      <c r="Z720" s="11"/>
      <c r="AA720" s="11"/>
    </row>
    <row r="721">
      <c r="A721" s="9">
        <f t="shared" si="1"/>
        <v>718</v>
      </c>
      <c r="B721" s="47" t="s">
        <v>855</v>
      </c>
      <c r="C721" s="48">
        <f>IFERROR(DIVIDE(VLOOKUP($B721,Data!$B$3:$AB$1535,9,FALSE),VLOOKUP($B721,Data!$B$3:$AB$1535,4,FALSE)),"")</f>
        <v>0</v>
      </c>
      <c r="D721" s="48">
        <f>IFERROR(DIVIDE(VLOOKUP($B721,Data!$B$3:$AB$1535,24,FALSE),VLOOKUP($B721,Data!$B$3:$AB$1535,4,FALSE)),"")</f>
        <v>0</v>
      </c>
      <c r="E721" s="48">
        <f>IFERROR(DIVIDE(VLOOKUP($B721,Data!$B$3:$EZ1530,29,FALSE),VLOOKUP($B721,Data!$B$3:$EZ1530,4,FALSE)),"")</f>
        <v>-1211.254237</v>
      </c>
      <c r="F721" s="48">
        <f>IFERROR(DIVIDE(VLOOKUP($B721,Data!$B$3:$EZ1530,34,FALSE),VLOOKUP($B721,Data!$B$3:$EZ1530,4,FALSE)),"")</f>
        <v>-1087.288136</v>
      </c>
      <c r="G721" s="48">
        <f>IFERROR(DIVIDE(VLOOKUP($B721,Data!$B$3:$EZ1530,39,FALSE),VLOOKUP($B721,Data!$B$3:$EZ1530,4,FALSE)),"")</f>
        <v>-1210.813559</v>
      </c>
      <c r="H721" s="48">
        <f>IFERROR(DIVIDE(VLOOKUP($B721,Data!$B$3:$EZ1530,44,FALSE),VLOOKUP($B721,Data!$B$3:$EZ1530,4,FALSE)),"")</f>
        <v>-754.0338983</v>
      </c>
      <c r="I721" s="48">
        <f>IFERROR(MINUS(DIVIDE(VLOOKUP($B721,Data!$B$3:$EZ1530,9,FALSE),VLOOKUP($B721,Data!$B$3:$EZ1530,10,FALSE)),1),"")</f>
        <v>-1</v>
      </c>
      <c r="J721" s="48">
        <f>IFERROR(MINUS(DIVIDE(VLOOKUP($B721,Data!$B$3:$EZ1530,24,FALSE),VLOOKUP($B721,Data!$B$3:$EZ1530,25,FALSE)),1),"")</f>
        <v>-1</v>
      </c>
      <c r="K721" s="48">
        <f>IFERROR(MINUS(DIVIDE(VLOOKUP($B721,Data!$B$3:$EZ1530,29,FALSE),VLOOKUP($B721,Data!$B$3:$EZ1530,30,FALSE)),1),"")</f>
        <v>1.265103011</v>
      </c>
      <c r="L721" s="48">
        <f>IFERROR(MINUS(DIVIDE(VLOOKUP($B721,Data!$B$3:$EZ1530,34,FALSE),VLOOKUP($B721,Data!$B$3:$EZ1530,35,FALSE)),1),"")</f>
        <v>1.25182533</v>
      </c>
      <c r="M721" s="48">
        <f>IFERROR(MINUS(DIVIDE(VLOOKUP($B721,Data!$B$3:$EZ1530,39,FALSE),VLOOKUP($B721,Data!$B$3:$EZ1530,40,FALSE)),1),"")</f>
        <v>1.265427792</v>
      </c>
      <c r="N721" s="48">
        <f>IFERROR(MINUS(DIVIDE(VLOOKUP($B721,Data!$B$3:$EZ1530,44,FALSE),VLOOKUP($B721,Data!$B$3:$EZ1530,45,FALSE)),1),"")</f>
        <v>0.7024337976</v>
      </c>
      <c r="O721" s="50">
        <f>IFERROR(VLOOKUP($B721,Data!$B$3:$D1530,2,FALSE),"")</f>
        <v>311720</v>
      </c>
      <c r="P721" s="50">
        <f>IFERROR(VLOOKUP($B721,Data!$B$3:$D1530,3,FALSE),"")</f>
        <v>124680</v>
      </c>
      <c r="Q721" s="48">
        <f t="shared" si="2"/>
        <v>1.500160411</v>
      </c>
      <c r="R721" s="48"/>
      <c r="S721" s="48"/>
      <c r="T721" s="48"/>
      <c r="U721" s="48"/>
      <c r="V721" s="48"/>
      <c r="W721" s="50"/>
      <c r="Z721" s="15"/>
      <c r="AA721" s="15"/>
    </row>
    <row r="722">
      <c r="A722" s="9">
        <f t="shared" si="1"/>
        <v>719</v>
      </c>
      <c r="B722" s="47" t="s">
        <v>856</v>
      </c>
      <c r="C722" s="48">
        <f>IFERROR(DIVIDE(VLOOKUP($B722,Data!$B$3:$AB$1535,9,FALSE),VLOOKUP($B722,Data!$B$3:$AB$1535,4,FALSE)),"")</f>
        <v>0.9305555556</v>
      </c>
      <c r="D722" s="48">
        <f>IFERROR(DIVIDE(VLOOKUP($B722,Data!$B$3:$AB$1535,24,FALSE),VLOOKUP($B722,Data!$B$3:$AB$1535,4,FALSE)),"")</f>
        <v>0.2020648148</v>
      </c>
      <c r="E722" s="48">
        <f>IFERROR(DIVIDE(VLOOKUP($B722,Data!$B$3:$EZ1530,29,FALSE),VLOOKUP($B722,Data!$B$3:$EZ1530,4,FALSE)),"")</f>
        <v>0.2253657407</v>
      </c>
      <c r="F722" s="48">
        <f>IFERROR(DIVIDE(VLOOKUP($B722,Data!$B$3:$EZ1530,34,FALSE),VLOOKUP($B722,Data!$B$3:$EZ1530,4,FALSE)),"")</f>
        <v>0.2204722222</v>
      </c>
      <c r="G722" s="48">
        <f>IFERROR(DIVIDE(VLOOKUP($B722,Data!$B$3:$EZ1530,39,FALSE),VLOOKUP($B722,Data!$B$3:$EZ1530,4,FALSE)),"")</f>
        <v>0.2069027778</v>
      </c>
      <c r="H722" s="48">
        <f>IFERROR(DIVIDE(VLOOKUP($B722,Data!$B$3:$EZ1530,44,FALSE),VLOOKUP($B722,Data!$B$3:$EZ1530,4,FALSE)),"")</f>
        <v>0.3290092593</v>
      </c>
      <c r="I722" s="48">
        <f>IFERROR(MINUS(DIVIDE(VLOOKUP($B722,Data!$B$3:$EZ1530,9,FALSE),VLOOKUP($B722,Data!$B$3:$EZ1530,10,FALSE)),1),"")</f>
        <v>0.1485714286</v>
      </c>
      <c r="J722" s="48">
        <f>IFERROR(MINUS(DIVIDE(VLOOKUP($B722,Data!$B$3:$EZ1530,24,FALSE),VLOOKUP($B722,Data!$B$3:$EZ1530,25,FALSE)),1),"")</f>
        <v>4.126982262</v>
      </c>
      <c r="K722" s="48">
        <f>IFERROR(MINUS(DIVIDE(VLOOKUP($B722,Data!$B$3:$EZ1530,29,FALSE),VLOOKUP($B722,Data!$B$3:$EZ1530,30,FALSE)),1),"")</f>
        <v>3.2201127</v>
      </c>
      <c r="L722" s="48">
        <f>IFERROR(MINUS(DIVIDE(VLOOKUP($B722,Data!$B$3:$EZ1530,34,FALSE),VLOOKUP($B722,Data!$B$3:$EZ1530,35,FALSE)),1),"")</f>
        <v>1.263725816</v>
      </c>
      <c r="M722" s="48">
        <f>IFERROR(MINUS(DIVIDE(VLOOKUP($B722,Data!$B$3:$EZ1530,39,FALSE),VLOOKUP($B722,Data!$B$3:$EZ1530,40,FALSE)),1),"")</f>
        <v>3.081742625</v>
      </c>
      <c r="N722" s="48">
        <f>IFERROR(MINUS(DIVIDE(VLOOKUP($B722,Data!$B$3:$EZ1530,44,FALSE),VLOOKUP($B722,Data!$B$3:$EZ1530,45,FALSE)),1),"")</f>
        <v>1.113612706</v>
      </c>
      <c r="O722" s="50">
        <f>IFERROR(VLOOKUP($B722,Data!$B$3:$D1530,2,FALSE),"")</f>
        <v>2850000</v>
      </c>
      <c r="P722" s="50">
        <f>IFERROR(VLOOKUP($B722,Data!$B$3:$D1530,3,FALSE),"")</f>
        <v>2530000</v>
      </c>
      <c r="Q722" s="48">
        <f t="shared" si="2"/>
        <v>0.1264822134</v>
      </c>
      <c r="R722" s="48"/>
      <c r="S722" s="48"/>
      <c r="T722" s="48"/>
      <c r="U722" s="48"/>
      <c r="V722" s="48"/>
      <c r="W722" s="50"/>
      <c r="Z722" s="11"/>
      <c r="AA722" s="11"/>
    </row>
    <row r="723">
      <c r="A723" s="9">
        <f t="shared" si="1"/>
        <v>720</v>
      </c>
      <c r="B723" s="47" t="s">
        <v>857</v>
      </c>
      <c r="C723" s="48">
        <f>IFERROR(DIVIDE(VLOOKUP($B723,Data!$B$3:$AB$1535,9,FALSE),VLOOKUP($B723,Data!$B$3:$AB$1535,4,FALSE)),"")</f>
        <v>0.2125603865</v>
      </c>
      <c r="D723" s="48">
        <f>IFERROR(DIVIDE(VLOOKUP($B723,Data!$B$3:$AB$1535,24,FALSE),VLOOKUP($B723,Data!$B$3:$AB$1535,4,FALSE)),"")</f>
        <v>0.1093397746</v>
      </c>
      <c r="E723" s="48">
        <f>IFERROR(DIVIDE(VLOOKUP($B723,Data!$B$3:$EZ1530,29,FALSE),VLOOKUP($B723,Data!$B$3:$EZ1530,4,FALSE)),"")</f>
        <v>0.09371980676</v>
      </c>
      <c r="F723" s="48">
        <f>IFERROR(DIVIDE(VLOOKUP($B723,Data!$B$3:$EZ1530,34,FALSE),VLOOKUP($B723,Data!$B$3:$EZ1530,4,FALSE)),"")</f>
        <v>0.1544283414</v>
      </c>
      <c r="G723" s="48">
        <f>IFERROR(DIVIDE(VLOOKUP($B723,Data!$B$3:$EZ1530,39,FALSE),VLOOKUP($B723,Data!$B$3:$EZ1530,4,FALSE)),"")</f>
        <v>0.06650563607</v>
      </c>
      <c r="H723" s="48">
        <f>IFERROR(DIVIDE(VLOOKUP($B723,Data!$B$3:$EZ1530,44,FALSE),VLOOKUP($B723,Data!$B$3:$EZ1530,4,FALSE)),"")</f>
        <v>0.1095008052</v>
      </c>
      <c r="I723" s="48">
        <f>IFERROR(MINUS(DIVIDE(VLOOKUP($B723,Data!$B$3:$EZ1530,9,FALSE),VLOOKUP($B723,Data!$B$3:$EZ1530,10,FALSE)),1),"")</f>
        <v>-0.03649635036</v>
      </c>
      <c r="J723" s="48">
        <f>IFERROR(MINUS(DIVIDE(VLOOKUP($B723,Data!$B$3:$EZ1530,24,FALSE),VLOOKUP($B723,Data!$B$3:$EZ1530,25,FALSE)),1),"")</f>
        <v>-11.609375</v>
      </c>
      <c r="K723" s="48">
        <f>IFERROR(MINUS(DIVIDE(VLOOKUP($B723,Data!$B$3:$EZ1530,29,FALSE),VLOOKUP($B723,Data!$B$3:$EZ1530,30,FALSE)),1),"")</f>
        <v>-0.06280193237</v>
      </c>
      <c r="L723" s="48">
        <f>IFERROR(MINUS(DIVIDE(VLOOKUP($B723,Data!$B$3:$EZ1530,34,FALSE),VLOOKUP($B723,Data!$B$3:$EZ1530,35,FALSE)),1),"")</f>
        <v>-0.0504950495</v>
      </c>
      <c r="M723" s="48">
        <f>IFERROR(MINUS(DIVIDE(VLOOKUP($B723,Data!$B$3:$EZ1530,39,FALSE),VLOOKUP($B723,Data!$B$3:$EZ1530,40,FALSE)),1),"")</f>
        <v>-0.06772009029</v>
      </c>
      <c r="N723" s="48">
        <f>IFERROR(MINUS(DIVIDE(VLOOKUP($B723,Data!$B$3:$EZ1530,44,FALSE),VLOOKUP($B723,Data!$B$3:$EZ1530,45,FALSE)),1),"")</f>
        <v>-0.03271692745</v>
      </c>
      <c r="O723" s="50">
        <f>IFERROR(VLOOKUP($B723,Data!$B$3:$D1530,2,FALSE),"")</f>
        <v>6120000</v>
      </c>
      <c r="P723" s="50">
        <f>IFERROR(VLOOKUP($B723,Data!$B$3:$D1530,3,FALSE),"")</f>
        <v>5920000</v>
      </c>
      <c r="Q723" s="48">
        <f t="shared" si="2"/>
        <v>0.03378378378</v>
      </c>
      <c r="R723" s="48"/>
      <c r="S723" s="48"/>
      <c r="T723" s="48"/>
      <c r="U723" s="48"/>
      <c r="V723" s="48"/>
      <c r="W723" s="50"/>
      <c r="Z723" s="11"/>
      <c r="AA723" s="11"/>
    </row>
    <row r="724">
      <c r="A724" s="9">
        <f t="shared" si="1"/>
        <v>721</v>
      </c>
      <c r="B724" s="55" t="s">
        <v>858</v>
      </c>
      <c r="C724" s="48">
        <f>IFERROR(DIVIDE(VLOOKUP($B724,Data!$B$3:$AB$1535,9,FALSE),VLOOKUP($B724,Data!$B$3:$AB$1535,4,FALSE)),"")</f>
        <v>0.4908735332</v>
      </c>
      <c r="D724" s="48">
        <f>IFERROR(DIVIDE(VLOOKUP($B724,Data!$B$3:$AB$1535,24,FALSE),VLOOKUP($B724,Data!$B$3:$AB$1535,4,FALSE)),"")</f>
        <v>-0.0593220339</v>
      </c>
      <c r="E724" s="48">
        <f>IFERROR(DIVIDE(VLOOKUP($B724,Data!$B$3:$EZ1530,29,FALSE),VLOOKUP($B724,Data!$B$3:$EZ1530,4,FALSE)),"")</f>
        <v>-0.240547588</v>
      </c>
      <c r="F724" s="48">
        <f>IFERROR(DIVIDE(VLOOKUP($B724,Data!$B$3:$EZ1530,34,FALSE),VLOOKUP($B724,Data!$B$3:$EZ1530,4,FALSE)),"")</f>
        <v>0.239243807</v>
      </c>
      <c r="G724" s="48">
        <f>IFERROR(DIVIDE(VLOOKUP($B724,Data!$B$3:$EZ1530,39,FALSE),VLOOKUP($B724,Data!$B$3:$EZ1530,4,FALSE)),"")</f>
        <v>-0.2411994785</v>
      </c>
      <c r="H724" s="48">
        <f>IFERROR(DIVIDE(VLOOKUP($B724,Data!$B$3:$EZ1530,44,FALSE),VLOOKUP($B724,Data!$B$3:$EZ1530,4,FALSE)),"")</f>
        <v>0.2086049544</v>
      </c>
      <c r="I724" s="48">
        <f>IFERROR(MINUS(DIVIDE(VLOOKUP($B724,Data!$B$3:$EZ1530,9,FALSE),VLOOKUP($B724,Data!$B$3:$EZ1530,10,FALSE)),1),"")</f>
        <v>0.09495419514</v>
      </c>
      <c r="J724" s="48">
        <f>IFERROR(MINUS(DIVIDE(VLOOKUP($B724,Data!$B$3:$EZ1530,24,FALSE),VLOOKUP($B724,Data!$B$3:$EZ1530,25,FALSE)),1),"")</f>
        <v>1.214111922</v>
      </c>
      <c r="K724" s="48">
        <f>IFERROR(MINUS(DIVIDE(VLOOKUP($B724,Data!$B$3:$EZ1530,29,FALSE),VLOOKUP($B724,Data!$B$3:$EZ1530,30,FALSE)),1),"")</f>
        <v>0.8079372856</v>
      </c>
      <c r="L724" s="48">
        <f>IFERROR(MINUS(DIVIDE(VLOOKUP($B724,Data!$B$3:$EZ1530,34,FALSE),VLOOKUP($B724,Data!$B$3:$EZ1530,35,FALSE)),1),"")</f>
        <v>-0.1477008825</v>
      </c>
      <c r="M724" s="48">
        <f>IFERROR(MINUS(DIVIDE(VLOOKUP($B724,Data!$B$3:$EZ1530,39,FALSE),VLOOKUP($B724,Data!$B$3:$EZ1530,40,FALSE)),1),"")</f>
        <v>0.7961165049</v>
      </c>
      <c r="N724" s="48">
        <f>IFERROR(MINUS(DIVIDE(VLOOKUP($B724,Data!$B$3:$EZ1530,44,FALSE),VLOOKUP($B724,Data!$B$3:$EZ1530,45,FALSE)),1),"")</f>
        <v>-0.06487434249</v>
      </c>
      <c r="O724" s="50">
        <f>IFERROR(VLOOKUP($B724,Data!$B$3:$D1530,2,FALSE),"")</f>
        <v>231890</v>
      </c>
      <c r="P724" s="50">
        <f>IFERROR(VLOOKUP($B724,Data!$B$3:$D1530,3,FALSE),"")</f>
        <v>153350</v>
      </c>
      <c r="Q724" s="48">
        <f t="shared" si="2"/>
        <v>0.5121617216</v>
      </c>
      <c r="R724" s="48"/>
      <c r="S724" s="48"/>
      <c r="T724" s="48"/>
      <c r="U724" s="48"/>
      <c r="V724" s="48"/>
      <c r="W724" s="50"/>
      <c r="Z724" s="11"/>
      <c r="AA724" s="11"/>
    </row>
    <row r="725">
      <c r="A725" s="9">
        <f t="shared" si="1"/>
        <v>722</v>
      </c>
      <c r="B725" s="47" t="s">
        <v>859</v>
      </c>
      <c r="C725" s="48">
        <f>IFERROR(DIVIDE(VLOOKUP($B725,Data!$B$3:$AB$1535,9,FALSE),VLOOKUP($B725,Data!$B$3:$AB$1535,4,FALSE)),"")</f>
        <v>0.7859602843</v>
      </c>
      <c r="D725" s="48">
        <f>IFERROR(DIVIDE(VLOOKUP($B725,Data!$B$3:$AB$1535,24,FALSE),VLOOKUP($B725,Data!$B$3:$AB$1535,4,FALSE)),"")</f>
        <v>0</v>
      </c>
      <c r="E725" s="48">
        <f>IFERROR(DIVIDE(VLOOKUP($B725,Data!$B$3:$EZ1530,29,FALSE),VLOOKUP($B725,Data!$B$3:$EZ1530,4,FALSE)),"")</f>
        <v>-1.857990767</v>
      </c>
      <c r="F725" s="48">
        <f>IFERROR(DIVIDE(VLOOKUP($B725,Data!$B$3:$EZ1530,34,FALSE),VLOOKUP($B725,Data!$B$3:$EZ1530,4,FALSE)),"")</f>
        <v>-1.64915366</v>
      </c>
      <c r="G725" s="48">
        <f>IFERROR(DIVIDE(VLOOKUP($B725,Data!$B$3:$EZ1530,39,FALSE),VLOOKUP($B725,Data!$B$3:$EZ1530,4,FALSE)),"")</f>
        <v>-1.863706309</v>
      </c>
      <c r="H725" s="48">
        <f>IFERROR(DIVIDE(VLOOKUP($B725,Data!$B$3:$EZ1530,44,FALSE),VLOOKUP($B725,Data!$B$3:$EZ1530,4,FALSE)),"")</f>
        <v>-1.836667399</v>
      </c>
      <c r="I725" s="48">
        <f>IFERROR(MINUS(DIVIDE(VLOOKUP($B725,Data!$B$3:$EZ1530,9,FALSE),VLOOKUP($B725,Data!$B$3:$EZ1530,10,FALSE)),1),"")</f>
        <v>40.41312741</v>
      </c>
      <c r="J725" s="48">
        <f>IFERROR(MINUS(DIVIDE(VLOOKUP($B725,Data!$B$3:$EZ1530,24,FALSE),VLOOKUP($B725,Data!$B$3:$EZ1530,25,FALSE)),1),"")</f>
        <v>-1</v>
      </c>
      <c r="K725" s="48">
        <f>IFERROR(MINUS(DIVIDE(VLOOKUP($B725,Data!$B$3:$EZ1530,29,FALSE),VLOOKUP($B725,Data!$B$3:$EZ1530,30,FALSE)),1),"")</f>
        <v>-0.2176005924</v>
      </c>
      <c r="L725" s="48">
        <f>IFERROR(MINUS(DIVIDE(VLOOKUP($B725,Data!$B$3:$EZ1530,34,FALSE),VLOOKUP($B725,Data!$B$3:$EZ1530,35,FALSE)),1),"")</f>
        <v>-0.2560245942</v>
      </c>
      <c r="M725" s="48">
        <f>IFERROR(MINUS(DIVIDE(VLOOKUP($B725,Data!$B$3:$EZ1530,39,FALSE),VLOOKUP($B725,Data!$B$3:$EZ1530,40,FALSE)),1),"")</f>
        <v>-0.2156778093</v>
      </c>
      <c r="N725" s="48">
        <f>IFERROR(MINUS(DIVIDE(VLOOKUP($B725,Data!$B$3:$EZ1530,44,FALSE),VLOOKUP($B725,Data!$B$3:$EZ1530,45,FALSE)),1),"")</f>
        <v>-0.02841305528</v>
      </c>
      <c r="O725" s="50">
        <f>IFERROR(VLOOKUP($B725,Data!$B$3:$D1530,2,FALSE),"")</f>
        <v>289730</v>
      </c>
      <c r="P725" s="50">
        <f>IFERROR(VLOOKUP($B725,Data!$B$3:$D1530,3,FALSE),"")</f>
        <v>173510</v>
      </c>
      <c r="Q725" s="48">
        <f t="shared" si="2"/>
        <v>0.6698173016</v>
      </c>
      <c r="R725" s="48"/>
      <c r="S725" s="48"/>
      <c r="T725" s="48"/>
      <c r="U725" s="48"/>
      <c r="V725" s="48"/>
      <c r="W725" s="50"/>
      <c r="Z725" s="15"/>
      <c r="AA725" s="15"/>
    </row>
    <row r="726">
      <c r="A726" s="9">
        <f t="shared" si="1"/>
        <v>723</v>
      </c>
      <c r="B726" s="47" t="s">
        <v>860</v>
      </c>
      <c r="C726" s="48">
        <f>IFERROR(DIVIDE(VLOOKUP($B726,Data!$B$3:$AB$1535,9,FALSE),VLOOKUP($B726,Data!$B$3:$AB$1535,4,FALSE)),"")</f>
        <v>0.2281664755</v>
      </c>
      <c r="D726" s="48">
        <f>IFERROR(DIVIDE(VLOOKUP($B726,Data!$B$3:$AB$1535,24,FALSE),VLOOKUP($B726,Data!$B$3:$AB$1535,4,FALSE)),"")</f>
        <v>0.1545141734</v>
      </c>
      <c r="E726" s="48">
        <f>IFERROR(DIVIDE(VLOOKUP($B726,Data!$B$3:$EZ1530,29,FALSE),VLOOKUP($B726,Data!$B$3:$EZ1530,4,FALSE)),"")</f>
        <v>-0.002263913922</v>
      </c>
      <c r="F726" s="48">
        <f>IFERROR(DIVIDE(VLOOKUP($B726,Data!$B$3:$EZ1530,34,FALSE),VLOOKUP($B726,Data!$B$3:$EZ1530,4,FALSE)),"")</f>
        <v>0.3581844994</v>
      </c>
      <c r="G726" s="48">
        <f>IFERROR(DIVIDE(VLOOKUP($B726,Data!$B$3:$EZ1530,39,FALSE),VLOOKUP($B726,Data!$B$3:$EZ1530,4,FALSE)),"")</f>
        <v>-0.002266644819</v>
      </c>
      <c r="H726" s="48">
        <f>IFERROR(DIVIDE(VLOOKUP($B726,Data!$B$3:$EZ1530,44,FALSE),VLOOKUP($B726,Data!$B$3:$EZ1530,4,FALSE)),"")</f>
        <v>0.2389262112</v>
      </c>
      <c r="I726" s="48">
        <f>IFERROR(MINUS(DIVIDE(VLOOKUP($B726,Data!$B$3:$EZ1530,9,FALSE),VLOOKUP($B726,Data!$B$3:$EZ1530,10,FALSE)),1),"")</f>
        <v>-10.04220779</v>
      </c>
      <c r="J726" s="48">
        <f>IFERROR(MINUS(DIVIDE(VLOOKUP($B726,Data!$B$3:$EZ1530,24,FALSE),VLOOKUP($B726,Data!$B$3:$EZ1530,25,FALSE)),1),"")</f>
        <v>-2.46770428</v>
      </c>
      <c r="K726" s="48">
        <f>IFERROR(MINUS(DIVIDE(VLOOKUP($B726,Data!$B$3:$EZ1530,29,FALSE),VLOOKUP($B726,Data!$B$3:$EZ1530,30,FALSE)),1),"")</f>
        <v>-0.9906906232</v>
      </c>
      <c r="L726" s="48">
        <f>IFERROR(MINUS(DIVIDE(VLOOKUP($B726,Data!$B$3:$EZ1530,34,FALSE),VLOOKUP($B726,Data!$B$3:$EZ1530,35,FALSE)),1),"")</f>
        <v>2.37345679</v>
      </c>
      <c r="M726" s="48">
        <f>IFERROR(MINUS(DIVIDE(VLOOKUP($B726,Data!$B$3:$EZ1530,39,FALSE),VLOOKUP($B726,Data!$B$3:$EZ1530,40,FALSE)),1),"")</f>
        <v>-0.990667866</v>
      </c>
      <c r="N726" s="48">
        <f>IFERROR(MINUS(DIVIDE(VLOOKUP($B726,Data!$B$3:$EZ1530,44,FALSE),VLOOKUP($B726,Data!$B$3:$EZ1530,45,FALSE)),1),"")</f>
        <v>-8.010416667</v>
      </c>
      <c r="O726" s="50">
        <f>IFERROR(VLOOKUP($B726,Data!$B$3:$D1530,2,FALSE),"")</f>
        <v>382470</v>
      </c>
      <c r="P726" s="50">
        <f>IFERROR(VLOOKUP($B726,Data!$B$3:$D1530,3,FALSE),"")</f>
        <v>438440</v>
      </c>
      <c r="Q726" s="48">
        <f t="shared" si="2"/>
        <v>-0.1276571481</v>
      </c>
      <c r="R726" s="48"/>
      <c r="S726" s="48"/>
      <c r="T726" s="48"/>
      <c r="U726" s="48"/>
      <c r="V726" s="48"/>
      <c r="W726" s="50"/>
      <c r="Z726" s="36"/>
      <c r="AA726" s="36"/>
    </row>
    <row r="727">
      <c r="A727" s="9">
        <f t="shared" si="1"/>
        <v>724</v>
      </c>
      <c r="B727" s="47" t="s">
        <v>861</v>
      </c>
      <c r="C727" s="48">
        <f>IFERROR(DIVIDE(VLOOKUP($B727,Data!$B$3:$AB$1535,9,FALSE),VLOOKUP($B727,Data!$B$3:$AB$1535,4,FALSE)),"")</f>
        <v>0.5827428095</v>
      </c>
      <c r="D727" s="48">
        <f>IFERROR(DIVIDE(VLOOKUP($B727,Data!$B$3:$AB$1535,24,FALSE),VLOOKUP($B727,Data!$B$3:$AB$1535,4,FALSE)),"")</f>
        <v>0.3148534111</v>
      </c>
      <c r="E727" s="48">
        <f>IFERROR(DIVIDE(VLOOKUP($B727,Data!$B$3:$EZ1530,29,FALSE),VLOOKUP($B727,Data!$B$3:$EZ1530,4,FALSE)),"")</f>
        <v>0.3343059608</v>
      </c>
      <c r="F727" s="48">
        <f>IFERROR(DIVIDE(VLOOKUP($B727,Data!$B$3:$EZ1530,34,FALSE),VLOOKUP($B727,Data!$B$3:$EZ1530,4,FALSE)),"")</f>
        <v>0.4619980547</v>
      </c>
      <c r="G727" s="48">
        <f>IFERROR(DIVIDE(VLOOKUP($B727,Data!$B$3:$EZ1530,39,FALSE),VLOOKUP($B727,Data!$B$3:$EZ1530,4,FALSE)),"")</f>
        <v>0.292482979</v>
      </c>
      <c r="H727" s="48">
        <f>IFERROR(DIVIDE(VLOOKUP($B727,Data!$B$3:$EZ1530,44,FALSE),VLOOKUP($B727,Data!$B$3:$EZ1530,4,FALSE)),"")</f>
        <v>0.4606085869</v>
      </c>
      <c r="I727" s="48">
        <f>IFERROR(MINUS(DIVIDE(VLOOKUP($B727,Data!$B$3:$EZ1530,9,FALSE),VLOOKUP($B727,Data!$B$3:$EZ1530,10,FALSE)),1),"")</f>
        <v>-0.03696900115</v>
      </c>
      <c r="J727" s="48">
        <f>IFERROR(MINUS(DIVIDE(VLOOKUP($B727,Data!$B$3:$EZ1530,24,FALSE),VLOOKUP($B727,Data!$B$3:$EZ1530,25,FALSE)),1),"")</f>
        <v>-0.01649305556</v>
      </c>
      <c r="K727" s="48">
        <f>IFERROR(MINUS(DIVIDE(VLOOKUP($B727,Data!$B$3:$EZ1530,29,FALSE),VLOOKUP($B727,Data!$B$3:$EZ1530,30,FALSE)),1),"")</f>
        <v>0.03173241852</v>
      </c>
      <c r="L727" s="48">
        <f>IFERROR(MINUS(DIVIDE(VLOOKUP($B727,Data!$B$3:$EZ1530,34,FALSE),VLOOKUP($B727,Data!$B$3:$EZ1530,35,FALSE)),1),"")</f>
        <v>0.03004956629</v>
      </c>
      <c r="M727" s="48">
        <f>IFERROR(MINUS(DIVIDE(VLOOKUP($B727,Data!$B$3:$EZ1530,39,FALSE),VLOOKUP($B727,Data!$B$3:$EZ1530,40,FALSE)),1),"")</f>
        <v>0</v>
      </c>
      <c r="N727" s="48">
        <f>IFERROR(MINUS(DIVIDE(VLOOKUP($B727,Data!$B$3:$EZ1530,44,FALSE),VLOOKUP($B727,Data!$B$3:$EZ1530,45,FALSE)),1),"")</f>
        <v>0.126401631</v>
      </c>
      <c r="O727" s="50">
        <f>IFERROR(VLOOKUP($B727,Data!$B$3:$D1530,2,FALSE),"")</f>
        <v>74370000</v>
      </c>
      <c r="P727" s="50">
        <f>IFERROR(VLOOKUP($B727,Data!$B$3:$D1530,3,FALSE),"")</f>
        <v>73810000</v>
      </c>
      <c r="Q727" s="48">
        <f t="shared" si="2"/>
        <v>0.007587047825</v>
      </c>
      <c r="R727" s="48"/>
      <c r="S727" s="48"/>
      <c r="T727" s="48"/>
      <c r="U727" s="48"/>
      <c r="V727" s="48"/>
      <c r="W727" s="50"/>
      <c r="Z727" s="11"/>
      <c r="AA727" s="11"/>
    </row>
    <row r="728">
      <c r="A728" s="9">
        <f t="shared" si="1"/>
        <v>725</v>
      </c>
      <c r="B728" s="47" t="s">
        <v>862</v>
      </c>
      <c r="C728" s="48">
        <f>IFERROR(DIVIDE(VLOOKUP($B728,Data!$B$3:$AB$1535,9,FALSE),VLOOKUP($B728,Data!$B$3:$AB$1535,4,FALSE)),"")</f>
        <v>0.4818661391</v>
      </c>
      <c r="D728" s="48">
        <f>IFERROR(DIVIDE(VLOOKUP($B728,Data!$B$3:$AB$1535,24,FALSE),VLOOKUP($B728,Data!$B$3:$AB$1535,4,FALSE)),"")</f>
        <v>0.04203758655</v>
      </c>
      <c r="E728" s="48">
        <f>IFERROR(DIVIDE(VLOOKUP($B728,Data!$B$3:$EZ1530,29,FALSE),VLOOKUP($B728,Data!$B$3:$EZ1530,4,FALSE)),"")</f>
        <v>0.04286185295</v>
      </c>
      <c r="F728" s="48">
        <f>IFERROR(DIVIDE(VLOOKUP($B728,Data!$B$3:$EZ1530,34,FALSE),VLOOKUP($B728,Data!$B$3:$EZ1530,4,FALSE)),"")</f>
        <v>0.1099571381</v>
      </c>
      <c r="G728" s="48">
        <f>IFERROR(DIVIDE(VLOOKUP($B728,Data!$B$3:$EZ1530,39,FALSE),VLOOKUP($B728,Data!$B$3:$EZ1530,4,FALSE)),"")</f>
        <v>0.03824596109</v>
      </c>
      <c r="H728" s="48">
        <f>IFERROR(DIVIDE(VLOOKUP($B728,Data!$B$3:$EZ1530,44,FALSE),VLOOKUP($B728,Data!$B$3:$EZ1530,4,FALSE)),"")</f>
        <v>-0.1158918562</v>
      </c>
      <c r="I728" s="48">
        <f>IFERROR(MINUS(DIVIDE(VLOOKUP($B728,Data!$B$3:$EZ1530,9,FALSE),VLOOKUP($B728,Data!$B$3:$EZ1530,10,FALSE)),1),"")</f>
        <v>-0.2581218274</v>
      </c>
      <c r="J728" s="48">
        <f>IFERROR(MINUS(DIVIDE(VLOOKUP($B728,Data!$B$3:$EZ1530,24,FALSE),VLOOKUP($B728,Data!$B$3:$EZ1530,25,FALSE)),1),"")</f>
        <v>-0.5077220077</v>
      </c>
      <c r="K728" s="48">
        <f>IFERROR(MINUS(DIVIDE(VLOOKUP($B728,Data!$B$3:$EZ1530,29,FALSE),VLOOKUP($B728,Data!$B$3:$EZ1530,30,FALSE)),1),"")</f>
        <v>-0.4841269841</v>
      </c>
      <c r="L728" s="48">
        <f>IFERROR(MINUS(DIVIDE(VLOOKUP($B728,Data!$B$3:$EZ1530,34,FALSE),VLOOKUP($B728,Data!$B$3:$EZ1530,35,FALSE)),1),"")</f>
        <v>-0.5218637993</v>
      </c>
      <c r="M728" s="48">
        <f>IFERROR(MINUS(DIVIDE(VLOOKUP($B728,Data!$B$3:$EZ1530,39,FALSE),VLOOKUP($B728,Data!$B$3:$EZ1530,40,FALSE)),1),"")</f>
        <v>-0.2368421053</v>
      </c>
      <c r="N728" s="48">
        <f>IFERROR(MINUS(DIVIDE(VLOOKUP($B728,Data!$B$3:$EZ1530,44,FALSE),VLOOKUP($B728,Data!$B$3:$EZ1530,45,FALSE)),1),"")</f>
        <v>-1.641423358</v>
      </c>
      <c r="O728" s="50">
        <f>IFERROR(VLOOKUP($B728,Data!$B$3:$D1530,2,FALSE),"")</f>
        <v>61030</v>
      </c>
      <c r="P728" s="50">
        <f>IFERROR(VLOOKUP($B728,Data!$B$3:$D1530,3,FALSE),"")</f>
        <v>51160</v>
      </c>
      <c r="Q728" s="48">
        <f t="shared" si="2"/>
        <v>0.1929241595</v>
      </c>
      <c r="R728" s="48"/>
      <c r="S728" s="48"/>
      <c r="T728" s="48"/>
      <c r="U728" s="48"/>
      <c r="V728" s="48"/>
      <c r="W728" s="50"/>
      <c r="Z728" s="11"/>
      <c r="AA728" s="11"/>
    </row>
    <row r="729">
      <c r="A729" s="9">
        <f t="shared" si="1"/>
        <v>726</v>
      </c>
      <c r="B729" s="47" t="s">
        <v>863</v>
      </c>
      <c r="C729" s="48">
        <f>IFERROR(DIVIDE(VLOOKUP($B729,Data!$B$3:$AB$1535,9,FALSE),VLOOKUP($B729,Data!$B$3:$AB$1535,4,FALSE)),"")</f>
        <v>0</v>
      </c>
      <c r="D729" s="48">
        <f>IFERROR(DIVIDE(VLOOKUP($B729,Data!$B$3:$AB$1535,24,FALSE),VLOOKUP($B729,Data!$B$3:$AB$1535,4,FALSE)),"")</f>
        <v>0.8955756076</v>
      </c>
      <c r="E729" s="48">
        <f>IFERROR(DIVIDE(VLOOKUP($B729,Data!$B$3:$EZ1530,29,FALSE),VLOOKUP($B729,Data!$B$3:$EZ1530,4,FALSE)),"")</f>
        <v>0.8474021249</v>
      </c>
      <c r="F729" s="48">
        <f>IFERROR(DIVIDE(VLOOKUP($B729,Data!$B$3:$EZ1530,34,FALSE),VLOOKUP($B729,Data!$B$3:$EZ1530,4,FALSE)),"")</f>
        <v>0.9581210886</v>
      </c>
      <c r="G729" s="48">
        <f>IFERROR(DIVIDE(VLOOKUP($B729,Data!$B$3:$EZ1530,39,FALSE),VLOOKUP($B729,Data!$B$3:$EZ1530,4,FALSE)),"")</f>
        <v>0.5722966089</v>
      </c>
      <c r="H729" s="48">
        <f>IFERROR(DIVIDE(VLOOKUP($B729,Data!$B$3:$EZ1530,44,FALSE),VLOOKUP($B729,Data!$B$3:$EZ1530,4,FALSE)),"")</f>
        <v>0.9367632077</v>
      </c>
      <c r="I729" s="48" t="str">
        <f>IFERROR(MINUS(DIVIDE(VLOOKUP($B729,Data!$B$3:$EZ1530,9,FALSE),VLOOKUP($B729,Data!$B$3:$EZ1530,10,FALSE)),1),"")</f>
        <v/>
      </c>
      <c r="J729" s="48">
        <f>IFERROR(MINUS(DIVIDE(VLOOKUP($B729,Data!$B$3:$EZ1530,24,FALSE),VLOOKUP($B729,Data!$B$3:$EZ1530,25,FALSE)),1),"")</f>
        <v>0.05862113457</v>
      </c>
      <c r="K729" s="48">
        <f>IFERROR(MINUS(DIVIDE(VLOOKUP($B729,Data!$B$3:$EZ1530,29,FALSE),VLOOKUP($B729,Data!$B$3:$EZ1530,30,FALSE)),1),"")</f>
        <v>0.1076762104</v>
      </c>
      <c r="L729" s="48">
        <f>IFERROR(MINUS(DIVIDE(VLOOKUP($B729,Data!$B$3:$EZ1530,34,FALSE),VLOOKUP($B729,Data!$B$3:$EZ1530,35,FALSE)),1),"")</f>
        <v>0.0213714995</v>
      </c>
      <c r="M729" s="48">
        <f>IFERROR(MINUS(DIVIDE(VLOOKUP($B729,Data!$B$3:$EZ1530,39,FALSE),VLOOKUP($B729,Data!$B$3:$EZ1530,40,FALSE)),1),"")</f>
        <v>-0.6018579456</v>
      </c>
      <c r="N729" s="48">
        <f>IFERROR(MINUS(DIVIDE(VLOOKUP($B729,Data!$B$3:$EZ1530,44,FALSE),VLOOKUP($B729,Data!$B$3:$EZ1530,45,FALSE)),1),"")</f>
        <v>0.1517917058</v>
      </c>
      <c r="O729" s="50">
        <f>IFERROR(VLOOKUP($B729,Data!$B$3:$D1530,2,FALSE),"")</f>
        <v>169760</v>
      </c>
      <c r="P729" s="50">
        <f>IFERROR(VLOOKUP($B729,Data!$B$3:$D1530,3,FALSE),"")</f>
        <v>235070</v>
      </c>
      <c r="Q729" s="48">
        <f t="shared" si="2"/>
        <v>-0.2778321351</v>
      </c>
      <c r="R729" s="48"/>
      <c r="S729" s="48"/>
      <c r="T729" s="48"/>
      <c r="U729" s="48"/>
      <c r="V729" s="48"/>
      <c r="W729" s="50"/>
      <c r="Z729" s="15"/>
      <c r="AA729" s="15"/>
    </row>
    <row r="730">
      <c r="A730" s="9">
        <f t="shared" si="1"/>
        <v>727</v>
      </c>
      <c r="B730" s="47" t="s">
        <v>864</v>
      </c>
      <c r="C730" s="48" t="str">
        <f>IFERROR(DIVIDE(VLOOKUP($B730,Data!$B$3:$AB$1535,9,FALSE),VLOOKUP($B730,Data!$B$3:$AB$1535,4,FALSE)),"")</f>
        <v/>
      </c>
      <c r="D730" s="48" t="str">
        <f>IFERROR(DIVIDE(VLOOKUP($B730,Data!$B$3:$AB$1535,24,FALSE),VLOOKUP($B730,Data!$B$3:$AB$1535,4,FALSE)),"")</f>
        <v/>
      </c>
      <c r="E730" s="48" t="str">
        <f>IFERROR(DIVIDE(VLOOKUP($B730,Data!$B$3:$EZ1530,29,FALSE),VLOOKUP($B730,Data!$B$3:$EZ1530,4,FALSE)),"")</f>
        <v/>
      </c>
      <c r="F730" s="48" t="str">
        <f>IFERROR(DIVIDE(VLOOKUP($B730,Data!$B$3:$EZ1530,34,FALSE),VLOOKUP($B730,Data!$B$3:$EZ1530,4,FALSE)),"")</f>
        <v/>
      </c>
      <c r="G730" s="48" t="str">
        <f>IFERROR(DIVIDE(VLOOKUP($B730,Data!$B$3:$EZ1530,39,FALSE),VLOOKUP($B730,Data!$B$3:$EZ1530,4,FALSE)),"")</f>
        <v/>
      </c>
      <c r="H730" s="48" t="str">
        <f>IFERROR(DIVIDE(VLOOKUP($B730,Data!$B$3:$EZ1530,44,FALSE),VLOOKUP($B730,Data!$B$3:$EZ1530,4,FALSE)),"")</f>
        <v/>
      </c>
      <c r="I730" s="48">
        <f>IFERROR(MINUS(DIVIDE(VLOOKUP($B730,Data!$B$3:$EZ1530,9,FALSE),VLOOKUP($B730,Data!$B$3:$EZ1530,10,FALSE)),1),"")</f>
        <v>2.192307692</v>
      </c>
      <c r="J730" s="48">
        <f>IFERROR(MINUS(DIVIDE(VLOOKUP($B730,Data!$B$3:$EZ1530,24,FALSE),VLOOKUP($B730,Data!$B$3:$EZ1530,25,FALSE)),1),"")</f>
        <v>-1</v>
      </c>
      <c r="K730" s="48">
        <f>IFERROR(MINUS(DIVIDE(VLOOKUP($B730,Data!$B$3:$EZ1530,29,FALSE),VLOOKUP($B730,Data!$B$3:$EZ1530,30,FALSE)),1),"")</f>
        <v>1.833333333</v>
      </c>
      <c r="L730" s="48">
        <f>IFERROR(MINUS(DIVIDE(VLOOKUP($B730,Data!$B$3:$EZ1530,34,FALSE),VLOOKUP($B730,Data!$B$3:$EZ1530,35,FALSE)),1),"")</f>
        <v>0.7908383751</v>
      </c>
      <c r="M730" s="48">
        <f>IFERROR(MINUS(DIVIDE(VLOOKUP($B730,Data!$B$3:$EZ1530,39,FALSE),VLOOKUP($B730,Data!$B$3:$EZ1530,40,FALSE)),1),"")</f>
        <v>1.833333333</v>
      </c>
      <c r="N730" s="48">
        <f>IFERROR(MINUS(DIVIDE(VLOOKUP($B730,Data!$B$3:$EZ1530,44,FALSE),VLOOKUP($B730,Data!$B$3:$EZ1530,45,FALSE)),1),"")</f>
        <v>0.9925847458</v>
      </c>
      <c r="O730" s="50" t="str">
        <f>IFERROR(VLOOKUP($B730,Data!$B$3:$D1530,2,FALSE),"")</f>
        <v/>
      </c>
      <c r="P730" s="50" t="str">
        <f>IFERROR(VLOOKUP($B730,Data!$B$3:$D1530,3,FALSE),"")</f>
        <v/>
      </c>
      <c r="Q730" s="48" t="str">
        <f t="shared" si="2"/>
        <v/>
      </c>
      <c r="R730" s="48"/>
      <c r="S730" s="48"/>
      <c r="T730" s="48"/>
      <c r="U730" s="48"/>
      <c r="V730" s="48"/>
      <c r="W730" s="50"/>
      <c r="Z730" s="15"/>
      <c r="AA730" s="15"/>
    </row>
    <row r="731">
      <c r="A731" s="9">
        <f t="shared" si="1"/>
        <v>728</v>
      </c>
      <c r="B731" s="47" t="s">
        <v>865</v>
      </c>
      <c r="C731" s="48">
        <f>IFERROR(DIVIDE(VLOOKUP($B731,Data!$B$3:$AB$1535,9,FALSE),VLOOKUP($B731,Data!$B$3:$AB$1535,4,FALSE)),"")</f>
        <v>0.9821428571</v>
      </c>
      <c r="D731" s="48">
        <f>IFERROR(DIVIDE(VLOOKUP($B731,Data!$B$3:$AB$1535,24,FALSE),VLOOKUP($B731,Data!$B$3:$AB$1535,4,FALSE)),"")</f>
        <v>0.3071607143</v>
      </c>
      <c r="E731" s="48">
        <f>IFERROR(DIVIDE(VLOOKUP($B731,Data!$B$3:$EZ1530,29,FALSE),VLOOKUP($B731,Data!$B$3:$EZ1530,4,FALSE)),"")</f>
        <v>0.3096160714</v>
      </c>
      <c r="F731" s="48">
        <f>IFERROR(DIVIDE(VLOOKUP($B731,Data!$B$3:$EZ1530,34,FALSE),VLOOKUP($B731,Data!$B$3:$EZ1530,4,FALSE)),"")</f>
        <v>0.3409642857</v>
      </c>
      <c r="G731" s="48">
        <f>IFERROR(DIVIDE(VLOOKUP($B731,Data!$B$3:$EZ1530,39,FALSE),VLOOKUP($B731,Data!$B$3:$EZ1530,4,FALSE)),"")</f>
        <v>0.2647857143</v>
      </c>
      <c r="H731" s="48">
        <f>IFERROR(DIVIDE(VLOOKUP($B731,Data!$B$3:$EZ1530,44,FALSE),VLOOKUP($B731,Data!$B$3:$EZ1530,4,FALSE)),"")</f>
        <v>0.3086785714</v>
      </c>
      <c r="I731" s="48">
        <f>IFERROR(MINUS(DIVIDE(VLOOKUP($B731,Data!$B$3:$EZ1530,9,FALSE),VLOOKUP($B731,Data!$B$3:$EZ1530,10,FALSE)),1),"")</f>
        <v>0.8792817727</v>
      </c>
      <c r="J731" s="48">
        <f>IFERROR(MINUS(DIVIDE(VLOOKUP($B731,Data!$B$3:$EZ1530,24,FALSE),VLOOKUP($B731,Data!$B$3:$EZ1530,25,FALSE)),1),"")</f>
        <v>-6.605670523</v>
      </c>
      <c r="K731" s="48">
        <f>IFERROR(MINUS(DIVIDE(VLOOKUP($B731,Data!$B$3:$EZ1530,29,FALSE),VLOOKUP($B731,Data!$B$3:$EZ1530,30,FALSE)),1),"")</f>
        <v>-5.553177521</v>
      </c>
      <c r="L731" s="48">
        <f>IFERROR(MINUS(DIVIDE(VLOOKUP($B731,Data!$B$3:$EZ1530,34,FALSE),VLOOKUP($B731,Data!$B$3:$EZ1530,35,FALSE)),1),"")</f>
        <v>-8.949208993</v>
      </c>
      <c r="M731" s="48">
        <f>IFERROR(MINUS(DIVIDE(VLOOKUP($B731,Data!$B$3:$EZ1530,39,FALSE),VLOOKUP($B731,Data!$B$3:$EZ1530,40,FALSE)),1),"")</f>
        <v>0.07111640842</v>
      </c>
      <c r="N731" s="48">
        <f>IFERROR(MINUS(DIVIDE(VLOOKUP($B731,Data!$B$3:$EZ1530,44,FALSE),VLOOKUP($B731,Data!$B$3:$EZ1530,45,FALSE)),1),"")</f>
        <v>-0.4265620594</v>
      </c>
      <c r="O731" s="50">
        <f>IFERROR(VLOOKUP($B731,Data!$B$3:$D1530,2,FALSE),"")</f>
        <v>822370</v>
      </c>
      <c r="P731" s="50">
        <f>IFERROR(VLOOKUP($B731,Data!$B$3:$D1530,3,FALSE),"")</f>
        <v>713050</v>
      </c>
      <c r="Q731" s="48">
        <f t="shared" si="2"/>
        <v>0.1533132319</v>
      </c>
      <c r="R731" s="48"/>
      <c r="S731" s="48"/>
      <c r="T731" s="48"/>
      <c r="U731" s="48"/>
      <c r="V731" s="48"/>
      <c r="W731" s="50"/>
      <c r="Z731" s="11"/>
      <c r="AA731" s="11"/>
    </row>
    <row r="732">
      <c r="A732" s="9">
        <f t="shared" si="1"/>
        <v>729</v>
      </c>
      <c r="B732" s="47" t="s">
        <v>866</v>
      </c>
      <c r="C732" s="48">
        <f>IFERROR(DIVIDE(VLOOKUP($B732,Data!$B$3:$AB$1535,9,FALSE),VLOOKUP($B732,Data!$B$3:$AB$1535,4,FALSE)),"")</f>
        <v>0.2957615894</v>
      </c>
      <c r="D732" s="48">
        <f>IFERROR(DIVIDE(VLOOKUP($B732,Data!$B$3:$AB$1535,24,FALSE),VLOOKUP($B732,Data!$B$3:$AB$1535,4,FALSE)),"")</f>
        <v>0.09887417219</v>
      </c>
      <c r="E732" s="48">
        <f>IFERROR(DIVIDE(VLOOKUP($B732,Data!$B$3:$EZ1530,29,FALSE),VLOOKUP($B732,Data!$B$3:$EZ1530,4,FALSE)),"")</f>
        <v>0.09960264901</v>
      </c>
      <c r="F732" s="48">
        <f>IFERROR(DIVIDE(VLOOKUP($B732,Data!$B$3:$EZ1530,34,FALSE),VLOOKUP($B732,Data!$B$3:$EZ1530,4,FALSE)),"")</f>
        <v>0.1330463576</v>
      </c>
      <c r="G732" s="48">
        <f>IFERROR(DIVIDE(VLOOKUP($B732,Data!$B$3:$EZ1530,39,FALSE),VLOOKUP($B732,Data!$B$3:$EZ1530,4,FALSE)),"")</f>
        <v>0.07430463576</v>
      </c>
      <c r="H732" s="48">
        <f>IFERROR(DIVIDE(VLOOKUP($B732,Data!$B$3:$EZ1530,44,FALSE),VLOOKUP($B732,Data!$B$3:$EZ1530,4,FALSE)),"")</f>
        <v>0.1060264901</v>
      </c>
      <c r="I732" s="48">
        <f>IFERROR(MINUS(DIVIDE(VLOOKUP($B732,Data!$B$3:$EZ1530,9,FALSE),VLOOKUP($B732,Data!$B$3:$EZ1530,10,FALSE)),1),"")</f>
        <v>0.08371754429</v>
      </c>
      <c r="J732" s="48">
        <f>IFERROR(MINUS(DIVIDE(VLOOKUP($B732,Data!$B$3:$EZ1530,24,FALSE),VLOOKUP($B732,Data!$B$3:$EZ1530,25,FALSE)),1),"")</f>
        <v>0.07642393655</v>
      </c>
      <c r="K732" s="48">
        <f>IFERROR(MINUS(DIVIDE(VLOOKUP($B732,Data!$B$3:$EZ1530,29,FALSE),VLOOKUP($B732,Data!$B$3:$EZ1530,30,FALSE)),1),"")</f>
        <v>0.1428571429</v>
      </c>
      <c r="L732" s="48">
        <f>IFERROR(MINUS(DIVIDE(VLOOKUP($B732,Data!$B$3:$EZ1530,34,FALSE),VLOOKUP($B732,Data!$B$3:$EZ1530,35,FALSE)),1),"")</f>
        <v>0.02343352012</v>
      </c>
      <c r="M732" s="48">
        <f>IFERROR(MINUS(DIVIDE(VLOOKUP($B732,Data!$B$3:$EZ1530,39,FALSE),VLOOKUP($B732,Data!$B$3:$EZ1530,40,FALSE)),1),"")</f>
        <v>0.32</v>
      </c>
      <c r="N732" s="48">
        <f>IFERROR(MINUS(DIVIDE(VLOOKUP($B732,Data!$B$3:$EZ1530,44,FALSE),VLOOKUP($B732,Data!$B$3:$EZ1530,45,FALSE)),1),"")</f>
        <v>0.5262154433</v>
      </c>
      <c r="O732" s="50">
        <f>IFERROR(VLOOKUP($B732,Data!$B$3:$D1530,2,FALSE),"")</f>
        <v>1440000</v>
      </c>
      <c r="P732" s="50">
        <f>IFERROR(VLOOKUP($B732,Data!$B$3:$D1530,3,FALSE),"")</f>
        <v>1320000</v>
      </c>
      <c r="Q732" s="48">
        <f t="shared" si="2"/>
        <v>0.09090909091</v>
      </c>
      <c r="R732" s="48"/>
      <c r="S732" s="48"/>
      <c r="T732" s="48"/>
      <c r="U732" s="48"/>
      <c r="V732" s="48"/>
      <c r="W732" s="50"/>
      <c r="Z732" s="12"/>
      <c r="AA732" s="12"/>
    </row>
    <row r="733">
      <c r="A733" s="9">
        <f t="shared" si="1"/>
        <v>730</v>
      </c>
      <c r="B733" s="47" t="s">
        <v>867</v>
      </c>
      <c r="C733" s="48">
        <f>IFERROR(DIVIDE(VLOOKUP($B733,Data!$B$3:$AB$1535,9,FALSE),VLOOKUP($B733,Data!$B$3:$AB$1535,4,FALSE)),"")</f>
        <v>0.4193111619</v>
      </c>
      <c r="D733" s="48">
        <f>IFERROR(DIVIDE(VLOOKUP($B733,Data!$B$3:$AB$1535,24,FALSE),VLOOKUP($B733,Data!$B$3:$AB$1535,4,FALSE)),"")</f>
        <v>-0.1294744859</v>
      </c>
      <c r="E733" s="48">
        <f>IFERROR(DIVIDE(VLOOKUP($B733,Data!$B$3:$EZ1530,29,FALSE),VLOOKUP($B733,Data!$B$3:$EZ1530,4,FALSE)),"")</f>
        <v>-0.2256917999</v>
      </c>
      <c r="F733" s="48">
        <f>IFERROR(DIVIDE(VLOOKUP($B733,Data!$B$3:$EZ1530,34,FALSE),VLOOKUP($B733,Data!$B$3:$EZ1530,4,FALSE)),"")</f>
        <v>-0.0280951172</v>
      </c>
      <c r="G733" s="48">
        <f>IFERROR(DIVIDE(VLOOKUP($B733,Data!$B$3:$EZ1530,39,FALSE),VLOOKUP($B733,Data!$B$3:$EZ1530,4,FALSE)),"")</f>
        <v>-0.227299653</v>
      </c>
      <c r="H733" s="48">
        <f>IFERROR(DIVIDE(VLOOKUP($B733,Data!$B$3:$EZ1530,44,FALSE),VLOOKUP($B733,Data!$B$3:$EZ1530,4,FALSE)),"")</f>
        <v>-0.1002792587</v>
      </c>
      <c r="I733" s="48">
        <f>IFERROR(MINUS(DIVIDE(VLOOKUP($B733,Data!$B$3:$EZ1530,9,FALSE),VLOOKUP($B733,Data!$B$3:$EZ1530,10,FALSE)),1),"")</f>
        <v>0.5392979186</v>
      </c>
      <c r="J733" s="48">
        <f>IFERROR(MINUS(DIVIDE(VLOOKUP($B733,Data!$B$3:$EZ1530,24,FALSE),VLOOKUP($B733,Data!$B$3:$EZ1530,25,FALSE)),1),"")</f>
        <v>-0.1414141414</v>
      </c>
      <c r="K733" s="48">
        <f>IFERROR(MINUS(DIVIDE(VLOOKUP($B733,Data!$B$3:$EZ1530,29,FALSE),VLOOKUP($B733,Data!$B$3:$EZ1530,30,FALSE)),1),"")</f>
        <v>0.2393122677</v>
      </c>
      <c r="L733" s="48">
        <f>IFERROR(MINUS(DIVIDE(VLOOKUP($B733,Data!$B$3:$EZ1530,34,FALSE),VLOOKUP($B733,Data!$B$3:$EZ1530,35,FALSE)),1),"")</f>
        <v>-0.3863216266</v>
      </c>
      <c r="M733" s="48">
        <f>IFERROR(MINUS(DIVIDE(VLOOKUP($B733,Data!$B$3:$EZ1530,39,FALSE),VLOOKUP($B733,Data!$B$3:$EZ1530,40,FALSE)),1),"")</f>
        <v>0.2527985075</v>
      </c>
      <c r="N733" s="48">
        <f>IFERROR(MINUS(DIVIDE(VLOOKUP($B733,Data!$B$3:$EZ1530,44,FALSE),VLOOKUP($B733,Data!$B$3:$EZ1530,45,FALSE)),1),"")</f>
        <v>-0.3297511312</v>
      </c>
      <c r="O733" s="50">
        <f>IFERROR(VLOOKUP($B733,Data!$B$3:$D1530,2,FALSE),"")</f>
        <v>172610</v>
      </c>
      <c r="P733" s="50">
        <f>IFERROR(VLOOKUP($B733,Data!$B$3:$D1530,3,FALSE),"")</f>
        <v>143550</v>
      </c>
      <c r="Q733" s="48">
        <f t="shared" si="2"/>
        <v>0.2024381749</v>
      </c>
      <c r="R733" s="48"/>
      <c r="S733" s="48"/>
      <c r="T733" s="48"/>
      <c r="U733" s="48"/>
      <c r="V733" s="48"/>
      <c r="W733" s="50"/>
      <c r="Z733" s="11"/>
      <c r="AA733" s="11"/>
    </row>
    <row r="734">
      <c r="A734" s="9">
        <f t="shared" si="1"/>
        <v>731</v>
      </c>
      <c r="B734" s="47" t="s">
        <v>868</v>
      </c>
      <c r="C734" s="48" t="str">
        <f>IFERROR(DIVIDE(VLOOKUP($B734,Data!$B$3:$AB$1535,9,FALSE),VLOOKUP($B734,Data!$B$3:$AB$1535,4,FALSE)),"")</f>
        <v/>
      </c>
      <c r="D734" s="48" t="str">
        <f>IFERROR(DIVIDE(VLOOKUP($B734,Data!$B$3:$AB$1535,24,FALSE),VLOOKUP($B734,Data!$B$3:$AB$1535,4,FALSE)),"")</f>
        <v/>
      </c>
      <c r="E734" s="48" t="str">
        <f>IFERROR(DIVIDE(VLOOKUP($B734,Data!$B$3:$EZ1530,29,FALSE),VLOOKUP($B734,Data!$B$3:$EZ1530,4,FALSE)),"")</f>
        <v/>
      </c>
      <c r="F734" s="48" t="str">
        <f>IFERROR(DIVIDE(VLOOKUP($B734,Data!$B$3:$EZ1530,34,FALSE),VLOOKUP($B734,Data!$B$3:$EZ1530,4,FALSE)),"")</f>
        <v/>
      </c>
      <c r="G734" s="48" t="str">
        <f>IFERROR(DIVIDE(VLOOKUP($B734,Data!$B$3:$EZ1530,39,FALSE),VLOOKUP($B734,Data!$B$3:$EZ1530,4,FALSE)),"")</f>
        <v/>
      </c>
      <c r="H734" s="48" t="str">
        <f>IFERROR(DIVIDE(VLOOKUP($B734,Data!$B$3:$EZ1530,44,FALSE),VLOOKUP($B734,Data!$B$3:$EZ1530,4,FALSE)),"")</f>
        <v/>
      </c>
      <c r="I734" s="48" t="str">
        <f>IFERROR(MINUS(DIVIDE(VLOOKUP($B734,Data!$B$3:$EZ1530,9,FALSE),VLOOKUP($B734,Data!$B$3:$EZ1530,10,FALSE)),1),"")</f>
        <v/>
      </c>
      <c r="J734" s="48" t="str">
        <f>IFERROR(MINUS(DIVIDE(VLOOKUP($B734,Data!$B$3:$EZ1530,24,FALSE),VLOOKUP($B734,Data!$B$3:$EZ1530,25,FALSE)),1),"")</f>
        <v/>
      </c>
      <c r="K734" s="48" t="str">
        <f>IFERROR(MINUS(DIVIDE(VLOOKUP($B734,Data!$B$3:$EZ1530,29,FALSE),VLOOKUP($B734,Data!$B$3:$EZ1530,30,FALSE)),1),"")</f>
        <v/>
      </c>
      <c r="L734" s="48" t="str">
        <f>IFERROR(MINUS(DIVIDE(VLOOKUP($B734,Data!$B$3:$EZ1530,34,FALSE),VLOOKUP($B734,Data!$B$3:$EZ1530,35,FALSE)),1),"")</f>
        <v/>
      </c>
      <c r="M734" s="48" t="str">
        <f>IFERROR(MINUS(DIVIDE(VLOOKUP($B734,Data!$B$3:$EZ1530,39,FALSE),VLOOKUP($B734,Data!$B$3:$EZ1530,40,FALSE)),1),"")</f>
        <v/>
      </c>
      <c r="N734" s="48" t="str">
        <f>IFERROR(MINUS(DIVIDE(VLOOKUP($B734,Data!$B$3:$EZ1530,44,FALSE),VLOOKUP($B734,Data!$B$3:$EZ1530,45,FALSE)),1),"")</f>
        <v/>
      </c>
      <c r="O734" s="50">
        <f>IFERROR(VLOOKUP($B734,Data!$B$3:$D1530,2,FALSE),"")</f>
        <v>41100</v>
      </c>
      <c r="P734" s="50" t="str">
        <f>IFERROR(VLOOKUP($B734,Data!$B$3:$D1530,3,FALSE),"")</f>
        <v/>
      </c>
      <c r="Q734" s="48" t="str">
        <f t="shared" si="2"/>
        <v/>
      </c>
      <c r="R734" s="48"/>
      <c r="S734" s="48"/>
      <c r="T734" s="48"/>
      <c r="U734" s="48"/>
      <c r="V734" s="48"/>
      <c r="W734" s="50"/>
      <c r="Z734" s="15"/>
      <c r="AA734" s="15"/>
    </row>
    <row r="735">
      <c r="A735" s="9">
        <f t="shared" si="1"/>
        <v>732</v>
      </c>
      <c r="B735" s="47" t="s">
        <v>869</v>
      </c>
      <c r="C735" s="48">
        <f>IFERROR(DIVIDE(VLOOKUP($B735,Data!$B$3:$AB$1535,9,FALSE),VLOOKUP($B735,Data!$B$3:$AB$1535,4,FALSE)),"")</f>
        <v>0.6249947443</v>
      </c>
      <c r="D735" s="48">
        <f>IFERROR(DIVIDE(VLOOKUP($B735,Data!$B$3:$AB$1535,24,FALSE),VLOOKUP($B735,Data!$B$3:$AB$1535,4,FALSE)),"")</f>
        <v>0.147061709</v>
      </c>
      <c r="E735" s="48">
        <f>IFERROR(DIVIDE(VLOOKUP($B735,Data!$B$3:$EZ1530,29,FALSE),VLOOKUP($B735,Data!$B$3:$EZ1530,4,FALSE)),"")</f>
        <v>0.1473700439</v>
      </c>
      <c r="F735" s="48">
        <f>IFERROR(DIVIDE(VLOOKUP($B735,Data!$B$3:$EZ1530,34,FALSE),VLOOKUP($B735,Data!$B$3:$EZ1530,4,FALSE)),"")</f>
        <v>0.1590166921</v>
      </c>
      <c r="G735" s="48">
        <f>IFERROR(DIVIDE(VLOOKUP($B735,Data!$B$3:$EZ1530,39,FALSE),VLOOKUP($B735,Data!$B$3:$EZ1530,4,FALSE)),"")</f>
        <v>0.08444170369</v>
      </c>
      <c r="H735" s="48">
        <f>IFERROR(DIVIDE(VLOOKUP($B735,Data!$B$3:$EZ1530,44,FALSE),VLOOKUP($B735,Data!$B$3:$EZ1530,4,FALSE)),"")</f>
        <v>0.1071463609</v>
      </c>
      <c r="I735" s="48">
        <f>IFERROR(MINUS(DIVIDE(VLOOKUP($B735,Data!$B$3:$EZ1530,9,FALSE),VLOOKUP($B735,Data!$B$3:$EZ1530,10,FALSE)),1),"")</f>
        <v>0.04298811863</v>
      </c>
      <c r="J735" s="48">
        <f>IFERROR(MINUS(DIVIDE(VLOOKUP($B735,Data!$B$3:$EZ1530,24,FALSE),VLOOKUP($B735,Data!$B$3:$EZ1530,25,FALSE)),1),"")</f>
        <v>348.7666667</v>
      </c>
      <c r="K735" s="48">
        <f>IFERROR(MINUS(DIVIDE(VLOOKUP($B735,Data!$B$3:$EZ1530,29,FALSE),VLOOKUP($B735,Data!$B$3:$EZ1530,30,FALSE)),1),"")</f>
        <v>0.09691216357</v>
      </c>
      <c r="L735" s="48">
        <f>IFERROR(MINUS(DIVIDE(VLOOKUP($B735,Data!$B$3:$EZ1530,34,FALSE),VLOOKUP($B735,Data!$B$3:$EZ1530,35,FALSE)),1),"")</f>
        <v>0.07280635401</v>
      </c>
      <c r="M735" s="48">
        <f>IFERROR(MINUS(DIVIDE(VLOOKUP($B735,Data!$B$3:$EZ1530,39,FALSE),VLOOKUP($B735,Data!$B$3:$EZ1530,40,FALSE)),1),"")</f>
        <v>0.1200966722</v>
      </c>
      <c r="N735" s="48">
        <f>IFERROR(MINUS(DIVIDE(VLOOKUP($B735,Data!$B$3:$EZ1530,44,FALSE),VLOOKUP($B735,Data!$B$3:$EZ1530,45,FALSE)),1),"")</f>
        <v>0.2127220812</v>
      </c>
      <c r="O735" s="50">
        <f>IFERROR(VLOOKUP($B735,Data!$B$3:$D1530,2,FALSE),"")</f>
        <v>632650</v>
      </c>
      <c r="P735" s="50">
        <f>IFERROR(VLOOKUP($B735,Data!$B$3:$D1530,3,FALSE),"")</f>
        <v>439370</v>
      </c>
      <c r="Q735" s="48">
        <f t="shared" si="2"/>
        <v>0.4399025878</v>
      </c>
      <c r="R735" s="48"/>
      <c r="S735" s="48"/>
      <c r="T735" s="48"/>
      <c r="U735" s="48"/>
      <c r="V735" s="48"/>
      <c r="W735" s="50"/>
      <c r="Z735" s="15"/>
      <c r="AA735" s="15"/>
    </row>
    <row r="736">
      <c r="A736" s="9">
        <f t="shared" si="1"/>
        <v>733</v>
      </c>
      <c r="B736" s="47" t="s">
        <v>870</v>
      </c>
      <c r="C736" s="48">
        <f>IFERROR(DIVIDE(VLOOKUP($B736,Data!$B$3:$AB$1535,9,FALSE),VLOOKUP($B736,Data!$B$3:$AB$1535,4,FALSE)),"")</f>
        <v>0</v>
      </c>
      <c r="D736" s="48">
        <f>IFERROR(DIVIDE(VLOOKUP($B736,Data!$B$3:$AB$1535,24,FALSE),VLOOKUP($B736,Data!$B$3:$AB$1535,4,FALSE)),"")</f>
        <v>-0.5789473684</v>
      </c>
      <c r="E736" s="48">
        <f>IFERROR(DIVIDE(VLOOKUP($B736,Data!$B$3:$EZ1530,29,FALSE),VLOOKUP($B736,Data!$B$3:$EZ1530,4,FALSE)),"")</f>
        <v>-0.5451645643</v>
      </c>
      <c r="F736" s="48">
        <f>IFERROR(DIVIDE(VLOOKUP($B736,Data!$B$3:$EZ1530,34,FALSE),VLOOKUP($B736,Data!$B$3:$EZ1530,4,FALSE)),"")</f>
        <v>-0.2791068581</v>
      </c>
      <c r="G736" s="48">
        <f>IFERROR(DIVIDE(VLOOKUP($B736,Data!$B$3:$EZ1530,39,FALSE),VLOOKUP($B736,Data!$B$3:$EZ1530,4,FALSE)),"")</f>
        <v>-0.301000435</v>
      </c>
      <c r="H736" s="48">
        <f>IFERROR(DIVIDE(VLOOKUP($B736,Data!$B$3:$EZ1530,44,FALSE),VLOOKUP($B736,Data!$B$3:$EZ1530,4,FALSE)),"")</f>
        <v>0.5221110628</v>
      </c>
      <c r="I736" s="48" t="str">
        <f>IFERROR(MINUS(DIVIDE(VLOOKUP($B736,Data!$B$3:$EZ1530,9,FALSE),VLOOKUP($B736,Data!$B$3:$EZ1530,10,FALSE)),1),"")</f>
        <v/>
      </c>
      <c r="J736" s="48">
        <f>IFERROR(MINUS(DIVIDE(VLOOKUP($B736,Data!$B$3:$EZ1530,24,FALSE),VLOOKUP($B736,Data!$B$3:$EZ1530,25,FALSE)),1),"")</f>
        <v>1.982076176</v>
      </c>
      <c r="K736" s="48">
        <f>IFERROR(MINUS(DIVIDE(VLOOKUP($B736,Data!$B$3:$EZ1530,29,FALSE),VLOOKUP($B736,Data!$B$3:$EZ1530,30,FALSE)),1),"")</f>
        <v>2.315696649</v>
      </c>
      <c r="L736" s="48">
        <f>IFERROR(MINUS(DIVIDE(VLOOKUP($B736,Data!$B$3:$EZ1530,34,FALSE),VLOOKUP($B736,Data!$B$3:$EZ1530,35,FALSE)),1),"")</f>
        <v>19.56623932</v>
      </c>
      <c r="M736" s="48">
        <f>IFERROR(MINUS(DIVIDE(VLOOKUP($B736,Data!$B$3:$EZ1530,39,FALSE),VLOOKUP($B736,Data!$B$3:$EZ1530,40,FALSE)),1),"")</f>
        <v>-7.806557377</v>
      </c>
      <c r="N736" s="48">
        <f>IFERROR(MINUS(DIVIDE(VLOOKUP($B736,Data!$B$3:$EZ1530,44,FALSE),VLOOKUP($B736,Data!$B$3:$EZ1530,45,FALSE)),1),"")</f>
        <v>-2.15453671</v>
      </c>
      <c r="O736" s="50">
        <f>IFERROR(VLOOKUP($B736,Data!$B$3:$D1530,2,FALSE),"")</f>
        <v>152950</v>
      </c>
      <c r="P736" s="50">
        <f>IFERROR(VLOOKUP($B736,Data!$B$3:$D1530,3,FALSE),"")</f>
        <v>100710</v>
      </c>
      <c r="Q736" s="48">
        <f t="shared" si="2"/>
        <v>0.5187171085</v>
      </c>
      <c r="R736" s="48"/>
      <c r="S736" s="48"/>
      <c r="T736" s="48"/>
      <c r="U736" s="48"/>
      <c r="V736" s="48"/>
      <c r="W736" s="50"/>
      <c r="Z736" s="11"/>
      <c r="AA736" s="12"/>
    </row>
    <row r="737">
      <c r="A737" s="9">
        <f t="shared" si="1"/>
        <v>734</v>
      </c>
      <c r="B737" s="47" t="s">
        <v>871</v>
      </c>
      <c r="C737" s="48">
        <f>IFERROR(DIVIDE(VLOOKUP($B737,Data!$B$3:$AB$1535,9,FALSE),VLOOKUP($B737,Data!$B$3:$AB$1535,4,FALSE)),"")</f>
        <v>0.4929438792</v>
      </c>
      <c r="D737" s="48">
        <f>IFERROR(DIVIDE(VLOOKUP($B737,Data!$B$3:$AB$1535,24,FALSE),VLOOKUP($B737,Data!$B$3:$AB$1535,4,FALSE)),"")</f>
        <v>-0.1299638989</v>
      </c>
      <c r="E737" s="48">
        <f>IFERROR(DIVIDE(VLOOKUP($B737,Data!$B$3:$EZ1530,29,FALSE),VLOOKUP($B737,Data!$B$3:$EZ1530,4,FALSE)),"")</f>
        <v>-0.1983371622</v>
      </c>
      <c r="F737" s="48">
        <f>IFERROR(DIVIDE(VLOOKUP($B737,Data!$B$3:$EZ1530,34,FALSE),VLOOKUP($B737,Data!$B$3:$EZ1530,4,FALSE)),"")</f>
        <v>0.1162892463</v>
      </c>
      <c r="G737" s="48">
        <f>IFERROR(DIVIDE(VLOOKUP($B737,Data!$B$3:$EZ1530,39,FALSE),VLOOKUP($B737,Data!$B$3:$EZ1530,4,FALSE)),"")</f>
        <v>-0.1994037851</v>
      </c>
      <c r="H737" s="48">
        <f>IFERROR(DIVIDE(VLOOKUP($B737,Data!$B$3:$EZ1530,44,FALSE),VLOOKUP($B737,Data!$B$3:$EZ1530,4,FALSE)),"")</f>
        <v>0.2651241658</v>
      </c>
      <c r="I737" s="48">
        <f>IFERROR(MINUS(DIVIDE(VLOOKUP($B737,Data!$B$3:$EZ1530,9,FALSE),VLOOKUP($B737,Data!$B$3:$EZ1530,10,FALSE)),1),"")</f>
        <v>0.3301845018</v>
      </c>
      <c r="J737" s="48">
        <f>IFERROR(MINUS(DIVIDE(VLOOKUP($B737,Data!$B$3:$EZ1530,24,FALSE),VLOOKUP($B737,Data!$B$3:$EZ1530,25,FALSE)),1),"")</f>
        <v>-0.3316455696</v>
      </c>
      <c r="K737" s="48">
        <f>IFERROR(MINUS(DIVIDE(VLOOKUP($B737,Data!$B$3:$EZ1530,29,FALSE),VLOOKUP($B737,Data!$B$3:$EZ1530,30,FALSE)),1),"")</f>
        <v>-0.3024240092</v>
      </c>
      <c r="L737" s="48">
        <f>IFERROR(MINUS(DIVIDE(VLOOKUP($B737,Data!$B$3:$EZ1530,34,FALSE),VLOOKUP($B737,Data!$B$3:$EZ1530,35,FALSE)),1),"")</f>
        <v>2.981273408</v>
      </c>
      <c r="M737" s="48">
        <f>IFERROR(MINUS(DIVIDE(VLOOKUP($B737,Data!$B$3:$EZ1530,39,FALSE),VLOOKUP($B737,Data!$B$3:$EZ1530,40,FALSE)),1),"")</f>
        <v>-0.238537859</v>
      </c>
      <c r="N737" s="48">
        <f>IFERROR(MINUS(DIVIDE(VLOOKUP($B737,Data!$B$3:$EZ1530,44,FALSE),VLOOKUP($B737,Data!$B$3:$EZ1530,45,FALSE)),1),"")</f>
        <v>0.2402763562</v>
      </c>
      <c r="O737" s="50">
        <f>IFERROR(VLOOKUP($B737,Data!$B$3:$D1530,2,FALSE),"")</f>
        <v>713840</v>
      </c>
      <c r="P737" s="50">
        <f>IFERROR(VLOOKUP($B737,Data!$B$3:$D1530,3,FALSE),"")</f>
        <v>608290</v>
      </c>
      <c r="Q737" s="48">
        <f t="shared" si="2"/>
        <v>0.1735192096</v>
      </c>
      <c r="R737" s="48"/>
      <c r="S737" s="48"/>
      <c r="T737" s="48"/>
      <c r="U737" s="48"/>
      <c r="V737" s="48"/>
      <c r="W737" s="50"/>
      <c r="Z737" s="15"/>
      <c r="AA737" s="15"/>
    </row>
    <row r="738">
      <c r="A738" s="9">
        <f t="shared" si="1"/>
        <v>735</v>
      </c>
      <c r="B738" s="47" t="s">
        <v>872</v>
      </c>
      <c r="C738" s="48">
        <f>IFERROR(DIVIDE(VLOOKUP($B738,Data!$B$3:$AB$1535,9,FALSE),VLOOKUP($B738,Data!$B$3:$AB$1535,4,FALSE)),"")</f>
        <v>0.189431116</v>
      </c>
      <c r="D738" s="48">
        <f>IFERROR(DIVIDE(VLOOKUP($B738,Data!$B$3:$AB$1535,24,FALSE),VLOOKUP($B738,Data!$B$3:$AB$1535,4,FALSE)),"")</f>
        <v>0</v>
      </c>
      <c r="E738" s="48">
        <f>IFERROR(DIVIDE(VLOOKUP($B738,Data!$B$3:$EZ1530,29,FALSE),VLOOKUP($B738,Data!$B$3:$EZ1530,4,FALSE)),"")</f>
        <v>0.06215921483</v>
      </c>
      <c r="F738" s="48">
        <f>IFERROR(DIVIDE(VLOOKUP($B738,Data!$B$3:$EZ1530,34,FALSE),VLOOKUP($B738,Data!$B$3:$EZ1530,4,FALSE)),"")</f>
        <v>0.244047619</v>
      </c>
      <c r="G738" s="48">
        <f>IFERROR(DIVIDE(VLOOKUP($B738,Data!$B$3:$EZ1530,39,FALSE),VLOOKUP($B738,Data!$B$3:$EZ1530,4,FALSE)),"")</f>
        <v>0.06193202472</v>
      </c>
      <c r="H738" s="48">
        <f>IFERROR(DIVIDE(VLOOKUP($B738,Data!$B$3:$EZ1530,44,FALSE),VLOOKUP($B738,Data!$B$3:$EZ1530,4,FALSE)),"")</f>
        <v>0.2315976009</v>
      </c>
      <c r="I738" s="48">
        <f>IFERROR(MINUS(DIVIDE(VLOOKUP($B738,Data!$B$3:$EZ1530,9,FALSE),VLOOKUP($B738,Data!$B$3:$EZ1530,10,FALSE)),1),"")</f>
        <v>0.1390710383</v>
      </c>
      <c r="J738" s="48" t="str">
        <f>IFERROR(MINUS(DIVIDE(VLOOKUP($B738,Data!$B$3:$EZ1530,24,FALSE),VLOOKUP($B738,Data!$B$3:$EZ1530,25,FALSE)),1),"")</f>
        <v/>
      </c>
      <c r="K738" s="48">
        <f>IFERROR(MINUS(DIVIDE(VLOOKUP($B738,Data!$B$3:$EZ1530,29,FALSE),VLOOKUP($B738,Data!$B$3:$EZ1530,30,FALSE)),1),"")</f>
        <v>0.1505466779</v>
      </c>
      <c r="L738" s="48">
        <f>IFERROR(MINUS(DIVIDE(VLOOKUP($B738,Data!$B$3:$EZ1530,34,FALSE),VLOOKUP($B738,Data!$B$3:$EZ1530,35,FALSE)),1),"")</f>
        <v>0.08461227787</v>
      </c>
      <c r="M738" s="48">
        <f>IFERROR(MINUS(DIVIDE(VLOOKUP($B738,Data!$B$3:$EZ1530,39,FALSE),VLOOKUP($B738,Data!$B$3:$EZ1530,40,FALSE)),1),"")</f>
        <v>0.1570458404</v>
      </c>
      <c r="N738" s="48">
        <f>IFERROR(MINUS(DIVIDE(VLOOKUP($B738,Data!$B$3:$EZ1530,44,FALSE),VLOOKUP($B738,Data!$B$3:$EZ1530,45,FALSE)),1),"")</f>
        <v>-0.2039668905</v>
      </c>
      <c r="O738" s="50">
        <f>IFERROR(VLOOKUP($B738,Data!$B$3:$D1530,2,FALSE),"")</f>
        <v>200860</v>
      </c>
      <c r="P738" s="50">
        <f>IFERROR(VLOOKUP($B738,Data!$B$3:$D1530,3,FALSE),"")</f>
        <v>198830</v>
      </c>
      <c r="Q738" s="48">
        <f t="shared" si="2"/>
        <v>0.0102097269</v>
      </c>
      <c r="R738" s="48"/>
      <c r="S738" s="48"/>
      <c r="T738" s="48"/>
      <c r="U738" s="48"/>
      <c r="V738" s="48"/>
      <c r="W738" s="50"/>
      <c r="Z738" s="11"/>
      <c r="AA738" s="11"/>
    </row>
    <row r="739">
      <c r="A739" s="9">
        <f t="shared" si="1"/>
        <v>736</v>
      </c>
      <c r="B739" s="47" t="s">
        <v>873</v>
      </c>
      <c r="C739" s="48" t="str">
        <f>IFERROR(DIVIDE(VLOOKUP($B739,Data!$B$3:$AB$1535,9,FALSE),VLOOKUP($B739,Data!$B$3:$AB$1535,4,FALSE)),"")</f>
        <v/>
      </c>
      <c r="D739" s="48" t="str">
        <f>IFERROR(DIVIDE(VLOOKUP($B739,Data!$B$3:$AB$1535,24,FALSE),VLOOKUP($B739,Data!$B$3:$AB$1535,4,FALSE)),"")</f>
        <v/>
      </c>
      <c r="E739" s="48" t="str">
        <f>IFERROR(DIVIDE(VLOOKUP($B739,Data!$B$3:$EZ1530,29,FALSE),VLOOKUP($B739,Data!$B$3:$EZ1530,4,FALSE)),"")</f>
        <v/>
      </c>
      <c r="F739" s="48" t="str">
        <f>IFERROR(DIVIDE(VLOOKUP($B739,Data!$B$3:$EZ1530,34,FALSE),VLOOKUP($B739,Data!$B$3:$EZ1530,4,FALSE)),"")</f>
        <v/>
      </c>
      <c r="G739" s="48" t="str">
        <f>IFERROR(DIVIDE(VLOOKUP($B739,Data!$B$3:$EZ1530,39,FALSE),VLOOKUP($B739,Data!$B$3:$EZ1530,4,FALSE)),"")</f>
        <v/>
      </c>
      <c r="H739" s="48" t="str">
        <f>IFERROR(DIVIDE(VLOOKUP($B739,Data!$B$3:$EZ1530,44,FALSE),VLOOKUP($B739,Data!$B$3:$EZ1530,4,FALSE)),"")</f>
        <v/>
      </c>
      <c r="I739" s="48" t="str">
        <f>IFERROR(MINUS(DIVIDE(VLOOKUP($B739,Data!$B$3:$EZ1530,9,FALSE),VLOOKUP($B739,Data!$B$3:$EZ1530,10,FALSE)),1),"")</f>
        <v/>
      </c>
      <c r="J739" s="48" t="str">
        <f>IFERROR(MINUS(DIVIDE(VLOOKUP($B739,Data!$B$3:$EZ1530,24,FALSE),VLOOKUP($B739,Data!$B$3:$EZ1530,25,FALSE)),1),"")</f>
        <v/>
      </c>
      <c r="K739" s="48" t="str">
        <f>IFERROR(MINUS(DIVIDE(VLOOKUP($B739,Data!$B$3:$EZ1530,29,FALSE),VLOOKUP($B739,Data!$B$3:$EZ1530,30,FALSE)),1),"")</f>
        <v/>
      </c>
      <c r="L739" s="48" t="str">
        <f>IFERROR(MINUS(DIVIDE(VLOOKUP($B739,Data!$B$3:$EZ1530,34,FALSE),VLOOKUP($B739,Data!$B$3:$EZ1530,35,FALSE)),1),"")</f>
        <v/>
      </c>
      <c r="M739" s="48" t="str">
        <f>IFERROR(MINUS(DIVIDE(VLOOKUP($B739,Data!$B$3:$EZ1530,39,FALSE),VLOOKUP($B739,Data!$B$3:$EZ1530,40,FALSE)),1),"")</f>
        <v/>
      </c>
      <c r="N739" s="48" t="str">
        <f>IFERROR(MINUS(DIVIDE(VLOOKUP($B739,Data!$B$3:$EZ1530,44,FALSE),VLOOKUP($B739,Data!$B$3:$EZ1530,45,FALSE)),1),"")</f>
        <v/>
      </c>
      <c r="O739" s="50" t="str">
        <f>IFERROR(VLOOKUP($B739,Data!$B$3:$D1530,2,FALSE),"")</f>
        <v/>
      </c>
      <c r="P739" s="50" t="str">
        <f>IFERROR(VLOOKUP($B739,Data!$B$3:$D1530,3,FALSE),"")</f>
        <v/>
      </c>
      <c r="Q739" s="48" t="str">
        <f t="shared" si="2"/>
        <v/>
      </c>
      <c r="R739" s="48"/>
      <c r="S739" s="48"/>
      <c r="T739" s="48"/>
      <c r="U739" s="48"/>
      <c r="V739" s="48"/>
      <c r="W739" s="50"/>
      <c r="Z739" s="15"/>
      <c r="AA739" s="15"/>
    </row>
    <row r="740">
      <c r="A740" s="9">
        <f t="shared" si="1"/>
        <v>737</v>
      </c>
      <c r="B740" s="47" t="s">
        <v>874</v>
      </c>
      <c r="C740" s="48">
        <f>IFERROR(DIVIDE(VLOOKUP($B740,Data!$B$3:$AB$1535,9,FALSE),VLOOKUP($B740,Data!$B$3:$AB$1535,4,FALSE)),"")</f>
        <v>0.2335437331</v>
      </c>
      <c r="D740" s="48">
        <f>IFERROR(DIVIDE(VLOOKUP($B740,Data!$B$3:$AB$1535,24,FALSE),VLOOKUP($B740,Data!$B$3:$AB$1535,4,FALSE)),"")</f>
        <v>0.06871055005</v>
      </c>
      <c r="E740" s="48">
        <f>IFERROR(DIVIDE(VLOOKUP($B740,Data!$B$3:$EZ1530,29,FALSE),VLOOKUP($B740,Data!$B$3:$EZ1530,4,FALSE)),"")</f>
        <v>0.03174030658</v>
      </c>
      <c r="F740" s="48">
        <f>IFERROR(DIVIDE(VLOOKUP($B740,Data!$B$3:$EZ1530,34,FALSE),VLOOKUP($B740,Data!$B$3:$EZ1530,4,FALSE)),"")</f>
        <v>0.1857529306</v>
      </c>
      <c r="G740" s="48">
        <f>IFERROR(DIVIDE(VLOOKUP($B740,Data!$B$3:$EZ1530,39,FALSE),VLOOKUP($B740,Data!$B$3:$EZ1530,4,FALSE)),"")</f>
        <v>0.01722272317</v>
      </c>
      <c r="H740" s="48">
        <f>IFERROR(DIVIDE(VLOOKUP($B740,Data!$B$3:$EZ1530,44,FALSE),VLOOKUP($B740,Data!$B$3:$EZ1530,4,FALSE)),"")</f>
        <v>0.1280432822</v>
      </c>
      <c r="I740" s="48">
        <f>IFERROR(MINUS(DIVIDE(VLOOKUP($B740,Data!$B$3:$EZ1530,9,FALSE),VLOOKUP($B740,Data!$B$3:$EZ1530,10,FALSE)),1),"")</f>
        <v>0.02371541502</v>
      </c>
      <c r="J740" s="48">
        <f>IFERROR(MINUS(DIVIDE(VLOOKUP($B740,Data!$B$3:$EZ1530,24,FALSE),VLOOKUP($B740,Data!$B$3:$EZ1530,25,FALSE)),1),"")</f>
        <v>0.06573426573</v>
      </c>
      <c r="K740" s="48">
        <f>IFERROR(MINUS(DIVIDE(VLOOKUP($B740,Data!$B$3:$EZ1530,29,FALSE),VLOOKUP($B740,Data!$B$3:$EZ1530,30,FALSE)),1),"")</f>
        <v>0.07317073171</v>
      </c>
      <c r="L740" s="48">
        <f>IFERROR(MINUS(DIVIDE(VLOOKUP($B740,Data!$B$3:$EZ1530,34,FALSE),VLOOKUP($B740,Data!$B$3:$EZ1530,35,FALSE)),1),"")</f>
        <v>0.05641025641</v>
      </c>
      <c r="M740" s="48">
        <f>IFERROR(MINUS(DIVIDE(VLOOKUP($B740,Data!$B$3:$EZ1530,39,FALSE),VLOOKUP($B740,Data!$B$3:$EZ1530,40,FALSE)),1),"")</f>
        <v>-0.2625482625</v>
      </c>
      <c r="N740" s="48">
        <f>IFERROR(MINUS(DIVIDE(VLOOKUP($B740,Data!$B$3:$EZ1530,44,FALSE),VLOOKUP($B740,Data!$B$3:$EZ1530,45,FALSE)),1),"")</f>
        <v>0.136</v>
      </c>
      <c r="O740" s="50">
        <f>IFERROR(VLOOKUP($B740,Data!$B$3:$D1530,2,FALSE),"")</f>
        <v>12200000</v>
      </c>
      <c r="P740" s="50">
        <f>IFERROR(VLOOKUP($B740,Data!$B$3:$D1530,3,FALSE),"")</f>
        <v>11010000</v>
      </c>
      <c r="Q740" s="48">
        <f t="shared" si="2"/>
        <v>0.1080835604</v>
      </c>
      <c r="R740" s="48"/>
      <c r="S740" s="48"/>
      <c r="T740" s="48"/>
      <c r="U740" s="48"/>
      <c r="V740" s="48"/>
      <c r="W740" s="50"/>
      <c r="Z740" s="15"/>
      <c r="AA740" s="15"/>
    </row>
    <row r="741">
      <c r="A741" s="9">
        <f t="shared" si="1"/>
        <v>738</v>
      </c>
      <c r="B741" s="47" t="s">
        <v>875</v>
      </c>
      <c r="C741" s="48" t="str">
        <f>IFERROR(DIVIDE(VLOOKUP($B741,Data!$B$3:$AB$1535,9,FALSE),VLOOKUP($B741,Data!$B$3:$AB$1535,4,FALSE)),"")</f>
        <v/>
      </c>
      <c r="D741" s="48" t="str">
        <f>IFERROR(DIVIDE(VLOOKUP($B741,Data!$B$3:$AB$1535,24,FALSE),VLOOKUP($B741,Data!$B$3:$AB$1535,4,FALSE)),"")</f>
        <v/>
      </c>
      <c r="E741" s="48" t="str">
        <f>IFERROR(DIVIDE(VLOOKUP($B741,Data!$B$3:$EZ1530,29,FALSE),VLOOKUP($B741,Data!$B$3:$EZ1530,4,FALSE)),"")</f>
        <v/>
      </c>
      <c r="F741" s="48" t="str">
        <f>IFERROR(DIVIDE(VLOOKUP($B741,Data!$B$3:$EZ1530,34,FALSE),VLOOKUP($B741,Data!$B$3:$EZ1530,4,FALSE)),"")</f>
        <v/>
      </c>
      <c r="G741" s="48" t="str">
        <f>IFERROR(DIVIDE(VLOOKUP($B741,Data!$B$3:$EZ1530,39,FALSE),VLOOKUP($B741,Data!$B$3:$EZ1530,4,FALSE)),"")</f>
        <v/>
      </c>
      <c r="H741" s="48" t="str">
        <f>IFERROR(DIVIDE(VLOOKUP($B741,Data!$B$3:$EZ1530,44,FALSE),VLOOKUP($B741,Data!$B$3:$EZ1530,4,FALSE)),"")</f>
        <v/>
      </c>
      <c r="I741" s="48" t="str">
        <f>IFERROR(MINUS(DIVIDE(VLOOKUP($B741,Data!$B$3:$EZ1530,9,FALSE),VLOOKUP($B741,Data!$B$3:$EZ1530,10,FALSE)),1),"")</f>
        <v/>
      </c>
      <c r="J741" s="48" t="str">
        <f>IFERROR(MINUS(DIVIDE(VLOOKUP($B741,Data!$B$3:$EZ1530,24,FALSE),VLOOKUP($B741,Data!$B$3:$EZ1530,25,FALSE)),1),"")</f>
        <v/>
      </c>
      <c r="K741" s="48" t="str">
        <f>IFERROR(MINUS(DIVIDE(VLOOKUP($B741,Data!$B$3:$EZ1530,29,FALSE),VLOOKUP($B741,Data!$B$3:$EZ1530,30,FALSE)),1),"")</f>
        <v/>
      </c>
      <c r="L741" s="48" t="str">
        <f>IFERROR(MINUS(DIVIDE(VLOOKUP($B741,Data!$B$3:$EZ1530,34,FALSE),VLOOKUP($B741,Data!$B$3:$EZ1530,35,FALSE)),1),"")</f>
        <v/>
      </c>
      <c r="M741" s="48" t="str">
        <f>IFERROR(MINUS(DIVIDE(VLOOKUP($B741,Data!$B$3:$EZ1530,39,FALSE),VLOOKUP($B741,Data!$B$3:$EZ1530,40,FALSE)),1),"")</f>
        <v/>
      </c>
      <c r="N741" s="48" t="str">
        <f>IFERROR(MINUS(DIVIDE(VLOOKUP($B741,Data!$B$3:$EZ1530,44,FALSE),VLOOKUP($B741,Data!$B$3:$EZ1530,45,FALSE)),1),"")</f>
        <v/>
      </c>
      <c r="O741" s="50">
        <f>IFERROR(VLOOKUP($B741,Data!$B$3:$D1530,2,FALSE),"")</f>
        <v>5570000</v>
      </c>
      <c r="P741" s="50">
        <f>IFERROR(VLOOKUP($B741,Data!$B$3:$D1530,3,FALSE),"")</f>
        <v>5070000</v>
      </c>
      <c r="Q741" s="48">
        <f t="shared" si="2"/>
        <v>0.09861932939</v>
      </c>
      <c r="R741" s="48"/>
      <c r="S741" s="48"/>
      <c r="T741" s="48"/>
      <c r="U741" s="48"/>
      <c r="V741" s="48"/>
      <c r="W741" s="50"/>
      <c r="Z741" s="12"/>
      <c r="AA741" s="12"/>
    </row>
    <row r="742">
      <c r="A742" s="9">
        <f t="shared" si="1"/>
        <v>739</v>
      </c>
      <c r="B742" s="47" t="s">
        <v>876</v>
      </c>
      <c r="C742" s="48">
        <f>IFERROR(DIVIDE(VLOOKUP($B742,Data!$B$3:$AB$1535,9,FALSE),VLOOKUP($B742,Data!$B$3:$AB$1535,4,FALSE)),"")</f>
        <v>0.4470991736</v>
      </c>
      <c r="D742" s="48">
        <f>IFERROR(DIVIDE(VLOOKUP($B742,Data!$B$3:$AB$1535,24,FALSE),VLOOKUP($B742,Data!$B$3:$AB$1535,4,FALSE)),"")</f>
        <v>0.07009917355</v>
      </c>
      <c r="E742" s="48">
        <f>IFERROR(DIVIDE(VLOOKUP($B742,Data!$B$3:$EZ1530,29,FALSE),VLOOKUP($B742,Data!$B$3:$EZ1530,4,FALSE)),"")</f>
        <v>0.08167768595</v>
      </c>
      <c r="F742" s="48">
        <f>IFERROR(DIVIDE(VLOOKUP($B742,Data!$B$3:$EZ1530,34,FALSE),VLOOKUP($B742,Data!$B$3:$EZ1530,4,FALSE)),"")</f>
        <v>0.1007355372</v>
      </c>
      <c r="G742" s="48">
        <f>IFERROR(DIVIDE(VLOOKUP($B742,Data!$B$3:$EZ1530,39,FALSE),VLOOKUP($B742,Data!$B$3:$EZ1530,4,FALSE)),"")</f>
        <v>0.07049586777</v>
      </c>
      <c r="H742" s="48">
        <f>IFERROR(DIVIDE(VLOOKUP($B742,Data!$B$3:$EZ1530,44,FALSE),VLOOKUP($B742,Data!$B$3:$EZ1530,4,FALSE)),"")</f>
        <v>0.1074793388</v>
      </c>
      <c r="I742" s="48">
        <f>IFERROR(MINUS(DIVIDE(VLOOKUP($B742,Data!$B$3:$EZ1530,9,FALSE),VLOOKUP($B742,Data!$B$3:$EZ1530,10,FALSE)),1),"")</f>
        <v>-0.02313109426</v>
      </c>
      <c r="J742" s="48">
        <f>IFERROR(MINUS(DIVIDE(VLOOKUP($B742,Data!$B$3:$EZ1530,24,FALSE),VLOOKUP($B742,Data!$B$3:$EZ1530,25,FALSE)),1),"")</f>
        <v>-0.2060282692</v>
      </c>
      <c r="K742" s="48">
        <f>IFERROR(MINUS(DIVIDE(VLOOKUP($B742,Data!$B$3:$EZ1530,29,FALSE),VLOOKUP($B742,Data!$B$3:$EZ1530,30,FALSE)),1),"")</f>
        <v>-0.09013073099</v>
      </c>
      <c r="L742" s="48">
        <f>IFERROR(MINUS(DIVIDE(VLOOKUP($B742,Data!$B$3:$EZ1530,34,FALSE),VLOOKUP($B742,Data!$B$3:$EZ1530,35,FALSE)),1),"")</f>
        <v>-0.1405908482</v>
      </c>
      <c r="M742" s="48">
        <f>IFERROR(MINUS(DIVIDE(VLOOKUP($B742,Data!$B$3:$EZ1530,39,FALSE),VLOOKUP($B742,Data!$B$3:$EZ1530,40,FALSE)),1),"")</f>
        <v>-0.03057165587</v>
      </c>
      <c r="N742" s="48">
        <f>IFERROR(MINUS(DIVIDE(VLOOKUP($B742,Data!$B$3:$EZ1530,44,FALSE),VLOOKUP($B742,Data!$B$3:$EZ1530,45,FALSE)),1),"")</f>
        <v>0.8140605384</v>
      </c>
      <c r="O742" s="50">
        <f>IFERROR(VLOOKUP($B742,Data!$B$3:$D1530,2,FALSE),"")</f>
        <v>1330000</v>
      </c>
      <c r="P742" s="50">
        <f>IFERROR(VLOOKUP($B742,Data!$B$3:$D1530,3,FALSE),"")</f>
        <v>1230000</v>
      </c>
      <c r="Q742" s="48">
        <f t="shared" si="2"/>
        <v>0.08130081301</v>
      </c>
      <c r="R742" s="48"/>
      <c r="S742" s="48"/>
      <c r="T742" s="48"/>
      <c r="U742" s="48"/>
      <c r="V742" s="48"/>
      <c r="W742" s="50"/>
      <c r="Z742" s="11"/>
      <c r="AA742" s="11"/>
    </row>
    <row r="743">
      <c r="A743" s="9">
        <f t="shared" si="1"/>
        <v>740</v>
      </c>
      <c r="B743" s="47" t="s">
        <v>877</v>
      </c>
      <c r="C743" s="48">
        <f>IFERROR(DIVIDE(VLOOKUP($B743,Data!$B$3:$AB$1535,9,FALSE),VLOOKUP($B743,Data!$B$3:$AB$1535,4,FALSE)),"")</f>
        <v>0.9312574403</v>
      </c>
      <c r="D743" s="48">
        <f>IFERROR(DIVIDE(VLOOKUP($B743,Data!$B$3:$AB$1535,24,FALSE),VLOOKUP($B743,Data!$B$3:$AB$1535,4,FALSE)),"")</f>
        <v>0.215144371</v>
      </c>
      <c r="E743" s="48">
        <f>IFERROR(DIVIDE(VLOOKUP($B743,Data!$B$3:$EZ1530,29,FALSE),VLOOKUP($B743,Data!$B$3:$EZ1530,4,FALSE)),"")</f>
        <v>0.1375784879</v>
      </c>
      <c r="F743" s="48">
        <f>IFERROR(DIVIDE(VLOOKUP($B743,Data!$B$3:$EZ1530,34,FALSE),VLOOKUP($B743,Data!$B$3:$EZ1530,4,FALSE)),"")</f>
        <v>0.2862211433</v>
      </c>
      <c r="G743" s="48">
        <f>IFERROR(DIVIDE(VLOOKUP($B743,Data!$B$3:$EZ1530,39,FALSE),VLOOKUP($B743,Data!$B$3:$EZ1530,4,FALSE)),"")</f>
        <v>0.1375784879</v>
      </c>
      <c r="H743" s="48">
        <f>IFERROR(DIVIDE(VLOOKUP($B743,Data!$B$3:$EZ1530,44,FALSE),VLOOKUP($B743,Data!$B$3:$EZ1530,4,FALSE)),"")</f>
        <v>0.05315001984</v>
      </c>
      <c r="I743" s="48">
        <f>IFERROR(MINUS(DIVIDE(VLOOKUP($B743,Data!$B$3:$EZ1530,9,FALSE),VLOOKUP($B743,Data!$B$3:$EZ1530,10,FALSE)),1),"")</f>
        <v>0.3214096449</v>
      </c>
      <c r="J743" s="48">
        <f>IFERROR(MINUS(DIVIDE(VLOOKUP($B743,Data!$B$3:$EZ1530,24,FALSE),VLOOKUP($B743,Data!$B$3:$EZ1530,25,FALSE)),1),"")</f>
        <v>-1.638075459</v>
      </c>
      <c r="K743" s="48">
        <f>IFERROR(MINUS(DIVIDE(VLOOKUP($B743,Data!$B$3:$EZ1530,29,FALSE),VLOOKUP($B743,Data!$B$3:$EZ1530,30,FALSE)),1),"")</f>
        <v>-1.303579706</v>
      </c>
      <c r="L743" s="48">
        <f>IFERROR(MINUS(DIVIDE(VLOOKUP($B743,Data!$B$3:$EZ1530,34,FALSE),VLOOKUP($B743,Data!$B$3:$EZ1530,35,FALSE)),1),"")</f>
        <v>-42.01003344</v>
      </c>
      <c r="M743" s="48">
        <f>IFERROR(MINUS(DIVIDE(VLOOKUP($B743,Data!$B$3:$EZ1530,39,FALSE),VLOOKUP($B743,Data!$B$3:$EZ1530,40,FALSE)),1),"")</f>
        <v>-1.303579706</v>
      </c>
      <c r="N743" s="48">
        <f>IFERROR(MINUS(DIVIDE(VLOOKUP($B743,Data!$B$3:$EZ1530,44,FALSE),VLOOKUP($B743,Data!$B$3:$EZ1530,45,FALSE)),1),"")</f>
        <v>-1.321247178</v>
      </c>
      <c r="O743" s="50">
        <f>IFERROR(VLOOKUP($B743,Data!$B$3:$D1530,2,FALSE),"")</f>
        <v>407790</v>
      </c>
      <c r="P743" s="50">
        <f>IFERROR(VLOOKUP($B743,Data!$B$3:$D1530,3,FALSE),"")</f>
        <v>372780</v>
      </c>
      <c r="Q743" s="48">
        <f t="shared" si="2"/>
        <v>0.09391598262</v>
      </c>
      <c r="R743" s="48"/>
      <c r="S743" s="48"/>
      <c r="T743" s="48"/>
      <c r="U743" s="48"/>
      <c r="V743" s="48"/>
      <c r="W743" s="50"/>
      <c r="Z743" s="11"/>
      <c r="AA743" s="11"/>
    </row>
    <row r="744">
      <c r="A744" s="9">
        <f t="shared" si="1"/>
        <v>741</v>
      </c>
      <c r="B744" s="47" t="s">
        <v>878</v>
      </c>
      <c r="C744" s="48" t="str">
        <f>IFERROR(DIVIDE(VLOOKUP($B744,Data!$B$3:$AB$1535,9,FALSE),VLOOKUP($B744,Data!$B$3:$AB$1535,4,FALSE)),"")</f>
        <v/>
      </c>
      <c r="D744" s="48" t="str">
        <f>IFERROR(DIVIDE(VLOOKUP($B744,Data!$B$3:$AB$1535,24,FALSE),VLOOKUP($B744,Data!$B$3:$AB$1535,4,FALSE)),"")</f>
        <v/>
      </c>
      <c r="E744" s="48" t="str">
        <f>IFERROR(DIVIDE(VLOOKUP($B744,Data!$B$3:$EZ1530,29,FALSE),VLOOKUP($B744,Data!$B$3:$EZ1530,4,FALSE)),"")</f>
        <v/>
      </c>
      <c r="F744" s="48" t="str">
        <f>IFERROR(DIVIDE(VLOOKUP($B744,Data!$B$3:$EZ1530,34,FALSE),VLOOKUP($B744,Data!$B$3:$EZ1530,4,FALSE)),"")</f>
        <v/>
      </c>
      <c r="G744" s="48" t="str">
        <f>IFERROR(DIVIDE(VLOOKUP($B744,Data!$B$3:$EZ1530,39,FALSE),VLOOKUP($B744,Data!$B$3:$EZ1530,4,FALSE)),"")</f>
        <v/>
      </c>
      <c r="H744" s="48" t="str">
        <f>IFERROR(DIVIDE(VLOOKUP($B744,Data!$B$3:$EZ1530,44,FALSE),VLOOKUP($B744,Data!$B$3:$EZ1530,4,FALSE)),"")</f>
        <v/>
      </c>
      <c r="I744" s="48" t="str">
        <f>IFERROR(MINUS(DIVIDE(VLOOKUP($B744,Data!$B$3:$EZ1530,9,FALSE),VLOOKUP($B744,Data!$B$3:$EZ1530,10,FALSE)),1),"")</f>
        <v/>
      </c>
      <c r="J744" s="48" t="str">
        <f>IFERROR(MINUS(DIVIDE(VLOOKUP($B744,Data!$B$3:$EZ1530,24,FALSE),VLOOKUP($B744,Data!$B$3:$EZ1530,25,FALSE)),1),"")</f>
        <v/>
      </c>
      <c r="K744" s="48" t="str">
        <f>IFERROR(MINUS(DIVIDE(VLOOKUP($B744,Data!$B$3:$EZ1530,29,FALSE),VLOOKUP($B744,Data!$B$3:$EZ1530,30,FALSE)),1),"")</f>
        <v/>
      </c>
      <c r="L744" s="48" t="str">
        <f>IFERROR(MINUS(DIVIDE(VLOOKUP($B744,Data!$B$3:$EZ1530,34,FALSE),VLOOKUP($B744,Data!$B$3:$EZ1530,35,FALSE)),1),"")</f>
        <v/>
      </c>
      <c r="M744" s="48" t="str">
        <f>IFERROR(MINUS(DIVIDE(VLOOKUP($B744,Data!$B$3:$EZ1530,39,FALSE),VLOOKUP($B744,Data!$B$3:$EZ1530,40,FALSE)),1),"")</f>
        <v/>
      </c>
      <c r="N744" s="48" t="str">
        <f>IFERROR(MINUS(DIVIDE(VLOOKUP($B744,Data!$B$3:$EZ1530,44,FALSE),VLOOKUP($B744,Data!$B$3:$EZ1530,45,FALSE)),1),"")</f>
        <v/>
      </c>
      <c r="O744" s="50" t="str">
        <f>IFERROR(VLOOKUP($B744,Data!$B$3:$D1530,2,FALSE),"")</f>
        <v/>
      </c>
      <c r="P744" s="50" t="str">
        <f>IFERROR(VLOOKUP($B744,Data!$B$3:$D1530,3,FALSE),"")</f>
        <v/>
      </c>
      <c r="Q744" s="48" t="str">
        <f t="shared" si="2"/>
        <v/>
      </c>
      <c r="R744" s="48"/>
      <c r="S744" s="48"/>
      <c r="T744" s="48"/>
      <c r="U744" s="48"/>
      <c r="V744" s="48"/>
      <c r="W744" s="50"/>
      <c r="Z744" s="11"/>
      <c r="AA744" s="11"/>
    </row>
    <row r="745">
      <c r="A745" s="9">
        <f t="shared" si="1"/>
        <v>742</v>
      </c>
      <c r="B745" s="47" t="s">
        <v>879</v>
      </c>
      <c r="C745" s="48">
        <f>IFERROR(DIVIDE(VLOOKUP($B745,Data!$B$3:$AB$1535,9,FALSE),VLOOKUP($B745,Data!$B$3:$AB$1535,4,FALSE)),"")</f>
        <v>0.6919642857</v>
      </c>
      <c r="D745" s="48">
        <f>IFERROR(DIVIDE(VLOOKUP($B745,Data!$B$3:$AB$1535,24,FALSE),VLOOKUP($B745,Data!$B$3:$AB$1535,4,FALSE)),"")</f>
        <v>0.3080357143</v>
      </c>
      <c r="E745" s="48">
        <f>IFERROR(DIVIDE(VLOOKUP($B745,Data!$B$3:$EZ1530,29,FALSE),VLOOKUP($B745,Data!$B$3:$EZ1530,4,FALSE)),"")</f>
        <v>0.3348214286</v>
      </c>
      <c r="F745" s="48">
        <f>IFERROR(DIVIDE(VLOOKUP($B745,Data!$B$3:$EZ1530,34,FALSE),VLOOKUP($B745,Data!$B$3:$EZ1530,4,FALSE)),"")</f>
        <v>0.3504464286</v>
      </c>
      <c r="G745" s="48">
        <f>IFERROR(DIVIDE(VLOOKUP($B745,Data!$B$3:$EZ1530,39,FALSE),VLOOKUP($B745,Data!$B$3:$EZ1530,4,FALSE)),"")</f>
        <v>0.3080357143</v>
      </c>
      <c r="H745" s="48">
        <f>IFERROR(DIVIDE(VLOOKUP($B745,Data!$B$3:$EZ1530,44,FALSE),VLOOKUP($B745,Data!$B$3:$EZ1530,4,FALSE)),"")</f>
        <v>0.3571428571</v>
      </c>
      <c r="I745" s="48">
        <f>IFERROR(MINUS(DIVIDE(VLOOKUP($B745,Data!$B$3:$EZ1530,9,FALSE),VLOOKUP($B745,Data!$B$3:$EZ1530,10,FALSE)),1),"")</f>
        <v>0.1923076923</v>
      </c>
      <c r="J745" s="48">
        <f>IFERROR(MINUS(DIVIDE(VLOOKUP($B745,Data!$B$3:$EZ1530,24,FALSE),VLOOKUP($B745,Data!$B$3:$EZ1530,25,FALSE)),1),"")</f>
        <v>0.1404958678</v>
      </c>
      <c r="K745" s="48">
        <f>IFERROR(MINUS(DIVIDE(VLOOKUP($B745,Data!$B$3:$EZ1530,29,FALSE),VLOOKUP($B745,Data!$B$3:$EZ1530,30,FALSE)),1),"")</f>
        <v>0.171875</v>
      </c>
      <c r="L745" s="48">
        <f>IFERROR(MINUS(DIVIDE(VLOOKUP($B745,Data!$B$3:$EZ1530,34,FALSE),VLOOKUP($B745,Data!$B$3:$EZ1530,35,FALSE)),1),"")</f>
        <v>0.1544117647</v>
      </c>
      <c r="M745" s="48">
        <f>IFERROR(MINUS(DIVIDE(VLOOKUP($B745,Data!$B$3:$EZ1530,39,FALSE),VLOOKUP($B745,Data!$B$3:$EZ1530,40,FALSE)),1),"")</f>
        <v>0.2212389381</v>
      </c>
      <c r="N745" s="48">
        <f>IFERROR(MINUS(DIVIDE(VLOOKUP($B745,Data!$B$3:$EZ1530,44,FALSE),VLOOKUP($B745,Data!$B$3:$EZ1530,45,FALSE)),1),"")</f>
        <v>0.3675213675</v>
      </c>
      <c r="O745" s="50">
        <f>IFERROR(VLOOKUP($B745,Data!$B$3:$D1530,2,FALSE),"")</f>
        <v>4970000</v>
      </c>
      <c r="P745" s="50">
        <f>IFERROR(VLOOKUP($B745,Data!$B$3:$D1530,3,FALSE),"")</f>
        <v>4160000</v>
      </c>
      <c r="Q745" s="48">
        <f t="shared" si="2"/>
        <v>0.1947115385</v>
      </c>
      <c r="R745" s="48"/>
      <c r="S745" s="48"/>
      <c r="T745" s="48"/>
      <c r="U745" s="48"/>
      <c r="V745" s="48"/>
      <c r="W745" s="50"/>
      <c r="Z745" s="11"/>
      <c r="AA745" s="11"/>
    </row>
    <row r="746">
      <c r="A746" s="9">
        <f t="shared" si="1"/>
        <v>743</v>
      </c>
      <c r="B746" s="47" t="s">
        <v>880</v>
      </c>
      <c r="C746" s="48">
        <f>IFERROR(DIVIDE(VLOOKUP($B746,Data!$B$3:$AB$1535,9,FALSE),VLOOKUP($B746,Data!$B$3:$AB$1535,4,FALSE)),"")</f>
        <v>0</v>
      </c>
      <c r="D746" s="48">
        <f>IFERROR(DIVIDE(VLOOKUP($B746,Data!$B$3:$AB$1535,24,FALSE),VLOOKUP($B746,Data!$B$3:$AB$1535,4,FALSE)),"")</f>
        <v>0</v>
      </c>
      <c r="E746" s="48">
        <f>IFERROR(DIVIDE(VLOOKUP($B746,Data!$B$3:$EZ1530,29,FALSE),VLOOKUP($B746,Data!$B$3:$EZ1530,4,FALSE)),"")</f>
        <v>-2421.639344</v>
      </c>
      <c r="F746" s="48">
        <f>IFERROR(DIVIDE(VLOOKUP($B746,Data!$B$3:$EZ1530,34,FALSE),VLOOKUP($B746,Data!$B$3:$EZ1530,4,FALSE)),"")</f>
        <v>-2516.885246</v>
      </c>
      <c r="G746" s="48">
        <f>IFERROR(DIVIDE(VLOOKUP($B746,Data!$B$3:$EZ1530,39,FALSE),VLOOKUP($B746,Data!$B$3:$EZ1530,4,FALSE)),"")</f>
        <v>-2421.639344</v>
      </c>
      <c r="H746" s="48">
        <f>IFERROR(DIVIDE(VLOOKUP($B746,Data!$B$3:$EZ1530,44,FALSE),VLOOKUP($B746,Data!$B$3:$EZ1530,4,FALSE)),"")</f>
        <v>-2112.622951</v>
      </c>
      <c r="I746" s="48">
        <f>IFERROR(MINUS(DIVIDE(VLOOKUP($B746,Data!$B$3:$EZ1530,9,FALSE),VLOOKUP($B746,Data!$B$3:$EZ1530,10,FALSE)),1),"")</f>
        <v>-1</v>
      </c>
      <c r="J746" s="48" t="str">
        <f>IFERROR(MINUS(DIVIDE(VLOOKUP($B746,Data!$B$3:$EZ1530,24,FALSE),VLOOKUP($B746,Data!$B$3:$EZ1530,25,FALSE)),1),"")</f>
        <v/>
      </c>
      <c r="K746" s="48">
        <f>IFERROR(MINUS(DIVIDE(VLOOKUP($B746,Data!$B$3:$EZ1530,29,FALSE),VLOOKUP($B746,Data!$B$3:$EZ1530,30,FALSE)),1),"")</f>
        <v>-0.04776638948</v>
      </c>
      <c r="L746" s="48">
        <f>IFERROR(MINUS(DIVIDE(VLOOKUP($B746,Data!$B$3:$EZ1530,34,FALSE),VLOOKUP($B746,Data!$B$3:$EZ1530,35,FALSE)),1),"")</f>
        <v>-0.05169857937</v>
      </c>
      <c r="M746" s="48">
        <f>IFERROR(MINUS(DIVIDE(VLOOKUP($B746,Data!$B$3:$EZ1530,39,FALSE),VLOOKUP($B746,Data!$B$3:$EZ1530,40,FALSE)),1),"")</f>
        <v>-0.04776638948</v>
      </c>
      <c r="N746" s="48">
        <f>IFERROR(MINUS(DIVIDE(VLOOKUP($B746,Data!$B$3:$EZ1530,44,FALSE),VLOOKUP($B746,Data!$B$3:$EZ1530,45,FALSE)),1),"")</f>
        <v>0.09054751629</v>
      </c>
      <c r="O746" s="50">
        <f>IFERROR(VLOOKUP($B746,Data!$B$3:$D1530,2,FALSE),"")</f>
        <v>119610</v>
      </c>
      <c r="P746" s="50">
        <f>IFERROR(VLOOKUP($B746,Data!$B$3:$D1530,3,FALSE),"")</f>
        <v>21260</v>
      </c>
      <c r="Q746" s="48">
        <f t="shared" si="2"/>
        <v>4.626058325</v>
      </c>
      <c r="R746" s="48"/>
      <c r="S746" s="48"/>
      <c r="T746" s="48"/>
      <c r="U746" s="48"/>
      <c r="V746" s="48"/>
      <c r="W746" s="50"/>
      <c r="Z746" s="12"/>
      <c r="AA746" s="12"/>
    </row>
    <row r="747">
      <c r="A747" s="9">
        <f t="shared" si="1"/>
        <v>744</v>
      </c>
      <c r="B747" s="47" t="s">
        <v>881</v>
      </c>
      <c r="C747" s="48" t="str">
        <f>IFERROR(DIVIDE(VLOOKUP($B747,Data!$B$3:$AB$1535,9,FALSE),VLOOKUP($B747,Data!$B$3:$AB$1535,4,FALSE)),"")</f>
        <v/>
      </c>
      <c r="D747" s="48" t="str">
        <f>IFERROR(DIVIDE(VLOOKUP($B747,Data!$B$3:$AB$1535,24,FALSE),VLOOKUP($B747,Data!$B$3:$AB$1535,4,FALSE)),"")</f>
        <v/>
      </c>
      <c r="E747" s="48" t="str">
        <f>IFERROR(DIVIDE(VLOOKUP($B747,Data!$B$3:$EZ1530,29,FALSE),VLOOKUP($B747,Data!$B$3:$EZ1530,4,FALSE)),"")</f>
        <v/>
      </c>
      <c r="F747" s="48" t="str">
        <f>IFERROR(DIVIDE(VLOOKUP($B747,Data!$B$3:$EZ1530,34,FALSE),VLOOKUP($B747,Data!$B$3:$EZ1530,4,FALSE)),"")</f>
        <v/>
      </c>
      <c r="G747" s="48" t="str">
        <f>IFERROR(DIVIDE(VLOOKUP($B747,Data!$B$3:$EZ1530,39,FALSE),VLOOKUP($B747,Data!$B$3:$EZ1530,4,FALSE)),"")</f>
        <v/>
      </c>
      <c r="H747" s="48" t="str">
        <f>IFERROR(DIVIDE(VLOOKUP($B747,Data!$B$3:$EZ1530,44,FALSE),VLOOKUP($B747,Data!$B$3:$EZ1530,4,FALSE)),"")</f>
        <v/>
      </c>
      <c r="I747" s="48">
        <f>IFERROR(MINUS(DIVIDE(VLOOKUP($B747,Data!$B$3:$EZ1530,9,FALSE),VLOOKUP($B747,Data!$B$3:$EZ1530,10,FALSE)),1),"")</f>
        <v>0.2099009901</v>
      </c>
      <c r="J747" s="48">
        <f>IFERROR(MINUS(DIVIDE(VLOOKUP($B747,Data!$B$3:$EZ1530,24,FALSE),VLOOKUP($B747,Data!$B$3:$EZ1530,25,FALSE)),1),"")</f>
        <v>0.2496532594</v>
      </c>
      <c r="K747" s="48">
        <f>IFERROR(MINUS(DIVIDE(VLOOKUP($B747,Data!$B$3:$EZ1530,29,FALSE),VLOOKUP($B747,Data!$B$3:$EZ1530,30,FALSE)),1),"")</f>
        <v>0.2303191489</v>
      </c>
      <c r="L747" s="48">
        <f>IFERROR(MINUS(DIVIDE(VLOOKUP($B747,Data!$B$3:$EZ1530,34,FALSE),VLOOKUP($B747,Data!$B$3:$EZ1530,35,FALSE)),1),"")</f>
        <v>0.3066666667</v>
      </c>
      <c r="M747" s="48">
        <f>IFERROR(MINUS(DIVIDE(VLOOKUP($B747,Data!$B$3:$EZ1530,39,FALSE),VLOOKUP($B747,Data!$B$3:$EZ1530,40,FALSE)),1),"")</f>
        <v>0.2430786268</v>
      </c>
      <c r="N747" s="48">
        <f>IFERROR(MINUS(DIVIDE(VLOOKUP($B747,Data!$B$3:$EZ1530,44,FALSE),VLOOKUP($B747,Data!$B$3:$EZ1530,45,FALSE)),1),"")</f>
        <v>0.2120418848</v>
      </c>
      <c r="O747" s="50" t="str">
        <f>IFERROR(VLOOKUP($B747,Data!$B$3:$D1530,2,FALSE),"")</f>
        <v/>
      </c>
      <c r="P747" s="50" t="str">
        <f>IFERROR(VLOOKUP($B747,Data!$B$3:$D1530,3,FALSE),"")</f>
        <v/>
      </c>
      <c r="Q747" s="48" t="str">
        <f t="shared" si="2"/>
        <v/>
      </c>
      <c r="R747" s="48"/>
      <c r="S747" s="48"/>
      <c r="T747" s="48"/>
      <c r="U747" s="48"/>
      <c r="V747" s="48"/>
      <c r="W747" s="50"/>
      <c r="Z747" s="11"/>
      <c r="AA747" s="11"/>
    </row>
    <row r="748">
      <c r="A748" s="9">
        <f t="shared" si="1"/>
        <v>745</v>
      </c>
      <c r="B748" s="47" t="s">
        <v>882</v>
      </c>
      <c r="C748" s="48">
        <f>IFERROR(DIVIDE(VLOOKUP($B748,Data!$B$3:$AB$1535,9,FALSE),VLOOKUP($B748,Data!$B$3:$AB$1535,4,FALSE)),"")</f>
        <v>0.3048804875</v>
      </c>
      <c r="D748" s="48">
        <f>IFERROR(DIVIDE(VLOOKUP($B748,Data!$B$3:$AB$1535,24,FALSE),VLOOKUP($B748,Data!$B$3:$AB$1535,4,FALSE)),"")</f>
        <v>0.2019345128</v>
      </c>
      <c r="E748" s="48">
        <f>IFERROR(DIVIDE(VLOOKUP($B748,Data!$B$3:$EZ1530,29,FALSE),VLOOKUP($B748,Data!$B$3:$EZ1530,4,FALSE)),"")</f>
        <v>0.1218490491</v>
      </c>
      <c r="F748" s="48">
        <f>IFERROR(DIVIDE(VLOOKUP($B748,Data!$B$3:$EZ1530,34,FALSE),VLOOKUP($B748,Data!$B$3:$EZ1530,4,FALSE)),"")</f>
        <v>0.2825883319</v>
      </c>
      <c r="G748" s="48">
        <f>IFERROR(DIVIDE(VLOOKUP($B748,Data!$B$3:$EZ1530,39,FALSE),VLOOKUP($B748,Data!$B$3:$EZ1530,4,FALSE)),"")</f>
        <v>0.09656776584</v>
      </c>
      <c r="H748" s="48">
        <f>IFERROR(DIVIDE(VLOOKUP($B748,Data!$B$3:$EZ1530,44,FALSE),VLOOKUP($B748,Data!$B$3:$EZ1530,4,FALSE)),"")</f>
        <v>0.1772531602</v>
      </c>
      <c r="I748" s="48">
        <f>IFERROR(MINUS(DIVIDE(VLOOKUP($B748,Data!$B$3:$EZ1530,9,FALSE),VLOOKUP($B748,Data!$B$3:$EZ1530,10,FALSE)),1),"")</f>
        <v>-0.06714543347</v>
      </c>
      <c r="J748" s="48">
        <f>IFERROR(MINUS(DIVIDE(VLOOKUP($B748,Data!$B$3:$EZ1530,24,FALSE),VLOOKUP($B748,Data!$B$3:$EZ1530,25,FALSE)),1),"")</f>
        <v>-12.4270399</v>
      </c>
      <c r="K748" s="48">
        <f>IFERROR(MINUS(DIVIDE(VLOOKUP($B748,Data!$B$3:$EZ1530,29,FALSE),VLOOKUP($B748,Data!$B$3:$EZ1530,30,FALSE)),1),"")</f>
        <v>-0.3778148009</v>
      </c>
      <c r="L748" s="48">
        <f>IFERROR(MINUS(DIVIDE(VLOOKUP($B748,Data!$B$3:$EZ1530,34,FALSE),VLOOKUP($B748,Data!$B$3:$EZ1530,35,FALSE)),1),"")</f>
        <v>0.01271122511</v>
      </c>
      <c r="M748" s="48">
        <f>IFERROR(MINUS(DIVIDE(VLOOKUP($B748,Data!$B$3:$EZ1530,39,FALSE),VLOOKUP($B748,Data!$B$3:$EZ1530,40,FALSE)),1),"")</f>
        <v>-0.1206632164</v>
      </c>
      <c r="N748" s="48">
        <f>IFERROR(MINUS(DIVIDE(VLOOKUP($B748,Data!$B$3:$EZ1530,44,FALSE),VLOOKUP($B748,Data!$B$3:$EZ1530,45,FALSE)),1),"")</f>
        <v>0.6183932347</v>
      </c>
      <c r="O748" s="50">
        <f>IFERROR(VLOOKUP($B748,Data!$B$3:$D1530,2,FALSE),"")</f>
        <v>1050000</v>
      </c>
      <c r="P748" s="50">
        <f>IFERROR(VLOOKUP($B748,Data!$B$3:$D1530,3,FALSE),"")</f>
        <v>1000000</v>
      </c>
      <c r="Q748" s="48">
        <f t="shared" si="2"/>
        <v>0.05</v>
      </c>
      <c r="R748" s="48"/>
      <c r="S748" s="48"/>
      <c r="T748" s="48"/>
      <c r="U748" s="48"/>
      <c r="V748" s="48"/>
      <c r="W748" s="50"/>
      <c r="Z748" s="11"/>
      <c r="AA748" s="11"/>
    </row>
    <row r="749">
      <c r="A749" s="9">
        <f t="shared" si="1"/>
        <v>746</v>
      </c>
      <c r="B749" s="47" t="s">
        <v>883</v>
      </c>
      <c r="C749" s="48">
        <f>IFERROR(DIVIDE(VLOOKUP($B749,Data!$B$3:$AB$1535,9,FALSE),VLOOKUP($B749,Data!$B$3:$AB$1535,4,FALSE)),"")</f>
        <v>0.7777777778</v>
      </c>
      <c r="D749" s="48">
        <f>IFERROR(DIVIDE(VLOOKUP($B749,Data!$B$3:$AB$1535,24,FALSE),VLOOKUP($B749,Data!$B$3:$AB$1535,4,FALSE)),"")</f>
        <v>0.2436018519</v>
      </c>
      <c r="E749" s="48">
        <f>IFERROR(DIVIDE(VLOOKUP($B749,Data!$B$3:$EZ1530,29,FALSE),VLOOKUP($B749,Data!$B$3:$EZ1530,4,FALSE)),"")</f>
        <v>0.2103240741</v>
      </c>
      <c r="F749" s="48">
        <f>IFERROR(DIVIDE(VLOOKUP($B749,Data!$B$3:$EZ1530,34,FALSE),VLOOKUP($B749,Data!$B$3:$EZ1530,4,FALSE)),"")</f>
        <v>0.4675925926</v>
      </c>
      <c r="G749" s="48">
        <f>IFERROR(DIVIDE(VLOOKUP($B749,Data!$B$3:$EZ1530,39,FALSE),VLOOKUP($B749,Data!$B$3:$EZ1530,4,FALSE)),"")</f>
        <v>0.2423009259</v>
      </c>
      <c r="H749" s="48">
        <f>IFERROR(DIVIDE(VLOOKUP($B749,Data!$B$3:$EZ1530,44,FALSE),VLOOKUP($B749,Data!$B$3:$EZ1530,4,FALSE)),"")</f>
        <v>0.3622453704</v>
      </c>
      <c r="I749" s="48">
        <f>IFERROR(MINUS(DIVIDE(VLOOKUP($B749,Data!$B$3:$EZ1530,9,FALSE),VLOOKUP($B749,Data!$B$3:$EZ1530,10,FALSE)),1),"")</f>
        <v>0.07006369427</v>
      </c>
      <c r="J749" s="48">
        <f>IFERROR(MINUS(DIVIDE(VLOOKUP($B749,Data!$B$3:$EZ1530,24,FALSE),VLOOKUP($B749,Data!$B$3:$EZ1530,25,FALSE)),1),"")</f>
        <v>-0.1432665223</v>
      </c>
      <c r="K749" s="48">
        <f>IFERROR(MINUS(DIVIDE(VLOOKUP($B749,Data!$B$3:$EZ1530,29,FALSE),VLOOKUP($B749,Data!$B$3:$EZ1530,30,FALSE)),1),"")</f>
        <v>-0.1419559551</v>
      </c>
      <c r="L749" s="48">
        <f>IFERROR(MINUS(DIVIDE(VLOOKUP($B749,Data!$B$3:$EZ1530,34,FALSE),VLOOKUP($B749,Data!$B$3:$EZ1530,35,FALSE)),1),"")</f>
        <v>0.1543252912</v>
      </c>
      <c r="M749" s="48">
        <f>IFERROR(MINUS(DIVIDE(VLOOKUP($B749,Data!$B$3:$EZ1530,39,FALSE),VLOOKUP($B749,Data!$B$3:$EZ1530,40,FALSE)),1),"")</f>
        <v>0.1705882353</v>
      </c>
      <c r="N749" s="48">
        <f>IFERROR(MINUS(DIVIDE(VLOOKUP($B749,Data!$B$3:$EZ1530,44,FALSE),VLOOKUP($B749,Data!$B$3:$EZ1530,45,FALSE)),1),"")</f>
        <v>-0.01268138801</v>
      </c>
      <c r="O749" s="50">
        <f>IFERROR(VLOOKUP($B749,Data!$B$3:$D1530,2,FALSE),"")</f>
        <v>2490000</v>
      </c>
      <c r="P749" s="50">
        <f>IFERROR(VLOOKUP($B749,Data!$B$3:$D1530,3,FALSE),"")</f>
        <v>2280000</v>
      </c>
      <c r="Q749" s="48">
        <f t="shared" si="2"/>
        <v>0.09210526316</v>
      </c>
      <c r="R749" s="48"/>
      <c r="S749" s="48"/>
      <c r="T749" s="48"/>
      <c r="U749" s="48"/>
      <c r="V749" s="48"/>
      <c r="W749" s="50"/>
      <c r="Z749" s="12"/>
      <c r="AA749" s="12"/>
    </row>
    <row r="750">
      <c r="A750" s="9">
        <f t="shared" si="1"/>
        <v>747</v>
      </c>
      <c r="B750" s="47" t="s">
        <v>884</v>
      </c>
      <c r="C750" s="48">
        <f>IFERROR(DIVIDE(VLOOKUP($B750,Data!$B$3:$AB$1535,9,FALSE),VLOOKUP($B750,Data!$B$3:$AB$1535,4,FALSE)),"")</f>
        <v>0.1112322792</v>
      </c>
      <c r="D750" s="48">
        <f>IFERROR(DIVIDE(VLOOKUP($B750,Data!$B$3:$AB$1535,24,FALSE),VLOOKUP($B750,Data!$B$3:$AB$1535,4,FALSE)),"")</f>
        <v>0.08144820065</v>
      </c>
      <c r="E750" s="48">
        <f>IFERROR(DIVIDE(VLOOKUP($B750,Data!$B$3:$EZ1530,29,FALSE),VLOOKUP($B750,Data!$B$3:$EZ1530,4,FALSE)),"")</f>
        <v>0.07425299891</v>
      </c>
      <c r="F750" s="48">
        <f>IFERROR(DIVIDE(VLOOKUP($B750,Data!$B$3:$EZ1530,34,FALSE),VLOOKUP($B750,Data!$B$3:$EZ1530,4,FALSE)),"")</f>
        <v>0.1406761178</v>
      </c>
      <c r="G750" s="48">
        <f>IFERROR(DIVIDE(VLOOKUP($B750,Data!$B$3:$EZ1530,39,FALSE),VLOOKUP($B750,Data!$B$3:$EZ1530,4,FALSE)),"")</f>
        <v>0.05630534351</v>
      </c>
      <c r="H750" s="48">
        <f>IFERROR(DIVIDE(VLOOKUP($B750,Data!$B$3:$EZ1530,44,FALSE),VLOOKUP($B750,Data!$B$3:$EZ1530,4,FALSE)),"")</f>
        <v>0.1199563795</v>
      </c>
      <c r="I750" s="48">
        <f>IFERROR(MINUS(DIVIDE(VLOOKUP($B750,Data!$B$3:$EZ1530,9,FALSE),VLOOKUP($B750,Data!$B$3:$EZ1530,10,FALSE)),1),"")</f>
        <v>0.1011789092</v>
      </c>
      <c r="J750" s="48" t="str">
        <f>IFERROR(MINUS(DIVIDE(VLOOKUP($B750,Data!$B$3:$EZ1530,24,FALSE),VLOOKUP($B750,Data!$B$3:$EZ1530,25,FALSE)),1),"")</f>
        <v/>
      </c>
      <c r="K750" s="48">
        <f>IFERROR(MINUS(DIVIDE(VLOOKUP($B750,Data!$B$3:$EZ1530,29,FALSE),VLOOKUP($B750,Data!$B$3:$EZ1530,30,FALSE)),1),"")</f>
        <v>0.06254486439</v>
      </c>
      <c r="L750" s="48">
        <f>IFERROR(MINUS(DIVIDE(VLOOKUP($B750,Data!$B$3:$EZ1530,34,FALSE),VLOOKUP($B750,Data!$B$3:$EZ1530,35,FALSE)),1),"")</f>
        <v>0.1415929204</v>
      </c>
      <c r="M750" s="48">
        <f>IFERROR(MINUS(DIVIDE(VLOOKUP($B750,Data!$B$3:$EZ1530,39,FALSE),VLOOKUP($B750,Data!$B$3:$EZ1530,40,FALSE)),1),"")</f>
        <v>0.05459670336</v>
      </c>
      <c r="N750" s="48">
        <f>IFERROR(MINUS(DIVIDE(VLOOKUP($B750,Data!$B$3:$EZ1530,44,FALSE),VLOOKUP($B750,Data!$B$3:$EZ1530,45,FALSE)),1),"")</f>
        <v>0.009174311927</v>
      </c>
      <c r="O750" s="50">
        <f>IFERROR(VLOOKUP($B750,Data!$B$3:$D1530,2,FALSE),"")</f>
        <v>9880000</v>
      </c>
      <c r="P750" s="50">
        <f>IFERROR(VLOOKUP($B750,Data!$B$3:$D1530,3,FALSE),"")</f>
        <v>9170000</v>
      </c>
      <c r="Q750" s="48">
        <f t="shared" si="2"/>
        <v>0.0774263904</v>
      </c>
      <c r="R750" s="48"/>
      <c r="S750" s="48"/>
      <c r="T750" s="48"/>
      <c r="U750" s="48"/>
      <c r="V750" s="48"/>
      <c r="W750" s="50"/>
      <c r="Z750" s="15"/>
      <c r="AA750" s="15"/>
    </row>
    <row r="751">
      <c r="A751" s="9">
        <f t="shared" si="1"/>
        <v>748</v>
      </c>
      <c r="B751" s="52" t="s">
        <v>885</v>
      </c>
      <c r="C751" s="48">
        <f>IFERROR(DIVIDE(VLOOKUP($B751,Data!$B$3:$AB$1535,9,FALSE),VLOOKUP($B751,Data!$B$3:$AB$1535,4,FALSE)),"")</f>
        <v>0.1372064277</v>
      </c>
      <c r="D751" s="48">
        <f>IFERROR(DIVIDE(VLOOKUP($B751,Data!$B$3:$AB$1535,24,FALSE),VLOOKUP($B751,Data!$B$3:$AB$1535,4,FALSE)),"")</f>
        <v>0.09888751545</v>
      </c>
      <c r="E751" s="48">
        <f>IFERROR(DIVIDE(VLOOKUP($B751,Data!$B$3:$EZ1530,29,FALSE),VLOOKUP($B751,Data!$B$3:$EZ1530,4,FALSE)),"")</f>
        <v>0.09493201483</v>
      </c>
      <c r="F751" s="48">
        <f>IFERROR(DIVIDE(VLOOKUP($B751,Data!$B$3:$EZ1530,34,FALSE),VLOOKUP($B751,Data!$B$3:$EZ1530,4,FALSE)),"")</f>
        <v>0.1656365884</v>
      </c>
      <c r="G751" s="48">
        <f>IFERROR(DIVIDE(VLOOKUP($B751,Data!$B$3:$EZ1530,39,FALSE),VLOOKUP($B751,Data!$B$3:$EZ1530,4,FALSE)),"")</f>
        <v>0.07033374536</v>
      </c>
      <c r="H751" s="48">
        <f>IFERROR(DIVIDE(VLOOKUP($B751,Data!$B$3:$EZ1530,44,FALSE),VLOOKUP($B751,Data!$B$3:$EZ1530,4,FALSE)),"")</f>
        <v>0.1792336218</v>
      </c>
      <c r="I751" s="48">
        <f>IFERROR(MINUS(DIVIDE(VLOOKUP($B751,Data!$B$3:$EZ1530,9,FALSE),VLOOKUP($B751,Data!$B$3:$EZ1530,10,FALSE)),1),"")</f>
        <v>0.1133400201</v>
      </c>
      <c r="J751" s="48">
        <f>IFERROR(MINUS(DIVIDE(VLOOKUP($B751,Data!$B$3:$EZ1530,24,FALSE),VLOOKUP($B751,Data!$B$3:$EZ1530,25,FALSE)),1),"")</f>
        <v>-2.830663616</v>
      </c>
      <c r="K751" s="48">
        <f>IFERROR(MINUS(DIVIDE(VLOOKUP($B751,Data!$B$3:$EZ1530,29,FALSE),VLOOKUP($B751,Data!$B$3:$EZ1530,30,FALSE)),1),"")</f>
        <v>2.506849315</v>
      </c>
      <c r="L751" s="48">
        <f>IFERROR(MINUS(DIVIDE(VLOOKUP($B751,Data!$B$3:$EZ1530,34,FALSE),VLOOKUP($B751,Data!$B$3:$EZ1530,35,FALSE)),1),"")</f>
        <v>0.1452991453</v>
      </c>
      <c r="M751" s="48">
        <f>IFERROR(MINUS(DIVIDE(VLOOKUP($B751,Data!$B$3:$EZ1530,39,FALSE),VLOOKUP($B751,Data!$B$3:$EZ1530,40,FALSE)),1),"")</f>
        <v>2.010582011</v>
      </c>
      <c r="N751" s="48">
        <f>IFERROR(MINUS(DIVIDE(VLOOKUP($B751,Data!$B$3:$EZ1530,44,FALSE),VLOOKUP($B751,Data!$B$3:$EZ1530,45,FALSE)),1),"")</f>
        <v>0.2083333333</v>
      </c>
      <c r="O751" s="50">
        <f>IFERROR(VLOOKUP($B751,Data!$B$3:$D1530,2,FALSE),"")</f>
        <v>5850000</v>
      </c>
      <c r="P751" s="50">
        <f>IFERROR(VLOOKUP($B751,Data!$B$3:$D1530,3,FALSE),"")</f>
        <v>3120000</v>
      </c>
      <c r="Q751" s="48">
        <f t="shared" si="2"/>
        <v>0.875</v>
      </c>
      <c r="R751" s="48"/>
      <c r="S751" s="48"/>
      <c r="T751" s="48"/>
      <c r="U751" s="48"/>
      <c r="V751" s="48"/>
      <c r="W751" s="50"/>
      <c r="Z751" s="11"/>
      <c r="AA751" s="11"/>
    </row>
    <row r="752">
      <c r="A752" s="9">
        <f t="shared" si="1"/>
        <v>749</v>
      </c>
      <c r="B752" s="47" t="s">
        <v>886</v>
      </c>
      <c r="C752" s="48">
        <f>IFERROR(DIVIDE(VLOOKUP($B752,Data!$B$3:$AB$1535,9,FALSE),VLOOKUP($B752,Data!$B$3:$AB$1535,4,FALSE)),"")</f>
        <v>0.1771741612</v>
      </c>
      <c r="D752" s="48">
        <f>IFERROR(DIVIDE(VLOOKUP($B752,Data!$B$3:$AB$1535,24,FALSE),VLOOKUP($B752,Data!$B$3:$AB$1535,4,FALSE)),"")</f>
        <v>0</v>
      </c>
      <c r="E752" s="48">
        <f>IFERROR(DIVIDE(VLOOKUP($B752,Data!$B$3:$EZ1530,29,FALSE),VLOOKUP($B752,Data!$B$3:$EZ1530,4,FALSE)),"")</f>
        <v>0.05983793654</v>
      </c>
      <c r="F752" s="48">
        <f>IFERROR(DIVIDE(VLOOKUP($B752,Data!$B$3:$EZ1530,34,FALSE),VLOOKUP($B752,Data!$B$3:$EZ1530,4,FALSE)),"")</f>
        <v>0.08624743209</v>
      </c>
      <c r="G752" s="48">
        <f>IFERROR(DIVIDE(VLOOKUP($B752,Data!$B$3:$EZ1530,39,FALSE),VLOOKUP($B752,Data!$B$3:$EZ1530,4,FALSE)),"")</f>
        <v>0.04504679297</v>
      </c>
      <c r="H752" s="48">
        <f>IFERROR(DIVIDE(VLOOKUP($B752,Data!$B$3:$EZ1530,44,FALSE),VLOOKUP($B752,Data!$B$3:$EZ1530,4,FALSE)),"")</f>
        <v>0.09525222552</v>
      </c>
      <c r="I752" s="48">
        <f>IFERROR(MINUS(DIVIDE(VLOOKUP($B752,Data!$B$3:$EZ1530,9,FALSE),VLOOKUP($B752,Data!$B$3:$EZ1530,10,FALSE)),1),"")</f>
        <v>0.1341320865</v>
      </c>
      <c r="J752" s="48" t="str">
        <f>IFERROR(MINUS(DIVIDE(VLOOKUP($B752,Data!$B$3:$EZ1530,24,FALSE),VLOOKUP($B752,Data!$B$3:$EZ1530,25,FALSE)),1),"")</f>
        <v/>
      </c>
      <c r="K752" s="48">
        <f>IFERROR(MINUS(DIVIDE(VLOOKUP($B752,Data!$B$3:$EZ1530,29,FALSE),VLOOKUP($B752,Data!$B$3:$EZ1530,30,FALSE)),1),"")</f>
        <v>0.06241134752</v>
      </c>
      <c r="L752" s="48">
        <f>IFERROR(MINUS(DIVIDE(VLOOKUP($B752,Data!$B$3:$EZ1530,34,FALSE),VLOOKUP($B752,Data!$B$3:$EZ1530,35,FALSE)),1),"")</f>
        <v>0.05515219213</v>
      </c>
      <c r="M752" s="48">
        <f>IFERROR(MINUS(DIVIDE(VLOOKUP($B752,Data!$B$3:$EZ1530,39,FALSE),VLOOKUP($B752,Data!$B$3:$EZ1530,40,FALSE)),1),"")</f>
        <v>0.2144615385</v>
      </c>
      <c r="N752" s="48">
        <f>IFERROR(MINUS(DIVIDE(VLOOKUP($B752,Data!$B$3:$EZ1530,44,FALSE),VLOOKUP($B752,Data!$B$3:$EZ1530,45,FALSE)),1),"")</f>
        <v>0.2616780045</v>
      </c>
      <c r="O752" s="50">
        <f>IFERROR(VLOOKUP($B752,Data!$B$3:$D1530,2,FALSE),"")</f>
        <v>938900</v>
      </c>
      <c r="P752" s="50">
        <f>IFERROR(VLOOKUP($B752,Data!$B$3:$D1530,3,FALSE),"")</f>
        <v>896600</v>
      </c>
      <c r="Q752" s="48">
        <f t="shared" si="2"/>
        <v>0.04717822886</v>
      </c>
      <c r="R752" s="48"/>
      <c r="S752" s="48"/>
      <c r="T752" s="48"/>
      <c r="U752" s="48"/>
      <c r="V752" s="48"/>
      <c r="W752" s="50"/>
      <c r="Z752" s="11"/>
      <c r="AA752" s="11"/>
    </row>
    <row r="753">
      <c r="A753" s="9">
        <f t="shared" si="1"/>
        <v>750</v>
      </c>
      <c r="B753" s="47" t="s">
        <v>887</v>
      </c>
      <c r="C753" s="48">
        <f>IFERROR(DIVIDE(VLOOKUP($B753,Data!$B$3:$AB$1535,9,FALSE),VLOOKUP($B753,Data!$B$3:$AB$1535,4,FALSE)),"")</f>
        <v>0.3231871083</v>
      </c>
      <c r="D753" s="48">
        <f>IFERROR(DIVIDE(VLOOKUP($B753,Data!$B$3:$AB$1535,24,FALSE),VLOOKUP($B753,Data!$B$3:$AB$1535,4,FALSE)),"")</f>
        <v>-0.001969561325</v>
      </c>
      <c r="E753" s="48">
        <f>IFERROR(DIVIDE(VLOOKUP($B753,Data!$B$3:$EZ1530,29,FALSE),VLOOKUP($B753,Data!$B$3:$EZ1530,4,FALSE)),"")</f>
        <v>-0.02372426141</v>
      </c>
      <c r="F753" s="48">
        <f>IFERROR(DIVIDE(VLOOKUP($B753,Data!$B$3:$EZ1530,34,FALSE),VLOOKUP($B753,Data!$B$3:$EZ1530,4,FALSE)),"")</f>
        <v>0.05094001791</v>
      </c>
      <c r="G753" s="48">
        <f>IFERROR(DIVIDE(VLOOKUP($B753,Data!$B$3:$EZ1530,39,FALSE),VLOOKUP($B753,Data!$B$3:$EZ1530,4,FALSE)),"")</f>
        <v>-0.02399283796</v>
      </c>
      <c r="H753" s="48">
        <f>IFERROR(DIVIDE(VLOOKUP($B753,Data!$B$3:$EZ1530,44,FALSE),VLOOKUP($B753,Data!$B$3:$EZ1530,4,FALSE)),"")</f>
        <v>0.03831692032</v>
      </c>
      <c r="I753" s="48">
        <f>IFERROR(MINUS(DIVIDE(VLOOKUP($B753,Data!$B$3:$EZ1530,9,FALSE),VLOOKUP($B753,Data!$B$3:$EZ1530,10,FALSE)),1),"")</f>
        <v>0.005571030641</v>
      </c>
      <c r="J753" s="48">
        <f>IFERROR(MINUS(DIVIDE(VLOOKUP($B753,Data!$B$3:$EZ1530,24,FALSE),VLOOKUP($B753,Data!$B$3:$EZ1530,25,FALSE)),1),"")</f>
        <v>-0.7755102041</v>
      </c>
      <c r="K753" s="48">
        <f>IFERROR(MINUS(DIVIDE(VLOOKUP($B753,Data!$B$3:$EZ1530,29,FALSE),VLOOKUP($B753,Data!$B$3:$EZ1530,30,FALSE)),1),"")</f>
        <v>-0.0221402214</v>
      </c>
      <c r="L753" s="48">
        <f>IFERROR(MINUS(DIVIDE(VLOOKUP($B753,Data!$B$3:$EZ1530,34,FALSE),VLOOKUP($B753,Data!$B$3:$EZ1530,35,FALSE)),1),"")</f>
        <v>0.02893309222</v>
      </c>
      <c r="M753" s="48">
        <f>IFERROR(MINUS(DIVIDE(VLOOKUP($B753,Data!$B$3:$EZ1530,39,FALSE),VLOOKUP($B753,Data!$B$3:$EZ1530,40,FALSE)),1),"")</f>
        <v>0.05098039216</v>
      </c>
      <c r="N753" s="48">
        <f>IFERROR(MINUS(DIVIDE(VLOOKUP($B753,Data!$B$3:$EZ1530,44,FALSE),VLOOKUP($B753,Data!$B$3:$EZ1530,45,FALSE)),1),"")</f>
        <v>0.1922005571</v>
      </c>
      <c r="O753" s="50">
        <f>IFERROR(VLOOKUP($B753,Data!$B$3:$D1530,2,FALSE),"")</f>
        <v>9130000</v>
      </c>
      <c r="P753" s="50">
        <f>IFERROR(VLOOKUP($B753,Data!$B$3:$D1530,3,FALSE),"")</f>
        <v>9140000</v>
      </c>
      <c r="Q753" s="48">
        <f t="shared" si="2"/>
        <v>-0.001094091904</v>
      </c>
      <c r="R753" s="48"/>
      <c r="S753" s="48"/>
      <c r="T753" s="48"/>
      <c r="U753" s="48"/>
      <c r="V753" s="48"/>
      <c r="W753" s="50"/>
      <c r="Z753" s="19"/>
      <c r="AA753" s="19"/>
    </row>
    <row r="754">
      <c r="A754" s="9">
        <f t="shared" si="1"/>
        <v>751</v>
      </c>
      <c r="B754" s="47" t="s">
        <v>888</v>
      </c>
      <c r="C754" s="48">
        <f>IFERROR(DIVIDE(VLOOKUP($B754,Data!$B$3:$AB$1535,9,FALSE),VLOOKUP($B754,Data!$B$3:$AB$1535,4,FALSE)),"")</f>
        <v>0.2010862471</v>
      </c>
      <c r="D754" s="48">
        <f>IFERROR(DIVIDE(VLOOKUP($B754,Data!$B$3:$AB$1535,24,FALSE),VLOOKUP($B754,Data!$B$3:$AB$1535,4,FALSE)),"")</f>
        <v>0.04239160839</v>
      </c>
      <c r="E754" s="48">
        <f>IFERROR(DIVIDE(VLOOKUP($B754,Data!$B$3:$EZ1530,29,FALSE),VLOOKUP($B754,Data!$B$3:$EZ1530,4,FALSE)),"")</f>
        <v>0.02798368298</v>
      </c>
      <c r="F754" s="48">
        <f>IFERROR(DIVIDE(VLOOKUP($B754,Data!$B$3:$EZ1530,34,FALSE),VLOOKUP($B754,Data!$B$3:$EZ1530,4,FALSE)),"")</f>
        <v>0.08238461538</v>
      </c>
      <c r="G754" s="48">
        <f>IFERROR(DIVIDE(VLOOKUP($B754,Data!$B$3:$EZ1530,39,FALSE),VLOOKUP($B754,Data!$B$3:$EZ1530,4,FALSE)),"")</f>
        <v>0.01467832168</v>
      </c>
      <c r="H754" s="48">
        <f>IFERROR(DIVIDE(VLOOKUP($B754,Data!$B$3:$EZ1530,44,FALSE),VLOOKUP($B754,Data!$B$3:$EZ1530,4,FALSE)),"")</f>
        <v>0.07056177156</v>
      </c>
      <c r="I754" s="48">
        <f>IFERROR(MINUS(DIVIDE(VLOOKUP($B754,Data!$B$3:$EZ1530,9,FALSE),VLOOKUP($B754,Data!$B$3:$EZ1530,10,FALSE)),1),"")</f>
        <v>-0.05185527126</v>
      </c>
      <c r="J754" s="48">
        <f>IFERROR(MINUS(DIVIDE(VLOOKUP($B754,Data!$B$3:$EZ1530,24,FALSE),VLOOKUP($B754,Data!$B$3:$EZ1530,25,FALSE)),1),"")</f>
        <v>-6.894975689</v>
      </c>
      <c r="K754" s="48">
        <f>IFERROR(MINUS(DIVIDE(VLOOKUP($B754,Data!$B$3:$EZ1530,29,FALSE),VLOOKUP($B754,Data!$B$3:$EZ1530,30,FALSE)),1),"")</f>
        <v>-0.08435664709</v>
      </c>
      <c r="L754" s="48">
        <f>IFERROR(MINUS(DIVIDE(VLOOKUP($B754,Data!$B$3:$EZ1530,34,FALSE),VLOOKUP($B754,Data!$B$3:$EZ1530,35,FALSE)),1),"")</f>
        <v>0.1129199861</v>
      </c>
      <c r="M754" s="48">
        <f>IFERROR(MINUS(DIVIDE(VLOOKUP($B754,Data!$B$3:$EZ1530,39,FALSE),VLOOKUP($B754,Data!$B$3:$EZ1530,40,FALSE)),1),"")</f>
        <v>-0.5562680572</v>
      </c>
      <c r="N754" s="48">
        <f>IFERROR(MINUS(DIVIDE(VLOOKUP($B754,Data!$B$3:$EZ1530,44,FALSE),VLOOKUP($B754,Data!$B$3:$EZ1530,45,FALSE)),1),"")</f>
        <v>0.3781470521</v>
      </c>
      <c r="O754" s="50">
        <f>IFERROR(VLOOKUP($B754,Data!$B$3:$D1530,2,FALSE),"")</f>
        <v>4170000</v>
      </c>
      <c r="P754" s="50">
        <f>IFERROR(VLOOKUP($B754,Data!$B$3:$D1530,3,FALSE),"")</f>
        <v>3990000</v>
      </c>
      <c r="Q754" s="48">
        <f t="shared" si="2"/>
        <v>0.04511278195</v>
      </c>
      <c r="R754" s="48"/>
      <c r="S754" s="48"/>
      <c r="T754" s="48"/>
      <c r="U754" s="48"/>
      <c r="V754" s="48"/>
      <c r="W754" s="50"/>
      <c r="Z754" s="15"/>
      <c r="AA754" s="15"/>
    </row>
    <row r="755">
      <c r="A755" s="9">
        <f t="shared" si="1"/>
        <v>752</v>
      </c>
      <c r="B755" s="47" t="s">
        <v>889</v>
      </c>
      <c r="C755" s="48">
        <f>IFERROR(DIVIDE(VLOOKUP($B755,Data!$B$3:$AB$1535,9,FALSE),VLOOKUP($B755,Data!$B$3:$AB$1535,4,FALSE)),"")</f>
        <v>0.3577023499</v>
      </c>
      <c r="D755" s="48">
        <f>IFERROR(DIVIDE(VLOOKUP($B755,Data!$B$3:$AB$1535,24,FALSE),VLOOKUP($B755,Data!$B$3:$AB$1535,4,FALSE)),"")</f>
        <v>0.1048825065</v>
      </c>
      <c r="E755" s="48">
        <f>IFERROR(DIVIDE(VLOOKUP($B755,Data!$B$3:$EZ1530,29,FALSE),VLOOKUP($B755,Data!$B$3:$EZ1530,4,FALSE)),"")</f>
        <v>0.1104438642</v>
      </c>
      <c r="F755" s="48">
        <f>IFERROR(DIVIDE(VLOOKUP($B755,Data!$B$3:$EZ1530,34,FALSE),VLOOKUP($B755,Data!$B$3:$EZ1530,4,FALSE)),"")</f>
        <v>0.2405587467</v>
      </c>
      <c r="G755" s="48">
        <f>IFERROR(DIVIDE(VLOOKUP($B755,Data!$B$3:$EZ1530,39,FALSE),VLOOKUP($B755,Data!$B$3:$EZ1530,4,FALSE)),"")</f>
        <v>0.09261096606</v>
      </c>
      <c r="H755" s="48">
        <f>IFERROR(DIVIDE(VLOOKUP($B755,Data!$B$3:$EZ1530,44,FALSE),VLOOKUP($B755,Data!$B$3:$EZ1530,4,FALSE)),"")</f>
        <v>0.169383812</v>
      </c>
      <c r="I755" s="48">
        <f>IFERROR(MINUS(DIVIDE(VLOOKUP($B755,Data!$B$3:$EZ1530,9,FALSE),VLOOKUP($B755,Data!$B$3:$EZ1530,10,FALSE)),1),"")</f>
        <v>0.201754386</v>
      </c>
      <c r="J755" s="48">
        <f>IFERROR(MINUS(DIVIDE(VLOOKUP($B755,Data!$B$3:$EZ1530,24,FALSE),VLOOKUP($B755,Data!$B$3:$EZ1530,25,FALSE)),1),"")</f>
        <v>-0.2222501888</v>
      </c>
      <c r="K755" s="48">
        <f>IFERROR(MINUS(DIVIDE(VLOOKUP($B755,Data!$B$3:$EZ1530,29,FALSE),VLOOKUP($B755,Data!$B$3:$EZ1530,30,FALSE)),1),"")</f>
        <v>0.02605152088</v>
      </c>
      <c r="L755" s="48">
        <f>IFERROR(MINUS(DIVIDE(VLOOKUP($B755,Data!$B$3:$EZ1530,34,FALSE),VLOOKUP($B755,Data!$B$3:$EZ1530,35,FALSE)),1),"")</f>
        <v>0.2951446484</v>
      </c>
      <c r="M755" s="48">
        <f>IFERROR(MINUS(DIVIDE(VLOOKUP($B755,Data!$B$3:$EZ1530,39,FALSE),VLOOKUP($B755,Data!$B$3:$EZ1530,40,FALSE)),1),"")</f>
        <v>0.1303738169</v>
      </c>
      <c r="N755" s="48">
        <f>IFERROR(MINUS(DIVIDE(VLOOKUP($B755,Data!$B$3:$EZ1530,44,FALSE),VLOOKUP($B755,Data!$B$3:$EZ1530,45,FALSE)),1),"")</f>
        <v>0.6762008113</v>
      </c>
      <c r="O755" s="50">
        <f>IFERROR(VLOOKUP($B755,Data!$B$3:$D1530,2,FALSE),"")</f>
        <v>2020000</v>
      </c>
      <c r="P755" s="50">
        <f>IFERROR(VLOOKUP($B755,Data!$B$3:$D1530,3,FALSE),"")</f>
        <v>1900000</v>
      </c>
      <c r="Q755" s="48">
        <f t="shared" si="2"/>
        <v>0.06315789474</v>
      </c>
      <c r="R755" s="48"/>
      <c r="S755" s="48"/>
      <c r="T755" s="48"/>
      <c r="U755" s="48"/>
      <c r="V755" s="48"/>
      <c r="W755" s="50"/>
      <c r="Z755" s="11"/>
      <c r="AA755" s="11"/>
    </row>
    <row r="756">
      <c r="A756" s="9">
        <f t="shared" si="1"/>
        <v>753</v>
      </c>
      <c r="B756" s="47" t="s">
        <v>890</v>
      </c>
      <c r="C756" s="48">
        <f>IFERROR(DIVIDE(VLOOKUP($B756,Data!$B$3:$AB$1535,9,FALSE),VLOOKUP($B756,Data!$B$3:$AB$1535,4,FALSE)),"")</f>
        <v>0.5650683445</v>
      </c>
      <c r="D756" s="48">
        <f>IFERROR(DIVIDE(VLOOKUP($B756,Data!$B$3:$AB$1535,24,FALSE),VLOOKUP($B756,Data!$B$3:$AB$1535,4,FALSE)),"")</f>
        <v>-0.1620308093</v>
      </c>
      <c r="E756" s="48">
        <f>IFERROR(DIVIDE(VLOOKUP($B756,Data!$B$3:$EZ1530,29,FALSE),VLOOKUP($B756,Data!$B$3:$EZ1530,4,FALSE)),"")</f>
        <v>-0.190337745</v>
      </c>
      <c r="F756" s="48">
        <f>IFERROR(DIVIDE(VLOOKUP($B756,Data!$B$3:$EZ1530,34,FALSE),VLOOKUP($B756,Data!$B$3:$EZ1530,4,FALSE)),"")</f>
        <v>0.085267954</v>
      </c>
      <c r="G756" s="48">
        <f>IFERROR(DIVIDE(VLOOKUP($B756,Data!$B$3:$EZ1530,39,FALSE),VLOOKUP($B756,Data!$B$3:$EZ1530,4,FALSE)),"")</f>
        <v>-0.18596948</v>
      </c>
      <c r="H756" s="48">
        <f>IFERROR(DIVIDE(VLOOKUP($B756,Data!$B$3:$EZ1530,44,FALSE),VLOOKUP($B756,Data!$B$3:$EZ1530,4,FALSE)),"")</f>
        <v>0.04722644102</v>
      </c>
      <c r="I756" s="48">
        <f>IFERROR(MINUS(DIVIDE(VLOOKUP($B756,Data!$B$3:$EZ1530,9,FALSE),VLOOKUP($B756,Data!$B$3:$EZ1530,10,FALSE)),1),"")</f>
        <v>-0.1512557574</v>
      </c>
      <c r="J756" s="48" t="str">
        <f>IFERROR(MINUS(DIVIDE(VLOOKUP($B756,Data!$B$3:$EZ1530,24,FALSE),VLOOKUP($B756,Data!$B$3:$EZ1530,25,FALSE)),1),"")</f>
        <v/>
      </c>
      <c r="K756" s="48">
        <f>IFERROR(MINUS(DIVIDE(VLOOKUP($B756,Data!$B$3:$EZ1530,29,FALSE),VLOOKUP($B756,Data!$B$3:$EZ1530,30,FALSE)),1),"")</f>
        <v>-4.120464785</v>
      </c>
      <c r="L756" s="48">
        <f>IFERROR(MINUS(DIVIDE(VLOOKUP($B756,Data!$B$3:$EZ1530,34,FALSE),VLOOKUP($B756,Data!$B$3:$EZ1530,35,FALSE)),1),"")</f>
        <v>-0.4011580658</v>
      </c>
      <c r="M756" s="48">
        <f>IFERROR(MINUS(DIVIDE(VLOOKUP($B756,Data!$B$3:$EZ1530,39,FALSE),VLOOKUP($B756,Data!$B$3:$EZ1530,40,FALSE)),1),"")</f>
        <v>-5.211267606</v>
      </c>
      <c r="N756" s="48">
        <f>IFERROR(MINUS(DIVIDE(VLOOKUP($B756,Data!$B$3:$EZ1530,44,FALSE),VLOOKUP($B756,Data!$B$3:$EZ1530,45,FALSE)),1),"")</f>
        <v>-0.5162962963</v>
      </c>
      <c r="O756" s="50">
        <f>IFERROR(VLOOKUP($B756,Data!$B$3:$D1530,2,FALSE),"")</f>
        <v>565000</v>
      </c>
      <c r="P756" s="50">
        <f>IFERROR(VLOOKUP($B756,Data!$B$3:$D1530,3,FALSE),"")</f>
        <v>493000</v>
      </c>
      <c r="Q756" s="48">
        <f t="shared" si="2"/>
        <v>0.1460446247</v>
      </c>
      <c r="R756" s="48"/>
      <c r="S756" s="48"/>
      <c r="T756" s="48"/>
      <c r="U756" s="48"/>
      <c r="V756" s="48"/>
      <c r="W756" s="50"/>
      <c r="Z756" s="11"/>
      <c r="AA756" s="11"/>
    </row>
    <row r="757">
      <c r="A757" s="9">
        <f t="shared" si="1"/>
        <v>754</v>
      </c>
      <c r="B757" s="47" t="s">
        <v>891</v>
      </c>
      <c r="C757" s="48">
        <f>IFERROR(DIVIDE(VLOOKUP($B757,Data!$B$3:$AB$1535,9,FALSE),VLOOKUP($B757,Data!$B$3:$AB$1535,4,FALSE)),"")</f>
        <v>0.2916638655</v>
      </c>
      <c r="D757" s="48">
        <f>IFERROR(DIVIDE(VLOOKUP($B757,Data!$B$3:$AB$1535,24,FALSE),VLOOKUP($B757,Data!$B$3:$AB$1535,4,FALSE)),"")</f>
        <v>0</v>
      </c>
      <c r="E757" s="48">
        <f>IFERROR(DIVIDE(VLOOKUP($B757,Data!$B$3:$EZ1530,29,FALSE),VLOOKUP($B757,Data!$B$3:$EZ1530,4,FALSE)),"")</f>
        <v>0.1063697479</v>
      </c>
      <c r="F757" s="48">
        <f>IFERROR(DIVIDE(VLOOKUP($B757,Data!$B$3:$EZ1530,34,FALSE),VLOOKUP($B757,Data!$B$3:$EZ1530,4,FALSE)),"")</f>
        <v>0.1390756303</v>
      </c>
      <c r="G757" s="48">
        <f>IFERROR(DIVIDE(VLOOKUP($B757,Data!$B$3:$EZ1530,39,FALSE),VLOOKUP($B757,Data!$B$3:$EZ1530,4,FALSE)),"")</f>
        <v>0.07968067227</v>
      </c>
      <c r="H757" s="48">
        <f>IFERROR(DIVIDE(VLOOKUP($B757,Data!$B$3:$EZ1530,44,FALSE),VLOOKUP($B757,Data!$B$3:$EZ1530,4,FALSE)),"")</f>
        <v>0.1239495798</v>
      </c>
      <c r="I757" s="48">
        <f>IFERROR(MINUS(DIVIDE(VLOOKUP($B757,Data!$B$3:$EZ1530,9,FALSE),VLOOKUP($B757,Data!$B$3:$EZ1530,10,FALSE)),1),"")</f>
        <v>0.04297133241</v>
      </c>
      <c r="J757" s="48">
        <f>IFERROR(MINUS(DIVIDE(VLOOKUP($B757,Data!$B$3:$EZ1530,24,FALSE),VLOOKUP($B757,Data!$B$3:$EZ1530,25,FALSE)),1),"")</f>
        <v>-1</v>
      </c>
      <c r="K757" s="48">
        <f>IFERROR(MINUS(DIVIDE(VLOOKUP($B757,Data!$B$3:$EZ1530,29,FALSE),VLOOKUP($B757,Data!$B$3:$EZ1530,30,FALSE)),1),"")</f>
        <v>0.07134997884</v>
      </c>
      <c r="L757" s="48">
        <f>IFERROR(MINUS(DIVIDE(VLOOKUP($B757,Data!$B$3:$EZ1530,34,FALSE),VLOOKUP($B757,Data!$B$3:$EZ1530,35,FALSE)),1),"")</f>
        <v>0.05266505534</v>
      </c>
      <c r="M757" s="48">
        <f>IFERROR(MINUS(DIVIDE(VLOOKUP($B757,Data!$B$3:$EZ1530,39,FALSE),VLOOKUP($B757,Data!$B$3:$EZ1530,40,FALSE)),1),"")</f>
        <v>-0.08474903475</v>
      </c>
      <c r="N757" s="48">
        <f>IFERROR(MINUS(DIVIDE(VLOOKUP($B757,Data!$B$3:$EZ1530,44,FALSE),VLOOKUP($B757,Data!$B$3:$EZ1530,45,FALSE)),1),"")</f>
        <v>0.1955905001</v>
      </c>
      <c r="O757" s="50">
        <f>IFERROR(VLOOKUP($B757,Data!$B$3:$D1530,2,FALSE),"")</f>
        <v>1030000</v>
      </c>
      <c r="P757" s="50">
        <f>IFERROR(VLOOKUP($B757,Data!$B$3:$D1530,3,FALSE),"")</f>
        <v>989050</v>
      </c>
      <c r="Q757" s="48">
        <f t="shared" si="2"/>
        <v>0.04140336687</v>
      </c>
      <c r="R757" s="48"/>
      <c r="S757" s="48"/>
      <c r="T757" s="48"/>
      <c r="U757" s="48"/>
      <c r="V757" s="48"/>
      <c r="W757" s="50"/>
      <c r="Z757" s="11"/>
      <c r="AA757" s="11"/>
    </row>
    <row r="758">
      <c r="A758" s="9">
        <f t="shared" si="1"/>
        <v>755</v>
      </c>
      <c r="B758" s="47" t="s">
        <v>892</v>
      </c>
      <c r="C758" s="48">
        <f>IFERROR(DIVIDE(VLOOKUP($B758,Data!$B$3:$AB$1535,9,FALSE),VLOOKUP($B758,Data!$B$3:$AB$1535,4,FALSE)),"")</f>
        <v>0.1828093023</v>
      </c>
      <c r="D758" s="48">
        <f>IFERROR(DIVIDE(VLOOKUP($B758,Data!$B$3:$AB$1535,24,FALSE),VLOOKUP($B758,Data!$B$3:$AB$1535,4,FALSE)),"")</f>
        <v>0.05222790698</v>
      </c>
      <c r="E758" s="48">
        <f>IFERROR(DIVIDE(VLOOKUP($B758,Data!$B$3:$EZ1530,29,FALSE),VLOOKUP($B758,Data!$B$3:$EZ1530,4,FALSE)),"")</f>
        <v>0.04210930233</v>
      </c>
      <c r="F758" s="48">
        <f>IFERROR(DIVIDE(VLOOKUP($B758,Data!$B$3:$EZ1530,34,FALSE),VLOOKUP($B758,Data!$B$3:$EZ1530,4,FALSE)),"")</f>
        <v>0</v>
      </c>
      <c r="G758" s="48">
        <f>IFERROR(DIVIDE(VLOOKUP($B758,Data!$B$3:$EZ1530,39,FALSE),VLOOKUP($B758,Data!$B$3:$EZ1530,4,FALSE)),"")</f>
        <v>0.03024651163</v>
      </c>
      <c r="H758" s="48">
        <f>IFERROR(DIVIDE(VLOOKUP($B758,Data!$B$3:$EZ1530,44,FALSE),VLOOKUP($B758,Data!$B$3:$EZ1530,4,FALSE)),"")</f>
        <v>0.02159767442</v>
      </c>
      <c r="I758" s="48">
        <f>IFERROR(MINUS(DIVIDE(VLOOKUP($B758,Data!$B$3:$EZ1530,9,FALSE),VLOOKUP($B758,Data!$B$3:$EZ1530,10,FALSE)),1),"")</f>
        <v>0.4803208919</v>
      </c>
      <c r="J758" s="48">
        <f>IFERROR(MINUS(DIVIDE(VLOOKUP($B758,Data!$B$3:$EZ1530,24,FALSE),VLOOKUP($B758,Data!$B$3:$EZ1530,25,FALSE)),1),"")</f>
        <v>1.473348018</v>
      </c>
      <c r="K758" s="48">
        <f>IFERROR(MINUS(DIVIDE(VLOOKUP($B758,Data!$B$3:$EZ1530,29,FALSE),VLOOKUP($B758,Data!$B$3:$EZ1530,30,FALSE)),1),"")</f>
        <v>1.941358025</v>
      </c>
      <c r="L758" s="48">
        <f>IFERROR(MINUS(DIVIDE(VLOOKUP($B758,Data!$B$3:$EZ1530,34,FALSE),VLOOKUP($B758,Data!$B$3:$EZ1530,35,FALSE)),1),"")</f>
        <v>-1</v>
      </c>
      <c r="M758" s="48">
        <f>IFERROR(MINUS(DIVIDE(VLOOKUP($B758,Data!$B$3:$EZ1530,39,FALSE),VLOOKUP($B758,Data!$B$3:$EZ1530,40,FALSE)),1),"")</f>
        <v>1.117206577</v>
      </c>
      <c r="N758" s="48">
        <f>IFERROR(MINUS(DIVIDE(VLOOKUP($B758,Data!$B$3:$EZ1530,44,FALSE),VLOOKUP($B758,Data!$B$3:$EZ1530,45,FALSE)),1),"")</f>
        <v>-4.544656489</v>
      </c>
      <c r="O758" s="50">
        <f>IFERROR(VLOOKUP($B758,Data!$B$3:$D1530,2,FALSE),"")</f>
        <v>5220000</v>
      </c>
      <c r="P758" s="50">
        <f>IFERROR(VLOOKUP($B758,Data!$B$3:$D1530,3,FALSE),"")</f>
        <v>5080000</v>
      </c>
      <c r="Q758" s="48">
        <f t="shared" si="2"/>
        <v>0.02755905512</v>
      </c>
      <c r="R758" s="48"/>
      <c r="S758" s="48"/>
      <c r="T758" s="48"/>
      <c r="U758" s="48"/>
      <c r="V758" s="48"/>
      <c r="W758" s="50"/>
      <c r="Z758" s="11"/>
      <c r="AA758" s="11"/>
    </row>
    <row r="759">
      <c r="A759" s="9">
        <f t="shared" si="1"/>
        <v>756</v>
      </c>
      <c r="B759" s="47" t="s">
        <v>893</v>
      </c>
      <c r="C759" s="48">
        <f>IFERROR(DIVIDE(VLOOKUP($B759,Data!$B$3:$AB$1535,9,FALSE),VLOOKUP($B759,Data!$B$3:$AB$1535,4,FALSE)),"")</f>
        <v>0</v>
      </c>
      <c r="D759" s="48">
        <f>IFERROR(DIVIDE(VLOOKUP($B759,Data!$B$3:$AB$1535,24,FALSE),VLOOKUP($B759,Data!$B$3:$AB$1535,4,FALSE)),"")</f>
        <v>0</v>
      </c>
      <c r="E759" s="48">
        <f>IFERROR(DIVIDE(VLOOKUP($B759,Data!$B$3:$EZ1530,29,FALSE),VLOOKUP($B759,Data!$B$3:$EZ1530,4,FALSE)),"")</f>
        <v>0.3845945763</v>
      </c>
      <c r="F759" s="48">
        <f>IFERROR(DIVIDE(VLOOKUP($B759,Data!$B$3:$EZ1530,34,FALSE),VLOOKUP($B759,Data!$B$3:$EZ1530,4,FALSE)),"")</f>
        <v>0.3832420369</v>
      </c>
      <c r="G759" s="48">
        <f>IFERROR(DIVIDE(VLOOKUP($B759,Data!$B$3:$EZ1530,39,FALSE),VLOOKUP($B759,Data!$B$3:$EZ1530,4,FALSE)),"")</f>
        <v>0.3842564415</v>
      </c>
      <c r="H759" s="48">
        <f>IFERROR(DIVIDE(VLOOKUP($B759,Data!$B$3:$EZ1530,44,FALSE),VLOOKUP($B759,Data!$B$3:$EZ1530,4,FALSE)),"")</f>
        <v>-0.2037600595</v>
      </c>
      <c r="I759" s="48" t="str">
        <f>IFERROR(MINUS(DIVIDE(VLOOKUP($B759,Data!$B$3:$EZ1530,9,FALSE),VLOOKUP($B759,Data!$B$3:$EZ1530,10,FALSE)),1),"")</f>
        <v/>
      </c>
      <c r="J759" s="48" t="str">
        <f>IFERROR(MINUS(DIVIDE(VLOOKUP($B759,Data!$B$3:$EZ1530,24,FALSE),VLOOKUP($B759,Data!$B$3:$EZ1530,25,FALSE)),1),"")</f>
        <v/>
      </c>
      <c r="K759" s="48">
        <f>IFERROR(MINUS(DIVIDE(VLOOKUP($B759,Data!$B$3:$EZ1530,29,FALSE),VLOOKUP($B759,Data!$B$3:$EZ1530,30,FALSE)),1),"")</f>
        <v>-3.08086352</v>
      </c>
      <c r="L759" s="48">
        <f>IFERROR(MINUS(DIVIDE(VLOOKUP($B759,Data!$B$3:$EZ1530,34,FALSE),VLOOKUP($B759,Data!$B$3:$EZ1530,35,FALSE)),1),"")</f>
        <v>-3.06372906</v>
      </c>
      <c r="M759" s="48">
        <f>IFERROR(MINUS(DIVIDE(VLOOKUP($B759,Data!$B$3:$EZ1530,39,FALSE),VLOOKUP($B759,Data!$B$3:$EZ1530,40,FALSE)),1),"")</f>
        <v>-3.0752374</v>
      </c>
      <c r="N759" s="48">
        <f>IFERROR(MINUS(DIVIDE(VLOOKUP($B759,Data!$B$3:$EZ1530,44,FALSE),VLOOKUP($B759,Data!$B$3:$EZ1530,45,FALSE)),1),"")</f>
        <v>-0.5263323377</v>
      </c>
      <c r="O759" s="50">
        <f>IFERROR(VLOOKUP($B759,Data!$B$3:$D1530,2,FALSE),"")</f>
        <v>6000</v>
      </c>
      <c r="P759" s="50">
        <f>IFERROR(VLOOKUP($B759,Data!$B$3:$D1530,3,FALSE),"")</f>
        <v>7500</v>
      </c>
      <c r="Q759" s="48">
        <f t="shared" si="2"/>
        <v>-0.2</v>
      </c>
      <c r="R759" s="48"/>
      <c r="S759" s="48"/>
      <c r="T759" s="48"/>
      <c r="U759" s="48"/>
      <c r="V759" s="48"/>
      <c r="W759" s="50"/>
      <c r="Z759" s="15"/>
      <c r="AA759" s="15"/>
    </row>
    <row r="760">
      <c r="A760" s="9">
        <f t="shared" si="1"/>
        <v>757</v>
      </c>
      <c r="B760" s="47" t="s">
        <v>894</v>
      </c>
      <c r="C760" s="48">
        <f>IFERROR(DIVIDE(VLOOKUP($B760,Data!$B$3:$AB$1535,9,FALSE),VLOOKUP($B760,Data!$B$3:$AB$1535,4,FALSE)),"")</f>
        <v>0.669589575</v>
      </c>
      <c r="D760" s="48">
        <f>IFERROR(DIVIDE(VLOOKUP($B760,Data!$B$3:$AB$1535,24,FALSE),VLOOKUP($B760,Data!$B$3:$AB$1535,4,FALSE)),"")</f>
        <v>0.189258312</v>
      </c>
      <c r="E760" s="48">
        <f>IFERROR(DIVIDE(VLOOKUP($B760,Data!$B$3:$EZ1530,29,FALSE),VLOOKUP($B760,Data!$B$3:$EZ1530,4,FALSE)),"")</f>
        <v>0.2110583364</v>
      </c>
      <c r="F760" s="48">
        <f>IFERROR(DIVIDE(VLOOKUP($B760,Data!$B$3:$EZ1530,34,FALSE),VLOOKUP($B760,Data!$B$3:$EZ1530,4,FALSE)),"")</f>
        <v>0.347826087</v>
      </c>
      <c r="G760" s="48">
        <f>IFERROR(DIVIDE(VLOOKUP($B760,Data!$B$3:$EZ1530,39,FALSE),VLOOKUP($B760,Data!$B$3:$EZ1530,4,FALSE)),"")</f>
        <v>0.1841432225</v>
      </c>
      <c r="H760" s="48">
        <f>IFERROR(DIVIDE(VLOOKUP($B760,Data!$B$3:$EZ1530,44,FALSE),VLOOKUP($B760,Data!$B$3:$EZ1530,4,FALSE)),"")</f>
        <v>0.2852271343</v>
      </c>
      <c r="I760" s="48">
        <f>IFERROR(MINUS(DIVIDE(VLOOKUP($B760,Data!$B$3:$EZ1530,9,FALSE),VLOOKUP($B760,Data!$B$3:$EZ1530,10,FALSE)),1),"")</f>
        <v>0.01159153634</v>
      </c>
      <c r="J760" s="48">
        <f>IFERROR(MINUS(DIVIDE(VLOOKUP($B760,Data!$B$3:$EZ1530,24,FALSE),VLOOKUP($B760,Data!$B$3:$EZ1530,25,FALSE)),1),"")</f>
        <v>-0.09228971963</v>
      </c>
      <c r="K760" s="48">
        <f>IFERROR(MINUS(DIVIDE(VLOOKUP($B760,Data!$B$3:$EZ1530,29,FALSE),VLOOKUP($B760,Data!$B$3:$EZ1530,30,FALSE)),1),"")</f>
        <v>-0.03722222222</v>
      </c>
      <c r="L760" s="48">
        <f>IFERROR(MINUS(DIVIDE(VLOOKUP($B760,Data!$B$3:$EZ1530,34,FALSE),VLOOKUP($B760,Data!$B$3:$EZ1530,35,FALSE)),1),"")</f>
        <v>0.01348474095</v>
      </c>
      <c r="M760" s="48">
        <f>IFERROR(MINUS(DIVIDE(VLOOKUP($B760,Data!$B$3:$EZ1530,39,FALSE),VLOOKUP($B760,Data!$B$3:$EZ1530,40,FALSE)),1),"")</f>
        <v>-0.01176470588</v>
      </c>
      <c r="N760" s="48">
        <f>IFERROR(MINUS(DIVIDE(VLOOKUP($B760,Data!$B$3:$EZ1530,44,FALSE),VLOOKUP($B760,Data!$B$3:$EZ1530,45,FALSE)),1),"")</f>
        <v>0.05495495495</v>
      </c>
      <c r="O760" s="50">
        <f>IFERROR(VLOOKUP($B760,Data!$B$3:$D1530,2,FALSE),"")</f>
        <v>87490000</v>
      </c>
      <c r="P760" s="50">
        <f>IFERROR(VLOOKUP($B760,Data!$B$3:$D1530,3,FALSE),"")</f>
        <v>80610000</v>
      </c>
      <c r="Q760" s="48">
        <f t="shared" si="2"/>
        <v>0.08534921226</v>
      </c>
      <c r="R760" s="48"/>
      <c r="S760" s="48"/>
      <c r="T760" s="48"/>
      <c r="U760" s="48"/>
      <c r="V760" s="48"/>
      <c r="W760" s="50"/>
      <c r="Z760" s="15"/>
      <c r="AA760" s="15"/>
    </row>
    <row r="761">
      <c r="A761" s="9">
        <f t="shared" si="1"/>
        <v>758</v>
      </c>
      <c r="B761" s="47" t="s">
        <v>895</v>
      </c>
      <c r="C761" s="48">
        <f>IFERROR(DIVIDE(VLOOKUP($B761,Data!$B$3:$AB$1535,9,FALSE),VLOOKUP($B761,Data!$B$3:$AB$1535,4,FALSE)),"")</f>
        <v>0.597752809</v>
      </c>
      <c r="D761" s="48">
        <f>IFERROR(DIVIDE(VLOOKUP($B761,Data!$B$3:$AB$1535,24,FALSE),VLOOKUP($B761,Data!$B$3:$AB$1535,4,FALSE)),"")</f>
        <v>0.09593258427</v>
      </c>
      <c r="E761" s="48">
        <f>IFERROR(DIVIDE(VLOOKUP($B761,Data!$B$3:$EZ1530,29,FALSE),VLOOKUP($B761,Data!$B$3:$EZ1530,4,FALSE)),"")</f>
        <v>0.09312359551</v>
      </c>
      <c r="F761" s="48">
        <f>IFERROR(DIVIDE(VLOOKUP($B761,Data!$B$3:$EZ1530,34,FALSE),VLOOKUP($B761,Data!$B$3:$EZ1530,4,FALSE)),"")</f>
        <v>0.1601797753</v>
      </c>
      <c r="G761" s="48">
        <f>IFERROR(DIVIDE(VLOOKUP($B761,Data!$B$3:$EZ1530,39,FALSE),VLOOKUP($B761,Data!$B$3:$EZ1530,4,FALSE)),"")</f>
        <v>0.07752808989</v>
      </c>
      <c r="H761" s="48">
        <f>IFERROR(DIVIDE(VLOOKUP($B761,Data!$B$3:$EZ1530,44,FALSE),VLOOKUP($B761,Data!$B$3:$EZ1530,4,FALSE)),"")</f>
        <v>0.1188539326</v>
      </c>
      <c r="I761" s="48">
        <f>IFERROR(MINUS(DIVIDE(VLOOKUP($B761,Data!$B$3:$EZ1530,9,FALSE),VLOOKUP($B761,Data!$B$3:$EZ1530,10,FALSE)),1),"")</f>
        <v>-0.03971119134</v>
      </c>
      <c r="J761" s="48">
        <f>IFERROR(MINUS(DIVIDE(VLOOKUP($B761,Data!$B$3:$EZ1530,24,FALSE),VLOOKUP($B761,Data!$B$3:$EZ1530,25,FALSE)),1),"")</f>
        <v>-0.2539321915</v>
      </c>
      <c r="K761" s="48">
        <f>IFERROR(MINUS(DIVIDE(VLOOKUP($B761,Data!$B$3:$EZ1530,29,FALSE),VLOOKUP($B761,Data!$B$3:$EZ1530,30,FALSE)),1),"")</f>
        <v>-0.2220762155</v>
      </c>
      <c r="L761" s="48">
        <f>IFERROR(MINUS(DIVIDE(VLOOKUP($B761,Data!$B$3:$EZ1530,34,FALSE),VLOOKUP($B761,Data!$B$3:$EZ1530,35,FALSE)),1),"")</f>
        <v>-0.1028319698</v>
      </c>
      <c r="M761" s="48">
        <f>IFERROR(MINUS(DIVIDE(VLOOKUP($B761,Data!$B$3:$EZ1530,39,FALSE),VLOOKUP($B761,Data!$B$3:$EZ1530,40,FALSE)),1),"")</f>
        <v>-0.3914270594</v>
      </c>
      <c r="N761" s="48">
        <f>IFERROR(MINUS(DIVIDE(VLOOKUP($B761,Data!$B$3:$EZ1530,44,FALSE),VLOOKUP($B761,Data!$B$3:$EZ1530,45,FALSE)),1),"")</f>
        <v>-0.385785623</v>
      </c>
      <c r="O761" s="50" t="str">
        <f>IFERROR(VLOOKUP($B761,Data!$B$3:$D1530,2,FALSE),"")</f>
        <v/>
      </c>
      <c r="P761" s="50" t="str">
        <f>IFERROR(VLOOKUP($B761,Data!$B$3:$D1530,3,FALSE),"")</f>
        <v/>
      </c>
      <c r="Q761" s="48" t="str">
        <f t="shared" si="2"/>
        <v/>
      </c>
      <c r="R761" s="48"/>
      <c r="S761" s="48"/>
      <c r="T761" s="48"/>
      <c r="U761" s="48"/>
      <c r="V761" s="48"/>
      <c r="W761" s="50"/>
      <c r="Z761" s="11"/>
      <c r="AA761" s="11"/>
    </row>
    <row r="762">
      <c r="A762" s="9">
        <f t="shared" si="1"/>
        <v>759</v>
      </c>
      <c r="B762" s="47" t="s">
        <v>896</v>
      </c>
      <c r="C762" s="48">
        <f>IFERROR(DIVIDE(VLOOKUP($B762,Data!$B$3:$AB$1535,9,FALSE),VLOOKUP($B762,Data!$B$3:$AB$1535,4,FALSE)),"")</f>
        <v>0.4370221543</v>
      </c>
      <c r="D762" s="48">
        <f>IFERROR(DIVIDE(VLOOKUP($B762,Data!$B$3:$AB$1535,24,FALSE),VLOOKUP($B762,Data!$B$3:$AB$1535,4,FALSE)),"")</f>
        <v>0.1144162725</v>
      </c>
      <c r="E762" s="48">
        <f>IFERROR(DIVIDE(VLOOKUP($B762,Data!$B$3:$EZ1530,29,FALSE),VLOOKUP($B762,Data!$B$3:$EZ1530,4,FALSE)),"")</f>
        <v>0.1182568187</v>
      </c>
      <c r="F762" s="48">
        <f>IFERROR(DIVIDE(VLOOKUP($B762,Data!$B$3:$EZ1530,34,FALSE),VLOOKUP($B762,Data!$B$3:$EZ1530,4,FALSE)),"")</f>
        <v>0.138224103</v>
      </c>
      <c r="G762" s="48">
        <f>IFERROR(DIVIDE(VLOOKUP($B762,Data!$B$3:$EZ1530,39,FALSE),VLOOKUP($B762,Data!$B$3:$EZ1530,4,FALSE)),"")</f>
        <v>0.09140855588</v>
      </c>
      <c r="H762" s="48">
        <f>IFERROR(DIVIDE(VLOOKUP($B762,Data!$B$3:$EZ1530,44,FALSE),VLOOKUP($B762,Data!$B$3:$EZ1530,4,FALSE)),"")</f>
        <v>0.08150492514</v>
      </c>
      <c r="I762" s="48">
        <f>IFERROR(MINUS(DIVIDE(VLOOKUP($B762,Data!$B$3:$EZ1530,9,FALSE),VLOOKUP($B762,Data!$B$3:$EZ1530,10,FALSE)),1),"")</f>
        <v>0.01624906971</v>
      </c>
      <c r="J762" s="48">
        <f>IFERROR(MINUS(DIVIDE(VLOOKUP($B762,Data!$B$3:$EZ1530,24,FALSE),VLOOKUP($B762,Data!$B$3:$EZ1530,25,FALSE)),1),"")</f>
        <v>-0.001086619062</v>
      </c>
      <c r="K762" s="48">
        <f>IFERROR(MINUS(DIVIDE(VLOOKUP($B762,Data!$B$3:$EZ1530,29,FALSE),VLOOKUP($B762,Data!$B$3:$EZ1530,30,FALSE)),1),"")</f>
        <v>-0.02349141095</v>
      </c>
      <c r="L762" s="48">
        <f>IFERROR(MINUS(DIVIDE(VLOOKUP($B762,Data!$B$3:$EZ1530,34,FALSE),VLOOKUP($B762,Data!$B$3:$EZ1530,35,FALSE)),1),"")</f>
        <v>0.02114803625</v>
      </c>
      <c r="M762" s="48">
        <f>IFERROR(MINUS(DIVIDE(VLOOKUP($B762,Data!$B$3:$EZ1530,39,FALSE),VLOOKUP($B762,Data!$B$3:$EZ1530,40,FALSE)),1),"")</f>
        <v>0.264076715</v>
      </c>
      <c r="N762" s="48">
        <f>IFERROR(MINUS(DIVIDE(VLOOKUP($B762,Data!$B$3:$EZ1530,44,FALSE),VLOOKUP($B762,Data!$B$3:$EZ1530,45,FALSE)),1),"")</f>
        <v>-0.2758293839</v>
      </c>
      <c r="O762" s="50">
        <f>IFERROR(VLOOKUP($B762,Data!$B$3:$D1530,2,FALSE),"")</f>
        <v>582770</v>
      </c>
      <c r="P762" s="50">
        <f>IFERROR(VLOOKUP($B762,Data!$B$3:$D1530,3,FALSE),"")</f>
        <v>548830</v>
      </c>
      <c r="Q762" s="48">
        <f t="shared" si="2"/>
        <v>0.06184064282</v>
      </c>
      <c r="R762" s="48"/>
      <c r="S762" s="48"/>
      <c r="T762" s="48"/>
      <c r="U762" s="48"/>
      <c r="V762" s="48"/>
      <c r="W762" s="50"/>
      <c r="Z762" s="11"/>
      <c r="AA762" s="11"/>
    </row>
    <row r="763">
      <c r="A763" s="9">
        <f t="shared" si="1"/>
        <v>760</v>
      </c>
      <c r="B763" s="47" t="s">
        <v>897</v>
      </c>
      <c r="C763" s="48">
        <f>IFERROR(DIVIDE(VLOOKUP($B763,Data!$B$3:$AB$1535,9,FALSE),VLOOKUP($B763,Data!$B$3:$AB$1535,4,FALSE)),"")</f>
        <v>0.3601804124</v>
      </c>
      <c r="D763" s="48">
        <f>IFERROR(DIVIDE(VLOOKUP($B763,Data!$B$3:$AB$1535,24,FALSE),VLOOKUP($B763,Data!$B$3:$AB$1535,4,FALSE)),"")</f>
        <v>0.05051546392</v>
      </c>
      <c r="E763" s="48">
        <f>IFERROR(DIVIDE(VLOOKUP($B763,Data!$B$3:$EZ1530,29,FALSE),VLOOKUP($B763,Data!$B$3:$EZ1530,4,FALSE)),"")</f>
        <v>0.04394329897</v>
      </c>
      <c r="F763" s="48">
        <f>IFERROR(DIVIDE(VLOOKUP($B763,Data!$B$3:$EZ1530,34,FALSE),VLOOKUP($B763,Data!$B$3:$EZ1530,4,FALSE)),"")</f>
        <v>0.1069587629</v>
      </c>
      <c r="G763" s="48">
        <f>IFERROR(DIVIDE(VLOOKUP($B763,Data!$B$3:$EZ1530,39,FALSE),VLOOKUP($B763,Data!$B$3:$EZ1530,4,FALSE)),"")</f>
        <v>0.03195876289</v>
      </c>
      <c r="H763" s="48">
        <f>IFERROR(DIVIDE(VLOOKUP($B763,Data!$B$3:$EZ1530,44,FALSE),VLOOKUP($B763,Data!$B$3:$EZ1530,4,FALSE)),"")</f>
        <v>0.09664948454</v>
      </c>
      <c r="I763" s="48">
        <f>IFERROR(MINUS(DIVIDE(VLOOKUP($B763,Data!$B$3:$EZ1530,9,FALSE),VLOOKUP($B763,Data!$B$3:$EZ1530,10,FALSE)),1),"")</f>
        <v>-0.02101576182</v>
      </c>
      <c r="J763" s="48">
        <f>IFERROR(MINUS(DIVIDE(VLOOKUP($B763,Data!$B$3:$EZ1530,24,FALSE),VLOOKUP($B763,Data!$B$3:$EZ1530,25,FALSE)),1),"")</f>
        <v>-0.0633213859</v>
      </c>
      <c r="K763" s="48">
        <f>IFERROR(MINUS(DIVIDE(VLOOKUP($B763,Data!$B$3:$EZ1530,29,FALSE),VLOOKUP($B763,Data!$B$3:$EZ1530,30,FALSE)),1),"")</f>
        <v>-0.06957708049</v>
      </c>
      <c r="L763" s="48">
        <f>IFERROR(MINUS(DIVIDE(VLOOKUP($B763,Data!$B$3:$EZ1530,34,FALSE),VLOOKUP($B763,Data!$B$3:$EZ1530,35,FALSE)),1),"")</f>
        <v>0.05063291139</v>
      </c>
      <c r="M763" s="48">
        <f>IFERROR(MINUS(DIVIDE(VLOOKUP($B763,Data!$B$3:$EZ1530,39,FALSE),VLOOKUP($B763,Data!$B$3:$EZ1530,40,FALSE)),1),"")</f>
        <v>-0.1205673759</v>
      </c>
      <c r="N763" s="48">
        <f>IFERROR(MINUS(DIVIDE(VLOOKUP($B763,Data!$B$3:$EZ1530,44,FALSE),VLOOKUP($B763,Data!$B$3:$EZ1530,45,FALSE)),1),"")</f>
        <v>0.1538461538</v>
      </c>
      <c r="O763" s="50">
        <f>IFERROR(VLOOKUP($B763,Data!$B$3:$D1530,2,FALSE),"")</f>
        <v>14240000</v>
      </c>
      <c r="P763" s="50">
        <f>IFERROR(VLOOKUP($B763,Data!$B$3:$D1530,3,FALSE),"")</f>
        <v>12240000</v>
      </c>
      <c r="Q763" s="48">
        <f t="shared" si="2"/>
        <v>0.1633986928</v>
      </c>
      <c r="R763" s="48"/>
      <c r="S763" s="48"/>
      <c r="T763" s="48"/>
      <c r="U763" s="48"/>
      <c r="V763" s="48"/>
      <c r="W763" s="50"/>
      <c r="Z763" s="12"/>
      <c r="AA763" s="12"/>
    </row>
    <row r="764">
      <c r="A764" s="9">
        <f t="shared" si="1"/>
        <v>761</v>
      </c>
      <c r="B764" s="47" t="s">
        <v>898</v>
      </c>
      <c r="C764" s="48">
        <f>IFERROR(DIVIDE(VLOOKUP($B764,Data!$B$3:$AB$1535,9,FALSE),VLOOKUP($B764,Data!$B$3:$AB$1535,4,FALSE)),"")</f>
        <v>0.3262150221</v>
      </c>
      <c r="D764" s="48">
        <f>IFERROR(DIVIDE(VLOOKUP($B764,Data!$B$3:$AB$1535,24,FALSE),VLOOKUP($B764,Data!$B$3:$AB$1535,4,FALSE)),"")</f>
        <v>0.1060382916</v>
      </c>
      <c r="E764" s="48">
        <f>IFERROR(DIVIDE(VLOOKUP($B764,Data!$B$3:$EZ1530,29,FALSE),VLOOKUP($B764,Data!$B$3:$EZ1530,4,FALSE)),"")</f>
        <v>0.09646539028</v>
      </c>
      <c r="F764" s="48">
        <f>IFERROR(DIVIDE(VLOOKUP($B764,Data!$B$3:$EZ1530,34,FALSE),VLOOKUP($B764,Data!$B$3:$EZ1530,4,FALSE)),"")</f>
        <v>0.1487481591</v>
      </c>
      <c r="G764" s="48">
        <f>IFERROR(DIVIDE(VLOOKUP($B764,Data!$B$3:$EZ1530,39,FALSE),VLOOKUP($B764,Data!$B$3:$EZ1530,4,FALSE)),"")</f>
        <v>0.0706921944</v>
      </c>
      <c r="H764" s="48">
        <f>IFERROR(DIVIDE(VLOOKUP($B764,Data!$B$3:$EZ1530,44,FALSE),VLOOKUP($B764,Data!$B$3:$EZ1530,4,FALSE)),"")</f>
        <v>0.08689248895</v>
      </c>
      <c r="I764" s="48">
        <f>IFERROR(MINUS(DIVIDE(VLOOKUP($B764,Data!$B$3:$EZ1530,9,FALSE),VLOOKUP($B764,Data!$B$3:$EZ1530,10,FALSE)),1),"")</f>
        <v>-0.08281573499</v>
      </c>
      <c r="J764" s="48">
        <f>IFERROR(MINUS(DIVIDE(VLOOKUP($B764,Data!$B$3:$EZ1530,24,FALSE),VLOOKUP($B764,Data!$B$3:$EZ1530,25,FALSE)),1),"")</f>
        <v>-0.1771428571</v>
      </c>
      <c r="K764" s="48">
        <f>IFERROR(MINUS(DIVIDE(VLOOKUP($B764,Data!$B$3:$EZ1530,29,FALSE),VLOOKUP($B764,Data!$B$3:$EZ1530,30,FALSE)),1),"")</f>
        <v>-0.01503759398</v>
      </c>
      <c r="L764" s="48">
        <f>IFERROR(MINUS(DIVIDE(VLOOKUP($B764,Data!$B$3:$EZ1530,34,FALSE),VLOOKUP($B764,Data!$B$3:$EZ1530,35,FALSE)),1),"")</f>
        <v>-0.1583333333</v>
      </c>
      <c r="M764" s="48">
        <f>IFERROR(MINUS(DIVIDE(VLOOKUP($B764,Data!$B$3:$EZ1530,39,FALSE),VLOOKUP($B764,Data!$B$3:$EZ1530,40,FALSE)),1),"")</f>
        <v>-0.2835820896</v>
      </c>
      <c r="N764" s="48">
        <f>IFERROR(MINUS(DIVIDE(VLOOKUP($B764,Data!$B$3:$EZ1530,44,FALSE),VLOOKUP($B764,Data!$B$3:$EZ1530,45,FALSE)),1),"")</f>
        <v>-0.2337662338</v>
      </c>
      <c r="O764" s="50">
        <f>IFERROR(VLOOKUP($B764,Data!$B$3:$D1530,2,FALSE),"")</f>
        <v>13230000</v>
      </c>
      <c r="P764" s="50">
        <f>IFERROR(VLOOKUP($B764,Data!$B$3:$D1530,3,FALSE),"")</f>
        <v>13360000</v>
      </c>
      <c r="Q764" s="48">
        <f t="shared" si="2"/>
        <v>-0.009730538922</v>
      </c>
      <c r="R764" s="48"/>
      <c r="S764" s="48"/>
      <c r="T764" s="48"/>
      <c r="U764" s="48"/>
      <c r="V764" s="48"/>
      <c r="W764" s="50"/>
      <c r="Z764" s="15"/>
      <c r="AA764" s="15"/>
    </row>
    <row r="765">
      <c r="A765" s="9">
        <f t="shared" si="1"/>
        <v>762</v>
      </c>
      <c r="B765" s="47" t="s">
        <v>899</v>
      </c>
      <c r="C765" s="48">
        <f>IFERROR(DIVIDE(VLOOKUP($B765,Data!$B$3:$AB$1535,9,FALSE),VLOOKUP($B765,Data!$B$3:$AB$1535,4,FALSE)),"")</f>
        <v>0.5321252059</v>
      </c>
      <c r="D765" s="48">
        <f>IFERROR(DIVIDE(VLOOKUP($B765,Data!$B$3:$AB$1535,24,FALSE),VLOOKUP($B765,Data!$B$3:$AB$1535,4,FALSE)),"")</f>
        <v>0</v>
      </c>
      <c r="E765" s="48">
        <f>IFERROR(DIVIDE(VLOOKUP($B765,Data!$B$3:$EZ1530,29,FALSE),VLOOKUP($B765,Data!$B$3:$EZ1530,4,FALSE)),"")</f>
        <v>-15.54365733</v>
      </c>
      <c r="F765" s="48">
        <f>IFERROR(DIVIDE(VLOOKUP($B765,Data!$B$3:$EZ1530,34,FALSE),VLOOKUP($B765,Data!$B$3:$EZ1530,4,FALSE)),"")</f>
        <v>-14.10378913</v>
      </c>
      <c r="G765" s="48">
        <f>IFERROR(DIVIDE(VLOOKUP($B765,Data!$B$3:$EZ1530,39,FALSE),VLOOKUP($B765,Data!$B$3:$EZ1530,4,FALSE)),"")</f>
        <v>-15.54365733</v>
      </c>
      <c r="H765" s="48">
        <f>IFERROR(DIVIDE(VLOOKUP($B765,Data!$B$3:$EZ1530,44,FALSE),VLOOKUP($B765,Data!$B$3:$EZ1530,4,FALSE)),"")</f>
        <v>-15.27512356</v>
      </c>
      <c r="I765" s="48">
        <f>IFERROR(MINUS(DIVIDE(VLOOKUP($B765,Data!$B$3:$EZ1530,9,FALSE),VLOOKUP($B765,Data!$B$3:$EZ1530,10,FALSE)),1),"")</f>
        <v>-4.382198953</v>
      </c>
      <c r="J765" s="48">
        <f>IFERROR(MINUS(DIVIDE(VLOOKUP($B765,Data!$B$3:$EZ1530,24,FALSE),VLOOKUP($B765,Data!$B$3:$EZ1530,25,FALSE)),1),"")</f>
        <v>-1</v>
      </c>
      <c r="K765" s="48">
        <f>IFERROR(MINUS(DIVIDE(VLOOKUP($B765,Data!$B$3:$EZ1530,29,FALSE),VLOOKUP($B765,Data!$B$3:$EZ1530,30,FALSE)),1),"")</f>
        <v>0.4136949356</v>
      </c>
      <c r="L765" s="48">
        <f>IFERROR(MINUS(DIVIDE(VLOOKUP($B765,Data!$B$3:$EZ1530,34,FALSE),VLOOKUP($B765,Data!$B$3:$EZ1530,35,FALSE)),1),"")</f>
        <v>0.3424807903</v>
      </c>
      <c r="M765" s="48">
        <f>IFERROR(MINUS(DIVIDE(VLOOKUP($B765,Data!$B$3:$EZ1530,39,FALSE),VLOOKUP($B765,Data!$B$3:$EZ1530,40,FALSE)),1),"")</f>
        <v>0.4136949356</v>
      </c>
      <c r="N765" s="48">
        <f>IFERROR(MINUS(DIVIDE(VLOOKUP($B765,Data!$B$3:$EZ1530,44,FALSE),VLOOKUP($B765,Data!$B$3:$EZ1530,45,FALSE)),1),"")</f>
        <v>0.7132298596</v>
      </c>
      <c r="O765" s="50">
        <f>IFERROR(VLOOKUP($B765,Data!$B$3:$D1530,2,FALSE),"")</f>
        <v>56870</v>
      </c>
      <c r="P765" s="50">
        <f>IFERROR(VLOOKUP($B765,Data!$B$3:$D1530,3,FALSE),"")</f>
        <v>6970</v>
      </c>
      <c r="Q765" s="48">
        <f t="shared" si="2"/>
        <v>7.159253945</v>
      </c>
      <c r="R765" s="48"/>
      <c r="S765" s="48"/>
      <c r="T765" s="48"/>
      <c r="U765" s="48"/>
      <c r="V765" s="48"/>
      <c r="W765" s="50"/>
      <c r="Z765" s="11"/>
      <c r="AA765" s="11"/>
    </row>
    <row r="766">
      <c r="A766" s="9">
        <f t="shared" si="1"/>
        <v>763</v>
      </c>
      <c r="B766" s="47" t="s">
        <v>900</v>
      </c>
      <c r="C766" s="48">
        <f>IFERROR(DIVIDE(VLOOKUP($B766,Data!$B$3:$AB$1535,9,FALSE),VLOOKUP($B766,Data!$B$3:$AB$1535,4,FALSE)),"")</f>
        <v>0.1784768212</v>
      </c>
      <c r="D766" s="48">
        <f>IFERROR(DIVIDE(VLOOKUP($B766,Data!$B$3:$AB$1535,24,FALSE),VLOOKUP($B766,Data!$B$3:$AB$1535,4,FALSE)),"")</f>
        <v>0.08331125828</v>
      </c>
      <c r="E766" s="48">
        <f>IFERROR(DIVIDE(VLOOKUP($B766,Data!$B$3:$EZ1530,29,FALSE),VLOOKUP($B766,Data!$B$3:$EZ1530,4,FALSE)),"")</f>
        <v>0.05324503311</v>
      </c>
      <c r="F766" s="48">
        <f>IFERROR(DIVIDE(VLOOKUP($B766,Data!$B$3:$EZ1530,34,FALSE),VLOOKUP($B766,Data!$B$3:$EZ1530,4,FALSE)),"")</f>
        <v>0.1460927152</v>
      </c>
      <c r="G766" s="48">
        <f>IFERROR(DIVIDE(VLOOKUP($B766,Data!$B$3:$EZ1530,39,FALSE),VLOOKUP($B766,Data!$B$3:$EZ1530,4,FALSE)),"")</f>
        <v>0.04105960265</v>
      </c>
      <c r="H766" s="48">
        <f>IFERROR(DIVIDE(VLOOKUP($B766,Data!$B$3:$EZ1530,44,FALSE),VLOOKUP($B766,Data!$B$3:$EZ1530,4,FALSE)),"")</f>
        <v>0.1538410596</v>
      </c>
      <c r="I766" s="48">
        <f>IFERROR(MINUS(DIVIDE(VLOOKUP($B766,Data!$B$3:$EZ1530,9,FALSE),VLOOKUP($B766,Data!$B$3:$EZ1530,10,FALSE)),1),"")</f>
        <v>0.1299790356</v>
      </c>
      <c r="J766" s="48">
        <f>IFERROR(MINUS(DIVIDE(VLOOKUP($B766,Data!$B$3:$EZ1530,24,FALSE),VLOOKUP($B766,Data!$B$3:$EZ1530,25,FALSE)),1),"")</f>
        <v>-0.1065340909</v>
      </c>
      <c r="K766" s="48">
        <f>IFERROR(MINUS(DIVIDE(VLOOKUP($B766,Data!$B$3:$EZ1530,29,FALSE),VLOOKUP($B766,Data!$B$3:$EZ1530,30,FALSE)),1),"")</f>
        <v>-0.33</v>
      </c>
      <c r="L766" s="48">
        <f>IFERROR(MINUS(DIVIDE(VLOOKUP($B766,Data!$B$3:$EZ1530,34,FALSE),VLOOKUP($B766,Data!$B$3:$EZ1530,35,FALSE)),1),"")</f>
        <v>0.185384202</v>
      </c>
      <c r="M766" s="48">
        <f>IFERROR(MINUS(DIVIDE(VLOOKUP($B766,Data!$B$3:$EZ1530,39,FALSE),VLOOKUP($B766,Data!$B$3:$EZ1530,40,FALSE)),1),"")</f>
        <v>-0.3238822246</v>
      </c>
      <c r="N766" s="48">
        <f>IFERROR(MINUS(DIVIDE(VLOOKUP($B766,Data!$B$3:$EZ1530,44,FALSE),VLOOKUP($B766,Data!$B$3:$EZ1530,45,FALSE)),1),"")</f>
        <v>0.5466045273</v>
      </c>
      <c r="O766" s="50">
        <f>IFERROR(VLOOKUP($B766,Data!$B$3:$D1530,2,FALSE),"")</f>
        <v>1300000</v>
      </c>
      <c r="P766" s="50">
        <f>IFERROR(VLOOKUP($B766,Data!$B$3:$D1530,3,FALSE),"")</f>
        <v>1200000</v>
      </c>
      <c r="Q766" s="48">
        <f t="shared" si="2"/>
        <v>0.08333333333</v>
      </c>
      <c r="R766" s="48"/>
      <c r="S766" s="48"/>
      <c r="T766" s="48"/>
      <c r="U766" s="48"/>
      <c r="V766" s="48"/>
      <c r="W766" s="50"/>
      <c r="Z766" s="15"/>
      <c r="AA766" s="15"/>
    </row>
    <row r="767">
      <c r="A767" s="9">
        <f t="shared" si="1"/>
        <v>764</v>
      </c>
      <c r="B767" s="47" t="s">
        <v>901</v>
      </c>
      <c r="C767" s="48">
        <f>IFERROR(DIVIDE(VLOOKUP($B767,Data!$B$3:$AB$1535,9,FALSE),VLOOKUP($B767,Data!$B$3:$AB$1535,4,FALSE)),"")</f>
        <v>0</v>
      </c>
      <c r="D767" s="48">
        <f>IFERROR(DIVIDE(VLOOKUP($B767,Data!$B$3:$AB$1535,24,FALSE),VLOOKUP($B767,Data!$B$3:$AB$1535,4,FALSE)),"")</f>
        <v>0</v>
      </c>
      <c r="E767" s="48">
        <f>IFERROR(DIVIDE(VLOOKUP($B767,Data!$B$3:$EZ1530,29,FALSE),VLOOKUP($B767,Data!$B$3:$EZ1530,4,FALSE)),"")</f>
        <v>-2.453900709</v>
      </c>
      <c r="F767" s="48">
        <f>IFERROR(DIVIDE(VLOOKUP($B767,Data!$B$3:$EZ1530,34,FALSE),VLOOKUP($B767,Data!$B$3:$EZ1530,4,FALSE)),"")</f>
        <v>-3.152876281</v>
      </c>
      <c r="G767" s="48">
        <f>IFERROR(DIVIDE(VLOOKUP($B767,Data!$B$3:$EZ1530,39,FALSE),VLOOKUP($B767,Data!$B$3:$EZ1530,4,FALSE)),"")</f>
        <v>-2.294720252</v>
      </c>
      <c r="H767" s="48">
        <f>IFERROR(DIVIDE(VLOOKUP($B767,Data!$B$3:$EZ1530,44,FALSE),VLOOKUP($B767,Data!$B$3:$EZ1530,4,FALSE)),"")</f>
        <v>-3.531914894</v>
      </c>
      <c r="I767" s="48" t="str">
        <f>IFERROR(MINUS(DIVIDE(VLOOKUP($B767,Data!$B$3:$EZ1530,9,FALSE),VLOOKUP($B767,Data!$B$3:$EZ1530,10,FALSE)),1),"")</f>
        <v/>
      </c>
      <c r="J767" s="48" t="str">
        <f>IFERROR(MINUS(DIVIDE(VLOOKUP($B767,Data!$B$3:$EZ1530,24,FALSE),VLOOKUP($B767,Data!$B$3:$EZ1530,25,FALSE)),1),"")</f>
        <v/>
      </c>
      <c r="K767" s="48">
        <f>IFERROR(MINUS(DIVIDE(VLOOKUP($B767,Data!$B$3:$EZ1530,29,FALSE),VLOOKUP($B767,Data!$B$3:$EZ1530,30,FALSE)),1),"")</f>
        <v>0.2980408504</v>
      </c>
      <c r="L767" s="48">
        <f>IFERROR(MINUS(DIVIDE(VLOOKUP($B767,Data!$B$3:$EZ1530,34,FALSE),VLOOKUP($B767,Data!$B$3:$EZ1530,35,FALSE)),1),"")</f>
        <v>0.3590353261</v>
      </c>
      <c r="M767" s="48">
        <f>IFERROR(MINUS(DIVIDE(VLOOKUP($B767,Data!$B$3:$EZ1530,39,FALSE),VLOOKUP($B767,Data!$B$3:$EZ1530,40,FALSE)),1),"")</f>
        <v>0.3986551393</v>
      </c>
      <c r="N767" s="48">
        <f>IFERROR(MINUS(DIVIDE(VLOOKUP($B767,Data!$B$3:$EZ1530,44,FALSE),VLOOKUP($B767,Data!$B$3:$EZ1530,45,FALSE)),1),"")</f>
        <v>0.2323343415</v>
      </c>
      <c r="O767" s="50">
        <f>IFERROR(VLOOKUP($B767,Data!$B$3:$D1530,2,FALSE),"")</f>
        <v>18530</v>
      </c>
      <c r="P767" s="50">
        <f>IFERROR(VLOOKUP($B767,Data!$B$3:$D1530,3,FALSE),"")</f>
        <v>4280</v>
      </c>
      <c r="Q767" s="48">
        <f t="shared" si="2"/>
        <v>3.329439252</v>
      </c>
      <c r="R767" s="48"/>
      <c r="S767" s="48"/>
      <c r="T767" s="48"/>
      <c r="U767" s="48"/>
      <c r="V767" s="48"/>
      <c r="W767" s="50"/>
      <c r="Z767" s="11"/>
      <c r="AA767" s="11"/>
    </row>
    <row r="768">
      <c r="A768" s="9">
        <f t="shared" si="1"/>
        <v>765</v>
      </c>
      <c r="B768" s="47" t="s">
        <v>902</v>
      </c>
      <c r="C768" s="48">
        <f>IFERROR(DIVIDE(VLOOKUP($B768,Data!$B$3:$AB$1535,9,FALSE),VLOOKUP($B768,Data!$B$3:$AB$1535,4,FALSE)),"")</f>
        <v>0.3161854492</v>
      </c>
      <c r="D768" s="48">
        <f>IFERROR(DIVIDE(VLOOKUP($B768,Data!$B$3:$AB$1535,24,FALSE),VLOOKUP($B768,Data!$B$3:$AB$1535,4,FALSE)),"")</f>
        <v>0.08017226665</v>
      </c>
      <c r="E768" s="48">
        <f>IFERROR(DIVIDE(VLOOKUP($B768,Data!$B$3:$EZ1530,29,FALSE),VLOOKUP($B768,Data!$B$3:$EZ1530,4,FALSE)),"")</f>
        <v>0.0532949935</v>
      </c>
      <c r="F768" s="48">
        <f>IFERROR(DIVIDE(VLOOKUP($B768,Data!$B$3:$EZ1530,34,FALSE),VLOOKUP($B768,Data!$B$3:$EZ1530,4,FALSE)),"")</f>
        <v>0.1174748231</v>
      </c>
      <c r="G768" s="48">
        <f>IFERROR(DIVIDE(VLOOKUP($B768,Data!$B$3:$EZ1530,39,FALSE),VLOOKUP($B768,Data!$B$3:$EZ1530,4,FALSE)),"")</f>
        <v>0.0741192999</v>
      </c>
      <c r="H768" s="48">
        <f>IFERROR(DIVIDE(VLOOKUP($B768,Data!$B$3:$EZ1530,44,FALSE),VLOOKUP($B768,Data!$B$3:$EZ1530,4,FALSE)),"")</f>
        <v>-0.005750974908</v>
      </c>
      <c r="I768" s="48">
        <f>IFERROR(MINUS(DIVIDE(VLOOKUP($B768,Data!$B$3:$EZ1530,9,FALSE),VLOOKUP($B768,Data!$B$3:$EZ1530,10,FALSE)),1),"")</f>
        <v>0.05934365652</v>
      </c>
      <c r="J768" s="48">
        <f>IFERROR(MINUS(DIVIDE(VLOOKUP($B768,Data!$B$3:$EZ1530,24,FALSE),VLOOKUP($B768,Data!$B$3:$EZ1530,25,FALSE)),1),"")</f>
        <v>-4.511213341</v>
      </c>
      <c r="K768" s="48">
        <f>IFERROR(MINUS(DIVIDE(VLOOKUP($B768,Data!$B$3:$EZ1530,29,FALSE),VLOOKUP($B768,Data!$B$3:$EZ1530,30,FALSE)),1),"")</f>
        <v>0.6145584726</v>
      </c>
      <c r="L768" s="48">
        <f>IFERROR(MINUS(DIVIDE(VLOOKUP($B768,Data!$B$3:$EZ1530,34,FALSE),VLOOKUP($B768,Data!$B$3:$EZ1530,35,FALSE)),1),"")</f>
        <v>0.07899179932</v>
      </c>
      <c r="M768" s="48">
        <f>IFERROR(MINUS(DIVIDE(VLOOKUP($B768,Data!$B$3:$EZ1530,39,FALSE),VLOOKUP($B768,Data!$B$3:$EZ1530,40,FALSE)),1),"")</f>
        <v>2.554785894</v>
      </c>
      <c r="N768" s="48">
        <f>IFERROR(MINUS(DIVIDE(VLOOKUP($B768,Data!$B$3:$EZ1530,44,FALSE),VLOOKUP($B768,Data!$B$3:$EZ1530,45,FALSE)),1),"")</f>
        <v>-1.026975426</v>
      </c>
      <c r="O768" s="50">
        <f>IFERROR(VLOOKUP($B768,Data!$B$3:$D1530,2,FALSE),"")</f>
        <v>799100</v>
      </c>
      <c r="P768" s="50">
        <f>IFERROR(VLOOKUP($B768,Data!$B$3:$D1530,3,FALSE),"")</f>
        <v>772030</v>
      </c>
      <c r="Q768" s="48">
        <f t="shared" si="2"/>
        <v>0.03506340427</v>
      </c>
      <c r="R768" s="48"/>
      <c r="S768" s="48"/>
      <c r="T768" s="48"/>
      <c r="U768" s="48"/>
      <c r="V768" s="48"/>
      <c r="W768" s="50"/>
      <c r="Z768" s="15"/>
      <c r="AA768" s="15"/>
    </row>
    <row r="769">
      <c r="A769" s="9">
        <f t="shared" si="1"/>
        <v>766</v>
      </c>
      <c r="B769" s="47" t="s">
        <v>903</v>
      </c>
      <c r="C769" s="48">
        <f>IFERROR(DIVIDE(VLOOKUP($B769,Data!$B$3:$AB$1535,9,FALSE),VLOOKUP($B769,Data!$B$3:$AB$1535,4,FALSE)),"")</f>
        <v>0.3511151079</v>
      </c>
      <c r="D769" s="48">
        <f>IFERROR(DIVIDE(VLOOKUP($B769,Data!$B$3:$AB$1535,24,FALSE),VLOOKUP($B769,Data!$B$3:$AB$1535,4,FALSE)),"")</f>
        <v>0.1118705036</v>
      </c>
      <c r="E769" s="48">
        <f>IFERROR(DIVIDE(VLOOKUP($B769,Data!$B$3:$EZ1530,29,FALSE),VLOOKUP($B769,Data!$B$3:$EZ1530,4,FALSE)),"")</f>
        <v>0.04679856115</v>
      </c>
      <c r="F769" s="48">
        <f>IFERROR(DIVIDE(VLOOKUP($B769,Data!$B$3:$EZ1530,34,FALSE),VLOOKUP($B769,Data!$B$3:$EZ1530,4,FALSE)),"")</f>
        <v>0.1808633094</v>
      </c>
      <c r="G769" s="48">
        <f>IFERROR(DIVIDE(VLOOKUP($B769,Data!$B$3:$EZ1530,39,FALSE),VLOOKUP($B769,Data!$B$3:$EZ1530,4,FALSE)),"")</f>
        <v>0.03323741007</v>
      </c>
      <c r="H769" s="48">
        <f>IFERROR(DIVIDE(VLOOKUP($B769,Data!$B$3:$EZ1530,44,FALSE),VLOOKUP($B769,Data!$B$3:$EZ1530,4,FALSE)),"")</f>
        <v>0.1898920863</v>
      </c>
      <c r="I769" s="48">
        <f>IFERROR(MINUS(DIVIDE(VLOOKUP($B769,Data!$B$3:$EZ1530,9,FALSE),VLOOKUP($B769,Data!$B$3:$EZ1530,10,FALSE)),1),"")</f>
        <v>0.02866476973</v>
      </c>
      <c r="J769" s="48">
        <f>IFERROR(MINUS(DIVIDE(VLOOKUP($B769,Data!$B$3:$EZ1530,24,FALSE),VLOOKUP($B769,Data!$B$3:$EZ1530,25,FALSE)),1),"")</f>
        <v>52.62068966</v>
      </c>
      <c r="K769" s="48">
        <f>IFERROR(MINUS(DIVIDE(VLOOKUP($B769,Data!$B$3:$EZ1530,29,FALSE),VLOOKUP($B769,Data!$B$3:$EZ1530,30,FALSE)),1),"")</f>
        <v>-0.1435154707</v>
      </c>
      <c r="L769" s="48">
        <f>IFERROR(MINUS(DIVIDE(VLOOKUP($B769,Data!$B$3:$EZ1530,34,FALSE),VLOOKUP($B769,Data!$B$3:$EZ1530,35,FALSE)),1),"")</f>
        <v>-0.01892682927</v>
      </c>
      <c r="M769" s="48">
        <f>IFERROR(MINUS(DIVIDE(VLOOKUP($B769,Data!$B$3:$EZ1530,39,FALSE),VLOOKUP($B769,Data!$B$3:$EZ1530,40,FALSE)),1),"")</f>
        <v>-0.2142857143</v>
      </c>
      <c r="N769" s="48">
        <f>IFERROR(MINUS(DIVIDE(VLOOKUP($B769,Data!$B$3:$EZ1530,44,FALSE),VLOOKUP($B769,Data!$B$3:$EZ1530,45,FALSE)),1),"")</f>
        <v>-0.2568975225</v>
      </c>
      <c r="O769" s="50">
        <f>IFERROR(VLOOKUP($B769,Data!$B$3:$D1530,2,FALSE),"")</f>
        <v>2710000</v>
      </c>
      <c r="P769" s="50">
        <f>IFERROR(VLOOKUP($B769,Data!$B$3:$D1530,3,FALSE),"")</f>
        <v>2370000</v>
      </c>
      <c r="Q769" s="48">
        <f t="shared" si="2"/>
        <v>0.1434599156</v>
      </c>
      <c r="R769" s="48"/>
      <c r="S769" s="48"/>
      <c r="T769" s="48"/>
      <c r="U769" s="48"/>
      <c r="V769" s="48"/>
      <c r="W769" s="50"/>
      <c r="Z769" s="11"/>
      <c r="AA769" s="11"/>
    </row>
    <row r="770">
      <c r="A770" s="9">
        <f t="shared" si="1"/>
        <v>767</v>
      </c>
      <c r="B770" s="47" t="s">
        <v>904</v>
      </c>
      <c r="C770" s="48">
        <f>IFERROR(DIVIDE(VLOOKUP($B770,Data!$B$3:$AB$1535,9,FALSE),VLOOKUP($B770,Data!$B$3:$AB$1535,4,FALSE)),"")</f>
        <v>0.1861802198</v>
      </c>
      <c r="D770" s="48">
        <f>IFERROR(DIVIDE(VLOOKUP($B770,Data!$B$3:$AB$1535,24,FALSE),VLOOKUP($B770,Data!$B$3:$AB$1535,4,FALSE)),"")</f>
        <v>0.0737010989</v>
      </c>
      <c r="E770" s="48">
        <f>IFERROR(DIVIDE(VLOOKUP($B770,Data!$B$3:$EZ1530,29,FALSE),VLOOKUP($B770,Data!$B$3:$EZ1530,4,FALSE)),"")</f>
        <v>0.07652307692</v>
      </c>
      <c r="F770" s="48">
        <f>IFERROR(DIVIDE(VLOOKUP($B770,Data!$B$3:$EZ1530,34,FALSE),VLOOKUP($B770,Data!$B$3:$EZ1530,4,FALSE)),"")</f>
        <v>0.08188791209</v>
      </c>
      <c r="G770" s="48">
        <f>IFERROR(DIVIDE(VLOOKUP($B770,Data!$B$3:$EZ1530,39,FALSE),VLOOKUP($B770,Data!$B$3:$EZ1530,4,FALSE)),"")</f>
        <v>0.05871428571</v>
      </c>
      <c r="H770" s="48">
        <f>IFERROR(DIVIDE(VLOOKUP($B770,Data!$B$3:$EZ1530,44,FALSE),VLOOKUP($B770,Data!$B$3:$EZ1530,4,FALSE)),"")</f>
        <v>0.05627252747</v>
      </c>
      <c r="I770" s="48">
        <f>IFERROR(MINUS(DIVIDE(VLOOKUP($B770,Data!$B$3:$EZ1530,9,FALSE),VLOOKUP($B770,Data!$B$3:$EZ1530,10,FALSE)),1),"")</f>
        <v>0.05483887035</v>
      </c>
      <c r="J770" s="48" t="str">
        <f>IFERROR(MINUS(DIVIDE(VLOOKUP($B770,Data!$B$3:$EZ1530,24,FALSE),VLOOKUP($B770,Data!$B$3:$EZ1530,25,FALSE)),1),"")</f>
        <v/>
      </c>
      <c r="K770" s="48">
        <f>IFERROR(MINUS(DIVIDE(VLOOKUP($B770,Data!$B$3:$EZ1530,29,FALSE),VLOOKUP($B770,Data!$B$3:$EZ1530,30,FALSE)),1),"")</f>
        <v>-0.05378155828</v>
      </c>
      <c r="L770" s="48">
        <f>IFERROR(MINUS(DIVIDE(VLOOKUP($B770,Data!$B$3:$EZ1530,34,FALSE),VLOOKUP($B770,Data!$B$3:$EZ1530,35,FALSE)),1),"")</f>
        <v>0.04188920891</v>
      </c>
      <c r="M770" s="48">
        <f>IFERROR(MINUS(DIVIDE(VLOOKUP($B770,Data!$B$3:$EZ1530,39,FALSE),VLOOKUP($B770,Data!$B$3:$EZ1530,40,FALSE)),1),"")</f>
        <v>0.5771297007</v>
      </c>
      <c r="N770" s="48">
        <f>IFERROR(MINUS(DIVIDE(VLOOKUP($B770,Data!$B$3:$EZ1530,44,FALSE),VLOOKUP($B770,Data!$B$3:$EZ1530,45,FALSE)),1),"")</f>
        <v>0.1062432491</v>
      </c>
      <c r="O770" s="50">
        <f>IFERROR(VLOOKUP($B770,Data!$B$3:$D1530,2,FALSE),"")</f>
        <v>4850000</v>
      </c>
      <c r="P770" s="50">
        <f>IFERROR(VLOOKUP($B770,Data!$B$3:$D1530,3,FALSE),"")</f>
        <v>4020000</v>
      </c>
      <c r="Q770" s="48">
        <f t="shared" si="2"/>
        <v>0.2064676617</v>
      </c>
      <c r="R770" s="48"/>
      <c r="S770" s="48"/>
      <c r="T770" s="48"/>
      <c r="U770" s="48"/>
      <c r="V770" s="48"/>
      <c r="W770" s="50"/>
      <c r="Z770" s="11"/>
      <c r="AA770" s="11"/>
    </row>
    <row r="771">
      <c r="A771" s="9">
        <f t="shared" si="1"/>
        <v>768</v>
      </c>
      <c r="B771" s="47" t="s">
        <v>905</v>
      </c>
      <c r="C771" s="48">
        <f>IFERROR(DIVIDE(VLOOKUP($B771,Data!$B$3:$AB$1535,9,FALSE),VLOOKUP($B771,Data!$B$3:$AB$1535,4,FALSE)),"")</f>
        <v>0.1157801418</v>
      </c>
      <c r="D771" s="48">
        <f>IFERROR(DIVIDE(VLOOKUP($B771,Data!$B$3:$AB$1535,24,FALSE),VLOOKUP($B771,Data!$B$3:$AB$1535,4,FALSE)),"")</f>
        <v>0.05496453901</v>
      </c>
      <c r="E771" s="48">
        <f>IFERROR(DIVIDE(VLOOKUP($B771,Data!$B$3:$EZ1530,29,FALSE),VLOOKUP($B771,Data!$B$3:$EZ1530,4,FALSE)),"")</f>
        <v>0.0475177305</v>
      </c>
      <c r="F771" s="48">
        <f>IFERROR(DIVIDE(VLOOKUP($B771,Data!$B$3:$EZ1530,34,FALSE),VLOOKUP($B771,Data!$B$3:$EZ1530,4,FALSE)),"")</f>
        <v>0.07375886525</v>
      </c>
      <c r="G771" s="48">
        <f>IFERROR(DIVIDE(VLOOKUP($B771,Data!$B$3:$EZ1530,39,FALSE),VLOOKUP($B771,Data!$B$3:$EZ1530,4,FALSE)),"")</f>
        <v>0.03581560284</v>
      </c>
      <c r="H771" s="48">
        <f>IFERROR(DIVIDE(VLOOKUP($B771,Data!$B$3:$EZ1530,44,FALSE),VLOOKUP($B771,Data!$B$3:$EZ1530,4,FALSE)),"")</f>
        <v>0.04539007092</v>
      </c>
      <c r="I771" s="48">
        <f>IFERROR(MINUS(DIVIDE(VLOOKUP($B771,Data!$B$3:$EZ1530,9,FALSE),VLOOKUP($B771,Data!$B$3:$EZ1530,10,FALSE)),1),"")</f>
        <v>0.1181506849</v>
      </c>
      <c r="J771" s="48">
        <f>IFERROR(MINUS(DIVIDE(VLOOKUP($B771,Data!$B$3:$EZ1530,24,FALSE),VLOOKUP($B771,Data!$B$3:$EZ1530,25,FALSE)),1),"")</f>
        <v>2.069306931</v>
      </c>
      <c r="K771" s="48">
        <f>IFERROR(MINUS(DIVIDE(VLOOKUP($B771,Data!$B$3:$EZ1530,29,FALSE),VLOOKUP($B771,Data!$B$3:$EZ1530,30,FALSE)),1),"")</f>
        <v>-0.3232323232</v>
      </c>
      <c r="L771" s="48">
        <f>IFERROR(MINUS(DIVIDE(VLOOKUP($B771,Data!$B$3:$EZ1530,34,FALSE),VLOOKUP($B771,Data!$B$3:$EZ1530,35,FALSE)),1),"")</f>
        <v>0.178470255</v>
      </c>
      <c r="M771" s="48">
        <f>IFERROR(MINUS(DIVIDE(VLOOKUP($B771,Data!$B$3:$EZ1530,39,FALSE),VLOOKUP($B771,Data!$B$3:$EZ1530,40,FALSE)),1),"")</f>
        <v>-0.28113879</v>
      </c>
      <c r="N771" s="48">
        <f>IFERROR(MINUS(DIVIDE(VLOOKUP($B771,Data!$B$3:$EZ1530,44,FALSE),VLOOKUP($B771,Data!$B$3:$EZ1530,45,FALSE)),1),"")</f>
        <v>0.5515151515</v>
      </c>
      <c r="O771" s="50">
        <f>IFERROR(VLOOKUP($B771,Data!$B$3:$D1530,2,FALSE),"")</f>
        <v>5980000</v>
      </c>
      <c r="P771" s="50">
        <f>IFERROR(VLOOKUP($B771,Data!$B$3:$D1530,3,FALSE),"")</f>
        <v>5770000</v>
      </c>
      <c r="Q771" s="48">
        <f t="shared" si="2"/>
        <v>0.03639514731</v>
      </c>
      <c r="R771" s="48"/>
      <c r="S771" s="48"/>
      <c r="T771" s="48"/>
      <c r="U771" s="48"/>
      <c r="V771" s="48"/>
      <c r="W771" s="50"/>
      <c r="Z771" s="11"/>
      <c r="AA771" s="11"/>
    </row>
    <row r="772">
      <c r="A772" s="9">
        <f t="shared" si="1"/>
        <v>769</v>
      </c>
      <c r="B772" s="47" t="s">
        <v>906</v>
      </c>
      <c r="C772" s="48">
        <f>IFERROR(DIVIDE(VLOOKUP($B772,Data!$B$3:$AB$1535,9,FALSE),VLOOKUP($B772,Data!$B$3:$AB$1535,4,FALSE)),"")</f>
        <v>0.3084395871</v>
      </c>
      <c r="D772" s="48">
        <f>IFERROR(DIVIDE(VLOOKUP($B772,Data!$B$3:$AB$1535,24,FALSE),VLOOKUP($B772,Data!$B$3:$AB$1535,4,FALSE)),"")</f>
        <v>0</v>
      </c>
      <c r="E772" s="48">
        <f>IFERROR(DIVIDE(VLOOKUP($B772,Data!$B$3:$EZ1530,29,FALSE),VLOOKUP($B772,Data!$B$3:$EZ1530,4,FALSE)),"")</f>
        <v>0.02052216151</v>
      </c>
      <c r="F772" s="48">
        <f>IFERROR(DIVIDE(VLOOKUP($B772,Data!$B$3:$EZ1530,34,FALSE),VLOOKUP($B772,Data!$B$3:$EZ1530,4,FALSE)),"")</f>
        <v>0.05865209472</v>
      </c>
      <c r="G772" s="48">
        <f>IFERROR(DIVIDE(VLOOKUP($B772,Data!$B$3:$EZ1530,39,FALSE),VLOOKUP($B772,Data!$B$3:$EZ1530,4,FALSE)),"")</f>
        <v>-0.006314511233</v>
      </c>
      <c r="H772" s="48">
        <f>IFERROR(DIVIDE(VLOOKUP($B772,Data!$B$3:$EZ1530,44,FALSE),VLOOKUP($B772,Data!$B$3:$EZ1530,4,FALSE)),"")</f>
        <v>-0.03418336369</v>
      </c>
      <c r="I772" s="48">
        <f>IFERROR(MINUS(DIVIDE(VLOOKUP($B772,Data!$B$3:$EZ1530,9,FALSE),VLOOKUP($B772,Data!$B$3:$EZ1530,10,FALSE)),1),"")</f>
        <v>-2.418994413</v>
      </c>
      <c r="J772" s="48">
        <f>IFERROR(MINUS(DIVIDE(VLOOKUP($B772,Data!$B$3:$EZ1530,24,FALSE),VLOOKUP($B772,Data!$B$3:$EZ1530,25,FALSE)),1),"")</f>
        <v>-1</v>
      </c>
      <c r="K772" s="48">
        <f>IFERROR(MINUS(DIVIDE(VLOOKUP($B772,Data!$B$3:$EZ1530,29,FALSE),VLOOKUP($B772,Data!$B$3:$EZ1530,30,FALSE)),1),"")</f>
        <v>-1.01445062</v>
      </c>
      <c r="L772" s="48">
        <f>IFERROR(MINUS(DIVIDE(VLOOKUP($B772,Data!$B$3:$EZ1530,34,FALSE),VLOOKUP($B772,Data!$B$3:$EZ1530,35,FALSE)),1),"")</f>
        <v>-1.111805556</v>
      </c>
      <c r="M772" s="48">
        <f>IFERROR(MINUS(DIVIDE(VLOOKUP($B772,Data!$B$3:$EZ1530,39,FALSE),VLOOKUP($B772,Data!$B$3:$EZ1530,40,FALSE)),1),"")</f>
        <v>-0.9942125765</v>
      </c>
      <c r="N772" s="48">
        <f>IFERROR(MINUS(DIVIDE(VLOOKUP($B772,Data!$B$3:$EZ1530,44,FALSE),VLOOKUP($B772,Data!$B$3:$EZ1530,45,FALSE)),1),"")</f>
        <v>-0.8490616622</v>
      </c>
      <c r="O772" s="50" t="str">
        <f>IFERROR(VLOOKUP($B772,Data!$B$3:$D1530,2,FALSE),"")</f>
        <v/>
      </c>
      <c r="P772" s="50" t="str">
        <f>IFERROR(VLOOKUP($B772,Data!$B$3:$D1530,3,FALSE),"")</f>
        <v/>
      </c>
      <c r="Q772" s="48" t="str">
        <f t="shared" si="2"/>
        <v/>
      </c>
      <c r="R772" s="48"/>
      <c r="S772" s="48"/>
      <c r="T772" s="48"/>
      <c r="U772" s="48"/>
      <c r="V772" s="48"/>
      <c r="W772" s="50"/>
      <c r="Z772" s="11"/>
      <c r="AA772" s="11"/>
    </row>
    <row r="773">
      <c r="A773" s="9">
        <f t="shared" si="1"/>
        <v>770</v>
      </c>
      <c r="B773" s="47" t="s">
        <v>907</v>
      </c>
      <c r="C773" s="48">
        <f>IFERROR(DIVIDE(VLOOKUP($B773,Data!$B$3:$AB$1535,9,FALSE),VLOOKUP($B773,Data!$B$3:$AB$1535,4,FALSE)),"")</f>
        <v>0.2072957746</v>
      </c>
      <c r="D773" s="48">
        <f>IFERROR(DIVIDE(VLOOKUP($B773,Data!$B$3:$AB$1535,24,FALSE),VLOOKUP($B773,Data!$B$3:$AB$1535,4,FALSE)),"")</f>
        <v>0.08235211268</v>
      </c>
      <c r="E773" s="48">
        <f>IFERROR(DIVIDE(VLOOKUP($B773,Data!$B$3:$EZ1530,29,FALSE),VLOOKUP($B773,Data!$B$3:$EZ1530,4,FALSE)),"")</f>
        <v>0.06683802817</v>
      </c>
      <c r="F773" s="48">
        <f>IFERROR(DIVIDE(VLOOKUP($B773,Data!$B$3:$EZ1530,34,FALSE),VLOOKUP($B773,Data!$B$3:$EZ1530,4,FALSE)),"")</f>
        <v>0.1687887324</v>
      </c>
      <c r="G773" s="48">
        <f>IFERROR(DIVIDE(VLOOKUP($B773,Data!$B$3:$EZ1530,39,FALSE),VLOOKUP($B773,Data!$B$3:$EZ1530,4,FALSE)),"")</f>
        <v>0.04999295775</v>
      </c>
      <c r="H773" s="48">
        <f>IFERROR(DIVIDE(VLOOKUP($B773,Data!$B$3:$EZ1530,44,FALSE),VLOOKUP($B773,Data!$B$3:$EZ1530,4,FALSE)),"")</f>
        <v>0.1802147887</v>
      </c>
      <c r="I773" s="48">
        <f>IFERROR(MINUS(DIVIDE(VLOOKUP($B773,Data!$B$3:$EZ1530,9,FALSE),VLOOKUP($B773,Data!$B$3:$EZ1530,10,FALSE)),1),"")</f>
        <v>0.006737576525</v>
      </c>
      <c r="J773" s="48">
        <f>IFERROR(MINUS(DIVIDE(VLOOKUP($B773,Data!$B$3:$EZ1530,24,FALSE),VLOOKUP($B773,Data!$B$3:$EZ1530,25,FALSE)),1),"")</f>
        <v>0.5254369945</v>
      </c>
      <c r="K773" s="48">
        <f>IFERROR(MINUS(DIVIDE(VLOOKUP($B773,Data!$B$3:$EZ1530,29,FALSE),VLOOKUP($B773,Data!$B$3:$EZ1530,30,FALSE)),1),"")</f>
        <v>0.6627540294</v>
      </c>
      <c r="L773" s="48">
        <f>IFERROR(MINUS(DIVIDE(VLOOKUP($B773,Data!$B$3:$EZ1530,34,FALSE),VLOOKUP($B773,Data!$B$3:$EZ1530,35,FALSE)),1),"")</f>
        <v>-0.05702763844</v>
      </c>
      <c r="M773" s="48">
        <f>IFERROR(MINUS(DIVIDE(VLOOKUP($B773,Data!$B$3:$EZ1530,39,FALSE),VLOOKUP($B773,Data!$B$3:$EZ1530,40,FALSE)),1),"")</f>
        <v>0.8172276974</v>
      </c>
      <c r="N773" s="48">
        <f>IFERROR(MINUS(DIVIDE(VLOOKUP($B773,Data!$B$3:$EZ1530,44,FALSE),VLOOKUP($B773,Data!$B$3:$EZ1530,45,FALSE)),1),"")</f>
        <v>0.4933765173</v>
      </c>
      <c r="O773" s="50">
        <f>IFERROR(VLOOKUP($B773,Data!$B$3:$D1530,2,FALSE),"")</f>
        <v>2470000</v>
      </c>
      <c r="P773" s="50">
        <f>IFERROR(VLOOKUP($B773,Data!$B$3:$D1530,3,FALSE),"")</f>
        <v>2320000</v>
      </c>
      <c r="Q773" s="48">
        <f t="shared" si="2"/>
        <v>0.06465517241</v>
      </c>
      <c r="R773" s="48"/>
      <c r="S773" s="48"/>
      <c r="T773" s="48"/>
      <c r="U773" s="48"/>
      <c r="V773" s="48"/>
      <c r="W773" s="50"/>
      <c r="Z773" s="11"/>
      <c r="AA773" s="11"/>
    </row>
    <row r="774">
      <c r="A774" s="9">
        <f t="shared" si="1"/>
        <v>771</v>
      </c>
      <c r="B774" s="47" t="s">
        <v>908</v>
      </c>
      <c r="C774" s="48">
        <f>IFERROR(DIVIDE(VLOOKUP($B774,Data!$B$3:$AB$1535,9,FALSE),VLOOKUP($B774,Data!$B$3:$AB$1535,4,FALSE)),"")</f>
        <v>0.2435344828</v>
      </c>
      <c r="D774" s="48">
        <f>IFERROR(DIVIDE(VLOOKUP($B774,Data!$B$3:$AB$1535,24,FALSE),VLOOKUP($B774,Data!$B$3:$AB$1535,4,FALSE)),"")</f>
        <v>0.275862069</v>
      </c>
      <c r="E774" s="48">
        <f>IFERROR(DIVIDE(VLOOKUP($B774,Data!$B$3:$EZ1530,29,FALSE),VLOOKUP($B774,Data!$B$3:$EZ1530,4,FALSE)),"")</f>
        <v>0.275862069</v>
      </c>
      <c r="F774" s="48">
        <f>IFERROR(DIVIDE(VLOOKUP($B774,Data!$B$3:$EZ1530,34,FALSE),VLOOKUP($B774,Data!$B$3:$EZ1530,4,FALSE)),"")</f>
        <v>0.3857758621</v>
      </c>
      <c r="G774" s="48">
        <f>IFERROR(DIVIDE(VLOOKUP($B774,Data!$B$3:$EZ1530,39,FALSE),VLOOKUP($B774,Data!$B$3:$EZ1530,4,FALSE)),"")</f>
        <v>0.2054978448</v>
      </c>
      <c r="H774" s="48">
        <f>IFERROR(DIVIDE(VLOOKUP($B774,Data!$B$3:$EZ1530,44,FALSE),VLOOKUP($B774,Data!$B$3:$EZ1530,4,FALSE)),"")</f>
        <v>0.3340517241</v>
      </c>
      <c r="I774" s="48">
        <f>IFERROR(MINUS(DIVIDE(VLOOKUP($B774,Data!$B$3:$EZ1530,9,FALSE),VLOOKUP($B774,Data!$B$3:$EZ1530,10,FALSE)),1),"")</f>
        <v>0.9399474669</v>
      </c>
      <c r="J774" s="48">
        <f>IFERROR(MINUS(DIVIDE(VLOOKUP($B774,Data!$B$3:$EZ1530,24,FALSE),VLOOKUP($B774,Data!$B$3:$EZ1530,25,FALSE)),1),"")</f>
        <v>4.802357208</v>
      </c>
      <c r="K774" s="48">
        <f>IFERROR(MINUS(DIVIDE(VLOOKUP($B774,Data!$B$3:$EZ1530,29,FALSE),VLOOKUP($B774,Data!$B$3:$EZ1530,30,FALSE)),1),"")</f>
        <v>7.724100327</v>
      </c>
      <c r="L774" s="48">
        <f>IFERROR(MINUS(DIVIDE(VLOOKUP($B774,Data!$B$3:$EZ1530,34,FALSE),VLOOKUP($B774,Data!$B$3:$EZ1530,35,FALSE)),1),"")</f>
        <v>0.432</v>
      </c>
      <c r="M774" s="48">
        <f>IFERROR(MINUS(DIVIDE(VLOOKUP($B774,Data!$B$3:$EZ1530,39,FALSE),VLOOKUP($B774,Data!$B$3:$EZ1530,40,FALSE)),1),"")</f>
        <v>-32.170644</v>
      </c>
      <c r="N774" s="48">
        <f>IFERROR(MINUS(DIVIDE(VLOOKUP($B774,Data!$B$3:$EZ1530,44,FALSE),VLOOKUP($B774,Data!$B$3:$EZ1530,45,FALSE)),1),"")</f>
        <v>0.6363502001</v>
      </c>
      <c r="O774" s="50">
        <f>IFERROR(VLOOKUP($B774,Data!$B$3:$D1530,2,FALSE),"")</f>
        <v>4290000</v>
      </c>
      <c r="P774" s="50">
        <f>IFERROR(VLOOKUP($B774,Data!$B$3:$D1530,3,FALSE),"")</f>
        <v>3940000</v>
      </c>
      <c r="Q774" s="48">
        <f t="shared" si="2"/>
        <v>0.08883248731</v>
      </c>
      <c r="R774" s="48"/>
      <c r="S774" s="48"/>
      <c r="T774" s="48"/>
      <c r="U774" s="48"/>
      <c r="V774" s="48"/>
      <c r="W774" s="50"/>
      <c r="Z774" s="11"/>
      <c r="AA774" s="11"/>
    </row>
    <row r="775">
      <c r="A775" s="9">
        <f t="shared" si="1"/>
        <v>772</v>
      </c>
      <c r="B775" s="47" t="s">
        <v>909</v>
      </c>
      <c r="C775" s="48">
        <f>IFERROR(DIVIDE(VLOOKUP($B775,Data!$B$3:$AB$1535,9,FALSE),VLOOKUP($B775,Data!$B$3:$AB$1535,4,FALSE)),"")</f>
        <v>0.3254603683</v>
      </c>
      <c r="D775" s="48">
        <f>IFERROR(DIVIDE(VLOOKUP($B775,Data!$B$3:$AB$1535,24,FALSE),VLOOKUP($B775,Data!$B$3:$AB$1535,4,FALSE)),"")</f>
        <v>0.1200960769</v>
      </c>
      <c r="E775" s="48">
        <f>IFERROR(DIVIDE(VLOOKUP($B775,Data!$B$3:$EZ1530,29,FALSE),VLOOKUP($B775,Data!$B$3:$EZ1530,4,FALSE)),"")</f>
        <v>0.1064851882</v>
      </c>
      <c r="F775" s="48">
        <f>IFERROR(DIVIDE(VLOOKUP($B775,Data!$B$3:$EZ1530,34,FALSE),VLOOKUP($B775,Data!$B$3:$EZ1530,4,FALSE)),"")</f>
        <v>0.2401921537</v>
      </c>
      <c r="G775" s="48">
        <f>IFERROR(DIVIDE(VLOOKUP($B775,Data!$B$3:$EZ1530,39,FALSE),VLOOKUP($B775,Data!$B$3:$EZ1530,4,FALSE)),"")</f>
        <v>0.0776621297</v>
      </c>
      <c r="H775" s="48">
        <f>IFERROR(DIVIDE(VLOOKUP($B775,Data!$B$3:$EZ1530,44,FALSE),VLOOKUP($B775,Data!$B$3:$EZ1530,4,FALSE)),"")</f>
        <v>0.142113691</v>
      </c>
      <c r="I775" s="48">
        <f>IFERROR(MINUS(DIVIDE(VLOOKUP($B775,Data!$B$3:$EZ1530,9,FALSE),VLOOKUP($B775,Data!$B$3:$EZ1530,10,FALSE)),1),"")</f>
        <v>-0.1065934066</v>
      </c>
      <c r="J775" s="48">
        <f>IFERROR(MINUS(DIVIDE(VLOOKUP($B775,Data!$B$3:$EZ1530,24,FALSE),VLOOKUP($B775,Data!$B$3:$EZ1530,25,FALSE)),1),"")</f>
        <v>-1.283018868</v>
      </c>
      <c r="K775" s="48">
        <f>IFERROR(MINUS(DIVIDE(VLOOKUP($B775,Data!$B$3:$EZ1530,29,FALSE),VLOOKUP($B775,Data!$B$3:$EZ1530,30,FALSE)),1),"")</f>
        <v>-1.234982332</v>
      </c>
      <c r="L775" s="48">
        <f>IFERROR(MINUS(DIVIDE(VLOOKUP($B775,Data!$B$3:$EZ1530,34,FALSE),VLOOKUP($B775,Data!$B$3:$EZ1530,35,FALSE)),1),"")</f>
        <v>-0.1150442478</v>
      </c>
      <c r="M775" s="48">
        <f>IFERROR(MINUS(DIVIDE(VLOOKUP($B775,Data!$B$3:$EZ1530,39,FALSE),VLOOKUP($B775,Data!$B$3:$EZ1530,40,FALSE)),1),"")</f>
        <v>-1.190382728</v>
      </c>
      <c r="N775" s="48">
        <f>IFERROR(MINUS(DIVIDE(VLOOKUP($B775,Data!$B$3:$EZ1530,44,FALSE),VLOOKUP($B775,Data!$B$3:$EZ1530,45,FALSE)),1),"")</f>
        <v>0.3813229572</v>
      </c>
      <c r="O775" s="50">
        <f>IFERROR(VLOOKUP($B775,Data!$B$3:$D1530,2,FALSE),"")</f>
        <v>24900000</v>
      </c>
      <c r="P775" s="50">
        <f>IFERROR(VLOOKUP($B775,Data!$B$3:$D1530,3,FALSE),"")</f>
        <v>25280000</v>
      </c>
      <c r="Q775" s="48">
        <f t="shared" si="2"/>
        <v>-0.01503164557</v>
      </c>
      <c r="R775" s="48"/>
      <c r="S775" s="48"/>
      <c r="T775" s="48"/>
      <c r="U775" s="48"/>
      <c r="V775" s="48"/>
      <c r="W775" s="50"/>
      <c r="Z775" s="11"/>
      <c r="AA775" s="11"/>
    </row>
    <row r="776">
      <c r="A776" s="9">
        <f t="shared" si="1"/>
        <v>773</v>
      </c>
      <c r="B776" s="47" t="s">
        <v>910</v>
      </c>
      <c r="C776" s="48">
        <f>IFERROR(DIVIDE(VLOOKUP($B776,Data!$B$3:$AB$1535,9,FALSE),VLOOKUP($B776,Data!$B$3:$AB$1535,4,FALSE)),"")</f>
        <v>0.265258216</v>
      </c>
      <c r="D776" s="48">
        <f>IFERROR(DIVIDE(VLOOKUP($B776,Data!$B$3:$AB$1535,24,FALSE),VLOOKUP($B776,Data!$B$3:$AB$1535,4,FALSE)),"")</f>
        <v>0</v>
      </c>
      <c r="E776" s="48">
        <f>IFERROR(DIVIDE(VLOOKUP($B776,Data!$B$3:$EZ1530,29,FALSE),VLOOKUP($B776,Data!$B$3:$EZ1530,4,FALSE)),"")</f>
        <v>-14.41079812</v>
      </c>
      <c r="F776" s="48">
        <f>IFERROR(DIVIDE(VLOOKUP($B776,Data!$B$3:$EZ1530,34,FALSE),VLOOKUP($B776,Data!$B$3:$EZ1530,4,FALSE)),"")</f>
        <v>-14.0915493</v>
      </c>
      <c r="G776" s="48">
        <f>IFERROR(DIVIDE(VLOOKUP($B776,Data!$B$3:$EZ1530,39,FALSE),VLOOKUP($B776,Data!$B$3:$EZ1530,4,FALSE)),"")</f>
        <v>-14.41079812</v>
      </c>
      <c r="H776" s="48">
        <f>IFERROR(DIVIDE(VLOOKUP($B776,Data!$B$3:$EZ1530,44,FALSE),VLOOKUP($B776,Data!$B$3:$EZ1530,4,FALSE)),"")</f>
        <v>-13.22535211</v>
      </c>
      <c r="I776" s="48">
        <f>IFERROR(MINUS(DIVIDE(VLOOKUP($B776,Data!$B$3:$EZ1530,9,FALSE),VLOOKUP($B776,Data!$B$3:$EZ1530,10,FALSE)),1),"")</f>
        <v>0.3500597372</v>
      </c>
      <c r="J776" s="48" t="str">
        <f>IFERROR(MINUS(DIVIDE(VLOOKUP($B776,Data!$B$3:$EZ1530,24,FALSE),VLOOKUP($B776,Data!$B$3:$EZ1530,25,FALSE)),1),"")</f>
        <v/>
      </c>
      <c r="K776" s="48">
        <f>IFERROR(MINUS(DIVIDE(VLOOKUP($B776,Data!$B$3:$EZ1530,29,FALSE),VLOOKUP($B776,Data!$B$3:$EZ1530,30,FALSE)),1),"")</f>
        <v>0.2354598511</v>
      </c>
      <c r="L776" s="48">
        <f>IFERROR(MINUS(DIVIDE(VLOOKUP($B776,Data!$B$3:$EZ1530,34,FALSE),VLOOKUP($B776,Data!$B$3:$EZ1530,35,FALSE)),1),"")</f>
        <v>0.1898909812</v>
      </c>
      <c r="M776" s="48">
        <f>IFERROR(MINUS(DIVIDE(VLOOKUP($B776,Data!$B$3:$EZ1530,39,FALSE),VLOOKUP($B776,Data!$B$3:$EZ1530,40,FALSE)),1),"")</f>
        <v>0.2354598511</v>
      </c>
      <c r="N776" s="48">
        <f>IFERROR(MINUS(DIVIDE(VLOOKUP($B776,Data!$B$3:$EZ1530,44,FALSE),VLOOKUP($B776,Data!$B$3:$EZ1530,45,FALSE)),1),"")</f>
        <v>0.2508880995</v>
      </c>
      <c r="O776" s="50">
        <f>IFERROR(VLOOKUP($B776,Data!$B$3:$D1530,2,FALSE),"")</f>
        <v>15510</v>
      </c>
      <c r="P776" s="50">
        <f>IFERROR(VLOOKUP($B776,Data!$B$3:$D1530,3,FALSE),"")</f>
        <v>41240</v>
      </c>
      <c r="Q776" s="48">
        <f t="shared" si="2"/>
        <v>-0.6239088264</v>
      </c>
      <c r="R776" s="48"/>
      <c r="S776" s="48"/>
      <c r="T776" s="48"/>
      <c r="U776" s="48"/>
      <c r="V776" s="48"/>
      <c r="W776" s="50"/>
      <c r="Z776" s="15"/>
      <c r="AA776" s="15"/>
    </row>
    <row r="777">
      <c r="A777" s="9">
        <f t="shared" si="1"/>
        <v>774</v>
      </c>
      <c r="B777" s="47" t="s">
        <v>911</v>
      </c>
      <c r="C777" s="48">
        <f>IFERROR(DIVIDE(VLOOKUP($B777,Data!$B$3:$AB$1535,9,FALSE),VLOOKUP($B777,Data!$B$3:$AB$1535,4,FALSE)),"")</f>
        <v>0.06892097768</v>
      </c>
      <c r="D777" s="48">
        <f>IFERROR(DIVIDE(VLOOKUP($B777,Data!$B$3:$AB$1535,24,FALSE),VLOOKUP($B777,Data!$B$3:$AB$1535,4,FALSE)),"")</f>
        <v>-0.08783201961</v>
      </c>
      <c r="E777" s="48">
        <f>IFERROR(DIVIDE(VLOOKUP($B777,Data!$B$3:$EZ1530,29,FALSE),VLOOKUP($B777,Data!$B$3:$EZ1530,4,FALSE)),"")</f>
        <v>-0.08708683844</v>
      </c>
      <c r="F777" s="48">
        <f>IFERROR(DIVIDE(VLOOKUP($B777,Data!$B$3:$EZ1530,34,FALSE),VLOOKUP($B777,Data!$B$3:$EZ1530,4,FALSE)),"")</f>
        <v>-0.006425117573</v>
      </c>
      <c r="G777" s="48">
        <f>IFERROR(DIVIDE(VLOOKUP($B777,Data!$B$3:$EZ1530,39,FALSE),VLOOKUP($B777,Data!$B$3:$EZ1530,4,FALSE)),"")</f>
        <v>-0.08821288998</v>
      </c>
      <c r="H777" s="48">
        <f>IFERROR(DIVIDE(VLOOKUP($B777,Data!$B$3:$EZ1530,44,FALSE),VLOOKUP($B777,Data!$B$3:$EZ1530,4,FALSE)),"")</f>
        <v>0.003941180367</v>
      </c>
      <c r="I777" s="48">
        <f>IFERROR(MINUS(DIVIDE(VLOOKUP($B777,Data!$B$3:$EZ1530,9,FALSE),VLOOKUP($B777,Data!$B$3:$EZ1530,10,FALSE)),1),"")</f>
        <v>-0.4768728004</v>
      </c>
      <c r="J777" s="48" t="str">
        <f>IFERROR(MINUS(DIVIDE(VLOOKUP($B777,Data!$B$3:$EZ1530,24,FALSE),VLOOKUP($B777,Data!$B$3:$EZ1530,25,FALSE)),1),"")</f>
        <v/>
      </c>
      <c r="K777" s="48">
        <f>IFERROR(MINUS(DIVIDE(VLOOKUP($B777,Data!$B$3:$EZ1530,29,FALSE),VLOOKUP($B777,Data!$B$3:$EZ1530,30,FALSE)),1),"")</f>
        <v>-10.05163511</v>
      </c>
      <c r="L777" s="48">
        <f>IFERROR(MINUS(DIVIDE(VLOOKUP($B777,Data!$B$3:$EZ1530,34,FALSE),VLOOKUP($B777,Data!$B$3:$EZ1530,35,FALSE)),1),"")</f>
        <v>-1.113020682</v>
      </c>
      <c r="M777" s="48">
        <f>IFERROR(MINUS(DIVIDE(VLOOKUP($B777,Data!$B$3:$EZ1530,39,FALSE),VLOOKUP($B777,Data!$B$3:$EZ1530,40,FALSE)),1),"")</f>
        <v>-15.09259259</v>
      </c>
      <c r="N777" s="48">
        <f>IFERROR(MINUS(DIVIDE(VLOOKUP($B777,Data!$B$3:$EZ1530,44,FALSE),VLOOKUP($B777,Data!$B$3:$EZ1530,45,FALSE)),1),"")</f>
        <v>-0.8933691756</v>
      </c>
      <c r="O777" s="50">
        <f>IFERROR(VLOOKUP($B777,Data!$B$3:$D1530,2,FALSE),"")</f>
        <v>524830</v>
      </c>
      <c r="P777" s="50">
        <f>IFERROR(VLOOKUP($B777,Data!$B$3:$D1530,3,FALSE),"")</f>
        <v>540810</v>
      </c>
      <c r="Q777" s="48">
        <f t="shared" si="2"/>
        <v>-0.02954827019</v>
      </c>
      <c r="R777" s="48"/>
      <c r="S777" s="48"/>
      <c r="T777" s="48"/>
      <c r="U777" s="48"/>
      <c r="V777" s="48"/>
      <c r="W777" s="50"/>
      <c r="Z777" s="15"/>
      <c r="AA777" s="15"/>
    </row>
    <row r="778">
      <c r="A778" s="9">
        <f t="shared" si="1"/>
        <v>775</v>
      </c>
      <c r="B778" s="47" t="s">
        <v>912</v>
      </c>
      <c r="C778" s="48">
        <f>IFERROR(DIVIDE(VLOOKUP($B778,Data!$B$3:$AB$1535,9,FALSE),VLOOKUP($B778,Data!$B$3:$AB$1535,4,FALSE)),"")</f>
        <v>0.5833333333</v>
      </c>
      <c r="D778" s="48">
        <f>IFERROR(DIVIDE(VLOOKUP($B778,Data!$B$3:$AB$1535,24,FALSE),VLOOKUP($B778,Data!$B$3:$AB$1535,4,FALSE)),"")</f>
        <v>0.3048245614</v>
      </c>
      <c r="E778" s="48">
        <f>IFERROR(DIVIDE(VLOOKUP($B778,Data!$B$3:$EZ1530,29,FALSE),VLOOKUP($B778,Data!$B$3:$EZ1530,4,FALSE)),"")</f>
        <v>0.2850877193</v>
      </c>
      <c r="F778" s="48">
        <f>IFERROR(DIVIDE(VLOOKUP($B778,Data!$B$3:$EZ1530,34,FALSE),VLOOKUP($B778,Data!$B$3:$EZ1530,4,FALSE)),"")</f>
        <v>0.3640350877</v>
      </c>
      <c r="G778" s="48">
        <f>IFERROR(DIVIDE(VLOOKUP($B778,Data!$B$3:$EZ1530,39,FALSE),VLOOKUP($B778,Data!$B$3:$EZ1530,4,FALSE)),"")</f>
        <v>0.2587719298</v>
      </c>
      <c r="H778" s="48">
        <f>IFERROR(DIVIDE(VLOOKUP($B778,Data!$B$3:$EZ1530,44,FALSE),VLOOKUP($B778,Data!$B$3:$EZ1530,4,FALSE)),"")</f>
        <v>0.2521929825</v>
      </c>
      <c r="I778" s="48">
        <f>IFERROR(MINUS(DIVIDE(VLOOKUP($B778,Data!$B$3:$EZ1530,9,FALSE),VLOOKUP($B778,Data!$B$3:$EZ1530,10,FALSE)),1),"")</f>
        <v>0.02702702703</v>
      </c>
      <c r="J778" s="48">
        <f>IFERROR(MINUS(DIVIDE(VLOOKUP($B778,Data!$B$3:$EZ1530,24,FALSE),VLOOKUP($B778,Data!$B$3:$EZ1530,25,FALSE)),1),"")</f>
        <v>-424.7804878</v>
      </c>
      <c r="K778" s="48">
        <f>IFERROR(MINUS(DIVIDE(VLOOKUP($B778,Data!$B$3:$EZ1530,29,FALSE),VLOOKUP($B778,Data!$B$3:$EZ1530,30,FALSE)),1),"")</f>
        <v>-0.1095890411</v>
      </c>
      <c r="L778" s="48">
        <f>IFERROR(MINUS(DIVIDE(VLOOKUP($B778,Data!$B$3:$EZ1530,34,FALSE),VLOOKUP($B778,Data!$B$3:$EZ1530,35,FALSE)),1),"")</f>
        <v>0.0375</v>
      </c>
      <c r="M778" s="48">
        <f>IFERROR(MINUS(DIVIDE(VLOOKUP($B778,Data!$B$3:$EZ1530,39,FALSE),VLOOKUP($B778,Data!$B$3:$EZ1530,40,FALSE)),1),"")</f>
        <v>0.4708265297</v>
      </c>
      <c r="N778" s="48">
        <f>IFERROR(MINUS(DIVIDE(VLOOKUP($B778,Data!$B$3:$EZ1530,44,FALSE),VLOOKUP($B778,Data!$B$3:$EZ1530,45,FALSE)),1),"")</f>
        <v>-0.06504065041</v>
      </c>
      <c r="O778" s="50">
        <f>IFERROR(VLOOKUP($B778,Data!$B$3:$D1530,2,FALSE),"")</f>
        <v>5730000</v>
      </c>
      <c r="P778" s="50">
        <f>IFERROR(VLOOKUP($B778,Data!$B$3:$D1530,3,FALSE),"")</f>
        <v>5740000</v>
      </c>
      <c r="Q778" s="48">
        <f t="shared" si="2"/>
        <v>-0.001742160279</v>
      </c>
      <c r="R778" s="48"/>
      <c r="S778" s="48"/>
      <c r="T778" s="48"/>
      <c r="U778" s="48"/>
      <c r="V778" s="48"/>
      <c r="W778" s="50"/>
      <c r="Z778" s="11"/>
      <c r="AA778" s="11"/>
    </row>
    <row r="779">
      <c r="A779" s="9">
        <f t="shared" si="1"/>
        <v>776</v>
      </c>
      <c r="B779" s="47" t="s">
        <v>913</v>
      </c>
      <c r="C779" s="48" t="str">
        <f>IFERROR(DIVIDE(VLOOKUP($B779,Data!$B$3:$AB$1535,9,FALSE),VLOOKUP($B779,Data!$B$3:$AB$1535,4,FALSE)),"")</f>
        <v/>
      </c>
      <c r="D779" s="48" t="str">
        <f>IFERROR(DIVIDE(VLOOKUP($B779,Data!$B$3:$AB$1535,24,FALSE),VLOOKUP($B779,Data!$B$3:$AB$1535,4,FALSE)),"")</f>
        <v/>
      </c>
      <c r="E779" s="48" t="str">
        <f>IFERROR(DIVIDE(VLOOKUP($B779,Data!$B$3:$EZ1530,29,FALSE),VLOOKUP($B779,Data!$B$3:$EZ1530,4,FALSE)),"")</f>
        <v/>
      </c>
      <c r="F779" s="48" t="str">
        <f>IFERROR(DIVIDE(VLOOKUP($B779,Data!$B$3:$EZ1530,34,FALSE),VLOOKUP($B779,Data!$B$3:$EZ1530,4,FALSE)),"")</f>
        <v/>
      </c>
      <c r="G779" s="48" t="str">
        <f>IFERROR(DIVIDE(VLOOKUP($B779,Data!$B$3:$EZ1530,39,FALSE),VLOOKUP($B779,Data!$B$3:$EZ1530,4,FALSE)),"")</f>
        <v/>
      </c>
      <c r="H779" s="48" t="str">
        <f>IFERROR(DIVIDE(VLOOKUP($B779,Data!$B$3:$EZ1530,44,FALSE),VLOOKUP($B779,Data!$B$3:$EZ1530,4,FALSE)),"")</f>
        <v/>
      </c>
      <c r="I779" s="48">
        <f>IFERROR(MINUS(DIVIDE(VLOOKUP($B779,Data!$B$3:$EZ1530,9,FALSE),VLOOKUP($B779,Data!$B$3:$EZ1530,10,FALSE)),1),"")</f>
        <v>0.6666666667</v>
      </c>
      <c r="J779" s="48">
        <f>IFERROR(MINUS(DIVIDE(VLOOKUP($B779,Data!$B$3:$EZ1530,24,FALSE),VLOOKUP($B779,Data!$B$3:$EZ1530,25,FALSE)),1),"")</f>
        <v>0.4121753247</v>
      </c>
      <c r="K779" s="48">
        <f>IFERROR(MINUS(DIVIDE(VLOOKUP($B779,Data!$B$3:$EZ1530,29,FALSE),VLOOKUP($B779,Data!$B$3:$EZ1530,30,FALSE)),1),"")</f>
        <v>0.3982831228</v>
      </c>
      <c r="L779" s="48">
        <f>IFERROR(MINUS(DIVIDE(VLOOKUP($B779,Data!$B$3:$EZ1530,34,FALSE),VLOOKUP($B779,Data!$B$3:$EZ1530,35,FALSE)),1),"")</f>
        <v>0.4249457338</v>
      </c>
      <c r="M779" s="48">
        <f>IFERROR(MINUS(DIVIDE(VLOOKUP($B779,Data!$B$3:$EZ1530,39,FALSE),VLOOKUP($B779,Data!$B$3:$EZ1530,40,FALSE)),1),"")</f>
        <v>0.3982831228</v>
      </c>
      <c r="N779" s="48">
        <f>IFERROR(MINUS(DIVIDE(VLOOKUP($B779,Data!$B$3:$EZ1530,44,FALSE),VLOOKUP($B779,Data!$B$3:$EZ1530,45,FALSE)),1),"")</f>
        <v>0.6357358653</v>
      </c>
      <c r="O779" s="50">
        <f>IFERROR(VLOOKUP($B779,Data!$B$3:$D1530,2,FALSE),"")</f>
        <v>1250</v>
      </c>
      <c r="P779" s="50">
        <f>IFERROR(VLOOKUP($B779,Data!$B$3:$D1530,3,FALSE),"")</f>
        <v>17620</v>
      </c>
      <c r="Q779" s="48">
        <f t="shared" si="2"/>
        <v>-0.9290578888</v>
      </c>
      <c r="R779" s="48"/>
      <c r="S779" s="48"/>
      <c r="T779" s="48"/>
      <c r="U779" s="48"/>
      <c r="V779" s="48"/>
      <c r="W779" s="50"/>
      <c r="Z779" s="11"/>
      <c r="AA779" s="11"/>
    </row>
    <row r="780">
      <c r="A780" s="9">
        <f t="shared" si="1"/>
        <v>777</v>
      </c>
      <c r="B780" s="47" t="s">
        <v>914</v>
      </c>
      <c r="C780" s="48">
        <f>IFERROR(DIVIDE(VLOOKUP($B780,Data!$B$3:$AB$1535,9,FALSE),VLOOKUP($B780,Data!$B$3:$AB$1535,4,FALSE)),"")</f>
        <v>0.4576983613</v>
      </c>
      <c r="D780" s="48">
        <f>IFERROR(DIVIDE(VLOOKUP($B780,Data!$B$3:$AB$1535,24,FALSE),VLOOKUP($B780,Data!$B$3:$AB$1535,4,FALSE)),"")</f>
        <v>0</v>
      </c>
      <c r="E780" s="48">
        <f>IFERROR(DIVIDE(VLOOKUP($B780,Data!$B$3:$EZ1530,29,FALSE),VLOOKUP($B780,Data!$B$3:$EZ1530,4,FALSE)),"")</f>
        <v>0.06423479307</v>
      </c>
      <c r="F780" s="48">
        <f>IFERROR(DIVIDE(VLOOKUP($B780,Data!$B$3:$EZ1530,34,FALSE),VLOOKUP($B780,Data!$B$3:$EZ1530,4,FALSE)),"")</f>
        <v>0.07986297565</v>
      </c>
      <c r="G780" s="48">
        <f>IFERROR(DIVIDE(VLOOKUP($B780,Data!$B$3:$EZ1530,39,FALSE),VLOOKUP($B780,Data!$B$3:$EZ1530,4,FALSE)),"")</f>
        <v>0.02157207666</v>
      </c>
      <c r="H780" s="48">
        <f>IFERROR(DIVIDE(VLOOKUP($B780,Data!$B$3:$EZ1530,44,FALSE),VLOOKUP($B780,Data!$B$3:$EZ1530,4,FALSE)),"")</f>
        <v>0.122155356</v>
      </c>
      <c r="I780" s="48">
        <f>IFERROR(MINUS(DIVIDE(VLOOKUP($B780,Data!$B$3:$EZ1530,9,FALSE),VLOOKUP($B780,Data!$B$3:$EZ1530,10,FALSE)),1),"")</f>
        <v>-0.3962973818</v>
      </c>
      <c r="J780" s="48">
        <f>IFERROR(MINUS(DIVIDE(VLOOKUP($B780,Data!$B$3:$EZ1530,24,FALSE),VLOOKUP($B780,Data!$B$3:$EZ1530,25,FALSE)),1),"")</f>
        <v>-1</v>
      </c>
      <c r="K780" s="48">
        <f>IFERROR(MINUS(DIVIDE(VLOOKUP($B780,Data!$B$3:$EZ1530,29,FALSE),VLOOKUP($B780,Data!$B$3:$EZ1530,30,FALSE)),1),"")</f>
        <v>-0.8046184173</v>
      </c>
      <c r="L780" s="48">
        <f>IFERROR(MINUS(DIVIDE(VLOOKUP($B780,Data!$B$3:$EZ1530,34,FALSE),VLOOKUP($B780,Data!$B$3:$EZ1530,35,FALSE)),1),"")</f>
        <v>-0.7650487552</v>
      </c>
      <c r="M780" s="48">
        <f>IFERROR(MINUS(DIVIDE(VLOOKUP($B780,Data!$B$3:$EZ1530,39,FALSE),VLOOKUP($B780,Data!$B$3:$EZ1530,40,FALSE)),1),"")</f>
        <v>-0.794460127</v>
      </c>
      <c r="N780" s="48">
        <f>IFERROR(MINUS(DIVIDE(VLOOKUP($B780,Data!$B$3:$EZ1530,44,FALSE),VLOOKUP($B780,Data!$B$3:$EZ1530,45,FALSE)),1),"")</f>
        <v>-0.4658299595</v>
      </c>
      <c r="O780" s="50">
        <f>IFERROR(VLOOKUP($B780,Data!$B$3:$D1530,2,FALSE),"")</f>
        <v>752520</v>
      </c>
      <c r="P780" s="50">
        <f>IFERROR(VLOOKUP($B780,Data!$B$3:$D1530,3,FALSE),"")</f>
        <v>611670</v>
      </c>
      <c r="Q780" s="48">
        <f t="shared" si="2"/>
        <v>0.2302712247</v>
      </c>
      <c r="R780" s="48"/>
      <c r="S780" s="48"/>
      <c r="T780" s="48"/>
      <c r="U780" s="48"/>
      <c r="V780" s="48"/>
      <c r="W780" s="50"/>
      <c r="Z780" s="15"/>
      <c r="AA780" s="15"/>
    </row>
    <row r="781">
      <c r="A781" s="9">
        <f t="shared" si="1"/>
        <v>778</v>
      </c>
      <c r="B781" s="47" t="s">
        <v>915</v>
      </c>
      <c r="C781" s="48">
        <f>IFERROR(DIVIDE(VLOOKUP($B781,Data!$B$3:$AB$1535,9,FALSE),VLOOKUP($B781,Data!$B$3:$AB$1535,4,FALSE)),"")</f>
        <v>0.3495934959</v>
      </c>
      <c r="D781" s="48">
        <f>IFERROR(DIVIDE(VLOOKUP($B781,Data!$B$3:$AB$1535,24,FALSE),VLOOKUP($B781,Data!$B$3:$AB$1535,4,FALSE)),"")</f>
        <v>0.1577235772</v>
      </c>
      <c r="E781" s="48">
        <f>IFERROR(DIVIDE(VLOOKUP($B781,Data!$B$3:$EZ1530,29,FALSE),VLOOKUP($B781,Data!$B$3:$EZ1530,4,FALSE)),"")</f>
        <v>0.1436314363</v>
      </c>
      <c r="F781" s="48">
        <f>IFERROR(DIVIDE(VLOOKUP($B781,Data!$B$3:$EZ1530,34,FALSE),VLOOKUP($B781,Data!$B$3:$EZ1530,4,FALSE)),"")</f>
        <v>0.2281842818</v>
      </c>
      <c r="G781" s="48">
        <f>IFERROR(DIVIDE(VLOOKUP($B781,Data!$B$3:$EZ1530,39,FALSE),VLOOKUP($B781,Data!$B$3:$EZ1530,4,FALSE)),"")</f>
        <v>0.1170731707</v>
      </c>
      <c r="H781" s="48">
        <f>IFERROR(DIVIDE(VLOOKUP($B781,Data!$B$3:$EZ1530,44,FALSE),VLOOKUP($B781,Data!$B$3:$EZ1530,4,FALSE)),"")</f>
        <v>0.1485094851</v>
      </c>
      <c r="I781" s="48">
        <f>IFERROR(MINUS(DIVIDE(VLOOKUP($B781,Data!$B$3:$EZ1530,9,FALSE),VLOOKUP($B781,Data!$B$3:$EZ1530,10,FALSE)),1),"")</f>
        <v>0.05048859935</v>
      </c>
      <c r="J781" s="48">
        <f>IFERROR(MINUS(DIVIDE(VLOOKUP($B781,Data!$B$3:$EZ1530,24,FALSE),VLOOKUP($B781,Data!$B$3:$EZ1530,25,FALSE)),1),"")</f>
        <v>0.4126213592</v>
      </c>
      <c r="K781" s="48">
        <f>IFERROR(MINUS(DIVIDE(VLOOKUP($B781,Data!$B$3:$EZ1530,29,FALSE),VLOOKUP($B781,Data!$B$3:$EZ1530,30,FALSE)),1),"")</f>
        <v>0.4640883978</v>
      </c>
      <c r="L781" s="48">
        <f>IFERROR(MINUS(DIVIDE(VLOOKUP($B781,Data!$B$3:$EZ1530,34,FALSE),VLOOKUP($B781,Data!$B$3:$EZ1530,35,FALSE)),1),"")</f>
        <v>0.04466501241</v>
      </c>
      <c r="M781" s="48">
        <f>IFERROR(MINUS(DIVIDE(VLOOKUP($B781,Data!$B$3:$EZ1530,39,FALSE),VLOOKUP($B781,Data!$B$3:$EZ1530,40,FALSE)),1),"")</f>
        <v>0.5319148936</v>
      </c>
      <c r="N781" s="48">
        <f>IFERROR(MINUS(DIVIDE(VLOOKUP($B781,Data!$B$3:$EZ1530,44,FALSE),VLOOKUP($B781,Data!$B$3:$EZ1530,45,FALSE)),1),"")</f>
        <v>-0.07744107744</v>
      </c>
      <c r="O781" s="50">
        <f>IFERROR(VLOOKUP($B781,Data!$B$3:$D1530,2,FALSE),"")</f>
        <v>18880000</v>
      </c>
      <c r="P781" s="50">
        <f>IFERROR(VLOOKUP($B781,Data!$B$3:$D1530,3,FALSE),"")</f>
        <v>18750000</v>
      </c>
      <c r="Q781" s="48">
        <f t="shared" si="2"/>
        <v>0.006933333333</v>
      </c>
      <c r="R781" s="48"/>
      <c r="S781" s="48"/>
      <c r="T781" s="48"/>
      <c r="U781" s="48"/>
      <c r="V781" s="48"/>
      <c r="W781" s="50"/>
      <c r="Z781" s="11"/>
      <c r="AA781" s="11"/>
    </row>
    <row r="782">
      <c r="A782" s="9">
        <f t="shared" si="1"/>
        <v>779</v>
      </c>
      <c r="B782" s="47" t="s">
        <v>916</v>
      </c>
      <c r="C782" s="48">
        <f>IFERROR(DIVIDE(VLOOKUP($B782,Data!$B$3:$AB$1535,9,FALSE),VLOOKUP($B782,Data!$B$3:$AB$1535,4,FALSE)),"")</f>
        <v>0.379040978</v>
      </c>
      <c r="D782" s="48">
        <f>IFERROR(DIVIDE(VLOOKUP($B782,Data!$B$3:$AB$1535,24,FALSE),VLOOKUP($B782,Data!$B$3:$AB$1535,4,FALSE)),"")</f>
        <v>0.1776595979</v>
      </c>
      <c r="E782" s="48">
        <f>IFERROR(DIVIDE(VLOOKUP($B782,Data!$B$3:$EZ1530,29,FALSE),VLOOKUP($B782,Data!$B$3:$EZ1530,4,FALSE)),"")</f>
        <v>0.180682746</v>
      </c>
      <c r="F782" s="48">
        <f>IFERROR(DIVIDE(VLOOKUP($B782,Data!$B$3:$EZ1530,34,FALSE),VLOOKUP($B782,Data!$B$3:$EZ1530,4,FALSE)),"")</f>
        <v>0.2160999184</v>
      </c>
      <c r="G782" s="48">
        <f>IFERROR(DIVIDE(VLOOKUP($B782,Data!$B$3:$EZ1530,39,FALSE),VLOOKUP($B782,Data!$B$3:$EZ1530,4,FALSE)),"")</f>
        <v>0.1749453847</v>
      </c>
      <c r="H782" s="48">
        <f>IFERROR(DIVIDE(VLOOKUP($B782,Data!$B$3:$EZ1530,44,FALSE),VLOOKUP($B782,Data!$B$3:$EZ1530,4,FALSE)),"")</f>
        <v>0.2167839883</v>
      </c>
      <c r="I782" s="48">
        <f>IFERROR(MINUS(DIVIDE(VLOOKUP($B782,Data!$B$3:$EZ1530,9,FALSE),VLOOKUP($B782,Data!$B$3:$EZ1530,10,FALSE)),1),"")</f>
        <v>0.175943041</v>
      </c>
      <c r="J782" s="48" t="str">
        <f>IFERROR(MINUS(DIVIDE(VLOOKUP($B782,Data!$B$3:$EZ1530,24,FALSE),VLOOKUP($B782,Data!$B$3:$EZ1530,25,FALSE)),1),"")</f>
        <v/>
      </c>
      <c r="K782" s="48">
        <f>IFERROR(MINUS(DIVIDE(VLOOKUP($B782,Data!$B$3:$EZ1530,29,FALSE),VLOOKUP($B782,Data!$B$3:$EZ1530,30,FALSE)),1),"")</f>
        <v>0.1196499385</v>
      </c>
      <c r="L782" s="48">
        <f>IFERROR(MINUS(DIVIDE(VLOOKUP($B782,Data!$B$3:$EZ1530,34,FALSE),VLOOKUP($B782,Data!$B$3:$EZ1530,35,FALSE)),1),"")</f>
        <v>0.1704314569</v>
      </c>
      <c r="M782" s="48">
        <f>IFERROR(MINUS(DIVIDE(VLOOKUP($B782,Data!$B$3:$EZ1530,39,FALSE),VLOOKUP($B782,Data!$B$3:$EZ1530,40,FALSE)),1),"")</f>
        <v>-0.01097804391</v>
      </c>
      <c r="N782" s="48">
        <f>IFERROR(MINUS(DIVIDE(VLOOKUP($B782,Data!$B$3:$EZ1530,44,FALSE),VLOOKUP($B782,Data!$B$3:$EZ1530,45,FALSE)),1),"")</f>
        <v>1.5907173</v>
      </c>
      <c r="O782" s="50">
        <f>IFERROR(VLOOKUP($B782,Data!$B$3:$D1530,2,FALSE),"")</f>
        <v>104830</v>
      </c>
      <c r="P782" s="50">
        <f>IFERROR(VLOOKUP($B782,Data!$B$3:$D1530,3,FALSE),"")</f>
        <v>134750</v>
      </c>
      <c r="Q782" s="48">
        <f t="shared" si="2"/>
        <v>-0.2220408163</v>
      </c>
      <c r="R782" s="48"/>
      <c r="S782" s="48"/>
      <c r="T782" s="48"/>
      <c r="U782" s="48"/>
      <c r="V782" s="48"/>
      <c r="W782" s="50"/>
      <c r="Z782" s="15"/>
      <c r="AA782" s="15"/>
    </row>
    <row r="783">
      <c r="A783" s="9">
        <f t="shared" si="1"/>
        <v>780</v>
      </c>
      <c r="B783" s="47" t="s">
        <v>917</v>
      </c>
      <c r="C783" s="48">
        <f>IFERROR(DIVIDE(VLOOKUP($B783,Data!$B$3:$AB$1535,9,FALSE),VLOOKUP($B783,Data!$B$3:$AB$1535,4,FALSE)),"")</f>
        <v>0.1338582677</v>
      </c>
      <c r="D783" s="48">
        <f>IFERROR(DIVIDE(VLOOKUP($B783,Data!$B$3:$AB$1535,24,FALSE),VLOOKUP($B783,Data!$B$3:$AB$1535,4,FALSE)),"")</f>
        <v>0</v>
      </c>
      <c r="E783" s="48">
        <f>IFERROR(DIVIDE(VLOOKUP($B783,Data!$B$3:$EZ1530,29,FALSE),VLOOKUP($B783,Data!$B$3:$EZ1530,4,FALSE)),"")</f>
        <v>0.05708661417</v>
      </c>
      <c r="F783" s="48">
        <f>IFERROR(DIVIDE(VLOOKUP($B783,Data!$B$3:$EZ1530,34,FALSE),VLOOKUP($B783,Data!$B$3:$EZ1530,4,FALSE)),"")</f>
        <v>0.03997933071</v>
      </c>
      <c r="G783" s="48">
        <f>IFERROR(DIVIDE(VLOOKUP($B783,Data!$B$3:$EZ1530,39,FALSE),VLOOKUP($B783,Data!$B$3:$EZ1530,4,FALSE)),"")</f>
        <v>0.04372194882</v>
      </c>
      <c r="H783" s="48">
        <f>IFERROR(DIVIDE(VLOOKUP($B783,Data!$B$3:$EZ1530,44,FALSE),VLOOKUP($B783,Data!$B$3:$EZ1530,4,FALSE)),"")</f>
        <v>-0.01164419291</v>
      </c>
      <c r="I783" s="48">
        <f>IFERROR(MINUS(DIVIDE(VLOOKUP($B783,Data!$B$3:$EZ1530,9,FALSE),VLOOKUP($B783,Data!$B$3:$EZ1530,10,FALSE)),1),"")</f>
        <v>0.09677419355</v>
      </c>
      <c r="J783" s="48" t="str">
        <f>IFERROR(MINUS(DIVIDE(VLOOKUP($B783,Data!$B$3:$EZ1530,24,FALSE),VLOOKUP($B783,Data!$B$3:$EZ1530,25,FALSE)),1),"")</f>
        <v/>
      </c>
      <c r="K783" s="48">
        <f>IFERROR(MINUS(DIVIDE(VLOOKUP($B783,Data!$B$3:$EZ1530,29,FALSE),VLOOKUP($B783,Data!$B$3:$EZ1530,30,FALSE)),1),"")</f>
        <v>0.04504504505</v>
      </c>
      <c r="L783" s="48">
        <f>IFERROR(MINUS(DIVIDE(VLOOKUP($B783,Data!$B$3:$EZ1530,34,FALSE),VLOOKUP($B783,Data!$B$3:$EZ1530,35,FALSE)),1),"")</f>
        <v>0.04317119523</v>
      </c>
      <c r="M783" s="48">
        <f>IFERROR(MINUS(DIVIDE(VLOOKUP($B783,Data!$B$3:$EZ1530,39,FALSE),VLOOKUP($B783,Data!$B$3:$EZ1530,40,FALSE)),1),"")</f>
        <v>0.05462898114</v>
      </c>
      <c r="N783" s="48">
        <f>IFERROR(MINUS(DIVIDE(VLOOKUP($B783,Data!$B$3:$EZ1530,44,FALSE),VLOOKUP($B783,Data!$B$3:$EZ1530,45,FALSE)),1),"")</f>
        <v>-2.451862306</v>
      </c>
      <c r="O783" s="50">
        <f>IFERROR(VLOOKUP($B783,Data!$B$3:$D1530,2,FALSE),"")</f>
        <v>21320000</v>
      </c>
      <c r="P783" s="50">
        <f>IFERROR(VLOOKUP($B783,Data!$B$3:$D1530,3,FALSE),"")</f>
        <v>18290000</v>
      </c>
      <c r="Q783" s="48">
        <f t="shared" si="2"/>
        <v>0.1656642974</v>
      </c>
      <c r="R783" s="48"/>
      <c r="S783" s="48"/>
      <c r="T783" s="48"/>
      <c r="U783" s="48"/>
      <c r="V783" s="48"/>
      <c r="W783" s="50"/>
      <c r="Z783" s="15"/>
      <c r="AA783" s="15"/>
    </row>
    <row r="784">
      <c r="A784" s="9">
        <f t="shared" si="1"/>
        <v>781</v>
      </c>
      <c r="B784" s="47" t="s">
        <v>918</v>
      </c>
      <c r="C784" s="48">
        <f>IFERROR(DIVIDE(VLOOKUP($B784,Data!$B$3:$AB$1535,9,FALSE),VLOOKUP($B784,Data!$B$3:$AB$1535,4,FALSE)),"")</f>
        <v>0.1873434507</v>
      </c>
      <c r="D784" s="48">
        <f>IFERROR(DIVIDE(VLOOKUP($B784,Data!$B$3:$AB$1535,24,FALSE),VLOOKUP($B784,Data!$B$3:$AB$1535,4,FALSE)),"")</f>
        <v>-0.001458670989</v>
      </c>
      <c r="E784" s="48">
        <f>IFERROR(DIVIDE(VLOOKUP($B784,Data!$B$3:$EZ1530,29,FALSE),VLOOKUP($B784,Data!$B$3:$EZ1530,4,FALSE)),"")</f>
        <v>0.1682628555</v>
      </c>
      <c r="F784" s="48">
        <f>IFERROR(DIVIDE(VLOOKUP($B784,Data!$B$3:$EZ1530,34,FALSE),VLOOKUP($B784,Data!$B$3:$EZ1530,4,FALSE)),"")</f>
        <v>0.06689258877</v>
      </c>
      <c r="G784" s="48">
        <f>IFERROR(DIVIDE(VLOOKUP($B784,Data!$B$3:$EZ1530,39,FALSE),VLOOKUP($B784,Data!$B$3:$EZ1530,4,FALSE)),"")</f>
        <v>-0.05296891115</v>
      </c>
      <c r="H784" s="48">
        <f>IFERROR(DIVIDE(VLOOKUP($B784,Data!$B$3:$EZ1530,44,FALSE),VLOOKUP($B784,Data!$B$3:$EZ1530,4,FALSE)),"")</f>
        <v>-0.1262708118</v>
      </c>
      <c r="I784" s="48">
        <f>IFERROR(MINUS(DIVIDE(VLOOKUP($B784,Data!$B$3:$EZ1530,9,FALSE),VLOOKUP($B784,Data!$B$3:$EZ1530,10,FALSE)),1),"")</f>
        <v>0.2558024691</v>
      </c>
      <c r="J784" s="48">
        <f>IFERROR(MINUS(DIVIDE(VLOOKUP($B784,Data!$B$3:$EZ1530,24,FALSE),VLOOKUP($B784,Data!$B$3:$EZ1530,25,FALSE)),1),"")</f>
        <v>-1.111864407</v>
      </c>
      <c r="K784" s="48">
        <f>IFERROR(MINUS(DIVIDE(VLOOKUP($B784,Data!$B$3:$EZ1530,29,FALSE),VLOOKUP($B784,Data!$B$3:$EZ1530,30,FALSE)),1),"")</f>
        <v>0.1442885772</v>
      </c>
      <c r="L784" s="48">
        <f>IFERROR(MINUS(DIVIDE(VLOOKUP($B784,Data!$B$3:$EZ1530,34,FALSE),VLOOKUP($B784,Data!$B$3:$EZ1530,35,FALSE)),1),"")</f>
        <v>2.588932806</v>
      </c>
      <c r="M784" s="48">
        <f>IFERROR(MINUS(DIVIDE(VLOOKUP($B784,Data!$B$3:$EZ1530,39,FALSE),VLOOKUP($B784,Data!$B$3:$EZ1530,40,FALSE)),1),"")</f>
        <v>0.2636203866</v>
      </c>
      <c r="N784" s="48">
        <f>IFERROR(MINUS(DIVIDE(VLOOKUP($B784,Data!$B$3:$EZ1530,44,FALSE),VLOOKUP($B784,Data!$B$3:$EZ1530,45,FALSE)),1),"")</f>
        <v>-1.388397915</v>
      </c>
      <c r="O784" s="50">
        <f>IFERROR(VLOOKUP($B784,Data!$B$3:$D1530,2,FALSE),"")</f>
        <v>85380</v>
      </c>
      <c r="P784" s="50" t="str">
        <f>IFERROR(VLOOKUP($B784,Data!$B$3:$D1530,3,FALSE),"")</f>
        <v/>
      </c>
      <c r="Q784" s="48" t="str">
        <f t="shared" si="2"/>
        <v/>
      </c>
      <c r="R784" s="48"/>
      <c r="S784" s="48"/>
      <c r="T784" s="48"/>
      <c r="U784" s="48"/>
      <c r="V784" s="48"/>
      <c r="W784" s="50"/>
      <c r="Z784" s="11"/>
      <c r="AA784" s="11"/>
    </row>
    <row r="785">
      <c r="A785" s="9">
        <f t="shared" si="1"/>
        <v>782</v>
      </c>
      <c r="B785" s="47" t="s">
        <v>919</v>
      </c>
      <c r="C785" s="48">
        <f>IFERROR(DIVIDE(VLOOKUP($B785,Data!$B$3:$AB$1535,9,FALSE),VLOOKUP($B785,Data!$B$3:$AB$1535,4,FALSE)),"")</f>
        <v>0.3839160839</v>
      </c>
      <c r="D785" s="48">
        <f>IFERROR(DIVIDE(VLOOKUP($B785,Data!$B$3:$AB$1535,24,FALSE),VLOOKUP($B785,Data!$B$3:$AB$1535,4,FALSE)),"")</f>
        <v>0.09048951049</v>
      </c>
      <c r="E785" s="48">
        <f>IFERROR(DIVIDE(VLOOKUP($B785,Data!$B$3:$EZ1530,29,FALSE),VLOOKUP($B785,Data!$B$3:$EZ1530,4,FALSE)),"")</f>
        <v>0.06356643357</v>
      </c>
      <c r="F785" s="48">
        <f>IFERROR(DIVIDE(VLOOKUP($B785,Data!$B$3:$EZ1530,34,FALSE),VLOOKUP($B785,Data!$B$3:$EZ1530,4,FALSE)),"")</f>
        <v>0.1233566434</v>
      </c>
      <c r="G785" s="48">
        <f>IFERROR(DIVIDE(VLOOKUP($B785,Data!$B$3:$EZ1530,39,FALSE),VLOOKUP($B785,Data!$B$3:$EZ1530,4,FALSE)),"")</f>
        <v>0.0472027972</v>
      </c>
      <c r="H785" s="48">
        <f>IFERROR(DIVIDE(VLOOKUP($B785,Data!$B$3:$EZ1530,44,FALSE),VLOOKUP($B785,Data!$B$3:$EZ1530,4,FALSE)),"")</f>
        <v>0.09664335664</v>
      </c>
      <c r="I785" s="48">
        <f>IFERROR(MINUS(DIVIDE(VLOOKUP($B785,Data!$B$3:$EZ1530,9,FALSE),VLOOKUP($B785,Data!$B$3:$EZ1530,10,FALSE)),1),"")</f>
        <v>0.1401395581</v>
      </c>
      <c r="J785" s="48">
        <f>IFERROR(MINUS(DIVIDE(VLOOKUP($B785,Data!$B$3:$EZ1530,24,FALSE),VLOOKUP($B785,Data!$B$3:$EZ1530,25,FALSE)),1),"")</f>
        <v>0.1371825292</v>
      </c>
      <c r="K785" s="48">
        <f>IFERROR(MINUS(DIVIDE(VLOOKUP($B785,Data!$B$3:$EZ1530,29,FALSE),VLOOKUP($B785,Data!$B$3:$EZ1530,30,FALSE)),1),"")</f>
        <v>-0.07386653082</v>
      </c>
      <c r="L785" s="48">
        <f>IFERROR(MINUS(DIVIDE(VLOOKUP($B785,Data!$B$3:$EZ1530,34,FALSE),VLOOKUP($B785,Data!$B$3:$EZ1530,35,FALSE)),1),"")</f>
        <v>0.1214240305</v>
      </c>
      <c r="M785" s="48">
        <f>IFERROR(MINUS(DIVIDE(VLOOKUP($B785,Data!$B$3:$EZ1530,39,FALSE),VLOOKUP($B785,Data!$B$3:$EZ1530,40,FALSE)),1),"")</f>
        <v>-0.07849829352</v>
      </c>
      <c r="N785" s="48">
        <f>IFERROR(MINUS(DIVIDE(VLOOKUP($B785,Data!$B$3:$EZ1530,44,FALSE),VLOOKUP($B785,Data!$B$3:$EZ1530,45,FALSE)),1),"")</f>
        <v>0.2771462896</v>
      </c>
      <c r="O785" s="50">
        <f>IFERROR(VLOOKUP($B785,Data!$B$3:$D1530,2,FALSE),"")</f>
        <v>1210000</v>
      </c>
      <c r="P785" s="50">
        <f>IFERROR(VLOOKUP($B785,Data!$B$3:$D1530,3,FALSE),"")</f>
        <v>1190000</v>
      </c>
      <c r="Q785" s="48">
        <f t="shared" si="2"/>
        <v>0.01680672269</v>
      </c>
      <c r="R785" s="48"/>
      <c r="S785" s="48"/>
      <c r="T785" s="48"/>
      <c r="U785" s="48"/>
      <c r="V785" s="48"/>
      <c r="W785" s="50"/>
      <c r="Z785" s="11"/>
      <c r="AA785" s="11"/>
    </row>
    <row r="786">
      <c r="A786" s="9">
        <f t="shared" si="1"/>
        <v>783</v>
      </c>
      <c r="B786" s="47" t="s">
        <v>920</v>
      </c>
      <c r="C786" s="48">
        <f>IFERROR(DIVIDE(VLOOKUP($B786,Data!$B$3:$AB$1535,9,FALSE),VLOOKUP($B786,Data!$B$3:$AB$1535,4,FALSE)),"")</f>
        <v>0.4691327434</v>
      </c>
      <c r="D786" s="48">
        <f>IFERROR(DIVIDE(VLOOKUP($B786,Data!$B$3:$AB$1535,24,FALSE),VLOOKUP($B786,Data!$B$3:$AB$1535,4,FALSE)),"")</f>
        <v>0.385840708</v>
      </c>
      <c r="E786" s="48">
        <f>IFERROR(DIVIDE(VLOOKUP($B786,Data!$B$3:$EZ1530,29,FALSE),VLOOKUP($B786,Data!$B$3:$EZ1530,4,FALSE)),"")</f>
        <v>0.2087433628</v>
      </c>
      <c r="F786" s="48">
        <f>IFERROR(DIVIDE(VLOOKUP($B786,Data!$B$3:$EZ1530,34,FALSE),VLOOKUP($B786,Data!$B$3:$EZ1530,4,FALSE)),"")</f>
        <v>0.7721061947</v>
      </c>
      <c r="G786" s="48">
        <f>IFERROR(DIVIDE(VLOOKUP($B786,Data!$B$3:$EZ1530,39,FALSE),VLOOKUP($B786,Data!$B$3:$EZ1530,4,FALSE)),"")</f>
        <v>0.2053097345</v>
      </c>
      <c r="H786" s="48">
        <f>IFERROR(DIVIDE(VLOOKUP($B786,Data!$B$3:$EZ1530,44,FALSE),VLOOKUP($B786,Data!$B$3:$EZ1530,4,FALSE)),"")</f>
        <v>0.5865132743</v>
      </c>
      <c r="I786" s="48">
        <f>IFERROR(MINUS(DIVIDE(VLOOKUP($B786,Data!$B$3:$EZ1530,9,FALSE),VLOOKUP($B786,Data!$B$3:$EZ1530,10,FALSE)),1),"")</f>
        <v>-0.001356340894</v>
      </c>
      <c r="J786" s="48">
        <f>IFERROR(MINUS(DIVIDE(VLOOKUP($B786,Data!$B$3:$EZ1530,24,FALSE),VLOOKUP($B786,Data!$B$3:$EZ1530,25,FALSE)),1),"")</f>
        <v>-0.1562814459</v>
      </c>
      <c r="K786" s="48">
        <f>IFERROR(MINUS(DIVIDE(VLOOKUP($B786,Data!$B$3:$EZ1530,29,FALSE),VLOOKUP($B786,Data!$B$3:$EZ1530,30,FALSE)),1),"")</f>
        <v>-0.2822541383</v>
      </c>
      <c r="L786" s="48">
        <f>IFERROR(MINUS(DIVIDE(VLOOKUP($B786,Data!$B$3:$EZ1530,34,FALSE),VLOOKUP($B786,Data!$B$3:$EZ1530,35,FALSE)),1),"")</f>
        <v>0.006181382046</v>
      </c>
      <c r="M786" s="48">
        <f>IFERROR(MINUS(DIVIDE(VLOOKUP($B786,Data!$B$3:$EZ1530,39,FALSE),VLOOKUP($B786,Data!$B$3:$EZ1530,40,FALSE)),1),"")</f>
        <v>-0.2820004952</v>
      </c>
      <c r="N786" s="48">
        <f>IFERROR(MINUS(DIVIDE(VLOOKUP($B786,Data!$B$3:$EZ1530,44,FALSE),VLOOKUP($B786,Data!$B$3:$EZ1530,45,FALSE)),1),"")</f>
        <v>0.1146316852</v>
      </c>
      <c r="O786" s="50">
        <f>IFERROR(VLOOKUP($B786,Data!$B$3:$D1530,2,FALSE),"")</f>
        <v>338200</v>
      </c>
      <c r="P786" s="50">
        <f>IFERROR(VLOOKUP($B786,Data!$B$3:$D1530,3,FALSE),"")</f>
        <v>294000</v>
      </c>
      <c r="Q786" s="48">
        <f t="shared" si="2"/>
        <v>0.1503401361</v>
      </c>
      <c r="R786" s="48"/>
      <c r="S786" s="48"/>
      <c r="T786" s="48"/>
      <c r="U786" s="48"/>
      <c r="V786" s="48"/>
      <c r="W786" s="50"/>
      <c r="Z786" s="15"/>
      <c r="AA786" s="15"/>
    </row>
    <row r="787">
      <c r="A787" s="9">
        <f t="shared" si="1"/>
        <v>784</v>
      </c>
      <c r="B787" s="47" t="s">
        <v>921</v>
      </c>
      <c r="C787" s="48" t="str">
        <f>IFERROR(DIVIDE(VLOOKUP($B787,Data!$B$3:$AB$1535,9,FALSE),VLOOKUP($B787,Data!$B$3:$AB$1535,4,FALSE)),"")</f>
        <v/>
      </c>
      <c r="D787" s="48" t="str">
        <f>IFERROR(DIVIDE(VLOOKUP($B787,Data!$B$3:$AB$1535,24,FALSE),VLOOKUP($B787,Data!$B$3:$AB$1535,4,FALSE)),"")</f>
        <v/>
      </c>
      <c r="E787" s="48" t="str">
        <f>IFERROR(DIVIDE(VLOOKUP($B787,Data!$B$3:$EZ1530,29,FALSE),VLOOKUP($B787,Data!$B$3:$EZ1530,4,FALSE)),"")</f>
        <v/>
      </c>
      <c r="F787" s="48" t="str">
        <f>IFERROR(DIVIDE(VLOOKUP($B787,Data!$B$3:$EZ1530,34,FALSE),VLOOKUP($B787,Data!$B$3:$EZ1530,4,FALSE)),"")</f>
        <v/>
      </c>
      <c r="G787" s="48" t="str">
        <f>IFERROR(DIVIDE(VLOOKUP($B787,Data!$B$3:$EZ1530,39,FALSE),VLOOKUP($B787,Data!$B$3:$EZ1530,4,FALSE)),"")</f>
        <v/>
      </c>
      <c r="H787" s="48" t="str">
        <f>IFERROR(DIVIDE(VLOOKUP($B787,Data!$B$3:$EZ1530,44,FALSE),VLOOKUP($B787,Data!$B$3:$EZ1530,4,FALSE)),"")</f>
        <v/>
      </c>
      <c r="I787" s="48">
        <f>IFERROR(MINUS(DIVIDE(VLOOKUP($B787,Data!$B$3:$EZ1530,9,FALSE),VLOOKUP($B787,Data!$B$3:$EZ1530,10,FALSE)),1),"")</f>
        <v>10.46853147</v>
      </c>
      <c r="J787" s="48" t="str">
        <f>IFERROR(MINUS(DIVIDE(VLOOKUP($B787,Data!$B$3:$EZ1530,24,FALSE),VLOOKUP($B787,Data!$B$3:$EZ1530,25,FALSE)),1),"")</f>
        <v/>
      </c>
      <c r="K787" s="48">
        <f>IFERROR(MINUS(DIVIDE(VLOOKUP($B787,Data!$B$3:$EZ1530,29,FALSE),VLOOKUP($B787,Data!$B$3:$EZ1530,30,FALSE)),1),"")</f>
        <v>0.5845901005</v>
      </c>
      <c r="L787" s="48">
        <f>IFERROR(MINUS(DIVIDE(VLOOKUP($B787,Data!$B$3:$EZ1530,34,FALSE),VLOOKUP($B787,Data!$B$3:$EZ1530,35,FALSE)),1),"")</f>
        <v>0.5451932882</v>
      </c>
      <c r="M787" s="48">
        <f>IFERROR(MINUS(DIVIDE(VLOOKUP($B787,Data!$B$3:$EZ1530,39,FALSE),VLOOKUP($B787,Data!$B$3:$EZ1530,40,FALSE)),1),"")</f>
        <v>0.5680519229</v>
      </c>
      <c r="N787" s="48">
        <f>IFERROR(MINUS(DIVIDE(VLOOKUP($B787,Data!$B$3:$EZ1530,44,FALSE),VLOOKUP($B787,Data!$B$3:$EZ1530,45,FALSE)),1),"")</f>
        <v>0.9393901987</v>
      </c>
      <c r="O787" s="50">
        <f>IFERROR(VLOOKUP($B787,Data!$B$3:$D1530,2,FALSE),"")</f>
        <v>13670</v>
      </c>
      <c r="P787" s="50" t="str">
        <f>IFERROR(VLOOKUP($B787,Data!$B$3:$D1530,3,FALSE),"")</f>
        <v/>
      </c>
      <c r="Q787" s="48" t="str">
        <f t="shared" si="2"/>
        <v/>
      </c>
      <c r="R787" s="48"/>
      <c r="S787" s="48"/>
      <c r="T787" s="48"/>
      <c r="U787" s="48"/>
      <c r="V787" s="48"/>
      <c r="W787" s="50"/>
      <c r="Z787" s="15"/>
      <c r="AA787" s="15"/>
    </row>
    <row r="788">
      <c r="A788" s="9">
        <f t="shared" si="1"/>
        <v>785</v>
      </c>
      <c r="B788" s="47" t="s">
        <v>922</v>
      </c>
      <c r="C788" s="48">
        <f>IFERROR(DIVIDE(VLOOKUP($B788,Data!$B$3:$AB$1535,9,FALSE),VLOOKUP($B788,Data!$B$3:$AB$1535,4,FALSE)),"")</f>
        <v>0.1593595041</v>
      </c>
      <c r="D788" s="48">
        <f>IFERROR(DIVIDE(VLOOKUP($B788,Data!$B$3:$AB$1535,24,FALSE),VLOOKUP($B788,Data!$B$3:$AB$1535,4,FALSE)),"")</f>
        <v>0.08144214876</v>
      </c>
      <c r="E788" s="48">
        <f>IFERROR(DIVIDE(VLOOKUP($B788,Data!$B$3:$EZ1530,29,FALSE),VLOOKUP($B788,Data!$B$3:$EZ1530,4,FALSE)),"")</f>
        <v>0.08553305785</v>
      </c>
      <c r="F788" s="48">
        <f>IFERROR(DIVIDE(VLOOKUP($B788,Data!$B$3:$EZ1530,34,FALSE),VLOOKUP($B788,Data!$B$3:$EZ1530,4,FALSE)),"")</f>
        <v>0.2027665289</v>
      </c>
      <c r="G788" s="48">
        <f>IFERROR(DIVIDE(VLOOKUP($B788,Data!$B$3:$EZ1530,39,FALSE),VLOOKUP($B788,Data!$B$3:$EZ1530,4,FALSE)),"")</f>
        <v>0.06388636364</v>
      </c>
      <c r="H788" s="48">
        <f>IFERROR(DIVIDE(VLOOKUP($B788,Data!$B$3:$EZ1530,44,FALSE),VLOOKUP($B788,Data!$B$3:$EZ1530,4,FALSE)),"")</f>
        <v>0.1986219008</v>
      </c>
      <c r="I788" s="48">
        <f>IFERROR(MINUS(DIVIDE(VLOOKUP($B788,Data!$B$3:$EZ1530,9,FALSE),VLOOKUP($B788,Data!$B$3:$EZ1530,10,FALSE)),1),"")</f>
        <v>-0.1639568158</v>
      </c>
      <c r="J788" s="48">
        <f>IFERROR(MINUS(DIVIDE(VLOOKUP($B788,Data!$B$3:$EZ1530,24,FALSE),VLOOKUP($B788,Data!$B$3:$EZ1530,25,FALSE)),1),"")</f>
        <v>-0.259115856</v>
      </c>
      <c r="K788" s="48">
        <f>IFERROR(MINUS(DIVIDE(VLOOKUP($B788,Data!$B$3:$EZ1530,29,FALSE),VLOOKUP($B788,Data!$B$3:$EZ1530,30,FALSE)),1),"")</f>
        <v>-0.2500905731</v>
      </c>
      <c r="L788" s="48">
        <f>IFERROR(MINUS(DIVIDE(VLOOKUP($B788,Data!$B$3:$EZ1530,34,FALSE),VLOOKUP($B788,Data!$B$3:$EZ1530,35,FALSE)),1),"")</f>
        <v>0.01684747133</v>
      </c>
      <c r="M788" s="48">
        <f>IFERROR(MINUS(DIVIDE(VLOOKUP($B788,Data!$B$3:$EZ1530,39,FALSE),VLOOKUP($B788,Data!$B$3:$EZ1530,40,FALSE)),1),"")</f>
        <v>-0.2624862854</v>
      </c>
      <c r="N788" s="48">
        <f>IFERROR(MINUS(DIVIDE(VLOOKUP($B788,Data!$B$3:$EZ1530,44,FALSE),VLOOKUP($B788,Data!$B$3:$EZ1530,45,FALSE)),1),"")</f>
        <v>0.08996802649</v>
      </c>
      <c r="O788" s="50">
        <f>IFERROR(VLOOKUP($B788,Data!$B$3:$D1530,2,FALSE),"")</f>
        <v>4870000</v>
      </c>
      <c r="P788" s="50">
        <f>IFERROR(VLOOKUP($B788,Data!$B$3:$D1530,3,FALSE),"")</f>
        <v>4540000</v>
      </c>
      <c r="Q788" s="48">
        <f t="shared" si="2"/>
        <v>0.07268722467</v>
      </c>
      <c r="R788" s="48"/>
      <c r="S788" s="48"/>
      <c r="T788" s="48"/>
      <c r="U788" s="48"/>
      <c r="V788" s="48"/>
      <c r="W788" s="50"/>
      <c r="Z788" s="11"/>
      <c r="AA788" s="11"/>
    </row>
    <row r="789">
      <c r="A789" s="9">
        <f t="shared" si="1"/>
        <v>786</v>
      </c>
      <c r="B789" s="47" t="s">
        <v>923</v>
      </c>
      <c r="C789" s="48">
        <f>IFERROR(DIVIDE(VLOOKUP($B789,Data!$B$3:$AB$1535,9,FALSE),VLOOKUP($B789,Data!$B$3:$AB$1535,4,FALSE)),"")</f>
        <v>0.6082640193</v>
      </c>
      <c r="D789" s="48">
        <f>IFERROR(DIVIDE(VLOOKUP($B789,Data!$B$3:$AB$1535,24,FALSE),VLOOKUP($B789,Data!$B$3:$AB$1535,4,FALSE)),"")</f>
        <v>0.2369197746</v>
      </c>
      <c r="E789" s="48">
        <f>IFERROR(DIVIDE(VLOOKUP($B789,Data!$B$3:$EZ1530,29,FALSE),VLOOKUP($B789,Data!$B$3:$EZ1530,4,FALSE)),"")</f>
        <v>0.2895089885</v>
      </c>
      <c r="F789" s="48">
        <f>IFERROR(DIVIDE(VLOOKUP($B789,Data!$B$3:$EZ1530,34,FALSE),VLOOKUP($B789,Data!$B$3:$EZ1530,4,FALSE)),"")</f>
        <v>0.3184867185</v>
      </c>
      <c r="G789" s="48">
        <f>IFERROR(DIVIDE(VLOOKUP($B789,Data!$B$3:$EZ1530,39,FALSE),VLOOKUP($B789,Data!$B$3:$EZ1530,4,FALSE)),"")</f>
        <v>0.2393345855</v>
      </c>
      <c r="H789" s="48">
        <f>IFERROR(DIVIDE(VLOOKUP($B789,Data!$B$3:$EZ1530,44,FALSE),VLOOKUP($B789,Data!$B$3:$EZ1530,4,FALSE)),"")</f>
        <v>0.2809229944</v>
      </c>
      <c r="I789" s="48">
        <f>IFERROR(MINUS(DIVIDE(VLOOKUP($B789,Data!$B$3:$EZ1530,9,FALSE),VLOOKUP($B789,Data!$B$3:$EZ1530,10,FALSE)),1),"")</f>
        <v>0.07491702229</v>
      </c>
      <c r="J789" s="48">
        <f>IFERROR(MINUS(DIVIDE(VLOOKUP($B789,Data!$B$3:$EZ1530,24,FALSE),VLOOKUP($B789,Data!$B$3:$EZ1530,25,FALSE)),1),"")</f>
        <v>-5.415</v>
      </c>
      <c r="K789" s="48">
        <f>IFERROR(MINUS(DIVIDE(VLOOKUP($B789,Data!$B$3:$EZ1530,29,FALSE),VLOOKUP($B789,Data!$B$3:$EZ1530,30,FALSE)),1),"")</f>
        <v>0.3110571081</v>
      </c>
      <c r="L789" s="48">
        <f>IFERROR(MINUS(DIVIDE(VLOOKUP($B789,Data!$B$3:$EZ1530,34,FALSE),VLOOKUP($B789,Data!$B$3:$EZ1530,35,FALSE)),1),"")</f>
        <v>0.06076854334</v>
      </c>
      <c r="M789" s="48">
        <f>IFERROR(MINUS(DIVIDE(VLOOKUP($B789,Data!$B$3:$EZ1530,39,FALSE),VLOOKUP($B789,Data!$B$3:$EZ1530,40,FALSE)),1),"")</f>
        <v>0.3872472784</v>
      </c>
      <c r="N789" s="48">
        <f>IFERROR(MINUS(DIVIDE(VLOOKUP($B789,Data!$B$3:$EZ1530,44,FALSE),VLOOKUP($B789,Data!$B$3:$EZ1530,45,FALSE)),1),"")</f>
        <v>0.372214941</v>
      </c>
      <c r="O789" s="50">
        <f>IFERROR(VLOOKUP($B789,Data!$B$3:$D1530,2,FALSE),"")</f>
        <v>36130000</v>
      </c>
      <c r="P789" s="50">
        <f>IFERROR(VLOOKUP($B789,Data!$B$3:$D1530,3,FALSE),"")</f>
        <v>32760000</v>
      </c>
      <c r="Q789" s="48">
        <f t="shared" si="2"/>
        <v>0.1028693529</v>
      </c>
      <c r="R789" s="48"/>
      <c r="S789" s="48"/>
      <c r="T789" s="48"/>
      <c r="U789" s="48"/>
      <c r="V789" s="48"/>
      <c r="W789" s="50"/>
      <c r="Z789" s="11"/>
      <c r="AA789" s="12"/>
    </row>
    <row r="790">
      <c r="A790" s="9">
        <f t="shared" si="1"/>
        <v>787</v>
      </c>
      <c r="B790" s="47" t="s">
        <v>924</v>
      </c>
      <c r="C790" s="48" t="str">
        <f>IFERROR(DIVIDE(VLOOKUP($B790,Data!$B$3:$AB$1535,9,FALSE),VLOOKUP($B790,Data!$B$3:$AB$1535,4,FALSE)),"")</f>
        <v/>
      </c>
      <c r="D790" s="48" t="str">
        <f>IFERROR(DIVIDE(VLOOKUP($B790,Data!$B$3:$AB$1535,24,FALSE),VLOOKUP($B790,Data!$B$3:$AB$1535,4,FALSE)),"")</f>
        <v/>
      </c>
      <c r="E790" s="48" t="str">
        <f>IFERROR(DIVIDE(VLOOKUP($B790,Data!$B$3:$EZ1530,29,FALSE),VLOOKUP($B790,Data!$B$3:$EZ1530,4,FALSE)),"")</f>
        <v/>
      </c>
      <c r="F790" s="48" t="str">
        <f>IFERROR(DIVIDE(VLOOKUP($B790,Data!$B$3:$EZ1530,34,FALSE),VLOOKUP($B790,Data!$B$3:$EZ1530,4,FALSE)),"")</f>
        <v/>
      </c>
      <c r="G790" s="48" t="str">
        <f>IFERROR(DIVIDE(VLOOKUP($B790,Data!$B$3:$EZ1530,39,FALSE),VLOOKUP($B790,Data!$B$3:$EZ1530,4,FALSE)),"")</f>
        <v/>
      </c>
      <c r="H790" s="48" t="str">
        <f>IFERROR(DIVIDE(VLOOKUP($B790,Data!$B$3:$EZ1530,44,FALSE),VLOOKUP($B790,Data!$B$3:$EZ1530,4,FALSE)),"")</f>
        <v/>
      </c>
      <c r="I790" s="48">
        <f>IFERROR(MINUS(DIVIDE(VLOOKUP($B790,Data!$B$3:$EZ1530,9,FALSE),VLOOKUP($B790,Data!$B$3:$EZ1530,10,FALSE)),1),"")</f>
        <v>0.8591836735</v>
      </c>
      <c r="J790" s="48">
        <f>IFERROR(MINUS(DIVIDE(VLOOKUP($B790,Data!$B$3:$EZ1530,24,FALSE),VLOOKUP($B790,Data!$B$3:$EZ1530,25,FALSE)),1),"")</f>
        <v>-1</v>
      </c>
      <c r="K790" s="48">
        <f>IFERROR(MINUS(DIVIDE(VLOOKUP($B790,Data!$B$3:$EZ1530,29,FALSE),VLOOKUP($B790,Data!$B$3:$EZ1530,30,FALSE)),1),"")</f>
        <v>0.1430984556</v>
      </c>
      <c r="L790" s="48">
        <f>IFERROR(MINUS(DIVIDE(VLOOKUP($B790,Data!$B$3:$EZ1530,34,FALSE),VLOOKUP($B790,Data!$B$3:$EZ1530,35,FALSE)),1),"")</f>
        <v>0.8655332303</v>
      </c>
      <c r="M790" s="48">
        <f>IFERROR(MINUS(DIVIDE(VLOOKUP($B790,Data!$B$3:$EZ1530,39,FALSE),VLOOKUP($B790,Data!$B$3:$EZ1530,40,FALSE)),1),"")</f>
        <v>0.1430984556</v>
      </c>
      <c r="N790" s="48">
        <f>IFERROR(MINUS(DIVIDE(VLOOKUP($B790,Data!$B$3:$EZ1530,44,FALSE),VLOOKUP($B790,Data!$B$3:$EZ1530,45,FALSE)),1),"")</f>
        <v>0.3351705133</v>
      </c>
      <c r="O790" s="50" t="str">
        <f>IFERROR(VLOOKUP($B790,Data!$B$3:$D1530,2,FALSE),"")</f>
        <v/>
      </c>
      <c r="P790" s="50">
        <f>IFERROR(VLOOKUP($B790,Data!$B$3:$D1530,3,FALSE),"")</f>
        <v>15620</v>
      </c>
      <c r="Q790" s="48">
        <f t="shared" si="2"/>
        <v>-1</v>
      </c>
      <c r="R790" s="48"/>
      <c r="S790" s="48"/>
      <c r="T790" s="48"/>
      <c r="U790" s="48"/>
      <c r="V790" s="48"/>
      <c r="W790" s="50"/>
      <c r="Z790" s="11"/>
      <c r="AA790" s="11"/>
    </row>
    <row r="791">
      <c r="A791" s="9">
        <f t="shared" si="1"/>
        <v>788</v>
      </c>
      <c r="B791" s="47" t="s">
        <v>925</v>
      </c>
      <c r="C791" s="48">
        <f>IFERROR(DIVIDE(VLOOKUP($B791,Data!$B$3:$AB$1535,9,FALSE),VLOOKUP($B791,Data!$B$3:$AB$1535,4,FALSE)),"")</f>
        <v>0.4531290173</v>
      </c>
      <c r="D791" s="48">
        <f>IFERROR(DIVIDE(VLOOKUP($B791,Data!$B$3:$AB$1535,24,FALSE),VLOOKUP($B791,Data!$B$3:$AB$1535,4,FALSE)),"")</f>
        <v>0.1185787011</v>
      </c>
      <c r="E791" s="48">
        <f>IFERROR(DIVIDE(VLOOKUP($B791,Data!$B$3:$EZ1530,29,FALSE),VLOOKUP($B791,Data!$B$3:$EZ1530,4,FALSE)),"")</f>
        <v>0.09466755798</v>
      </c>
      <c r="F791" s="48">
        <f>IFERROR(DIVIDE(VLOOKUP($B791,Data!$B$3:$EZ1530,34,FALSE),VLOOKUP($B791,Data!$B$3:$EZ1530,4,FALSE)),"")</f>
        <v>0.2013163984</v>
      </c>
      <c r="G791" s="48">
        <f>IFERROR(DIVIDE(VLOOKUP($B791,Data!$B$3:$EZ1530,39,FALSE),VLOOKUP($B791,Data!$B$3:$EZ1530,4,FALSE)),"")</f>
        <v>0.06222039389</v>
      </c>
      <c r="H791" s="48">
        <f>IFERROR(DIVIDE(VLOOKUP($B791,Data!$B$3:$EZ1530,44,FALSE),VLOOKUP($B791,Data!$B$3:$EZ1530,4,FALSE)),"")</f>
        <v>0.1424898442</v>
      </c>
      <c r="I791" s="48">
        <f>IFERROR(MINUS(DIVIDE(VLOOKUP($B791,Data!$B$3:$EZ1530,9,FALSE),VLOOKUP($B791,Data!$B$3:$EZ1530,10,FALSE)),1),"")</f>
        <v>0.06207062794</v>
      </c>
      <c r="J791" s="48">
        <f>IFERROR(MINUS(DIVIDE(VLOOKUP($B791,Data!$B$3:$EZ1530,24,FALSE),VLOOKUP($B791,Data!$B$3:$EZ1530,25,FALSE)),1),"")</f>
        <v>0.04155374887</v>
      </c>
      <c r="K791" s="48">
        <f>IFERROR(MINUS(DIVIDE(VLOOKUP($B791,Data!$B$3:$EZ1530,29,FALSE),VLOOKUP($B791,Data!$B$3:$EZ1530,30,FALSE)),1),"")</f>
        <v>0.07097149506</v>
      </c>
      <c r="L791" s="48">
        <f>IFERROR(MINUS(DIVIDE(VLOOKUP($B791,Data!$B$3:$EZ1530,34,FALSE),VLOOKUP($B791,Data!$B$3:$EZ1530,35,FALSE)),1),"")</f>
        <v>0.1062447019</v>
      </c>
      <c r="M791" s="48">
        <f>IFERROR(MINUS(DIVIDE(VLOOKUP($B791,Data!$B$3:$EZ1530,39,FALSE),VLOOKUP($B791,Data!$B$3:$EZ1530,40,FALSE)),1),"")</f>
        <v>0.1060329068</v>
      </c>
      <c r="N791" s="48">
        <f>IFERROR(MINUS(DIVIDE(VLOOKUP($B791,Data!$B$3:$EZ1530,44,FALSE),VLOOKUP($B791,Data!$B$3:$EZ1530,45,FALSE)),1),"")</f>
        <v>0.08369182636</v>
      </c>
      <c r="O791" s="50">
        <f>IFERROR(VLOOKUP($B791,Data!$B$3:$D1530,2,FALSE),"")</f>
        <v>9170000</v>
      </c>
      <c r="P791" s="50">
        <f>IFERROR(VLOOKUP($B791,Data!$B$3:$D1530,3,FALSE),"")</f>
        <v>8630000</v>
      </c>
      <c r="Q791" s="48">
        <f t="shared" si="2"/>
        <v>0.06257242178</v>
      </c>
      <c r="R791" s="48"/>
      <c r="S791" s="48"/>
      <c r="T791" s="48"/>
      <c r="U791" s="48"/>
      <c r="V791" s="48"/>
      <c r="W791" s="50"/>
      <c r="Z791" s="15"/>
      <c r="AA791" s="15"/>
    </row>
    <row r="792">
      <c r="A792" s="9">
        <f t="shared" si="1"/>
        <v>789</v>
      </c>
      <c r="B792" s="47" t="s">
        <v>926</v>
      </c>
      <c r="C792" s="48">
        <f>IFERROR(DIVIDE(VLOOKUP($B792,Data!$B$3:$AB$1535,9,FALSE),VLOOKUP($B792,Data!$B$3:$AB$1535,4,FALSE)),"")</f>
        <v>0.1602259887</v>
      </c>
      <c r="D792" s="48">
        <f>IFERROR(DIVIDE(VLOOKUP($B792,Data!$B$3:$AB$1535,24,FALSE),VLOOKUP($B792,Data!$B$3:$AB$1535,4,FALSE)),"")</f>
        <v>0.0715819209</v>
      </c>
      <c r="E792" s="48">
        <f>IFERROR(DIVIDE(VLOOKUP($B792,Data!$B$3:$EZ1530,29,FALSE),VLOOKUP($B792,Data!$B$3:$EZ1530,4,FALSE)),"")</f>
        <v>0.03892655367</v>
      </c>
      <c r="F792" s="48">
        <f>IFERROR(DIVIDE(VLOOKUP($B792,Data!$B$3:$EZ1530,34,FALSE),VLOOKUP($B792,Data!$B$3:$EZ1530,4,FALSE)),"")</f>
        <v>0.1061016949</v>
      </c>
      <c r="G792" s="48">
        <f>IFERROR(DIVIDE(VLOOKUP($B792,Data!$B$3:$EZ1530,39,FALSE),VLOOKUP($B792,Data!$B$3:$EZ1530,4,FALSE)),"")</f>
        <v>0.03768361582</v>
      </c>
      <c r="H792" s="48">
        <f>IFERROR(DIVIDE(VLOOKUP($B792,Data!$B$3:$EZ1530,44,FALSE),VLOOKUP($B792,Data!$B$3:$EZ1530,4,FALSE)),"")</f>
        <v>0.06514124294</v>
      </c>
      <c r="I792" s="48">
        <f>IFERROR(MINUS(DIVIDE(VLOOKUP($B792,Data!$B$3:$EZ1530,9,FALSE),VLOOKUP($B792,Data!$B$3:$EZ1530,10,FALSE)),1),"")</f>
        <v>-0.0260989011</v>
      </c>
      <c r="J792" s="48">
        <f>IFERROR(MINUS(DIVIDE(VLOOKUP($B792,Data!$B$3:$EZ1530,24,FALSE),VLOOKUP($B792,Data!$B$3:$EZ1530,25,FALSE)),1),"")</f>
        <v>0.06739679865</v>
      </c>
      <c r="K792" s="48">
        <f>IFERROR(MINUS(DIVIDE(VLOOKUP($B792,Data!$B$3:$EZ1530,29,FALSE),VLOOKUP($B792,Data!$B$3:$EZ1530,30,FALSE)),1),"")</f>
        <v>0.2572992701</v>
      </c>
      <c r="L792" s="48">
        <f>IFERROR(MINUS(DIVIDE(VLOOKUP($B792,Data!$B$3:$EZ1530,34,FALSE),VLOOKUP($B792,Data!$B$3:$EZ1530,35,FALSE)),1),"")</f>
        <v>0.00481540931</v>
      </c>
      <c r="M792" s="48">
        <f>IFERROR(MINUS(DIVIDE(VLOOKUP($B792,Data!$B$3:$EZ1530,39,FALSE),VLOOKUP($B792,Data!$B$3:$EZ1530,40,FALSE)),1),"")</f>
        <v>1.9</v>
      </c>
      <c r="N792" s="48">
        <f>IFERROR(MINUS(DIVIDE(VLOOKUP($B792,Data!$B$3:$EZ1530,44,FALSE),VLOOKUP($B792,Data!$B$3:$EZ1530,45,FALSE)),1),"")</f>
        <v>0.472541507</v>
      </c>
      <c r="O792" s="50">
        <f>IFERROR(VLOOKUP($B792,Data!$B$3:$D1530,2,FALSE),"")</f>
        <v>1740000</v>
      </c>
      <c r="P792" s="50">
        <f>IFERROR(VLOOKUP($B792,Data!$B$3:$D1530,3,FALSE),"")</f>
        <v>1620000</v>
      </c>
      <c r="Q792" s="48">
        <f t="shared" si="2"/>
        <v>0.07407407407</v>
      </c>
      <c r="R792" s="48"/>
      <c r="S792" s="48"/>
      <c r="T792" s="48"/>
      <c r="U792" s="48"/>
      <c r="V792" s="48"/>
      <c r="W792" s="50"/>
      <c r="Z792" s="12"/>
      <c r="AA792" s="11"/>
    </row>
    <row r="793">
      <c r="A793" s="9">
        <f t="shared" si="1"/>
        <v>790</v>
      </c>
      <c r="B793" s="47" t="s">
        <v>927</v>
      </c>
      <c r="C793" s="48">
        <f>IFERROR(DIVIDE(VLOOKUP($B793,Data!$B$3:$AB$1535,9,FALSE),VLOOKUP($B793,Data!$B$3:$AB$1535,4,FALSE)),"")</f>
        <v>0.2920054201</v>
      </c>
      <c r="D793" s="48">
        <f>IFERROR(DIVIDE(VLOOKUP($B793,Data!$B$3:$AB$1535,24,FALSE),VLOOKUP($B793,Data!$B$3:$AB$1535,4,FALSE)),"")</f>
        <v>-0.8936314363</v>
      </c>
      <c r="E793" s="48">
        <f>IFERROR(DIVIDE(VLOOKUP($B793,Data!$B$3:$EZ1530,29,FALSE),VLOOKUP($B793,Data!$B$3:$EZ1530,4,FALSE)),"")</f>
        <v>-0.9915311653</v>
      </c>
      <c r="F793" s="48">
        <f>IFERROR(DIVIDE(VLOOKUP($B793,Data!$B$3:$EZ1530,34,FALSE),VLOOKUP($B793,Data!$B$3:$EZ1530,4,FALSE)),"")</f>
        <v>-0.8556910569</v>
      </c>
      <c r="G793" s="48">
        <f>IFERROR(DIVIDE(VLOOKUP($B793,Data!$B$3:$EZ1530,39,FALSE),VLOOKUP($B793,Data!$B$3:$EZ1530,4,FALSE)),"")</f>
        <v>-0.9996612466</v>
      </c>
      <c r="H793" s="48">
        <f>IFERROR(DIVIDE(VLOOKUP($B793,Data!$B$3:$EZ1530,44,FALSE),VLOOKUP($B793,Data!$B$3:$EZ1530,4,FALSE)),"")</f>
        <v>-0.712398374</v>
      </c>
      <c r="I793" s="48">
        <f>IFERROR(MINUS(DIVIDE(VLOOKUP($B793,Data!$B$3:$EZ1530,9,FALSE),VLOOKUP($B793,Data!$B$3:$EZ1530,10,FALSE)),1),"")</f>
        <v>-0.001158748552</v>
      </c>
      <c r="J793" s="48">
        <f>IFERROR(MINUS(DIVIDE(VLOOKUP($B793,Data!$B$3:$EZ1530,24,FALSE),VLOOKUP($B793,Data!$B$3:$EZ1530,25,FALSE)),1),"")</f>
        <v>-0.3400050038</v>
      </c>
      <c r="K793" s="48">
        <f>IFERROR(MINUS(DIVIDE(VLOOKUP($B793,Data!$B$3:$EZ1530,29,FALSE),VLOOKUP($B793,Data!$B$3:$EZ1530,30,FALSE)),1),"")</f>
        <v>-0.1503628447</v>
      </c>
      <c r="L793" s="48">
        <f>IFERROR(MINUS(DIVIDE(VLOOKUP($B793,Data!$B$3:$EZ1530,34,FALSE),VLOOKUP($B793,Data!$B$3:$EZ1530,35,FALSE)),1),"")</f>
        <v>-0.2583675866</v>
      </c>
      <c r="M793" s="48">
        <f>IFERROR(MINUS(DIVIDE(VLOOKUP($B793,Data!$B$3:$EZ1530,39,FALSE),VLOOKUP($B793,Data!$B$3:$EZ1530,40,FALSE)),1),"")</f>
        <v>-0.1453808283</v>
      </c>
      <c r="N793" s="48">
        <f>IFERROR(MINUS(DIVIDE(VLOOKUP($B793,Data!$B$3:$EZ1530,44,FALSE),VLOOKUP($B793,Data!$B$3:$EZ1530,45,FALSE)),1),"")</f>
        <v>-0.2516014235</v>
      </c>
      <c r="O793" s="50">
        <f>IFERROR(VLOOKUP($B793,Data!$B$3:$D1530,2,FALSE),"")</f>
        <v>38560</v>
      </c>
      <c r="P793" s="50">
        <f>IFERROR(VLOOKUP($B793,Data!$B$3:$D1530,3,FALSE),"")</f>
        <v>33850</v>
      </c>
      <c r="Q793" s="48">
        <f t="shared" si="2"/>
        <v>0.1391432792</v>
      </c>
      <c r="R793" s="48"/>
      <c r="S793" s="48"/>
      <c r="T793" s="48"/>
      <c r="U793" s="48"/>
      <c r="V793" s="48"/>
      <c r="W793" s="50"/>
      <c r="Z793" s="15"/>
      <c r="AA793" s="15"/>
    </row>
    <row r="794">
      <c r="A794" s="9">
        <f t="shared" si="1"/>
        <v>791</v>
      </c>
      <c r="B794" s="47" t="s">
        <v>928</v>
      </c>
      <c r="C794" s="48">
        <f>IFERROR(DIVIDE(VLOOKUP($B794,Data!$B$3:$AB$1535,9,FALSE),VLOOKUP($B794,Data!$B$3:$AB$1535,4,FALSE)),"")</f>
        <v>0.9173392027</v>
      </c>
      <c r="D794" s="48">
        <f>IFERROR(DIVIDE(VLOOKUP($B794,Data!$B$3:$AB$1535,24,FALSE),VLOOKUP($B794,Data!$B$3:$AB$1535,4,FALSE)),"")</f>
        <v>0</v>
      </c>
      <c r="E794" s="48">
        <f>IFERROR(DIVIDE(VLOOKUP($B794,Data!$B$3:$EZ1530,29,FALSE),VLOOKUP($B794,Data!$B$3:$EZ1530,4,FALSE)),"")</f>
        <v>-4.8801663</v>
      </c>
      <c r="F794" s="48">
        <f>IFERROR(DIVIDE(VLOOKUP($B794,Data!$B$3:$EZ1530,34,FALSE),VLOOKUP($B794,Data!$B$3:$EZ1530,4,FALSE)),"")</f>
        <v>-4.605037907</v>
      </c>
      <c r="G794" s="48">
        <f>IFERROR(DIVIDE(VLOOKUP($B794,Data!$B$3:$EZ1530,39,FALSE),VLOOKUP($B794,Data!$B$3:$EZ1530,4,FALSE)),"")</f>
        <v>-4.881144534</v>
      </c>
      <c r="H794" s="48">
        <f>IFERROR(DIVIDE(VLOOKUP($B794,Data!$B$3:$EZ1530,44,FALSE),VLOOKUP($B794,Data!$B$3:$EZ1530,4,FALSE)),"")</f>
        <v>-4.638053314</v>
      </c>
      <c r="I794" s="48" t="str">
        <f>IFERROR(MINUS(DIVIDE(VLOOKUP($B794,Data!$B$3:$EZ1530,9,FALSE),VLOOKUP($B794,Data!$B$3:$EZ1530,10,FALSE)),1),"")</f>
        <v/>
      </c>
      <c r="J794" s="48" t="str">
        <f>IFERROR(MINUS(DIVIDE(VLOOKUP($B794,Data!$B$3:$EZ1530,24,FALSE),VLOOKUP($B794,Data!$B$3:$EZ1530,25,FALSE)),1),"")</f>
        <v/>
      </c>
      <c r="K794" s="48">
        <f>IFERROR(MINUS(DIVIDE(VLOOKUP($B794,Data!$B$3:$EZ1530,29,FALSE),VLOOKUP($B794,Data!$B$3:$EZ1530,30,FALSE)),1),"")</f>
        <v>0.1186792241</v>
      </c>
      <c r="L794" s="48">
        <f>IFERROR(MINUS(DIVIDE(VLOOKUP($B794,Data!$B$3:$EZ1530,34,FALSE),VLOOKUP($B794,Data!$B$3:$EZ1530,35,FALSE)),1),"")</f>
        <v>0.05107451856</v>
      </c>
      <c r="M794" s="48">
        <f>IFERROR(MINUS(DIVIDE(VLOOKUP($B794,Data!$B$3:$EZ1530,39,FALSE),VLOOKUP($B794,Data!$B$3:$EZ1530,40,FALSE)),1),"")</f>
        <v>0.1187153186</v>
      </c>
      <c r="N794" s="48">
        <f>IFERROR(MINUS(DIVIDE(VLOOKUP($B794,Data!$B$3:$EZ1530,44,FALSE),VLOOKUP($B794,Data!$B$3:$EZ1530,45,FALSE)),1),"")</f>
        <v>0.1918677728</v>
      </c>
      <c r="O794" s="50">
        <f>IFERROR(VLOOKUP($B794,Data!$B$3:$D1530,2,FALSE),"")</f>
        <v>188250</v>
      </c>
      <c r="P794" s="50">
        <f>IFERROR(VLOOKUP($B794,Data!$B$3:$D1530,3,FALSE),"")</f>
        <v>114880</v>
      </c>
      <c r="Q794" s="48">
        <f t="shared" si="2"/>
        <v>0.6386664345</v>
      </c>
      <c r="R794" s="48"/>
      <c r="S794" s="48"/>
      <c r="T794" s="48"/>
      <c r="U794" s="48"/>
      <c r="V794" s="48"/>
      <c r="W794" s="50"/>
      <c r="Z794" s="15"/>
      <c r="AA794" s="15"/>
    </row>
    <row r="795">
      <c r="A795" s="9">
        <f t="shared" si="1"/>
        <v>792</v>
      </c>
      <c r="B795" s="47" t="s">
        <v>929</v>
      </c>
      <c r="C795" s="48">
        <f>IFERROR(DIVIDE(VLOOKUP($B795,Data!$B$3:$AB$1535,9,FALSE),VLOOKUP($B795,Data!$B$3:$AB$1535,4,FALSE)),"")</f>
        <v>0.1990350805</v>
      </c>
      <c r="D795" s="48">
        <f>IFERROR(DIVIDE(VLOOKUP($B795,Data!$B$3:$AB$1535,24,FALSE),VLOOKUP($B795,Data!$B$3:$AB$1535,4,FALSE)),"")</f>
        <v>0.01839888789</v>
      </c>
      <c r="E795" s="48">
        <f>IFERROR(DIVIDE(VLOOKUP($B795,Data!$B$3:$EZ1530,29,FALSE),VLOOKUP($B795,Data!$B$3:$EZ1530,4,FALSE)),"")</f>
        <v>0.01619102134</v>
      </c>
      <c r="F795" s="48">
        <f>IFERROR(DIVIDE(VLOOKUP($B795,Data!$B$3:$EZ1530,34,FALSE),VLOOKUP($B795,Data!$B$3:$EZ1530,4,FALSE)),"")</f>
        <v>0.04742824434</v>
      </c>
      <c r="G795" s="48">
        <f>IFERROR(DIVIDE(VLOOKUP($B795,Data!$B$3:$EZ1530,39,FALSE),VLOOKUP($B795,Data!$B$3:$EZ1530,4,FALSE)),"")</f>
        <v>0.01341074495</v>
      </c>
      <c r="H795" s="48">
        <f>IFERROR(DIVIDE(VLOOKUP($B795,Data!$B$3:$EZ1530,44,FALSE),VLOOKUP($B795,Data!$B$3:$EZ1530,4,FALSE)),"")</f>
        <v>0.04333960258</v>
      </c>
      <c r="I795" s="48">
        <f>IFERROR(MINUS(DIVIDE(VLOOKUP($B795,Data!$B$3:$EZ1530,9,FALSE),VLOOKUP($B795,Data!$B$3:$EZ1530,10,FALSE)),1),"")</f>
        <v>0.02268907563</v>
      </c>
      <c r="J795" s="48">
        <f>IFERROR(MINUS(DIVIDE(VLOOKUP($B795,Data!$B$3:$EZ1530,24,FALSE),VLOOKUP($B795,Data!$B$3:$EZ1530,25,FALSE)),1),"")</f>
        <v>-0.141221374</v>
      </c>
      <c r="K795" s="48">
        <f>IFERROR(MINUS(DIVIDE(VLOOKUP($B795,Data!$B$3:$EZ1530,29,FALSE),VLOOKUP($B795,Data!$B$3:$EZ1530,30,FALSE)),1),"")</f>
        <v>-0.5025125628</v>
      </c>
      <c r="L795" s="48">
        <f>IFERROR(MINUS(DIVIDE(VLOOKUP($B795,Data!$B$3:$EZ1530,34,FALSE),VLOOKUP($B795,Data!$B$3:$EZ1530,35,FALSE)),1),"")</f>
        <v>0.1218568665</v>
      </c>
      <c r="M795" s="48">
        <f>IFERROR(MINUS(DIVIDE(VLOOKUP($B795,Data!$B$3:$EZ1530,39,FALSE),VLOOKUP($B795,Data!$B$3:$EZ1530,40,FALSE)),1),"")</f>
        <v>-0.4675324675</v>
      </c>
      <c r="N795" s="48">
        <f>IFERROR(MINUS(DIVIDE(VLOOKUP($B795,Data!$B$3:$EZ1530,44,FALSE),VLOOKUP($B795,Data!$B$3:$EZ1530,45,FALSE)),1),"")</f>
        <v>0.2679425837</v>
      </c>
      <c r="O795" s="50">
        <f>IFERROR(VLOOKUP($B795,Data!$B$3:$D1530,2,FALSE),"")</f>
        <v>126870000</v>
      </c>
      <c r="P795" s="50">
        <f>IFERROR(VLOOKUP($B795,Data!$B$3:$D1530,3,FALSE),"")</f>
        <v>129360000</v>
      </c>
      <c r="Q795" s="48">
        <f t="shared" si="2"/>
        <v>-0.01924860853</v>
      </c>
      <c r="R795" s="48"/>
      <c r="S795" s="48"/>
      <c r="T795" s="48"/>
      <c r="U795" s="48"/>
      <c r="V795" s="48"/>
      <c r="W795" s="50"/>
      <c r="Z795" s="15"/>
      <c r="AA795" s="15"/>
    </row>
    <row r="796">
      <c r="A796" s="9">
        <f t="shared" si="1"/>
        <v>793</v>
      </c>
      <c r="B796" s="47" t="s">
        <v>930</v>
      </c>
      <c r="C796" s="48">
        <f>IFERROR(DIVIDE(VLOOKUP($B796,Data!$B$3:$AB$1535,9,FALSE),VLOOKUP($B796,Data!$B$3:$AB$1535,4,FALSE)),"")</f>
        <v>0.1661555556</v>
      </c>
      <c r="D796" s="48">
        <f>IFERROR(DIVIDE(VLOOKUP($B796,Data!$B$3:$AB$1535,24,FALSE),VLOOKUP($B796,Data!$B$3:$AB$1535,4,FALSE)),"")</f>
        <v>0.06706111111</v>
      </c>
      <c r="E796" s="48">
        <f>IFERROR(DIVIDE(VLOOKUP($B796,Data!$B$3:$EZ1530,29,FALSE),VLOOKUP($B796,Data!$B$3:$EZ1530,4,FALSE)),"")</f>
        <v>0.02444444444</v>
      </c>
      <c r="F796" s="48">
        <f>IFERROR(DIVIDE(VLOOKUP($B796,Data!$B$3:$EZ1530,34,FALSE),VLOOKUP($B796,Data!$B$3:$EZ1530,4,FALSE)),"")</f>
        <v>0.1421111111</v>
      </c>
      <c r="G796" s="48">
        <f>IFERROR(DIVIDE(VLOOKUP($B796,Data!$B$3:$EZ1530,39,FALSE),VLOOKUP($B796,Data!$B$3:$EZ1530,4,FALSE)),"")</f>
        <v>0.02828333333</v>
      </c>
      <c r="H796" s="48">
        <f>IFERROR(DIVIDE(VLOOKUP($B796,Data!$B$3:$EZ1530,44,FALSE),VLOOKUP($B796,Data!$B$3:$EZ1530,4,FALSE)),"")</f>
        <v>0.1305222222</v>
      </c>
      <c r="I796" s="48">
        <f>IFERROR(MINUS(DIVIDE(VLOOKUP($B796,Data!$B$3:$EZ1530,9,FALSE),VLOOKUP($B796,Data!$B$3:$EZ1530,10,FALSE)),1),"")</f>
        <v>-0.3253327318</v>
      </c>
      <c r="J796" s="48">
        <f>IFERROR(MINUS(DIVIDE(VLOOKUP($B796,Data!$B$3:$EZ1530,24,FALSE),VLOOKUP($B796,Data!$B$3:$EZ1530,25,FALSE)),1),"")</f>
        <v>-0.3068220972</v>
      </c>
      <c r="K796" s="48">
        <f>IFERROR(MINUS(DIVIDE(VLOOKUP($B796,Data!$B$3:$EZ1530,29,FALSE),VLOOKUP($B796,Data!$B$3:$EZ1530,30,FALSE)),1),"")</f>
        <v>-0.4062078273</v>
      </c>
      <c r="L796" s="48">
        <f>IFERROR(MINUS(DIVIDE(VLOOKUP($B796,Data!$B$3:$EZ1530,34,FALSE),VLOOKUP($B796,Data!$B$3:$EZ1530,35,FALSE)),1),"")</f>
        <v>-0.3432774512</v>
      </c>
      <c r="M796" s="48">
        <f>IFERROR(MINUS(DIVIDE(VLOOKUP($B796,Data!$B$3:$EZ1530,39,FALSE),VLOOKUP($B796,Data!$B$3:$EZ1530,40,FALSE)),1),"")</f>
        <v>-0.2291035736</v>
      </c>
      <c r="N796" s="48">
        <f>IFERROR(MINUS(DIVIDE(VLOOKUP($B796,Data!$B$3:$EZ1530,44,FALSE),VLOOKUP($B796,Data!$B$3:$EZ1530,45,FALSE)),1),"")</f>
        <v>-0.047205775</v>
      </c>
      <c r="O796" s="50">
        <f>IFERROR(VLOOKUP($B796,Data!$B$3:$D1530,2,FALSE),"")</f>
        <v>1600000</v>
      </c>
      <c r="P796" s="50">
        <f>IFERROR(VLOOKUP($B796,Data!$B$3:$D1530,3,FALSE),"")</f>
        <v>1520000</v>
      </c>
      <c r="Q796" s="48">
        <f t="shared" si="2"/>
        <v>0.05263157895</v>
      </c>
      <c r="R796" s="48"/>
      <c r="S796" s="48"/>
      <c r="T796" s="48"/>
      <c r="U796" s="48"/>
      <c r="V796" s="48"/>
      <c r="W796" s="50"/>
      <c r="Z796" s="11"/>
      <c r="AA796" s="11"/>
    </row>
    <row r="797">
      <c r="A797" s="9">
        <f t="shared" si="1"/>
        <v>794</v>
      </c>
      <c r="B797" s="47" t="s">
        <v>931</v>
      </c>
      <c r="C797" s="48">
        <f>IFERROR(DIVIDE(VLOOKUP($B797,Data!$B$3:$AB$1535,9,FALSE),VLOOKUP($B797,Data!$B$3:$AB$1535,4,FALSE)),"")</f>
        <v>0.2232369942</v>
      </c>
      <c r="D797" s="48">
        <f>IFERROR(DIVIDE(VLOOKUP($B797,Data!$B$3:$AB$1535,24,FALSE),VLOOKUP($B797,Data!$B$3:$AB$1535,4,FALSE)),"")</f>
        <v>0.08468208092</v>
      </c>
      <c r="E797" s="48">
        <f>IFERROR(DIVIDE(VLOOKUP($B797,Data!$B$3:$EZ1530,29,FALSE),VLOOKUP($B797,Data!$B$3:$EZ1530,4,FALSE)),"")</f>
        <v>0.07</v>
      </c>
      <c r="F797" s="48">
        <f>IFERROR(DIVIDE(VLOOKUP($B797,Data!$B$3:$EZ1530,34,FALSE),VLOOKUP($B797,Data!$B$3:$EZ1530,4,FALSE)),"")</f>
        <v>0.1149710983</v>
      </c>
      <c r="G797" s="48">
        <f>IFERROR(DIVIDE(VLOOKUP($B797,Data!$B$3:$EZ1530,39,FALSE),VLOOKUP($B797,Data!$B$3:$EZ1530,4,FALSE)),"")</f>
        <v>0.05034682081</v>
      </c>
      <c r="H797" s="48">
        <f>IFERROR(DIVIDE(VLOOKUP($B797,Data!$B$3:$EZ1530,44,FALSE),VLOOKUP($B797,Data!$B$3:$EZ1530,4,FALSE)),"")</f>
        <v>0.09265895954</v>
      </c>
      <c r="I797" s="48">
        <f>IFERROR(MINUS(DIVIDE(VLOOKUP($B797,Data!$B$3:$EZ1530,9,FALSE),VLOOKUP($B797,Data!$B$3:$EZ1530,10,FALSE)),1),"")</f>
        <v>-0.313055852</v>
      </c>
      <c r="J797" s="48">
        <f>IFERROR(MINUS(DIVIDE(VLOOKUP($B797,Data!$B$3:$EZ1530,24,FALSE),VLOOKUP($B797,Data!$B$3:$EZ1530,25,FALSE)),1),"")</f>
        <v>-0.5317992969</v>
      </c>
      <c r="K797" s="48">
        <f>IFERROR(MINUS(DIVIDE(VLOOKUP($B797,Data!$B$3:$EZ1530,29,FALSE),VLOOKUP($B797,Data!$B$3:$EZ1530,30,FALSE)),1),"")</f>
        <v>-0.58781484</v>
      </c>
      <c r="L797" s="48">
        <f>IFERROR(MINUS(DIVIDE(VLOOKUP($B797,Data!$B$3:$EZ1530,34,FALSE),VLOOKUP($B797,Data!$B$3:$EZ1530,35,FALSE)),1),"")</f>
        <v>-0.4622871046</v>
      </c>
      <c r="M797" s="48">
        <f>IFERROR(MINUS(DIVIDE(VLOOKUP($B797,Data!$B$3:$EZ1530,39,FALSE),VLOOKUP($B797,Data!$B$3:$EZ1530,40,FALSE)),1),"")</f>
        <v>-0.5751219512</v>
      </c>
      <c r="N797" s="48">
        <f>IFERROR(MINUS(DIVIDE(VLOOKUP($B797,Data!$B$3:$EZ1530,44,FALSE),VLOOKUP($B797,Data!$B$3:$EZ1530,45,FALSE)),1),"")</f>
        <v>-0.1491507431</v>
      </c>
      <c r="O797" s="50">
        <f>IFERROR(VLOOKUP($B797,Data!$B$3:$D1530,2,FALSE),"")</f>
        <v>1700000</v>
      </c>
      <c r="P797" s="50">
        <f>IFERROR(VLOOKUP($B797,Data!$B$3:$D1530,3,FALSE),"")</f>
        <v>1590000</v>
      </c>
      <c r="Q797" s="48">
        <f t="shared" si="2"/>
        <v>0.06918238994</v>
      </c>
      <c r="R797" s="48"/>
      <c r="S797" s="48"/>
      <c r="T797" s="48"/>
      <c r="U797" s="48"/>
      <c r="V797" s="48"/>
      <c r="W797" s="50"/>
      <c r="Z797" s="11"/>
      <c r="AA797" s="11"/>
    </row>
    <row r="798">
      <c r="A798" s="9">
        <f t="shared" si="1"/>
        <v>795</v>
      </c>
      <c r="B798" s="47" t="s">
        <v>932</v>
      </c>
      <c r="C798" s="48">
        <f>IFERROR(DIVIDE(VLOOKUP($B798,Data!$B$3:$AB$1535,9,FALSE),VLOOKUP($B798,Data!$B$3:$AB$1535,4,FALSE)),"")</f>
        <v>0</v>
      </c>
      <c r="D798" s="48">
        <f>IFERROR(DIVIDE(VLOOKUP($B798,Data!$B$3:$AB$1535,24,FALSE),VLOOKUP($B798,Data!$B$3:$AB$1535,4,FALSE)),"")</f>
        <v>-1.313</v>
      </c>
      <c r="E798" s="48">
        <f>IFERROR(DIVIDE(VLOOKUP($B798,Data!$B$3:$EZ1530,29,FALSE),VLOOKUP($B798,Data!$B$3:$EZ1530,4,FALSE)),"")</f>
        <v>-1.234</v>
      </c>
      <c r="F798" s="48">
        <f>IFERROR(DIVIDE(VLOOKUP($B798,Data!$B$3:$EZ1530,34,FALSE),VLOOKUP($B798,Data!$B$3:$EZ1530,4,FALSE)),"")</f>
        <v>-1.013</v>
      </c>
      <c r="G798" s="48">
        <f>IFERROR(DIVIDE(VLOOKUP($B798,Data!$B$3:$EZ1530,39,FALSE),VLOOKUP($B798,Data!$B$3:$EZ1530,4,FALSE)),"")</f>
        <v>-1.234</v>
      </c>
      <c r="H798" s="48">
        <f>IFERROR(DIVIDE(VLOOKUP($B798,Data!$B$3:$EZ1530,44,FALSE),VLOOKUP($B798,Data!$B$3:$EZ1530,4,FALSE)),"")</f>
        <v>-1.579</v>
      </c>
      <c r="I798" s="48" t="str">
        <f>IFERROR(MINUS(DIVIDE(VLOOKUP($B798,Data!$B$3:$EZ1530,9,FALSE),VLOOKUP($B798,Data!$B$3:$EZ1530,10,FALSE)),1),"")</f>
        <v/>
      </c>
      <c r="J798" s="48">
        <f>IFERROR(MINUS(DIVIDE(VLOOKUP($B798,Data!$B$3:$EZ1530,24,FALSE),VLOOKUP($B798,Data!$B$3:$EZ1530,25,FALSE)),1),"")</f>
        <v>6.589595376</v>
      </c>
      <c r="K798" s="48">
        <f>IFERROR(MINUS(DIVIDE(VLOOKUP($B798,Data!$B$3:$EZ1530,29,FALSE),VLOOKUP($B798,Data!$B$3:$EZ1530,30,FALSE)),1),"")</f>
        <v>10.42592593</v>
      </c>
      <c r="L798" s="48">
        <f>IFERROR(MINUS(DIVIDE(VLOOKUP($B798,Data!$B$3:$EZ1530,34,FALSE),VLOOKUP($B798,Data!$B$3:$EZ1530,35,FALSE)),1),"")</f>
        <v>6.287769784</v>
      </c>
      <c r="M798" s="48">
        <f>IFERROR(MINUS(DIVIDE(VLOOKUP($B798,Data!$B$3:$EZ1530,39,FALSE),VLOOKUP($B798,Data!$B$3:$EZ1530,40,FALSE)),1),"")</f>
        <v>8.208955224</v>
      </c>
      <c r="N798" s="48">
        <f>IFERROR(MINUS(DIVIDE(VLOOKUP($B798,Data!$B$3:$EZ1530,44,FALSE),VLOOKUP($B798,Data!$B$3:$EZ1530,45,FALSE)),1),"")</f>
        <v>-3.196105702</v>
      </c>
      <c r="O798" s="50" t="str">
        <f>IFERROR(VLOOKUP($B798,Data!$B$3:$D1530,2,FALSE),"")</f>
        <v/>
      </c>
      <c r="P798" s="50" t="str">
        <f>IFERROR(VLOOKUP($B798,Data!$B$3:$D1530,3,FALSE),"")</f>
        <v/>
      </c>
      <c r="Q798" s="48" t="str">
        <f t="shared" si="2"/>
        <v/>
      </c>
      <c r="R798" s="48"/>
      <c r="S798" s="48"/>
      <c r="T798" s="48"/>
      <c r="U798" s="48"/>
      <c r="V798" s="48"/>
      <c r="W798" s="50"/>
      <c r="Z798" s="15"/>
      <c r="AA798" s="15"/>
    </row>
    <row r="799">
      <c r="A799" s="9">
        <f t="shared" si="1"/>
        <v>796</v>
      </c>
      <c r="B799" s="47" t="s">
        <v>933</v>
      </c>
      <c r="C799" s="48" t="str">
        <f>IFERROR(DIVIDE(VLOOKUP($B799,Data!$B$3:$AB$1535,9,FALSE),VLOOKUP($B799,Data!$B$3:$AB$1535,4,FALSE)),"")</f>
        <v/>
      </c>
      <c r="D799" s="48" t="str">
        <f>IFERROR(DIVIDE(VLOOKUP($B799,Data!$B$3:$AB$1535,24,FALSE),VLOOKUP($B799,Data!$B$3:$AB$1535,4,FALSE)),"")</f>
        <v/>
      </c>
      <c r="E799" s="48" t="str">
        <f>IFERROR(DIVIDE(VLOOKUP($B799,Data!$B$3:$EZ1530,29,FALSE),VLOOKUP($B799,Data!$B$3:$EZ1530,4,FALSE)),"")</f>
        <v/>
      </c>
      <c r="F799" s="48" t="str">
        <f>IFERROR(DIVIDE(VLOOKUP($B799,Data!$B$3:$EZ1530,34,FALSE),VLOOKUP($B799,Data!$B$3:$EZ1530,4,FALSE)),"")</f>
        <v/>
      </c>
      <c r="G799" s="48" t="str">
        <f>IFERROR(DIVIDE(VLOOKUP($B799,Data!$B$3:$EZ1530,39,FALSE),VLOOKUP($B799,Data!$B$3:$EZ1530,4,FALSE)),"")</f>
        <v/>
      </c>
      <c r="H799" s="48" t="str">
        <f>IFERROR(DIVIDE(VLOOKUP($B799,Data!$B$3:$EZ1530,44,FALSE),VLOOKUP($B799,Data!$B$3:$EZ1530,4,FALSE)),"")</f>
        <v/>
      </c>
      <c r="I799" s="48">
        <f>IFERROR(MINUS(DIVIDE(VLOOKUP($B799,Data!$B$3:$EZ1530,9,FALSE),VLOOKUP($B799,Data!$B$3:$EZ1530,10,FALSE)),1),"")</f>
        <v>8.666666667</v>
      </c>
      <c r="J799" s="48">
        <f>IFERROR(MINUS(DIVIDE(VLOOKUP($B799,Data!$B$3:$EZ1530,24,FALSE),VLOOKUP($B799,Data!$B$3:$EZ1530,25,FALSE)),1),"")</f>
        <v>2.046153846</v>
      </c>
      <c r="K799" s="48">
        <f>IFERROR(MINUS(DIVIDE(VLOOKUP($B799,Data!$B$3:$EZ1530,29,FALSE),VLOOKUP($B799,Data!$B$3:$EZ1530,30,FALSE)),1),"")</f>
        <v>1.510565391</v>
      </c>
      <c r="L799" s="48">
        <f>IFERROR(MINUS(DIVIDE(VLOOKUP($B799,Data!$B$3:$EZ1530,34,FALSE),VLOOKUP($B799,Data!$B$3:$EZ1530,35,FALSE)),1),"")</f>
        <v>2.127586207</v>
      </c>
      <c r="M799" s="48">
        <f>IFERROR(MINUS(DIVIDE(VLOOKUP($B799,Data!$B$3:$EZ1530,39,FALSE),VLOOKUP($B799,Data!$B$3:$EZ1530,40,FALSE)),1),"")</f>
        <v>1.510565391</v>
      </c>
      <c r="N799" s="48">
        <f>IFERROR(MINUS(DIVIDE(VLOOKUP($B799,Data!$B$3:$EZ1530,44,FALSE),VLOOKUP($B799,Data!$B$3:$EZ1530,45,FALSE)),1),"")</f>
        <v>1.010403121</v>
      </c>
      <c r="O799" s="50" t="str">
        <f>IFERROR(VLOOKUP($B799,Data!$B$3:$D1530,2,FALSE),"")</f>
        <v/>
      </c>
      <c r="P799" s="50" t="str">
        <f>IFERROR(VLOOKUP($B799,Data!$B$3:$D1530,3,FALSE),"")</f>
        <v/>
      </c>
      <c r="Q799" s="48" t="str">
        <f t="shared" si="2"/>
        <v/>
      </c>
      <c r="R799" s="48"/>
      <c r="S799" s="48"/>
      <c r="T799" s="48"/>
      <c r="U799" s="48"/>
      <c r="V799" s="48"/>
      <c r="W799" s="50"/>
      <c r="Z799" s="15"/>
      <c r="AA799" s="15"/>
    </row>
    <row r="800">
      <c r="A800" s="9">
        <f t="shared" si="1"/>
        <v>797</v>
      </c>
      <c r="B800" s="47" t="s">
        <v>934</v>
      </c>
      <c r="C800" s="48" t="str">
        <f>IFERROR(DIVIDE(VLOOKUP($B800,Data!$B$3:$AB$1535,9,FALSE),VLOOKUP($B800,Data!$B$3:$AB$1535,4,FALSE)),"")</f>
        <v/>
      </c>
      <c r="D800" s="48" t="str">
        <f>IFERROR(DIVIDE(VLOOKUP($B800,Data!$B$3:$AB$1535,24,FALSE),VLOOKUP($B800,Data!$B$3:$AB$1535,4,FALSE)),"")</f>
        <v/>
      </c>
      <c r="E800" s="48" t="str">
        <f>IFERROR(DIVIDE(VLOOKUP($B800,Data!$B$3:$EZ1530,29,FALSE),VLOOKUP($B800,Data!$B$3:$EZ1530,4,FALSE)),"")</f>
        <v/>
      </c>
      <c r="F800" s="48" t="str">
        <f>IFERROR(DIVIDE(VLOOKUP($B800,Data!$B$3:$EZ1530,34,FALSE),VLOOKUP($B800,Data!$B$3:$EZ1530,4,FALSE)),"")</f>
        <v/>
      </c>
      <c r="G800" s="48" t="str">
        <f>IFERROR(DIVIDE(VLOOKUP($B800,Data!$B$3:$EZ1530,39,FALSE),VLOOKUP($B800,Data!$B$3:$EZ1530,4,FALSE)),"")</f>
        <v/>
      </c>
      <c r="H800" s="48" t="str">
        <f>IFERROR(DIVIDE(VLOOKUP($B800,Data!$B$3:$EZ1530,44,FALSE),VLOOKUP($B800,Data!$B$3:$EZ1530,4,FALSE)),"")</f>
        <v/>
      </c>
      <c r="I800" s="48">
        <f>IFERROR(MINUS(DIVIDE(VLOOKUP($B800,Data!$B$3:$EZ1530,9,FALSE),VLOOKUP($B800,Data!$B$3:$EZ1530,10,FALSE)),1),"")</f>
        <v>5.907801418</v>
      </c>
      <c r="J800" s="48" t="str">
        <f>IFERROR(MINUS(DIVIDE(VLOOKUP($B800,Data!$B$3:$EZ1530,24,FALSE),VLOOKUP($B800,Data!$B$3:$EZ1530,25,FALSE)),1),"")</f>
        <v/>
      </c>
      <c r="K800" s="48">
        <f>IFERROR(MINUS(DIVIDE(VLOOKUP($B800,Data!$B$3:$EZ1530,29,FALSE),VLOOKUP($B800,Data!$B$3:$EZ1530,30,FALSE)),1),"")</f>
        <v>0.7529843893</v>
      </c>
      <c r="L800" s="48">
        <f>IFERROR(MINUS(DIVIDE(VLOOKUP($B800,Data!$B$3:$EZ1530,34,FALSE),VLOOKUP($B800,Data!$B$3:$EZ1530,35,FALSE)),1),"")</f>
        <v>0.7920203735</v>
      </c>
      <c r="M800" s="48">
        <f>IFERROR(MINUS(DIVIDE(VLOOKUP($B800,Data!$B$3:$EZ1530,39,FALSE),VLOOKUP($B800,Data!$B$3:$EZ1530,40,FALSE)),1),"")</f>
        <v>0.7529843893</v>
      </c>
      <c r="N800" s="48">
        <f>IFERROR(MINUS(DIVIDE(VLOOKUP($B800,Data!$B$3:$EZ1530,44,FALSE),VLOOKUP($B800,Data!$B$3:$EZ1530,45,FALSE)),1),"")</f>
        <v>0.9798941799</v>
      </c>
      <c r="O800" s="50">
        <f>IFERROR(VLOOKUP($B800,Data!$B$3:$D1530,2,FALSE),"")</f>
        <v>91930</v>
      </c>
      <c r="P800" s="50" t="str">
        <f>IFERROR(VLOOKUP($B800,Data!$B$3:$D1530,3,FALSE),"")</f>
        <v/>
      </c>
      <c r="Q800" s="48" t="str">
        <f t="shared" si="2"/>
        <v/>
      </c>
      <c r="R800" s="48"/>
      <c r="S800" s="48"/>
      <c r="T800" s="48"/>
      <c r="U800" s="48"/>
      <c r="V800" s="48"/>
      <c r="W800" s="50"/>
      <c r="Z800" s="12"/>
      <c r="AA800" s="12"/>
    </row>
    <row r="801">
      <c r="A801" s="9">
        <f t="shared" si="1"/>
        <v>798</v>
      </c>
      <c r="B801" s="47" t="s">
        <v>935</v>
      </c>
      <c r="C801" s="48">
        <f>IFERROR(DIVIDE(VLOOKUP($B801,Data!$B$3:$AB$1535,9,FALSE),VLOOKUP($B801,Data!$B$3:$AB$1535,4,FALSE)),"")</f>
        <v>0.3465197797</v>
      </c>
      <c r="D801" s="48">
        <f>IFERROR(DIVIDE(VLOOKUP($B801,Data!$B$3:$AB$1535,24,FALSE),VLOOKUP($B801,Data!$B$3:$AB$1535,4,FALSE)),"")</f>
        <v>0.05558337506</v>
      </c>
      <c r="E801" s="48">
        <f>IFERROR(DIVIDE(VLOOKUP($B801,Data!$B$3:$EZ1530,29,FALSE),VLOOKUP($B801,Data!$B$3:$EZ1530,4,FALSE)),"")</f>
        <v>0.04511767651</v>
      </c>
      <c r="F801" s="48">
        <f>IFERROR(DIVIDE(VLOOKUP($B801,Data!$B$3:$EZ1530,34,FALSE),VLOOKUP($B801,Data!$B$3:$EZ1530,4,FALSE)),"")</f>
        <v>0.1141712569</v>
      </c>
      <c r="G801" s="48">
        <f>IFERROR(DIVIDE(VLOOKUP($B801,Data!$B$3:$EZ1530,39,FALSE),VLOOKUP($B801,Data!$B$3:$EZ1530,4,FALSE)),"")</f>
        <v>0.03460190285</v>
      </c>
      <c r="H801" s="48">
        <f>IFERROR(DIVIDE(VLOOKUP($B801,Data!$B$3:$EZ1530,44,FALSE),VLOOKUP($B801,Data!$B$3:$EZ1530,4,FALSE)),"")</f>
        <v>0.09063595393</v>
      </c>
      <c r="I801" s="48">
        <f>IFERROR(MINUS(DIVIDE(VLOOKUP($B801,Data!$B$3:$EZ1530,9,FALSE),VLOOKUP($B801,Data!$B$3:$EZ1530,10,FALSE)),1),"")</f>
        <v>-0.02121640736</v>
      </c>
      <c r="J801" s="48">
        <f>IFERROR(MINUS(DIVIDE(VLOOKUP($B801,Data!$B$3:$EZ1530,24,FALSE),VLOOKUP($B801,Data!$B$3:$EZ1530,25,FALSE)),1),"")</f>
        <v>-0.1461538462</v>
      </c>
      <c r="K801" s="48">
        <f>IFERROR(MINUS(DIVIDE(VLOOKUP($B801,Data!$B$3:$EZ1530,29,FALSE),VLOOKUP($B801,Data!$B$3:$EZ1530,30,FALSE)),1),"")</f>
        <v>-0.1336538462</v>
      </c>
      <c r="L801" s="48">
        <f>IFERROR(MINUS(DIVIDE(VLOOKUP($B801,Data!$B$3:$EZ1530,34,FALSE),VLOOKUP($B801,Data!$B$3:$EZ1530,35,FALSE)),1),"")</f>
        <v>-0.06172839506</v>
      </c>
      <c r="M801" s="48">
        <f>IFERROR(MINUS(DIVIDE(VLOOKUP($B801,Data!$B$3:$EZ1530,39,FALSE),VLOOKUP($B801,Data!$B$3:$EZ1530,40,FALSE)),1),"")</f>
        <v>-0.1373283396</v>
      </c>
      <c r="N801" s="48">
        <f>IFERROR(MINUS(DIVIDE(VLOOKUP($B801,Data!$B$3:$EZ1530,44,FALSE),VLOOKUP($B801,Data!$B$3:$EZ1530,45,FALSE)),1),"")</f>
        <v>-0.1421800948</v>
      </c>
      <c r="O801" s="50">
        <f>IFERROR(VLOOKUP($B801,Data!$B$3:$D1530,2,FALSE),"")</f>
        <v>17500000</v>
      </c>
      <c r="P801" s="50">
        <f>IFERROR(VLOOKUP($B801,Data!$B$3:$D1530,3,FALSE),"")</f>
        <v>15370000</v>
      </c>
      <c r="Q801" s="48">
        <f t="shared" si="2"/>
        <v>0.1385816526</v>
      </c>
      <c r="R801" s="48"/>
      <c r="S801" s="48"/>
      <c r="T801" s="48"/>
      <c r="U801" s="48"/>
      <c r="V801" s="48"/>
      <c r="W801" s="50"/>
      <c r="Z801" s="12"/>
      <c r="AA801" s="12"/>
    </row>
    <row r="802">
      <c r="A802" s="9">
        <f t="shared" si="1"/>
        <v>799</v>
      </c>
      <c r="B802" s="47" t="s">
        <v>936</v>
      </c>
      <c r="C802" s="48">
        <f>IFERROR(DIVIDE(VLOOKUP($B802,Data!$B$3:$AB$1535,9,FALSE),VLOOKUP($B802,Data!$B$3:$AB$1535,4,FALSE)),"")</f>
        <v>0.3693379791</v>
      </c>
      <c r="D802" s="48">
        <f>IFERROR(DIVIDE(VLOOKUP($B802,Data!$B$3:$AB$1535,24,FALSE),VLOOKUP($B802,Data!$B$3:$AB$1535,4,FALSE)),"")</f>
        <v>0.3133449477</v>
      </c>
      <c r="E802" s="48">
        <f>IFERROR(DIVIDE(VLOOKUP($B802,Data!$B$3:$EZ1530,29,FALSE),VLOOKUP($B802,Data!$B$3:$EZ1530,4,FALSE)),"")</f>
        <v>0.2747038328</v>
      </c>
      <c r="F802" s="48">
        <f>IFERROR(DIVIDE(VLOOKUP($B802,Data!$B$3:$EZ1530,34,FALSE),VLOOKUP($B802,Data!$B$3:$EZ1530,4,FALSE)),"")</f>
        <v>0.4912891986</v>
      </c>
      <c r="G802" s="48">
        <f>IFERROR(DIVIDE(VLOOKUP($B802,Data!$B$3:$EZ1530,39,FALSE),VLOOKUP($B802,Data!$B$3:$EZ1530,4,FALSE)),"")</f>
        <v>0.1877700348</v>
      </c>
      <c r="H802" s="48">
        <f>IFERROR(DIVIDE(VLOOKUP($B802,Data!$B$3:$EZ1530,44,FALSE),VLOOKUP($B802,Data!$B$3:$EZ1530,4,FALSE)),"")</f>
        <v>0.3832752613</v>
      </c>
      <c r="I802" s="48">
        <f>IFERROR(MINUS(DIVIDE(VLOOKUP($B802,Data!$B$3:$EZ1530,9,FALSE),VLOOKUP($B802,Data!$B$3:$EZ1530,10,FALSE)),1),"")</f>
        <v>0.0945890128</v>
      </c>
      <c r="J802" s="48">
        <f>IFERROR(MINUS(DIVIDE(VLOOKUP($B802,Data!$B$3:$EZ1530,24,FALSE),VLOOKUP($B802,Data!$B$3:$EZ1530,25,FALSE)),1),"")</f>
        <v>-0.09198303716</v>
      </c>
      <c r="K802" s="48">
        <f>IFERROR(MINUS(DIVIDE(VLOOKUP($B802,Data!$B$3:$EZ1530,29,FALSE),VLOOKUP($B802,Data!$B$3:$EZ1530,30,FALSE)),1),"")</f>
        <v>-0.111060999</v>
      </c>
      <c r="L802" s="48">
        <f>IFERROR(MINUS(DIVIDE(VLOOKUP($B802,Data!$B$3:$EZ1530,34,FALSE),VLOOKUP($B802,Data!$B$3:$EZ1530,35,FALSE)),1),"")</f>
        <v>0.06818181818</v>
      </c>
      <c r="M802" s="48">
        <f>IFERROR(MINUS(DIVIDE(VLOOKUP($B802,Data!$B$3:$EZ1530,39,FALSE),VLOOKUP($B802,Data!$B$3:$EZ1530,40,FALSE)),1),"")</f>
        <v>-0.141058336</v>
      </c>
      <c r="N802" s="48">
        <f>IFERROR(MINUS(DIVIDE(VLOOKUP($B802,Data!$B$3:$EZ1530,44,FALSE),VLOOKUP($B802,Data!$B$3:$EZ1530,45,FALSE)),1),"")</f>
        <v>0.1631595643</v>
      </c>
      <c r="O802" s="50">
        <f>IFERROR(VLOOKUP($B802,Data!$B$3:$D1530,2,FALSE),"")</f>
        <v>2890000</v>
      </c>
      <c r="P802" s="50">
        <f>IFERROR(VLOOKUP($B802,Data!$B$3:$D1530,3,FALSE),"")</f>
        <v>2640000</v>
      </c>
      <c r="Q802" s="48">
        <f t="shared" si="2"/>
        <v>0.0946969697</v>
      </c>
      <c r="R802" s="48"/>
      <c r="S802" s="48"/>
      <c r="T802" s="48"/>
      <c r="U802" s="48"/>
      <c r="V802" s="48"/>
      <c r="W802" s="50"/>
      <c r="Z802" s="11"/>
      <c r="AA802" s="12"/>
    </row>
    <row r="803">
      <c r="A803" s="9">
        <f t="shared" si="1"/>
        <v>800</v>
      </c>
      <c r="B803" s="47" t="s">
        <v>937</v>
      </c>
      <c r="C803" s="48" t="str">
        <f>IFERROR(DIVIDE(VLOOKUP($B803,Data!$B$3:$AB$1535,9,FALSE),VLOOKUP($B803,Data!$B$3:$AB$1535,4,FALSE)),"")</f>
        <v/>
      </c>
      <c r="D803" s="48" t="str">
        <f>IFERROR(DIVIDE(VLOOKUP($B803,Data!$B$3:$AB$1535,24,FALSE),VLOOKUP($B803,Data!$B$3:$AB$1535,4,FALSE)),"")</f>
        <v/>
      </c>
      <c r="E803" s="48" t="str">
        <f>IFERROR(DIVIDE(VLOOKUP($B803,Data!$B$3:$EZ1530,29,FALSE),VLOOKUP($B803,Data!$B$3:$EZ1530,4,FALSE)),"")</f>
        <v/>
      </c>
      <c r="F803" s="48" t="str">
        <f>IFERROR(DIVIDE(VLOOKUP($B803,Data!$B$3:$EZ1530,34,FALSE),VLOOKUP($B803,Data!$B$3:$EZ1530,4,FALSE)),"")</f>
        <v/>
      </c>
      <c r="G803" s="48" t="str">
        <f>IFERROR(DIVIDE(VLOOKUP($B803,Data!$B$3:$EZ1530,39,FALSE),VLOOKUP($B803,Data!$B$3:$EZ1530,4,FALSE)),"")</f>
        <v/>
      </c>
      <c r="H803" s="48" t="str">
        <f>IFERROR(DIVIDE(VLOOKUP($B803,Data!$B$3:$EZ1530,44,FALSE),VLOOKUP($B803,Data!$B$3:$EZ1530,4,FALSE)),"")</f>
        <v/>
      </c>
      <c r="I803" s="48" t="str">
        <f>IFERROR(MINUS(DIVIDE(VLOOKUP($B803,Data!$B$3:$EZ1530,9,FALSE),VLOOKUP($B803,Data!$B$3:$EZ1530,10,FALSE)),1),"")</f>
        <v/>
      </c>
      <c r="J803" s="48" t="str">
        <f>IFERROR(MINUS(DIVIDE(VLOOKUP($B803,Data!$B$3:$EZ1530,24,FALSE),VLOOKUP($B803,Data!$B$3:$EZ1530,25,FALSE)),1),"")</f>
        <v/>
      </c>
      <c r="K803" s="48" t="str">
        <f>IFERROR(MINUS(DIVIDE(VLOOKUP($B803,Data!$B$3:$EZ1530,29,FALSE),VLOOKUP($B803,Data!$B$3:$EZ1530,30,FALSE)),1),"")</f>
        <v/>
      </c>
      <c r="L803" s="48" t="str">
        <f>IFERROR(MINUS(DIVIDE(VLOOKUP($B803,Data!$B$3:$EZ1530,34,FALSE),VLOOKUP($B803,Data!$B$3:$EZ1530,35,FALSE)),1),"")</f>
        <v/>
      </c>
      <c r="M803" s="48" t="str">
        <f>IFERROR(MINUS(DIVIDE(VLOOKUP($B803,Data!$B$3:$EZ1530,39,FALSE),VLOOKUP($B803,Data!$B$3:$EZ1530,40,FALSE)),1),"")</f>
        <v/>
      </c>
      <c r="N803" s="48" t="str">
        <f>IFERROR(MINUS(DIVIDE(VLOOKUP($B803,Data!$B$3:$EZ1530,44,FALSE),VLOOKUP($B803,Data!$B$3:$EZ1530,45,FALSE)),1),"")</f>
        <v/>
      </c>
      <c r="O803" s="50">
        <f>IFERROR(VLOOKUP($B803,Data!$B$3:$D1530,2,FALSE),"")</f>
        <v>843060</v>
      </c>
      <c r="P803" s="50">
        <f>IFERROR(VLOOKUP($B803,Data!$B$3:$D1530,3,FALSE),"")</f>
        <v>746840</v>
      </c>
      <c r="Q803" s="48">
        <f t="shared" si="2"/>
        <v>0.128836163</v>
      </c>
      <c r="R803" s="48"/>
      <c r="S803" s="48"/>
      <c r="T803" s="48"/>
      <c r="U803" s="48"/>
      <c r="V803" s="48"/>
      <c r="W803" s="50"/>
      <c r="Z803" s="11"/>
      <c r="AA803" s="11"/>
    </row>
    <row r="804">
      <c r="A804" s="9">
        <f t="shared" si="1"/>
        <v>801</v>
      </c>
      <c r="B804" s="47" t="s">
        <v>938</v>
      </c>
      <c r="C804" s="48">
        <f>IFERROR(DIVIDE(VLOOKUP($B804,Data!$B$3:$AB$1535,9,FALSE),VLOOKUP($B804,Data!$B$3:$AB$1535,4,FALSE)),"")</f>
        <v>0</v>
      </c>
      <c r="D804" s="48">
        <f>IFERROR(DIVIDE(VLOOKUP($B804,Data!$B$3:$AB$1535,24,FALSE),VLOOKUP($B804,Data!$B$3:$AB$1535,4,FALSE)),"")</f>
        <v>-5.651685393</v>
      </c>
      <c r="E804" s="48">
        <f>IFERROR(DIVIDE(VLOOKUP($B804,Data!$B$3:$EZ1530,29,FALSE),VLOOKUP($B804,Data!$B$3:$EZ1530,4,FALSE)),"")</f>
        <v>-5.68258427</v>
      </c>
      <c r="F804" s="48">
        <f>IFERROR(DIVIDE(VLOOKUP($B804,Data!$B$3:$EZ1530,34,FALSE),VLOOKUP($B804,Data!$B$3:$EZ1530,4,FALSE)),"")</f>
        <v>-7.224719101</v>
      </c>
      <c r="G804" s="48">
        <f>IFERROR(DIVIDE(VLOOKUP($B804,Data!$B$3:$EZ1530,39,FALSE),VLOOKUP($B804,Data!$B$3:$EZ1530,4,FALSE)),"")</f>
        <v>-5.853932584</v>
      </c>
      <c r="H804" s="48">
        <f>IFERROR(DIVIDE(VLOOKUP($B804,Data!$B$3:$EZ1530,44,FALSE),VLOOKUP($B804,Data!$B$3:$EZ1530,4,FALSE)),"")</f>
        <v>-5.463483146</v>
      </c>
      <c r="I804" s="48" t="str">
        <f>IFERROR(MINUS(DIVIDE(VLOOKUP($B804,Data!$B$3:$EZ1530,9,FALSE),VLOOKUP($B804,Data!$B$3:$EZ1530,10,FALSE)),1),"")</f>
        <v/>
      </c>
      <c r="J804" s="48">
        <f>IFERROR(MINUS(DIVIDE(VLOOKUP($B804,Data!$B$3:$EZ1530,24,FALSE),VLOOKUP($B804,Data!$B$3:$EZ1530,25,FALSE)),1),"")</f>
        <v>-0.06418604651</v>
      </c>
      <c r="K804" s="48">
        <f>IFERROR(MINUS(DIVIDE(VLOOKUP($B804,Data!$B$3:$EZ1530,29,FALSE),VLOOKUP($B804,Data!$B$3:$EZ1530,30,FALSE)),1),"")</f>
        <v>0.01048951049</v>
      </c>
      <c r="L804" s="48">
        <f>IFERROR(MINUS(DIVIDE(VLOOKUP($B804,Data!$B$3:$EZ1530,34,FALSE),VLOOKUP($B804,Data!$B$3:$EZ1530,35,FALSE)),1),"")</f>
        <v>-0.2435294118</v>
      </c>
      <c r="M804" s="48">
        <f>IFERROR(MINUS(DIVIDE(VLOOKUP($B804,Data!$B$3:$EZ1530,39,FALSE),VLOOKUP($B804,Data!$B$3:$EZ1530,40,FALSE)),1),"")</f>
        <v>0.1144385027</v>
      </c>
      <c r="N804" s="48">
        <f>IFERROR(MINUS(DIVIDE(VLOOKUP($B804,Data!$B$3:$EZ1530,44,FALSE),VLOOKUP($B804,Data!$B$3:$EZ1530,45,FALSE)),1),"")</f>
        <v>-0.3676853056</v>
      </c>
      <c r="O804" s="50" t="str">
        <f>IFERROR(VLOOKUP($B804,Data!$B$3:$D1530,2,FALSE),"")</f>
        <v/>
      </c>
      <c r="P804" s="50" t="str">
        <f>IFERROR(VLOOKUP($B804,Data!$B$3:$D1530,3,FALSE),"")</f>
        <v/>
      </c>
      <c r="Q804" s="48" t="str">
        <f t="shared" si="2"/>
        <v/>
      </c>
      <c r="R804" s="48"/>
      <c r="S804" s="48"/>
      <c r="T804" s="48"/>
      <c r="U804" s="48"/>
      <c r="V804" s="48"/>
      <c r="W804" s="50"/>
      <c r="Z804" s="11"/>
      <c r="AA804" s="11"/>
    </row>
    <row r="805">
      <c r="A805" s="9">
        <f t="shared" si="1"/>
        <v>802</v>
      </c>
      <c r="B805" s="47" t="s">
        <v>939</v>
      </c>
      <c r="C805" s="48" t="str">
        <f>IFERROR(DIVIDE(VLOOKUP($B805,Data!$B$3:$AB$1535,9,FALSE),VLOOKUP($B805,Data!$B$3:$AB$1535,4,FALSE)),"")</f>
        <v/>
      </c>
      <c r="D805" s="48" t="str">
        <f>IFERROR(DIVIDE(VLOOKUP($B805,Data!$B$3:$AB$1535,24,FALSE),VLOOKUP($B805,Data!$B$3:$AB$1535,4,FALSE)),"")</f>
        <v/>
      </c>
      <c r="E805" s="48" t="str">
        <f>IFERROR(DIVIDE(VLOOKUP($B805,Data!$B$3:$EZ1530,29,FALSE),VLOOKUP($B805,Data!$B$3:$EZ1530,4,FALSE)),"")</f>
        <v/>
      </c>
      <c r="F805" s="48" t="str">
        <f>IFERROR(DIVIDE(VLOOKUP($B805,Data!$B$3:$EZ1530,34,FALSE),VLOOKUP($B805,Data!$B$3:$EZ1530,4,FALSE)),"")</f>
        <v/>
      </c>
      <c r="G805" s="48" t="str">
        <f>IFERROR(DIVIDE(VLOOKUP($B805,Data!$B$3:$EZ1530,39,FALSE),VLOOKUP($B805,Data!$B$3:$EZ1530,4,FALSE)),"")</f>
        <v/>
      </c>
      <c r="H805" s="48" t="str">
        <f>IFERROR(DIVIDE(VLOOKUP($B805,Data!$B$3:$EZ1530,44,FALSE),VLOOKUP($B805,Data!$B$3:$EZ1530,4,FALSE)),"")</f>
        <v/>
      </c>
      <c r="I805" s="48">
        <f>IFERROR(MINUS(DIVIDE(VLOOKUP($B805,Data!$B$3:$EZ1530,9,FALSE),VLOOKUP($B805,Data!$B$3:$EZ1530,10,FALSE)),1),"")</f>
        <v>-1</v>
      </c>
      <c r="J805" s="48">
        <f>IFERROR(MINUS(DIVIDE(VLOOKUP($B805,Data!$B$3:$EZ1530,24,FALSE),VLOOKUP($B805,Data!$B$3:$EZ1530,25,FALSE)),1),"")</f>
        <v>-1</v>
      </c>
      <c r="K805" s="48">
        <f>IFERROR(MINUS(DIVIDE(VLOOKUP($B805,Data!$B$3:$EZ1530,29,FALSE),VLOOKUP($B805,Data!$B$3:$EZ1530,30,FALSE)),1),"")</f>
        <v>0.04449958644</v>
      </c>
      <c r="L805" s="48">
        <f>IFERROR(MINUS(DIVIDE(VLOOKUP($B805,Data!$B$3:$EZ1530,34,FALSE),VLOOKUP($B805,Data!$B$3:$EZ1530,35,FALSE)),1),"")</f>
        <v>0.07332591061</v>
      </c>
      <c r="M805" s="48">
        <f>IFERROR(MINUS(DIVIDE(VLOOKUP($B805,Data!$B$3:$EZ1530,39,FALSE),VLOOKUP($B805,Data!$B$3:$EZ1530,40,FALSE)),1),"")</f>
        <v>0.04449958644</v>
      </c>
      <c r="N805" s="48">
        <f>IFERROR(MINUS(DIVIDE(VLOOKUP($B805,Data!$B$3:$EZ1530,44,FALSE),VLOOKUP($B805,Data!$B$3:$EZ1530,45,FALSE)),1),"")</f>
        <v>0.1253596383</v>
      </c>
      <c r="O805" s="50">
        <f>IFERROR(VLOOKUP($B805,Data!$B$3:$D1530,2,FALSE),"")</f>
        <v>5550</v>
      </c>
      <c r="P805" s="50" t="str">
        <f>IFERROR(VLOOKUP($B805,Data!$B$3:$D1530,3,FALSE),"")</f>
        <v/>
      </c>
      <c r="Q805" s="48" t="str">
        <f t="shared" si="2"/>
        <v/>
      </c>
      <c r="R805" s="48"/>
      <c r="S805" s="48"/>
      <c r="T805" s="48"/>
      <c r="U805" s="48"/>
      <c r="V805" s="48"/>
      <c r="W805" s="50"/>
      <c r="Z805" s="15"/>
      <c r="AA805" s="15"/>
    </row>
    <row r="806">
      <c r="A806" s="9">
        <f t="shared" si="1"/>
        <v>803</v>
      </c>
      <c r="B806" s="47" t="s">
        <v>940</v>
      </c>
      <c r="C806" s="48">
        <f>IFERROR(DIVIDE(VLOOKUP($B806,Data!$B$3:$AB$1535,9,FALSE),VLOOKUP($B806,Data!$B$3:$AB$1535,4,FALSE)),"")</f>
        <v>0.3470088496</v>
      </c>
      <c r="D806" s="48">
        <f>IFERROR(DIVIDE(VLOOKUP($B806,Data!$B$3:$AB$1535,24,FALSE),VLOOKUP($B806,Data!$B$3:$AB$1535,4,FALSE)),"")</f>
        <v>0.04082300885</v>
      </c>
      <c r="E806" s="48">
        <f>IFERROR(DIVIDE(VLOOKUP($B806,Data!$B$3:$EZ1530,29,FALSE),VLOOKUP($B806,Data!$B$3:$EZ1530,4,FALSE)),"")</f>
        <v>0.02557522124</v>
      </c>
      <c r="F806" s="48">
        <f>IFERROR(DIVIDE(VLOOKUP($B806,Data!$B$3:$EZ1530,34,FALSE),VLOOKUP($B806,Data!$B$3:$EZ1530,4,FALSE)),"")</f>
        <v>0.1355575221</v>
      </c>
      <c r="G806" s="48">
        <f>IFERROR(DIVIDE(VLOOKUP($B806,Data!$B$3:$EZ1530,39,FALSE),VLOOKUP($B806,Data!$B$3:$EZ1530,4,FALSE)),"")</f>
        <v>0.02790265487</v>
      </c>
      <c r="H806" s="48">
        <f>IFERROR(DIVIDE(VLOOKUP($B806,Data!$B$3:$EZ1530,44,FALSE),VLOOKUP($B806,Data!$B$3:$EZ1530,4,FALSE)),"")</f>
        <v>0.07309734513</v>
      </c>
      <c r="I806" s="48">
        <f>IFERROR(MINUS(DIVIDE(VLOOKUP($B806,Data!$B$3:$EZ1530,9,FALSE),VLOOKUP($B806,Data!$B$3:$EZ1530,10,FALSE)),1),"")</f>
        <v>0.2555473728</v>
      </c>
      <c r="J806" s="48">
        <f>IFERROR(MINUS(DIVIDE(VLOOKUP($B806,Data!$B$3:$EZ1530,24,FALSE),VLOOKUP($B806,Data!$B$3:$EZ1530,25,FALSE)),1),"")</f>
        <v>-0.4744816587</v>
      </c>
      <c r="K806" s="48">
        <f>IFERROR(MINUS(DIVIDE(VLOOKUP($B806,Data!$B$3:$EZ1530,29,FALSE),VLOOKUP($B806,Data!$B$3:$EZ1530,30,FALSE)),1),"")</f>
        <v>-0.6522262335</v>
      </c>
      <c r="L806" s="48">
        <f>IFERROR(MINUS(DIVIDE(VLOOKUP($B806,Data!$B$3:$EZ1530,34,FALSE),VLOOKUP($B806,Data!$B$3:$EZ1530,35,FALSE)),1),"")</f>
        <v>0.2337306701</v>
      </c>
      <c r="M806" s="48">
        <f>IFERROR(MINUS(DIVIDE(VLOOKUP($B806,Data!$B$3:$EZ1530,39,FALSE),VLOOKUP($B806,Data!$B$3:$EZ1530,40,FALSE)),1),"")</f>
        <v>-0.4675785208</v>
      </c>
      <c r="N806" s="48">
        <f>IFERROR(MINUS(DIVIDE(VLOOKUP($B806,Data!$B$3:$EZ1530,44,FALSE),VLOOKUP($B806,Data!$B$3:$EZ1530,45,FALSE)),1),"")</f>
        <v>0.04636432734</v>
      </c>
      <c r="O806" s="50">
        <f>IFERROR(VLOOKUP($B806,Data!$B$3:$D1530,2,FALSE),"")</f>
        <v>1470000</v>
      </c>
      <c r="P806" s="50">
        <f>IFERROR(VLOOKUP($B806,Data!$B$3:$D1530,3,FALSE),"")</f>
        <v>1380000</v>
      </c>
      <c r="Q806" s="48">
        <f t="shared" si="2"/>
        <v>0.0652173913</v>
      </c>
      <c r="R806" s="48"/>
      <c r="S806" s="48"/>
      <c r="T806" s="48"/>
      <c r="U806" s="48"/>
      <c r="V806" s="48"/>
      <c r="W806" s="50"/>
      <c r="Z806" s="12"/>
      <c r="AA806" s="12"/>
    </row>
    <row r="807">
      <c r="A807" s="9">
        <f t="shared" si="1"/>
        <v>804</v>
      </c>
      <c r="B807" s="47" t="s">
        <v>941</v>
      </c>
      <c r="C807" s="48">
        <f>IFERROR(DIVIDE(VLOOKUP($B807,Data!$B$3:$AB$1535,9,FALSE),VLOOKUP($B807,Data!$B$3:$AB$1535,4,FALSE)),"")</f>
        <v>0.8180632067</v>
      </c>
      <c r="D807" s="48">
        <f>IFERROR(DIVIDE(VLOOKUP($B807,Data!$B$3:$AB$1535,24,FALSE),VLOOKUP($B807,Data!$B$3:$AB$1535,4,FALSE)),"")</f>
        <v>0</v>
      </c>
      <c r="E807" s="48">
        <f>IFERROR(DIVIDE(VLOOKUP($B807,Data!$B$3:$EZ1530,29,FALSE),VLOOKUP($B807,Data!$B$3:$EZ1530,4,FALSE)),"")</f>
        <v>0.5078464772</v>
      </c>
      <c r="F807" s="48">
        <f>IFERROR(DIVIDE(VLOOKUP($B807,Data!$B$3:$EZ1530,34,FALSE),VLOOKUP($B807,Data!$B$3:$EZ1530,4,FALSE)),"")</f>
        <v>0.5175956799</v>
      </c>
      <c r="G807" s="48">
        <f>IFERROR(DIVIDE(VLOOKUP($B807,Data!$B$3:$EZ1530,39,FALSE),VLOOKUP($B807,Data!$B$3:$EZ1530,4,FALSE)),"")</f>
        <v>0.3590171064</v>
      </c>
      <c r="H807" s="48">
        <f>IFERROR(DIVIDE(VLOOKUP($B807,Data!$B$3:$EZ1530,44,FALSE),VLOOKUP($B807,Data!$B$3:$EZ1530,4,FALSE)),"")</f>
        <v>0.3686394607</v>
      </c>
      <c r="I807" s="48">
        <f>IFERROR(MINUS(DIVIDE(VLOOKUP($B807,Data!$B$3:$EZ1530,9,FALSE),VLOOKUP($B807,Data!$B$3:$EZ1530,10,FALSE)),1),"")</f>
        <v>-0.06625023269</v>
      </c>
      <c r="J807" s="48" t="str">
        <f>IFERROR(MINUS(DIVIDE(VLOOKUP($B807,Data!$B$3:$EZ1530,24,FALSE),VLOOKUP($B807,Data!$B$3:$EZ1530,25,FALSE)),1),"")</f>
        <v/>
      </c>
      <c r="K807" s="48">
        <f>IFERROR(MINUS(DIVIDE(VLOOKUP($B807,Data!$B$3:$EZ1530,29,FALSE),VLOOKUP($B807,Data!$B$3:$EZ1530,30,FALSE)),1),"")</f>
        <v>-0.123835428</v>
      </c>
      <c r="L807" s="48">
        <f>IFERROR(MINUS(DIVIDE(VLOOKUP($B807,Data!$B$3:$EZ1530,34,FALSE),VLOOKUP($B807,Data!$B$3:$EZ1530,35,FALSE)),1),"")</f>
        <v>-0.1188610563</v>
      </c>
      <c r="M807" s="48">
        <f>IFERROR(MINUS(DIVIDE(VLOOKUP($B807,Data!$B$3:$EZ1530,39,FALSE),VLOOKUP($B807,Data!$B$3:$EZ1530,40,FALSE)),1),"")</f>
        <v>-0.1239442848</v>
      </c>
      <c r="N807" s="48">
        <f>IFERROR(MINUS(DIVIDE(VLOOKUP($B807,Data!$B$3:$EZ1530,44,FALSE),VLOOKUP($B807,Data!$B$3:$EZ1530,45,FALSE)),1),"")</f>
        <v>-0.02841723183</v>
      </c>
      <c r="O807" s="50" t="str">
        <f>IFERROR(VLOOKUP($B807,Data!$B$3:$D1530,2,FALSE),"")</f>
        <v/>
      </c>
      <c r="P807" s="50" t="str">
        <f>IFERROR(VLOOKUP($B807,Data!$B$3:$D1530,3,FALSE),"")</f>
        <v/>
      </c>
      <c r="Q807" s="48" t="str">
        <f t="shared" si="2"/>
        <v/>
      </c>
      <c r="R807" s="48"/>
      <c r="S807" s="48"/>
      <c r="T807" s="48"/>
      <c r="U807" s="48"/>
      <c r="V807" s="48"/>
      <c r="W807" s="50"/>
      <c r="Z807" s="11"/>
      <c r="AA807" s="12"/>
    </row>
    <row r="808">
      <c r="A808" s="9">
        <f t="shared" si="1"/>
        <v>805</v>
      </c>
      <c r="B808" s="47" t="s">
        <v>942</v>
      </c>
      <c r="C808" s="48" t="str">
        <f>IFERROR(DIVIDE(VLOOKUP($B808,Data!$B$3:$AB$1535,9,FALSE),VLOOKUP($B808,Data!$B$3:$AB$1535,4,FALSE)),"")</f>
        <v/>
      </c>
      <c r="D808" s="48" t="str">
        <f>IFERROR(DIVIDE(VLOOKUP($B808,Data!$B$3:$AB$1535,24,FALSE),VLOOKUP($B808,Data!$B$3:$AB$1535,4,FALSE)),"")</f>
        <v/>
      </c>
      <c r="E808" s="48" t="str">
        <f>IFERROR(DIVIDE(VLOOKUP($B808,Data!$B$3:$EZ1530,29,FALSE),VLOOKUP($B808,Data!$B$3:$EZ1530,4,FALSE)),"")</f>
        <v/>
      </c>
      <c r="F808" s="48" t="str">
        <f>IFERROR(DIVIDE(VLOOKUP($B808,Data!$B$3:$EZ1530,34,FALSE),VLOOKUP($B808,Data!$B$3:$EZ1530,4,FALSE)),"")</f>
        <v/>
      </c>
      <c r="G808" s="48" t="str">
        <f>IFERROR(DIVIDE(VLOOKUP($B808,Data!$B$3:$EZ1530,39,FALSE),VLOOKUP($B808,Data!$B$3:$EZ1530,4,FALSE)),"")</f>
        <v/>
      </c>
      <c r="H808" s="48" t="str">
        <f>IFERROR(DIVIDE(VLOOKUP($B808,Data!$B$3:$EZ1530,44,FALSE),VLOOKUP($B808,Data!$B$3:$EZ1530,4,FALSE)),"")</f>
        <v/>
      </c>
      <c r="I808" s="48">
        <f>IFERROR(MINUS(DIVIDE(VLOOKUP($B808,Data!$B$3:$EZ1530,9,FALSE),VLOOKUP($B808,Data!$B$3:$EZ1530,10,FALSE)),1),"")</f>
        <v>0.884057971</v>
      </c>
      <c r="J808" s="48" t="str">
        <f>IFERROR(MINUS(DIVIDE(VLOOKUP($B808,Data!$B$3:$EZ1530,24,FALSE),VLOOKUP($B808,Data!$B$3:$EZ1530,25,FALSE)),1),"")</f>
        <v/>
      </c>
      <c r="K808" s="48">
        <f>IFERROR(MINUS(DIVIDE(VLOOKUP($B808,Data!$B$3:$EZ1530,29,FALSE),VLOOKUP($B808,Data!$B$3:$EZ1530,30,FALSE)),1),"")</f>
        <v>0.5416486836</v>
      </c>
      <c r="L808" s="48">
        <f>IFERROR(MINUS(DIVIDE(VLOOKUP($B808,Data!$B$3:$EZ1530,34,FALSE),VLOOKUP($B808,Data!$B$3:$EZ1530,35,FALSE)),1),"")</f>
        <v>0.5257903494</v>
      </c>
      <c r="M808" s="48">
        <f>IFERROR(MINUS(DIVIDE(VLOOKUP($B808,Data!$B$3:$EZ1530,39,FALSE),VLOOKUP($B808,Data!$B$3:$EZ1530,40,FALSE)),1),"")</f>
        <v>0.5144583513</v>
      </c>
      <c r="N808" s="48">
        <f>IFERROR(MINUS(DIVIDE(VLOOKUP($B808,Data!$B$3:$EZ1530,44,FALSE),VLOOKUP($B808,Data!$B$3:$EZ1530,45,FALSE)),1),"")</f>
        <v>0.4372294372</v>
      </c>
      <c r="O808" s="50" t="str">
        <f>IFERROR(VLOOKUP($B808,Data!$B$3:$D1530,2,FALSE),"")</f>
        <v/>
      </c>
      <c r="P808" s="50" t="str">
        <f>IFERROR(VLOOKUP($B808,Data!$B$3:$D1530,3,FALSE),"")</f>
        <v/>
      </c>
      <c r="Q808" s="48" t="str">
        <f t="shared" si="2"/>
        <v/>
      </c>
      <c r="R808" s="48"/>
      <c r="S808" s="48"/>
      <c r="T808" s="48"/>
      <c r="U808" s="48"/>
      <c r="V808" s="48"/>
      <c r="W808" s="50"/>
      <c r="Z808" s="15"/>
      <c r="AA808" s="15"/>
    </row>
    <row r="809">
      <c r="A809" s="9">
        <f t="shared" si="1"/>
        <v>806</v>
      </c>
      <c r="B809" s="47" t="s">
        <v>943</v>
      </c>
      <c r="C809" s="48">
        <f>IFERROR(DIVIDE(VLOOKUP($B809,Data!$B$3:$AB$1535,9,FALSE),VLOOKUP($B809,Data!$B$3:$AB$1535,4,FALSE)),"")</f>
        <v>0.1475927388</v>
      </c>
      <c r="D809" s="48">
        <f>IFERROR(DIVIDE(VLOOKUP($B809,Data!$B$3:$AB$1535,24,FALSE),VLOOKUP($B809,Data!$B$3:$AB$1535,4,FALSE)),"")</f>
        <v>0.03830307814</v>
      </c>
      <c r="E809" s="48">
        <f>IFERROR(DIVIDE(VLOOKUP($B809,Data!$B$3:$EZ1530,29,FALSE),VLOOKUP($B809,Data!$B$3:$EZ1530,4,FALSE)),"")</f>
        <v>0.02962904499</v>
      </c>
      <c r="F809" s="48">
        <f>IFERROR(DIVIDE(VLOOKUP($B809,Data!$B$3:$EZ1530,34,FALSE),VLOOKUP($B809,Data!$B$3:$EZ1530,4,FALSE)),"")</f>
        <v>0.04595895817</v>
      </c>
      <c r="G809" s="48">
        <f>IFERROR(DIVIDE(VLOOKUP($B809,Data!$B$3:$EZ1530,39,FALSE),VLOOKUP($B809,Data!$B$3:$EZ1530,4,FALSE)),"")</f>
        <v>0.02142857143</v>
      </c>
      <c r="H809" s="48">
        <f>IFERROR(DIVIDE(VLOOKUP($B809,Data!$B$3:$EZ1530,44,FALSE),VLOOKUP($B809,Data!$B$3:$EZ1530,4,FALSE)),"")</f>
        <v>0.03147592739</v>
      </c>
      <c r="I809" s="48">
        <f>IFERROR(MINUS(DIVIDE(VLOOKUP($B809,Data!$B$3:$EZ1530,9,FALSE),VLOOKUP($B809,Data!$B$3:$EZ1530,10,FALSE)),1),"")</f>
        <v>0.1</v>
      </c>
      <c r="J809" s="48">
        <f>IFERROR(MINUS(DIVIDE(VLOOKUP($B809,Data!$B$3:$EZ1530,24,FALSE),VLOOKUP($B809,Data!$B$3:$EZ1530,25,FALSE)),1),"")</f>
        <v>0.09970541582</v>
      </c>
      <c r="K809" s="48">
        <f>IFERROR(MINUS(DIVIDE(VLOOKUP($B809,Data!$B$3:$EZ1530,29,FALSE),VLOOKUP($B809,Data!$B$3:$EZ1530,30,FALSE)),1),"")</f>
        <v>0.1122962963</v>
      </c>
      <c r="L809" s="48">
        <f>IFERROR(MINUS(DIVIDE(VLOOKUP($B809,Data!$B$3:$EZ1530,34,FALSE),VLOOKUP($B809,Data!$B$3:$EZ1530,35,FALSE)),1),"")</f>
        <v>0.1276142525</v>
      </c>
      <c r="M809" s="48">
        <f>IFERROR(MINUS(DIVIDE(VLOOKUP($B809,Data!$B$3:$EZ1530,39,FALSE),VLOOKUP($B809,Data!$B$3:$EZ1530,40,FALSE)),1),"")</f>
        <v>0.0218291306</v>
      </c>
      <c r="N809" s="48">
        <f>IFERROR(MINUS(DIVIDE(VLOOKUP($B809,Data!$B$3:$EZ1530,44,FALSE),VLOOKUP($B809,Data!$B$3:$EZ1530,45,FALSE)),1),"")</f>
        <v>0.2354399009</v>
      </c>
      <c r="O809" s="50">
        <f>IFERROR(VLOOKUP($B809,Data!$B$3:$D1530,2,FALSE),"")</f>
        <v>14920000</v>
      </c>
      <c r="P809" s="50">
        <f>IFERROR(VLOOKUP($B809,Data!$B$3:$D1530,3,FALSE),"")</f>
        <v>12400000</v>
      </c>
      <c r="Q809" s="48">
        <f t="shared" si="2"/>
        <v>0.2032258065</v>
      </c>
      <c r="R809" s="48"/>
      <c r="S809" s="48"/>
      <c r="T809" s="48"/>
      <c r="U809" s="48"/>
      <c r="V809" s="48"/>
      <c r="W809" s="50"/>
      <c r="Z809" s="11"/>
      <c r="AA809" s="11"/>
    </row>
    <row r="810">
      <c r="A810" s="9">
        <f t="shared" si="1"/>
        <v>807</v>
      </c>
      <c r="B810" s="47" t="s">
        <v>944</v>
      </c>
      <c r="C810" s="48">
        <f>IFERROR(DIVIDE(VLOOKUP($B810,Data!$B$3:$AB$1535,9,FALSE),VLOOKUP($B810,Data!$B$3:$AB$1535,4,FALSE)),"")</f>
        <v>0.245648855</v>
      </c>
      <c r="D810" s="48">
        <f>IFERROR(DIVIDE(VLOOKUP($B810,Data!$B$3:$AB$1535,24,FALSE),VLOOKUP($B810,Data!$B$3:$AB$1535,4,FALSE)),"")</f>
        <v>0.145740458</v>
      </c>
      <c r="E810" s="48">
        <f>IFERROR(DIVIDE(VLOOKUP($B810,Data!$B$3:$EZ1530,29,FALSE),VLOOKUP($B810,Data!$B$3:$EZ1530,4,FALSE)),"")</f>
        <v>0.1492671756</v>
      </c>
      <c r="F810" s="48">
        <f>IFERROR(DIVIDE(VLOOKUP($B810,Data!$B$3:$EZ1530,34,FALSE),VLOOKUP($B810,Data!$B$3:$EZ1530,4,FALSE)),"")</f>
        <v>0.1587328244</v>
      </c>
      <c r="G810" s="48">
        <f>IFERROR(DIVIDE(VLOOKUP($B810,Data!$B$3:$EZ1530,39,FALSE),VLOOKUP($B810,Data!$B$3:$EZ1530,4,FALSE)),"")</f>
        <v>0.1147251908</v>
      </c>
      <c r="H810" s="48">
        <f>IFERROR(DIVIDE(VLOOKUP($B810,Data!$B$3:$EZ1530,44,FALSE),VLOOKUP($B810,Data!$B$3:$EZ1530,4,FALSE)),"")</f>
        <v>0.1508396947</v>
      </c>
      <c r="I810" s="48">
        <f>IFERROR(MINUS(DIVIDE(VLOOKUP($B810,Data!$B$3:$EZ1530,9,FALSE),VLOOKUP($B810,Data!$B$3:$EZ1530,10,FALSE)),1),"")</f>
        <v>0.07434981471</v>
      </c>
      <c r="J810" s="48">
        <f>IFERROR(MINUS(DIVIDE(VLOOKUP($B810,Data!$B$3:$EZ1530,24,FALSE),VLOOKUP($B810,Data!$B$3:$EZ1530,25,FALSE)),1),"")</f>
        <v>0.10929057</v>
      </c>
      <c r="K810" s="48">
        <f>IFERROR(MINUS(DIVIDE(VLOOKUP($B810,Data!$B$3:$EZ1530,29,FALSE),VLOOKUP($B810,Data!$B$3:$EZ1530,30,FALSE)),1),"")</f>
        <v>0.1225028703</v>
      </c>
      <c r="L810" s="48">
        <f>IFERROR(MINUS(DIVIDE(VLOOKUP($B810,Data!$B$3:$EZ1530,34,FALSE),VLOOKUP($B810,Data!$B$3:$EZ1530,35,FALSE)),1),"")</f>
        <v>0.03809095901</v>
      </c>
      <c r="M810" s="48">
        <f>IFERROR(MINUS(DIVIDE(VLOOKUP($B810,Data!$B$3:$EZ1530,39,FALSE),VLOOKUP($B810,Data!$B$3:$EZ1530,40,FALSE)),1),"")</f>
        <v>0.1129295024</v>
      </c>
      <c r="N810" s="48">
        <f>IFERROR(MINUS(DIVIDE(VLOOKUP($B810,Data!$B$3:$EZ1530,44,FALSE),VLOOKUP($B810,Data!$B$3:$EZ1530,45,FALSE)),1),"")</f>
        <v>0.2295438989</v>
      </c>
      <c r="O810" s="50">
        <f>IFERROR(VLOOKUP($B810,Data!$B$3:$D1530,2,FALSE),"")</f>
        <v>1360000</v>
      </c>
      <c r="P810" s="50">
        <f>IFERROR(VLOOKUP($B810,Data!$B$3:$D1530,3,FALSE),"")</f>
        <v>1310000</v>
      </c>
      <c r="Q810" s="48">
        <f t="shared" si="2"/>
        <v>0.03816793893</v>
      </c>
      <c r="R810" s="48"/>
      <c r="S810" s="48"/>
      <c r="T810" s="48"/>
      <c r="U810" s="48"/>
      <c r="V810" s="48"/>
      <c r="W810" s="50"/>
      <c r="Z810" s="12"/>
      <c r="AA810" s="12"/>
    </row>
    <row r="811">
      <c r="A811" s="9">
        <f t="shared" si="1"/>
        <v>808</v>
      </c>
      <c r="B811" s="47" t="s">
        <v>945</v>
      </c>
      <c r="C811" s="48">
        <f>IFERROR(DIVIDE(VLOOKUP($B811,Data!$B$3:$AB$1535,9,FALSE),VLOOKUP($B811,Data!$B$3:$AB$1535,4,FALSE)),"")</f>
        <v>0.2963424301</v>
      </c>
      <c r="D811" s="48">
        <f>IFERROR(DIVIDE(VLOOKUP($B811,Data!$B$3:$AB$1535,24,FALSE),VLOOKUP($B811,Data!$B$3:$AB$1535,4,FALSE)),"")</f>
        <v>-0.05610916091</v>
      </c>
      <c r="E811" s="48">
        <f>IFERROR(DIVIDE(VLOOKUP($B811,Data!$B$3:$EZ1530,29,FALSE),VLOOKUP($B811,Data!$B$3:$EZ1530,4,FALSE)),"")</f>
        <v>-0.03833087986</v>
      </c>
      <c r="F811" s="48">
        <f>IFERROR(DIVIDE(VLOOKUP($B811,Data!$B$3:$EZ1530,34,FALSE),VLOOKUP($B811,Data!$B$3:$EZ1530,4,FALSE)),"")</f>
        <v>0</v>
      </c>
      <c r="G811" s="48">
        <f>IFERROR(DIVIDE(VLOOKUP($B811,Data!$B$3:$EZ1530,39,FALSE),VLOOKUP($B811,Data!$B$3:$EZ1530,4,FALSE)),"")</f>
        <v>-0.07292492356</v>
      </c>
      <c r="H811" s="48">
        <f>IFERROR(DIVIDE(VLOOKUP($B811,Data!$B$3:$EZ1530,44,FALSE),VLOOKUP($B811,Data!$B$3:$EZ1530,4,FALSE)),"")</f>
        <v>-0.0240063413</v>
      </c>
      <c r="I811" s="48">
        <f>IFERROR(MINUS(DIVIDE(VLOOKUP($B811,Data!$B$3:$EZ1530,9,FALSE),VLOOKUP($B811,Data!$B$3:$EZ1530,10,FALSE)),1),"")</f>
        <v>-0.218339307</v>
      </c>
      <c r="J811" s="48" t="str">
        <f>IFERROR(MINUS(DIVIDE(VLOOKUP($B811,Data!$B$3:$EZ1530,24,FALSE),VLOOKUP($B811,Data!$B$3:$EZ1530,25,FALSE)),1),"")</f>
        <v/>
      </c>
      <c r="K811" s="48">
        <f>IFERROR(MINUS(DIVIDE(VLOOKUP($B811,Data!$B$3:$EZ1530,29,FALSE),VLOOKUP($B811,Data!$B$3:$EZ1530,30,FALSE)),1),"")</f>
        <v>-1.385974914</v>
      </c>
      <c r="L811" s="48">
        <f>IFERROR(MINUS(DIVIDE(VLOOKUP($B811,Data!$B$3:$EZ1530,34,FALSE),VLOOKUP($B811,Data!$B$3:$EZ1530,35,FALSE)),1),"")</f>
        <v>-1</v>
      </c>
      <c r="M811" s="48">
        <f>IFERROR(MINUS(DIVIDE(VLOOKUP($B811,Data!$B$3:$EZ1530,39,FALSE),VLOOKUP($B811,Data!$B$3:$EZ1530,40,FALSE)),1),"")</f>
        <v>-2.352941176</v>
      </c>
      <c r="N811" s="48">
        <f>IFERROR(MINUS(DIVIDE(VLOOKUP($B811,Data!$B$3:$EZ1530,44,FALSE),VLOOKUP($B811,Data!$B$3:$EZ1530,45,FALSE)),1),"")</f>
        <v>-2.269461078</v>
      </c>
      <c r="O811" s="50">
        <f>IFERROR(VLOOKUP($B811,Data!$B$3:$D1530,2,FALSE),"")</f>
        <v>228910</v>
      </c>
      <c r="P811" s="50">
        <f>IFERROR(VLOOKUP($B811,Data!$B$3:$D1530,3,FALSE),"")</f>
        <v>195710</v>
      </c>
      <c r="Q811" s="48">
        <f t="shared" si="2"/>
        <v>0.1696387512</v>
      </c>
      <c r="R811" s="48"/>
      <c r="S811" s="48"/>
      <c r="T811" s="48"/>
      <c r="U811" s="48"/>
      <c r="V811" s="48"/>
      <c r="W811" s="50"/>
      <c r="Z811" s="11"/>
      <c r="AA811" s="11"/>
    </row>
    <row r="812">
      <c r="A812" s="9">
        <f t="shared" si="1"/>
        <v>809</v>
      </c>
      <c r="B812" s="47" t="s">
        <v>946</v>
      </c>
      <c r="C812" s="48">
        <f>IFERROR(DIVIDE(VLOOKUP($B812,Data!$B$3:$AB$1535,9,FALSE),VLOOKUP($B812,Data!$B$3:$AB$1535,4,FALSE)),"")</f>
        <v>0.3640588691</v>
      </c>
      <c r="D812" s="48">
        <f>IFERROR(DIVIDE(VLOOKUP($B812,Data!$B$3:$AB$1535,24,FALSE),VLOOKUP($B812,Data!$B$3:$AB$1535,4,FALSE)),"")</f>
        <v>0.01959721146</v>
      </c>
      <c r="E812" s="48">
        <f>IFERROR(DIVIDE(VLOOKUP($B812,Data!$B$3:$EZ1530,29,FALSE),VLOOKUP($B812,Data!$B$3:$EZ1530,4,FALSE)),"")</f>
        <v>-0.01402013943</v>
      </c>
      <c r="F812" s="48">
        <f>IFERROR(DIVIDE(VLOOKUP($B812,Data!$B$3:$EZ1530,34,FALSE),VLOOKUP($B812,Data!$B$3:$EZ1530,4,FALSE)),"")</f>
        <v>0.1402013943</v>
      </c>
      <c r="G812" s="48">
        <f>IFERROR(DIVIDE(VLOOKUP($B812,Data!$B$3:$EZ1530,39,FALSE),VLOOKUP($B812,Data!$B$3:$EZ1530,4,FALSE)),"")</f>
        <v>-0.02835011619</v>
      </c>
      <c r="H812" s="48">
        <f>IFERROR(DIVIDE(VLOOKUP($B812,Data!$B$3:$EZ1530,44,FALSE),VLOOKUP($B812,Data!$B$3:$EZ1530,4,FALSE)),"")</f>
        <v>0.09604957397</v>
      </c>
      <c r="I812" s="48">
        <f>IFERROR(MINUS(DIVIDE(VLOOKUP($B812,Data!$B$3:$EZ1530,9,FALSE),VLOOKUP($B812,Data!$B$3:$EZ1530,10,FALSE)),1),"")</f>
        <v>-0.04081632653</v>
      </c>
      <c r="J812" s="48">
        <f>IFERROR(MINUS(DIVIDE(VLOOKUP($B812,Data!$B$3:$EZ1530,24,FALSE),VLOOKUP($B812,Data!$B$3:$EZ1530,25,FALSE)),1),"")</f>
        <v>-0.7959677419</v>
      </c>
      <c r="K812" s="48">
        <f>IFERROR(MINUS(DIVIDE(VLOOKUP($B812,Data!$B$3:$EZ1530,29,FALSE),VLOOKUP($B812,Data!$B$3:$EZ1530,30,FALSE)),1),"")</f>
        <v>-1.211201867</v>
      </c>
      <c r="L812" s="48">
        <f>IFERROR(MINUS(DIVIDE(VLOOKUP($B812,Data!$B$3:$EZ1530,34,FALSE),VLOOKUP($B812,Data!$B$3:$EZ1530,35,FALSE)),1),"")</f>
        <v>-0.0621761658</v>
      </c>
      <c r="M812" s="48">
        <f>IFERROR(MINUS(DIVIDE(VLOOKUP($B812,Data!$B$3:$EZ1530,39,FALSE),VLOOKUP($B812,Data!$B$3:$EZ1530,40,FALSE)),1),"")</f>
        <v>-1.568322981</v>
      </c>
      <c r="N812" s="48">
        <f>IFERROR(MINUS(DIVIDE(VLOOKUP($B812,Data!$B$3:$EZ1530,44,FALSE),VLOOKUP($B812,Data!$B$3:$EZ1530,45,FALSE)),1),"")</f>
        <v>-0.1079136691</v>
      </c>
      <c r="O812" s="50">
        <f>IFERROR(VLOOKUP($B812,Data!$B$3:$D1530,2,FALSE),"")</f>
        <v>11860000</v>
      </c>
      <c r="P812" s="50">
        <f>IFERROR(VLOOKUP($B812,Data!$B$3:$D1530,3,FALSE),"")</f>
        <v>10840000</v>
      </c>
      <c r="Q812" s="48">
        <f t="shared" si="2"/>
        <v>0.09409594096</v>
      </c>
      <c r="R812" s="48"/>
      <c r="S812" s="48"/>
      <c r="T812" s="48"/>
      <c r="U812" s="48"/>
      <c r="V812" s="48"/>
      <c r="W812" s="50"/>
      <c r="Z812" s="15"/>
      <c r="AA812" s="15"/>
    </row>
    <row r="813">
      <c r="A813" s="9">
        <f t="shared" si="1"/>
        <v>810</v>
      </c>
      <c r="B813" s="47" t="s">
        <v>947</v>
      </c>
      <c r="C813" s="48">
        <f>IFERROR(DIVIDE(VLOOKUP($B813,Data!$B$3:$AB$1535,9,FALSE),VLOOKUP($B813,Data!$B$3:$AB$1535,4,FALSE)),"")</f>
        <v>0.3716910026</v>
      </c>
      <c r="D813" s="48">
        <f>IFERROR(DIVIDE(VLOOKUP($B813,Data!$B$3:$AB$1535,24,FALSE),VLOOKUP($B813,Data!$B$3:$AB$1535,4,FALSE)),"")</f>
        <v>0</v>
      </c>
      <c r="E813" s="48">
        <f>IFERROR(DIVIDE(VLOOKUP($B813,Data!$B$3:$EZ1530,29,FALSE),VLOOKUP($B813,Data!$B$3:$EZ1530,4,FALSE)),"")</f>
        <v>0</v>
      </c>
      <c r="F813" s="48">
        <f>IFERROR(DIVIDE(VLOOKUP($B813,Data!$B$3:$EZ1530,34,FALSE),VLOOKUP($B813,Data!$B$3:$EZ1530,4,FALSE)),"")</f>
        <v>0.2635754718</v>
      </c>
      <c r="G813" s="48">
        <f>IFERROR(DIVIDE(VLOOKUP($B813,Data!$B$3:$EZ1530,39,FALSE),VLOOKUP($B813,Data!$B$3:$EZ1530,4,FALSE)),"")</f>
        <v>0</v>
      </c>
      <c r="H813" s="48">
        <f>IFERROR(DIVIDE(VLOOKUP($B813,Data!$B$3:$EZ1530,44,FALSE),VLOOKUP($B813,Data!$B$3:$EZ1530,4,FALSE)),"")</f>
        <v>0.2673288476</v>
      </c>
      <c r="I813" s="48">
        <f>IFERROR(MINUS(DIVIDE(VLOOKUP($B813,Data!$B$3:$EZ1530,9,FALSE),VLOOKUP($B813,Data!$B$3:$EZ1530,10,FALSE)),1),"")</f>
        <v>-0.156212116</v>
      </c>
      <c r="J813" s="48">
        <f>IFERROR(MINUS(DIVIDE(VLOOKUP($B813,Data!$B$3:$EZ1530,24,FALSE),VLOOKUP($B813,Data!$B$3:$EZ1530,25,FALSE)),1),"")</f>
        <v>-1</v>
      </c>
      <c r="K813" s="48">
        <f>IFERROR(MINUS(DIVIDE(VLOOKUP($B813,Data!$B$3:$EZ1530,29,FALSE),VLOOKUP($B813,Data!$B$3:$EZ1530,30,FALSE)),1),"")</f>
        <v>-1</v>
      </c>
      <c r="L813" s="48">
        <f>IFERROR(MINUS(DIVIDE(VLOOKUP($B813,Data!$B$3:$EZ1530,34,FALSE),VLOOKUP($B813,Data!$B$3:$EZ1530,35,FALSE)),1),"")</f>
        <v>-0.2567654778</v>
      </c>
      <c r="M813" s="48">
        <f>IFERROR(MINUS(DIVIDE(VLOOKUP($B813,Data!$B$3:$EZ1530,39,FALSE),VLOOKUP($B813,Data!$B$3:$EZ1530,40,FALSE)),1),"")</f>
        <v>-1</v>
      </c>
      <c r="N813" s="48">
        <f>IFERROR(MINUS(DIVIDE(VLOOKUP($B813,Data!$B$3:$EZ1530,44,FALSE),VLOOKUP($B813,Data!$B$3:$EZ1530,45,FALSE)),1),"")</f>
        <v>0.4783158961</v>
      </c>
      <c r="O813" s="50">
        <f>IFERROR(VLOOKUP($B813,Data!$B$3:$D1530,2,FALSE),"")</f>
        <v>566430</v>
      </c>
      <c r="P813" s="50">
        <f>IFERROR(VLOOKUP($B813,Data!$B$3:$D1530,3,FALSE),"")</f>
        <v>542110</v>
      </c>
      <c r="Q813" s="48">
        <f t="shared" si="2"/>
        <v>0.04486174393</v>
      </c>
      <c r="R813" s="48"/>
      <c r="S813" s="48"/>
      <c r="T813" s="48"/>
      <c r="U813" s="48"/>
      <c r="V813" s="48"/>
      <c r="W813" s="50"/>
      <c r="Z813" s="15"/>
      <c r="AA813" s="15"/>
    </row>
    <row r="814">
      <c r="A814" s="9">
        <f t="shared" si="1"/>
        <v>811</v>
      </c>
      <c r="B814" s="47" t="s">
        <v>948</v>
      </c>
      <c r="C814" s="48">
        <f>IFERROR(DIVIDE(VLOOKUP($B814,Data!$B$3:$AB$1535,9,FALSE),VLOOKUP($B814,Data!$B$3:$AB$1535,4,FALSE)),"")</f>
        <v>0.3465641584</v>
      </c>
      <c r="D814" s="48">
        <f>IFERROR(DIVIDE(VLOOKUP($B814,Data!$B$3:$AB$1535,24,FALSE),VLOOKUP($B814,Data!$B$3:$AB$1535,4,FALSE)),"")</f>
        <v>-0.0306028031</v>
      </c>
      <c r="E814" s="48">
        <f>IFERROR(DIVIDE(VLOOKUP($B814,Data!$B$3:$EZ1530,29,FALSE),VLOOKUP($B814,Data!$B$3:$EZ1530,4,FALSE)),"")</f>
        <v>-0.05955912369</v>
      </c>
      <c r="F814" s="48">
        <f>IFERROR(DIVIDE(VLOOKUP($B814,Data!$B$3:$EZ1530,34,FALSE),VLOOKUP($B814,Data!$B$3:$EZ1530,4,FALSE)),"")</f>
        <v>0.06279765955</v>
      </c>
      <c r="G814" s="48">
        <f>IFERROR(DIVIDE(VLOOKUP($B814,Data!$B$3:$EZ1530,39,FALSE),VLOOKUP($B814,Data!$B$3:$EZ1530,4,FALSE)),"")</f>
        <v>-0.06044359777</v>
      </c>
      <c r="H814" s="48">
        <f>IFERROR(DIVIDE(VLOOKUP($B814,Data!$B$3:$EZ1530,44,FALSE),VLOOKUP($B814,Data!$B$3:$EZ1530,4,FALSE)),"")</f>
        <v>0.04064498571</v>
      </c>
      <c r="I814" s="48">
        <f>IFERROR(MINUS(DIVIDE(VLOOKUP($B814,Data!$B$3:$EZ1530,9,FALSE),VLOOKUP($B814,Data!$B$3:$EZ1530,10,FALSE)),1),"")</f>
        <v>-0.004183609634</v>
      </c>
      <c r="J814" s="48">
        <f>IFERROR(MINUS(DIVIDE(VLOOKUP($B814,Data!$B$3:$EZ1530,24,FALSE),VLOOKUP($B814,Data!$B$3:$EZ1530,25,FALSE)),1),"")</f>
        <v>-2.173187272</v>
      </c>
      <c r="K814" s="48">
        <f>IFERROR(MINUS(DIVIDE(VLOOKUP($B814,Data!$B$3:$EZ1530,29,FALSE),VLOOKUP($B814,Data!$B$3:$EZ1530,30,FALSE)),1),"")</f>
        <v>-86.99214145</v>
      </c>
      <c r="L814" s="48">
        <f>IFERROR(MINUS(DIVIDE(VLOOKUP($B814,Data!$B$3:$EZ1530,34,FALSE),VLOOKUP($B814,Data!$B$3:$EZ1530,35,FALSE)),1),"")</f>
        <v>0.02578350745</v>
      </c>
      <c r="M814" s="48">
        <f>IFERROR(MINUS(DIVIDE(VLOOKUP($B814,Data!$B$3:$EZ1530,39,FALSE),VLOOKUP($B814,Data!$B$3:$EZ1530,40,FALSE)),1),"")</f>
        <v>24.8255814</v>
      </c>
      <c r="N814" s="48">
        <f>IFERROR(MINUS(DIVIDE(VLOOKUP($B814,Data!$B$3:$EZ1530,44,FALSE),VLOOKUP($B814,Data!$B$3:$EZ1530,45,FALSE)),1),"")</f>
        <v>0.5573514077</v>
      </c>
      <c r="O814" s="50">
        <f>IFERROR(VLOOKUP($B814,Data!$B$3:$D1530,2,FALSE),"")</f>
        <v>757090</v>
      </c>
      <c r="P814" s="50">
        <f>IFERROR(VLOOKUP($B814,Data!$B$3:$D1530,3,FALSE),"")</f>
        <v>742610</v>
      </c>
      <c r="Q814" s="48">
        <f t="shared" si="2"/>
        <v>0.01949879479</v>
      </c>
      <c r="R814" s="48"/>
      <c r="S814" s="48"/>
      <c r="T814" s="48"/>
      <c r="U814" s="48"/>
      <c r="V814" s="48"/>
      <c r="W814" s="50"/>
      <c r="Z814" s="11"/>
      <c r="AA814" s="11"/>
    </row>
    <row r="815">
      <c r="A815" s="9">
        <f t="shared" si="1"/>
        <v>812</v>
      </c>
      <c r="B815" s="47" t="s">
        <v>949</v>
      </c>
      <c r="C815" s="48">
        <f>IFERROR(DIVIDE(VLOOKUP($B815,Data!$B$3:$AB$1535,9,FALSE),VLOOKUP($B815,Data!$B$3:$AB$1535,4,FALSE)),"")</f>
        <v>0.1397655546</v>
      </c>
      <c r="D815" s="48">
        <f>IFERROR(DIVIDE(VLOOKUP($B815,Data!$B$3:$AB$1535,24,FALSE),VLOOKUP($B815,Data!$B$3:$AB$1535,4,FALSE)),"")</f>
        <v>0.08061316501</v>
      </c>
      <c r="E815" s="48">
        <f>IFERROR(DIVIDE(VLOOKUP($B815,Data!$B$3:$EZ1530,29,FALSE),VLOOKUP($B815,Data!$B$3:$EZ1530,4,FALSE)),"")</f>
        <v>0.0780883679</v>
      </c>
      <c r="F815" s="48">
        <f>IFERROR(DIVIDE(VLOOKUP($B815,Data!$B$3:$EZ1530,34,FALSE),VLOOKUP($B815,Data!$B$3:$EZ1530,4,FALSE)),"")</f>
        <v>0.1018935978</v>
      </c>
      <c r="G815" s="48">
        <f>IFERROR(DIVIDE(VLOOKUP($B815,Data!$B$3:$EZ1530,39,FALSE),VLOOKUP($B815,Data!$B$3:$EZ1530,4,FALSE)),"")</f>
        <v>0.06014427412</v>
      </c>
      <c r="H815" s="48">
        <f>IFERROR(DIVIDE(VLOOKUP($B815,Data!$B$3:$EZ1530,44,FALSE),VLOOKUP($B815,Data!$B$3:$EZ1530,4,FALSE)),"")</f>
        <v>0.08944995491</v>
      </c>
      <c r="I815" s="48">
        <f>IFERROR(MINUS(DIVIDE(VLOOKUP($B815,Data!$B$3:$EZ1530,9,FALSE),VLOOKUP($B815,Data!$B$3:$EZ1530,10,FALSE)),1),"")</f>
        <v>0.03333333333</v>
      </c>
      <c r="J815" s="48">
        <f>IFERROR(MINUS(DIVIDE(VLOOKUP($B815,Data!$B$3:$EZ1530,24,FALSE),VLOOKUP($B815,Data!$B$3:$EZ1530,25,FALSE)),1),"")</f>
        <v>0.2229822161</v>
      </c>
      <c r="K815" s="48">
        <f>IFERROR(MINUS(DIVIDE(VLOOKUP($B815,Data!$B$3:$EZ1530,29,FALSE),VLOOKUP($B815,Data!$B$3:$EZ1530,30,FALSE)),1),"")</f>
        <v>0.4196721311</v>
      </c>
      <c r="L815" s="48">
        <f>IFERROR(MINUS(DIVIDE(VLOOKUP($B815,Data!$B$3:$EZ1530,34,FALSE),VLOOKUP($B815,Data!$B$3:$EZ1530,35,FALSE)),1),"")</f>
        <v>0.09708737864</v>
      </c>
      <c r="M815" s="48">
        <f>IFERROR(MINUS(DIVIDE(VLOOKUP($B815,Data!$B$3:$EZ1530,39,FALSE),VLOOKUP($B815,Data!$B$3:$EZ1530,40,FALSE)),1),"")</f>
        <v>0.148020654</v>
      </c>
      <c r="N815" s="48">
        <f>IFERROR(MINUS(DIVIDE(VLOOKUP($B815,Data!$B$3:$EZ1530,44,FALSE),VLOOKUP($B815,Data!$B$3:$EZ1530,45,FALSE)),1),"")</f>
        <v>0.3052631579</v>
      </c>
      <c r="O815" s="50">
        <f>IFERROR(VLOOKUP($B815,Data!$B$3:$D1530,2,FALSE),"")</f>
        <v>13990000</v>
      </c>
      <c r="P815" s="50">
        <f>IFERROR(VLOOKUP($B815,Data!$B$3:$D1530,3,FALSE),"")</f>
        <v>12700000</v>
      </c>
      <c r="Q815" s="48">
        <f t="shared" si="2"/>
        <v>0.1015748031</v>
      </c>
      <c r="R815" s="48"/>
      <c r="S815" s="48"/>
      <c r="T815" s="48"/>
      <c r="U815" s="48"/>
      <c r="V815" s="48"/>
      <c r="W815" s="50"/>
      <c r="Z815" s="11"/>
      <c r="AA815" s="11"/>
    </row>
    <row r="816">
      <c r="A816" s="9">
        <f t="shared" si="1"/>
        <v>813</v>
      </c>
      <c r="B816" s="47" t="s">
        <v>950</v>
      </c>
      <c r="C816" s="48">
        <f>IFERROR(DIVIDE(VLOOKUP($B816,Data!$B$3:$AB$1535,9,FALSE),VLOOKUP($B816,Data!$B$3:$AB$1535,4,FALSE)),"")</f>
        <v>0.4074206897</v>
      </c>
      <c r="D816" s="48">
        <f>IFERROR(DIVIDE(VLOOKUP($B816,Data!$B$3:$AB$1535,24,FALSE),VLOOKUP($B816,Data!$B$3:$AB$1535,4,FALSE)),"")</f>
        <v>0</v>
      </c>
      <c r="E816" s="48">
        <f>IFERROR(DIVIDE(VLOOKUP($B816,Data!$B$3:$EZ1530,29,FALSE),VLOOKUP($B816,Data!$B$3:$EZ1530,4,FALSE)),"")</f>
        <v>0.01473103448</v>
      </c>
      <c r="F816" s="48">
        <f>IFERROR(DIVIDE(VLOOKUP($B816,Data!$B$3:$EZ1530,34,FALSE),VLOOKUP($B816,Data!$B$3:$EZ1530,4,FALSE)),"")</f>
        <v>0.05280689655</v>
      </c>
      <c r="G816" s="48">
        <f>IFERROR(DIVIDE(VLOOKUP($B816,Data!$B$3:$EZ1530,39,FALSE),VLOOKUP($B816,Data!$B$3:$EZ1530,4,FALSE)),"")</f>
        <v>0.01330344828</v>
      </c>
      <c r="H816" s="48">
        <f>IFERROR(DIVIDE(VLOOKUP($B816,Data!$B$3:$EZ1530,44,FALSE),VLOOKUP($B816,Data!$B$3:$EZ1530,4,FALSE)),"")</f>
        <v>0.01882068966</v>
      </c>
      <c r="I816" s="48">
        <f>IFERROR(MINUS(DIVIDE(VLOOKUP($B816,Data!$B$3:$EZ1530,9,FALSE),VLOOKUP($B816,Data!$B$3:$EZ1530,10,FALSE)),1),"")</f>
        <v>0.003840271878</v>
      </c>
      <c r="J816" s="48" t="str">
        <f>IFERROR(MINUS(DIVIDE(VLOOKUP($B816,Data!$B$3:$EZ1530,24,FALSE),VLOOKUP($B816,Data!$B$3:$EZ1530,25,FALSE)),1),"")</f>
        <v/>
      </c>
      <c r="K816" s="48">
        <f>IFERROR(MINUS(DIVIDE(VLOOKUP($B816,Data!$B$3:$EZ1530,29,FALSE),VLOOKUP($B816,Data!$B$3:$EZ1530,30,FALSE)),1),"")</f>
        <v>1.218068536</v>
      </c>
      <c r="L816" s="48">
        <f>IFERROR(MINUS(DIVIDE(VLOOKUP($B816,Data!$B$3:$EZ1530,34,FALSE),VLOOKUP($B816,Data!$B$3:$EZ1530,35,FALSE)),1),"")</f>
        <v>0.09136259977</v>
      </c>
      <c r="M816" s="48">
        <f>IFERROR(MINUS(DIVIDE(VLOOKUP($B816,Data!$B$3:$EZ1530,39,FALSE),VLOOKUP($B816,Data!$B$3:$EZ1530,40,FALSE)),1),"")</f>
        <v>0.6643658326</v>
      </c>
      <c r="N816" s="48">
        <f>IFERROR(MINUS(DIVIDE(VLOOKUP($B816,Data!$B$3:$EZ1530,44,FALSE),VLOOKUP($B816,Data!$B$3:$EZ1530,45,FALSE)),1),"")</f>
        <v>-0.4338174274</v>
      </c>
      <c r="O816" s="50">
        <f>IFERROR(VLOOKUP($B816,Data!$B$3:$D1530,2,FALSE),"")</f>
        <v>1410000</v>
      </c>
      <c r="P816" s="50">
        <f>IFERROR(VLOOKUP($B816,Data!$B$3:$D1530,3,FALSE),"")</f>
        <v>1340000</v>
      </c>
      <c r="Q816" s="48">
        <f t="shared" si="2"/>
        <v>0.05223880597</v>
      </c>
      <c r="R816" s="48"/>
      <c r="S816" s="48"/>
      <c r="T816" s="48"/>
      <c r="U816" s="48"/>
      <c r="V816" s="48"/>
      <c r="W816" s="50"/>
      <c r="Z816" s="15"/>
      <c r="AA816" s="15"/>
    </row>
    <row r="817">
      <c r="A817" s="9">
        <f t="shared" si="1"/>
        <v>814</v>
      </c>
      <c r="B817" s="47" t="s">
        <v>951</v>
      </c>
      <c r="C817" s="48">
        <f>IFERROR(DIVIDE(VLOOKUP($B817,Data!$B$3:$AB$1535,9,FALSE),VLOOKUP($B817,Data!$B$3:$AB$1535,4,FALSE)),"")</f>
        <v>0</v>
      </c>
      <c r="D817" s="48">
        <f>IFERROR(DIVIDE(VLOOKUP($B817,Data!$B$3:$AB$1535,24,FALSE),VLOOKUP($B817,Data!$B$3:$AB$1535,4,FALSE)),"")</f>
        <v>0</v>
      </c>
      <c r="E817" s="48">
        <f>IFERROR(DIVIDE(VLOOKUP($B817,Data!$B$3:$EZ1530,29,FALSE),VLOOKUP($B817,Data!$B$3:$EZ1530,4,FALSE)),"")</f>
        <v>-0.6050847458</v>
      </c>
      <c r="F817" s="48">
        <f>IFERROR(DIVIDE(VLOOKUP($B817,Data!$B$3:$EZ1530,34,FALSE),VLOOKUP($B817,Data!$B$3:$EZ1530,4,FALSE)),"")</f>
        <v>-0.4847457627</v>
      </c>
      <c r="G817" s="48">
        <f>IFERROR(DIVIDE(VLOOKUP($B817,Data!$B$3:$EZ1530,39,FALSE),VLOOKUP($B817,Data!$B$3:$EZ1530,4,FALSE)),"")</f>
        <v>-0.6050847458</v>
      </c>
      <c r="H817" s="48">
        <f>IFERROR(DIVIDE(VLOOKUP($B817,Data!$B$3:$EZ1530,44,FALSE),VLOOKUP($B817,Data!$B$3:$EZ1530,4,FALSE)),"")</f>
        <v>-0.6016949153</v>
      </c>
      <c r="I817" s="48" t="str">
        <f>IFERROR(MINUS(DIVIDE(VLOOKUP($B817,Data!$B$3:$EZ1530,9,FALSE),VLOOKUP($B817,Data!$B$3:$EZ1530,10,FALSE)),1),"")</f>
        <v/>
      </c>
      <c r="J817" s="48" t="str">
        <f>IFERROR(MINUS(DIVIDE(VLOOKUP($B817,Data!$B$3:$EZ1530,24,FALSE),VLOOKUP($B817,Data!$B$3:$EZ1530,25,FALSE)),1),"")</f>
        <v/>
      </c>
      <c r="K817" s="48">
        <f>IFERROR(MINUS(DIVIDE(VLOOKUP($B817,Data!$B$3:$EZ1530,29,FALSE),VLOOKUP($B817,Data!$B$3:$EZ1530,30,FALSE)),1),"")</f>
        <v>0.202020202</v>
      </c>
      <c r="L817" s="48">
        <f>IFERROR(MINUS(DIVIDE(VLOOKUP($B817,Data!$B$3:$EZ1530,34,FALSE),VLOOKUP($B817,Data!$B$3:$EZ1530,35,FALSE)),1),"")</f>
        <v>-0.2011173184</v>
      </c>
      <c r="M817" s="48">
        <f>IFERROR(MINUS(DIVIDE(VLOOKUP($B817,Data!$B$3:$EZ1530,39,FALSE),VLOOKUP($B817,Data!$B$3:$EZ1530,40,FALSE)),1),"")</f>
        <v>0.1979865772</v>
      </c>
      <c r="N817" s="48">
        <f>IFERROR(MINUS(DIVIDE(VLOOKUP($B817,Data!$B$3:$EZ1530,44,FALSE),VLOOKUP($B817,Data!$B$3:$EZ1530,45,FALSE)),1),"")</f>
        <v>2.008474576</v>
      </c>
      <c r="O817" s="50" t="str">
        <f>IFERROR(VLOOKUP($B817,Data!$B$3:$D1530,2,FALSE),"")</f>
        <v/>
      </c>
      <c r="P817" s="50" t="str">
        <f>IFERROR(VLOOKUP($B817,Data!$B$3:$D1530,3,FALSE),"")</f>
        <v/>
      </c>
      <c r="Q817" s="48" t="str">
        <f t="shared" si="2"/>
        <v/>
      </c>
      <c r="R817" s="48"/>
      <c r="S817" s="48"/>
      <c r="T817" s="48"/>
      <c r="U817" s="48"/>
      <c r="V817" s="48"/>
      <c r="W817" s="50"/>
      <c r="Z817" s="15"/>
      <c r="AA817" s="15"/>
    </row>
    <row r="818">
      <c r="A818" s="9">
        <f t="shared" si="1"/>
        <v>815</v>
      </c>
      <c r="B818" s="47" t="s">
        <v>952</v>
      </c>
      <c r="C818" s="48">
        <f>IFERROR(DIVIDE(VLOOKUP($B818,Data!$B$3:$AB$1535,9,FALSE),VLOOKUP($B818,Data!$B$3:$AB$1535,4,FALSE)),"")</f>
        <v>0.2075420168</v>
      </c>
      <c r="D818" s="48">
        <f>IFERROR(DIVIDE(VLOOKUP($B818,Data!$B$3:$AB$1535,24,FALSE),VLOOKUP($B818,Data!$B$3:$AB$1535,4,FALSE)),"")</f>
        <v>0.1056302521</v>
      </c>
      <c r="E818" s="48">
        <f>IFERROR(DIVIDE(VLOOKUP($B818,Data!$B$3:$EZ1530,29,FALSE),VLOOKUP($B818,Data!$B$3:$EZ1530,4,FALSE)),"")</f>
        <v>0.09035714286</v>
      </c>
      <c r="F818" s="48">
        <f>IFERROR(DIVIDE(VLOOKUP($B818,Data!$B$3:$EZ1530,34,FALSE),VLOOKUP($B818,Data!$B$3:$EZ1530,4,FALSE)),"")</f>
        <v>0.1468487395</v>
      </c>
      <c r="G818" s="48">
        <f>IFERROR(DIVIDE(VLOOKUP($B818,Data!$B$3:$EZ1530,39,FALSE),VLOOKUP($B818,Data!$B$3:$EZ1530,4,FALSE)),"")</f>
        <v>0.07012605042</v>
      </c>
      <c r="H818" s="48">
        <f>IFERROR(DIVIDE(VLOOKUP($B818,Data!$B$3:$EZ1530,44,FALSE),VLOOKUP($B818,Data!$B$3:$EZ1530,4,FALSE)),"")</f>
        <v>0.1403361345</v>
      </c>
      <c r="I818" s="48">
        <f>IFERROR(MINUS(DIVIDE(VLOOKUP($B818,Data!$B$3:$EZ1530,9,FALSE),VLOOKUP($B818,Data!$B$3:$EZ1530,10,FALSE)),1),"")</f>
        <v>0.133953168</v>
      </c>
      <c r="J818" s="48">
        <f>IFERROR(MINUS(DIVIDE(VLOOKUP($B818,Data!$B$3:$EZ1530,24,FALSE),VLOOKUP($B818,Data!$B$3:$EZ1530,25,FALSE)),1),"")</f>
        <v>0.2290393547</v>
      </c>
      <c r="K818" s="48">
        <f>IFERROR(MINUS(DIVIDE(VLOOKUP($B818,Data!$B$3:$EZ1530,29,FALSE),VLOOKUP($B818,Data!$B$3:$EZ1530,30,FALSE)),1),"")</f>
        <v>0.1188865765</v>
      </c>
      <c r="L818" s="48">
        <f>IFERROR(MINUS(DIVIDE(VLOOKUP($B818,Data!$B$3:$EZ1530,34,FALSE),VLOOKUP($B818,Data!$B$3:$EZ1530,35,FALSE)),1),"")</f>
        <v>0.2158636285</v>
      </c>
      <c r="M818" s="48">
        <f>IFERROR(MINUS(DIVIDE(VLOOKUP($B818,Data!$B$3:$EZ1530,39,FALSE),VLOOKUP($B818,Data!$B$3:$EZ1530,40,FALSE)),1),"")</f>
        <v>0.09120627656</v>
      </c>
      <c r="N818" s="48">
        <f>IFERROR(MINUS(DIVIDE(VLOOKUP($B818,Data!$B$3:$EZ1530,44,FALSE),VLOOKUP($B818,Data!$B$3:$EZ1530,45,FALSE)),1),"")</f>
        <v>0.5171473995</v>
      </c>
      <c r="O818" s="50">
        <f>IFERROR(VLOOKUP($B818,Data!$B$3:$D1530,2,FALSE),"")</f>
        <v>4720000</v>
      </c>
      <c r="P818" s="50">
        <f>IFERROR(VLOOKUP($B818,Data!$B$3:$D1530,3,FALSE),"")</f>
        <v>4310000</v>
      </c>
      <c r="Q818" s="48">
        <f t="shared" si="2"/>
        <v>0.09512761021</v>
      </c>
      <c r="R818" s="48"/>
      <c r="S818" s="48"/>
      <c r="T818" s="48"/>
      <c r="U818" s="48"/>
      <c r="V818" s="48"/>
      <c r="W818" s="50"/>
      <c r="Z818" s="11"/>
      <c r="AA818" s="11"/>
    </row>
    <row r="819">
      <c r="A819" s="9">
        <f t="shared" si="1"/>
        <v>816</v>
      </c>
      <c r="B819" s="47" t="s">
        <v>953</v>
      </c>
      <c r="C819" s="48">
        <f>IFERROR(DIVIDE(VLOOKUP($B819,Data!$B$3:$AB$1535,9,FALSE),VLOOKUP($B819,Data!$B$3:$AB$1535,4,FALSE)),"")</f>
        <v>0.9081241283</v>
      </c>
      <c r="D819" s="48">
        <f>IFERROR(DIVIDE(VLOOKUP($B819,Data!$B$3:$AB$1535,24,FALSE),VLOOKUP($B819,Data!$B$3:$AB$1535,4,FALSE)),"")</f>
        <v>-2.385111576</v>
      </c>
      <c r="E819" s="48">
        <f>IFERROR(DIVIDE(VLOOKUP($B819,Data!$B$3:$EZ1530,29,FALSE),VLOOKUP($B819,Data!$B$3:$EZ1530,4,FALSE)),"")</f>
        <v>-2.27667364</v>
      </c>
      <c r="F819" s="48">
        <f>IFERROR(DIVIDE(VLOOKUP($B819,Data!$B$3:$EZ1530,34,FALSE),VLOOKUP($B819,Data!$B$3:$EZ1530,4,FALSE)),"")</f>
        <v>-2.301603905</v>
      </c>
      <c r="G819" s="48">
        <f>IFERROR(DIVIDE(VLOOKUP($B819,Data!$B$3:$EZ1530,39,FALSE),VLOOKUP($B819,Data!$B$3:$EZ1530,4,FALSE)),"")</f>
        <v>-2.322175732</v>
      </c>
      <c r="H819" s="48">
        <f>IFERROR(DIVIDE(VLOOKUP($B819,Data!$B$3:$EZ1530,44,FALSE),VLOOKUP($B819,Data!$B$3:$EZ1530,4,FALSE)),"")</f>
        <v>-1.450662483</v>
      </c>
      <c r="I819" s="48">
        <f>IFERROR(MINUS(DIVIDE(VLOOKUP($B819,Data!$B$3:$EZ1530,9,FALSE),VLOOKUP($B819,Data!$B$3:$EZ1530,10,FALSE)),1),"")</f>
        <v>0.09871335161</v>
      </c>
      <c r="J819" s="48">
        <f>IFERROR(MINUS(DIVIDE(VLOOKUP($B819,Data!$B$3:$EZ1530,24,FALSE),VLOOKUP($B819,Data!$B$3:$EZ1530,25,FALSE)),1),"")</f>
        <v>7.924331376</v>
      </c>
      <c r="K819" s="48">
        <f>IFERROR(MINUS(DIVIDE(VLOOKUP($B819,Data!$B$3:$EZ1530,29,FALSE),VLOOKUP($B819,Data!$B$3:$EZ1530,30,FALSE)),1),"")</f>
        <v>80.11180124</v>
      </c>
      <c r="L819" s="48">
        <f>IFERROR(MINUS(DIVIDE(VLOOKUP($B819,Data!$B$3:$EZ1530,34,FALSE),VLOOKUP($B819,Data!$B$3:$EZ1530,35,FALSE)),1),"")</f>
        <v>8.608442504</v>
      </c>
      <c r="M819" s="48">
        <f>IFERROR(MINUS(DIVIDE(VLOOKUP($B819,Data!$B$3:$EZ1530,39,FALSE),VLOOKUP($B819,Data!$B$3:$EZ1530,40,FALSE)),1),"")</f>
        <v>46.91366906</v>
      </c>
      <c r="N819" s="48">
        <f>IFERROR(MINUS(DIVIDE(VLOOKUP($B819,Data!$B$3:$EZ1530,44,FALSE),VLOOKUP($B819,Data!$B$3:$EZ1530,45,FALSE)),1),"")</f>
        <v>-1.27068085</v>
      </c>
      <c r="O819" s="50">
        <f>IFERROR(VLOOKUP($B819,Data!$B$3:$D1530,2,FALSE),"")</f>
        <v>208260</v>
      </c>
      <c r="P819" s="50">
        <f>IFERROR(VLOOKUP($B819,Data!$B$3:$D1530,3,FALSE),"")</f>
        <v>52370</v>
      </c>
      <c r="Q819" s="48">
        <f t="shared" si="2"/>
        <v>2.97670422</v>
      </c>
      <c r="R819" s="48"/>
      <c r="S819" s="48"/>
      <c r="T819" s="48"/>
      <c r="U819" s="48"/>
      <c r="V819" s="48"/>
      <c r="W819" s="50"/>
      <c r="Z819" s="15"/>
      <c r="AA819" s="15"/>
    </row>
    <row r="820">
      <c r="A820" s="9">
        <f t="shared" si="1"/>
        <v>817</v>
      </c>
      <c r="B820" s="47" t="s">
        <v>954</v>
      </c>
      <c r="C820" s="48">
        <f>IFERROR(DIVIDE(VLOOKUP($B820,Data!$B$3:$AB$1535,9,FALSE),VLOOKUP($B820,Data!$B$3:$AB$1535,4,FALSE)),"")</f>
        <v>0.2026055705</v>
      </c>
      <c r="D820" s="48">
        <f>IFERROR(DIVIDE(VLOOKUP($B820,Data!$B$3:$AB$1535,24,FALSE),VLOOKUP($B820,Data!$B$3:$AB$1535,4,FALSE)),"")</f>
        <v>0.1105121294</v>
      </c>
      <c r="E820" s="48">
        <f>IFERROR(DIVIDE(VLOOKUP($B820,Data!$B$3:$EZ1530,29,FALSE),VLOOKUP($B820,Data!$B$3:$EZ1530,4,FALSE)),"")</f>
        <v>0.1091644205</v>
      </c>
      <c r="F820" s="48">
        <f>IFERROR(DIVIDE(VLOOKUP($B820,Data!$B$3:$EZ1530,34,FALSE),VLOOKUP($B820,Data!$B$3:$EZ1530,4,FALSE)),"")</f>
        <v>0.1168014376</v>
      </c>
      <c r="G820" s="48">
        <f>IFERROR(DIVIDE(VLOOKUP($B820,Data!$B$3:$EZ1530,39,FALSE),VLOOKUP($B820,Data!$B$3:$EZ1530,4,FALSE)),"")</f>
        <v>0.08221024259</v>
      </c>
      <c r="H820" s="48">
        <f>IFERROR(DIVIDE(VLOOKUP($B820,Data!$B$3:$EZ1530,44,FALSE),VLOOKUP($B820,Data!$B$3:$EZ1530,4,FALSE)),"")</f>
        <v>0.08490566038</v>
      </c>
      <c r="I820" s="48">
        <f>IFERROR(MINUS(DIVIDE(VLOOKUP($B820,Data!$B$3:$EZ1530,9,FALSE),VLOOKUP($B820,Data!$B$3:$EZ1530,10,FALSE)),1),"")</f>
        <v>0.1446700508</v>
      </c>
      <c r="J820" s="48">
        <f>IFERROR(MINUS(DIVIDE(VLOOKUP($B820,Data!$B$3:$EZ1530,24,FALSE),VLOOKUP($B820,Data!$B$3:$EZ1530,25,FALSE)),1),"")</f>
        <v>0.3666666667</v>
      </c>
      <c r="K820" s="48">
        <f>IFERROR(MINUS(DIVIDE(VLOOKUP($B820,Data!$B$3:$EZ1530,29,FALSE),VLOOKUP($B820,Data!$B$3:$EZ1530,30,FALSE)),1),"")</f>
        <v>0.07522123894</v>
      </c>
      <c r="L820" s="48">
        <f>IFERROR(MINUS(DIVIDE(VLOOKUP($B820,Data!$B$3:$EZ1530,34,FALSE),VLOOKUP($B820,Data!$B$3:$EZ1530,35,FALSE)),1),"")</f>
        <v>0.25</v>
      </c>
      <c r="M820" s="48">
        <f>IFERROR(MINUS(DIVIDE(VLOOKUP($B820,Data!$B$3:$EZ1530,39,FALSE),VLOOKUP($B820,Data!$B$3:$EZ1530,40,FALSE)),1),"")</f>
        <v>0.08928571429</v>
      </c>
      <c r="N820" s="48">
        <f>IFERROR(MINUS(DIVIDE(VLOOKUP($B820,Data!$B$3:$EZ1530,44,FALSE),VLOOKUP($B820,Data!$B$3:$EZ1530,45,FALSE)),1),"")</f>
        <v>-0.08252427184</v>
      </c>
      <c r="O820" s="50">
        <f>IFERROR(VLOOKUP($B820,Data!$B$3:$D1530,2,FALSE),"")</f>
        <v>21800000</v>
      </c>
      <c r="P820" s="50">
        <f>IFERROR(VLOOKUP($B820,Data!$B$3:$D1530,3,FALSE),"")</f>
        <v>21250000</v>
      </c>
      <c r="Q820" s="48">
        <f t="shared" si="2"/>
        <v>0.02588235294</v>
      </c>
      <c r="R820" s="48"/>
      <c r="S820" s="48"/>
      <c r="T820" s="48"/>
      <c r="U820" s="48"/>
      <c r="V820" s="48"/>
      <c r="W820" s="50"/>
      <c r="Z820" s="15"/>
      <c r="AA820" s="15"/>
    </row>
    <row r="821">
      <c r="A821" s="9">
        <f t="shared" si="1"/>
        <v>818</v>
      </c>
      <c r="B821" s="47" t="s">
        <v>955</v>
      </c>
      <c r="C821" s="48">
        <f>IFERROR(DIVIDE(VLOOKUP($B821,Data!$B$3:$AB$1535,9,FALSE),VLOOKUP($B821,Data!$B$3:$AB$1535,4,FALSE)),"")</f>
        <v>0.1239866476</v>
      </c>
      <c r="D821" s="48">
        <f>IFERROR(DIVIDE(VLOOKUP($B821,Data!$B$3:$AB$1535,24,FALSE),VLOOKUP($B821,Data!$B$3:$AB$1535,4,FALSE)),"")</f>
        <v>-0.09728183119</v>
      </c>
      <c r="E821" s="48">
        <f>IFERROR(DIVIDE(VLOOKUP($B821,Data!$B$3:$EZ1530,29,FALSE),VLOOKUP($B821,Data!$B$3:$EZ1530,4,FALSE)),"")</f>
        <v>-0.07725321888</v>
      </c>
      <c r="F821" s="48">
        <f>IFERROR(DIVIDE(VLOOKUP($B821,Data!$B$3:$EZ1530,34,FALSE),VLOOKUP($B821,Data!$B$3:$EZ1530,4,FALSE)),"")</f>
        <v>-0.07248450167</v>
      </c>
      <c r="G821" s="48">
        <f>IFERROR(DIVIDE(VLOOKUP($B821,Data!$B$3:$EZ1530,39,FALSE),VLOOKUP($B821,Data!$B$3:$EZ1530,4,FALSE)),"")</f>
        <v>-0.07868383405</v>
      </c>
      <c r="H821" s="48">
        <f>IFERROR(DIVIDE(VLOOKUP($B821,Data!$B$3:$EZ1530,44,FALSE),VLOOKUP($B821,Data!$B$3:$EZ1530,4,FALSE)),"")</f>
        <v>0.02479732952</v>
      </c>
      <c r="I821" s="48">
        <f>IFERROR(MINUS(DIVIDE(VLOOKUP($B821,Data!$B$3:$EZ1530,9,FALSE),VLOOKUP($B821,Data!$B$3:$EZ1530,10,FALSE)),1),"")</f>
        <v>-2.06122449</v>
      </c>
      <c r="J821" s="48">
        <f>IFERROR(MINUS(DIVIDE(VLOOKUP($B821,Data!$B$3:$EZ1530,24,FALSE),VLOOKUP($B821,Data!$B$3:$EZ1530,25,FALSE)),1),"")</f>
        <v>-0.7787418655</v>
      </c>
      <c r="K821" s="48">
        <f>IFERROR(MINUS(DIVIDE(VLOOKUP($B821,Data!$B$3:$EZ1530,29,FALSE),VLOOKUP($B821,Data!$B$3:$EZ1530,30,FALSE)),1),"")</f>
        <v>-0.8443804035</v>
      </c>
      <c r="L821" s="48">
        <f>IFERROR(MINUS(DIVIDE(VLOOKUP($B821,Data!$B$3:$EZ1530,34,FALSE),VLOOKUP($B821,Data!$B$3:$EZ1530,35,FALSE)),1),"")</f>
        <v>-0.817087846</v>
      </c>
      <c r="M821" s="48">
        <f>IFERROR(MINUS(DIVIDE(VLOOKUP($B821,Data!$B$3:$EZ1530,39,FALSE),VLOOKUP($B821,Data!$B$3:$EZ1530,40,FALSE)),1),"")</f>
        <v>-0.8414985591</v>
      </c>
      <c r="N821" s="48">
        <f>IFERROR(MINUS(DIVIDE(VLOOKUP($B821,Data!$B$3:$EZ1530,44,FALSE),VLOOKUP($B821,Data!$B$3:$EZ1530,45,FALSE)),1),"")</f>
        <v>-1.064596273</v>
      </c>
      <c r="O821" s="50" t="str">
        <f>IFERROR(VLOOKUP($B821,Data!$B$3:$D1530,2,FALSE),"")</f>
        <v/>
      </c>
      <c r="P821" s="50" t="str">
        <f>IFERROR(VLOOKUP($B821,Data!$B$3:$D1530,3,FALSE),"")</f>
        <v/>
      </c>
      <c r="Q821" s="48" t="str">
        <f t="shared" si="2"/>
        <v/>
      </c>
      <c r="R821" s="48"/>
      <c r="S821" s="48"/>
      <c r="T821" s="48"/>
      <c r="U821" s="48"/>
      <c r="V821" s="48"/>
      <c r="W821" s="50"/>
      <c r="Z821" s="11"/>
      <c r="AA821" s="11"/>
    </row>
    <row r="822">
      <c r="A822" s="9">
        <f t="shared" si="1"/>
        <v>819</v>
      </c>
      <c r="B822" s="47" t="s">
        <v>956</v>
      </c>
      <c r="C822" s="48">
        <f>IFERROR(DIVIDE(VLOOKUP($B822,Data!$B$3:$AB$1535,9,FALSE),VLOOKUP($B822,Data!$B$3:$AB$1535,4,FALSE)),"")</f>
        <v>0.8319614091</v>
      </c>
      <c r="D822" s="48">
        <f>IFERROR(DIVIDE(VLOOKUP($B822,Data!$B$3:$AB$1535,24,FALSE),VLOOKUP($B822,Data!$B$3:$AB$1535,4,FALSE)),"")</f>
        <v>0</v>
      </c>
      <c r="E822" s="48">
        <f>IFERROR(DIVIDE(VLOOKUP($B822,Data!$B$3:$EZ1530,29,FALSE),VLOOKUP($B822,Data!$B$3:$EZ1530,4,FALSE)),"")</f>
        <v>0.04084793769</v>
      </c>
      <c r="F822" s="48">
        <f>IFERROR(DIVIDE(VLOOKUP($B822,Data!$B$3:$EZ1530,34,FALSE),VLOOKUP($B822,Data!$B$3:$EZ1530,4,FALSE)),"")</f>
        <v>0.05182333156</v>
      </c>
      <c r="G822" s="48">
        <f>IFERROR(DIVIDE(VLOOKUP($B822,Data!$B$3:$EZ1530,39,FALSE),VLOOKUP($B822,Data!$B$3:$EZ1530,4,FALSE)),"")</f>
        <v>0.032881926</v>
      </c>
      <c r="H822" s="48">
        <f>IFERROR(DIVIDE(VLOOKUP($B822,Data!$B$3:$EZ1530,44,FALSE),VLOOKUP($B822,Data!$B$3:$EZ1530,4,FALSE)),"")</f>
        <v>0.07873074881</v>
      </c>
      <c r="I822" s="48">
        <f>IFERROR(MINUS(DIVIDE(VLOOKUP($B822,Data!$B$3:$EZ1530,9,FALSE),VLOOKUP($B822,Data!$B$3:$EZ1530,10,FALSE)),1),"")</f>
        <v>0.1165953908</v>
      </c>
      <c r="J822" s="48" t="str">
        <f>IFERROR(MINUS(DIVIDE(VLOOKUP($B822,Data!$B$3:$EZ1530,24,FALSE),VLOOKUP($B822,Data!$B$3:$EZ1530,25,FALSE)),1),"")</f>
        <v/>
      </c>
      <c r="K822" s="48">
        <f>IFERROR(MINUS(DIVIDE(VLOOKUP($B822,Data!$B$3:$EZ1530,29,FALSE),VLOOKUP($B822,Data!$B$3:$EZ1530,30,FALSE)),1),"")</f>
        <v>-0.0335078534</v>
      </c>
      <c r="L822" s="48">
        <f>IFERROR(MINUS(DIVIDE(VLOOKUP($B822,Data!$B$3:$EZ1530,34,FALSE),VLOOKUP($B822,Data!$B$3:$EZ1530,35,FALSE)),1),"")</f>
        <v>0.005150214592</v>
      </c>
      <c r="M822" s="48">
        <f>IFERROR(MINUS(DIVIDE(VLOOKUP($B822,Data!$B$3:$EZ1530,39,FALSE),VLOOKUP($B822,Data!$B$3:$EZ1530,40,FALSE)),1),"")</f>
        <v>0.2899305556</v>
      </c>
      <c r="N822" s="48">
        <f>IFERROR(MINUS(DIVIDE(VLOOKUP($B822,Data!$B$3:$EZ1530,44,FALSE),VLOOKUP($B822,Data!$B$3:$EZ1530,45,FALSE)),1),"")</f>
        <v>0.3416289593</v>
      </c>
      <c r="O822" s="50" t="str">
        <f>IFERROR(VLOOKUP($B822,Data!$B$3:$D1530,2,FALSE),"")</f>
        <v/>
      </c>
      <c r="P822" s="50">
        <f>IFERROR(VLOOKUP($B822,Data!$B$3:$D1530,3,FALSE),"")</f>
        <v>241520</v>
      </c>
      <c r="Q822" s="48">
        <f t="shared" si="2"/>
        <v>-1</v>
      </c>
      <c r="R822" s="48"/>
      <c r="S822" s="48"/>
      <c r="T822" s="48"/>
      <c r="U822" s="48"/>
      <c r="V822" s="48"/>
      <c r="W822" s="50"/>
      <c r="Z822" s="11"/>
      <c r="AA822" s="11"/>
    </row>
    <row r="823">
      <c r="A823" s="9">
        <f t="shared" si="1"/>
        <v>820</v>
      </c>
      <c r="B823" s="47" t="s">
        <v>957</v>
      </c>
      <c r="C823" s="48" t="str">
        <f>IFERROR(DIVIDE(VLOOKUP($B823,Data!$B$3:$AB$1535,9,FALSE),VLOOKUP($B823,Data!$B$3:$AB$1535,4,FALSE)),"")</f>
        <v/>
      </c>
      <c r="D823" s="48" t="str">
        <f>IFERROR(DIVIDE(VLOOKUP($B823,Data!$B$3:$AB$1535,24,FALSE),VLOOKUP($B823,Data!$B$3:$AB$1535,4,FALSE)),"")</f>
        <v/>
      </c>
      <c r="E823" s="48" t="str">
        <f>IFERROR(DIVIDE(VLOOKUP($B823,Data!$B$3:$EZ1530,29,FALSE),VLOOKUP($B823,Data!$B$3:$EZ1530,4,FALSE)),"")</f>
        <v/>
      </c>
      <c r="F823" s="48" t="str">
        <f>IFERROR(DIVIDE(VLOOKUP($B823,Data!$B$3:$EZ1530,34,FALSE),VLOOKUP($B823,Data!$B$3:$EZ1530,4,FALSE)),"")</f>
        <v/>
      </c>
      <c r="G823" s="48" t="str">
        <f>IFERROR(DIVIDE(VLOOKUP($B823,Data!$B$3:$EZ1530,39,FALSE),VLOOKUP($B823,Data!$B$3:$EZ1530,4,FALSE)),"")</f>
        <v/>
      </c>
      <c r="H823" s="48" t="str">
        <f>IFERROR(DIVIDE(VLOOKUP($B823,Data!$B$3:$EZ1530,44,FALSE),VLOOKUP($B823,Data!$B$3:$EZ1530,4,FALSE)),"")</f>
        <v/>
      </c>
      <c r="I823" s="48" t="str">
        <f>IFERROR(MINUS(DIVIDE(VLOOKUP($B823,Data!$B$3:$EZ1530,9,FALSE),VLOOKUP($B823,Data!$B$3:$EZ1530,10,FALSE)),1),"")</f>
        <v/>
      </c>
      <c r="J823" s="48" t="str">
        <f>IFERROR(MINUS(DIVIDE(VLOOKUP($B823,Data!$B$3:$EZ1530,24,FALSE),VLOOKUP($B823,Data!$B$3:$EZ1530,25,FALSE)),1),"")</f>
        <v/>
      </c>
      <c r="K823" s="48" t="str">
        <f>IFERROR(MINUS(DIVIDE(VLOOKUP($B823,Data!$B$3:$EZ1530,29,FALSE),VLOOKUP($B823,Data!$B$3:$EZ1530,30,FALSE)),1),"")</f>
        <v/>
      </c>
      <c r="L823" s="48" t="str">
        <f>IFERROR(MINUS(DIVIDE(VLOOKUP($B823,Data!$B$3:$EZ1530,34,FALSE),VLOOKUP($B823,Data!$B$3:$EZ1530,35,FALSE)),1),"")</f>
        <v/>
      </c>
      <c r="M823" s="48" t="str">
        <f>IFERROR(MINUS(DIVIDE(VLOOKUP($B823,Data!$B$3:$EZ1530,39,FALSE),VLOOKUP($B823,Data!$B$3:$EZ1530,40,FALSE)),1),"")</f>
        <v/>
      </c>
      <c r="N823" s="48" t="str">
        <f>IFERROR(MINUS(DIVIDE(VLOOKUP($B823,Data!$B$3:$EZ1530,44,FALSE),VLOOKUP($B823,Data!$B$3:$EZ1530,45,FALSE)),1),"")</f>
        <v/>
      </c>
      <c r="O823" s="50" t="str">
        <f>IFERROR(VLOOKUP($B823,Data!$B$3:$D1530,2,FALSE),"")</f>
        <v/>
      </c>
      <c r="P823" s="50" t="str">
        <f>IFERROR(VLOOKUP($B823,Data!$B$3:$D1530,3,FALSE),"")</f>
        <v/>
      </c>
      <c r="Q823" s="48" t="str">
        <f t="shared" si="2"/>
        <v/>
      </c>
      <c r="R823" s="48"/>
      <c r="S823" s="48"/>
      <c r="T823" s="48"/>
      <c r="U823" s="48"/>
      <c r="V823" s="48"/>
      <c r="W823" s="50"/>
      <c r="Z823" s="12"/>
      <c r="AA823" s="12"/>
    </row>
    <row r="824">
      <c r="A824" s="9">
        <f t="shared" si="1"/>
        <v>821</v>
      </c>
      <c r="B824" s="47" t="s">
        <v>958</v>
      </c>
      <c r="C824" s="48">
        <f>IFERROR(DIVIDE(VLOOKUP($B824,Data!$B$3:$AB$1535,9,FALSE),VLOOKUP($B824,Data!$B$3:$AB$1535,4,FALSE)),"")</f>
        <v>0.2368695652</v>
      </c>
      <c r="D824" s="48">
        <f>IFERROR(DIVIDE(VLOOKUP($B824,Data!$B$3:$AB$1535,24,FALSE),VLOOKUP($B824,Data!$B$3:$AB$1535,4,FALSE)),"")</f>
        <v>0.1235706522</v>
      </c>
      <c r="E824" s="48">
        <f>IFERROR(DIVIDE(VLOOKUP($B824,Data!$B$3:$EZ1530,29,FALSE),VLOOKUP($B824,Data!$B$3:$EZ1530,4,FALSE)),"")</f>
        <v>0.1259945652</v>
      </c>
      <c r="F824" s="48">
        <f>IFERROR(DIVIDE(VLOOKUP($B824,Data!$B$3:$EZ1530,34,FALSE),VLOOKUP($B824,Data!$B$3:$EZ1530,4,FALSE)),"")</f>
        <v>0.1240108696</v>
      </c>
      <c r="G824" s="48">
        <f>IFERROR(DIVIDE(VLOOKUP($B824,Data!$B$3:$EZ1530,39,FALSE),VLOOKUP($B824,Data!$B$3:$EZ1530,4,FALSE)),"")</f>
        <v>0.09707065217</v>
      </c>
      <c r="H824" s="48">
        <f>IFERROR(DIVIDE(VLOOKUP($B824,Data!$B$3:$EZ1530,44,FALSE),VLOOKUP($B824,Data!$B$3:$EZ1530,4,FALSE)),"")</f>
        <v>-0.02278804348</v>
      </c>
      <c r="I824" s="48">
        <f>IFERROR(MINUS(DIVIDE(VLOOKUP($B824,Data!$B$3:$EZ1530,9,FALSE),VLOOKUP($B824,Data!$B$3:$EZ1530,10,FALSE)),1),"")</f>
        <v>0.1493367791</v>
      </c>
      <c r="J824" s="48">
        <f>IFERROR(MINUS(DIVIDE(VLOOKUP($B824,Data!$B$3:$EZ1530,24,FALSE),VLOOKUP($B824,Data!$B$3:$EZ1530,25,FALSE)),1),"")</f>
        <v>0.1570403542</v>
      </c>
      <c r="K824" s="48">
        <f>IFERROR(MINUS(DIVIDE(VLOOKUP($B824,Data!$B$3:$EZ1530,29,FALSE),VLOOKUP($B824,Data!$B$3:$EZ1530,30,FALSE)),1),"")</f>
        <v>0.1643897539</v>
      </c>
      <c r="L824" s="48">
        <f>IFERROR(MINUS(DIVIDE(VLOOKUP($B824,Data!$B$3:$EZ1530,34,FALSE),VLOOKUP($B824,Data!$B$3:$EZ1530,35,FALSE)),1),"")</f>
        <v>0.131732963</v>
      </c>
      <c r="M824" s="48">
        <f>IFERROR(MINUS(DIVIDE(VLOOKUP($B824,Data!$B$3:$EZ1530,39,FALSE),VLOOKUP($B824,Data!$B$3:$EZ1530,40,FALSE)),1),"")</f>
        <v>0.1501706485</v>
      </c>
      <c r="N824" s="48">
        <f>IFERROR(MINUS(DIVIDE(VLOOKUP($B824,Data!$B$3:$EZ1530,44,FALSE),VLOOKUP($B824,Data!$B$3:$EZ1530,45,FALSE)),1),"")</f>
        <v>-0.6407642221</v>
      </c>
      <c r="O824" s="50">
        <f>IFERROR(VLOOKUP($B824,Data!$B$3:$D1530,2,FALSE),"")</f>
        <v>2300000</v>
      </c>
      <c r="P824" s="50">
        <f>IFERROR(VLOOKUP($B824,Data!$B$3:$D1530,3,FALSE),"")</f>
        <v>1990000</v>
      </c>
      <c r="Q824" s="48">
        <f t="shared" si="2"/>
        <v>0.1557788945</v>
      </c>
      <c r="R824" s="48"/>
      <c r="S824" s="48"/>
      <c r="T824" s="48"/>
      <c r="U824" s="48"/>
      <c r="V824" s="48"/>
      <c r="W824" s="50"/>
      <c r="Z824" s="12"/>
      <c r="AA824" s="11"/>
    </row>
    <row r="825">
      <c r="A825" s="9">
        <f t="shared" si="1"/>
        <v>822</v>
      </c>
      <c r="B825" s="47" t="s">
        <v>959</v>
      </c>
      <c r="C825" s="48">
        <f>IFERROR(DIVIDE(VLOOKUP($B825,Data!$B$3:$AB$1535,9,FALSE),VLOOKUP($B825,Data!$B$3:$AB$1535,4,FALSE)),"")</f>
        <v>0.554539408</v>
      </c>
      <c r="D825" s="48">
        <f>IFERROR(DIVIDE(VLOOKUP($B825,Data!$B$3:$AB$1535,24,FALSE),VLOOKUP($B825,Data!$B$3:$AB$1535,4,FALSE)),"")</f>
        <v>-0.1539740605</v>
      </c>
      <c r="E825" s="48">
        <f>IFERROR(DIVIDE(VLOOKUP($B825,Data!$B$3:$EZ1530,29,FALSE),VLOOKUP($B825,Data!$B$3:$EZ1530,4,FALSE)),"")</f>
        <v>6.623212504</v>
      </c>
      <c r="F825" s="48">
        <f>IFERROR(DIVIDE(VLOOKUP($B825,Data!$B$3:$EZ1530,34,FALSE),VLOOKUP($B825,Data!$B$3:$EZ1530,4,FALSE)),"")</f>
        <v>0.3160126372</v>
      </c>
      <c r="G825" s="48">
        <f>IFERROR(DIVIDE(VLOOKUP($B825,Data!$B$3:$EZ1530,39,FALSE),VLOOKUP($B825,Data!$B$3:$EZ1530,4,FALSE)),"")</f>
        <v>5.231958763</v>
      </c>
      <c r="H825" s="48">
        <f>IFERROR(DIVIDE(VLOOKUP($B825,Data!$B$3:$EZ1530,44,FALSE),VLOOKUP($B825,Data!$B$3:$EZ1530,4,FALSE)),"")</f>
        <v>-0.2439308281</v>
      </c>
      <c r="I825" s="48">
        <f>IFERROR(MINUS(DIVIDE(VLOOKUP($B825,Data!$B$3:$EZ1530,9,FALSE),VLOOKUP($B825,Data!$B$3:$EZ1530,10,FALSE)),1),"")</f>
        <v>-0.7091400663</v>
      </c>
      <c r="J825" s="48">
        <f>IFERROR(MINUS(DIVIDE(VLOOKUP($B825,Data!$B$3:$EZ1530,24,FALSE),VLOOKUP($B825,Data!$B$3:$EZ1530,25,FALSE)),1),"")</f>
        <v>-1.109501567</v>
      </c>
      <c r="K825" s="48">
        <f>IFERROR(MINUS(DIVIDE(VLOOKUP($B825,Data!$B$3:$EZ1530,29,FALSE),VLOOKUP($B825,Data!$B$3:$EZ1530,30,FALSE)),1),"")</f>
        <v>3.596088386</v>
      </c>
      <c r="L825" s="48">
        <f>IFERROR(MINUS(DIVIDE(VLOOKUP($B825,Data!$B$3:$EZ1530,34,FALSE),VLOOKUP($B825,Data!$B$3:$EZ1530,35,FALSE)),1),"")</f>
        <v>-0.7893249085</v>
      </c>
      <c r="M825" s="48">
        <f>IFERROR(MINUS(DIVIDE(VLOOKUP($B825,Data!$B$3:$EZ1530,39,FALSE),VLOOKUP($B825,Data!$B$3:$EZ1530,40,FALSE)),1),"")</f>
        <v>3.39087357</v>
      </c>
      <c r="N825" s="48">
        <f>IFERROR(MINUS(DIVIDE(VLOOKUP($B825,Data!$B$3:$EZ1530,44,FALSE),VLOOKUP($B825,Data!$B$3:$EZ1530,45,FALSE)),1),"")</f>
        <v>-1.151190353</v>
      </c>
      <c r="O825" s="50">
        <f>IFERROR(VLOOKUP($B825,Data!$B$3:$D1530,2,FALSE),"")</f>
        <v>186740</v>
      </c>
      <c r="P825" s="50">
        <f>IFERROR(VLOOKUP($B825,Data!$B$3:$D1530,3,FALSE),"")</f>
        <v>166790</v>
      </c>
      <c r="Q825" s="48">
        <f t="shared" si="2"/>
        <v>0.1196114875</v>
      </c>
      <c r="R825" s="48"/>
      <c r="S825" s="48"/>
      <c r="T825" s="48"/>
      <c r="U825" s="48"/>
      <c r="V825" s="48"/>
      <c r="W825" s="50"/>
      <c r="Z825" s="12"/>
      <c r="AA825" s="12"/>
    </row>
    <row r="826">
      <c r="A826" s="9">
        <f t="shared" si="1"/>
        <v>823</v>
      </c>
      <c r="B826" s="47" t="s">
        <v>960</v>
      </c>
      <c r="C826" s="48">
        <f>IFERROR(DIVIDE(VLOOKUP($B826,Data!$B$3:$AB$1535,9,FALSE),VLOOKUP($B826,Data!$B$3:$AB$1535,4,FALSE)),"")</f>
        <v>0.2606060606</v>
      </c>
      <c r="D826" s="48">
        <f>IFERROR(DIVIDE(VLOOKUP($B826,Data!$B$3:$AB$1535,24,FALSE),VLOOKUP($B826,Data!$B$3:$AB$1535,4,FALSE)),"")</f>
        <v>0.1151515152</v>
      </c>
      <c r="E826" s="48">
        <f>IFERROR(DIVIDE(VLOOKUP($B826,Data!$B$3:$EZ1530,29,FALSE),VLOOKUP($B826,Data!$B$3:$EZ1530,4,FALSE)),"")</f>
        <v>0.09523809524</v>
      </c>
      <c r="F826" s="48">
        <f>IFERROR(DIVIDE(VLOOKUP($B826,Data!$B$3:$EZ1530,34,FALSE),VLOOKUP($B826,Data!$B$3:$EZ1530,4,FALSE)),"")</f>
        <v>0.1913419913</v>
      </c>
      <c r="G826" s="48">
        <f>IFERROR(DIVIDE(VLOOKUP($B826,Data!$B$3:$EZ1530,39,FALSE),VLOOKUP($B826,Data!$B$3:$EZ1530,4,FALSE)),"")</f>
        <v>0.07132467532</v>
      </c>
      <c r="H826" s="48">
        <f>IFERROR(DIVIDE(VLOOKUP($B826,Data!$B$3:$EZ1530,44,FALSE),VLOOKUP($B826,Data!$B$3:$EZ1530,4,FALSE)),"")</f>
        <v>0.1246753247</v>
      </c>
      <c r="I826" s="48">
        <f>IFERROR(MINUS(DIVIDE(VLOOKUP($B826,Data!$B$3:$EZ1530,9,FALSE),VLOOKUP($B826,Data!$B$3:$EZ1530,10,FALSE)),1),"")</f>
        <v>0.02380952381</v>
      </c>
      <c r="J826" s="48" t="str">
        <f>IFERROR(MINUS(DIVIDE(VLOOKUP($B826,Data!$B$3:$EZ1530,24,FALSE),VLOOKUP($B826,Data!$B$3:$EZ1530,25,FALSE)),1),"")</f>
        <v/>
      </c>
      <c r="K826" s="48">
        <f>IFERROR(MINUS(DIVIDE(VLOOKUP($B826,Data!$B$3:$EZ1530,29,FALSE),VLOOKUP($B826,Data!$B$3:$EZ1530,30,FALSE)),1),"")</f>
        <v>-0.1338582677</v>
      </c>
      <c r="L826" s="48">
        <f>IFERROR(MINUS(DIVIDE(VLOOKUP($B826,Data!$B$3:$EZ1530,34,FALSE),VLOOKUP($B826,Data!$B$3:$EZ1530,35,FALSE)),1),"")</f>
        <v>0.1450777202</v>
      </c>
      <c r="M826" s="48">
        <f>IFERROR(MINUS(DIVIDE(VLOOKUP($B826,Data!$B$3:$EZ1530,39,FALSE),VLOOKUP($B826,Data!$B$3:$EZ1530,40,FALSE)),1),"")</f>
        <v>-0.06778318434</v>
      </c>
      <c r="N826" s="48">
        <f>IFERROR(MINUS(DIVIDE(VLOOKUP($B826,Data!$B$3:$EZ1530,44,FALSE),VLOOKUP($B826,Data!$B$3:$EZ1530,45,FALSE)),1),"")</f>
        <v>0.09923664122</v>
      </c>
      <c r="O826" s="50">
        <f>IFERROR(VLOOKUP($B826,Data!$B$3:$D1530,2,FALSE),"")</f>
        <v>12780000</v>
      </c>
      <c r="P826" s="50">
        <f>IFERROR(VLOOKUP($B826,Data!$B$3:$D1530,3,FALSE),"")</f>
        <v>11860000</v>
      </c>
      <c r="Q826" s="48">
        <f t="shared" si="2"/>
        <v>0.07757166948</v>
      </c>
      <c r="R826" s="48"/>
      <c r="S826" s="48"/>
      <c r="T826" s="48"/>
      <c r="U826" s="48"/>
      <c r="V826" s="48"/>
      <c r="W826" s="50"/>
      <c r="Z826" s="11"/>
      <c r="AA826" s="11"/>
    </row>
    <row r="827">
      <c r="A827" s="9">
        <f t="shared" si="1"/>
        <v>824</v>
      </c>
      <c r="B827" s="47" t="s">
        <v>961</v>
      </c>
      <c r="C827" s="48">
        <f>IFERROR(DIVIDE(VLOOKUP($B827,Data!$B$3:$AB$1535,9,FALSE),VLOOKUP($B827,Data!$B$3:$AB$1535,4,FALSE)),"")</f>
        <v>0.2834645669</v>
      </c>
      <c r="D827" s="48">
        <f>IFERROR(DIVIDE(VLOOKUP($B827,Data!$B$3:$AB$1535,24,FALSE),VLOOKUP($B827,Data!$B$3:$AB$1535,4,FALSE)),"")</f>
        <v>0.173175853</v>
      </c>
      <c r="E827" s="48">
        <f>IFERROR(DIVIDE(VLOOKUP($B827,Data!$B$3:$EZ1530,29,FALSE),VLOOKUP($B827,Data!$B$3:$EZ1530,4,FALSE)),"")</f>
        <v>0.1333070866</v>
      </c>
      <c r="F827" s="48">
        <f>IFERROR(DIVIDE(VLOOKUP($B827,Data!$B$3:$EZ1530,34,FALSE),VLOOKUP($B827,Data!$B$3:$EZ1530,4,FALSE)),"")</f>
        <v>0.1501049869</v>
      </c>
      <c r="G827" s="48">
        <f>IFERROR(DIVIDE(VLOOKUP($B827,Data!$B$3:$EZ1530,39,FALSE),VLOOKUP($B827,Data!$B$3:$EZ1530,4,FALSE)),"")</f>
        <v>0.1072965879</v>
      </c>
      <c r="H827" s="48">
        <f>IFERROR(DIVIDE(VLOOKUP($B827,Data!$B$3:$EZ1530,44,FALSE),VLOOKUP($B827,Data!$B$3:$EZ1530,4,FALSE)),"")</f>
        <v>0.1034120735</v>
      </c>
      <c r="I827" s="48">
        <f>IFERROR(MINUS(DIVIDE(VLOOKUP($B827,Data!$B$3:$EZ1530,9,FALSE),VLOOKUP($B827,Data!$B$3:$EZ1530,10,FALSE)),1),"")</f>
        <v>-0.01818181818</v>
      </c>
      <c r="J827" s="48">
        <f>IFERROR(MINUS(DIVIDE(VLOOKUP($B827,Data!$B$3:$EZ1530,24,FALSE),VLOOKUP($B827,Data!$B$3:$EZ1530,25,FALSE)),1),"")</f>
        <v>0.2635005745</v>
      </c>
      <c r="K827" s="48">
        <f>IFERROR(MINUS(DIVIDE(VLOOKUP($B827,Data!$B$3:$EZ1530,29,FALSE),VLOOKUP($B827,Data!$B$3:$EZ1530,30,FALSE)),1),"")</f>
        <v>0.08548835221</v>
      </c>
      <c r="L827" s="48">
        <f>IFERROR(MINUS(DIVIDE(VLOOKUP($B827,Data!$B$3:$EZ1530,34,FALSE),VLOOKUP($B827,Data!$B$3:$EZ1530,35,FALSE)),1),"")</f>
        <v>0.01598863031</v>
      </c>
      <c r="M827" s="48">
        <f>IFERROR(MINUS(DIVIDE(VLOOKUP($B827,Data!$B$3:$EZ1530,39,FALSE),VLOOKUP($B827,Data!$B$3:$EZ1530,40,FALSE)),1),"")</f>
        <v>0.1346100472</v>
      </c>
      <c r="N827" s="48">
        <f>IFERROR(MINUS(DIVIDE(VLOOKUP($B827,Data!$B$3:$EZ1530,44,FALSE),VLOOKUP($B827,Data!$B$3:$EZ1530,45,FALSE)),1),"")</f>
        <v>-0.2048435923</v>
      </c>
      <c r="O827" s="50">
        <f>IFERROR(VLOOKUP($B827,Data!$B$3:$D1530,2,FALSE),"")</f>
        <v>3690000</v>
      </c>
      <c r="P827" s="50">
        <f>IFERROR(VLOOKUP($B827,Data!$B$3:$D1530,3,FALSE),"")</f>
        <v>3450000</v>
      </c>
      <c r="Q827" s="48">
        <f t="shared" si="2"/>
        <v>0.06956521739</v>
      </c>
      <c r="R827" s="48"/>
      <c r="S827" s="48"/>
      <c r="T827" s="48"/>
      <c r="U827" s="48"/>
      <c r="V827" s="48"/>
      <c r="W827" s="50"/>
      <c r="Z827" s="11"/>
      <c r="AA827" s="11"/>
    </row>
    <row r="828">
      <c r="A828" s="9">
        <f t="shared" si="1"/>
        <v>825</v>
      </c>
      <c r="B828" s="47" t="s">
        <v>962</v>
      </c>
      <c r="C828" s="48">
        <f>IFERROR(DIVIDE(VLOOKUP($B828,Data!$B$3:$AB$1535,9,FALSE),VLOOKUP($B828,Data!$B$3:$AB$1535,4,FALSE)),"")</f>
        <v>0.4392724941</v>
      </c>
      <c r="D828" s="48">
        <f>IFERROR(DIVIDE(VLOOKUP($B828,Data!$B$3:$AB$1535,24,FALSE),VLOOKUP($B828,Data!$B$3:$AB$1535,4,FALSE)),"")</f>
        <v>0</v>
      </c>
      <c r="E828" s="48">
        <f>IFERROR(DIVIDE(VLOOKUP($B828,Data!$B$3:$EZ1530,29,FALSE),VLOOKUP($B828,Data!$B$3:$EZ1530,4,FALSE)),"")</f>
        <v>0.06103354805</v>
      </c>
      <c r="F828" s="48">
        <f>IFERROR(DIVIDE(VLOOKUP($B828,Data!$B$3:$EZ1530,34,FALSE),VLOOKUP($B828,Data!$B$3:$EZ1530,4,FALSE)),"")</f>
        <v>0.1721414206</v>
      </c>
      <c r="G828" s="48">
        <f>IFERROR(DIVIDE(VLOOKUP($B828,Data!$B$3:$EZ1530,39,FALSE),VLOOKUP($B828,Data!$B$3:$EZ1530,4,FALSE)),"")</f>
        <v>0.04765513422</v>
      </c>
      <c r="H828" s="48">
        <f>IFERROR(DIVIDE(VLOOKUP($B828,Data!$B$3:$EZ1530,44,FALSE),VLOOKUP($B828,Data!$B$3:$EZ1530,4,FALSE)),"")</f>
        <v>0.1819347693</v>
      </c>
      <c r="I828" s="48">
        <f>IFERROR(MINUS(DIVIDE(VLOOKUP($B828,Data!$B$3:$EZ1530,9,FALSE),VLOOKUP($B828,Data!$B$3:$EZ1530,10,FALSE)),1),"")</f>
        <v>0.1145540601</v>
      </c>
      <c r="J828" s="48">
        <f>IFERROR(MINUS(DIVIDE(VLOOKUP($B828,Data!$B$3:$EZ1530,24,FALSE),VLOOKUP($B828,Data!$B$3:$EZ1530,25,FALSE)),1),"")</f>
        <v>-1</v>
      </c>
      <c r="K828" s="48">
        <f>IFERROR(MINUS(DIVIDE(VLOOKUP($B828,Data!$B$3:$EZ1530,29,FALSE),VLOOKUP($B828,Data!$B$3:$EZ1530,30,FALSE)),1),"")</f>
        <v>0.7206244864</v>
      </c>
      <c r="L828" s="48">
        <f>IFERROR(MINUS(DIVIDE(VLOOKUP($B828,Data!$B$3:$EZ1530,34,FALSE),VLOOKUP($B828,Data!$B$3:$EZ1530,35,FALSE)),1),"")</f>
        <v>0.253661643</v>
      </c>
      <c r="M828" s="48">
        <f>IFERROR(MINUS(DIVIDE(VLOOKUP($B828,Data!$B$3:$EZ1530,39,FALSE),VLOOKUP($B828,Data!$B$3:$EZ1530,40,FALSE)),1),"")</f>
        <v>0.4405286344</v>
      </c>
      <c r="N828" s="48">
        <f>IFERROR(MINUS(DIVIDE(VLOOKUP($B828,Data!$B$3:$EZ1530,44,FALSE),VLOOKUP($B828,Data!$B$3:$EZ1530,45,FALSE)),1),"")</f>
        <v>0.107523066</v>
      </c>
      <c r="O828" s="50">
        <f>IFERROR(VLOOKUP($B828,Data!$B$3:$D1530,2,FALSE),"")</f>
        <v>293510</v>
      </c>
      <c r="P828" s="50">
        <f>IFERROR(VLOOKUP($B828,Data!$B$3:$D1530,3,FALSE),"")</f>
        <v>148080</v>
      </c>
      <c r="Q828" s="48">
        <f t="shared" si="2"/>
        <v>0.982104268</v>
      </c>
      <c r="R828" s="48"/>
      <c r="S828" s="48"/>
      <c r="T828" s="48"/>
      <c r="U828" s="48"/>
      <c r="V828" s="48"/>
      <c r="W828" s="50"/>
      <c r="Z828" s="11"/>
      <c r="AA828" s="11"/>
    </row>
    <row r="829">
      <c r="A829" s="9">
        <f t="shared" si="1"/>
        <v>826</v>
      </c>
      <c r="B829" s="47" t="s">
        <v>963</v>
      </c>
      <c r="C829" s="48" t="str">
        <f>IFERROR(DIVIDE(VLOOKUP($B829,Data!$B$3:$AB$1535,9,FALSE),VLOOKUP($B829,Data!$B$3:$AB$1535,4,FALSE)),"")</f>
        <v/>
      </c>
      <c r="D829" s="48" t="str">
        <f>IFERROR(DIVIDE(VLOOKUP($B829,Data!$B$3:$AB$1535,24,FALSE),VLOOKUP($B829,Data!$B$3:$AB$1535,4,FALSE)),"")</f>
        <v/>
      </c>
      <c r="E829" s="48" t="str">
        <f>IFERROR(DIVIDE(VLOOKUP($B829,Data!$B$3:$EZ1530,29,FALSE),VLOOKUP($B829,Data!$B$3:$EZ1530,4,FALSE)),"")</f>
        <v/>
      </c>
      <c r="F829" s="48" t="str">
        <f>IFERROR(DIVIDE(VLOOKUP($B829,Data!$B$3:$EZ1530,34,FALSE),VLOOKUP($B829,Data!$B$3:$EZ1530,4,FALSE)),"")</f>
        <v/>
      </c>
      <c r="G829" s="48" t="str">
        <f>IFERROR(DIVIDE(VLOOKUP($B829,Data!$B$3:$EZ1530,39,FALSE),VLOOKUP($B829,Data!$B$3:$EZ1530,4,FALSE)),"")</f>
        <v/>
      </c>
      <c r="H829" s="48" t="str">
        <f>IFERROR(DIVIDE(VLOOKUP($B829,Data!$B$3:$EZ1530,44,FALSE),VLOOKUP($B829,Data!$B$3:$EZ1530,4,FALSE)),"")</f>
        <v/>
      </c>
      <c r="I829" s="48" t="str">
        <f>IFERROR(MINUS(DIVIDE(VLOOKUP($B829,Data!$B$3:$EZ1530,9,FALSE),VLOOKUP($B829,Data!$B$3:$EZ1530,10,FALSE)),1),"")</f>
        <v/>
      </c>
      <c r="J829" s="48" t="str">
        <f>IFERROR(MINUS(DIVIDE(VLOOKUP($B829,Data!$B$3:$EZ1530,24,FALSE),VLOOKUP($B829,Data!$B$3:$EZ1530,25,FALSE)),1),"")</f>
        <v/>
      </c>
      <c r="K829" s="48" t="str">
        <f>IFERROR(MINUS(DIVIDE(VLOOKUP($B829,Data!$B$3:$EZ1530,29,FALSE),VLOOKUP($B829,Data!$B$3:$EZ1530,30,FALSE)),1),"")</f>
        <v/>
      </c>
      <c r="L829" s="48" t="str">
        <f>IFERROR(MINUS(DIVIDE(VLOOKUP($B829,Data!$B$3:$EZ1530,34,FALSE),VLOOKUP($B829,Data!$B$3:$EZ1530,35,FALSE)),1),"")</f>
        <v/>
      </c>
      <c r="M829" s="48" t="str">
        <f>IFERROR(MINUS(DIVIDE(VLOOKUP($B829,Data!$B$3:$EZ1530,39,FALSE),VLOOKUP($B829,Data!$B$3:$EZ1530,40,FALSE)),1),"")</f>
        <v/>
      </c>
      <c r="N829" s="48" t="str">
        <f>IFERROR(MINUS(DIVIDE(VLOOKUP($B829,Data!$B$3:$EZ1530,44,FALSE),VLOOKUP($B829,Data!$B$3:$EZ1530,45,FALSE)),1),"")</f>
        <v/>
      </c>
      <c r="O829" s="50" t="str">
        <f>IFERROR(VLOOKUP($B829,Data!$B$3:$D1530,2,FALSE),"")</f>
        <v/>
      </c>
      <c r="P829" s="50" t="str">
        <f>IFERROR(VLOOKUP($B829,Data!$B$3:$D1530,3,FALSE),"")</f>
        <v/>
      </c>
      <c r="Q829" s="48" t="str">
        <f t="shared" si="2"/>
        <v/>
      </c>
      <c r="R829" s="48"/>
      <c r="S829" s="48"/>
      <c r="T829" s="48"/>
      <c r="U829" s="48"/>
      <c r="V829" s="48"/>
      <c r="W829" s="50"/>
      <c r="Z829" s="11"/>
      <c r="AA829" s="11"/>
    </row>
    <row r="830">
      <c r="A830" s="9">
        <f t="shared" si="1"/>
        <v>827</v>
      </c>
      <c r="B830" s="47" t="s">
        <v>964</v>
      </c>
      <c r="C830" s="48">
        <f>IFERROR(DIVIDE(VLOOKUP($B830,Data!$B$3:$AB$1535,9,FALSE),VLOOKUP($B830,Data!$B$3:$AB$1535,4,FALSE)),"")</f>
        <v>0.6522037037</v>
      </c>
      <c r="D830" s="48">
        <f>IFERROR(DIVIDE(VLOOKUP($B830,Data!$B$3:$AB$1535,24,FALSE),VLOOKUP($B830,Data!$B$3:$AB$1535,4,FALSE)),"")</f>
        <v>-0.1515740741</v>
      </c>
      <c r="E830" s="48">
        <f>IFERROR(DIVIDE(VLOOKUP($B830,Data!$B$3:$EZ1530,29,FALSE),VLOOKUP($B830,Data!$B$3:$EZ1530,4,FALSE)),"")</f>
        <v>-0.1719351852</v>
      </c>
      <c r="F830" s="48">
        <f>IFERROR(DIVIDE(VLOOKUP($B830,Data!$B$3:$EZ1530,34,FALSE),VLOOKUP($B830,Data!$B$3:$EZ1530,4,FALSE)),"")</f>
        <v>0.123712963</v>
      </c>
      <c r="G830" s="48">
        <f>IFERROR(DIVIDE(VLOOKUP($B830,Data!$B$3:$EZ1530,39,FALSE),VLOOKUP($B830,Data!$B$3:$EZ1530,4,FALSE)),"")</f>
        <v>-0.1440185185</v>
      </c>
      <c r="H830" s="48">
        <f>IFERROR(DIVIDE(VLOOKUP($B830,Data!$B$3:$EZ1530,44,FALSE),VLOOKUP($B830,Data!$B$3:$EZ1530,4,FALSE)),"")</f>
        <v>-0.08438888889</v>
      </c>
      <c r="I830" s="48">
        <f>IFERROR(MINUS(DIVIDE(VLOOKUP($B830,Data!$B$3:$EZ1530,9,FALSE),VLOOKUP($B830,Data!$B$3:$EZ1530,10,FALSE)),1),"")</f>
        <v>0.01018242313</v>
      </c>
      <c r="J830" s="48">
        <f>IFERROR(MINUS(DIVIDE(VLOOKUP($B830,Data!$B$3:$EZ1530,24,FALSE),VLOOKUP($B830,Data!$B$3:$EZ1530,25,FALSE)),1),"")</f>
        <v>-0.3324634017</v>
      </c>
      <c r="K830" s="48">
        <f>IFERROR(MINUS(DIVIDE(VLOOKUP($B830,Data!$B$3:$EZ1530,29,FALSE),VLOOKUP($B830,Data!$B$3:$EZ1530,30,FALSE)),1),"")</f>
        <v>-0.2495857749</v>
      </c>
      <c r="L830" s="48">
        <f>IFERROR(MINUS(DIVIDE(VLOOKUP($B830,Data!$B$3:$EZ1530,34,FALSE),VLOOKUP($B830,Data!$B$3:$EZ1530,35,FALSE)),1),"")</f>
        <v>-0.1731031068</v>
      </c>
      <c r="M830" s="48">
        <f>IFERROR(MINUS(DIVIDE(VLOOKUP($B830,Data!$B$3:$EZ1530,39,FALSE),VLOOKUP($B830,Data!$B$3:$EZ1530,40,FALSE)),1),"")</f>
        <v>-0.1284321417</v>
      </c>
      <c r="N830" s="48">
        <f>IFERROR(MINUS(DIVIDE(VLOOKUP($B830,Data!$B$3:$EZ1530,44,FALSE),VLOOKUP($B830,Data!$B$3:$EZ1530,45,FALSE)),1),"")</f>
        <v>-1.75641132</v>
      </c>
      <c r="O830" s="50">
        <f>IFERROR(VLOOKUP($B830,Data!$B$3:$D1530,2,FALSE),"")</f>
        <v>1050000</v>
      </c>
      <c r="P830" s="50">
        <f>IFERROR(VLOOKUP($B830,Data!$B$3:$D1530,3,FALSE),"")</f>
        <v>929950</v>
      </c>
      <c r="Q830" s="48">
        <f t="shared" si="2"/>
        <v>0.129092962</v>
      </c>
      <c r="R830" s="48"/>
      <c r="S830" s="48"/>
      <c r="T830" s="48"/>
      <c r="U830" s="48"/>
      <c r="V830" s="48"/>
      <c r="W830" s="50"/>
      <c r="Z830" s="15"/>
      <c r="AA830" s="15"/>
    </row>
    <row r="831">
      <c r="A831" s="9">
        <f t="shared" si="1"/>
        <v>828</v>
      </c>
      <c r="B831" s="47" t="s">
        <v>965</v>
      </c>
      <c r="C831" s="48">
        <f>IFERROR(DIVIDE(VLOOKUP($B831,Data!$B$3:$AB$1535,9,FALSE),VLOOKUP($B831,Data!$B$3:$AB$1535,4,FALSE)),"")</f>
        <v>0.6420824295</v>
      </c>
      <c r="D831" s="48">
        <f>IFERROR(DIVIDE(VLOOKUP($B831,Data!$B$3:$AB$1535,24,FALSE),VLOOKUP($B831,Data!$B$3:$AB$1535,4,FALSE)),"")</f>
        <v>-4.763557484</v>
      </c>
      <c r="E831" s="48">
        <f>IFERROR(DIVIDE(VLOOKUP($B831,Data!$B$3:$EZ1530,29,FALSE),VLOOKUP($B831,Data!$B$3:$EZ1530,4,FALSE)),"")</f>
        <v>-5.054663774</v>
      </c>
      <c r="F831" s="48">
        <f>IFERROR(DIVIDE(VLOOKUP($B831,Data!$B$3:$EZ1530,34,FALSE),VLOOKUP($B831,Data!$B$3:$EZ1530,4,FALSE)),"")</f>
        <v>-4.296746204</v>
      </c>
      <c r="G831" s="48">
        <f>IFERROR(DIVIDE(VLOOKUP($B831,Data!$B$3:$EZ1530,39,FALSE),VLOOKUP($B831,Data!$B$3:$EZ1530,4,FALSE)),"")</f>
        <v>-5.054663774</v>
      </c>
      <c r="H831" s="48">
        <f>IFERROR(DIVIDE(VLOOKUP($B831,Data!$B$3:$EZ1530,44,FALSE),VLOOKUP($B831,Data!$B$3:$EZ1530,4,FALSE)),"")</f>
        <v>-3.575704989</v>
      </c>
      <c r="I831" s="48">
        <f>IFERROR(MINUS(DIVIDE(VLOOKUP($B831,Data!$B$3:$EZ1530,9,FALSE),VLOOKUP($B831,Data!$B$3:$EZ1530,10,FALSE)),1),"")</f>
        <v>2.076923077</v>
      </c>
      <c r="J831" s="48">
        <f>IFERROR(MINUS(DIVIDE(VLOOKUP($B831,Data!$B$3:$EZ1530,24,FALSE),VLOOKUP($B831,Data!$B$3:$EZ1530,25,FALSE)),1),"")</f>
        <v>-0.4341664519</v>
      </c>
      <c r="K831" s="48">
        <f>IFERROR(MINUS(DIVIDE(VLOOKUP($B831,Data!$B$3:$EZ1530,29,FALSE),VLOOKUP($B831,Data!$B$3:$EZ1530,30,FALSE)),1),"")</f>
        <v>-0.4159021407</v>
      </c>
      <c r="L831" s="48">
        <f>IFERROR(MINUS(DIVIDE(VLOOKUP($B831,Data!$B$3:$EZ1530,34,FALSE),VLOOKUP($B831,Data!$B$3:$EZ1530,35,FALSE)),1),"")</f>
        <v>-0.4665230272</v>
      </c>
      <c r="M831" s="48">
        <f>IFERROR(MINUS(DIVIDE(VLOOKUP($B831,Data!$B$3:$EZ1530,39,FALSE),VLOOKUP($B831,Data!$B$3:$EZ1530,40,FALSE)),1),"")</f>
        <v>-0.4159021407</v>
      </c>
      <c r="N831" s="48">
        <f>IFERROR(MINUS(DIVIDE(VLOOKUP($B831,Data!$B$3:$EZ1530,44,FALSE),VLOOKUP($B831,Data!$B$3:$EZ1530,45,FALSE)),1),"")</f>
        <v>-0.4590798714</v>
      </c>
      <c r="O831" s="50">
        <f>IFERROR(VLOOKUP($B831,Data!$B$3:$D1530,2,FALSE),"")</f>
        <v>65000</v>
      </c>
      <c r="P831" s="50">
        <f>IFERROR(VLOOKUP($B831,Data!$B$3:$D1530,3,FALSE),"")</f>
        <v>37990</v>
      </c>
      <c r="Q831" s="48">
        <f t="shared" si="2"/>
        <v>0.7109765728</v>
      </c>
      <c r="R831" s="48"/>
      <c r="S831" s="48"/>
      <c r="T831" s="48"/>
      <c r="U831" s="48"/>
      <c r="V831" s="48"/>
      <c r="W831" s="50"/>
      <c r="Z831" s="12"/>
      <c r="AA831" s="12"/>
    </row>
    <row r="832">
      <c r="A832" s="9">
        <f t="shared" si="1"/>
        <v>829</v>
      </c>
      <c r="B832" s="47" t="s">
        <v>966</v>
      </c>
      <c r="C832" s="48">
        <f>IFERROR(DIVIDE(VLOOKUP($B832,Data!$B$3:$AB$1535,9,FALSE),VLOOKUP($B832,Data!$B$3:$AB$1535,4,FALSE)),"")</f>
        <v>0.3720825688</v>
      </c>
      <c r="D832" s="48">
        <f>IFERROR(DIVIDE(VLOOKUP($B832,Data!$B$3:$AB$1535,24,FALSE),VLOOKUP($B832,Data!$B$3:$AB$1535,4,FALSE)),"")</f>
        <v>0.01533944954</v>
      </c>
      <c r="E832" s="48">
        <f>IFERROR(DIVIDE(VLOOKUP($B832,Data!$B$3:$EZ1530,29,FALSE),VLOOKUP($B832,Data!$B$3:$EZ1530,4,FALSE)),"")</f>
        <v>0.01188073394</v>
      </c>
      <c r="F832" s="48">
        <f>IFERROR(DIVIDE(VLOOKUP($B832,Data!$B$3:$EZ1530,34,FALSE),VLOOKUP($B832,Data!$B$3:$EZ1530,4,FALSE)),"")</f>
        <v>0.03837614679</v>
      </c>
      <c r="G832" s="48">
        <f>IFERROR(DIVIDE(VLOOKUP($B832,Data!$B$3:$EZ1530,39,FALSE),VLOOKUP($B832,Data!$B$3:$EZ1530,4,FALSE)),"")</f>
        <v>0.008862385321</v>
      </c>
      <c r="H832" s="48">
        <f>IFERROR(DIVIDE(VLOOKUP($B832,Data!$B$3:$EZ1530,44,FALSE),VLOOKUP($B832,Data!$B$3:$EZ1530,4,FALSE)),"")</f>
        <v>0.0003018348624</v>
      </c>
      <c r="I832" s="48">
        <f>IFERROR(MINUS(DIVIDE(VLOOKUP($B832,Data!$B$3:$EZ1530,9,FALSE),VLOOKUP($B832,Data!$B$3:$EZ1530,10,FALSE)),1),"")</f>
        <v>0.02403736902</v>
      </c>
      <c r="J832" s="48">
        <f>IFERROR(MINUS(DIVIDE(VLOOKUP($B832,Data!$B$3:$EZ1530,24,FALSE),VLOOKUP($B832,Data!$B$3:$EZ1530,25,FALSE)),1),"")</f>
        <v>-1.330630809</v>
      </c>
      <c r="K832" s="48">
        <f>IFERROR(MINUS(DIVIDE(VLOOKUP($B832,Data!$B$3:$EZ1530,29,FALSE),VLOOKUP($B832,Data!$B$3:$EZ1530,30,FALSE)),1),"")</f>
        <v>-1.242509363</v>
      </c>
      <c r="L832" s="48">
        <f>IFERROR(MINUS(DIVIDE(VLOOKUP($B832,Data!$B$3:$EZ1530,34,FALSE),VLOOKUP($B832,Data!$B$3:$EZ1530,35,FALSE)),1),"")</f>
        <v>0.2449404762</v>
      </c>
      <c r="M832" s="48">
        <f>IFERROR(MINUS(DIVIDE(VLOOKUP($B832,Data!$B$3:$EZ1530,39,FALSE),VLOOKUP($B832,Data!$B$3:$EZ1530,40,FALSE)),1),"")</f>
        <v>-1.177638838</v>
      </c>
      <c r="N832" s="48">
        <f>IFERROR(MINUS(DIVIDE(VLOOKUP($B832,Data!$B$3:$EZ1530,44,FALSE),VLOOKUP($B832,Data!$B$3:$EZ1530,45,FALSE)),1),"")</f>
        <v>-1.007652943</v>
      </c>
      <c r="O832" s="50">
        <f>IFERROR(VLOOKUP($B832,Data!$B$3:$D1530,2,FALSE),"")</f>
        <v>1070000</v>
      </c>
      <c r="P832" s="50">
        <f>IFERROR(VLOOKUP($B832,Data!$B$3:$D1530,3,FALSE),"")</f>
        <v>978300</v>
      </c>
      <c r="Q832" s="48">
        <f t="shared" si="2"/>
        <v>0.09373402842</v>
      </c>
      <c r="R832" s="48"/>
      <c r="S832" s="48"/>
      <c r="T832" s="48"/>
      <c r="U832" s="48"/>
      <c r="V832" s="48"/>
      <c r="W832" s="50"/>
      <c r="Z832" s="11"/>
      <c r="AA832" s="11"/>
    </row>
    <row r="833">
      <c r="A833" s="9">
        <f t="shared" si="1"/>
        <v>830</v>
      </c>
      <c r="B833" s="47" t="s">
        <v>967</v>
      </c>
      <c r="C833" s="48">
        <f>IFERROR(DIVIDE(VLOOKUP($B833,Data!$B$3:$AB$1535,9,FALSE),VLOOKUP($B833,Data!$B$3:$AB$1535,4,FALSE)),"")</f>
        <v>0.7885304659</v>
      </c>
      <c r="D833" s="48">
        <f>IFERROR(DIVIDE(VLOOKUP($B833,Data!$B$3:$AB$1535,24,FALSE),VLOOKUP($B833,Data!$B$3:$AB$1535,4,FALSE)),"")</f>
        <v>0.2137096774</v>
      </c>
      <c r="E833" s="48">
        <f>IFERROR(DIVIDE(VLOOKUP($B833,Data!$B$3:$EZ1530,29,FALSE),VLOOKUP($B833,Data!$B$3:$EZ1530,4,FALSE)),"")</f>
        <v>0.2361111111</v>
      </c>
      <c r="F833" s="48">
        <f>IFERROR(DIVIDE(VLOOKUP($B833,Data!$B$3:$EZ1530,34,FALSE),VLOOKUP($B833,Data!$B$3:$EZ1530,4,FALSE)),"")</f>
        <v>0.314516129</v>
      </c>
      <c r="G833" s="48">
        <f>IFERROR(DIVIDE(VLOOKUP($B833,Data!$B$3:$EZ1530,39,FALSE),VLOOKUP($B833,Data!$B$3:$EZ1530,4,FALSE)),"")</f>
        <v>0.2078853047</v>
      </c>
      <c r="H833" s="48">
        <f>IFERROR(DIVIDE(VLOOKUP($B833,Data!$B$3:$EZ1530,44,FALSE),VLOOKUP($B833,Data!$B$3:$EZ1530,4,FALSE)),"")</f>
        <v>0.2168458781</v>
      </c>
      <c r="I833" s="48">
        <f>IFERROR(MINUS(DIVIDE(VLOOKUP($B833,Data!$B$3:$EZ1530,9,FALSE),VLOOKUP($B833,Data!$B$3:$EZ1530,10,FALSE)),1),"")</f>
        <v>0.04699583581</v>
      </c>
      <c r="J833" s="48">
        <f>IFERROR(MINUS(DIVIDE(VLOOKUP($B833,Data!$B$3:$EZ1530,24,FALSE),VLOOKUP($B833,Data!$B$3:$EZ1530,25,FALSE)),1),"")</f>
        <v>-3.218604651</v>
      </c>
      <c r="K833" s="48">
        <f>IFERROR(MINUS(DIVIDE(VLOOKUP($B833,Data!$B$3:$EZ1530,29,FALSE),VLOOKUP($B833,Data!$B$3:$EZ1530,30,FALSE)),1),"")</f>
        <v>0.4320652174</v>
      </c>
      <c r="L833" s="48">
        <f>IFERROR(MINUS(DIVIDE(VLOOKUP($B833,Data!$B$3:$EZ1530,34,FALSE),VLOOKUP($B833,Data!$B$3:$EZ1530,35,FALSE)),1),"")</f>
        <v>-0.050067659</v>
      </c>
      <c r="M833" s="48">
        <f>IFERROR(MINUS(DIVIDE(VLOOKUP($B833,Data!$B$3:$EZ1530,39,FALSE),VLOOKUP($B833,Data!$B$3:$EZ1530,40,FALSE)),1),"")</f>
        <v>0.473015873</v>
      </c>
      <c r="N833" s="48">
        <f>IFERROR(MINUS(DIVIDE(VLOOKUP($B833,Data!$B$3:$EZ1530,44,FALSE),VLOOKUP($B833,Data!$B$3:$EZ1530,45,FALSE)),1),"")</f>
        <v>-0.1231884058</v>
      </c>
      <c r="O833" s="50">
        <f>IFERROR(VLOOKUP($B833,Data!$B$3:$D1530,2,FALSE),"")</f>
        <v>25940000</v>
      </c>
      <c r="P833" s="50">
        <f>IFERROR(VLOOKUP($B833,Data!$B$3:$D1530,3,FALSE),"")</f>
        <v>24010000</v>
      </c>
      <c r="Q833" s="48">
        <f t="shared" si="2"/>
        <v>0.08038317368</v>
      </c>
      <c r="R833" s="48"/>
      <c r="S833" s="48"/>
      <c r="T833" s="48"/>
      <c r="U833" s="48"/>
      <c r="V833" s="48"/>
      <c r="W833" s="50"/>
      <c r="Z833" s="11"/>
      <c r="AA833" s="11"/>
    </row>
    <row r="834">
      <c r="A834" s="9">
        <f t="shared" si="1"/>
        <v>831</v>
      </c>
      <c r="B834" s="47" t="s">
        <v>968</v>
      </c>
      <c r="C834" s="48">
        <f>IFERROR(DIVIDE(VLOOKUP($B834,Data!$B$3:$AB$1535,9,FALSE),VLOOKUP($B834,Data!$B$3:$AB$1535,4,FALSE)),"")</f>
        <v>0.08366394399</v>
      </c>
      <c r="D834" s="48">
        <f>IFERROR(DIVIDE(VLOOKUP($B834,Data!$B$3:$AB$1535,24,FALSE),VLOOKUP($B834,Data!$B$3:$AB$1535,4,FALSE)),"")</f>
        <v>-0.0504084014</v>
      </c>
      <c r="E834" s="48">
        <f>IFERROR(DIVIDE(VLOOKUP($B834,Data!$B$3:$EZ1530,29,FALSE),VLOOKUP($B834,Data!$B$3:$EZ1530,4,FALSE)),"")</f>
        <v>-0.03827304551</v>
      </c>
      <c r="F834" s="48">
        <f>IFERROR(DIVIDE(VLOOKUP($B834,Data!$B$3:$EZ1530,34,FALSE),VLOOKUP($B834,Data!$B$3:$EZ1530,4,FALSE)),"")</f>
        <v>0.01575262544</v>
      </c>
      <c r="G834" s="48">
        <f>IFERROR(DIVIDE(VLOOKUP($B834,Data!$B$3:$EZ1530,39,FALSE),VLOOKUP($B834,Data!$B$3:$EZ1530,4,FALSE)),"")</f>
        <v>-0.03494749125</v>
      </c>
      <c r="H834" s="48">
        <f>IFERROR(DIVIDE(VLOOKUP($B834,Data!$B$3:$EZ1530,44,FALSE),VLOOKUP($B834,Data!$B$3:$EZ1530,4,FALSE)),"")</f>
        <v>0.009626604434</v>
      </c>
      <c r="I834" s="48">
        <f>IFERROR(MINUS(DIVIDE(VLOOKUP($B834,Data!$B$3:$EZ1530,9,FALSE),VLOOKUP($B834,Data!$B$3:$EZ1530,10,FALSE)),1),"")</f>
        <v>-0.4657228018</v>
      </c>
      <c r="J834" s="48">
        <f>IFERROR(MINUS(DIVIDE(VLOOKUP($B834,Data!$B$3:$EZ1530,24,FALSE),VLOOKUP($B834,Data!$B$3:$EZ1530,25,FALSE)),1),"")</f>
        <v>-1.531692308</v>
      </c>
      <c r="K834" s="48">
        <f>IFERROR(MINUS(DIVIDE(VLOOKUP($B834,Data!$B$3:$EZ1530,29,FALSE),VLOOKUP($B834,Data!$B$3:$EZ1530,30,FALSE)),1),"")</f>
        <v>-1.486646884</v>
      </c>
      <c r="L834" s="48">
        <f>IFERROR(MINUS(DIVIDE(VLOOKUP($B834,Data!$B$3:$EZ1530,34,FALSE),VLOOKUP($B834,Data!$B$3:$EZ1530,35,FALSE)),1),"")</f>
        <v>-0.8537378115</v>
      </c>
      <c r="M834" s="48">
        <f>IFERROR(MINUS(DIVIDE(VLOOKUP($B834,Data!$B$3:$EZ1530,39,FALSE),VLOOKUP($B834,Data!$B$3:$EZ1530,40,FALSE)),1),"")</f>
        <v>-1.297270471</v>
      </c>
      <c r="N834" s="48">
        <f>IFERROR(MINUS(DIVIDE(VLOOKUP($B834,Data!$B$3:$EZ1530,44,FALSE),VLOOKUP($B834,Data!$B$3:$EZ1530,45,FALSE)),1),"")</f>
        <v>-0.910326087</v>
      </c>
      <c r="O834" s="50">
        <f>IFERROR(VLOOKUP($B834,Data!$B$3:$D1530,2,FALSE),"")</f>
        <v>207880</v>
      </c>
      <c r="P834" s="50">
        <f>IFERROR(VLOOKUP($B834,Data!$B$3:$D1530,3,FALSE),"")</f>
        <v>162710</v>
      </c>
      <c r="Q834" s="48">
        <f t="shared" si="2"/>
        <v>0.2776104726</v>
      </c>
      <c r="R834" s="48"/>
      <c r="S834" s="48"/>
      <c r="T834" s="48"/>
      <c r="U834" s="48"/>
      <c r="V834" s="48"/>
      <c r="W834" s="50"/>
      <c r="Z834" s="11"/>
      <c r="AA834" s="11"/>
    </row>
    <row r="835">
      <c r="A835" s="9">
        <f t="shared" si="1"/>
        <v>832</v>
      </c>
      <c r="B835" s="47" t="s">
        <v>969</v>
      </c>
      <c r="C835" s="48">
        <f>IFERROR(DIVIDE(VLOOKUP($B835,Data!$B$3:$AB$1535,9,FALSE),VLOOKUP($B835,Data!$B$3:$AB$1535,4,FALSE)),"")</f>
        <v>0.1576659422</v>
      </c>
      <c r="D835" s="48">
        <f>IFERROR(DIVIDE(VLOOKUP($B835,Data!$B$3:$AB$1535,24,FALSE),VLOOKUP($B835,Data!$B$3:$AB$1535,4,FALSE)),"")</f>
        <v>0</v>
      </c>
      <c r="E835" s="48">
        <f>IFERROR(DIVIDE(VLOOKUP($B835,Data!$B$3:$EZ1530,29,FALSE),VLOOKUP($B835,Data!$B$3:$EZ1530,4,FALSE)),"")</f>
        <v>0.1210499916</v>
      </c>
      <c r="F835" s="48">
        <f>IFERROR(DIVIDE(VLOOKUP($B835,Data!$B$3:$EZ1530,34,FALSE),VLOOKUP($B835,Data!$B$3:$EZ1530,4,FALSE)),"")</f>
        <v>0.1558267848</v>
      </c>
      <c r="G835" s="48">
        <f>IFERROR(DIVIDE(VLOOKUP($B835,Data!$B$3:$EZ1530,39,FALSE),VLOOKUP($B835,Data!$B$3:$EZ1530,4,FALSE)),"")</f>
        <v>0.1041631834</v>
      </c>
      <c r="H835" s="48">
        <f>IFERROR(DIVIDE(VLOOKUP($B835,Data!$B$3:$EZ1530,44,FALSE),VLOOKUP($B835,Data!$B$3:$EZ1530,4,FALSE)),"")</f>
        <v>0.1222203645</v>
      </c>
      <c r="I835" s="48">
        <f>IFERROR(MINUS(DIVIDE(VLOOKUP($B835,Data!$B$3:$EZ1530,9,FALSE),VLOOKUP($B835,Data!$B$3:$EZ1530,10,FALSE)),1),"")</f>
        <v>0.07894736842</v>
      </c>
      <c r="J835" s="48">
        <f>IFERROR(MINUS(DIVIDE(VLOOKUP($B835,Data!$B$3:$EZ1530,24,FALSE),VLOOKUP($B835,Data!$B$3:$EZ1530,25,FALSE)),1),"")</f>
        <v>-1</v>
      </c>
      <c r="K835" s="48">
        <f>IFERROR(MINUS(DIVIDE(VLOOKUP($B835,Data!$B$3:$EZ1530,29,FALSE),VLOOKUP($B835,Data!$B$3:$EZ1530,30,FALSE)),1),"")</f>
        <v>0.2397260274</v>
      </c>
      <c r="L835" s="48">
        <f>IFERROR(MINUS(DIVIDE(VLOOKUP($B835,Data!$B$3:$EZ1530,34,FALSE),VLOOKUP($B835,Data!$B$3:$EZ1530,35,FALSE)),1),"")</f>
        <v>0.08372093023</v>
      </c>
      <c r="M835" s="48">
        <f>IFERROR(MINUS(DIVIDE(VLOOKUP($B835,Data!$B$3:$EZ1530,39,FALSE),VLOOKUP($B835,Data!$B$3:$EZ1530,40,FALSE)),1),"")</f>
        <v>0.2336633663</v>
      </c>
      <c r="N835" s="48">
        <f>IFERROR(MINUS(DIVIDE(VLOOKUP($B835,Data!$B$3:$EZ1530,44,FALSE),VLOOKUP($B835,Data!$B$3:$EZ1530,45,FALSE)),1),"")</f>
        <v>1.328025478</v>
      </c>
      <c r="O835" s="50">
        <f>IFERROR(VLOOKUP($B835,Data!$B$3:$D1530,2,FALSE),"")</f>
        <v>67970000</v>
      </c>
      <c r="P835" s="50">
        <f>IFERROR(VLOOKUP($B835,Data!$B$3:$D1530,3,FALSE),"")</f>
        <v>64580000</v>
      </c>
      <c r="Q835" s="48">
        <f t="shared" si="2"/>
        <v>0.0524930319</v>
      </c>
      <c r="R835" s="48"/>
      <c r="S835" s="48"/>
      <c r="T835" s="48"/>
      <c r="U835" s="48"/>
      <c r="V835" s="48"/>
      <c r="W835" s="50"/>
      <c r="Z835" s="11"/>
      <c r="AA835" s="11"/>
    </row>
    <row r="836">
      <c r="A836" s="9">
        <f t="shared" si="1"/>
        <v>833</v>
      </c>
      <c r="B836" s="47" t="s">
        <v>970</v>
      </c>
      <c r="C836" s="48">
        <f>IFERROR(DIVIDE(VLOOKUP($B836,Data!$B$3:$AB$1535,9,FALSE),VLOOKUP($B836,Data!$B$3:$AB$1535,4,FALSE)),"")</f>
        <v>0.5153005311</v>
      </c>
      <c r="D836" s="48">
        <f>IFERROR(DIVIDE(VLOOKUP($B836,Data!$B$3:$AB$1535,24,FALSE),VLOOKUP($B836,Data!$B$3:$AB$1535,4,FALSE)),"")</f>
        <v>0.1123162953</v>
      </c>
      <c r="E836" s="48">
        <f>IFERROR(DIVIDE(VLOOKUP($B836,Data!$B$3:$EZ1530,29,FALSE),VLOOKUP($B836,Data!$B$3:$EZ1530,4,FALSE)),"")</f>
        <v>0.5583499593</v>
      </c>
      <c r="F836" s="48">
        <f>IFERROR(DIVIDE(VLOOKUP($B836,Data!$B$3:$EZ1530,34,FALSE),VLOOKUP($B836,Data!$B$3:$EZ1530,4,FALSE)),"")</f>
        <v>0.1393205384</v>
      </c>
      <c r="G836" s="48">
        <f>IFERROR(DIVIDE(VLOOKUP($B836,Data!$B$3:$EZ1530,39,FALSE),VLOOKUP($B836,Data!$B$3:$EZ1530,4,FALSE)),"")</f>
        <v>0.4975974373</v>
      </c>
      <c r="H836" s="48">
        <f>IFERROR(DIVIDE(VLOOKUP($B836,Data!$B$3:$EZ1530,44,FALSE),VLOOKUP($B836,Data!$B$3:$EZ1530,4,FALSE)),"")</f>
        <v>0.1329137044</v>
      </c>
      <c r="I836" s="48">
        <f>IFERROR(MINUS(DIVIDE(VLOOKUP($B836,Data!$B$3:$EZ1530,9,FALSE),VLOOKUP($B836,Data!$B$3:$EZ1530,10,FALSE)),1),"")</f>
        <v>-0.2328801506</v>
      </c>
      <c r="J836" s="48">
        <f>IFERROR(MINUS(DIVIDE(VLOOKUP($B836,Data!$B$3:$EZ1530,24,FALSE),VLOOKUP($B836,Data!$B$3:$EZ1530,25,FALSE)),1),"")</f>
        <v>-0.7214440031</v>
      </c>
      <c r="K836" s="48">
        <f>IFERROR(MINUS(DIVIDE(VLOOKUP($B836,Data!$B$3:$EZ1530,29,FALSE),VLOOKUP($B836,Data!$B$3:$EZ1530,30,FALSE)),1),"")</f>
        <v>0.4441456501</v>
      </c>
      <c r="L836" s="48">
        <f>IFERROR(MINUS(DIVIDE(VLOOKUP($B836,Data!$B$3:$EZ1530,34,FALSE),VLOOKUP($B836,Data!$B$3:$EZ1530,35,FALSE)),1),"")</f>
        <v>-0.6995879787</v>
      </c>
      <c r="M836" s="48">
        <f>IFERROR(MINUS(DIVIDE(VLOOKUP($B836,Data!$B$3:$EZ1530,39,FALSE),VLOOKUP($B836,Data!$B$3:$EZ1530,40,FALSE)),1),"")</f>
        <v>0.4016146905</v>
      </c>
      <c r="N836" s="48">
        <f>IFERROR(MINUS(DIVIDE(VLOOKUP($B836,Data!$B$3:$EZ1530,44,FALSE),VLOOKUP($B836,Data!$B$3:$EZ1530,45,FALSE)),1),"")</f>
        <v>-4.750991277</v>
      </c>
      <c r="O836" s="50" t="str">
        <f>IFERROR(VLOOKUP($B836,Data!$B$3:$D1530,2,FALSE),"")</f>
        <v/>
      </c>
      <c r="P836" s="50" t="str">
        <f>IFERROR(VLOOKUP($B836,Data!$B$3:$D1530,3,FALSE),"")</f>
        <v/>
      </c>
      <c r="Q836" s="48" t="str">
        <f t="shared" si="2"/>
        <v/>
      </c>
      <c r="R836" s="48"/>
      <c r="S836" s="48"/>
      <c r="T836" s="48"/>
      <c r="U836" s="48"/>
      <c r="V836" s="48"/>
      <c r="W836" s="50"/>
      <c r="Z836" s="15"/>
      <c r="AA836" s="15"/>
    </row>
    <row r="837">
      <c r="A837" s="9">
        <f t="shared" si="1"/>
        <v>834</v>
      </c>
      <c r="B837" s="47" t="s">
        <v>971</v>
      </c>
      <c r="C837" s="48">
        <f>IFERROR(DIVIDE(VLOOKUP($B837,Data!$B$3:$AB$1535,9,FALSE),VLOOKUP($B837,Data!$B$3:$AB$1535,4,FALSE)),"")</f>
        <v>0.1452758448</v>
      </c>
      <c r="D837" s="48">
        <f>IFERROR(DIVIDE(VLOOKUP($B837,Data!$B$3:$AB$1535,24,FALSE),VLOOKUP($B837,Data!$B$3:$AB$1535,4,FALSE)),"")</f>
        <v>0.01269818495</v>
      </c>
      <c r="E837" s="48">
        <f>IFERROR(DIVIDE(VLOOKUP($B837,Data!$B$3:$EZ1530,29,FALSE),VLOOKUP($B837,Data!$B$3:$EZ1530,4,FALSE)),"")</f>
        <v>0.006528445369</v>
      </c>
      <c r="F837" s="48">
        <f>IFERROR(DIVIDE(VLOOKUP($B837,Data!$B$3:$EZ1530,34,FALSE),VLOOKUP($B837,Data!$B$3:$EZ1530,4,FALSE)),"")</f>
        <v>0.03924241337</v>
      </c>
      <c r="G837" s="48">
        <f>IFERROR(DIVIDE(VLOOKUP($B837,Data!$B$3:$EZ1530,39,FALSE),VLOOKUP($B837,Data!$B$3:$EZ1530,4,FALSE)),"")</f>
        <v>0.003802281369</v>
      </c>
      <c r="H837" s="48">
        <f>IFERROR(DIVIDE(VLOOKUP($B837,Data!$B$3:$EZ1530,44,FALSE),VLOOKUP($B837,Data!$B$3:$EZ1530,4,FALSE)),"")</f>
        <v>0.02873233374</v>
      </c>
      <c r="I837" s="48">
        <f>IFERROR(MINUS(DIVIDE(VLOOKUP($B837,Data!$B$3:$EZ1530,9,FALSE),VLOOKUP($B837,Data!$B$3:$EZ1530,10,FALSE)),1),"")</f>
        <v>0.03395455706</v>
      </c>
      <c r="J837" s="48">
        <f>IFERROR(MINUS(DIVIDE(VLOOKUP($B837,Data!$B$3:$EZ1530,24,FALSE),VLOOKUP($B837,Data!$B$3:$EZ1530,25,FALSE)),1),"")</f>
        <v>-0.5706488781</v>
      </c>
      <c r="K837" s="48">
        <f>IFERROR(MINUS(DIVIDE(VLOOKUP($B837,Data!$B$3:$EZ1530,29,FALSE),VLOOKUP($B837,Data!$B$3:$EZ1530,30,FALSE)),1),"")</f>
        <v>-0.7780487805</v>
      </c>
      <c r="L837" s="48">
        <f>IFERROR(MINUS(DIVIDE(VLOOKUP($B837,Data!$B$3:$EZ1530,34,FALSE),VLOOKUP($B837,Data!$B$3:$EZ1530,35,FALSE)),1),"")</f>
        <v>-0.1439749609</v>
      </c>
      <c r="M837" s="48">
        <f>IFERROR(MINUS(DIVIDE(VLOOKUP($B837,Data!$B$3:$EZ1530,39,FALSE),VLOOKUP($B837,Data!$B$3:$EZ1530,40,FALSE)),1),"")</f>
        <v>-0.9174133229</v>
      </c>
      <c r="N837" s="48">
        <f>IFERROR(MINUS(DIVIDE(VLOOKUP($B837,Data!$B$3:$EZ1530,44,FALSE),VLOOKUP($B837,Data!$B$3:$EZ1530,45,FALSE)),1),"")</f>
        <v>-0.190091001</v>
      </c>
      <c r="O837" s="50">
        <f>IFERROR(VLOOKUP($B837,Data!$B$3:$D1530,2,FALSE),"")</f>
        <v>592450</v>
      </c>
      <c r="P837" s="50">
        <f>IFERROR(VLOOKUP($B837,Data!$B$3:$D1530,3,FALSE),"")</f>
        <v>590310</v>
      </c>
      <c r="Q837" s="48">
        <f t="shared" si="2"/>
        <v>0.003625213871</v>
      </c>
      <c r="R837" s="48"/>
      <c r="S837" s="48"/>
      <c r="T837" s="48"/>
      <c r="U837" s="48"/>
      <c r="V837" s="48"/>
      <c r="W837" s="50"/>
      <c r="Z837" s="11"/>
      <c r="AA837" s="11"/>
    </row>
    <row r="838">
      <c r="A838" s="9">
        <f t="shared" si="1"/>
        <v>835</v>
      </c>
      <c r="B838" s="47" t="s">
        <v>972</v>
      </c>
      <c r="C838" s="48">
        <f>IFERROR(DIVIDE(VLOOKUP($B838,Data!$B$3:$AB$1535,9,FALSE),VLOOKUP($B838,Data!$B$3:$AB$1535,4,FALSE)),"")</f>
        <v>0.5032820867</v>
      </c>
      <c r="D838" s="48">
        <f>IFERROR(DIVIDE(VLOOKUP($B838,Data!$B$3:$AB$1535,24,FALSE),VLOOKUP($B838,Data!$B$3:$AB$1535,4,FALSE)),"")</f>
        <v>0.1395462659</v>
      </c>
      <c r="E838" s="48">
        <f>IFERROR(DIVIDE(VLOOKUP($B838,Data!$B$3:$EZ1530,29,FALSE),VLOOKUP($B838,Data!$B$3:$EZ1530,4,FALSE)),"")</f>
        <v>0.08242644095</v>
      </c>
      <c r="F838" s="48">
        <f>IFERROR(DIVIDE(VLOOKUP($B838,Data!$B$3:$EZ1530,34,FALSE),VLOOKUP($B838,Data!$B$3:$EZ1530,4,FALSE)),"")</f>
        <v>0.1872516842</v>
      </c>
      <c r="G838" s="48">
        <f>IFERROR(DIVIDE(VLOOKUP($B838,Data!$B$3:$EZ1530,39,FALSE),VLOOKUP($B838,Data!$B$3:$EZ1530,4,FALSE)),"")</f>
        <v>0.09117867219</v>
      </c>
      <c r="H838" s="48">
        <f>IFERROR(DIVIDE(VLOOKUP($B838,Data!$B$3:$EZ1530,44,FALSE),VLOOKUP($B838,Data!$B$3:$EZ1530,4,FALSE)),"")</f>
        <v>0.2314159037</v>
      </c>
      <c r="I838" s="48">
        <f>IFERROR(MINUS(DIVIDE(VLOOKUP($B838,Data!$B$3:$EZ1530,9,FALSE),VLOOKUP($B838,Data!$B$3:$EZ1530,10,FALSE)),1),"")</f>
        <v>-0.0004574303848</v>
      </c>
      <c r="J838" s="48" t="str">
        <f>IFERROR(MINUS(DIVIDE(VLOOKUP($B838,Data!$B$3:$EZ1530,24,FALSE),VLOOKUP($B838,Data!$B$3:$EZ1530,25,FALSE)),1),"")</f>
        <v/>
      </c>
      <c r="K838" s="48">
        <f>IFERROR(MINUS(DIVIDE(VLOOKUP($B838,Data!$B$3:$EZ1530,29,FALSE),VLOOKUP($B838,Data!$B$3:$EZ1530,30,FALSE)),1),"")</f>
        <v>-0.4221997982</v>
      </c>
      <c r="L838" s="48">
        <f>IFERROR(MINUS(DIVIDE(VLOOKUP($B838,Data!$B$3:$EZ1530,34,FALSE),VLOOKUP($B838,Data!$B$3:$EZ1530,35,FALSE)),1),"")</f>
        <v>-0.1698787492</v>
      </c>
      <c r="M838" s="48">
        <f>IFERROR(MINUS(DIVIDE(VLOOKUP($B838,Data!$B$3:$EZ1530,39,FALSE),VLOOKUP($B838,Data!$B$3:$EZ1530,40,FALSE)),1),"")</f>
        <v>-0.2184106614</v>
      </c>
      <c r="N838" s="48">
        <f>IFERROR(MINUS(DIVIDE(VLOOKUP($B838,Data!$B$3:$EZ1530,44,FALSE),VLOOKUP($B838,Data!$B$3:$EZ1530,45,FALSE)),1),"")</f>
        <v>0.3136133355</v>
      </c>
      <c r="O838" s="50">
        <f>IFERROR(VLOOKUP($B838,Data!$B$3:$D1530,2,FALSE),"")</f>
        <v>446040</v>
      </c>
      <c r="P838" s="50">
        <f>IFERROR(VLOOKUP($B838,Data!$B$3:$D1530,3,FALSE),"")</f>
        <v>347970</v>
      </c>
      <c r="Q838" s="48">
        <f t="shared" si="2"/>
        <v>0.2818346409</v>
      </c>
      <c r="R838" s="48"/>
      <c r="S838" s="48"/>
      <c r="T838" s="48"/>
      <c r="U838" s="48"/>
      <c r="V838" s="48"/>
      <c r="W838" s="50"/>
      <c r="Z838" s="15"/>
      <c r="AA838" s="15"/>
    </row>
    <row r="839">
      <c r="A839" s="9">
        <f t="shared" si="1"/>
        <v>836</v>
      </c>
      <c r="B839" s="47" t="s">
        <v>973</v>
      </c>
      <c r="C839" s="48">
        <f>IFERROR(DIVIDE(VLOOKUP($B839,Data!$B$3:$AB$1535,9,FALSE),VLOOKUP($B839,Data!$B$3:$AB$1535,4,FALSE)),"")</f>
        <v>0.1783510049</v>
      </c>
      <c r="D839" s="48">
        <f>IFERROR(DIVIDE(VLOOKUP($B839,Data!$B$3:$AB$1535,24,FALSE),VLOOKUP($B839,Data!$B$3:$AB$1535,4,FALSE)),"")</f>
        <v>0.09958628174</v>
      </c>
      <c r="E839" s="48">
        <f>IFERROR(DIVIDE(VLOOKUP($B839,Data!$B$3:$EZ1530,29,FALSE),VLOOKUP($B839,Data!$B$3:$EZ1530,4,FALSE)),"")</f>
        <v>0.07817692673</v>
      </c>
      <c r="F839" s="48">
        <f>IFERROR(DIVIDE(VLOOKUP($B839,Data!$B$3:$EZ1530,34,FALSE),VLOOKUP($B839,Data!$B$3:$EZ1530,4,FALSE)),"")</f>
        <v>0.1357357629</v>
      </c>
      <c r="G839" s="48">
        <f>IFERROR(DIVIDE(VLOOKUP($B839,Data!$B$3:$EZ1530,39,FALSE),VLOOKUP($B839,Data!$B$3:$EZ1530,4,FALSE)),"")</f>
        <v>0.05629281306</v>
      </c>
      <c r="H839" s="48">
        <f>IFERROR(DIVIDE(VLOOKUP($B839,Data!$B$3:$EZ1530,44,FALSE),VLOOKUP($B839,Data!$B$3:$EZ1530,4,FALSE)),"")</f>
        <v>0.08170370538</v>
      </c>
      <c r="I839" s="48">
        <f>IFERROR(MINUS(DIVIDE(VLOOKUP($B839,Data!$B$3:$EZ1530,9,FALSE),VLOOKUP($B839,Data!$B$3:$EZ1530,10,FALSE)),1),"")</f>
        <v>0.00330662597</v>
      </c>
      <c r="J839" s="48">
        <f>IFERROR(MINUS(DIVIDE(VLOOKUP($B839,Data!$B$3:$EZ1530,24,FALSE),VLOOKUP($B839,Data!$B$3:$EZ1530,25,FALSE)),1),"")</f>
        <v>-5.798474946</v>
      </c>
      <c r="K839" s="48">
        <f>IFERROR(MINUS(DIVIDE(VLOOKUP($B839,Data!$B$3:$EZ1530,29,FALSE),VLOOKUP($B839,Data!$B$3:$EZ1530,30,FALSE)),1),"")</f>
        <v>-3.83442623</v>
      </c>
      <c r="L839" s="48">
        <f>IFERROR(MINUS(DIVIDE(VLOOKUP($B839,Data!$B$3:$EZ1530,34,FALSE),VLOOKUP($B839,Data!$B$3:$EZ1530,35,FALSE)),1),"")</f>
        <v>0.299848452</v>
      </c>
      <c r="M839" s="48">
        <f>IFERROR(MINUS(DIVIDE(VLOOKUP($B839,Data!$B$3:$EZ1530,39,FALSE),VLOOKUP($B839,Data!$B$3:$EZ1530,40,FALSE)),1),"")</f>
        <v>-3.76974416</v>
      </c>
      <c r="N839" s="48">
        <f>IFERROR(MINUS(DIVIDE(VLOOKUP($B839,Data!$B$3:$EZ1530,44,FALSE),VLOOKUP($B839,Data!$B$3:$EZ1530,45,FALSE)),1),"")</f>
        <v>-0.204665493</v>
      </c>
      <c r="O839" s="50">
        <f>IFERROR(VLOOKUP($B839,Data!$B$3:$D1530,2,FALSE),"")</f>
        <v>448390</v>
      </c>
      <c r="P839" s="50">
        <f>IFERROR(VLOOKUP($B839,Data!$B$3:$D1530,3,FALSE),"")</f>
        <v>418940</v>
      </c>
      <c r="Q839" s="48">
        <f t="shared" si="2"/>
        <v>0.0702964625</v>
      </c>
      <c r="R839" s="48"/>
      <c r="S839" s="48"/>
      <c r="T839" s="48"/>
      <c r="U839" s="48"/>
      <c r="V839" s="48"/>
      <c r="W839" s="50"/>
      <c r="Z839" s="15"/>
      <c r="AA839" s="15"/>
    </row>
    <row r="840">
      <c r="A840" s="9">
        <f t="shared" si="1"/>
        <v>837</v>
      </c>
      <c r="B840" s="47" t="s">
        <v>974</v>
      </c>
      <c r="C840" s="48" t="str">
        <f>IFERROR(DIVIDE(VLOOKUP($B840,Data!$B$3:$AB$1535,9,FALSE),VLOOKUP($B840,Data!$B$3:$AB$1535,4,FALSE)),"")</f>
        <v/>
      </c>
      <c r="D840" s="48" t="str">
        <f>IFERROR(DIVIDE(VLOOKUP($B840,Data!$B$3:$AB$1535,24,FALSE),VLOOKUP($B840,Data!$B$3:$AB$1535,4,FALSE)),"")</f>
        <v/>
      </c>
      <c r="E840" s="48" t="str">
        <f>IFERROR(DIVIDE(VLOOKUP($B840,Data!$B$3:$EZ1530,29,FALSE),VLOOKUP($B840,Data!$B$3:$EZ1530,4,FALSE)),"")</f>
        <v/>
      </c>
      <c r="F840" s="48" t="str">
        <f>IFERROR(DIVIDE(VLOOKUP($B840,Data!$B$3:$EZ1530,34,FALSE),VLOOKUP($B840,Data!$B$3:$EZ1530,4,FALSE)),"")</f>
        <v/>
      </c>
      <c r="G840" s="48" t="str">
        <f>IFERROR(DIVIDE(VLOOKUP($B840,Data!$B$3:$EZ1530,39,FALSE),VLOOKUP($B840,Data!$B$3:$EZ1530,4,FALSE)),"")</f>
        <v/>
      </c>
      <c r="H840" s="48" t="str">
        <f>IFERROR(DIVIDE(VLOOKUP($B840,Data!$B$3:$EZ1530,44,FALSE),VLOOKUP($B840,Data!$B$3:$EZ1530,4,FALSE)),"")</f>
        <v/>
      </c>
      <c r="I840" s="48">
        <f>IFERROR(MINUS(DIVIDE(VLOOKUP($B840,Data!$B$3:$EZ1530,9,FALSE),VLOOKUP($B840,Data!$B$3:$EZ1530,10,FALSE)),1),"")</f>
        <v>2.247191011</v>
      </c>
      <c r="J840" s="48" t="str">
        <f>IFERROR(MINUS(DIVIDE(VLOOKUP($B840,Data!$B$3:$EZ1530,24,FALSE),VLOOKUP($B840,Data!$B$3:$EZ1530,25,FALSE)),1),"")</f>
        <v/>
      </c>
      <c r="K840" s="48">
        <f>IFERROR(MINUS(DIVIDE(VLOOKUP($B840,Data!$B$3:$EZ1530,29,FALSE),VLOOKUP($B840,Data!$B$3:$EZ1530,30,FALSE)),1),"")</f>
        <v>1.28677309</v>
      </c>
      <c r="L840" s="48">
        <f>IFERROR(MINUS(DIVIDE(VLOOKUP($B840,Data!$B$3:$EZ1530,34,FALSE),VLOOKUP($B840,Data!$B$3:$EZ1530,35,FALSE)),1),"")</f>
        <v>1.282913165</v>
      </c>
      <c r="M840" s="48">
        <f>IFERROR(MINUS(DIVIDE(VLOOKUP($B840,Data!$B$3:$EZ1530,39,FALSE),VLOOKUP($B840,Data!$B$3:$EZ1530,40,FALSE)),1),"")</f>
        <v>1.277525539</v>
      </c>
      <c r="N840" s="48">
        <f>IFERROR(MINUS(DIVIDE(VLOOKUP($B840,Data!$B$3:$EZ1530,44,FALSE),VLOOKUP($B840,Data!$B$3:$EZ1530,45,FALSE)),1),"")</f>
        <v>1.537655534</v>
      </c>
      <c r="O840" s="50" t="str">
        <f>IFERROR(VLOOKUP($B840,Data!$B$3:$D1530,2,FALSE),"")</f>
        <v/>
      </c>
      <c r="P840" s="50" t="str">
        <f>IFERROR(VLOOKUP($B840,Data!$B$3:$D1530,3,FALSE),"")</f>
        <v/>
      </c>
      <c r="Q840" s="48" t="str">
        <f t="shared" si="2"/>
        <v/>
      </c>
      <c r="R840" s="48"/>
      <c r="S840" s="48"/>
      <c r="T840" s="48"/>
      <c r="U840" s="48"/>
      <c r="V840" s="48"/>
      <c r="W840" s="50"/>
      <c r="Z840" s="11"/>
      <c r="AA840" s="11"/>
    </row>
    <row r="841">
      <c r="A841" s="9">
        <f t="shared" si="1"/>
        <v>838</v>
      </c>
      <c r="B841" s="47" t="s">
        <v>975</v>
      </c>
      <c r="C841" s="48">
        <f>IFERROR(DIVIDE(VLOOKUP($B841,Data!$B$3:$AB$1535,9,FALSE),VLOOKUP($B841,Data!$B$3:$AB$1535,4,FALSE)),"")</f>
        <v>0.3707482993</v>
      </c>
      <c r="D841" s="48">
        <f>IFERROR(DIVIDE(VLOOKUP($B841,Data!$B$3:$AB$1535,24,FALSE),VLOOKUP($B841,Data!$B$3:$AB$1535,4,FALSE)),"")</f>
        <v>0.09279591837</v>
      </c>
      <c r="E841" s="48">
        <f>IFERROR(DIVIDE(VLOOKUP($B841,Data!$B$3:$EZ1530,29,FALSE),VLOOKUP($B841,Data!$B$3:$EZ1530,4,FALSE)),"")</f>
        <v>0.1088503401</v>
      </c>
      <c r="F841" s="48">
        <f>IFERROR(DIVIDE(VLOOKUP($B841,Data!$B$3:$EZ1530,34,FALSE),VLOOKUP($B841,Data!$B$3:$EZ1530,4,FALSE)),"")</f>
        <v>0.1259013605</v>
      </c>
      <c r="G841" s="48">
        <f>IFERROR(DIVIDE(VLOOKUP($B841,Data!$B$3:$EZ1530,39,FALSE),VLOOKUP($B841,Data!$B$3:$EZ1530,4,FALSE)),"")</f>
        <v>0.1509353741</v>
      </c>
      <c r="H841" s="48">
        <f>IFERROR(DIVIDE(VLOOKUP($B841,Data!$B$3:$EZ1530,44,FALSE),VLOOKUP($B841,Data!$B$3:$EZ1530,4,FALSE)),"")</f>
        <v>0.1426394558</v>
      </c>
      <c r="I841" s="48">
        <f>IFERROR(MINUS(DIVIDE(VLOOKUP($B841,Data!$B$3:$EZ1530,9,FALSE),VLOOKUP($B841,Data!$B$3:$EZ1530,10,FALSE)),1),"")</f>
        <v>0.07920792079</v>
      </c>
      <c r="J841" s="48">
        <f>IFERROR(MINUS(DIVIDE(VLOOKUP($B841,Data!$B$3:$EZ1530,24,FALSE),VLOOKUP($B841,Data!$B$3:$EZ1530,25,FALSE)),1),"")</f>
        <v>0.04645007863</v>
      </c>
      <c r="K841" s="48">
        <f>IFERROR(MINUS(DIVIDE(VLOOKUP($B841,Data!$B$3:$EZ1530,29,FALSE),VLOOKUP($B841,Data!$B$3:$EZ1530,30,FALSE)),1),"")</f>
        <v>0.1915258024</v>
      </c>
      <c r="L841" s="48">
        <f>IFERROR(MINUS(DIVIDE(VLOOKUP($B841,Data!$B$3:$EZ1530,34,FALSE),VLOOKUP($B841,Data!$B$3:$EZ1530,35,FALSE)),1),"")</f>
        <v>0.08675866119</v>
      </c>
      <c r="M841" s="48">
        <f>IFERROR(MINUS(DIVIDE(VLOOKUP($B841,Data!$B$3:$EZ1530,39,FALSE),VLOOKUP($B841,Data!$B$3:$EZ1530,40,FALSE)),1),"")</f>
        <v>0.7392412009</v>
      </c>
      <c r="N841" s="48">
        <f>IFERROR(MINUS(DIVIDE(VLOOKUP($B841,Data!$B$3:$EZ1530,44,FALSE),VLOOKUP($B841,Data!$B$3:$EZ1530,45,FALSE)),1),"")</f>
        <v>0.3872312273</v>
      </c>
      <c r="O841" s="50">
        <f>IFERROR(VLOOKUP($B841,Data!$B$3:$D1530,2,FALSE),"")</f>
        <v>3520000</v>
      </c>
      <c r="P841" s="50">
        <f>IFERROR(VLOOKUP($B841,Data!$B$3:$D1530,3,FALSE),"")</f>
        <v>3290000</v>
      </c>
      <c r="Q841" s="48">
        <f t="shared" si="2"/>
        <v>0.06990881459</v>
      </c>
      <c r="R841" s="48"/>
      <c r="S841" s="48"/>
      <c r="T841" s="48"/>
      <c r="U841" s="48"/>
      <c r="V841" s="48"/>
      <c r="W841" s="50"/>
      <c r="Z841" s="15"/>
      <c r="AA841" s="15"/>
    </row>
    <row r="842">
      <c r="A842" s="9">
        <f t="shared" si="1"/>
        <v>839</v>
      </c>
      <c r="B842" s="47" t="s">
        <v>976</v>
      </c>
      <c r="C842" s="48">
        <f>IFERROR(DIVIDE(VLOOKUP($B842,Data!$B$3:$AB$1535,9,FALSE),VLOOKUP($B842,Data!$B$3:$AB$1535,4,FALSE)),"")</f>
        <v>0.2801026958</v>
      </c>
      <c r="D842" s="48">
        <f>IFERROR(DIVIDE(VLOOKUP($B842,Data!$B$3:$AB$1535,24,FALSE),VLOOKUP($B842,Data!$B$3:$AB$1535,4,FALSE)),"")</f>
        <v>0</v>
      </c>
      <c r="E842" s="48">
        <f>IFERROR(DIVIDE(VLOOKUP($B842,Data!$B$3:$EZ1530,29,FALSE),VLOOKUP($B842,Data!$B$3:$EZ1530,4,FALSE)),"")</f>
        <v>0.1471116816</v>
      </c>
      <c r="F842" s="48">
        <f>IFERROR(DIVIDE(VLOOKUP($B842,Data!$B$3:$EZ1530,34,FALSE),VLOOKUP($B842,Data!$B$3:$EZ1530,4,FALSE)),"")</f>
        <v>0.2811296534</v>
      </c>
      <c r="G842" s="48">
        <f>IFERROR(DIVIDE(VLOOKUP($B842,Data!$B$3:$EZ1530,39,FALSE),VLOOKUP($B842,Data!$B$3:$EZ1530,4,FALSE)),"")</f>
        <v>0.09858793325</v>
      </c>
      <c r="H842" s="48">
        <f>IFERROR(DIVIDE(VLOOKUP($B842,Data!$B$3:$EZ1530,44,FALSE),VLOOKUP($B842,Data!$B$3:$EZ1530,4,FALSE)),"")</f>
        <v>0.1614890886</v>
      </c>
      <c r="I842" s="48">
        <f>IFERROR(MINUS(DIVIDE(VLOOKUP($B842,Data!$B$3:$EZ1530,9,FALSE),VLOOKUP($B842,Data!$B$3:$EZ1530,10,FALSE)),1),"")</f>
        <v>0.5903790087</v>
      </c>
      <c r="J842" s="48" t="str">
        <f>IFERROR(MINUS(DIVIDE(VLOOKUP($B842,Data!$B$3:$EZ1530,24,FALSE),VLOOKUP($B842,Data!$B$3:$EZ1530,25,FALSE)),1),"")</f>
        <v/>
      </c>
      <c r="K842" s="48">
        <f>IFERROR(MINUS(DIVIDE(VLOOKUP($B842,Data!$B$3:$EZ1530,29,FALSE),VLOOKUP($B842,Data!$B$3:$EZ1530,30,FALSE)),1),"")</f>
        <v>0.8603896104</v>
      </c>
      <c r="L842" s="48">
        <f>IFERROR(MINUS(DIVIDE(VLOOKUP($B842,Data!$B$3:$EZ1530,34,FALSE),VLOOKUP($B842,Data!$B$3:$EZ1530,35,FALSE)),1),"")</f>
        <v>0.5732758621</v>
      </c>
      <c r="M842" s="48">
        <f>IFERROR(MINUS(DIVIDE(VLOOKUP($B842,Data!$B$3:$EZ1530,39,FALSE),VLOOKUP($B842,Data!$B$3:$EZ1530,40,FALSE)),1),"")</f>
        <v>1.133333333</v>
      </c>
      <c r="N842" s="48">
        <f>IFERROR(MINUS(DIVIDE(VLOOKUP($B842,Data!$B$3:$EZ1530,44,FALSE),VLOOKUP($B842,Data!$B$3:$EZ1530,45,FALSE)),1),"")</f>
        <v>0.9353846154</v>
      </c>
      <c r="O842" s="50">
        <f>IFERROR(VLOOKUP($B842,Data!$B$3:$D1530,2,FALSE),"")</f>
        <v>506820</v>
      </c>
      <c r="P842" s="50">
        <f>IFERROR(VLOOKUP($B842,Data!$B$3:$D1530,3,FALSE),"")</f>
        <v>540890</v>
      </c>
      <c r="Q842" s="48">
        <f t="shared" si="2"/>
        <v>-0.06298877776</v>
      </c>
      <c r="R842" s="48"/>
      <c r="S842" s="48"/>
      <c r="T842" s="48"/>
      <c r="U842" s="48"/>
      <c r="V842" s="48"/>
      <c r="W842" s="50"/>
      <c r="Z842" s="12"/>
      <c r="AA842" s="12"/>
    </row>
    <row r="843">
      <c r="A843" s="9">
        <f t="shared" si="1"/>
        <v>840</v>
      </c>
      <c r="B843" s="47" t="s">
        <v>977</v>
      </c>
      <c r="C843" s="48">
        <f>IFERROR(DIVIDE(VLOOKUP($B843,Data!$B$3:$AB$1535,9,FALSE),VLOOKUP($B843,Data!$B$3:$AB$1535,4,FALSE)),"")</f>
        <v>0.3004851005</v>
      </c>
      <c r="D843" s="48">
        <f>IFERROR(DIVIDE(VLOOKUP($B843,Data!$B$3:$AB$1535,24,FALSE),VLOOKUP($B843,Data!$B$3:$AB$1535,4,FALSE)),"")</f>
        <v>0.08745668746</v>
      </c>
      <c r="E843" s="48">
        <f>IFERROR(DIVIDE(VLOOKUP($B843,Data!$B$3:$EZ1530,29,FALSE),VLOOKUP($B843,Data!$B$3:$EZ1530,4,FALSE)),"")</f>
        <v>0.07789327789</v>
      </c>
      <c r="F843" s="48">
        <f>IFERROR(DIVIDE(VLOOKUP($B843,Data!$B$3:$EZ1530,34,FALSE),VLOOKUP($B843,Data!$B$3:$EZ1530,4,FALSE)),"")</f>
        <v>0.1172557173</v>
      </c>
      <c r="G843" s="48">
        <f>IFERROR(DIVIDE(VLOOKUP($B843,Data!$B$3:$EZ1530,39,FALSE),VLOOKUP($B843,Data!$B$3:$EZ1530,4,FALSE)),"")</f>
        <v>0.05918225918</v>
      </c>
      <c r="H843" s="48">
        <f>IFERROR(DIVIDE(VLOOKUP($B843,Data!$B$3:$EZ1530,44,FALSE),VLOOKUP($B843,Data!$B$3:$EZ1530,4,FALSE)),"")</f>
        <v>0.0595980596</v>
      </c>
      <c r="I843" s="48">
        <f>IFERROR(MINUS(DIVIDE(VLOOKUP($B843,Data!$B$3:$EZ1530,9,FALSE),VLOOKUP($B843,Data!$B$3:$EZ1530,10,FALSE)),1),"")</f>
        <v>0.01166588894</v>
      </c>
      <c r="J843" s="48">
        <f>IFERROR(MINUS(DIVIDE(VLOOKUP($B843,Data!$B$3:$EZ1530,24,FALSE),VLOOKUP($B843,Data!$B$3:$EZ1530,25,FALSE)),1),"")</f>
        <v>0.5696517413</v>
      </c>
      <c r="K843" s="48">
        <f>IFERROR(MINUS(DIVIDE(VLOOKUP($B843,Data!$B$3:$EZ1530,29,FALSE),VLOOKUP($B843,Data!$B$3:$EZ1530,30,FALSE)),1),"")</f>
        <v>0.6578171091</v>
      </c>
      <c r="L843" s="48">
        <f>IFERROR(MINUS(DIVIDE(VLOOKUP($B843,Data!$B$3:$EZ1530,34,FALSE),VLOOKUP($B843,Data!$B$3:$EZ1530,35,FALSE)),1),"")</f>
        <v>0.09727626459</v>
      </c>
      <c r="M843" s="48">
        <f>IFERROR(MINUS(DIVIDE(VLOOKUP($B843,Data!$B$3:$EZ1530,39,FALSE),VLOOKUP($B843,Data!$B$3:$EZ1530,40,FALSE)),1),"")</f>
        <v>0.8484848485</v>
      </c>
      <c r="N843" s="48">
        <f>IFERROR(MINUS(DIVIDE(VLOOKUP($B843,Data!$B$3:$EZ1530,44,FALSE),VLOOKUP($B843,Data!$B$3:$EZ1530,45,FALSE)),1),"")</f>
        <v>-0.3053311793</v>
      </c>
      <c r="O843" s="50">
        <f>IFERROR(VLOOKUP($B843,Data!$B$3:$D1530,2,FALSE),"")</f>
        <v>80030000</v>
      </c>
      <c r="P843" s="50">
        <f>IFERROR(VLOOKUP($B843,Data!$B$3:$D1530,3,FALSE),"")</f>
        <v>79070000</v>
      </c>
      <c r="Q843" s="48">
        <f t="shared" si="2"/>
        <v>0.01214114076</v>
      </c>
      <c r="R843" s="48"/>
      <c r="S843" s="48"/>
      <c r="T843" s="48"/>
      <c r="U843" s="48"/>
      <c r="V843" s="48"/>
      <c r="W843" s="50"/>
      <c r="Z843" s="15"/>
      <c r="AA843" s="15"/>
    </row>
    <row r="844">
      <c r="A844" s="9">
        <f t="shared" si="1"/>
        <v>841</v>
      </c>
      <c r="B844" s="47" t="s">
        <v>978</v>
      </c>
      <c r="C844" s="48">
        <f>IFERROR(DIVIDE(VLOOKUP($B844,Data!$B$3:$AB$1535,9,FALSE),VLOOKUP($B844,Data!$B$3:$AB$1535,4,FALSE)),"")</f>
        <v>0</v>
      </c>
      <c r="D844" s="48">
        <f>IFERROR(DIVIDE(VLOOKUP($B844,Data!$B$3:$AB$1535,24,FALSE),VLOOKUP($B844,Data!$B$3:$AB$1535,4,FALSE)),"")</f>
        <v>-76.72727273</v>
      </c>
      <c r="E844" s="48">
        <f>IFERROR(DIVIDE(VLOOKUP($B844,Data!$B$3:$EZ1530,29,FALSE),VLOOKUP($B844,Data!$B$3:$EZ1530,4,FALSE)),"")</f>
        <v>-78.84848485</v>
      </c>
      <c r="F844" s="48">
        <f>IFERROR(DIVIDE(VLOOKUP($B844,Data!$B$3:$EZ1530,34,FALSE),VLOOKUP($B844,Data!$B$3:$EZ1530,4,FALSE)),"")</f>
        <v>-78.06060606</v>
      </c>
      <c r="G844" s="48">
        <f>IFERROR(DIVIDE(VLOOKUP($B844,Data!$B$3:$EZ1530,39,FALSE),VLOOKUP($B844,Data!$B$3:$EZ1530,4,FALSE)),"")</f>
        <v>-78.84848485</v>
      </c>
      <c r="H844" s="48">
        <f>IFERROR(DIVIDE(VLOOKUP($B844,Data!$B$3:$EZ1530,44,FALSE),VLOOKUP($B844,Data!$B$3:$EZ1530,4,FALSE)),"")</f>
        <v>-70.72727273</v>
      </c>
      <c r="I844" s="48" t="str">
        <f>IFERROR(MINUS(DIVIDE(VLOOKUP($B844,Data!$B$3:$EZ1530,9,FALSE),VLOOKUP($B844,Data!$B$3:$EZ1530,10,FALSE)),1),"")</f>
        <v/>
      </c>
      <c r="J844" s="48" t="str">
        <f>IFERROR(MINUS(DIVIDE(VLOOKUP($B844,Data!$B$3:$EZ1530,24,FALSE),VLOOKUP($B844,Data!$B$3:$EZ1530,25,FALSE)),1),"")</f>
        <v/>
      </c>
      <c r="K844" s="48">
        <f>IFERROR(MINUS(DIVIDE(VLOOKUP($B844,Data!$B$3:$EZ1530,29,FALSE),VLOOKUP($B844,Data!$B$3:$EZ1530,30,FALSE)),1),"")</f>
        <v>0.115780446</v>
      </c>
      <c r="L844" s="48">
        <f>IFERROR(MINUS(DIVIDE(VLOOKUP($B844,Data!$B$3:$EZ1530,34,FALSE),VLOOKUP($B844,Data!$B$3:$EZ1530,35,FALSE)),1),"")</f>
        <v>0.1388152078</v>
      </c>
      <c r="M844" s="48">
        <f>IFERROR(MINUS(DIVIDE(VLOOKUP($B844,Data!$B$3:$EZ1530,39,FALSE),VLOOKUP($B844,Data!$B$3:$EZ1530,40,FALSE)),1),"")</f>
        <v>0.115780446</v>
      </c>
      <c r="N844" s="48">
        <f>IFERROR(MINUS(DIVIDE(VLOOKUP($B844,Data!$B$3:$EZ1530,44,FALSE),VLOOKUP($B844,Data!$B$3:$EZ1530,45,FALSE)),1),"")</f>
        <v>-0.03394039735</v>
      </c>
      <c r="O844" s="50">
        <f>IFERROR(VLOOKUP($B844,Data!$B$3:$D1530,2,FALSE),"")</f>
        <v>69110</v>
      </c>
      <c r="P844" s="50" t="str">
        <f>IFERROR(VLOOKUP($B844,Data!$B$3:$D1530,3,FALSE),"")</f>
        <v/>
      </c>
      <c r="Q844" s="48" t="str">
        <f t="shared" si="2"/>
        <v/>
      </c>
      <c r="R844" s="48"/>
      <c r="S844" s="48"/>
      <c r="T844" s="48"/>
      <c r="U844" s="48"/>
      <c r="V844" s="48"/>
      <c r="W844" s="50"/>
      <c r="Z844" s="11"/>
      <c r="AA844" s="11"/>
    </row>
    <row r="845">
      <c r="A845" s="9">
        <f t="shared" si="1"/>
        <v>842</v>
      </c>
      <c r="B845" s="47" t="s">
        <v>979</v>
      </c>
      <c r="C845" s="48">
        <f>IFERROR(DIVIDE(VLOOKUP($B845,Data!$B$3:$AB$1535,9,FALSE),VLOOKUP($B845,Data!$B$3:$AB$1535,4,FALSE)),"")</f>
        <v>0.5475812015</v>
      </c>
      <c r="D845" s="48">
        <f>IFERROR(DIVIDE(VLOOKUP($B845,Data!$B$3:$AB$1535,24,FALSE),VLOOKUP($B845,Data!$B$3:$AB$1535,4,FALSE)),"")</f>
        <v>0.4229373482</v>
      </c>
      <c r="E845" s="48">
        <f>IFERROR(DIVIDE(VLOOKUP($B845,Data!$B$3:$EZ1530,29,FALSE),VLOOKUP($B845,Data!$B$3:$EZ1530,4,FALSE)),"")</f>
        <v>0.3354227274</v>
      </c>
      <c r="F845" s="48">
        <f>IFERROR(DIVIDE(VLOOKUP($B845,Data!$B$3:$EZ1530,34,FALSE),VLOOKUP($B845,Data!$B$3:$EZ1530,4,FALSE)),"")</f>
        <v>0.6819422368</v>
      </c>
      <c r="G845" s="48">
        <f>IFERROR(DIVIDE(VLOOKUP($B845,Data!$B$3:$EZ1530,39,FALSE),VLOOKUP($B845,Data!$B$3:$EZ1530,4,FALSE)),"")</f>
        <v>0.3354227274</v>
      </c>
      <c r="H845" s="48">
        <f>IFERROR(DIVIDE(VLOOKUP($B845,Data!$B$3:$EZ1530,44,FALSE),VLOOKUP($B845,Data!$B$3:$EZ1530,4,FALSE)),"")</f>
        <v>0.5124913775</v>
      </c>
      <c r="I845" s="48">
        <f>IFERROR(MINUS(DIVIDE(VLOOKUP($B845,Data!$B$3:$EZ1530,9,FALSE),VLOOKUP($B845,Data!$B$3:$EZ1530,10,FALSE)),1),"")</f>
        <v>6.601165695</v>
      </c>
      <c r="J845" s="48">
        <f>IFERROR(MINUS(DIVIDE(VLOOKUP($B845,Data!$B$3:$EZ1530,24,FALSE),VLOOKUP($B845,Data!$B$3:$EZ1530,25,FALSE)),1),"")</f>
        <v>-8.722891566</v>
      </c>
      <c r="K845" s="48">
        <f>IFERROR(MINUS(DIVIDE(VLOOKUP($B845,Data!$B$3:$EZ1530,29,FALSE),VLOOKUP($B845,Data!$B$3:$EZ1530,30,FALSE)),1),"")</f>
        <v>-3.195093229</v>
      </c>
      <c r="L845" s="48">
        <f>IFERROR(MINUS(DIVIDE(VLOOKUP($B845,Data!$B$3:$EZ1530,34,FALSE),VLOOKUP($B845,Data!$B$3:$EZ1530,35,FALSE)),1),"")</f>
        <v>2.510033961</v>
      </c>
      <c r="M845" s="48">
        <f>IFERROR(MINUS(DIVIDE(VLOOKUP($B845,Data!$B$3:$EZ1530,39,FALSE),VLOOKUP($B845,Data!$B$3:$EZ1530,40,FALSE)),1),"")</f>
        <v>-3.195093229</v>
      </c>
      <c r="N845" s="48">
        <f>IFERROR(MINUS(DIVIDE(VLOOKUP($B845,Data!$B$3:$EZ1530,44,FALSE),VLOOKUP($B845,Data!$B$3:$EZ1530,45,FALSE)),1),"")</f>
        <v>18.24324324</v>
      </c>
      <c r="O845" s="50">
        <f>IFERROR(VLOOKUP($B845,Data!$B$3:$D1530,2,FALSE),"")</f>
        <v>283170</v>
      </c>
      <c r="P845" s="50">
        <f>IFERROR(VLOOKUP($B845,Data!$B$3:$D1530,3,FALSE),"")</f>
        <v>237400</v>
      </c>
      <c r="Q845" s="48">
        <f t="shared" si="2"/>
        <v>0.1927969671</v>
      </c>
      <c r="R845" s="48"/>
      <c r="S845" s="48"/>
      <c r="T845" s="48"/>
      <c r="U845" s="48"/>
      <c r="V845" s="48"/>
      <c r="W845" s="50"/>
      <c r="Z845" s="11"/>
      <c r="AA845" s="11"/>
    </row>
    <row r="846">
      <c r="A846" s="9">
        <f t="shared" si="1"/>
        <v>843</v>
      </c>
      <c r="B846" s="47" t="s">
        <v>980</v>
      </c>
      <c r="C846" s="48" t="str">
        <f>IFERROR(DIVIDE(VLOOKUP($B846,Data!$B$3:$AB$1535,9,FALSE),VLOOKUP($B846,Data!$B$3:$AB$1535,4,FALSE)),"")</f>
        <v/>
      </c>
      <c r="D846" s="48" t="str">
        <f>IFERROR(DIVIDE(VLOOKUP($B846,Data!$B$3:$AB$1535,24,FALSE),VLOOKUP($B846,Data!$B$3:$AB$1535,4,FALSE)),"")</f>
        <v/>
      </c>
      <c r="E846" s="48" t="str">
        <f>IFERROR(DIVIDE(VLOOKUP($B846,Data!$B$3:$EZ1530,29,FALSE),VLOOKUP($B846,Data!$B$3:$EZ1530,4,FALSE)),"")</f>
        <v/>
      </c>
      <c r="F846" s="48" t="str">
        <f>IFERROR(DIVIDE(VLOOKUP($B846,Data!$B$3:$EZ1530,34,FALSE),VLOOKUP($B846,Data!$B$3:$EZ1530,4,FALSE)),"")</f>
        <v/>
      </c>
      <c r="G846" s="48" t="str">
        <f>IFERROR(DIVIDE(VLOOKUP($B846,Data!$B$3:$EZ1530,39,FALSE),VLOOKUP($B846,Data!$B$3:$EZ1530,4,FALSE)),"")</f>
        <v/>
      </c>
      <c r="H846" s="48" t="str">
        <f>IFERROR(DIVIDE(VLOOKUP($B846,Data!$B$3:$EZ1530,44,FALSE),VLOOKUP($B846,Data!$B$3:$EZ1530,4,FALSE)),"")</f>
        <v/>
      </c>
      <c r="I846" s="48">
        <f>IFERROR(MINUS(DIVIDE(VLOOKUP($B846,Data!$B$3:$EZ1530,9,FALSE),VLOOKUP($B846,Data!$B$3:$EZ1530,10,FALSE)),1),"")</f>
        <v>14.83673469</v>
      </c>
      <c r="J846" s="48">
        <f>IFERROR(MINUS(DIVIDE(VLOOKUP($B846,Data!$B$3:$EZ1530,24,FALSE),VLOOKUP($B846,Data!$B$3:$EZ1530,25,FALSE)),1),"")</f>
        <v>-1</v>
      </c>
      <c r="K846" s="48">
        <f>IFERROR(MINUS(DIVIDE(VLOOKUP($B846,Data!$B$3:$EZ1530,29,FALSE),VLOOKUP($B846,Data!$B$3:$EZ1530,30,FALSE)),1),"")</f>
        <v>0.4230103806</v>
      </c>
      <c r="L846" s="48">
        <f>IFERROR(MINUS(DIVIDE(VLOOKUP($B846,Data!$B$3:$EZ1530,34,FALSE),VLOOKUP($B846,Data!$B$3:$EZ1530,35,FALSE)),1),"")</f>
        <v>0.06449511401</v>
      </c>
      <c r="M846" s="48">
        <f>IFERROR(MINUS(DIVIDE(VLOOKUP($B846,Data!$B$3:$EZ1530,39,FALSE),VLOOKUP($B846,Data!$B$3:$EZ1530,40,FALSE)),1),"")</f>
        <v>0.4217804667</v>
      </c>
      <c r="N846" s="48">
        <f>IFERROR(MINUS(DIVIDE(VLOOKUP($B846,Data!$B$3:$EZ1530,44,FALSE),VLOOKUP($B846,Data!$B$3:$EZ1530,45,FALSE)),1),"")</f>
        <v>0.006915097964</v>
      </c>
      <c r="O846" s="50">
        <f>IFERROR(VLOOKUP($B846,Data!$B$3:$D1530,2,FALSE),"")</f>
        <v>3500</v>
      </c>
      <c r="P846" s="50">
        <f>IFERROR(VLOOKUP($B846,Data!$B$3:$D1530,3,FALSE),"")</f>
        <v>2530</v>
      </c>
      <c r="Q846" s="48">
        <f t="shared" si="2"/>
        <v>0.3833992095</v>
      </c>
      <c r="R846" s="48"/>
      <c r="S846" s="48"/>
      <c r="T846" s="48"/>
      <c r="U846" s="48"/>
      <c r="V846" s="48"/>
      <c r="W846" s="50"/>
      <c r="Z846" s="11"/>
      <c r="AA846" s="12"/>
    </row>
    <row r="847">
      <c r="A847" s="9">
        <f t="shared" si="1"/>
        <v>844</v>
      </c>
      <c r="B847" s="47" t="s">
        <v>981</v>
      </c>
      <c r="C847" s="48">
        <f>IFERROR(DIVIDE(VLOOKUP($B847,Data!$B$3:$AB$1535,9,FALSE),VLOOKUP($B847,Data!$B$3:$AB$1535,4,FALSE)),"")</f>
        <v>0.1298701299</v>
      </c>
      <c r="D847" s="48">
        <f>IFERROR(DIVIDE(VLOOKUP($B847,Data!$B$3:$AB$1535,24,FALSE),VLOOKUP($B847,Data!$B$3:$AB$1535,4,FALSE)),"")</f>
        <v>-0.001731601732</v>
      </c>
      <c r="E847" s="48">
        <f>IFERROR(DIVIDE(VLOOKUP($B847,Data!$B$3:$EZ1530,29,FALSE),VLOOKUP($B847,Data!$B$3:$EZ1530,4,FALSE)),"")</f>
        <v>-0.009956709957</v>
      </c>
      <c r="F847" s="48">
        <f>IFERROR(DIVIDE(VLOOKUP($B847,Data!$B$3:$EZ1530,34,FALSE),VLOOKUP($B847,Data!$B$3:$EZ1530,4,FALSE)),"")</f>
        <v>0.08658008658</v>
      </c>
      <c r="G847" s="48">
        <f>IFERROR(DIVIDE(VLOOKUP($B847,Data!$B$3:$EZ1530,39,FALSE),VLOOKUP($B847,Data!$B$3:$EZ1530,4,FALSE)),"")</f>
        <v>-0.002164502165</v>
      </c>
      <c r="H847" s="48">
        <f>IFERROR(DIVIDE(VLOOKUP($B847,Data!$B$3:$EZ1530,44,FALSE),VLOOKUP($B847,Data!$B$3:$EZ1530,4,FALSE)),"")</f>
        <v>0.06883116883</v>
      </c>
      <c r="I847" s="48">
        <f>IFERROR(MINUS(DIVIDE(VLOOKUP($B847,Data!$B$3:$EZ1530,9,FALSE),VLOOKUP($B847,Data!$B$3:$EZ1530,10,FALSE)),1),"")</f>
        <v>-0.5950323974</v>
      </c>
      <c r="J847" s="48">
        <f>IFERROR(MINUS(DIVIDE(VLOOKUP($B847,Data!$B$3:$EZ1530,24,FALSE),VLOOKUP($B847,Data!$B$3:$EZ1530,25,FALSE)),1),"")</f>
        <v>-1.007616146</v>
      </c>
      <c r="K847" s="48">
        <f>IFERROR(MINUS(DIVIDE(VLOOKUP($B847,Data!$B$3:$EZ1530,29,FALSE),VLOOKUP($B847,Data!$B$3:$EZ1530,30,FALSE)),1),"")</f>
        <v>-1.04389313</v>
      </c>
      <c r="L847" s="48">
        <f>IFERROR(MINUS(DIVIDE(VLOOKUP($B847,Data!$B$3:$EZ1530,34,FALSE),VLOOKUP($B847,Data!$B$3:$EZ1530,35,FALSE)),1),"")</f>
        <v>-0.7018040853</v>
      </c>
      <c r="M847" s="48">
        <f>IFERROR(MINUS(DIVIDE(VLOOKUP($B847,Data!$B$3:$EZ1530,39,FALSE),VLOOKUP($B847,Data!$B$3:$EZ1530,40,FALSE)),1),"")</f>
        <v>-1.012537613</v>
      </c>
      <c r="N847" s="48">
        <f>IFERROR(MINUS(DIVIDE(VLOOKUP($B847,Data!$B$3:$EZ1530,44,FALSE),VLOOKUP($B847,Data!$B$3:$EZ1530,45,FALSE)),1),"")</f>
        <v>-0.6885406464</v>
      </c>
      <c r="O847" s="50">
        <f>IFERROR(VLOOKUP($B847,Data!$B$3:$D1530,2,FALSE),"")</f>
        <v>2380000</v>
      </c>
      <c r="P847" s="50">
        <f>IFERROR(VLOOKUP($B847,Data!$B$3:$D1530,3,FALSE),"")</f>
        <v>2220000</v>
      </c>
      <c r="Q847" s="48">
        <f t="shared" si="2"/>
        <v>0.07207207207</v>
      </c>
      <c r="R847" s="48"/>
      <c r="S847" s="48"/>
      <c r="T847" s="48"/>
      <c r="U847" s="48"/>
      <c r="V847" s="48"/>
      <c r="W847" s="50"/>
      <c r="Z847" s="11"/>
      <c r="AA847" s="11"/>
    </row>
    <row r="848">
      <c r="A848" s="9">
        <f t="shared" si="1"/>
        <v>845</v>
      </c>
      <c r="B848" s="47" t="s">
        <v>982</v>
      </c>
      <c r="C848" s="48">
        <f>IFERROR(DIVIDE(VLOOKUP($B848,Data!$B$3:$AB$1535,9,FALSE),VLOOKUP($B848,Data!$B$3:$AB$1535,4,FALSE)),"")</f>
        <v>0.5539033457</v>
      </c>
      <c r="D848" s="48">
        <f>IFERROR(DIVIDE(VLOOKUP($B848,Data!$B$3:$AB$1535,24,FALSE),VLOOKUP($B848,Data!$B$3:$AB$1535,4,FALSE)),"")</f>
        <v>0</v>
      </c>
      <c r="E848" s="48">
        <f>IFERROR(DIVIDE(VLOOKUP($B848,Data!$B$3:$EZ1530,29,FALSE),VLOOKUP($B848,Data!$B$3:$EZ1530,4,FALSE)),"")</f>
        <v>-5.895910781</v>
      </c>
      <c r="F848" s="48">
        <f>IFERROR(DIVIDE(VLOOKUP($B848,Data!$B$3:$EZ1530,34,FALSE),VLOOKUP($B848,Data!$B$3:$EZ1530,4,FALSE)),"")</f>
        <v>-5.456009913</v>
      </c>
      <c r="G848" s="48">
        <f>IFERROR(DIVIDE(VLOOKUP($B848,Data!$B$3:$EZ1530,39,FALSE),VLOOKUP($B848,Data!$B$3:$EZ1530,4,FALSE)),"")</f>
        <v>-5.895910781</v>
      </c>
      <c r="H848" s="48">
        <f>IFERROR(DIVIDE(VLOOKUP($B848,Data!$B$3:$EZ1530,44,FALSE),VLOOKUP($B848,Data!$B$3:$EZ1530,4,FALSE)),"")</f>
        <v>-5.982651797</v>
      </c>
      <c r="I848" s="48">
        <f>IFERROR(MINUS(DIVIDE(VLOOKUP($B848,Data!$B$3:$EZ1530,9,FALSE),VLOOKUP($B848,Data!$B$3:$EZ1530,10,FALSE)),1),"")</f>
        <v>3.298076923</v>
      </c>
      <c r="J848" s="48">
        <f>IFERROR(MINUS(DIVIDE(VLOOKUP($B848,Data!$B$3:$EZ1530,24,FALSE),VLOOKUP($B848,Data!$B$3:$EZ1530,25,FALSE)),1),"")</f>
        <v>-1</v>
      </c>
      <c r="K848" s="48">
        <f>IFERROR(MINUS(DIVIDE(VLOOKUP($B848,Data!$B$3:$EZ1530,29,FALSE),VLOOKUP($B848,Data!$B$3:$EZ1530,30,FALSE)),1),"")</f>
        <v>-0.1046292811</v>
      </c>
      <c r="L848" s="48">
        <f>IFERROR(MINUS(DIVIDE(VLOOKUP($B848,Data!$B$3:$EZ1530,34,FALSE),VLOOKUP($B848,Data!$B$3:$EZ1530,35,FALSE)),1),"")</f>
        <v>0.3214285714</v>
      </c>
      <c r="M848" s="48">
        <f>IFERROR(MINUS(DIVIDE(VLOOKUP($B848,Data!$B$3:$EZ1530,39,FALSE),VLOOKUP($B848,Data!$B$3:$EZ1530,40,FALSE)),1),"")</f>
        <v>-0.1046292811</v>
      </c>
      <c r="N848" s="48">
        <f>IFERROR(MINUS(DIVIDE(VLOOKUP($B848,Data!$B$3:$EZ1530,44,FALSE),VLOOKUP($B848,Data!$B$3:$EZ1530,45,FALSE)),1),"")</f>
        <v>0.5168080427</v>
      </c>
      <c r="O848" s="50">
        <f>IFERROR(VLOOKUP($B848,Data!$B$3:$D1530,2,FALSE),"")</f>
        <v>21150</v>
      </c>
      <c r="P848" s="50" t="str">
        <f>IFERROR(VLOOKUP($B848,Data!$B$3:$D1530,3,FALSE),"")</f>
        <v/>
      </c>
      <c r="Q848" s="48" t="str">
        <f t="shared" si="2"/>
        <v/>
      </c>
      <c r="R848" s="48"/>
      <c r="S848" s="48"/>
      <c r="T848" s="48"/>
      <c r="U848" s="48"/>
      <c r="V848" s="48"/>
      <c r="W848" s="50"/>
      <c r="Z848" s="11"/>
      <c r="AA848" s="11"/>
    </row>
    <row r="849">
      <c r="A849" s="9">
        <f t="shared" si="1"/>
        <v>846</v>
      </c>
      <c r="B849" s="47" t="s">
        <v>983</v>
      </c>
      <c r="C849" s="48">
        <f>IFERROR(DIVIDE(VLOOKUP($B849,Data!$B$3:$AB$1535,9,FALSE),VLOOKUP($B849,Data!$B$3:$AB$1535,4,FALSE)),"")</f>
        <v>0.4512448133</v>
      </c>
      <c r="D849" s="48">
        <f>IFERROR(DIVIDE(VLOOKUP($B849,Data!$B$3:$AB$1535,24,FALSE),VLOOKUP($B849,Data!$B$3:$AB$1535,4,FALSE)),"")</f>
        <v>0.2562240664</v>
      </c>
      <c r="E849" s="48">
        <f>IFERROR(DIVIDE(VLOOKUP($B849,Data!$B$3:$EZ1530,29,FALSE),VLOOKUP($B849,Data!$B$3:$EZ1530,4,FALSE)),"")</f>
        <v>0.2541493776</v>
      </c>
      <c r="F849" s="48">
        <f>IFERROR(DIVIDE(VLOOKUP($B849,Data!$B$3:$EZ1530,34,FALSE),VLOOKUP($B849,Data!$B$3:$EZ1530,4,FALSE)),"")</f>
        <v>0.2873443983</v>
      </c>
      <c r="G849" s="48">
        <f>IFERROR(DIVIDE(VLOOKUP($B849,Data!$B$3:$EZ1530,39,FALSE),VLOOKUP($B849,Data!$B$3:$EZ1530,4,FALSE)),"")</f>
        <v>0.2271784232</v>
      </c>
      <c r="H849" s="48">
        <f>IFERROR(DIVIDE(VLOOKUP($B849,Data!$B$3:$EZ1530,44,FALSE),VLOOKUP($B849,Data!$B$3:$EZ1530,4,FALSE)),"")</f>
        <v>0.3298755187</v>
      </c>
      <c r="I849" s="48">
        <f>IFERROR(MINUS(DIVIDE(VLOOKUP($B849,Data!$B$3:$EZ1530,9,FALSE),VLOOKUP($B849,Data!$B$3:$EZ1530,10,FALSE)),1),"")</f>
        <v>-0.1959334566</v>
      </c>
      <c r="J849" s="48">
        <f>IFERROR(MINUS(DIVIDE(VLOOKUP($B849,Data!$B$3:$EZ1530,24,FALSE),VLOOKUP($B849,Data!$B$3:$EZ1530,25,FALSE)),1),"")</f>
        <v>-0.2232704403</v>
      </c>
      <c r="K849" s="48">
        <f>IFERROR(MINUS(DIVIDE(VLOOKUP($B849,Data!$B$3:$EZ1530,29,FALSE),VLOOKUP($B849,Data!$B$3:$EZ1530,30,FALSE)),1),"")</f>
        <v>-0.2222222222</v>
      </c>
      <c r="L849" s="48">
        <f>IFERROR(MINUS(DIVIDE(VLOOKUP($B849,Data!$B$3:$EZ1530,34,FALSE),VLOOKUP($B849,Data!$B$3:$EZ1530,35,FALSE)),1),"")</f>
        <v>-0.2197183099</v>
      </c>
      <c r="M849" s="48">
        <f>IFERROR(MINUS(DIVIDE(VLOOKUP($B849,Data!$B$3:$EZ1530,39,FALSE),VLOOKUP($B849,Data!$B$3:$EZ1530,40,FALSE)),1),"")</f>
        <v>-0.07983193277</v>
      </c>
      <c r="N849" s="48">
        <f>IFERROR(MINUS(DIVIDE(VLOOKUP($B849,Data!$B$3:$EZ1530,44,FALSE),VLOOKUP($B849,Data!$B$3:$EZ1530,45,FALSE)),1),"")</f>
        <v>0.1954887218</v>
      </c>
      <c r="O849" s="50">
        <f>IFERROR(VLOOKUP($B849,Data!$B$3:$D1530,2,FALSE),"")</f>
        <v>11100000</v>
      </c>
      <c r="P849" s="50">
        <f>IFERROR(VLOOKUP($B849,Data!$B$3:$D1530,3,FALSE),"")</f>
        <v>9930000</v>
      </c>
      <c r="Q849" s="48">
        <f t="shared" si="2"/>
        <v>0.1178247734</v>
      </c>
      <c r="R849" s="48"/>
      <c r="S849" s="48"/>
      <c r="T849" s="48"/>
      <c r="U849" s="48"/>
      <c r="V849" s="48"/>
      <c r="W849" s="50"/>
      <c r="Z849" s="11"/>
      <c r="AA849" s="11"/>
    </row>
    <row r="850">
      <c r="A850" s="9">
        <f t="shared" si="1"/>
        <v>847</v>
      </c>
      <c r="B850" s="47" t="s">
        <v>984</v>
      </c>
      <c r="C850" s="48">
        <f>IFERROR(DIVIDE(VLOOKUP($B850,Data!$B$3:$AB$1535,9,FALSE),VLOOKUP($B850,Data!$B$3:$AB$1535,4,FALSE)),"")</f>
        <v>0.5563364597</v>
      </c>
      <c r="D850" s="48">
        <f>IFERROR(DIVIDE(VLOOKUP($B850,Data!$B$3:$AB$1535,24,FALSE),VLOOKUP($B850,Data!$B$3:$AB$1535,4,FALSE)),"")</f>
        <v>0.1405874929</v>
      </c>
      <c r="E850" s="48">
        <f>IFERROR(DIVIDE(VLOOKUP($B850,Data!$B$3:$EZ1530,29,FALSE),VLOOKUP($B850,Data!$B$3:$EZ1530,4,FALSE)),"")</f>
        <v>0.1115345591</v>
      </c>
      <c r="F850" s="48">
        <f>IFERROR(DIVIDE(VLOOKUP($B850,Data!$B$3:$EZ1530,34,FALSE),VLOOKUP($B850,Data!$B$3:$EZ1530,4,FALSE)),"")</f>
        <v>0.2538048455</v>
      </c>
      <c r="G850" s="48">
        <f>IFERROR(DIVIDE(VLOOKUP($B850,Data!$B$3:$EZ1530,39,FALSE),VLOOKUP($B850,Data!$B$3:$EZ1530,4,FALSE)),"")</f>
        <v>0.1076245391</v>
      </c>
      <c r="H850" s="48">
        <f>IFERROR(DIVIDE(VLOOKUP($B850,Data!$B$3:$EZ1530,44,FALSE),VLOOKUP($B850,Data!$B$3:$EZ1530,4,FALSE)),"")</f>
        <v>0.3242594472</v>
      </c>
      <c r="I850" s="48">
        <f>IFERROR(MINUS(DIVIDE(VLOOKUP($B850,Data!$B$3:$EZ1530,9,FALSE),VLOOKUP($B850,Data!$B$3:$EZ1530,10,FALSE)),1),"")</f>
        <v>0.07016708716</v>
      </c>
      <c r="J850" s="48">
        <f>IFERROR(MINUS(DIVIDE(VLOOKUP($B850,Data!$B$3:$EZ1530,24,FALSE),VLOOKUP($B850,Data!$B$3:$EZ1530,25,FALSE)),1),"")</f>
        <v>-19.20833333</v>
      </c>
      <c r="K850" s="48">
        <f>IFERROR(MINUS(DIVIDE(VLOOKUP($B850,Data!$B$3:$EZ1530,29,FALSE),VLOOKUP($B850,Data!$B$3:$EZ1530,30,FALSE)),1),"")</f>
        <v>-2.880267</v>
      </c>
      <c r="L850" s="48">
        <f>IFERROR(MINUS(DIVIDE(VLOOKUP($B850,Data!$B$3:$EZ1530,34,FALSE),VLOOKUP($B850,Data!$B$3:$EZ1530,35,FALSE)),1),"")</f>
        <v>0.3582306979</v>
      </c>
      <c r="M850" s="48">
        <f>IFERROR(MINUS(DIVIDE(VLOOKUP($B850,Data!$B$3:$EZ1530,39,FALSE),VLOOKUP($B850,Data!$B$3:$EZ1530,40,FALSE)),1),"")</f>
        <v>-2.652355623</v>
      </c>
      <c r="N850" s="48">
        <f>IFERROR(MINUS(DIVIDE(VLOOKUP($B850,Data!$B$3:$EZ1530,44,FALSE),VLOOKUP($B850,Data!$B$3:$EZ1530,45,FALSE)),1),"")</f>
        <v>1.546249514</v>
      </c>
      <c r="O850" s="50">
        <f>IFERROR(VLOOKUP($B850,Data!$B$3:$D1530,2,FALSE),"")</f>
        <v>438290</v>
      </c>
      <c r="P850" s="50">
        <f>IFERROR(VLOOKUP($B850,Data!$B$3:$D1530,3,FALSE),"")</f>
        <v>397650</v>
      </c>
      <c r="Q850" s="48">
        <f t="shared" si="2"/>
        <v>0.1022004275</v>
      </c>
      <c r="R850" s="48"/>
      <c r="S850" s="48"/>
      <c r="T850" s="48"/>
      <c r="U850" s="48"/>
      <c r="V850" s="48"/>
      <c r="W850" s="50"/>
      <c r="Z850" s="11"/>
      <c r="AA850" s="12"/>
    </row>
    <row r="851">
      <c r="A851" s="9">
        <f t="shared" si="1"/>
        <v>848</v>
      </c>
      <c r="B851" s="47" t="s">
        <v>985</v>
      </c>
      <c r="C851" s="48">
        <f>IFERROR(DIVIDE(VLOOKUP($B851,Data!$B$3:$AB$1535,9,FALSE),VLOOKUP($B851,Data!$B$3:$AB$1535,4,FALSE)),"")</f>
        <v>0.1398063725</v>
      </c>
      <c r="D851" s="48">
        <f>IFERROR(DIVIDE(VLOOKUP($B851,Data!$B$3:$AB$1535,24,FALSE),VLOOKUP($B851,Data!$B$3:$AB$1535,4,FALSE)),"")</f>
        <v>0.07252696078</v>
      </c>
      <c r="E851" s="48">
        <f>IFERROR(DIVIDE(VLOOKUP($B851,Data!$B$3:$EZ1530,29,FALSE),VLOOKUP($B851,Data!$B$3:$EZ1530,4,FALSE)),"")</f>
        <v>0.07249019608</v>
      </c>
      <c r="F851" s="48">
        <f>IFERROR(DIVIDE(VLOOKUP($B851,Data!$B$3:$EZ1530,34,FALSE),VLOOKUP($B851,Data!$B$3:$EZ1530,4,FALSE)),"")</f>
        <v>0.08292401961</v>
      </c>
      <c r="G851" s="48">
        <f>IFERROR(DIVIDE(VLOOKUP($B851,Data!$B$3:$EZ1530,39,FALSE),VLOOKUP($B851,Data!$B$3:$EZ1530,4,FALSE)),"")</f>
        <v>0.05581372549</v>
      </c>
      <c r="H851" s="48">
        <f>IFERROR(DIVIDE(VLOOKUP($B851,Data!$B$3:$EZ1530,44,FALSE),VLOOKUP($B851,Data!$B$3:$EZ1530,4,FALSE)),"")</f>
        <v>0.07545098039</v>
      </c>
      <c r="I851" s="48">
        <f>IFERROR(MINUS(DIVIDE(VLOOKUP($B851,Data!$B$3:$EZ1530,9,FALSE),VLOOKUP($B851,Data!$B$3:$EZ1530,10,FALSE)),1),"")</f>
        <v>0.0410271385</v>
      </c>
      <c r="J851" s="48">
        <f>IFERROR(MINUS(DIVIDE(VLOOKUP($B851,Data!$B$3:$EZ1530,24,FALSE),VLOOKUP($B851,Data!$B$3:$EZ1530,25,FALSE)),1),"")</f>
        <v>-0.09543606517</v>
      </c>
      <c r="K851" s="48">
        <f>IFERROR(MINUS(DIVIDE(VLOOKUP($B851,Data!$B$3:$EZ1530,29,FALSE),VLOOKUP($B851,Data!$B$3:$EZ1530,30,FALSE)),1),"")</f>
        <v>-0.09933613497</v>
      </c>
      <c r="L851" s="48">
        <f>IFERROR(MINUS(DIVIDE(VLOOKUP($B851,Data!$B$3:$EZ1530,34,FALSE),VLOOKUP($B851,Data!$B$3:$EZ1530,35,FALSE)),1),"")</f>
        <v>-0.08926216049</v>
      </c>
      <c r="M851" s="48">
        <f>IFERROR(MINUS(DIVIDE(VLOOKUP($B851,Data!$B$3:$EZ1530,39,FALSE),VLOOKUP($B851,Data!$B$3:$EZ1530,40,FALSE)),1),"")</f>
        <v>-0.1079598872</v>
      </c>
      <c r="N851" s="48">
        <f>IFERROR(MINUS(DIVIDE(VLOOKUP($B851,Data!$B$3:$EZ1530,44,FALSE),VLOOKUP($B851,Data!$B$3:$EZ1530,45,FALSE)),1),"")</f>
        <v>0.03336690164</v>
      </c>
      <c r="O851" s="50">
        <f>IFERROR(VLOOKUP($B851,Data!$B$3:$D1530,2,FALSE),"")</f>
        <v>3990000</v>
      </c>
      <c r="P851" s="50">
        <f>IFERROR(VLOOKUP($B851,Data!$B$3:$D1530,3,FALSE),"")</f>
        <v>3650000</v>
      </c>
      <c r="Q851" s="48">
        <f t="shared" si="2"/>
        <v>0.09315068493</v>
      </c>
      <c r="R851" s="48"/>
      <c r="S851" s="48"/>
      <c r="T851" s="48"/>
      <c r="U851" s="48"/>
      <c r="V851" s="48"/>
      <c r="W851" s="50"/>
      <c r="Z851" s="15"/>
      <c r="AA851" s="15"/>
    </row>
    <row r="852">
      <c r="A852" s="9">
        <f t="shared" si="1"/>
        <v>849</v>
      </c>
      <c r="B852" s="47" t="s">
        <v>986</v>
      </c>
      <c r="C852" s="48">
        <f>IFERROR(DIVIDE(VLOOKUP($B852,Data!$B$3:$AB$1535,9,FALSE),VLOOKUP($B852,Data!$B$3:$AB$1535,4,FALSE)),"")</f>
        <v>0.5577889447</v>
      </c>
      <c r="D852" s="48">
        <f>IFERROR(DIVIDE(VLOOKUP($B852,Data!$B$3:$AB$1535,24,FALSE),VLOOKUP($B852,Data!$B$3:$AB$1535,4,FALSE)),"")</f>
        <v>0.2227160804</v>
      </c>
      <c r="E852" s="48">
        <f>IFERROR(DIVIDE(VLOOKUP($B852,Data!$B$3:$EZ1530,29,FALSE),VLOOKUP($B852,Data!$B$3:$EZ1530,4,FALSE)),"")</f>
        <v>0.2254748744</v>
      </c>
      <c r="F852" s="48">
        <f>IFERROR(DIVIDE(VLOOKUP($B852,Data!$B$3:$EZ1530,34,FALSE),VLOOKUP($B852,Data!$B$3:$EZ1530,4,FALSE)),"")</f>
        <v>0.2638190955</v>
      </c>
      <c r="G852" s="48">
        <f>IFERROR(DIVIDE(VLOOKUP($B852,Data!$B$3:$EZ1530,39,FALSE),VLOOKUP($B852,Data!$B$3:$EZ1530,4,FALSE)),"")</f>
        <v>0.1622110553</v>
      </c>
      <c r="H852" s="48">
        <f>IFERROR(DIVIDE(VLOOKUP($B852,Data!$B$3:$EZ1530,44,FALSE),VLOOKUP($B852,Data!$B$3:$EZ1530,4,FALSE)),"")</f>
        <v>0.1637914573</v>
      </c>
      <c r="I852" s="48">
        <f>IFERROR(MINUS(DIVIDE(VLOOKUP($B852,Data!$B$3:$EZ1530,9,FALSE),VLOOKUP($B852,Data!$B$3:$EZ1530,10,FALSE)),1),"")</f>
        <v>0.2197802198</v>
      </c>
      <c r="J852" s="48">
        <f>IFERROR(MINUS(DIVIDE(VLOOKUP($B852,Data!$B$3:$EZ1530,24,FALSE),VLOOKUP($B852,Data!$B$3:$EZ1530,25,FALSE)),1),"")</f>
        <v>0.299359416</v>
      </c>
      <c r="K852" s="48">
        <f>IFERROR(MINUS(DIVIDE(VLOOKUP($B852,Data!$B$3:$EZ1530,29,FALSE),VLOOKUP($B852,Data!$B$3:$EZ1530,30,FALSE)),1),"")</f>
        <v>0.2546522195</v>
      </c>
      <c r="L852" s="48">
        <f>IFERROR(MINUS(DIVIDE(VLOOKUP($B852,Data!$B$3:$EZ1530,34,FALSE),VLOOKUP($B852,Data!$B$3:$EZ1530,35,FALSE)),1),"")</f>
        <v>0.2697568113</v>
      </c>
      <c r="M852" s="48">
        <f>IFERROR(MINUS(DIVIDE(VLOOKUP($B852,Data!$B$3:$EZ1530,39,FALSE),VLOOKUP($B852,Data!$B$3:$EZ1530,40,FALSE)),1),"")</f>
        <v>0.3344357172</v>
      </c>
      <c r="N852" s="48">
        <f>IFERROR(MINUS(DIVIDE(VLOOKUP($B852,Data!$B$3:$EZ1530,44,FALSE),VLOOKUP($B852,Data!$B$3:$EZ1530,45,FALSE)),1),"")</f>
        <v>-0.1223646302</v>
      </c>
      <c r="O852" s="50">
        <f>IFERROR(VLOOKUP($B852,Data!$B$3:$D1530,2,FALSE),"")</f>
        <v>5000000</v>
      </c>
      <c r="P852" s="50">
        <f>IFERROR(VLOOKUP($B852,Data!$B$3:$D1530,3,FALSE),"")</f>
        <v>3970000</v>
      </c>
      <c r="Q852" s="48">
        <f t="shared" si="2"/>
        <v>0.2594458438</v>
      </c>
      <c r="R852" s="48"/>
      <c r="S852" s="48"/>
      <c r="T852" s="48"/>
      <c r="U852" s="48"/>
      <c r="V852" s="48"/>
      <c r="W852" s="50"/>
      <c r="Z852" s="15"/>
      <c r="AA852" s="15"/>
    </row>
    <row r="853">
      <c r="A853" s="9">
        <f t="shared" si="1"/>
        <v>850</v>
      </c>
      <c r="B853" s="47" t="s">
        <v>987</v>
      </c>
      <c r="C853" s="48">
        <f>IFERROR(DIVIDE(VLOOKUP($B853,Data!$B$3:$AB$1535,9,FALSE),VLOOKUP($B853,Data!$B$3:$AB$1535,4,FALSE)),"")</f>
        <v>0.4634146341</v>
      </c>
      <c r="D853" s="48">
        <f>IFERROR(DIVIDE(VLOOKUP($B853,Data!$B$3:$AB$1535,24,FALSE),VLOOKUP($B853,Data!$B$3:$AB$1535,4,FALSE)),"")</f>
        <v>0</v>
      </c>
      <c r="E853" s="48">
        <f>IFERROR(DIVIDE(VLOOKUP($B853,Data!$B$3:$EZ1530,29,FALSE),VLOOKUP($B853,Data!$B$3:$EZ1530,4,FALSE)),"")</f>
        <v>0.0523255814</v>
      </c>
      <c r="F853" s="48">
        <f>IFERROR(DIVIDE(VLOOKUP($B853,Data!$B$3:$EZ1530,34,FALSE),VLOOKUP($B853,Data!$B$3:$EZ1530,4,FALSE)),"")</f>
        <v>0.08252977879</v>
      </c>
      <c r="G853" s="48">
        <f>IFERROR(DIVIDE(VLOOKUP($B853,Data!$B$3:$EZ1530,39,FALSE),VLOOKUP($B853,Data!$B$3:$EZ1530,4,FALSE)),"")</f>
        <v>0.07572319909</v>
      </c>
      <c r="H853" s="48">
        <f>IFERROR(DIVIDE(VLOOKUP($B853,Data!$B$3:$EZ1530,44,FALSE),VLOOKUP($B853,Data!$B$3:$EZ1530,4,FALSE)),"")</f>
        <v>0.06806579694</v>
      </c>
      <c r="I853" s="48">
        <f>IFERROR(MINUS(DIVIDE(VLOOKUP($B853,Data!$B$3:$EZ1530,9,FALSE),VLOOKUP($B853,Data!$B$3:$EZ1530,10,FALSE)),1),"")</f>
        <v>0.6810699588</v>
      </c>
      <c r="J853" s="48">
        <f>IFERROR(MINUS(DIVIDE(VLOOKUP($B853,Data!$B$3:$EZ1530,24,FALSE),VLOOKUP($B853,Data!$B$3:$EZ1530,25,FALSE)),1),"")</f>
        <v>-1</v>
      </c>
      <c r="K853" s="48">
        <f>IFERROR(MINUS(DIVIDE(VLOOKUP($B853,Data!$B$3:$EZ1530,29,FALSE),VLOOKUP($B853,Data!$B$3:$EZ1530,30,FALSE)),1),"")</f>
        <v>1.860465116</v>
      </c>
      <c r="L853" s="48">
        <f>IFERROR(MINUS(DIVIDE(VLOOKUP($B853,Data!$B$3:$EZ1530,34,FALSE),VLOOKUP($B853,Data!$B$3:$EZ1530,35,FALSE)),1),"")</f>
        <v>1.255813953</v>
      </c>
      <c r="M853" s="48">
        <f>IFERROR(MINUS(DIVIDE(VLOOKUP($B853,Data!$B$3:$EZ1530,39,FALSE),VLOOKUP($B853,Data!$B$3:$EZ1530,40,FALSE)),1),"")</f>
        <v>3.306451613</v>
      </c>
      <c r="N853" s="48">
        <f>IFERROR(MINUS(DIVIDE(VLOOKUP($B853,Data!$B$3:$EZ1530,44,FALSE),VLOOKUP($B853,Data!$B$3:$EZ1530,45,FALSE)),1),"")</f>
        <v>-2.450151057</v>
      </c>
      <c r="O853" s="50">
        <f>IFERROR(VLOOKUP($B853,Data!$B$3:$D1530,2,FALSE),"")</f>
        <v>91020</v>
      </c>
      <c r="P853" s="50">
        <f>IFERROR(VLOOKUP($B853,Data!$B$3:$D1530,3,FALSE),"")</f>
        <v>80600</v>
      </c>
      <c r="Q853" s="48">
        <f t="shared" si="2"/>
        <v>0.129280397</v>
      </c>
      <c r="R853" s="48"/>
      <c r="S853" s="48"/>
      <c r="T853" s="48"/>
      <c r="U853" s="48"/>
      <c r="V853" s="48"/>
      <c r="W853" s="50"/>
      <c r="Z853" s="11"/>
      <c r="AA853" s="11"/>
    </row>
    <row r="854">
      <c r="A854" s="9">
        <f t="shared" si="1"/>
        <v>851</v>
      </c>
      <c r="B854" s="52" t="s">
        <v>988</v>
      </c>
      <c r="C854" s="48">
        <f>IFERROR(DIVIDE(VLOOKUP($B854,Data!$B$3:$AB$1535,9,FALSE),VLOOKUP($B854,Data!$B$3:$AB$1535,4,FALSE)),"")</f>
        <v>0.2688363798</v>
      </c>
      <c r="D854" s="48">
        <f>IFERROR(DIVIDE(VLOOKUP($B854,Data!$B$3:$AB$1535,24,FALSE),VLOOKUP($B854,Data!$B$3:$AB$1535,4,FALSE)),"")</f>
        <v>0.1328577798</v>
      </c>
      <c r="E854" s="48">
        <f>IFERROR(DIVIDE(VLOOKUP($B854,Data!$B$3:$EZ1530,29,FALSE),VLOOKUP($B854,Data!$B$3:$EZ1530,4,FALSE)),"")</f>
        <v>0.1319661168</v>
      </c>
      <c r="F854" s="48">
        <f>IFERROR(DIVIDE(VLOOKUP($B854,Data!$B$3:$EZ1530,34,FALSE),VLOOKUP($B854,Data!$B$3:$EZ1530,4,FALSE)),"")</f>
        <v>0.1881408827</v>
      </c>
      <c r="G854" s="48">
        <f>IFERROR(DIVIDE(VLOOKUP($B854,Data!$B$3:$EZ1530,39,FALSE),VLOOKUP($B854,Data!$B$3:$EZ1530,4,FALSE)),"")</f>
        <v>0.1025412394</v>
      </c>
      <c r="H854" s="48">
        <f>IFERROR(DIVIDE(VLOOKUP($B854,Data!$B$3:$EZ1530,44,FALSE),VLOOKUP($B854,Data!$B$3:$EZ1530,4,FALSE)),"")</f>
        <v>0.1778867588</v>
      </c>
      <c r="I854" s="48">
        <f>IFERROR(MINUS(DIVIDE(VLOOKUP($B854,Data!$B$3:$EZ1530,9,FALSE),VLOOKUP($B854,Data!$B$3:$EZ1530,10,FALSE)),1),"")</f>
        <v>0</v>
      </c>
      <c r="J854" s="48">
        <f>IFERROR(MINUS(DIVIDE(VLOOKUP($B854,Data!$B$3:$EZ1530,24,FALSE),VLOOKUP($B854,Data!$B$3:$EZ1530,25,FALSE)),1),"")</f>
        <v>-0.05095541401</v>
      </c>
      <c r="K854" s="48">
        <f>IFERROR(MINUS(DIVIDE(VLOOKUP($B854,Data!$B$3:$EZ1530,29,FALSE),VLOOKUP($B854,Data!$B$3:$EZ1530,30,FALSE)),1),"")</f>
        <v>-0.06329113924</v>
      </c>
      <c r="L854" s="48">
        <f>IFERROR(MINUS(DIVIDE(VLOOKUP($B854,Data!$B$3:$EZ1530,34,FALSE),VLOOKUP($B854,Data!$B$3:$EZ1530,35,FALSE)),1),"")</f>
        <v>-0.03432494279</v>
      </c>
      <c r="M854" s="48">
        <f>IFERROR(MINUS(DIVIDE(VLOOKUP($B854,Data!$B$3:$EZ1530,39,FALSE),VLOOKUP($B854,Data!$B$3:$EZ1530,40,FALSE)),1),"")</f>
        <v>-0.06882591093</v>
      </c>
      <c r="N854" s="48">
        <f>IFERROR(MINUS(DIVIDE(VLOOKUP($B854,Data!$B$3:$EZ1530,44,FALSE),VLOOKUP($B854,Data!$B$3:$EZ1530,45,FALSE)),1),"")</f>
        <v>-0.1840490798</v>
      </c>
      <c r="O854" s="50">
        <f>IFERROR(VLOOKUP($B854,Data!$B$3:$D1530,2,FALSE),"")</f>
        <v>16780000</v>
      </c>
      <c r="P854" s="50">
        <f>IFERROR(VLOOKUP($B854,Data!$B$3:$D1530,3,FALSE),"")</f>
        <v>9670000</v>
      </c>
      <c r="Q854" s="48">
        <f t="shared" si="2"/>
        <v>0.7352637022</v>
      </c>
      <c r="R854" s="48"/>
      <c r="S854" s="48"/>
      <c r="T854" s="48"/>
      <c r="U854" s="48"/>
      <c r="V854" s="48"/>
      <c r="W854" s="50"/>
      <c r="Z854" s="11"/>
      <c r="AA854" s="11"/>
    </row>
    <row r="855">
      <c r="A855" s="9">
        <f t="shared" si="1"/>
        <v>852</v>
      </c>
      <c r="B855" s="47" t="s">
        <v>989</v>
      </c>
      <c r="C855" s="48">
        <f>IFERROR(DIVIDE(VLOOKUP($B855,Data!$B$3:$AB$1535,9,FALSE),VLOOKUP($B855,Data!$B$3:$AB$1535,4,FALSE)),"")</f>
        <v>0.7225616921</v>
      </c>
      <c r="D855" s="48">
        <f>IFERROR(DIVIDE(VLOOKUP($B855,Data!$B$3:$AB$1535,24,FALSE),VLOOKUP($B855,Data!$B$3:$AB$1535,4,FALSE)),"")</f>
        <v>-0.3547591069</v>
      </c>
      <c r="E855" s="48">
        <f>IFERROR(DIVIDE(VLOOKUP($B855,Data!$B$3:$EZ1530,29,FALSE),VLOOKUP($B855,Data!$B$3:$EZ1530,4,FALSE)),"")</f>
        <v>-0.3327849589</v>
      </c>
      <c r="F855" s="48">
        <f>IFERROR(DIVIDE(VLOOKUP($B855,Data!$B$3:$EZ1530,34,FALSE),VLOOKUP($B855,Data!$B$3:$EZ1530,4,FALSE)),"")</f>
        <v>-0.3136897767</v>
      </c>
      <c r="G855" s="48">
        <f>IFERROR(DIVIDE(VLOOKUP($B855,Data!$B$3:$EZ1530,39,FALSE),VLOOKUP($B855,Data!$B$3:$EZ1530,4,FALSE)),"")</f>
        <v>-0.3247356052</v>
      </c>
      <c r="H855" s="48">
        <f>IFERROR(DIVIDE(VLOOKUP($B855,Data!$B$3:$EZ1530,44,FALSE),VLOOKUP($B855,Data!$B$3:$EZ1530,4,FALSE)),"")</f>
        <v>-0.3490011751</v>
      </c>
      <c r="I855" s="48">
        <f>IFERROR(MINUS(DIVIDE(VLOOKUP($B855,Data!$B$3:$EZ1530,9,FALSE),VLOOKUP($B855,Data!$B$3:$EZ1530,10,FALSE)),1),"")</f>
        <v>1.567968261</v>
      </c>
      <c r="J855" s="48">
        <f>IFERROR(MINUS(DIVIDE(VLOOKUP($B855,Data!$B$3:$EZ1530,24,FALSE),VLOOKUP($B855,Data!$B$3:$EZ1530,25,FALSE)),1),"")</f>
        <v>0.7251428571</v>
      </c>
      <c r="K855" s="48">
        <f>IFERROR(MINUS(DIVIDE(VLOOKUP($B855,Data!$B$3:$EZ1530,29,FALSE),VLOOKUP($B855,Data!$B$3:$EZ1530,30,FALSE)),1),"")</f>
        <v>0.6983508246</v>
      </c>
      <c r="L855" s="48">
        <f>IFERROR(MINUS(DIVIDE(VLOOKUP($B855,Data!$B$3:$EZ1530,34,FALSE),VLOOKUP($B855,Data!$B$3:$EZ1530,35,FALSE)),1),"")</f>
        <v>0.5726067747</v>
      </c>
      <c r="M855" s="48">
        <f>IFERROR(MINUS(DIVIDE(VLOOKUP($B855,Data!$B$3:$EZ1530,39,FALSE),VLOOKUP($B855,Data!$B$3:$EZ1530,40,FALSE)),1),"")</f>
        <v>0.6557819053</v>
      </c>
      <c r="N855" s="48">
        <f>IFERROR(MINUS(DIVIDE(VLOOKUP($B855,Data!$B$3:$EZ1530,44,FALSE),VLOOKUP($B855,Data!$B$3:$EZ1530,45,FALSE)),1),"")</f>
        <v>0.7978208232</v>
      </c>
      <c r="O855" s="50">
        <f>IFERROR(VLOOKUP($B855,Data!$B$3:$D1530,2,FALSE),"")</f>
        <v>558390</v>
      </c>
      <c r="P855" s="50">
        <f>IFERROR(VLOOKUP($B855,Data!$B$3:$D1530,3,FALSE),"")</f>
        <v>358500</v>
      </c>
      <c r="Q855" s="48">
        <f t="shared" si="2"/>
        <v>0.5575732218</v>
      </c>
      <c r="R855" s="48"/>
      <c r="S855" s="48"/>
      <c r="T855" s="48"/>
      <c r="U855" s="48"/>
      <c r="V855" s="48"/>
      <c r="W855" s="50"/>
      <c r="Z855" s="11"/>
      <c r="AA855" s="11"/>
    </row>
    <row r="856">
      <c r="A856" s="9">
        <f t="shared" si="1"/>
        <v>853</v>
      </c>
      <c r="B856" s="47" t="s">
        <v>990</v>
      </c>
      <c r="C856" s="48">
        <f>IFERROR(DIVIDE(VLOOKUP($B856,Data!$B$3:$AB$1535,9,FALSE),VLOOKUP($B856,Data!$B$3:$AB$1535,4,FALSE)),"")</f>
        <v>0.4177583697</v>
      </c>
      <c r="D856" s="48">
        <f>IFERROR(DIVIDE(VLOOKUP($B856,Data!$B$3:$AB$1535,24,FALSE),VLOOKUP($B856,Data!$B$3:$AB$1535,4,FALSE)),"")</f>
        <v>0.2714701601</v>
      </c>
      <c r="E856" s="48">
        <f>IFERROR(DIVIDE(VLOOKUP($B856,Data!$B$3:$EZ1530,29,FALSE),VLOOKUP($B856,Data!$B$3:$EZ1530,4,FALSE)),"")</f>
        <v>0.2743813683</v>
      </c>
      <c r="F856" s="48">
        <f>IFERROR(DIVIDE(VLOOKUP($B856,Data!$B$3:$EZ1530,34,FALSE),VLOOKUP($B856,Data!$B$3:$EZ1530,4,FALSE)),"")</f>
        <v>0.3631732169</v>
      </c>
      <c r="G856" s="48">
        <f>IFERROR(DIVIDE(VLOOKUP($B856,Data!$B$3:$EZ1530,39,FALSE),VLOOKUP($B856,Data!$B$3:$EZ1530,4,FALSE)),"")</f>
        <v>0.1965065502</v>
      </c>
      <c r="H856" s="48">
        <f>IFERROR(DIVIDE(VLOOKUP($B856,Data!$B$3:$EZ1530,44,FALSE),VLOOKUP($B856,Data!$B$3:$EZ1530,4,FALSE)),"")</f>
        <v>0.2212518195</v>
      </c>
      <c r="I856" s="48">
        <f>IFERROR(MINUS(DIVIDE(VLOOKUP($B856,Data!$B$3:$EZ1530,9,FALSE),VLOOKUP($B856,Data!$B$3:$EZ1530,10,FALSE)),1),"")</f>
        <v>0.01773049645</v>
      </c>
      <c r="J856" s="48">
        <f>IFERROR(MINUS(DIVIDE(VLOOKUP($B856,Data!$B$3:$EZ1530,24,FALSE),VLOOKUP($B856,Data!$B$3:$EZ1530,25,FALSE)),1),"")</f>
        <v>0.002688172043</v>
      </c>
      <c r="K856" s="48">
        <f>IFERROR(MINUS(DIVIDE(VLOOKUP($B856,Data!$B$3:$EZ1530,29,FALSE),VLOOKUP($B856,Data!$B$3:$EZ1530,30,FALSE)),1),"")</f>
        <v>0.1321321321</v>
      </c>
      <c r="L856" s="48">
        <f>IFERROR(MINUS(DIVIDE(VLOOKUP($B856,Data!$B$3:$EZ1530,34,FALSE),VLOOKUP($B856,Data!$B$3:$EZ1530,35,FALSE)),1),"")</f>
        <v>-0.005976095618</v>
      </c>
      <c r="M856" s="48">
        <f>IFERROR(MINUS(DIVIDE(VLOOKUP($B856,Data!$B$3:$EZ1530,39,FALSE),VLOOKUP($B856,Data!$B$3:$EZ1530,40,FALSE)),1),"")</f>
        <v>0.1203319502</v>
      </c>
      <c r="N856" s="48">
        <f>IFERROR(MINUS(DIVIDE(VLOOKUP($B856,Data!$B$3:$EZ1530,44,FALSE),VLOOKUP($B856,Data!$B$3:$EZ1530,45,FALSE)),1),"")</f>
        <v>-0.3531914894</v>
      </c>
      <c r="O856" s="50">
        <f>IFERROR(VLOOKUP($B856,Data!$B$3:$D1530,2,FALSE),"")</f>
        <v>11740000</v>
      </c>
      <c r="P856" s="50">
        <f>IFERROR(VLOOKUP($B856,Data!$B$3:$D1530,3,FALSE),"")</f>
        <v>7170000</v>
      </c>
      <c r="Q856" s="48">
        <f t="shared" si="2"/>
        <v>0.6373779637</v>
      </c>
      <c r="R856" s="48"/>
      <c r="S856" s="48"/>
      <c r="T856" s="48"/>
      <c r="U856" s="48"/>
      <c r="V856" s="48"/>
      <c r="W856" s="50"/>
      <c r="Z856" s="19"/>
      <c r="AA856" s="19"/>
    </row>
    <row r="857">
      <c r="A857" s="9">
        <f t="shared" si="1"/>
        <v>854</v>
      </c>
      <c r="B857" s="47" t="s">
        <v>991</v>
      </c>
      <c r="C857" s="48">
        <f>IFERROR(DIVIDE(VLOOKUP($B857,Data!$B$3:$AB$1535,9,FALSE),VLOOKUP($B857,Data!$B$3:$AB$1535,4,FALSE)),"")</f>
        <v>0.2659574468</v>
      </c>
      <c r="D857" s="48">
        <f>IFERROR(DIVIDE(VLOOKUP($B857,Data!$B$3:$AB$1535,24,FALSE),VLOOKUP($B857,Data!$B$3:$AB$1535,4,FALSE)),"")</f>
        <v>0</v>
      </c>
      <c r="E857" s="48">
        <f>IFERROR(DIVIDE(VLOOKUP($B857,Data!$B$3:$EZ1530,29,FALSE),VLOOKUP($B857,Data!$B$3:$EZ1530,4,FALSE)),"")</f>
        <v>0.1492819149</v>
      </c>
      <c r="F857" s="48">
        <f>IFERROR(DIVIDE(VLOOKUP($B857,Data!$B$3:$EZ1530,34,FALSE),VLOOKUP($B857,Data!$B$3:$EZ1530,4,FALSE)),"")</f>
        <v>0.2205851064</v>
      </c>
      <c r="G857" s="48">
        <f>IFERROR(DIVIDE(VLOOKUP($B857,Data!$B$3:$EZ1530,39,FALSE),VLOOKUP($B857,Data!$B$3:$EZ1530,4,FALSE)),"")</f>
        <v>0.1244148936</v>
      </c>
      <c r="H857" s="48">
        <f>IFERROR(DIVIDE(VLOOKUP($B857,Data!$B$3:$EZ1530,44,FALSE),VLOOKUP($B857,Data!$B$3:$EZ1530,4,FALSE)),"")</f>
        <v>0.1810904255</v>
      </c>
      <c r="I857" s="48">
        <f>IFERROR(MINUS(DIVIDE(VLOOKUP($B857,Data!$B$3:$EZ1530,9,FALSE),VLOOKUP($B857,Data!$B$3:$EZ1530,10,FALSE)),1),"")</f>
        <v>0.1370096646</v>
      </c>
      <c r="J857" s="48">
        <f>IFERROR(MINUS(DIVIDE(VLOOKUP($B857,Data!$B$3:$EZ1530,24,FALSE),VLOOKUP($B857,Data!$B$3:$EZ1530,25,FALSE)),1),"")</f>
        <v>-1</v>
      </c>
      <c r="K857" s="48">
        <f>IFERROR(MINUS(DIVIDE(VLOOKUP($B857,Data!$B$3:$EZ1530,29,FALSE),VLOOKUP($B857,Data!$B$3:$EZ1530,30,FALSE)),1),"")</f>
        <v>0.1909611712</v>
      </c>
      <c r="L857" s="48">
        <f>IFERROR(MINUS(DIVIDE(VLOOKUP($B857,Data!$B$3:$EZ1530,34,FALSE),VLOOKUP($B857,Data!$B$3:$EZ1530,35,FALSE)),1),"")</f>
        <v>0.1474820144</v>
      </c>
      <c r="M857" s="48">
        <f>IFERROR(MINUS(DIVIDE(VLOOKUP($B857,Data!$B$3:$EZ1530,39,FALSE),VLOOKUP($B857,Data!$B$3:$EZ1530,40,FALSE)),1),"")</f>
        <v>0.1296788215</v>
      </c>
      <c r="N857" s="48">
        <f>IFERROR(MINUS(DIVIDE(VLOOKUP($B857,Data!$B$3:$EZ1530,44,FALSE),VLOOKUP($B857,Data!$B$3:$EZ1530,45,FALSE)),1),"")</f>
        <v>0.4150041563</v>
      </c>
      <c r="O857" s="50">
        <f>IFERROR(VLOOKUP($B857,Data!$B$3:$D1530,2,FALSE),"")</f>
        <v>3880000</v>
      </c>
      <c r="P857" s="50">
        <f>IFERROR(VLOOKUP($B857,Data!$B$3:$D1530,3,FALSE),"")</f>
        <v>3700000</v>
      </c>
      <c r="Q857" s="48">
        <f t="shared" si="2"/>
        <v>0.04864864865</v>
      </c>
      <c r="R857" s="48"/>
      <c r="S857" s="48"/>
      <c r="T857" s="48"/>
      <c r="U857" s="48"/>
      <c r="V857" s="48"/>
      <c r="W857" s="50"/>
      <c r="Z857" s="11"/>
      <c r="AA857" s="11"/>
    </row>
    <row r="858">
      <c r="A858" s="9">
        <f t="shared" si="1"/>
        <v>855</v>
      </c>
      <c r="B858" s="47" t="s">
        <v>992</v>
      </c>
      <c r="C858" s="48">
        <f>IFERROR(DIVIDE(VLOOKUP($B858,Data!$B$3:$AB$1535,9,FALSE),VLOOKUP($B858,Data!$B$3:$AB$1535,4,FALSE)),"")</f>
        <v>0.9842270314</v>
      </c>
      <c r="D858" s="48">
        <f>IFERROR(DIVIDE(VLOOKUP($B858,Data!$B$3:$AB$1535,24,FALSE),VLOOKUP($B858,Data!$B$3:$AB$1535,4,FALSE)),"")</f>
        <v>0.4391902381</v>
      </c>
      <c r="E858" s="48">
        <f>IFERROR(DIVIDE(VLOOKUP($B858,Data!$B$3:$EZ1530,29,FALSE),VLOOKUP($B858,Data!$B$3:$EZ1530,4,FALSE)),"")</f>
        <v>0.3853820598</v>
      </c>
      <c r="F858" s="48">
        <f>IFERROR(DIVIDE(VLOOKUP($B858,Data!$B$3:$EZ1530,34,FALSE),VLOOKUP($B858,Data!$B$3:$EZ1530,4,FALSE)),"")</f>
        <v>0.5394479461</v>
      </c>
      <c r="G858" s="48">
        <f>IFERROR(DIVIDE(VLOOKUP($B858,Data!$B$3:$EZ1530,39,FALSE),VLOOKUP($B858,Data!$B$3:$EZ1530,4,FALSE)),"")</f>
        <v>0.4040425994</v>
      </c>
      <c r="H858" s="48">
        <f>IFERROR(DIVIDE(VLOOKUP($B858,Data!$B$3:$EZ1530,44,FALSE),VLOOKUP($B858,Data!$B$3:$EZ1530,4,FALSE)),"")</f>
        <v>0.3533703853</v>
      </c>
      <c r="I858" s="48">
        <f>IFERROR(MINUS(DIVIDE(VLOOKUP($B858,Data!$B$3:$EZ1530,9,FALSE),VLOOKUP($B858,Data!$B$3:$EZ1530,10,FALSE)),1),"")</f>
        <v>4.38732155</v>
      </c>
      <c r="J858" s="48" t="str">
        <f>IFERROR(MINUS(DIVIDE(VLOOKUP($B858,Data!$B$3:$EZ1530,24,FALSE),VLOOKUP($B858,Data!$B$3:$EZ1530,25,FALSE)),1),"")</f>
        <v/>
      </c>
      <c r="K858" s="48">
        <f>IFERROR(MINUS(DIVIDE(VLOOKUP($B858,Data!$B$3:$EZ1530,29,FALSE),VLOOKUP($B858,Data!$B$3:$EZ1530,30,FALSE)),1),"")</f>
        <v>-2.029614268</v>
      </c>
      <c r="L858" s="48">
        <f>IFERROR(MINUS(DIVIDE(VLOOKUP($B858,Data!$B$3:$EZ1530,34,FALSE),VLOOKUP($B858,Data!$B$3:$EZ1530,35,FALSE)),1),"")</f>
        <v>-2.74437751</v>
      </c>
      <c r="M858" s="48">
        <f>IFERROR(MINUS(DIVIDE(VLOOKUP($B858,Data!$B$3:$EZ1530,39,FALSE),VLOOKUP($B858,Data!$B$3:$EZ1530,40,FALSE)),1),"")</f>
        <v>-2.0794691</v>
      </c>
      <c r="N858" s="48">
        <f>IFERROR(MINUS(DIVIDE(VLOOKUP($B858,Data!$B$3:$EZ1530,44,FALSE),VLOOKUP($B858,Data!$B$3:$EZ1530,45,FALSE)),1),"")</f>
        <v>-1.765830025</v>
      </c>
      <c r="O858" s="50">
        <f>IFERROR(VLOOKUP($B858,Data!$B$3:$D1530,2,FALSE),"")</f>
        <v>15840</v>
      </c>
      <c r="P858" s="50">
        <f>IFERROR(VLOOKUP($B858,Data!$B$3:$D1530,3,FALSE),"")</f>
        <v>35120</v>
      </c>
      <c r="Q858" s="48">
        <f t="shared" si="2"/>
        <v>-0.5489749431</v>
      </c>
      <c r="R858" s="48"/>
      <c r="S858" s="48"/>
      <c r="T858" s="48"/>
      <c r="U858" s="48"/>
      <c r="V858" s="48"/>
      <c r="W858" s="50"/>
      <c r="Z858" s="15"/>
      <c r="AA858" s="15"/>
    </row>
    <row r="859">
      <c r="A859" s="9">
        <f t="shared" si="1"/>
        <v>856</v>
      </c>
      <c r="B859" s="47" t="s">
        <v>993</v>
      </c>
      <c r="C859" s="48">
        <f>IFERROR(DIVIDE(VLOOKUP($B859,Data!$B$3:$AB$1535,9,FALSE),VLOOKUP($B859,Data!$B$3:$AB$1535,4,FALSE)),"")</f>
        <v>0.1571223022</v>
      </c>
      <c r="D859" s="48">
        <f>IFERROR(DIVIDE(VLOOKUP($B859,Data!$B$3:$AB$1535,24,FALSE),VLOOKUP($B859,Data!$B$3:$AB$1535,4,FALSE)),"")</f>
        <v>0.1237410072</v>
      </c>
      <c r="E859" s="48">
        <f>IFERROR(DIVIDE(VLOOKUP($B859,Data!$B$3:$EZ1530,29,FALSE),VLOOKUP($B859,Data!$B$3:$EZ1530,4,FALSE)),"")</f>
        <v>0.1165467626</v>
      </c>
      <c r="F859" s="48">
        <f>IFERROR(DIVIDE(VLOOKUP($B859,Data!$B$3:$EZ1530,34,FALSE),VLOOKUP($B859,Data!$B$3:$EZ1530,4,FALSE)),"")</f>
        <v>0.1605755396</v>
      </c>
      <c r="G859" s="48">
        <f>IFERROR(DIVIDE(VLOOKUP($B859,Data!$B$3:$EZ1530,39,FALSE),VLOOKUP($B859,Data!$B$3:$EZ1530,4,FALSE)),"")</f>
        <v>0.09784172662</v>
      </c>
      <c r="H859" s="48">
        <f>IFERROR(DIVIDE(VLOOKUP($B859,Data!$B$3:$EZ1530,44,FALSE),VLOOKUP($B859,Data!$B$3:$EZ1530,4,FALSE)),"")</f>
        <v>0.1427338129</v>
      </c>
      <c r="I859" s="48">
        <f>IFERROR(MINUS(DIVIDE(VLOOKUP($B859,Data!$B$3:$EZ1530,9,FALSE),VLOOKUP($B859,Data!$B$3:$EZ1530,10,FALSE)),1),"")</f>
        <v>-0.1574074074</v>
      </c>
      <c r="J859" s="48">
        <f>IFERROR(MINUS(DIVIDE(VLOOKUP($B859,Data!$B$3:$EZ1530,24,FALSE),VLOOKUP($B859,Data!$B$3:$EZ1530,25,FALSE)),1),"")</f>
        <v>-0.1932457786</v>
      </c>
      <c r="K859" s="48">
        <f>IFERROR(MINUS(DIVIDE(VLOOKUP($B859,Data!$B$3:$EZ1530,29,FALSE),VLOOKUP($B859,Data!$B$3:$EZ1530,30,FALSE)),1),"")</f>
        <v>-0.2372881356</v>
      </c>
      <c r="L859" s="48">
        <f>IFERROR(MINUS(DIVIDE(VLOOKUP($B859,Data!$B$3:$EZ1530,34,FALSE),VLOOKUP($B859,Data!$B$3:$EZ1530,35,FALSE)),1),"")</f>
        <v>-0.1388888889</v>
      </c>
      <c r="M859" s="48">
        <f>IFERROR(MINUS(DIVIDE(VLOOKUP($B859,Data!$B$3:$EZ1530,39,FALSE),VLOOKUP($B859,Data!$B$3:$EZ1530,40,FALSE)),1),"")</f>
        <v>-0.2750533049</v>
      </c>
      <c r="N859" s="48">
        <f>IFERROR(MINUS(DIVIDE(VLOOKUP($B859,Data!$B$3:$EZ1530,44,FALSE),VLOOKUP($B859,Data!$B$3:$EZ1530,45,FALSE)),1),"")</f>
        <v>-0.09323583181</v>
      </c>
      <c r="O859" s="50">
        <f>IFERROR(VLOOKUP($B859,Data!$B$3:$D1530,2,FALSE),"")</f>
        <v>29300000</v>
      </c>
      <c r="P859" s="50">
        <f>IFERROR(VLOOKUP($B859,Data!$B$3:$D1530,3,FALSE),"")</f>
        <v>26080000</v>
      </c>
      <c r="Q859" s="48">
        <f t="shared" si="2"/>
        <v>0.1234662577</v>
      </c>
      <c r="R859" s="48"/>
      <c r="S859" s="48"/>
      <c r="T859" s="48"/>
      <c r="U859" s="48"/>
      <c r="V859" s="48"/>
      <c r="W859" s="50"/>
      <c r="Z859" s="15"/>
      <c r="AA859" s="15"/>
    </row>
    <row r="860">
      <c r="A860" s="9">
        <f t="shared" si="1"/>
        <v>857</v>
      </c>
      <c r="B860" s="47" t="s">
        <v>994</v>
      </c>
      <c r="C860" s="48" t="str">
        <f>IFERROR(DIVIDE(VLOOKUP($B860,Data!$B$3:$AB$1535,9,FALSE),VLOOKUP($B860,Data!$B$3:$AB$1535,4,FALSE)),"")</f>
        <v/>
      </c>
      <c r="D860" s="48" t="str">
        <f>IFERROR(DIVIDE(VLOOKUP($B860,Data!$B$3:$AB$1535,24,FALSE),VLOOKUP($B860,Data!$B$3:$AB$1535,4,FALSE)),"")</f>
        <v/>
      </c>
      <c r="E860" s="48" t="str">
        <f>IFERROR(DIVIDE(VLOOKUP($B860,Data!$B$3:$EZ1530,29,FALSE),VLOOKUP($B860,Data!$B$3:$EZ1530,4,FALSE)),"")</f>
        <v/>
      </c>
      <c r="F860" s="48" t="str">
        <f>IFERROR(DIVIDE(VLOOKUP($B860,Data!$B$3:$EZ1530,34,FALSE),VLOOKUP($B860,Data!$B$3:$EZ1530,4,FALSE)),"")</f>
        <v/>
      </c>
      <c r="G860" s="48" t="str">
        <f>IFERROR(DIVIDE(VLOOKUP($B860,Data!$B$3:$EZ1530,39,FALSE),VLOOKUP($B860,Data!$B$3:$EZ1530,4,FALSE)),"")</f>
        <v/>
      </c>
      <c r="H860" s="48" t="str">
        <f>IFERROR(DIVIDE(VLOOKUP($B860,Data!$B$3:$EZ1530,44,FALSE),VLOOKUP($B860,Data!$B$3:$EZ1530,4,FALSE)),"")</f>
        <v/>
      </c>
      <c r="I860" s="48" t="str">
        <f>IFERROR(MINUS(DIVIDE(VLOOKUP($B860,Data!$B$3:$EZ1530,9,FALSE),VLOOKUP($B860,Data!$B$3:$EZ1530,10,FALSE)),1),"")</f>
        <v/>
      </c>
      <c r="J860" s="48">
        <f>IFERROR(MINUS(DIVIDE(VLOOKUP($B860,Data!$B$3:$EZ1530,24,FALSE),VLOOKUP($B860,Data!$B$3:$EZ1530,25,FALSE)),1),"")</f>
        <v>-1</v>
      </c>
      <c r="K860" s="48">
        <f>IFERROR(MINUS(DIVIDE(VLOOKUP($B860,Data!$B$3:$EZ1530,29,FALSE),VLOOKUP($B860,Data!$B$3:$EZ1530,30,FALSE)),1),"")</f>
        <v>1.704809287</v>
      </c>
      <c r="L860" s="48">
        <f>IFERROR(MINUS(DIVIDE(VLOOKUP($B860,Data!$B$3:$EZ1530,34,FALSE),VLOOKUP($B860,Data!$B$3:$EZ1530,35,FALSE)),1),"")</f>
        <v>1.296657382</v>
      </c>
      <c r="M860" s="48">
        <f>IFERROR(MINUS(DIVIDE(VLOOKUP($B860,Data!$B$3:$EZ1530,39,FALSE),VLOOKUP($B860,Data!$B$3:$EZ1530,40,FALSE)),1),"")</f>
        <v>1.704809287</v>
      </c>
      <c r="N860" s="48">
        <f>IFERROR(MINUS(DIVIDE(VLOOKUP($B860,Data!$B$3:$EZ1530,44,FALSE),VLOOKUP($B860,Data!$B$3:$EZ1530,45,FALSE)),1),"")</f>
        <v>0.9442771084</v>
      </c>
      <c r="O860" s="50" t="str">
        <f>IFERROR(VLOOKUP($B860,Data!$B$3:$D1530,2,FALSE),"")</f>
        <v/>
      </c>
      <c r="P860" s="50" t="str">
        <f>IFERROR(VLOOKUP($B860,Data!$B$3:$D1530,3,FALSE),"")</f>
        <v/>
      </c>
      <c r="Q860" s="48" t="str">
        <f t="shared" si="2"/>
        <v/>
      </c>
      <c r="R860" s="48"/>
      <c r="S860" s="48"/>
      <c r="T860" s="48"/>
      <c r="U860" s="48"/>
      <c r="V860" s="48"/>
      <c r="W860" s="50"/>
      <c r="Z860" s="11"/>
      <c r="AA860" s="11"/>
    </row>
    <row r="861">
      <c r="A861" s="9">
        <f t="shared" si="1"/>
        <v>858</v>
      </c>
      <c r="B861" s="47" t="s">
        <v>995</v>
      </c>
      <c r="C861" s="48">
        <f>IFERROR(DIVIDE(VLOOKUP($B861,Data!$B$3:$AB$1535,9,FALSE),VLOOKUP($B861,Data!$B$3:$AB$1535,4,FALSE)),"")</f>
        <v>0.2326288581</v>
      </c>
      <c r="D861" s="48">
        <f>IFERROR(DIVIDE(VLOOKUP($B861,Data!$B$3:$AB$1535,24,FALSE),VLOOKUP($B861,Data!$B$3:$AB$1535,4,FALSE)),"")</f>
        <v>-0.06048350312</v>
      </c>
      <c r="E861" s="48">
        <f>IFERROR(DIVIDE(VLOOKUP($B861,Data!$B$3:$EZ1530,29,FALSE),VLOOKUP($B861,Data!$B$3:$EZ1530,4,FALSE)),"")</f>
        <v>-0.06772084537</v>
      </c>
      <c r="F861" s="48">
        <f>IFERROR(DIVIDE(VLOOKUP($B861,Data!$B$3:$EZ1530,34,FALSE),VLOOKUP($B861,Data!$B$3:$EZ1530,4,FALSE)),"")</f>
        <v>0.04333282652</v>
      </c>
      <c r="G861" s="48">
        <f>IFERROR(DIVIDE(VLOOKUP($B861,Data!$B$3:$EZ1530,39,FALSE),VLOOKUP($B861,Data!$B$3:$EZ1530,4,FALSE)),"")</f>
        <v>-0.04968830774</v>
      </c>
      <c r="H861" s="48">
        <f>IFERROR(DIVIDE(VLOOKUP($B861,Data!$B$3:$EZ1530,44,FALSE),VLOOKUP($B861,Data!$B$3:$EZ1530,4,FALSE)),"")</f>
        <v>0.03493994222</v>
      </c>
      <c r="I861" s="48">
        <f>IFERROR(MINUS(DIVIDE(VLOOKUP($B861,Data!$B$3:$EZ1530,9,FALSE),VLOOKUP($B861,Data!$B$3:$EZ1530,10,FALSE)),1),"")</f>
        <v>-0.142665023</v>
      </c>
      <c r="J861" s="48">
        <f>IFERROR(MINUS(DIVIDE(VLOOKUP($B861,Data!$B$3:$EZ1530,24,FALSE),VLOOKUP($B861,Data!$B$3:$EZ1530,25,FALSE)),1),"")</f>
        <v>-0.08129330254</v>
      </c>
      <c r="K861" s="48">
        <f>IFERROR(MINUS(DIVIDE(VLOOKUP($B861,Data!$B$3:$EZ1530,29,FALSE),VLOOKUP($B861,Data!$B$3:$EZ1530,30,FALSE)),1),"")</f>
        <v>-0.04543506215</v>
      </c>
      <c r="L861" s="48">
        <f>IFERROR(MINUS(DIVIDE(VLOOKUP($B861,Data!$B$3:$EZ1530,34,FALSE),VLOOKUP($B861,Data!$B$3:$EZ1530,35,FALSE)),1),"")</f>
        <v>-0.3405830634</v>
      </c>
      <c r="M861" s="48">
        <f>IFERROR(MINUS(DIVIDE(VLOOKUP($B861,Data!$B$3:$EZ1530,39,FALSE),VLOOKUP($B861,Data!$B$3:$EZ1530,40,FALSE)),1),"")</f>
        <v>-0.1637666325</v>
      </c>
      <c r="N861" s="48">
        <f>IFERROR(MINUS(DIVIDE(VLOOKUP($B861,Data!$B$3:$EZ1530,44,FALSE),VLOOKUP($B861,Data!$B$3:$EZ1530,45,FALSE)),1),"")</f>
        <v>-0.0008695652174</v>
      </c>
      <c r="O861" s="50">
        <f>IFERROR(VLOOKUP($B861,Data!$B$3:$D1530,2,FALSE),"")</f>
        <v>325800</v>
      </c>
      <c r="P861" s="50">
        <f>IFERROR(VLOOKUP($B861,Data!$B$3:$D1530,3,FALSE),"")</f>
        <v>318210</v>
      </c>
      <c r="Q861" s="48">
        <f t="shared" si="2"/>
        <v>0.02385217309</v>
      </c>
      <c r="R861" s="48"/>
      <c r="S861" s="48"/>
      <c r="T861" s="48"/>
      <c r="U861" s="48"/>
      <c r="V861" s="48"/>
      <c r="W861" s="50"/>
      <c r="Z861" s="15"/>
      <c r="AA861" s="15"/>
    </row>
    <row r="862">
      <c r="A862" s="9">
        <f t="shared" si="1"/>
        <v>859</v>
      </c>
      <c r="B862" s="47" t="s">
        <v>996</v>
      </c>
      <c r="C862" s="48">
        <f>IFERROR(DIVIDE(VLOOKUP($B862,Data!$B$3:$AB$1535,9,FALSE),VLOOKUP($B862,Data!$B$3:$AB$1535,4,FALSE)),"")</f>
        <v>0.2285714286</v>
      </c>
      <c r="D862" s="48">
        <f>IFERROR(DIVIDE(VLOOKUP($B862,Data!$B$3:$AB$1535,24,FALSE),VLOOKUP($B862,Data!$B$3:$AB$1535,4,FALSE)),"")</f>
        <v>0.02752987013</v>
      </c>
      <c r="E862" s="48">
        <f>IFERROR(DIVIDE(VLOOKUP($B862,Data!$B$3:$EZ1530,29,FALSE),VLOOKUP($B862,Data!$B$3:$EZ1530,4,FALSE)),"")</f>
        <v>0.01602597403</v>
      </c>
      <c r="F862" s="48">
        <f>IFERROR(DIVIDE(VLOOKUP($B862,Data!$B$3:$EZ1530,34,FALSE),VLOOKUP($B862,Data!$B$3:$EZ1530,4,FALSE)),"")</f>
        <v>0.07331255411</v>
      </c>
      <c r="G862" s="48">
        <f>IFERROR(DIVIDE(VLOOKUP($B862,Data!$B$3:$EZ1530,39,FALSE),VLOOKUP($B862,Data!$B$3:$EZ1530,4,FALSE)),"")</f>
        <v>-0.0004225108225</v>
      </c>
      <c r="H862" s="48">
        <f>IFERROR(DIVIDE(VLOOKUP($B862,Data!$B$3:$EZ1530,44,FALSE),VLOOKUP($B862,Data!$B$3:$EZ1530,4,FALSE)),"")</f>
        <v>0.04067359307</v>
      </c>
      <c r="I862" s="48">
        <f>IFERROR(MINUS(DIVIDE(VLOOKUP($B862,Data!$B$3:$EZ1530,9,FALSE),VLOOKUP($B862,Data!$B$3:$EZ1530,10,FALSE)),1),"")</f>
        <v>0.08641975309</v>
      </c>
      <c r="J862" s="48">
        <f>IFERROR(MINUS(DIVIDE(VLOOKUP($B862,Data!$B$3:$EZ1530,24,FALSE),VLOOKUP($B862,Data!$B$3:$EZ1530,25,FALSE)),1),"")</f>
        <v>0.1338658489</v>
      </c>
      <c r="K862" s="48">
        <f>IFERROR(MINUS(DIVIDE(VLOOKUP($B862,Data!$B$3:$EZ1530,29,FALSE),VLOOKUP($B862,Data!$B$3:$EZ1530,30,FALSE)),1),"")</f>
        <v>0.4117916254</v>
      </c>
      <c r="L862" s="48">
        <f>IFERROR(MINUS(DIVIDE(VLOOKUP($B862,Data!$B$3:$EZ1530,34,FALSE),VLOOKUP($B862,Data!$B$3:$EZ1530,35,FALSE)),1),"")</f>
        <v>0.1297363646</v>
      </c>
      <c r="M862" s="48">
        <f>IFERROR(MINUS(DIVIDE(VLOOKUP($B862,Data!$B$3:$EZ1530,39,FALSE),VLOOKUP($B862,Data!$B$3:$EZ1530,40,FALSE)),1),"")</f>
        <v>-0.7235127479</v>
      </c>
      <c r="N862" s="48">
        <f>IFERROR(MINUS(DIVIDE(VLOOKUP($B862,Data!$B$3:$EZ1530,44,FALSE),VLOOKUP($B862,Data!$B$3:$EZ1530,45,FALSE)),1),"")</f>
        <v>-0.5010779639</v>
      </c>
      <c r="O862" s="50">
        <f>IFERROR(VLOOKUP($B862,Data!$B$3:$D1530,2,FALSE),"")</f>
        <v>9990000</v>
      </c>
      <c r="P862" s="50">
        <f>IFERROR(VLOOKUP($B862,Data!$B$3:$D1530,3,FALSE),"")</f>
        <v>4140000</v>
      </c>
      <c r="Q862" s="48">
        <f t="shared" si="2"/>
        <v>1.413043478</v>
      </c>
      <c r="R862" s="48"/>
      <c r="S862" s="48"/>
      <c r="T862" s="48"/>
      <c r="U862" s="48"/>
      <c r="V862" s="48"/>
      <c r="W862" s="50"/>
      <c r="Z862" s="12"/>
      <c r="AA862" s="12"/>
    </row>
    <row r="863">
      <c r="A863" s="9">
        <f t="shared" si="1"/>
        <v>860</v>
      </c>
      <c r="B863" s="47" t="s">
        <v>997</v>
      </c>
      <c r="C863" s="48">
        <f>IFERROR(DIVIDE(VLOOKUP($B863,Data!$B$3:$AB$1535,9,FALSE),VLOOKUP($B863,Data!$B$3:$AB$1535,4,FALSE)),"")</f>
        <v>0.4243705882</v>
      </c>
      <c r="D863" s="48">
        <f>IFERROR(DIVIDE(VLOOKUP($B863,Data!$B$3:$AB$1535,24,FALSE),VLOOKUP($B863,Data!$B$3:$AB$1535,4,FALSE)),"")</f>
        <v>0.06744117647</v>
      </c>
      <c r="E863" s="48">
        <f>IFERROR(DIVIDE(VLOOKUP($B863,Data!$B$3:$EZ1530,29,FALSE),VLOOKUP($B863,Data!$B$3:$EZ1530,4,FALSE)),"")</f>
        <v>0.06774705882</v>
      </c>
      <c r="F863" s="48">
        <f>IFERROR(DIVIDE(VLOOKUP($B863,Data!$B$3:$EZ1530,34,FALSE),VLOOKUP($B863,Data!$B$3:$EZ1530,4,FALSE)),"")</f>
        <v>0.1438117647</v>
      </c>
      <c r="G863" s="48">
        <f>IFERROR(DIVIDE(VLOOKUP($B863,Data!$B$3:$EZ1530,39,FALSE),VLOOKUP($B863,Data!$B$3:$EZ1530,4,FALSE)),"")</f>
        <v>0.0455</v>
      </c>
      <c r="H863" s="48">
        <f>IFERROR(DIVIDE(VLOOKUP($B863,Data!$B$3:$EZ1530,44,FALSE),VLOOKUP($B863,Data!$B$3:$EZ1530,4,FALSE)),"")</f>
        <v>0.1355764706</v>
      </c>
      <c r="I863" s="48">
        <f>IFERROR(MINUS(DIVIDE(VLOOKUP($B863,Data!$B$3:$EZ1530,9,FALSE),VLOOKUP($B863,Data!$B$3:$EZ1530,10,FALSE)),1),"")</f>
        <v>0.026435228</v>
      </c>
      <c r="J863" s="48">
        <f>IFERROR(MINUS(DIVIDE(VLOOKUP($B863,Data!$B$3:$EZ1530,24,FALSE),VLOOKUP($B863,Data!$B$3:$EZ1530,25,FALSE)),1),"")</f>
        <v>0.1785567434</v>
      </c>
      <c r="K863" s="48">
        <f>IFERROR(MINUS(DIVIDE(VLOOKUP($B863,Data!$B$3:$EZ1530,29,FALSE),VLOOKUP($B863,Data!$B$3:$EZ1530,30,FALSE)),1),"")</f>
        <v>0.208119165</v>
      </c>
      <c r="L863" s="48">
        <f>IFERROR(MINUS(DIVIDE(VLOOKUP($B863,Data!$B$3:$EZ1530,34,FALSE),VLOOKUP($B863,Data!$B$3:$EZ1530,35,FALSE)),1),"")</f>
        <v>0.5175667287</v>
      </c>
      <c r="M863" s="48">
        <f>IFERROR(MINUS(DIVIDE(VLOOKUP($B863,Data!$B$3:$EZ1530,39,FALSE),VLOOKUP($B863,Data!$B$3:$EZ1530,40,FALSE)),1),"")</f>
        <v>0.1316752012</v>
      </c>
      <c r="N863" s="48">
        <f>IFERROR(MINUS(DIVIDE(VLOOKUP($B863,Data!$B$3:$EZ1530,44,FALSE),VLOOKUP($B863,Data!$B$3:$EZ1530,45,FALSE)),1),"")</f>
        <v>0.5288888889</v>
      </c>
      <c r="O863" s="50">
        <f>IFERROR(VLOOKUP($B863,Data!$B$3:$D1530,2,FALSE),"")</f>
        <v>1790000</v>
      </c>
      <c r="P863" s="50">
        <f>IFERROR(VLOOKUP($B863,Data!$B$3:$D1530,3,FALSE),"")</f>
        <v>1630000</v>
      </c>
      <c r="Q863" s="48">
        <f t="shared" si="2"/>
        <v>0.0981595092</v>
      </c>
      <c r="R863" s="48"/>
      <c r="S863" s="48"/>
      <c r="T863" s="48"/>
      <c r="U863" s="48"/>
      <c r="V863" s="48"/>
      <c r="W863" s="50"/>
      <c r="Z863" s="11"/>
      <c r="AA863" s="11"/>
    </row>
    <row r="864">
      <c r="A864" s="9">
        <f t="shared" si="1"/>
        <v>861</v>
      </c>
      <c r="B864" s="47" t="s">
        <v>998</v>
      </c>
      <c r="C864" s="48">
        <f>IFERROR(DIVIDE(VLOOKUP($B864,Data!$B$3:$AB$1535,9,FALSE),VLOOKUP($B864,Data!$B$3:$AB$1535,4,FALSE)),"")</f>
        <v>0.3624161074</v>
      </c>
      <c r="D864" s="48">
        <f>IFERROR(DIVIDE(VLOOKUP($B864,Data!$B$3:$AB$1535,24,FALSE),VLOOKUP($B864,Data!$B$3:$AB$1535,4,FALSE)),"")</f>
        <v>0.03071456771</v>
      </c>
      <c r="E864" s="48">
        <f>IFERROR(DIVIDE(VLOOKUP($B864,Data!$B$3:$EZ1530,29,FALSE),VLOOKUP($B864,Data!$B$3:$EZ1530,4,FALSE)),"")</f>
        <v>0.02874062377</v>
      </c>
      <c r="F864" s="48">
        <f>IFERROR(DIVIDE(VLOOKUP($B864,Data!$B$3:$EZ1530,34,FALSE),VLOOKUP($B864,Data!$B$3:$EZ1530,4,FALSE)),"")</f>
        <v>0.08448480063</v>
      </c>
      <c r="G864" s="48">
        <f>IFERROR(DIVIDE(VLOOKUP($B864,Data!$B$3:$EZ1530,39,FALSE),VLOOKUP($B864,Data!$B$3:$EZ1530,4,FALSE)),"")</f>
        <v>0.02226608764</v>
      </c>
      <c r="H864" s="48">
        <f>IFERROR(DIVIDE(VLOOKUP($B864,Data!$B$3:$EZ1530,44,FALSE),VLOOKUP($B864,Data!$B$3:$EZ1530,4,FALSE)),"")</f>
        <v>0.06356099487</v>
      </c>
      <c r="I864" s="48">
        <f>IFERROR(MINUS(DIVIDE(VLOOKUP($B864,Data!$B$3:$EZ1530,9,FALSE),VLOOKUP($B864,Data!$B$3:$EZ1530,10,FALSE)),1),"")</f>
        <v>-0.03974895397</v>
      </c>
      <c r="J864" s="48">
        <f>IFERROR(MINUS(DIVIDE(VLOOKUP($B864,Data!$B$3:$EZ1530,24,FALSE),VLOOKUP($B864,Data!$B$3:$EZ1530,25,FALSE)),1),"")</f>
        <v>-0.4106060606</v>
      </c>
      <c r="K864" s="48">
        <f>IFERROR(MINUS(DIVIDE(VLOOKUP($B864,Data!$B$3:$EZ1530,29,FALSE),VLOOKUP($B864,Data!$B$3:$EZ1530,30,FALSE)),1),"")</f>
        <v>-0.4873239437</v>
      </c>
      <c r="L864" s="48">
        <f>IFERROR(MINUS(DIVIDE(VLOOKUP($B864,Data!$B$3:$EZ1530,34,FALSE),VLOOKUP($B864,Data!$B$3:$EZ1530,35,FALSE)),1),"")</f>
        <v>-0.1265306122</v>
      </c>
      <c r="M864" s="48">
        <f>IFERROR(MINUS(DIVIDE(VLOOKUP($B864,Data!$B$3:$EZ1530,39,FALSE),VLOOKUP($B864,Data!$B$3:$EZ1530,40,FALSE)),1),"")</f>
        <v>-0.4918918919</v>
      </c>
      <c r="N864" s="48">
        <f>IFERROR(MINUS(DIVIDE(VLOOKUP($B864,Data!$B$3:$EZ1530,44,FALSE),VLOOKUP($B864,Data!$B$3:$EZ1530,45,FALSE)),1),"")</f>
        <v>-0.07471264368</v>
      </c>
      <c r="O864" s="50">
        <f>IFERROR(VLOOKUP($B864,Data!$B$3:$D1530,2,FALSE),"")</f>
        <v>20080000</v>
      </c>
      <c r="P864" s="50">
        <f>IFERROR(VLOOKUP($B864,Data!$B$3:$D1530,3,FALSE),"")</f>
        <v>17200000</v>
      </c>
      <c r="Q864" s="48">
        <f t="shared" si="2"/>
        <v>0.1674418605</v>
      </c>
      <c r="R864" s="48"/>
      <c r="S864" s="48"/>
      <c r="T864" s="48"/>
      <c r="U864" s="48"/>
      <c r="V864" s="48"/>
      <c r="W864" s="50"/>
      <c r="Z864" s="15"/>
      <c r="AA864" s="15"/>
    </row>
    <row r="865">
      <c r="A865" s="9">
        <f t="shared" si="1"/>
        <v>862</v>
      </c>
      <c r="B865" s="47" t="s">
        <v>999</v>
      </c>
      <c r="C865" s="48" t="str">
        <f>IFERROR(DIVIDE(VLOOKUP($B865,Data!$B$3:$AB$1535,9,FALSE),VLOOKUP($B865,Data!$B$3:$AB$1535,4,FALSE)),"")</f>
        <v/>
      </c>
      <c r="D865" s="48" t="str">
        <f>IFERROR(DIVIDE(VLOOKUP($B865,Data!$B$3:$AB$1535,24,FALSE),VLOOKUP($B865,Data!$B$3:$AB$1535,4,FALSE)),"")</f>
        <v/>
      </c>
      <c r="E865" s="48" t="str">
        <f>IFERROR(DIVIDE(VLOOKUP($B865,Data!$B$3:$EZ1530,29,FALSE),VLOOKUP($B865,Data!$B$3:$EZ1530,4,FALSE)),"")</f>
        <v/>
      </c>
      <c r="F865" s="48" t="str">
        <f>IFERROR(DIVIDE(VLOOKUP($B865,Data!$B$3:$EZ1530,34,FALSE),VLOOKUP($B865,Data!$B$3:$EZ1530,4,FALSE)),"")</f>
        <v/>
      </c>
      <c r="G865" s="48" t="str">
        <f>IFERROR(DIVIDE(VLOOKUP($B865,Data!$B$3:$EZ1530,39,FALSE),VLOOKUP($B865,Data!$B$3:$EZ1530,4,FALSE)),"")</f>
        <v/>
      </c>
      <c r="H865" s="48" t="str">
        <f>IFERROR(DIVIDE(VLOOKUP($B865,Data!$B$3:$EZ1530,44,FALSE),VLOOKUP($B865,Data!$B$3:$EZ1530,4,FALSE)),"")</f>
        <v/>
      </c>
      <c r="I865" s="48" t="str">
        <f>IFERROR(MINUS(DIVIDE(VLOOKUP($B865,Data!$B$3:$EZ1530,9,FALSE),VLOOKUP($B865,Data!$B$3:$EZ1530,10,FALSE)),1),"")</f>
        <v/>
      </c>
      <c r="J865" s="48">
        <f>IFERROR(MINUS(DIVIDE(VLOOKUP($B865,Data!$B$3:$EZ1530,24,FALSE),VLOOKUP($B865,Data!$B$3:$EZ1530,25,FALSE)),1),"")</f>
        <v>-0.02454991817</v>
      </c>
      <c r="K865" s="48">
        <f>IFERROR(MINUS(DIVIDE(VLOOKUP($B865,Data!$B$3:$EZ1530,29,FALSE),VLOOKUP($B865,Data!$B$3:$EZ1530,30,FALSE)),1),"")</f>
        <v>0.2610619469</v>
      </c>
      <c r="L865" s="48">
        <f>IFERROR(MINUS(DIVIDE(VLOOKUP($B865,Data!$B$3:$EZ1530,34,FALSE),VLOOKUP($B865,Data!$B$3:$EZ1530,35,FALSE)),1),"")</f>
        <v>0.02807017544</v>
      </c>
      <c r="M865" s="48">
        <f>IFERROR(MINUS(DIVIDE(VLOOKUP($B865,Data!$B$3:$EZ1530,39,FALSE),VLOOKUP($B865,Data!$B$3:$EZ1530,40,FALSE)),1),"")</f>
        <v>-0.2194148936</v>
      </c>
      <c r="N865" s="48">
        <f>IFERROR(MINUS(DIVIDE(VLOOKUP($B865,Data!$B$3:$EZ1530,44,FALSE),VLOOKUP($B865,Data!$B$3:$EZ1530,45,FALSE)),1),"")</f>
        <v>-0.1663405088</v>
      </c>
      <c r="O865" s="50" t="str">
        <f>IFERROR(VLOOKUP($B865,Data!$B$3:$D1530,2,FALSE),"")</f>
        <v/>
      </c>
      <c r="P865" s="50" t="str">
        <f>IFERROR(VLOOKUP($B865,Data!$B$3:$D1530,3,FALSE),"")</f>
        <v/>
      </c>
      <c r="Q865" s="48" t="str">
        <f t="shared" si="2"/>
        <v/>
      </c>
      <c r="R865" s="48"/>
      <c r="S865" s="48"/>
      <c r="T865" s="48"/>
      <c r="U865" s="48"/>
      <c r="V865" s="48"/>
      <c r="W865" s="50"/>
      <c r="Z865" s="11"/>
      <c r="AA865" s="11"/>
    </row>
    <row r="866">
      <c r="A866" s="9">
        <f t="shared" si="1"/>
        <v>863</v>
      </c>
      <c r="B866" s="47" t="s">
        <v>1000</v>
      </c>
      <c r="C866" s="48">
        <f>IFERROR(DIVIDE(VLOOKUP($B866,Data!$B$3:$AB$1535,9,FALSE),VLOOKUP($B866,Data!$B$3:$AB$1535,4,FALSE)),"")</f>
        <v>0.07604356611</v>
      </c>
      <c r="D866" s="48">
        <f>IFERROR(DIVIDE(VLOOKUP($B866,Data!$B$3:$AB$1535,24,FALSE),VLOOKUP($B866,Data!$B$3:$AB$1535,4,FALSE)),"")</f>
        <v>0.03830515992</v>
      </c>
      <c r="E866" s="48">
        <f>IFERROR(DIVIDE(VLOOKUP($B866,Data!$B$3:$EZ1530,29,FALSE),VLOOKUP($B866,Data!$B$3:$EZ1530,4,FALSE)),"")</f>
        <v>0.04381252772</v>
      </c>
      <c r="F866" s="48">
        <f>IFERROR(DIVIDE(VLOOKUP($B866,Data!$B$3:$EZ1530,34,FALSE),VLOOKUP($B866,Data!$B$3:$EZ1530,4,FALSE)),"")</f>
        <v>0.2961288256</v>
      </c>
      <c r="G866" s="48">
        <f>IFERROR(DIVIDE(VLOOKUP($B866,Data!$B$3:$EZ1530,39,FALSE),VLOOKUP($B866,Data!$B$3:$EZ1530,4,FALSE)),"")</f>
        <v>0.03011187226</v>
      </c>
      <c r="H866" s="48">
        <f>IFERROR(DIVIDE(VLOOKUP($B866,Data!$B$3:$EZ1530,44,FALSE),VLOOKUP($B866,Data!$B$3:$EZ1530,4,FALSE)),"")</f>
        <v>0.3903208319</v>
      </c>
      <c r="I866" s="48">
        <f>IFERROR(MINUS(DIVIDE(VLOOKUP($B866,Data!$B$3:$EZ1530,9,FALSE),VLOOKUP($B866,Data!$B$3:$EZ1530,10,FALSE)),1),"")</f>
        <v>0.4611742424</v>
      </c>
      <c r="J866" s="48">
        <f>IFERROR(MINUS(DIVIDE(VLOOKUP($B866,Data!$B$3:$EZ1530,24,FALSE),VLOOKUP($B866,Data!$B$3:$EZ1530,25,FALSE)),1),"")</f>
        <v>-8.695544554</v>
      </c>
      <c r="K866" s="48">
        <f>IFERROR(MINUS(DIVIDE(VLOOKUP($B866,Data!$B$3:$EZ1530,29,FALSE),VLOOKUP($B866,Data!$B$3:$EZ1530,30,FALSE)),1),"")</f>
        <v>0.02301495972</v>
      </c>
      <c r="L866" s="48">
        <f>IFERROR(MINUS(DIVIDE(VLOOKUP($B866,Data!$B$3:$EZ1530,34,FALSE),VLOOKUP($B866,Data!$B$3:$EZ1530,35,FALSE)),1),"")</f>
        <v>0.005185897704</v>
      </c>
      <c r="M866" s="48">
        <f>IFERROR(MINUS(DIVIDE(VLOOKUP($B866,Data!$B$3:$EZ1530,39,FALSE),VLOOKUP($B866,Data!$B$3:$EZ1530,40,FALSE)),1),"")</f>
        <v>-1.482717756</v>
      </c>
      <c r="N866" s="48">
        <f>IFERROR(MINUS(DIVIDE(VLOOKUP($B866,Data!$B$3:$EZ1530,44,FALSE),VLOOKUP($B866,Data!$B$3:$EZ1530,45,FALSE)),1),"")</f>
        <v>1.471910112</v>
      </c>
      <c r="O866" s="50">
        <f>IFERROR(VLOOKUP($B866,Data!$B$3:$D1530,2,FALSE),"")</f>
        <v>661650</v>
      </c>
      <c r="P866" s="50">
        <f>IFERROR(VLOOKUP($B866,Data!$B$3:$D1530,3,FALSE),"")</f>
        <v>650370</v>
      </c>
      <c r="Q866" s="48">
        <f t="shared" si="2"/>
        <v>0.01734397343</v>
      </c>
      <c r="R866" s="48"/>
      <c r="S866" s="48"/>
      <c r="T866" s="48"/>
      <c r="U866" s="48"/>
      <c r="V866" s="48"/>
      <c r="W866" s="50"/>
      <c r="Z866" s="11"/>
      <c r="AA866" s="11"/>
    </row>
    <row r="867">
      <c r="A867" s="9">
        <f t="shared" si="1"/>
        <v>864</v>
      </c>
      <c r="B867" s="47" t="s">
        <v>1001</v>
      </c>
      <c r="C867" s="48">
        <f>IFERROR(DIVIDE(VLOOKUP($B867,Data!$B$3:$AB$1535,9,FALSE),VLOOKUP($B867,Data!$B$3:$AB$1535,4,FALSE)),"")</f>
        <v>0.142107773</v>
      </c>
      <c r="D867" s="48">
        <f>IFERROR(DIVIDE(VLOOKUP($B867,Data!$B$3:$AB$1535,24,FALSE),VLOOKUP($B867,Data!$B$3:$AB$1535,4,FALSE)),"")</f>
        <v>0.08583690987</v>
      </c>
      <c r="E867" s="48">
        <f>IFERROR(DIVIDE(VLOOKUP($B867,Data!$B$3:$EZ1530,29,FALSE),VLOOKUP($B867,Data!$B$3:$EZ1530,4,FALSE)),"")</f>
        <v>0.07629947544</v>
      </c>
      <c r="F867" s="48">
        <f>IFERROR(DIVIDE(VLOOKUP($B867,Data!$B$3:$EZ1530,34,FALSE),VLOOKUP($B867,Data!$B$3:$EZ1530,4,FALSE)),"")</f>
        <v>0.1115879828</v>
      </c>
      <c r="G867" s="48">
        <f>IFERROR(DIVIDE(VLOOKUP($B867,Data!$B$3:$EZ1530,39,FALSE),VLOOKUP($B867,Data!$B$3:$EZ1530,4,FALSE)),"")</f>
        <v>0.06056270863</v>
      </c>
      <c r="H867" s="48">
        <f>IFERROR(DIVIDE(VLOOKUP($B867,Data!$B$3:$EZ1530,44,FALSE),VLOOKUP($B867,Data!$B$3:$EZ1530,4,FALSE)),"")</f>
        <v>0.08059132093</v>
      </c>
      <c r="I867" s="48">
        <f>IFERROR(MINUS(DIVIDE(VLOOKUP($B867,Data!$B$3:$EZ1530,9,FALSE),VLOOKUP($B867,Data!$B$3:$EZ1530,10,FALSE)),1),"")</f>
        <v>-0.1362318841</v>
      </c>
      <c r="J867" s="48">
        <f>IFERROR(MINUS(DIVIDE(VLOOKUP($B867,Data!$B$3:$EZ1530,24,FALSE),VLOOKUP($B867,Data!$B$3:$EZ1530,25,FALSE)),1),"")</f>
        <v>-0.2405063291</v>
      </c>
      <c r="K867" s="48">
        <f>IFERROR(MINUS(DIVIDE(VLOOKUP($B867,Data!$B$3:$EZ1530,29,FALSE),VLOOKUP($B867,Data!$B$3:$EZ1530,30,FALSE)),1),"")</f>
        <v>-0.3191489362</v>
      </c>
      <c r="L867" s="48">
        <f>IFERROR(MINUS(DIVIDE(VLOOKUP($B867,Data!$B$3:$EZ1530,34,FALSE),VLOOKUP($B867,Data!$B$3:$EZ1530,35,FALSE)),1),"")</f>
        <v>-0.1672597865</v>
      </c>
      <c r="M867" s="48">
        <f>IFERROR(MINUS(DIVIDE(VLOOKUP($B867,Data!$B$3:$EZ1530,39,FALSE),VLOOKUP($B867,Data!$B$3:$EZ1530,40,FALSE)),1),"")</f>
        <v>-0.335078534</v>
      </c>
      <c r="N867" s="48">
        <f>IFERROR(MINUS(DIVIDE(VLOOKUP($B867,Data!$B$3:$EZ1530,44,FALSE),VLOOKUP($B867,Data!$B$3:$EZ1530,45,FALSE)),1),"")</f>
        <v>-0.2838983051</v>
      </c>
      <c r="O867" s="50">
        <f>IFERROR(VLOOKUP($B867,Data!$B$3:$D1530,2,FALSE),"")</f>
        <v>17720000</v>
      </c>
      <c r="P867" s="50">
        <f>IFERROR(VLOOKUP($B867,Data!$B$3:$D1530,3,FALSE),"")</f>
        <v>13070000</v>
      </c>
      <c r="Q867" s="48">
        <f t="shared" si="2"/>
        <v>0.3557765876</v>
      </c>
      <c r="R867" s="48"/>
      <c r="S867" s="48"/>
      <c r="T867" s="48"/>
      <c r="U867" s="48"/>
      <c r="V867" s="48"/>
      <c r="W867" s="50"/>
      <c r="Z867" s="12"/>
      <c r="AA867" s="12"/>
    </row>
    <row r="868">
      <c r="A868" s="9">
        <f t="shared" si="1"/>
        <v>865</v>
      </c>
      <c r="B868" s="47" t="s">
        <v>1002</v>
      </c>
      <c r="C868" s="48">
        <f>IFERROR(DIVIDE(VLOOKUP($B868,Data!$B$3:$AB$1535,9,FALSE),VLOOKUP($B868,Data!$B$3:$AB$1535,4,FALSE)),"")</f>
        <v>0.3517138599</v>
      </c>
      <c r="D868" s="48">
        <f>IFERROR(DIVIDE(VLOOKUP($B868,Data!$B$3:$AB$1535,24,FALSE),VLOOKUP($B868,Data!$B$3:$AB$1535,4,FALSE)),"")</f>
        <v>0.1624441133</v>
      </c>
      <c r="E868" s="48">
        <f>IFERROR(DIVIDE(VLOOKUP($B868,Data!$B$3:$EZ1530,29,FALSE),VLOOKUP($B868,Data!$B$3:$EZ1530,4,FALSE)),"")</f>
        <v>0.1362146051</v>
      </c>
      <c r="F868" s="48">
        <f>IFERROR(DIVIDE(VLOOKUP($B868,Data!$B$3:$EZ1530,34,FALSE),VLOOKUP($B868,Data!$B$3:$EZ1530,4,FALSE)),"")</f>
        <v>0.1892697466</v>
      </c>
      <c r="G868" s="48">
        <f>IFERROR(DIVIDE(VLOOKUP($B868,Data!$B$3:$EZ1530,39,FALSE),VLOOKUP($B868,Data!$B$3:$EZ1530,4,FALSE)),"")</f>
        <v>0.09463487332</v>
      </c>
      <c r="H868" s="48">
        <f>IFERROR(DIVIDE(VLOOKUP($B868,Data!$B$3:$EZ1530,44,FALSE),VLOOKUP($B868,Data!$B$3:$EZ1530,4,FALSE)),"")</f>
        <v>0.12414307</v>
      </c>
      <c r="I868" s="48">
        <f>IFERROR(MINUS(DIVIDE(VLOOKUP($B868,Data!$B$3:$EZ1530,9,FALSE),VLOOKUP($B868,Data!$B$3:$EZ1530,10,FALSE)),1),"")</f>
        <v>0.02164502165</v>
      </c>
      <c r="J868" s="48" t="str">
        <f>IFERROR(MINUS(DIVIDE(VLOOKUP($B868,Data!$B$3:$EZ1530,24,FALSE),VLOOKUP($B868,Data!$B$3:$EZ1530,25,FALSE)),1),"")</f>
        <v/>
      </c>
      <c r="K868" s="48">
        <f>IFERROR(MINUS(DIVIDE(VLOOKUP($B868,Data!$B$3:$EZ1530,29,FALSE),VLOOKUP($B868,Data!$B$3:$EZ1530,30,FALSE)),1),"")</f>
        <v>0.007717750827</v>
      </c>
      <c r="L868" s="48">
        <f>IFERROR(MINUS(DIVIDE(VLOOKUP($B868,Data!$B$3:$EZ1530,34,FALSE),VLOOKUP($B868,Data!$B$3:$EZ1530,35,FALSE)),1),"")</f>
        <v>0.016</v>
      </c>
      <c r="M868" s="48">
        <f>IFERROR(MINUS(DIVIDE(VLOOKUP($B868,Data!$B$3:$EZ1530,39,FALSE),VLOOKUP($B868,Data!$B$3:$EZ1530,40,FALSE)),1),"")</f>
        <v>0.007936507937</v>
      </c>
      <c r="N868" s="48">
        <f>IFERROR(MINUS(DIVIDE(VLOOKUP($B868,Data!$B$3:$EZ1530,44,FALSE),VLOOKUP($B868,Data!$B$3:$EZ1530,45,FALSE)),1),"")</f>
        <v>-0.1912621359</v>
      </c>
      <c r="O868" s="50">
        <f>IFERROR(VLOOKUP($B868,Data!$B$3:$D1530,2,FALSE),"")</f>
        <v>6800000</v>
      </c>
      <c r="P868" s="50">
        <f>IFERROR(VLOOKUP($B868,Data!$B$3:$D1530,3,FALSE),"")</f>
        <v>6500000</v>
      </c>
      <c r="Q868" s="48">
        <f t="shared" si="2"/>
        <v>0.04615384615</v>
      </c>
      <c r="R868" s="48"/>
      <c r="S868" s="48"/>
      <c r="T868" s="48"/>
      <c r="U868" s="48"/>
      <c r="V868" s="48"/>
      <c r="W868" s="50"/>
      <c r="Z868" s="15"/>
      <c r="AA868" s="15"/>
    </row>
    <row r="869">
      <c r="A869" s="9">
        <f t="shared" si="1"/>
        <v>866</v>
      </c>
      <c r="B869" s="47" t="s">
        <v>1003</v>
      </c>
      <c r="C869" s="48">
        <f>IFERROR(DIVIDE(VLOOKUP($B869,Data!$B$3:$AB$1535,9,FALSE),VLOOKUP($B869,Data!$B$3:$AB$1535,4,FALSE)),"")</f>
        <v>0.670871364</v>
      </c>
      <c r="D869" s="48">
        <f>IFERROR(DIVIDE(VLOOKUP($B869,Data!$B$3:$AB$1535,24,FALSE),VLOOKUP($B869,Data!$B$3:$AB$1535,4,FALSE)),"")</f>
        <v>0</v>
      </c>
      <c r="E869" s="48">
        <f>IFERROR(DIVIDE(VLOOKUP($B869,Data!$B$3:$EZ1530,29,FALSE),VLOOKUP($B869,Data!$B$3:$EZ1530,4,FALSE)),"")</f>
        <v>0.2496907788</v>
      </c>
      <c r="F869" s="48">
        <f>IFERROR(DIVIDE(VLOOKUP($B869,Data!$B$3:$EZ1530,34,FALSE),VLOOKUP($B869,Data!$B$3:$EZ1530,4,FALSE)),"")</f>
        <v>0.2619849868</v>
      </c>
      <c r="G869" s="48">
        <f>IFERROR(DIVIDE(VLOOKUP($B869,Data!$B$3:$EZ1530,39,FALSE),VLOOKUP($B869,Data!$B$3:$EZ1530,4,FALSE)),"")</f>
        <v>0.2092254542</v>
      </c>
      <c r="H869" s="48">
        <f>IFERROR(DIVIDE(VLOOKUP($B869,Data!$B$3:$EZ1530,44,FALSE),VLOOKUP($B869,Data!$B$3:$EZ1530,4,FALSE)),"")</f>
        <v>0.2363302909</v>
      </c>
      <c r="I869" s="48">
        <f>IFERROR(MINUS(DIVIDE(VLOOKUP($B869,Data!$B$3:$EZ1530,9,FALSE),VLOOKUP($B869,Data!$B$3:$EZ1530,10,FALSE)),1),"")</f>
        <v>0.09441806259</v>
      </c>
      <c r="J869" s="48">
        <f>IFERROR(MINUS(DIVIDE(VLOOKUP($B869,Data!$B$3:$EZ1530,24,FALSE),VLOOKUP($B869,Data!$B$3:$EZ1530,25,FALSE)),1),"")</f>
        <v>-1</v>
      </c>
      <c r="K869" s="48">
        <f>IFERROR(MINUS(DIVIDE(VLOOKUP($B869,Data!$B$3:$EZ1530,29,FALSE),VLOOKUP($B869,Data!$B$3:$EZ1530,30,FALSE)),1),"")</f>
        <v>0.09537842642</v>
      </c>
      <c r="L869" s="48">
        <f>IFERROR(MINUS(DIVIDE(VLOOKUP($B869,Data!$B$3:$EZ1530,34,FALSE),VLOOKUP($B869,Data!$B$3:$EZ1530,35,FALSE)),1),"")</f>
        <v>0.07012195122</v>
      </c>
      <c r="M869" s="48">
        <f>IFERROR(MINUS(DIVIDE(VLOOKUP($B869,Data!$B$3:$EZ1530,39,FALSE),VLOOKUP($B869,Data!$B$3:$EZ1530,40,FALSE)),1),"")</f>
        <v>0.01384726671</v>
      </c>
      <c r="N869" s="48">
        <f>IFERROR(MINUS(DIVIDE(VLOOKUP($B869,Data!$B$3:$EZ1530,44,FALSE),VLOOKUP($B869,Data!$B$3:$EZ1530,45,FALSE)),1),"")</f>
        <v>-0.07468793053</v>
      </c>
      <c r="O869" s="50">
        <f>IFERROR(VLOOKUP($B869,Data!$B$3:$D1530,2,FALSE),"")</f>
        <v>1150000</v>
      </c>
      <c r="P869" s="50">
        <f>IFERROR(VLOOKUP($B869,Data!$B$3:$D1530,3,FALSE),"")</f>
        <v>1070000</v>
      </c>
      <c r="Q869" s="48">
        <f t="shared" si="2"/>
        <v>0.07476635514</v>
      </c>
      <c r="R869" s="48"/>
      <c r="S869" s="48"/>
      <c r="T869" s="48"/>
      <c r="U869" s="48"/>
      <c r="V869" s="48"/>
      <c r="W869" s="50"/>
      <c r="Z869" s="15"/>
      <c r="AA869" s="15"/>
    </row>
    <row r="870">
      <c r="A870" s="9">
        <f t="shared" si="1"/>
        <v>867</v>
      </c>
      <c r="B870" s="47" t="s">
        <v>1004</v>
      </c>
      <c r="C870" s="48">
        <f>IFERROR(DIVIDE(VLOOKUP($B870,Data!$B$3:$AB$1535,9,FALSE),VLOOKUP($B870,Data!$B$3:$AB$1535,4,FALSE)),"")</f>
        <v>0.4311111111</v>
      </c>
      <c r="D870" s="48">
        <f>IFERROR(DIVIDE(VLOOKUP($B870,Data!$B$3:$AB$1535,24,FALSE),VLOOKUP($B870,Data!$B$3:$AB$1535,4,FALSE)),"")</f>
        <v>0.005271111111</v>
      </c>
      <c r="E870" s="48">
        <f>IFERROR(DIVIDE(VLOOKUP($B870,Data!$B$3:$EZ1530,29,FALSE),VLOOKUP($B870,Data!$B$3:$EZ1530,4,FALSE)),"")</f>
        <v>-0.03517555556</v>
      </c>
      <c r="F870" s="48">
        <f>IFERROR(DIVIDE(VLOOKUP($B870,Data!$B$3:$EZ1530,34,FALSE),VLOOKUP($B870,Data!$B$3:$EZ1530,4,FALSE)),"")</f>
        <v>0.07217777778</v>
      </c>
      <c r="G870" s="48">
        <f>IFERROR(DIVIDE(VLOOKUP($B870,Data!$B$3:$EZ1530,39,FALSE),VLOOKUP($B870,Data!$B$3:$EZ1530,4,FALSE)),"")</f>
        <v>-0.04744666667</v>
      </c>
      <c r="H870" s="48">
        <f>IFERROR(DIVIDE(VLOOKUP($B870,Data!$B$3:$EZ1530,44,FALSE),VLOOKUP($B870,Data!$B$3:$EZ1530,4,FALSE)),"")</f>
        <v>0.04021777778</v>
      </c>
      <c r="I870" s="48">
        <f>IFERROR(MINUS(DIVIDE(VLOOKUP($B870,Data!$B$3:$EZ1530,9,FALSE),VLOOKUP($B870,Data!$B$3:$EZ1530,10,FALSE)),1),"")</f>
        <v>0.09604519774</v>
      </c>
      <c r="J870" s="48">
        <f>IFERROR(MINUS(DIVIDE(VLOOKUP($B870,Data!$B$3:$EZ1530,24,FALSE),VLOOKUP($B870,Data!$B$3:$EZ1530,25,FALSE)),1),"")</f>
        <v>-1.095249568</v>
      </c>
      <c r="K870" s="48">
        <f>IFERROR(MINUS(DIVIDE(VLOOKUP($B870,Data!$B$3:$EZ1530,29,FALSE),VLOOKUP($B870,Data!$B$3:$EZ1530,30,FALSE)),1),"")</f>
        <v>-0.6204986814</v>
      </c>
      <c r="L870" s="48">
        <f>IFERROR(MINUS(DIVIDE(VLOOKUP($B870,Data!$B$3:$EZ1530,34,FALSE),VLOOKUP($B870,Data!$B$3:$EZ1530,35,FALSE)),1),"")</f>
        <v>1.080984111</v>
      </c>
      <c r="M870" s="48">
        <f>IFERROR(MINUS(DIVIDE(VLOOKUP($B870,Data!$B$3:$EZ1530,39,FALSE),VLOOKUP($B870,Data!$B$3:$EZ1530,40,FALSE)),1),"")</f>
        <v>-0.5996437277</v>
      </c>
      <c r="N870" s="48">
        <f>IFERROR(MINUS(DIVIDE(VLOOKUP($B870,Data!$B$3:$EZ1530,44,FALSE),VLOOKUP($B870,Data!$B$3:$EZ1530,45,FALSE)),1),"")</f>
        <v>-7.624450952</v>
      </c>
      <c r="O870" s="50">
        <f>IFERROR(VLOOKUP($B870,Data!$B$3:$D1530,2,FALSE),"")</f>
        <v>4550000</v>
      </c>
      <c r="P870" s="50">
        <f>IFERROR(VLOOKUP($B870,Data!$B$3:$D1530,3,FALSE),"")</f>
        <v>4270000</v>
      </c>
      <c r="Q870" s="48">
        <f t="shared" si="2"/>
        <v>0.06557377049</v>
      </c>
      <c r="R870" s="48"/>
      <c r="S870" s="48"/>
      <c r="T870" s="48"/>
      <c r="U870" s="48"/>
      <c r="V870" s="48"/>
      <c r="W870" s="50"/>
      <c r="Z870" s="11"/>
      <c r="AA870" s="11"/>
    </row>
    <row r="871">
      <c r="A871" s="9">
        <f t="shared" si="1"/>
        <v>868</v>
      </c>
      <c r="B871" s="47" t="s">
        <v>1005</v>
      </c>
      <c r="C871" s="48">
        <f>IFERROR(DIVIDE(VLOOKUP($B871,Data!$B$3:$AB$1535,9,FALSE),VLOOKUP($B871,Data!$B$3:$AB$1535,4,FALSE)),"")</f>
        <v>0.1477727273</v>
      </c>
      <c r="D871" s="48">
        <f>IFERROR(DIVIDE(VLOOKUP($B871,Data!$B$3:$AB$1535,24,FALSE),VLOOKUP($B871,Data!$B$3:$AB$1535,4,FALSE)),"")</f>
        <v>0</v>
      </c>
      <c r="E871" s="48">
        <f>IFERROR(DIVIDE(VLOOKUP($B871,Data!$B$3:$EZ1530,29,FALSE),VLOOKUP($B871,Data!$B$3:$EZ1530,4,FALSE)),"")</f>
        <v>0.049</v>
      </c>
      <c r="F871" s="48">
        <f>IFERROR(DIVIDE(VLOOKUP($B871,Data!$B$3:$EZ1530,34,FALSE),VLOOKUP($B871,Data!$B$3:$EZ1530,4,FALSE)),"")</f>
        <v>0.1366818182</v>
      </c>
      <c r="G871" s="48">
        <f>IFERROR(DIVIDE(VLOOKUP($B871,Data!$B$3:$EZ1530,39,FALSE),VLOOKUP($B871,Data!$B$3:$EZ1530,4,FALSE)),"")</f>
        <v>0.03759090909</v>
      </c>
      <c r="H871" s="48">
        <f>IFERROR(DIVIDE(VLOOKUP($B871,Data!$B$3:$EZ1530,44,FALSE),VLOOKUP($B871,Data!$B$3:$EZ1530,4,FALSE)),"")</f>
        <v>0.1403181818</v>
      </c>
      <c r="I871" s="48">
        <f>IFERROR(MINUS(DIVIDE(VLOOKUP($B871,Data!$B$3:$EZ1530,9,FALSE),VLOOKUP($B871,Data!$B$3:$EZ1530,10,FALSE)),1),"")</f>
        <v>-0.06526739505</v>
      </c>
      <c r="J871" s="48" t="str">
        <f>IFERROR(MINUS(DIVIDE(VLOOKUP($B871,Data!$B$3:$EZ1530,24,FALSE),VLOOKUP($B871,Data!$B$3:$EZ1530,25,FALSE)),1),"")</f>
        <v/>
      </c>
      <c r="K871" s="48">
        <f>IFERROR(MINUS(DIVIDE(VLOOKUP($B871,Data!$B$3:$EZ1530,29,FALSE),VLOOKUP($B871,Data!$B$3:$EZ1530,30,FALSE)),1),"")</f>
        <v>-0.2701421801</v>
      </c>
      <c r="L871" s="48">
        <f>IFERROR(MINUS(DIVIDE(VLOOKUP($B871,Data!$B$3:$EZ1530,34,FALSE),VLOOKUP($B871,Data!$B$3:$EZ1530,35,FALSE)),1),"")</f>
        <v>0.3749428441</v>
      </c>
      <c r="M871" s="48">
        <f>IFERROR(MINUS(DIVIDE(VLOOKUP($B871,Data!$B$3:$EZ1530,39,FALSE),VLOOKUP($B871,Data!$B$3:$EZ1530,40,FALSE)),1),"")</f>
        <v>-0.2412844037</v>
      </c>
      <c r="N871" s="48">
        <f>IFERROR(MINUS(DIVIDE(VLOOKUP($B871,Data!$B$3:$EZ1530,44,FALSE),VLOOKUP($B871,Data!$B$3:$EZ1530,45,FALSE)),1),"")</f>
        <v>0.01213114754</v>
      </c>
      <c r="O871" s="50">
        <f>IFERROR(VLOOKUP($B871,Data!$B$3:$D1530,2,FALSE),"")</f>
        <v>2180000</v>
      </c>
      <c r="P871" s="50">
        <f>IFERROR(VLOOKUP($B871,Data!$B$3:$D1530,3,FALSE),"")</f>
        <v>2180000</v>
      </c>
      <c r="Q871" s="48">
        <f t="shared" si="2"/>
        <v>0</v>
      </c>
      <c r="R871" s="48"/>
      <c r="S871" s="48"/>
      <c r="T871" s="48"/>
      <c r="U871" s="48"/>
      <c r="V871" s="48"/>
      <c r="W871" s="50"/>
      <c r="Z871" s="11"/>
      <c r="AA871" s="11"/>
    </row>
    <row r="872">
      <c r="A872" s="9">
        <f t="shared" si="1"/>
        <v>869</v>
      </c>
      <c r="B872" s="47" t="s">
        <v>1006</v>
      </c>
      <c r="C872" s="48">
        <f>IFERROR(DIVIDE(VLOOKUP($B872,Data!$B$3:$AB$1535,9,FALSE),VLOOKUP($B872,Data!$B$3:$AB$1535,4,FALSE)),"")</f>
        <v>0.1891266968</v>
      </c>
      <c r="D872" s="48">
        <f>IFERROR(DIVIDE(VLOOKUP($B872,Data!$B$3:$AB$1535,24,FALSE),VLOOKUP($B872,Data!$B$3:$AB$1535,4,FALSE)),"")</f>
        <v>0.08225339367</v>
      </c>
      <c r="E872" s="48">
        <f>IFERROR(DIVIDE(VLOOKUP($B872,Data!$B$3:$EZ1530,29,FALSE),VLOOKUP($B872,Data!$B$3:$EZ1530,4,FALSE)),"")</f>
        <v>0.04623076923</v>
      </c>
      <c r="F872" s="48">
        <f>IFERROR(DIVIDE(VLOOKUP($B872,Data!$B$3:$EZ1530,34,FALSE),VLOOKUP($B872,Data!$B$3:$EZ1530,4,FALSE)),"")</f>
        <v>0.2419638009</v>
      </c>
      <c r="G872" s="48">
        <f>IFERROR(DIVIDE(VLOOKUP($B872,Data!$B$3:$EZ1530,39,FALSE),VLOOKUP($B872,Data!$B$3:$EZ1530,4,FALSE)),"")</f>
        <v>0.04983257919</v>
      </c>
      <c r="H872" s="48">
        <f>IFERROR(DIVIDE(VLOOKUP($B872,Data!$B$3:$EZ1530,44,FALSE),VLOOKUP($B872,Data!$B$3:$EZ1530,4,FALSE)),"")</f>
        <v>0.1903303167</v>
      </c>
      <c r="I872" s="48">
        <f>IFERROR(MINUS(DIVIDE(VLOOKUP($B872,Data!$B$3:$EZ1530,9,FALSE),VLOOKUP($B872,Data!$B$3:$EZ1530,10,FALSE)),1),"")</f>
        <v>0.1641645545</v>
      </c>
      <c r="J872" s="48">
        <f>IFERROR(MINUS(DIVIDE(VLOOKUP($B872,Data!$B$3:$EZ1530,24,FALSE),VLOOKUP($B872,Data!$B$3:$EZ1530,25,FALSE)),1),"")</f>
        <v>-1.221907541</v>
      </c>
      <c r="K872" s="48">
        <f>IFERROR(MINUS(DIVIDE(VLOOKUP($B872,Data!$B$3:$EZ1530,29,FALSE),VLOOKUP($B872,Data!$B$3:$EZ1530,30,FALSE)),1),"")</f>
        <v>-1.085141667</v>
      </c>
      <c r="L872" s="48">
        <f>IFERROR(MINUS(DIVIDE(VLOOKUP($B872,Data!$B$3:$EZ1530,34,FALSE),VLOOKUP($B872,Data!$B$3:$EZ1530,35,FALSE)),1),"")</f>
        <v>0.3055813272</v>
      </c>
      <c r="M872" s="48">
        <f>IFERROR(MINUS(DIVIDE(VLOOKUP($B872,Data!$B$3:$EZ1530,39,FALSE),VLOOKUP($B872,Data!$B$3:$EZ1530,40,FALSE)),1),"")</f>
        <v>-1.097460177</v>
      </c>
      <c r="N872" s="48">
        <f>IFERROR(MINUS(DIVIDE(VLOOKUP($B872,Data!$B$3:$EZ1530,44,FALSE),VLOOKUP($B872,Data!$B$3:$EZ1530,45,FALSE)),1),"")</f>
        <v>1.334757993</v>
      </c>
      <c r="O872" s="50">
        <f>IFERROR(VLOOKUP($B872,Data!$B$3:$D1530,2,FALSE),"")</f>
        <v>2280000</v>
      </c>
      <c r="P872" s="50">
        <f>IFERROR(VLOOKUP($B872,Data!$B$3:$D1530,3,FALSE),"")</f>
        <v>2240000</v>
      </c>
      <c r="Q872" s="48">
        <f t="shared" si="2"/>
        <v>0.01785714286</v>
      </c>
      <c r="R872" s="48"/>
      <c r="S872" s="48"/>
      <c r="T872" s="48"/>
      <c r="U872" s="48"/>
      <c r="V872" s="48"/>
      <c r="W872" s="50"/>
      <c r="Z872" s="15"/>
      <c r="AA872" s="15"/>
    </row>
    <row r="873">
      <c r="A873" s="9">
        <f t="shared" si="1"/>
        <v>870</v>
      </c>
      <c r="B873" s="47" t="s">
        <v>1007</v>
      </c>
      <c r="C873" s="48">
        <f>IFERROR(DIVIDE(VLOOKUP($B873,Data!$B$3:$AB$1535,9,FALSE),VLOOKUP($B873,Data!$B$3:$AB$1535,4,FALSE)),"")</f>
        <v>0.5219611849</v>
      </c>
      <c r="D873" s="48">
        <f>IFERROR(DIVIDE(VLOOKUP($B873,Data!$B$3:$AB$1535,24,FALSE),VLOOKUP($B873,Data!$B$3:$AB$1535,4,FALSE)),"")</f>
        <v>-1.017705141</v>
      </c>
      <c r="E873" s="48">
        <f>IFERROR(DIVIDE(VLOOKUP($B873,Data!$B$3:$EZ1530,29,FALSE),VLOOKUP($B873,Data!$B$3:$EZ1530,4,FALSE)),"")</f>
        <v>-1.265917603</v>
      </c>
      <c r="F873" s="48">
        <f>IFERROR(DIVIDE(VLOOKUP($B873,Data!$B$3:$EZ1530,34,FALSE),VLOOKUP($B873,Data!$B$3:$EZ1530,4,FALSE)),"")</f>
        <v>-0.6343207354</v>
      </c>
      <c r="G873" s="48">
        <f>IFERROR(DIVIDE(VLOOKUP($B873,Data!$B$3:$EZ1530,39,FALSE),VLOOKUP($B873,Data!$B$3:$EZ1530,4,FALSE)),"")</f>
        <v>-1.265917603</v>
      </c>
      <c r="H873" s="48">
        <f>IFERROR(DIVIDE(VLOOKUP($B873,Data!$B$3:$EZ1530,44,FALSE),VLOOKUP($B873,Data!$B$3:$EZ1530,4,FALSE)),"")</f>
        <v>-0.7051413006</v>
      </c>
      <c r="I873" s="48">
        <f>IFERROR(MINUS(DIVIDE(VLOOKUP($B873,Data!$B$3:$EZ1530,9,FALSE),VLOOKUP($B873,Data!$B$3:$EZ1530,10,FALSE)),1),"")</f>
        <v>0.4869059166</v>
      </c>
      <c r="J873" s="48">
        <f>IFERROR(MINUS(DIVIDE(VLOOKUP($B873,Data!$B$3:$EZ1530,24,FALSE),VLOOKUP($B873,Data!$B$3:$EZ1530,25,FALSE)),1),"")</f>
        <v>0.6896551724</v>
      </c>
      <c r="K873" s="48">
        <f>IFERROR(MINUS(DIVIDE(VLOOKUP($B873,Data!$B$3:$EZ1530,29,FALSE),VLOOKUP($B873,Data!$B$3:$EZ1530,30,FALSE)),1),"")</f>
        <v>0.8396833251</v>
      </c>
      <c r="L873" s="48">
        <f>IFERROR(MINUS(DIVIDE(VLOOKUP($B873,Data!$B$3:$EZ1530,34,FALSE),VLOOKUP($B873,Data!$B$3:$EZ1530,35,FALSE)),1),"")</f>
        <v>0.05792163543</v>
      </c>
      <c r="M873" s="48">
        <f>IFERROR(MINUS(DIVIDE(VLOOKUP($B873,Data!$B$3:$EZ1530,39,FALSE),VLOOKUP($B873,Data!$B$3:$EZ1530,40,FALSE)),1),"")</f>
        <v>0.8396833251</v>
      </c>
      <c r="N873" s="48">
        <f>IFERROR(MINUS(DIVIDE(VLOOKUP($B873,Data!$B$3:$EZ1530,44,FALSE),VLOOKUP($B873,Data!$B$3:$EZ1530,45,FALSE)),1),"")</f>
        <v>0.06587750901</v>
      </c>
      <c r="O873" s="50">
        <f>IFERROR(VLOOKUP($B873,Data!$B$3:$D1530,2,FALSE),"")</f>
        <v>54840</v>
      </c>
      <c r="P873" s="50">
        <f>IFERROR(VLOOKUP($B873,Data!$B$3:$D1530,3,FALSE),"")</f>
        <v>40360</v>
      </c>
      <c r="Q873" s="48">
        <f t="shared" si="2"/>
        <v>0.3587710605</v>
      </c>
      <c r="R873" s="48"/>
      <c r="S873" s="48"/>
      <c r="T873" s="48"/>
      <c r="U873" s="48"/>
      <c r="V873" s="48"/>
      <c r="W873" s="50"/>
      <c r="Z873" s="11"/>
      <c r="AA873" s="11"/>
    </row>
    <row r="874">
      <c r="A874" s="9">
        <f t="shared" si="1"/>
        <v>871</v>
      </c>
      <c r="B874" s="47" t="s">
        <v>1008</v>
      </c>
      <c r="C874" s="48" t="str">
        <f>IFERROR(DIVIDE(VLOOKUP($B874,Data!$B$3:$AB$1535,9,FALSE),VLOOKUP($B874,Data!$B$3:$AB$1535,4,FALSE)),"")</f>
        <v/>
      </c>
      <c r="D874" s="48" t="str">
        <f>IFERROR(DIVIDE(VLOOKUP($B874,Data!$B$3:$AB$1535,24,FALSE),VLOOKUP($B874,Data!$B$3:$AB$1535,4,FALSE)),"")</f>
        <v/>
      </c>
      <c r="E874" s="48" t="str">
        <f>IFERROR(DIVIDE(VLOOKUP($B874,Data!$B$3:$EZ1530,29,FALSE),VLOOKUP($B874,Data!$B$3:$EZ1530,4,FALSE)),"")</f>
        <v/>
      </c>
      <c r="F874" s="48" t="str">
        <f>IFERROR(DIVIDE(VLOOKUP($B874,Data!$B$3:$EZ1530,34,FALSE),VLOOKUP($B874,Data!$B$3:$EZ1530,4,FALSE)),"")</f>
        <v/>
      </c>
      <c r="G874" s="48" t="str">
        <f>IFERROR(DIVIDE(VLOOKUP($B874,Data!$B$3:$EZ1530,39,FALSE),VLOOKUP($B874,Data!$B$3:$EZ1530,4,FALSE)),"")</f>
        <v/>
      </c>
      <c r="H874" s="48" t="str">
        <f>IFERROR(DIVIDE(VLOOKUP($B874,Data!$B$3:$EZ1530,44,FALSE),VLOOKUP($B874,Data!$B$3:$EZ1530,4,FALSE)),"")</f>
        <v/>
      </c>
      <c r="I874" s="48">
        <f>IFERROR(MINUS(DIVIDE(VLOOKUP($B874,Data!$B$3:$EZ1530,9,FALSE),VLOOKUP($B874,Data!$B$3:$EZ1530,10,FALSE)),1),"")</f>
        <v>1.174603175</v>
      </c>
      <c r="J874" s="48" t="str">
        <f>IFERROR(MINUS(DIVIDE(VLOOKUP($B874,Data!$B$3:$EZ1530,24,FALSE),VLOOKUP($B874,Data!$B$3:$EZ1530,25,FALSE)),1),"")</f>
        <v/>
      </c>
      <c r="K874" s="48">
        <f>IFERROR(MINUS(DIVIDE(VLOOKUP($B874,Data!$B$3:$EZ1530,29,FALSE),VLOOKUP($B874,Data!$B$3:$EZ1530,30,FALSE)),1),"")</f>
        <v>0.5130463144</v>
      </c>
      <c r="L874" s="48">
        <f>IFERROR(MINUS(DIVIDE(VLOOKUP($B874,Data!$B$3:$EZ1530,34,FALSE),VLOOKUP($B874,Data!$B$3:$EZ1530,35,FALSE)),1),"")</f>
        <v>0.4553775744</v>
      </c>
      <c r="M874" s="48">
        <f>IFERROR(MINUS(DIVIDE(VLOOKUP($B874,Data!$B$3:$EZ1530,39,FALSE),VLOOKUP($B874,Data!$B$3:$EZ1530,40,FALSE)),1),"")</f>
        <v>0.5130463144</v>
      </c>
      <c r="N874" s="48">
        <f>IFERROR(MINUS(DIVIDE(VLOOKUP($B874,Data!$B$3:$EZ1530,44,FALSE),VLOOKUP($B874,Data!$B$3:$EZ1530,45,FALSE)),1),"")</f>
        <v>0.7479209979</v>
      </c>
      <c r="O874" s="50" t="str">
        <f>IFERROR(VLOOKUP($B874,Data!$B$3:$D1530,2,FALSE),"")</f>
        <v/>
      </c>
      <c r="P874" s="50" t="str">
        <f>IFERROR(VLOOKUP($B874,Data!$B$3:$D1530,3,FALSE),"")</f>
        <v/>
      </c>
      <c r="Q874" s="48" t="str">
        <f t="shared" si="2"/>
        <v/>
      </c>
      <c r="R874" s="48"/>
      <c r="S874" s="48"/>
      <c r="T874" s="48"/>
      <c r="U874" s="48"/>
      <c r="V874" s="48"/>
      <c r="W874" s="50"/>
      <c r="Z874" s="15"/>
      <c r="AA874" s="15"/>
    </row>
    <row r="875">
      <c r="A875" s="9">
        <f t="shared" si="1"/>
        <v>872</v>
      </c>
      <c r="B875" s="47" t="s">
        <v>1009</v>
      </c>
      <c r="C875" s="48">
        <f>IFERROR(DIVIDE(VLOOKUP($B875,Data!$B$3:$AB$1535,9,FALSE),VLOOKUP($B875,Data!$B$3:$AB$1535,4,FALSE)),"")</f>
        <v>0.2343644923</v>
      </c>
      <c r="D875" s="48">
        <f>IFERROR(DIVIDE(VLOOKUP($B875,Data!$B$3:$AB$1535,24,FALSE),VLOOKUP($B875,Data!$B$3:$AB$1535,4,FALSE)),"")</f>
        <v>0.1429197977</v>
      </c>
      <c r="E875" s="48">
        <f>IFERROR(DIVIDE(VLOOKUP($B875,Data!$B$3:$EZ1530,29,FALSE),VLOOKUP($B875,Data!$B$3:$EZ1530,4,FALSE)),"")</f>
        <v>0.1342066021</v>
      </c>
      <c r="F875" s="48">
        <f>IFERROR(DIVIDE(VLOOKUP($B875,Data!$B$3:$EZ1530,34,FALSE),VLOOKUP($B875,Data!$B$3:$EZ1530,4,FALSE)),"")</f>
        <v>0.1709306745</v>
      </c>
      <c r="G875" s="48">
        <f>IFERROR(DIVIDE(VLOOKUP($B875,Data!$B$3:$EZ1530,39,FALSE),VLOOKUP($B875,Data!$B$3:$EZ1530,4,FALSE)),"")</f>
        <v>0.09659074296</v>
      </c>
      <c r="H875" s="48">
        <f>IFERROR(DIVIDE(VLOOKUP($B875,Data!$B$3:$EZ1530,44,FALSE),VLOOKUP($B875,Data!$B$3:$EZ1530,4,FALSE)),"")</f>
        <v>0.1191485629</v>
      </c>
      <c r="I875" s="48">
        <f>IFERROR(MINUS(DIVIDE(VLOOKUP($B875,Data!$B$3:$EZ1530,9,FALSE),VLOOKUP($B875,Data!$B$3:$EZ1530,10,FALSE)),1),"")</f>
        <v>0.39230502</v>
      </c>
      <c r="J875" s="48">
        <f>IFERROR(MINUS(DIVIDE(VLOOKUP($B875,Data!$B$3:$EZ1530,24,FALSE),VLOOKUP($B875,Data!$B$3:$EZ1530,25,FALSE)),1),"")</f>
        <v>0.3878478137</v>
      </c>
      <c r="K875" s="48">
        <f>IFERROR(MINUS(DIVIDE(VLOOKUP($B875,Data!$B$3:$EZ1530,29,FALSE),VLOOKUP($B875,Data!$B$3:$EZ1530,30,FALSE)),1),"")</f>
        <v>0.02696051012</v>
      </c>
      <c r="L875" s="48">
        <f>IFERROR(MINUS(DIVIDE(VLOOKUP($B875,Data!$B$3:$EZ1530,34,FALSE),VLOOKUP($B875,Data!$B$3:$EZ1530,35,FALSE)),1),"")</f>
        <v>0.4017503896</v>
      </c>
      <c r="M875" s="48">
        <f>IFERROR(MINUS(DIVIDE(VLOOKUP($B875,Data!$B$3:$EZ1530,39,FALSE),VLOOKUP($B875,Data!$B$3:$EZ1530,40,FALSE)),1),"")</f>
        <v>1.39297356</v>
      </c>
      <c r="N875" s="48">
        <f>IFERROR(MINUS(DIVIDE(VLOOKUP($B875,Data!$B$3:$EZ1530,44,FALSE),VLOOKUP($B875,Data!$B$3:$EZ1530,45,FALSE)),1),"")</f>
        <v>0.3941156346</v>
      </c>
      <c r="O875" s="50">
        <f>IFERROR(VLOOKUP($B875,Data!$B$3:$D1530,2,FALSE),"")</f>
        <v>697420</v>
      </c>
      <c r="P875" s="50">
        <f>IFERROR(VLOOKUP($B875,Data!$B$3:$D1530,3,FALSE),"")</f>
        <v>635790</v>
      </c>
      <c r="Q875" s="48">
        <f t="shared" si="2"/>
        <v>0.09693452241</v>
      </c>
      <c r="R875" s="48"/>
      <c r="S875" s="48"/>
      <c r="T875" s="48"/>
      <c r="U875" s="48"/>
      <c r="V875" s="48"/>
      <c r="W875" s="50"/>
      <c r="Z875" s="15"/>
      <c r="AA875" s="15"/>
    </row>
    <row r="876">
      <c r="A876" s="9">
        <f t="shared" si="1"/>
        <v>873</v>
      </c>
      <c r="B876" s="47" t="s">
        <v>1010</v>
      </c>
      <c r="C876" s="48">
        <f>IFERROR(DIVIDE(VLOOKUP($B876,Data!$B$3:$AB$1535,9,FALSE),VLOOKUP($B876,Data!$B$3:$AB$1535,4,FALSE)),"")</f>
        <v>0.5275142315</v>
      </c>
      <c r="D876" s="48">
        <f>IFERROR(DIVIDE(VLOOKUP($B876,Data!$B$3:$AB$1535,24,FALSE),VLOOKUP($B876,Data!$B$3:$AB$1535,4,FALSE)),"")</f>
        <v>0.4193548387</v>
      </c>
      <c r="E876" s="48">
        <f>IFERROR(DIVIDE(VLOOKUP($B876,Data!$B$3:$EZ1530,29,FALSE),VLOOKUP($B876,Data!$B$3:$EZ1530,4,FALSE)),"")</f>
        <v>0.380455408</v>
      </c>
      <c r="F876" s="48">
        <f>IFERROR(DIVIDE(VLOOKUP($B876,Data!$B$3:$EZ1530,34,FALSE),VLOOKUP($B876,Data!$B$3:$EZ1530,4,FALSE)),"")</f>
        <v>0.4947817837</v>
      </c>
      <c r="G876" s="48">
        <f>IFERROR(DIVIDE(VLOOKUP($B876,Data!$B$3:$EZ1530,39,FALSE),VLOOKUP($B876,Data!$B$3:$EZ1530,4,FALSE)),"")</f>
        <v>0.2860531309</v>
      </c>
      <c r="H876" s="48">
        <f>IFERROR(DIVIDE(VLOOKUP($B876,Data!$B$3:$EZ1530,44,FALSE),VLOOKUP($B876,Data!$B$3:$EZ1530,4,FALSE)),"")</f>
        <v>0.385199241</v>
      </c>
      <c r="I876" s="48">
        <f>IFERROR(MINUS(DIVIDE(VLOOKUP($B876,Data!$B$3:$EZ1530,9,FALSE),VLOOKUP($B876,Data!$B$3:$EZ1530,10,FALSE)),1),"")</f>
        <v>0.03058387396</v>
      </c>
      <c r="J876" s="48">
        <f>IFERROR(MINUS(DIVIDE(VLOOKUP($B876,Data!$B$3:$EZ1530,24,FALSE),VLOOKUP($B876,Data!$B$3:$EZ1530,25,FALSE)),1),"")</f>
        <v>0.05489260143</v>
      </c>
      <c r="K876" s="48">
        <f>IFERROR(MINUS(DIVIDE(VLOOKUP($B876,Data!$B$3:$EZ1530,29,FALSE),VLOOKUP($B876,Data!$B$3:$EZ1530,30,FALSE)),1),"")</f>
        <v>0.02557544757</v>
      </c>
      <c r="L876" s="48">
        <f>IFERROR(MINUS(DIVIDE(VLOOKUP($B876,Data!$B$3:$EZ1530,34,FALSE),VLOOKUP($B876,Data!$B$3:$EZ1530,35,FALSE)),1),"")</f>
        <v>0.03574975174</v>
      </c>
      <c r="M876" s="48">
        <f>IFERROR(MINUS(DIVIDE(VLOOKUP($B876,Data!$B$3:$EZ1530,39,FALSE),VLOOKUP($B876,Data!$B$3:$EZ1530,40,FALSE)),1),"")</f>
        <v>0.01858108108</v>
      </c>
      <c r="N876" s="48">
        <f>IFERROR(MINUS(DIVIDE(VLOOKUP($B876,Data!$B$3:$EZ1530,44,FALSE),VLOOKUP($B876,Data!$B$3:$EZ1530,45,FALSE)),1),"")</f>
        <v>0.1649928264</v>
      </c>
      <c r="O876" s="50">
        <f>IFERROR(VLOOKUP($B876,Data!$B$3:$D1530,2,FALSE),"")</f>
        <v>21680000</v>
      </c>
      <c r="P876" s="50">
        <f>IFERROR(VLOOKUP($B876,Data!$B$3:$D1530,3,FALSE),"")</f>
        <v>19050000</v>
      </c>
      <c r="Q876" s="48">
        <f t="shared" si="2"/>
        <v>0.1380577428</v>
      </c>
      <c r="R876" s="48"/>
      <c r="S876" s="48"/>
      <c r="T876" s="48"/>
      <c r="U876" s="48"/>
      <c r="V876" s="48"/>
      <c r="W876" s="50"/>
      <c r="Z876" s="12"/>
      <c r="AA876" s="12"/>
    </row>
    <row r="877">
      <c r="A877" s="9">
        <f t="shared" si="1"/>
        <v>874</v>
      </c>
      <c r="B877" s="47" t="s">
        <v>1011</v>
      </c>
      <c r="C877" s="48">
        <f>IFERROR(DIVIDE(VLOOKUP($B877,Data!$B$3:$AB$1535,9,FALSE),VLOOKUP($B877,Data!$B$3:$AB$1535,4,FALSE)),"")</f>
        <v>0.2350872679</v>
      </c>
      <c r="D877" s="48">
        <f>IFERROR(DIVIDE(VLOOKUP($B877,Data!$B$3:$AB$1535,24,FALSE),VLOOKUP($B877,Data!$B$3:$AB$1535,4,FALSE)),"")</f>
        <v>0.0713152365</v>
      </c>
      <c r="E877" s="48">
        <f>IFERROR(DIVIDE(VLOOKUP($B877,Data!$B$3:$EZ1530,29,FALSE),VLOOKUP($B877,Data!$B$3:$EZ1530,4,FALSE)),"")</f>
        <v>0.05735666195</v>
      </c>
      <c r="F877" s="48">
        <f>IFERROR(DIVIDE(VLOOKUP($B877,Data!$B$3:$EZ1530,34,FALSE),VLOOKUP($B877,Data!$B$3:$EZ1530,4,FALSE)),"")</f>
        <v>0.1577254599</v>
      </c>
      <c r="G877" s="48">
        <f>IFERROR(DIVIDE(VLOOKUP($B877,Data!$B$3:$EZ1530,39,FALSE),VLOOKUP($B877,Data!$B$3:$EZ1530,4,FALSE)),"")</f>
        <v>0.04577812085</v>
      </c>
      <c r="H877" s="48">
        <f>IFERROR(DIVIDE(VLOOKUP($B877,Data!$B$3:$EZ1530,44,FALSE),VLOOKUP($B877,Data!$B$3:$EZ1530,4,FALSE)),"")</f>
        <v>0.1198379004</v>
      </c>
      <c r="I877" s="48">
        <f>IFERROR(MINUS(DIVIDE(VLOOKUP($B877,Data!$B$3:$EZ1530,9,FALSE),VLOOKUP($B877,Data!$B$3:$EZ1530,10,FALSE)),1),"")</f>
        <v>0.2351019489</v>
      </c>
      <c r="J877" s="48">
        <f>IFERROR(MINUS(DIVIDE(VLOOKUP($B877,Data!$B$3:$EZ1530,24,FALSE),VLOOKUP($B877,Data!$B$3:$EZ1530,25,FALSE)),1),"")</f>
        <v>-0.4058592354</v>
      </c>
      <c r="K877" s="48">
        <f>IFERROR(MINUS(DIVIDE(VLOOKUP($B877,Data!$B$3:$EZ1530,29,FALSE),VLOOKUP($B877,Data!$B$3:$EZ1530,30,FALSE)),1),"")</f>
        <v>-0.4905732241</v>
      </c>
      <c r="L877" s="48">
        <f>IFERROR(MINUS(DIVIDE(VLOOKUP($B877,Data!$B$3:$EZ1530,34,FALSE),VLOOKUP($B877,Data!$B$3:$EZ1530,35,FALSE)),1),"")</f>
        <v>0.175831202</v>
      </c>
      <c r="M877" s="48">
        <f>IFERROR(MINUS(DIVIDE(VLOOKUP($B877,Data!$B$3:$EZ1530,39,FALSE),VLOOKUP($B877,Data!$B$3:$EZ1530,40,FALSE)),1),"")</f>
        <v>-0.4615384615</v>
      </c>
      <c r="N877" s="48">
        <f>IFERROR(MINUS(DIVIDE(VLOOKUP($B877,Data!$B$3:$EZ1530,44,FALSE),VLOOKUP($B877,Data!$B$3:$EZ1530,45,FALSE)),1),"")</f>
        <v>0.1313765182</v>
      </c>
      <c r="O877" s="50">
        <f>IFERROR(VLOOKUP($B877,Data!$B$3:$D1530,2,FALSE),"")</f>
        <v>400690</v>
      </c>
      <c r="P877" s="50">
        <f>IFERROR(VLOOKUP($B877,Data!$B$3:$D1530,3,FALSE),"")</f>
        <v>349610</v>
      </c>
      <c r="Q877" s="48">
        <f t="shared" si="2"/>
        <v>0.1461056606</v>
      </c>
      <c r="R877" s="48"/>
      <c r="S877" s="48"/>
      <c r="T877" s="48"/>
      <c r="U877" s="48"/>
      <c r="V877" s="48"/>
      <c r="W877" s="50"/>
      <c r="Z877" s="15"/>
      <c r="AA877" s="15"/>
    </row>
    <row r="878">
      <c r="A878" s="9">
        <f t="shared" si="1"/>
        <v>875</v>
      </c>
      <c r="B878" s="47" t="s">
        <v>1012</v>
      </c>
      <c r="C878" s="48">
        <f>IFERROR(DIVIDE(VLOOKUP($B878,Data!$B$3:$AB$1535,9,FALSE),VLOOKUP($B878,Data!$B$3:$AB$1535,4,FALSE)),"")</f>
        <v>0.4269449715</v>
      </c>
      <c r="D878" s="48">
        <f>IFERROR(DIVIDE(VLOOKUP($B878,Data!$B$3:$AB$1535,24,FALSE),VLOOKUP($B878,Data!$B$3:$AB$1535,4,FALSE)),"")</f>
        <v>0.1217647059</v>
      </c>
      <c r="E878" s="48">
        <f>IFERROR(DIVIDE(VLOOKUP($B878,Data!$B$3:$EZ1530,29,FALSE),VLOOKUP($B878,Data!$B$3:$EZ1530,4,FALSE)),"")</f>
        <v>0.02853889943</v>
      </c>
      <c r="F878" s="48">
        <f>IFERROR(DIVIDE(VLOOKUP($B878,Data!$B$3:$EZ1530,34,FALSE),VLOOKUP($B878,Data!$B$3:$EZ1530,4,FALSE)),"")</f>
        <v>0.3624288425</v>
      </c>
      <c r="G878" s="48">
        <f>IFERROR(DIVIDE(VLOOKUP($B878,Data!$B$3:$EZ1530,39,FALSE),VLOOKUP($B878,Data!$B$3:$EZ1530,4,FALSE)),"")</f>
        <v>0.1082732448</v>
      </c>
      <c r="H878" s="48">
        <f>IFERROR(DIVIDE(VLOOKUP($B878,Data!$B$3:$EZ1530,44,FALSE),VLOOKUP($B878,Data!$B$3:$EZ1530,4,FALSE)),"")</f>
        <v>0.2922201139</v>
      </c>
      <c r="I878" s="48">
        <f>IFERROR(MINUS(DIVIDE(VLOOKUP($B878,Data!$B$3:$EZ1530,9,FALSE),VLOOKUP($B878,Data!$B$3:$EZ1530,10,FALSE)),1),"")</f>
        <v>-0.141221374</v>
      </c>
      <c r="J878" s="48">
        <f>IFERROR(MINUS(DIVIDE(VLOOKUP($B878,Data!$B$3:$EZ1530,24,FALSE),VLOOKUP($B878,Data!$B$3:$EZ1530,25,FALSE)),1),"")</f>
        <v>-0.08550662676</v>
      </c>
      <c r="K878" s="48">
        <f>IFERROR(MINUS(DIVIDE(VLOOKUP($B878,Data!$B$3:$EZ1530,29,FALSE),VLOOKUP($B878,Data!$B$3:$EZ1530,30,FALSE)),1),"")</f>
        <v>-0.2645476773</v>
      </c>
      <c r="L878" s="48">
        <f>IFERROR(MINUS(DIVIDE(VLOOKUP($B878,Data!$B$3:$EZ1530,34,FALSE),VLOOKUP($B878,Data!$B$3:$EZ1530,35,FALSE)),1),"")</f>
        <v>-0.04020100503</v>
      </c>
      <c r="M878" s="48">
        <f>IFERROR(MINUS(DIVIDE(VLOOKUP($B878,Data!$B$3:$EZ1530,39,FALSE),VLOOKUP($B878,Data!$B$3:$EZ1530,40,FALSE)),1),"")</f>
        <v>0.6032593425</v>
      </c>
      <c r="N878" s="48">
        <f>IFERROR(MINUS(DIVIDE(VLOOKUP($B878,Data!$B$3:$EZ1530,44,FALSE),VLOOKUP($B878,Data!$B$3:$EZ1530,45,FALSE)),1),"")</f>
        <v>-0.07784431138</v>
      </c>
      <c r="O878" s="50">
        <f>IFERROR(VLOOKUP($B878,Data!$B$3:$D1530,2,FALSE),"")</f>
        <v>5640000</v>
      </c>
      <c r="P878" s="50">
        <f>IFERROR(VLOOKUP($B878,Data!$B$3:$D1530,3,FALSE),"")</f>
        <v>5130000</v>
      </c>
      <c r="Q878" s="48">
        <f t="shared" si="2"/>
        <v>0.09941520468</v>
      </c>
      <c r="R878" s="48"/>
      <c r="S878" s="48"/>
      <c r="T878" s="48"/>
      <c r="U878" s="48"/>
      <c r="V878" s="48"/>
      <c r="W878" s="50"/>
      <c r="Z878" s="15"/>
      <c r="AA878" s="15"/>
    </row>
    <row r="879">
      <c r="A879" s="9">
        <f t="shared" si="1"/>
        <v>876</v>
      </c>
      <c r="B879" s="47" t="s">
        <v>1013</v>
      </c>
      <c r="C879" s="48">
        <f>IFERROR(DIVIDE(VLOOKUP($B879,Data!$B$3:$AB$1535,9,FALSE),VLOOKUP($B879,Data!$B$3:$AB$1535,4,FALSE)),"")</f>
        <v>0.0493399697</v>
      </c>
      <c r="D879" s="48">
        <f>IFERROR(DIVIDE(VLOOKUP($B879,Data!$B$3:$AB$1535,24,FALSE),VLOOKUP($B879,Data!$B$3:$AB$1535,4,FALSE)),"")</f>
        <v>0.004501190219</v>
      </c>
      <c r="E879" s="48">
        <f>IFERROR(DIVIDE(VLOOKUP($B879,Data!$B$3:$EZ1530,29,FALSE),VLOOKUP($B879,Data!$B$3:$EZ1530,4,FALSE)),"")</f>
        <v>0.00493399697</v>
      </c>
      <c r="F879" s="48">
        <f>IFERROR(DIVIDE(VLOOKUP($B879,Data!$B$3:$EZ1530,34,FALSE),VLOOKUP($B879,Data!$B$3:$EZ1530,4,FALSE)),"")</f>
        <v>0.01700930535</v>
      </c>
      <c r="G879" s="48">
        <f>IFERROR(DIVIDE(VLOOKUP($B879,Data!$B$3:$EZ1530,39,FALSE),VLOOKUP($B879,Data!$B$3:$EZ1530,4,FALSE)),"")</f>
        <v>0.003921229171</v>
      </c>
      <c r="H879" s="48">
        <f>IFERROR(DIVIDE(VLOOKUP($B879,Data!$B$3:$EZ1530,44,FALSE),VLOOKUP($B879,Data!$B$3:$EZ1530,4,FALSE)),"")</f>
        <v>0.02055832071</v>
      </c>
      <c r="I879" s="48">
        <f>IFERROR(MINUS(DIVIDE(VLOOKUP($B879,Data!$B$3:$EZ1530,9,FALSE),VLOOKUP($B879,Data!$B$3:$EZ1530,10,FALSE)),1),"")</f>
        <v>0.0594795539</v>
      </c>
      <c r="J879" s="48">
        <f>IFERROR(MINUS(DIVIDE(VLOOKUP($B879,Data!$B$3:$EZ1530,24,FALSE),VLOOKUP($B879,Data!$B$3:$EZ1530,25,FALSE)),1),"")</f>
        <v>0.1738148984</v>
      </c>
      <c r="K879" s="48">
        <f>IFERROR(MINUS(DIVIDE(VLOOKUP($B879,Data!$B$3:$EZ1530,29,FALSE),VLOOKUP($B879,Data!$B$3:$EZ1530,30,FALSE)),1),"")</f>
        <v>0.868852459</v>
      </c>
      <c r="L879" s="48">
        <f>IFERROR(MINUS(DIVIDE(VLOOKUP($B879,Data!$B$3:$EZ1530,34,FALSE),VLOOKUP($B879,Data!$B$3:$EZ1530,35,FALSE)),1),"")</f>
        <v>-0.02481389578</v>
      </c>
      <c r="M879" s="48">
        <f>IFERROR(MINUS(DIVIDE(VLOOKUP($B879,Data!$B$3:$EZ1530,39,FALSE),VLOOKUP($B879,Data!$B$3:$EZ1530,40,FALSE)),1),"")</f>
        <v>26.45454545</v>
      </c>
      <c r="N879" s="48">
        <f>IFERROR(MINUS(DIVIDE(VLOOKUP($B879,Data!$B$3:$EZ1530,44,FALSE),VLOOKUP($B879,Data!$B$3:$EZ1530,45,FALSE)),1),"")</f>
        <v>0.1757425743</v>
      </c>
      <c r="O879" s="50">
        <f>IFERROR(VLOOKUP($B879,Data!$B$3:$D1530,2,FALSE),"")</f>
        <v>247330000</v>
      </c>
      <c r="P879" s="50">
        <f>IFERROR(VLOOKUP($B879,Data!$B$3:$D1530,3,FALSE),"")</f>
        <v>234900000</v>
      </c>
      <c r="Q879" s="48">
        <f t="shared" si="2"/>
        <v>0.05291613453</v>
      </c>
      <c r="R879" s="48"/>
      <c r="S879" s="48"/>
      <c r="T879" s="48"/>
      <c r="U879" s="48"/>
      <c r="V879" s="48"/>
      <c r="W879" s="50"/>
      <c r="Z879" s="15"/>
      <c r="AA879" s="15"/>
    </row>
    <row r="880">
      <c r="A880" s="9">
        <f t="shared" si="1"/>
        <v>877</v>
      </c>
      <c r="B880" s="47" t="s">
        <v>1014</v>
      </c>
      <c r="C880" s="48">
        <f>IFERROR(DIVIDE(VLOOKUP($B880,Data!$B$3:$AB$1535,9,FALSE),VLOOKUP($B880,Data!$B$3:$AB$1535,4,FALSE)),"")</f>
        <v>0</v>
      </c>
      <c r="D880" s="48">
        <f>IFERROR(DIVIDE(VLOOKUP($B880,Data!$B$3:$AB$1535,24,FALSE),VLOOKUP($B880,Data!$B$3:$AB$1535,4,FALSE)),"")</f>
        <v>-2.082874529</v>
      </c>
      <c r="E880" s="48">
        <f>IFERROR(DIVIDE(VLOOKUP($B880,Data!$B$3:$EZ1530,29,FALSE),VLOOKUP($B880,Data!$B$3:$EZ1530,4,FALSE)),"")</f>
        <v>-2.036511156</v>
      </c>
      <c r="F880" s="48">
        <f>IFERROR(DIVIDE(VLOOKUP($B880,Data!$B$3:$EZ1530,34,FALSE),VLOOKUP($B880,Data!$B$3:$EZ1530,4,FALSE)),"")</f>
        <v>-1.754563895</v>
      </c>
      <c r="G880" s="48">
        <f>IFERROR(DIVIDE(VLOOKUP($B880,Data!$B$3:$EZ1530,39,FALSE),VLOOKUP($B880,Data!$B$3:$EZ1530,4,FALSE)),"")</f>
        <v>-2.036511156</v>
      </c>
      <c r="H880" s="48">
        <f>IFERROR(DIVIDE(VLOOKUP($B880,Data!$B$3:$EZ1530,44,FALSE),VLOOKUP($B880,Data!$B$3:$EZ1530,4,FALSE)),"")</f>
        <v>-2.107505071</v>
      </c>
      <c r="I880" s="48" t="str">
        <f>IFERROR(MINUS(DIVIDE(VLOOKUP($B880,Data!$B$3:$EZ1530,9,FALSE),VLOOKUP($B880,Data!$B$3:$EZ1530,10,FALSE)),1),"")</f>
        <v/>
      </c>
      <c r="J880" s="48" t="str">
        <f>IFERROR(MINUS(DIVIDE(VLOOKUP($B880,Data!$B$3:$EZ1530,24,FALSE),VLOOKUP($B880,Data!$B$3:$EZ1530,25,FALSE)),1),"")</f>
        <v/>
      </c>
      <c r="K880" s="48">
        <f>IFERROR(MINUS(DIVIDE(VLOOKUP($B880,Data!$B$3:$EZ1530,29,FALSE),VLOOKUP($B880,Data!$B$3:$EZ1530,30,FALSE)),1),"")</f>
        <v>-0.2896705074</v>
      </c>
      <c r="L880" s="48">
        <f>IFERROR(MINUS(DIVIDE(VLOOKUP($B880,Data!$B$3:$EZ1530,34,FALSE),VLOOKUP($B880,Data!$B$3:$EZ1530,35,FALSE)),1),"")</f>
        <v>-0.3448387795</v>
      </c>
      <c r="M880" s="48">
        <f>IFERROR(MINUS(DIVIDE(VLOOKUP($B880,Data!$B$3:$EZ1530,39,FALSE),VLOOKUP($B880,Data!$B$3:$EZ1530,40,FALSE)),1),"")</f>
        <v>-0.2896705074</v>
      </c>
      <c r="N880" s="48">
        <f>IFERROR(MINUS(DIVIDE(VLOOKUP($B880,Data!$B$3:$EZ1530,44,FALSE),VLOOKUP($B880,Data!$B$3:$EZ1530,45,FALSE)),1),"")</f>
        <v>0.1571996818</v>
      </c>
      <c r="O880" s="50">
        <f>IFERROR(VLOOKUP($B880,Data!$B$3:$D1530,2,FALSE),"")</f>
        <v>32850</v>
      </c>
      <c r="P880" s="50">
        <f>IFERROR(VLOOKUP($B880,Data!$B$3:$D1530,3,FALSE),"")</f>
        <v>29030</v>
      </c>
      <c r="Q880" s="48">
        <f t="shared" si="2"/>
        <v>0.1315880124</v>
      </c>
      <c r="R880" s="48"/>
      <c r="S880" s="48"/>
      <c r="T880" s="48"/>
      <c r="U880" s="48"/>
      <c r="V880" s="48"/>
      <c r="W880" s="50"/>
      <c r="Z880" s="15"/>
      <c r="AA880" s="15"/>
    </row>
    <row r="881">
      <c r="A881" s="9">
        <f t="shared" si="1"/>
        <v>878</v>
      </c>
      <c r="B881" s="47" t="s">
        <v>1015</v>
      </c>
      <c r="C881" s="48">
        <f>IFERROR(DIVIDE(VLOOKUP($B881,Data!$B$3:$AB$1535,9,FALSE),VLOOKUP($B881,Data!$B$3:$AB$1535,4,FALSE)),"")</f>
        <v>0.4494923145</v>
      </c>
      <c r="D881" s="48">
        <f>IFERROR(DIVIDE(VLOOKUP($B881,Data!$B$3:$AB$1535,24,FALSE),VLOOKUP($B881,Data!$B$3:$AB$1535,4,FALSE)),"")</f>
        <v>0.1701248144</v>
      </c>
      <c r="E881" s="48">
        <f>IFERROR(DIVIDE(VLOOKUP($B881,Data!$B$3:$EZ1530,29,FALSE),VLOOKUP($B881,Data!$B$3:$EZ1530,4,FALSE)),"")</f>
        <v>0.1588473733</v>
      </c>
      <c r="F881" s="48">
        <f>IFERROR(DIVIDE(VLOOKUP($B881,Data!$B$3:$EZ1530,34,FALSE),VLOOKUP($B881,Data!$B$3:$EZ1530,4,FALSE)),"")</f>
        <v>0.2310069431</v>
      </c>
      <c r="G881" s="48">
        <f>IFERROR(DIVIDE(VLOOKUP($B881,Data!$B$3:$EZ1530,39,FALSE),VLOOKUP($B881,Data!$B$3:$EZ1530,4,FALSE)),"")</f>
        <v>0.1277039772</v>
      </c>
      <c r="H881" s="48">
        <f>IFERROR(DIVIDE(VLOOKUP($B881,Data!$B$3:$EZ1530,44,FALSE),VLOOKUP($B881,Data!$B$3:$EZ1530,4,FALSE)),"")</f>
        <v>0.253842758</v>
      </c>
      <c r="I881" s="48">
        <f>IFERROR(MINUS(DIVIDE(VLOOKUP($B881,Data!$B$3:$EZ1530,9,FALSE),VLOOKUP($B881,Data!$B$3:$EZ1530,10,FALSE)),1),"")</f>
        <v>0.03092783505</v>
      </c>
      <c r="J881" s="48" t="str">
        <f>IFERROR(MINUS(DIVIDE(VLOOKUP($B881,Data!$B$3:$EZ1530,24,FALSE),VLOOKUP($B881,Data!$B$3:$EZ1530,25,FALSE)),1),"")</f>
        <v/>
      </c>
      <c r="K881" s="48">
        <f>IFERROR(MINUS(DIVIDE(VLOOKUP($B881,Data!$B$3:$EZ1530,29,FALSE),VLOOKUP($B881,Data!$B$3:$EZ1530,30,FALSE)),1),"")</f>
        <v>-0.07198124267</v>
      </c>
      <c r="L881" s="48">
        <f>IFERROR(MINUS(DIVIDE(VLOOKUP($B881,Data!$B$3:$EZ1530,34,FALSE),VLOOKUP($B881,Data!$B$3:$EZ1530,35,FALSE)),1),"")</f>
        <v>0.001740341107</v>
      </c>
      <c r="M881" s="48">
        <f>IFERROR(MINUS(DIVIDE(VLOOKUP($B881,Data!$B$3:$EZ1530,39,FALSE),VLOOKUP($B881,Data!$B$3:$EZ1530,40,FALSE)),1),"")</f>
        <v>-0.06686217009</v>
      </c>
      <c r="N881" s="48">
        <f>IFERROR(MINUS(DIVIDE(VLOOKUP($B881,Data!$B$3:$EZ1530,44,FALSE),VLOOKUP($B881,Data!$B$3:$EZ1530,45,FALSE)),1),"")</f>
        <v>0.07641252553</v>
      </c>
      <c r="O881" s="50" t="str">
        <f>IFERROR(VLOOKUP($B881,Data!$B$3:$D1530,2,FALSE),"")</f>
        <v/>
      </c>
      <c r="P881" s="50" t="str">
        <f>IFERROR(VLOOKUP($B881,Data!$B$3:$D1530,3,FALSE),"")</f>
        <v/>
      </c>
      <c r="Q881" s="48" t="str">
        <f t="shared" si="2"/>
        <v/>
      </c>
      <c r="R881" s="48"/>
      <c r="S881" s="48"/>
      <c r="T881" s="48"/>
      <c r="U881" s="48"/>
      <c r="V881" s="48"/>
      <c r="W881" s="50"/>
      <c r="Z881" s="11"/>
      <c r="AA881" s="11"/>
    </row>
    <row r="882">
      <c r="A882" s="9">
        <f t="shared" si="1"/>
        <v>879</v>
      </c>
      <c r="B882" s="47" t="s">
        <v>1016</v>
      </c>
      <c r="C882" s="48">
        <f>IFERROR(DIVIDE(VLOOKUP($B882,Data!$B$3:$AB$1535,9,FALSE),VLOOKUP($B882,Data!$B$3:$AB$1535,4,FALSE)),"")</f>
        <v>0.2316638177</v>
      </c>
      <c r="D882" s="48">
        <f>IFERROR(DIVIDE(VLOOKUP($B882,Data!$B$3:$AB$1535,24,FALSE),VLOOKUP($B882,Data!$B$3:$AB$1535,4,FALSE)),"")</f>
        <v>0</v>
      </c>
      <c r="E882" s="48">
        <f>IFERROR(DIVIDE(VLOOKUP($B882,Data!$B$3:$EZ1530,29,FALSE),VLOOKUP($B882,Data!$B$3:$EZ1530,4,FALSE)),"")</f>
        <v>0</v>
      </c>
      <c r="F882" s="48">
        <f>IFERROR(DIVIDE(VLOOKUP($B882,Data!$B$3:$EZ1530,34,FALSE),VLOOKUP($B882,Data!$B$3:$EZ1530,4,FALSE)),"")</f>
        <v>0.1388490028</v>
      </c>
      <c r="G882" s="48">
        <f>IFERROR(DIVIDE(VLOOKUP($B882,Data!$B$3:$EZ1530,39,FALSE),VLOOKUP($B882,Data!$B$3:$EZ1530,4,FALSE)),"")</f>
        <v>0</v>
      </c>
      <c r="H882" s="48">
        <f>IFERROR(DIVIDE(VLOOKUP($B882,Data!$B$3:$EZ1530,44,FALSE),VLOOKUP($B882,Data!$B$3:$EZ1530,4,FALSE)),"")</f>
        <v>0.09875783476</v>
      </c>
      <c r="I882" s="48">
        <f>IFERROR(MINUS(DIVIDE(VLOOKUP($B882,Data!$B$3:$EZ1530,9,FALSE),VLOOKUP($B882,Data!$B$3:$EZ1530,10,FALSE)),1),"")</f>
        <v>-0.02705354472</v>
      </c>
      <c r="J882" s="48" t="str">
        <f>IFERROR(MINUS(DIVIDE(VLOOKUP($B882,Data!$B$3:$EZ1530,24,FALSE),VLOOKUP($B882,Data!$B$3:$EZ1530,25,FALSE)),1),"")</f>
        <v/>
      </c>
      <c r="K882" s="48">
        <f>IFERROR(MINUS(DIVIDE(VLOOKUP($B882,Data!$B$3:$EZ1530,29,FALSE),VLOOKUP($B882,Data!$B$3:$EZ1530,30,FALSE)),1),"")</f>
        <v>-1</v>
      </c>
      <c r="L882" s="48">
        <f>IFERROR(MINUS(DIVIDE(VLOOKUP($B882,Data!$B$3:$EZ1530,34,FALSE),VLOOKUP($B882,Data!$B$3:$EZ1530,35,FALSE)),1),"")</f>
        <v>-0.05486279453</v>
      </c>
      <c r="M882" s="48">
        <f>IFERROR(MINUS(DIVIDE(VLOOKUP($B882,Data!$B$3:$EZ1530,39,FALSE),VLOOKUP($B882,Data!$B$3:$EZ1530,40,FALSE)),1),"")</f>
        <v>-1</v>
      </c>
      <c r="N882" s="48">
        <f>IFERROR(MINUS(DIVIDE(VLOOKUP($B882,Data!$B$3:$EZ1530,44,FALSE),VLOOKUP($B882,Data!$B$3:$EZ1530,45,FALSE)),1),"")</f>
        <v>0.1955989377</v>
      </c>
      <c r="O882" s="50">
        <f>IFERROR(VLOOKUP($B882,Data!$B$3:$D1530,2,FALSE),"")</f>
        <v>2300000</v>
      </c>
      <c r="P882" s="50">
        <f>IFERROR(VLOOKUP($B882,Data!$B$3:$D1530,3,FALSE),"")</f>
        <v>2610000</v>
      </c>
      <c r="Q882" s="48">
        <f t="shared" si="2"/>
        <v>-0.1187739464</v>
      </c>
      <c r="R882" s="48"/>
      <c r="S882" s="48"/>
      <c r="T882" s="48"/>
      <c r="U882" s="48"/>
      <c r="V882" s="48"/>
      <c r="W882" s="50"/>
      <c r="Z882" s="11"/>
      <c r="AA882" s="11"/>
    </row>
    <row r="883">
      <c r="A883" s="9">
        <f t="shared" si="1"/>
        <v>880</v>
      </c>
      <c r="B883" s="47" t="s">
        <v>1017</v>
      </c>
      <c r="C883" s="48">
        <f>IFERROR(DIVIDE(VLOOKUP($B883,Data!$B$3:$AB$1535,9,FALSE),VLOOKUP($B883,Data!$B$3:$AB$1535,4,FALSE)),"")</f>
        <v>0.1755308642</v>
      </c>
      <c r="D883" s="48">
        <f>IFERROR(DIVIDE(VLOOKUP($B883,Data!$B$3:$AB$1535,24,FALSE),VLOOKUP($B883,Data!$B$3:$AB$1535,4,FALSE)),"")</f>
        <v>0.07412962963</v>
      </c>
      <c r="E883" s="48">
        <f>IFERROR(DIVIDE(VLOOKUP($B883,Data!$B$3:$EZ1530,29,FALSE),VLOOKUP($B883,Data!$B$3:$EZ1530,4,FALSE)),"")</f>
        <v>0.09413271605</v>
      </c>
      <c r="F883" s="48">
        <f>IFERROR(DIVIDE(VLOOKUP($B883,Data!$B$3:$EZ1530,34,FALSE),VLOOKUP($B883,Data!$B$3:$EZ1530,4,FALSE)),"")</f>
        <v>0.07771296296</v>
      </c>
      <c r="G883" s="48">
        <f>IFERROR(DIVIDE(VLOOKUP($B883,Data!$B$3:$EZ1530,39,FALSE),VLOOKUP($B883,Data!$B$3:$EZ1530,4,FALSE)),"")</f>
        <v>0.07309567901</v>
      </c>
      <c r="H883" s="48">
        <f>IFERROR(DIVIDE(VLOOKUP($B883,Data!$B$3:$EZ1530,44,FALSE),VLOOKUP($B883,Data!$B$3:$EZ1530,4,FALSE)),"")</f>
        <v>0.01784876543</v>
      </c>
      <c r="I883" s="48">
        <f>IFERROR(MINUS(DIVIDE(VLOOKUP($B883,Data!$B$3:$EZ1530,9,FALSE),VLOOKUP($B883,Data!$B$3:$EZ1530,10,FALSE)),1),"")</f>
        <v>0.07808086744</v>
      </c>
      <c r="J883" s="48">
        <f>IFERROR(MINUS(DIVIDE(VLOOKUP($B883,Data!$B$3:$EZ1530,24,FALSE),VLOOKUP($B883,Data!$B$3:$EZ1530,25,FALSE)),1),"")</f>
        <v>0.117740134</v>
      </c>
      <c r="K883" s="48">
        <f>IFERROR(MINUS(DIVIDE(VLOOKUP($B883,Data!$B$3:$EZ1530,29,FALSE),VLOOKUP($B883,Data!$B$3:$EZ1530,30,FALSE)),1),"")</f>
        <v>0.1559219253</v>
      </c>
      <c r="L883" s="48">
        <f>IFERROR(MINUS(DIVIDE(VLOOKUP($B883,Data!$B$3:$EZ1530,34,FALSE),VLOOKUP($B883,Data!$B$3:$EZ1530,35,FALSE)),1),"")</f>
        <v>0.05109580463</v>
      </c>
      <c r="M883" s="48">
        <f>IFERROR(MINUS(DIVIDE(VLOOKUP($B883,Data!$B$3:$EZ1530,39,FALSE),VLOOKUP($B883,Data!$B$3:$EZ1530,40,FALSE)),1),"")</f>
        <v>0.1303455517</v>
      </c>
      <c r="N883" s="48">
        <f>IFERROR(MINUS(DIVIDE(VLOOKUP($B883,Data!$B$3:$EZ1530,44,FALSE),VLOOKUP($B883,Data!$B$3:$EZ1530,45,FALSE)),1),"")</f>
        <v>-8.310998736</v>
      </c>
      <c r="O883" s="50">
        <f>IFERROR(VLOOKUP($B883,Data!$B$3:$D1530,2,FALSE),"")</f>
        <v>3590000</v>
      </c>
      <c r="P883" s="50">
        <f>IFERROR(VLOOKUP($B883,Data!$B$3:$D1530,3,FALSE),"")</f>
        <v>3390000</v>
      </c>
      <c r="Q883" s="48">
        <f t="shared" si="2"/>
        <v>0.05899705015</v>
      </c>
      <c r="R883" s="48"/>
      <c r="S883" s="48"/>
      <c r="T883" s="48"/>
      <c r="U883" s="48"/>
      <c r="V883" s="48"/>
      <c r="W883" s="50"/>
      <c r="Z883" s="12"/>
      <c r="AA883" s="12"/>
    </row>
    <row r="884">
      <c r="A884" s="9">
        <f t="shared" si="1"/>
        <v>881</v>
      </c>
      <c r="B884" s="47" t="s">
        <v>1018</v>
      </c>
      <c r="C884" s="48" t="str">
        <f>IFERROR(DIVIDE(VLOOKUP($B884,Data!$B$3:$AB$1535,9,FALSE),VLOOKUP($B884,Data!$B$3:$AB$1535,4,FALSE)),"")</f>
        <v/>
      </c>
      <c r="D884" s="48" t="str">
        <f>IFERROR(DIVIDE(VLOOKUP($B884,Data!$B$3:$AB$1535,24,FALSE),VLOOKUP($B884,Data!$B$3:$AB$1535,4,FALSE)),"")</f>
        <v/>
      </c>
      <c r="E884" s="48" t="str">
        <f>IFERROR(DIVIDE(VLOOKUP($B884,Data!$B$3:$EZ1530,29,FALSE),VLOOKUP($B884,Data!$B$3:$EZ1530,4,FALSE)),"")</f>
        <v/>
      </c>
      <c r="F884" s="48" t="str">
        <f>IFERROR(DIVIDE(VLOOKUP($B884,Data!$B$3:$EZ1530,34,FALSE),VLOOKUP($B884,Data!$B$3:$EZ1530,4,FALSE)),"")</f>
        <v/>
      </c>
      <c r="G884" s="48" t="str">
        <f>IFERROR(DIVIDE(VLOOKUP($B884,Data!$B$3:$EZ1530,39,FALSE),VLOOKUP($B884,Data!$B$3:$EZ1530,4,FALSE)),"")</f>
        <v/>
      </c>
      <c r="H884" s="48" t="str">
        <f>IFERROR(DIVIDE(VLOOKUP($B884,Data!$B$3:$EZ1530,44,FALSE),VLOOKUP($B884,Data!$B$3:$EZ1530,4,FALSE)),"")</f>
        <v/>
      </c>
      <c r="I884" s="48">
        <f>IFERROR(MINUS(DIVIDE(VLOOKUP($B884,Data!$B$3:$EZ1530,9,FALSE),VLOOKUP($B884,Data!$B$3:$EZ1530,10,FALSE)),1),"")</f>
        <v>0.1666666667</v>
      </c>
      <c r="J884" s="48">
        <f>IFERROR(MINUS(DIVIDE(VLOOKUP($B884,Data!$B$3:$EZ1530,24,FALSE),VLOOKUP($B884,Data!$B$3:$EZ1530,25,FALSE)),1),"")</f>
        <v>-1</v>
      </c>
      <c r="K884" s="48">
        <f>IFERROR(MINUS(DIVIDE(VLOOKUP($B884,Data!$B$3:$EZ1530,29,FALSE),VLOOKUP($B884,Data!$B$3:$EZ1530,30,FALSE)),1),"")</f>
        <v>1.558671137</v>
      </c>
      <c r="L884" s="48">
        <f>IFERROR(MINUS(DIVIDE(VLOOKUP($B884,Data!$B$3:$EZ1530,34,FALSE),VLOOKUP($B884,Data!$B$3:$EZ1530,35,FALSE)),1),"")</f>
        <v>1.350346878</v>
      </c>
      <c r="M884" s="48">
        <f>IFERROR(MINUS(DIVIDE(VLOOKUP($B884,Data!$B$3:$EZ1530,39,FALSE),VLOOKUP($B884,Data!$B$3:$EZ1530,40,FALSE)),1),"")</f>
        <v>1.558671137</v>
      </c>
      <c r="N884" s="48">
        <f>IFERROR(MINUS(DIVIDE(VLOOKUP($B884,Data!$B$3:$EZ1530,44,FALSE),VLOOKUP($B884,Data!$B$3:$EZ1530,45,FALSE)),1),"")</f>
        <v>0.6315170521</v>
      </c>
      <c r="O884" s="50" t="str">
        <f>IFERROR(VLOOKUP($B884,Data!$B$3:$D1530,2,FALSE),"")</f>
        <v/>
      </c>
      <c r="P884" s="50" t="str">
        <f>IFERROR(VLOOKUP($B884,Data!$B$3:$D1530,3,FALSE),"")</f>
        <v/>
      </c>
      <c r="Q884" s="48" t="str">
        <f t="shared" si="2"/>
        <v/>
      </c>
      <c r="R884" s="48"/>
      <c r="S884" s="48"/>
      <c r="T884" s="48"/>
      <c r="U884" s="48"/>
      <c r="V884" s="48"/>
      <c r="W884" s="50"/>
      <c r="Z884" s="11"/>
      <c r="AA884" s="11"/>
    </row>
    <row r="885">
      <c r="A885" s="9">
        <f t="shared" si="1"/>
        <v>882</v>
      </c>
      <c r="B885" s="47" t="s">
        <v>1019</v>
      </c>
      <c r="C885" s="48">
        <f>IFERROR(DIVIDE(VLOOKUP($B885,Data!$B$3:$AB$1535,9,FALSE),VLOOKUP($B885,Data!$B$3:$AB$1535,4,FALSE)),"")</f>
        <v>0.3896405102</v>
      </c>
      <c r="D885" s="48">
        <f>IFERROR(DIVIDE(VLOOKUP($B885,Data!$B$3:$AB$1535,24,FALSE),VLOOKUP($B885,Data!$B$3:$AB$1535,4,FALSE)),"")</f>
        <v>0.1515268651</v>
      </c>
      <c r="E885" s="48">
        <f>IFERROR(DIVIDE(VLOOKUP($B885,Data!$B$3:$EZ1530,29,FALSE),VLOOKUP($B885,Data!$B$3:$EZ1530,4,FALSE)),"")</f>
        <v>0.1333591032</v>
      </c>
      <c r="F885" s="48">
        <f>IFERROR(DIVIDE(VLOOKUP($B885,Data!$B$3:$EZ1530,34,FALSE),VLOOKUP($B885,Data!$B$3:$EZ1530,4,FALSE)),"")</f>
        <v>0.203710862</v>
      </c>
      <c r="G885" s="48">
        <f>IFERROR(DIVIDE(VLOOKUP($B885,Data!$B$3:$EZ1530,39,FALSE),VLOOKUP($B885,Data!$B$3:$EZ1530,4,FALSE)),"")</f>
        <v>0.1495941245</v>
      </c>
      <c r="H885" s="48">
        <f>IFERROR(DIVIDE(VLOOKUP($B885,Data!$B$3:$EZ1530,44,FALSE),VLOOKUP($B885,Data!$B$3:$EZ1530,4,FALSE)),"")</f>
        <v>0.1534596057</v>
      </c>
      <c r="I885" s="48">
        <f>IFERROR(MINUS(DIVIDE(VLOOKUP($B885,Data!$B$3:$EZ1530,9,FALSE),VLOOKUP($B885,Data!$B$3:$EZ1530,10,FALSE)),1),"")</f>
        <v>0.004985044865</v>
      </c>
      <c r="J885" s="48">
        <f>IFERROR(MINUS(DIVIDE(VLOOKUP($B885,Data!$B$3:$EZ1530,24,FALSE),VLOOKUP($B885,Data!$B$3:$EZ1530,25,FALSE)),1),"")</f>
        <v>-0.03209876543</v>
      </c>
      <c r="K885" s="48">
        <f>IFERROR(MINUS(DIVIDE(VLOOKUP($B885,Data!$B$3:$EZ1530,29,FALSE),VLOOKUP($B885,Data!$B$3:$EZ1530,30,FALSE)),1),"")</f>
        <v>-0.04696132597</v>
      </c>
      <c r="L885" s="48">
        <f>IFERROR(MINUS(DIVIDE(VLOOKUP($B885,Data!$B$3:$EZ1530,34,FALSE),VLOOKUP($B885,Data!$B$3:$EZ1530,35,FALSE)),1),"")</f>
        <v>0.1236673774</v>
      </c>
      <c r="M885" s="48">
        <f>IFERROR(MINUS(DIVIDE(VLOOKUP($B885,Data!$B$3:$EZ1530,39,FALSE),VLOOKUP($B885,Data!$B$3:$EZ1530,40,FALSE)),1),"")</f>
        <v>0.1449704142</v>
      </c>
      <c r="N885" s="48">
        <f>IFERROR(MINUS(DIVIDE(VLOOKUP($B885,Data!$B$3:$EZ1530,44,FALSE),VLOOKUP($B885,Data!$B$3:$EZ1530,45,FALSE)),1),"")</f>
        <v>0.005063291139</v>
      </c>
      <c r="O885" s="50">
        <f>IFERROR(VLOOKUP($B885,Data!$B$3:$D1530,2,FALSE),"")</f>
        <v>27120000</v>
      </c>
      <c r="P885" s="50">
        <f>IFERROR(VLOOKUP($B885,Data!$B$3:$D1530,3,FALSE),"")</f>
        <v>26210000</v>
      </c>
      <c r="Q885" s="48">
        <f t="shared" si="2"/>
        <v>0.03471957268</v>
      </c>
      <c r="R885" s="48"/>
      <c r="S885" s="48"/>
      <c r="T885" s="48"/>
      <c r="U885" s="48"/>
      <c r="V885" s="48"/>
      <c r="W885" s="50"/>
      <c r="Z885" s="11"/>
      <c r="AA885" s="11"/>
    </row>
    <row r="886">
      <c r="A886" s="9">
        <f t="shared" si="1"/>
        <v>883</v>
      </c>
      <c r="B886" s="47" t="s">
        <v>1020</v>
      </c>
      <c r="C886" s="48">
        <f>IFERROR(DIVIDE(VLOOKUP($B886,Data!$B$3:$AB$1535,9,FALSE),VLOOKUP($B886,Data!$B$3:$AB$1535,4,FALSE)),"")</f>
        <v>0.3877062147</v>
      </c>
      <c r="D886" s="48">
        <f>IFERROR(DIVIDE(VLOOKUP($B886,Data!$B$3:$AB$1535,24,FALSE),VLOOKUP($B886,Data!$B$3:$AB$1535,4,FALSE)),"")</f>
        <v>0</v>
      </c>
      <c r="E886" s="48">
        <f>IFERROR(DIVIDE(VLOOKUP($B886,Data!$B$3:$EZ1530,29,FALSE),VLOOKUP($B886,Data!$B$3:$EZ1530,4,FALSE)),"")</f>
        <v>0</v>
      </c>
      <c r="F886" s="48">
        <f>IFERROR(DIVIDE(VLOOKUP($B886,Data!$B$3:$EZ1530,34,FALSE),VLOOKUP($B886,Data!$B$3:$EZ1530,4,FALSE)),"")</f>
        <v>0.1345254237</v>
      </c>
      <c r="G886" s="48">
        <f>IFERROR(DIVIDE(VLOOKUP($B886,Data!$B$3:$EZ1530,39,FALSE),VLOOKUP($B886,Data!$B$3:$EZ1530,4,FALSE)),"")</f>
        <v>0</v>
      </c>
      <c r="H886" s="48">
        <f>IFERROR(DIVIDE(VLOOKUP($B886,Data!$B$3:$EZ1530,44,FALSE),VLOOKUP($B886,Data!$B$3:$EZ1530,4,FALSE)),"")</f>
        <v>0.03988700565</v>
      </c>
      <c r="I886" s="48">
        <f>IFERROR(MINUS(DIVIDE(VLOOKUP($B886,Data!$B$3:$EZ1530,9,FALSE),VLOOKUP($B886,Data!$B$3:$EZ1530,10,FALSE)),1),"")</f>
        <v>-0.01655225784</v>
      </c>
      <c r="J886" s="48" t="str">
        <f>IFERROR(MINUS(DIVIDE(VLOOKUP($B886,Data!$B$3:$EZ1530,24,FALSE),VLOOKUP($B886,Data!$B$3:$EZ1530,25,FALSE)),1),"")</f>
        <v/>
      </c>
      <c r="K886" s="48">
        <f>IFERROR(MINUS(DIVIDE(VLOOKUP($B886,Data!$B$3:$EZ1530,29,FALSE),VLOOKUP($B886,Data!$B$3:$EZ1530,30,FALSE)),1),"")</f>
        <v>-1</v>
      </c>
      <c r="L886" s="48">
        <f>IFERROR(MINUS(DIVIDE(VLOOKUP($B886,Data!$B$3:$EZ1530,34,FALSE),VLOOKUP($B886,Data!$B$3:$EZ1530,35,FALSE)),1),"")</f>
        <v>0.3875065556</v>
      </c>
      <c r="M886" s="48" t="str">
        <f>IFERROR(MINUS(DIVIDE(VLOOKUP($B886,Data!$B$3:$EZ1530,39,FALSE),VLOOKUP($B886,Data!$B$3:$EZ1530,40,FALSE)),1),"")</f>
        <v/>
      </c>
      <c r="N886" s="48">
        <f>IFERROR(MINUS(DIVIDE(VLOOKUP($B886,Data!$B$3:$EZ1530,44,FALSE),VLOOKUP($B886,Data!$B$3:$EZ1530,45,FALSE)),1),"")</f>
        <v>0.03991751362</v>
      </c>
      <c r="O886" s="50">
        <f>IFERROR(VLOOKUP($B886,Data!$B$3:$D1530,2,FALSE),"")</f>
        <v>1750000</v>
      </c>
      <c r="P886" s="50">
        <f>IFERROR(VLOOKUP($B886,Data!$B$3:$D1530,3,FALSE),"")</f>
        <v>1690000</v>
      </c>
      <c r="Q886" s="48">
        <f t="shared" si="2"/>
        <v>0.03550295858</v>
      </c>
      <c r="R886" s="48"/>
      <c r="S886" s="48"/>
      <c r="T886" s="48"/>
      <c r="U886" s="48"/>
      <c r="V886" s="48"/>
      <c r="W886" s="50"/>
      <c r="Z886" s="12"/>
      <c r="AA886" s="12"/>
    </row>
    <row r="887">
      <c r="A887" s="9">
        <f t="shared" si="1"/>
        <v>884</v>
      </c>
      <c r="B887" s="47" t="s">
        <v>1021</v>
      </c>
      <c r="C887" s="48">
        <f>IFERROR(DIVIDE(VLOOKUP($B887,Data!$B$3:$AB$1535,9,FALSE),VLOOKUP($B887,Data!$B$3:$AB$1535,4,FALSE)),"")</f>
        <v>0.6188170183</v>
      </c>
      <c r="D887" s="48">
        <f>IFERROR(DIVIDE(VLOOKUP($B887,Data!$B$3:$AB$1535,24,FALSE),VLOOKUP($B887,Data!$B$3:$AB$1535,4,FALSE)),"")</f>
        <v>0.1653407126</v>
      </c>
      <c r="E887" s="48">
        <f>IFERROR(DIVIDE(VLOOKUP($B887,Data!$B$3:$EZ1530,29,FALSE),VLOOKUP($B887,Data!$B$3:$EZ1530,4,FALSE)),"")</f>
        <v>0.1404358354</v>
      </c>
      <c r="F887" s="48">
        <f>IFERROR(DIVIDE(VLOOKUP($B887,Data!$B$3:$EZ1530,34,FALSE),VLOOKUP($B887,Data!$B$3:$EZ1530,4,FALSE)),"")</f>
        <v>0.2864060879</v>
      </c>
      <c r="G887" s="48">
        <f>IFERROR(DIVIDE(VLOOKUP($B887,Data!$B$3:$EZ1530,39,FALSE),VLOOKUP($B887,Data!$B$3:$EZ1530,4,FALSE)),"")</f>
        <v>0.1656866136</v>
      </c>
      <c r="H887" s="48">
        <f>IFERROR(DIVIDE(VLOOKUP($B887,Data!$B$3:$EZ1530,44,FALSE),VLOOKUP($B887,Data!$B$3:$EZ1530,4,FALSE)),"")</f>
        <v>0.2500864753</v>
      </c>
      <c r="I887" s="48">
        <f>IFERROR(MINUS(DIVIDE(VLOOKUP($B887,Data!$B$3:$EZ1530,9,FALSE),VLOOKUP($B887,Data!$B$3:$EZ1530,10,FALSE)),1),"")</f>
        <v>-0.09325899645</v>
      </c>
      <c r="J887" s="48">
        <f>IFERROR(MINUS(DIVIDE(VLOOKUP($B887,Data!$B$3:$EZ1530,24,FALSE),VLOOKUP($B887,Data!$B$3:$EZ1530,25,FALSE)),1),"")</f>
        <v>-0.2424722662</v>
      </c>
      <c r="K887" s="48">
        <f>IFERROR(MINUS(DIVIDE(VLOOKUP($B887,Data!$B$3:$EZ1530,29,FALSE),VLOOKUP($B887,Data!$B$3:$EZ1530,30,FALSE)),1),"")</f>
        <v>-0.2192307692</v>
      </c>
      <c r="L887" s="48">
        <f>IFERROR(MINUS(DIVIDE(VLOOKUP($B887,Data!$B$3:$EZ1530,34,FALSE),VLOOKUP($B887,Data!$B$3:$EZ1530,35,FALSE)),1),"")</f>
        <v>-0.1516393443</v>
      </c>
      <c r="M887" s="48">
        <f>IFERROR(MINUS(DIVIDE(VLOOKUP($B887,Data!$B$3:$EZ1530,39,FALSE),VLOOKUP($B887,Data!$B$3:$EZ1530,40,FALSE)),1),"")</f>
        <v>0.03455723542</v>
      </c>
      <c r="N887" s="48">
        <f>IFERROR(MINUS(DIVIDE(VLOOKUP($B887,Data!$B$3:$EZ1530,44,FALSE),VLOOKUP($B887,Data!$B$3:$EZ1530,45,FALSE)),1),"")</f>
        <v>0.03138373752</v>
      </c>
      <c r="O887" s="50">
        <f>IFERROR(VLOOKUP($B887,Data!$B$3:$D1530,2,FALSE),"")</f>
        <v>31540000</v>
      </c>
      <c r="P887" s="50">
        <f>IFERROR(VLOOKUP($B887,Data!$B$3:$D1530,3,FALSE),"")</f>
        <v>27820000</v>
      </c>
      <c r="Q887" s="48">
        <f t="shared" si="2"/>
        <v>0.1337167505</v>
      </c>
      <c r="R887" s="48"/>
      <c r="S887" s="48"/>
      <c r="T887" s="48"/>
      <c r="U887" s="48"/>
      <c r="V887" s="48"/>
      <c r="W887" s="50"/>
      <c r="Z887" s="15"/>
      <c r="AA887" s="15"/>
    </row>
    <row r="888">
      <c r="A888" s="9">
        <f t="shared" si="1"/>
        <v>885</v>
      </c>
      <c r="B888" s="47" t="s">
        <v>1022</v>
      </c>
      <c r="C888" s="48">
        <f>IFERROR(DIVIDE(VLOOKUP($B888,Data!$B$3:$AB$1535,9,FALSE),VLOOKUP($B888,Data!$B$3:$AB$1535,4,FALSE)),"")</f>
        <v>0.1268464419</v>
      </c>
      <c r="D888" s="48">
        <f>IFERROR(DIVIDE(VLOOKUP($B888,Data!$B$3:$AB$1535,24,FALSE),VLOOKUP($B888,Data!$B$3:$AB$1535,4,FALSE)),"")</f>
        <v>0.09258801498</v>
      </c>
      <c r="E888" s="48">
        <f>IFERROR(DIVIDE(VLOOKUP($B888,Data!$B$3:$EZ1530,29,FALSE),VLOOKUP($B888,Data!$B$3:$EZ1530,4,FALSE)),"")</f>
        <v>0.07461610487</v>
      </c>
      <c r="F888" s="48">
        <f>IFERROR(DIVIDE(VLOOKUP($B888,Data!$B$3:$EZ1530,34,FALSE),VLOOKUP($B888,Data!$B$3:$EZ1530,4,FALSE)),"")</f>
        <v>0.1380599251</v>
      </c>
      <c r="G888" s="48">
        <f>IFERROR(DIVIDE(VLOOKUP($B888,Data!$B$3:$EZ1530,39,FALSE),VLOOKUP($B888,Data!$B$3:$EZ1530,4,FALSE)),"")</f>
        <v>0.0627659176</v>
      </c>
      <c r="H888" s="48">
        <f>IFERROR(DIVIDE(VLOOKUP($B888,Data!$B$3:$EZ1530,44,FALSE),VLOOKUP($B888,Data!$B$3:$EZ1530,4,FALSE)),"")</f>
        <v>0.1015505618</v>
      </c>
      <c r="I888" s="48">
        <f>IFERROR(MINUS(DIVIDE(VLOOKUP($B888,Data!$B$3:$EZ1530,9,FALSE),VLOOKUP($B888,Data!$B$3:$EZ1530,10,FALSE)),1),"")</f>
        <v>0.1648695592</v>
      </c>
      <c r="J888" s="48">
        <f>IFERROR(MINUS(DIVIDE(VLOOKUP($B888,Data!$B$3:$EZ1530,24,FALSE),VLOOKUP($B888,Data!$B$3:$EZ1530,25,FALSE)),1),"")</f>
        <v>0.2307577417</v>
      </c>
      <c r="K888" s="48">
        <f>IFERROR(MINUS(DIVIDE(VLOOKUP($B888,Data!$B$3:$EZ1530,29,FALSE),VLOOKUP($B888,Data!$B$3:$EZ1530,30,FALSE)),1),"")</f>
        <v>0.2574557389</v>
      </c>
      <c r="L888" s="48">
        <f>IFERROR(MINUS(DIVIDE(VLOOKUP($B888,Data!$B$3:$EZ1530,34,FALSE),VLOOKUP($B888,Data!$B$3:$EZ1530,35,FALSE)),1),"")</f>
        <v>0.1785845603</v>
      </c>
      <c r="M888" s="48">
        <f>IFERROR(MINUS(DIVIDE(VLOOKUP($B888,Data!$B$3:$EZ1530,39,FALSE),VLOOKUP($B888,Data!$B$3:$EZ1530,40,FALSE)),1),"")</f>
        <v>0.2441812985</v>
      </c>
      <c r="N888" s="48">
        <f>IFERROR(MINUS(DIVIDE(VLOOKUP($B888,Data!$B$3:$EZ1530,44,FALSE),VLOOKUP($B888,Data!$B$3:$EZ1530,45,FALSE)),1),"")</f>
        <v>0.08482035689</v>
      </c>
      <c r="O888" s="50">
        <f>IFERROR(VLOOKUP($B888,Data!$B$3:$D1530,2,FALSE),"")</f>
        <v>5690000</v>
      </c>
      <c r="P888" s="50">
        <f>IFERROR(VLOOKUP($B888,Data!$B$3:$D1530,3,FALSE),"")</f>
        <v>5440000</v>
      </c>
      <c r="Q888" s="48">
        <f t="shared" si="2"/>
        <v>0.04595588235</v>
      </c>
      <c r="R888" s="48"/>
      <c r="S888" s="48"/>
      <c r="T888" s="48"/>
      <c r="U888" s="48"/>
      <c r="V888" s="48"/>
      <c r="W888" s="50"/>
      <c r="Z888" s="11"/>
      <c r="AA888" s="11"/>
    </row>
    <row r="889">
      <c r="A889" s="9">
        <f t="shared" si="1"/>
        <v>886</v>
      </c>
      <c r="B889" s="47" t="s">
        <v>1023</v>
      </c>
      <c r="C889" s="48">
        <f>IFERROR(DIVIDE(VLOOKUP($B889,Data!$B$3:$AB$1535,9,FALSE),VLOOKUP($B889,Data!$B$3:$AB$1535,4,FALSE)),"")</f>
        <v>0.2584410607</v>
      </c>
      <c r="D889" s="48">
        <f>IFERROR(DIVIDE(VLOOKUP($B889,Data!$B$3:$AB$1535,24,FALSE),VLOOKUP($B889,Data!$B$3:$AB$1535,4,FALSE)),"")</f>
        <v>0</v>
      </c>
      <c r="E889" s="48">
        <f>IFERROR(DIVIDE(VLOOKUP($B889,Data!$B$3:$EZ1530,29,FALSE),VLOOKUP($B889,Data!$B$3:$EZ1530,4,FALSE)),"")</f>
        <v>0.1449876302</v>
      </c>
      <c r="F889" s="48">
        <f>IFERROR(DIVIDE(VLOOKUP($B889,Data!$B$3:$EZ1530,34,FALSE),VLOOKUP($B889,Data!$B$3:$EZ1530,4,FALSE)),"")</f>
        <v>0.1747447646</v>
      </c>
      <c r="G889" s="48">
        <f>IFERROR(DIVIDE(VLOOKUP($B889,Data!$B$3:$EZ1530,39,FALSE),VLOOKUP($B889,Data!$B$3:$EZ1530,4,FALSE)),"")</f>
        <v>0.1163339025</v>
      </c>
      <c r="H889" s="48">
        <f>IFERROR(DIVIDE(VLOOKUP($B889,Data!$B$3:$EZ1530,44,FALSE),VLOOKUP($B889,Data!$B$3:$EZ1530,4,FALSE)),"")</f>
        <v>0.2449562703</v>
      </c>
      <c r="I889" s="48">
        <f>IFERROR(MINUS(DIVIDE(VLOOKUP($B889,Data!$B$3:$EZ1530,9,FALSE),VLOOKUP($B889,Data!$B$3:$EZ1530,10,FALSE)),1),"")</f>
        <v>0.2590392124</v>
      </c>
      <c r="J889" s="48" t="str">
        <f>IFERROR(MINUS(DIVIDE(VLOOKUP($B889,Data!$B$3:$EZ1530,24,FALSE),VLOOKUP($B889,Data!$B$3:$EZ1530,25,FALSE)),1),"")</f>
        <v/>
      </c>
      <c r="K889" s="48">
        <f>IFERROR(MINUS(DIVIDE(VLOOKUP($B889,Data!$B$3:$EZ1530,29,FALSE),VLOOKUP($B889,Data!$B$3:$EZ1530,30,FALSE)),1),"")</f>
        <v>0.328685471</v>
      </c>
      <c r="L889" s="48">
        <f>IFERROR(MINUS(DIVIDE(VLOOKUP($B889,Data!$B$3:$EZ1530,34,FALSE),VLOOKUP($B889,Data!$B$3:$EZ1530,35,FALSE)),1),"")</f>
        <v>0.07579549517</v>
      </c>
      <c r="M889" s="48">
        <f>IFERROR(MINUS(DIVIDE(VLOOKUP($B889,Data!$B$3:$EZ1530,39,FALSE),VLOOKUP($B889,Data!$B$3:$EZ1530,40,FALSE)),1),"")</f>
        <v>0.3741253944</v>
      </c>
      <c r="N889" s="48">
        <f>IFERROR(MINUS(DIVIDE(VLOOKUP($B889,Data!$B$3:$EZ1530,44,FALSE),VLOOKUP($B889,Data!$B$3:$EZ1530,45,FALSE)),1),"")</f>
        <v>0.3469153149</v>
      </c>
      <c r="O889" s="50">
        <f>IFERROR(VLOOKUP($B889,Data!$B$3:$D1530,2,FALSE),"")</f>
        <v>1110000</v>
      </c>
      <c r="P889" s="50">
        <f>IFERROR(VLOOKUP($B889,Data!$B$3:$D1530,3,FALSE),"")</f>
        <v>903500</v>
      </c>
      <c r="Q889" s="48">
        <f t="shared" si="2"/>
        <v>0.228555617</v>
      </c>
      <c r="R889" s="48"/>
      <c r="S889" s="48"/>
      <c r="T889" s="48"/>
      <c r="U889" s="48"/>
      <c r="V889" s="48"/>
      <c r="W889" s="50"/>
      <c r="Z889" s="11"/>
      <c r="AA889" s="11"/>
    </row>
    <row r="890">
      <c r="A890" s="9">
        <f t="shared" si="1"/>
        <v>887</v>
      </c>
      <c r="B890" s="47" t="s">
        <v>1024</v>
      </c>
      <c r="C890" s="48">
        <f>IFERROR(DIVIDE(VLOOKUP($B890,Data!$B$3:$AB$1535,9,FALSE),VLOOKUP($B890,Data!$B$3:$AB$1535,4,FALSE)),"")</f>
        <v>0.1325203252</v>
      </c>
      <c r="D890" s="48">
        <f>IFERROR(DIVIDE(VLOOKUP($B890,Data!$B$3:$AB$1535,24,FALSE),VLOOKUP($B890,Data!$B$3:$AB$1535,4,FALSE)),"")</f>
        <v>-3.782520325</v>
      </c>
      <c r="E890" s="48">
        <f>IFERROR(DIVIDE(VLOOKUP($B890,Data!$B$3:$EZ1530,29,FALSE),VLOOKUP($B890,Data!$B$3:$EZ1530,4,FALSE)),"")</f>
        <v>-3.418699187</v>
      </c>
      <c r="F890" s="48">
        <f>IFERROR(DIVIDE(VLOOKUP($B890,Data!$B$3:$EZ1530,34,FALSE),VLOOKUP($B890,Data!$B$3:$EZ1530,4,FALSE)),"")</f>
        <v>-9.384146341</v>
      </c>
      <c r="G890" s="48">
        <f>IFERROR(DIVIDE(VLOOKUP($B890,Data!$B$3:$EZ1530,39,FALSE),VLOOKUP($B890,Data!$B$3:$EZ1530,4,FALSE)),"")</f>
        <v>-3.418699187</v>
      </c>
      <c r="H890" s="48">
        <f>IFERROR(DIVIDE(VLOOKUP($B890,Data!$B$3:$EZ1530,44,FALSE),VLOOKUP($B890,Data!$B$3:$EZ1530,4,FALSE)),"")</f>
        <v>-5.979674797</v>
      </c>
      <c r="I890" s="48">
        <f>IFERROR(MINUS(DIVIDE(VLOOKUP($B890,Data!$B$3:$EZ1530,9,FALSE),VLOOKUP($B890,Data!$B$3:$EZ1530,10,FALSE)),1),"")</f>
        <v>-1.370454545</v>
      </c>
      <c r="J890" s="48">
        <f>IFERROR(MINUS(DIVIDE(VLOOKUP($B890,Data!$B$3:$EZ1530,24,FALSE),VLOOKUP($B890,Data!$B$3:$EZ1530,25,FALSE)),1),"")</f>
        <v>-0.5139723165</v>
      </c>
      <c r="K890" s="48">
        <f>IFERROR(MINUS(DIVIDE(VLOOKUP($B890,Data!$B$3:$EZ1530,29,FALSE),VLOOKUP($B890,Data!$B$3:$EZ1530,30,FALSE)),1),"")</f>
        <v>-0.5802345895</v>
      </c>
      <c r="L890" s="48">
        <f>IFERROR(MINUS(DIVIDE(VLOOKUP($B890,Data!$B$3:$EZ1530,34,FALSE),VLOOKUP($B890,Data!$B$3:$EZ1530,35,FALSE)),1),"")</f>
        <v>0.61829653</v>
      </c>
      <c r="M890" s="48">
        <f>IFERROR(MINUS(DIVIDE(VLOOKUP($B890,Data!$B$3:$EZ1530,39,FALSE),VLOOKUP($B890,Data!$B$3:$EZ1530,40,FALSE)),1),"")</f>
        <v>-0.5802345895</v>
      </c>
      <c r="N890" s="48">
        <f>IFERROR(MINUS(DIVIDE(VLOOKUP($B890,Data!$B$3:$EZ1530,44,FALSE),VLOOKUP($B890,Data!$B$3:$EZ1530,45,FALSE)),1),"")</f>
        <v>0.3812206573</v>
      </c>
      <c r="O890" s="50">
        <f>IFERROR(VLOOKUP($B890,Data!$B$3:$D1530,2,FALSE),"")</f>
        <v>21510</v>
      </c>
      <c r="P890" s="50">
        <f>IFERROR(VLOOKUP($B890,Data!$B$3:$D1530,3,FALSE),"")</f>
        <v>48420</v>
      </c>
      <c r="Q890" s="48">
        <f t="shared" si="2"/>
        <v>-0.5557620818</v>
      </c>
      <c r="R890" s="48"/>
      <c r="S890" s="48"/>
      <c r="T890" s="48"/>
      <c r="U890" s="48"/>
      <c r="V890" s="48"/>
      <c r="W890" s="50"/>
      <c r="Z890" s="11"/>
      <c r="AA890" s="11"/>
    </row>
    <row r="891">
      <c r="A891" s="9">
        <f t="shared" si="1"/>
        <v>888</v>
      </c>
      <c r="B891" s="47" t="s">
        <v>1025</v>
      </c>
      <c r="C891" s="48">
        <f>IFERROR(DIVIDE(VLOOKUP($B891,Data!$B$3:$AB$1535,9,FALSE),VLOOKUP($B891,Data!$B$3:$AB$1535,4,FALSE)),"")</f>
        <v>0.2166422018</v>
      </c>
      <c r="D891" s="48">
        <f>IFERROR(DIVIDE(VLOOKUP($B891,Data!$B$3:$AB$1535,24,FALSE),VLOOKUP($B891,Data!$B$3:$AB$1535,4,FALSE)),"")</f>
        <v>0.05740825688</v>
      </c>
      <c r="E891" s="48">
        <f>IFERROR(DIVIDE(VLOOKUP($B891,Data!$B$3:$EZ1530,29,FALSE),VLOOKUP($B891,Data!$B$3:$EZ1530,4,FALSE)),"")</f>
        <v>0.02088302752</v>
      </c>
      <c r="F891" s="48">
        <f>IFERROR(DIVIDE(VLOOKUP($B891,Data!$B$3:$EZ1530,34,FALSE),VLOOKUP($B891,Data!$B$3:$EZ1530,4,FALSE)),"")</f>
        <v>0.1471697248</v>
      </c>
      <c r="G891" s="48">
        <f>IFERROR(DIVIDE(VLOOKUP($B891,Data!$B$3:$EZ1530,39,FALSE),VLOOKUP($B891,Data!$B$3:$EZ1530,4,FALSE)),"")</f>
        <v>0.02671100917</v>
      </c>
      <c r="H891" s="48">
        <f>IFERROR(DIVIDE(VLOOKUP($B891,Data!$B$3:$EZ1530,44,FALSE),VLOOKUP($B891,Data!$B$3:$EZ1530,4,FALSE)),"")</f>
        <v>0.1217798165</v>
      </c>
      <c r="I891" s="48">
        <f>IFERROR(MINUS(DIVIDE(VLOOKUP($B891,Data!$B$3:$EZ1530,9,FALSE),VLOOKUP($B891,Data!$B$3:$EZ1530,10,FALSE)),1),"")</f>
        <v>-0.4602514286</v>
      </c>
      <c r="J891" s="48" t="str">
        <f>IFERROR(MINUS(DIVIDE(VLOOKUP($B891,Data!$B$3:$EZ1530,24,FALSE),VLOOKUP($B891,Data!$B$3:$EZ1530,25,FALSE)),1),"")</f>
        <v/>
      </c>
      <c r="K891" s="48">
        <f>IFERROR(MINUS(DIVIDE(VLOOKUP($B891,Data!$B$3:$EZ1530,29,FALSE),VLOOKUP($B891,Data!$B$3:$EZ1530,30,FALSE)),1),"")</f>
        <v>-0.9050048515</v>
      </c>
      <c r="L891" s="48">
        <f>IFERROR(MINUS(DIVIDE(VLOOKUP($B891,Data!$B$3:$EZ1530,34,FALSE),VLOOKUP($B891,Data!$B$3:$EZ1530,35,FALSE)),1),"")</f>
        <v>-0.5383741007</v>
      </c>
      <c r="M891" s="48">
        <f>IFERROR(MINUS(DIVIDE(VLOOKUP($B891,Data!$B$3:$EZ1530,39,FALSE),VLOOKUP($B891,Data!$B$3:$EZ1530,40,FALSE)),1),"")</f>
        <v>-0.8420838531</v>
      </c>
      <c r="N891" s="48">
        <f>IFERROR(MINUS(DIVIDE(VLOOKUP($B891,Data!$B$3:$EZ1530,44,FALSE),VLOOKUP($B891,Data!$B$3:$EZ1530,45,FALSE)),1),"")</f>
        <v>-0.5382956522</v>
      </c>
      <c r="O891" s="50">
        <f>IFERROR(VLOOKUP($B891,Data!$B$3:$D1530,2,FALSE),"")</f>
        <v>2490000</v>
      </c>
      <c r="P891" s="50">
        <f>IFERROR(VLOOKUP($B891,Data!$B$3:$D1530,3,FALSE),"")</f>
        <v>2270000</v>
      </c>
      <c r="Q891" s="48">
        <f t="shared" si="2"/>
        <v>0.09691629956</v>
      </c>
      <c r="R891" s="48"/>
      <c r="S891" s="48"/>
      <c r="T891" s="48"/>
      <c r="U891" s="48"/>
      <c r="V891" s="48"/>
      <c r="W891" s="50"/>
      <c r="Z891" s="11"/>
      <c r="AA891" s="11"/>
    </row>
    <row r="892">
      <c r="A892" s="9">
        <f t="shared" si="1"/>
        <v>889</v>
      </c>
      <c r="B892" s="47" t="s">
        <v>1026</v>
      </c>
      <c r="C892" s="48">
        <f>IFERROR(DIVIDE(VLOOKUP($B892,Data!$B$3:$AB$1535,9,FALSE),VLOOKUP($B892,Data!$B$3:$AB$1535,4,FALSE)),"")</f>
        <v>0.04030384272</v>
      </c>
      <c r="D892" s="48">
        <f>IFERROR(DIVIDE(VLOOKUP($B892,Data!$B$3:$AB$1535,24,FALSE),VLOOKUP($B892,Data!$B$3:$AB$1535,4,FALSE)),"")</f>
        <v>-5.467381591</v>
      </c>
      <c r="E892" s="48">
        <f>IFERROR(DIVIDE(VLOOKUP($B892,Data!$B$3:$EZ1530,29,FALSE),VLOOKUP($B892,Data!$B$3:$EZ1530,4,FALSE)),"")</f>
        <v>-6.170241287</v>
      </c>
      <c r="F892" s="48">
        <f>IFERROR(DIVIDE(VLOOKUP($B892,Data!$B$3:$EZ1530,34,FALSE),VLOOKUP($B892,Data!$B$3:$EZ1530,4,FALSE)),"")</f>
        <v>-4.919124218</v>
      </c>
      <c r="G892" s="48">
        <f>IFERROR(DIVIDE(VLOOKUP($B892,Data!$B$3:$EZ1530,39,FALSE),VLOOKUP($B892,Data!$B$3:$EZ1530,4,FALSE)),"")</f>
        <v>-5.610813226</v>
      </c>
      <c r="H892" s="48">
        <f>IFERROR(DIVIDE(VLOOKUP($B892,Data!$B$3:$EZ1530,44,FALSE),VLOOKUP($B892,Data!$B$3:$EZ1530,4,FALSE)),"")</f>
        <v>-3.610813226</v>
      </c>
      <c r="I892" s="48">
        <f>IFERROR(MINUS(DIVIDE(VLOOKUP($B892,Data!$B$3:$EZ1530,9,FALSE),VLOOKUP($B892,Data!$B$3:$EZ1530,10,FALSE)),1),"")</f>
        <v>-0.9390540541</v>
      </c>
      <c r="J892" s="48">
        <f>IFERROR(MINUS(DIVIDE(VLOOKUP($B892,Data!$B$3:$EZ1530,24,FALSE),VLOOKUP($B892,Data!$B$3:$EZ1530,25,FALSE)),1),"")</f>
        <v>0.4403766922</v>
      </c>
      <c r="K892" s="48">
        <f>IFERROR(MINUS(DIVIDE(VLOOKUP($B892,Data!$B$3:$EZ1530,29,FALSE),VLOOKUP($B892,Data!$B$3:$EZ1530,30,FALSE)),1),"")</f>
        <v>0.5785322359</v>
      </c>
      <c r="L892" s="48">
        <f>IFERROR(MINUS(DIVIDE(VLOOKUP($B892,Data!$B$3:$EZ1530,34,FALSE),VLOOKUP($B892,Data!$B$3:$EZ1530,35,FALSE)),1),"")</f>
        <v>0.157136851</v>
      </c>
      <c r="M892" s="48">
        <f>IFERROR(MINUS(DIVIDE(VLOOKUP($B892,Data!$B$3:$EZ1530,39,FALSE),VLOOKUP($B892,Data!$B$3:$EZ1530,40,FALSE)),1),"")</f>
        <v>1.75735617</v>
      </c>
      <c r="N892" s="48">
        <f>IFERROR(MINUS(DIVIDE(VLOOKUP($B892,Data!$B$3:$EZ1530,44,FALSE),VLOOKUP($B892,Data!$B$3:$EZ1530,45,FALSE)),1),"")</f>
        <v>-0.1652721826</v>
      </c>
      <c r="O892" s="50">
        <f>IFERROR(VLOOKUP($B892,Data!$B$3:$D1530,2,FALSE),"")</f>
        <v>216600</v>
      </c>
      <c r="P892" s="50">
        <f>IFERROR(VLOOKUP($B892,Data!$B$3:$D1530,3,FALSE),"")</f>
        <v>41840</v>
      </c>
      <c r="Q892" s="48">
        <f t="shared" si="2"/>
        <v>4.176864245</v>
      </c>
      <c r="R892" s="48"/>
      <c r="S892" s="48"/>
      <c r="T892" s="48"/>
      <c r="U892" s="48"/>
      <c r="V892" s="48"/>
      <c r="W892" s="50"/>
      <c r="Z892" s="11"/>
      <c r="AA892" s="11"/>
    </row>
    <row r="893">
      <c r="A893" s="9">
        <f t="shared" si="1"/>
        <v>890</v>
      </c>
      <c r="B893" s="47" t="s">
        <v>1027</v>
      </c>
      <c r="C893" s="48">
        <f>IFERROR(DIVIDE(VLOOKUP($B893,Data!$B$3:$AB$1535,9,FALSE),VLOOKUP($B893,Data!$B$3:$AB$1535,4,FALSE)),"")</f>
        <v>0.2072455584</v>
      </c>
      <c r="D893" s="48">
        <f>IFERROR(DIVIDE(VLOOKUP($B893,Data!$B$3:$AB$1535,24,FALSE),VLOOKUP($B893,Data!$B$3:$AB$1535,4,FALSE)),"")</f>
        <v>0</v>
      </c>
      <c r="E893" s="48">
        <f>IFERROR(DIVIDE(VLOOKUP($B893,Data!$B$3:$EZ1530,29,FALSE),VLOOKUP($B893,Data!$B$3:$EZ1530,4,FALSE)),"")</f>
        <v>0.1307501846</v>
      </c>
      <c r="F893" s="48">
        <f>IFERROR(DIVIDE(VLOOKUP($B893,Data!$B$3:$EZ1530,34,FALSE),VLOOKUP($B893,Data!$B$3:$EZ1530,4,FALSE)),"")</f>
        <v>0.2152816993</v>
      </c>
      <c r="G893" s="48">
        <f>IFERROR(DIVIDE(VLOOKUP($B893,Data!$B$3:$EZ1530,39,FALSE),VLOOKUP($B893,Data!$B$3:$EZ1530,4,FALSE)),"")</f>
        <v>0.1082924287</v>
      </c>
      <c r="H893" s="48">
        <f>IFERROR(DIVIDE(VLOOKUP($B893,Data!$B$3:$EZ1530,44,FALSE),VLOOKUP($B893,Data!$B$3:$EZ1530,4,FALSE)),"")</f>
        <v>0.1840927848</v>
      </c>
      <c r="I893" s="48">
        <f>IFERROR(MINUS(DIVIDE(VLOOKUP($B893,Data!$B$3:$EZ1530,9,FALSE),VLOOKUP($B893,Data!$B$3:$EZ1530,10,FALSE)),1),"")</f>
        <v>0.2522309711</v>
      </c>
      <c r="J893" s="48" t="str">
        <f>IFERROR(MINUS(DIVIDE(VLOOKUP($B893,Data!$B$3:$EZ1530,24,FALSE),VLOOKUP($B893,Data!$B$3:$EZ1530,25,FALSE)),1),"")</f>
        <v/>
      </c>
      <c r="K893" s="48">
        <f>IFERROR(MINUS(DIVIDE(VLOOKUP($B893,Data!$B$3:$EZ1530,29,FALSE),VLOOKUP($B893,Data!$B$3:$EZ1530,30,FALSE)),1),"")</f>
        <v>0.1949186185</v>
      </c>
      <c r="L893" s="48">
        <f>IFERROR(MINUS(DIVIDE(VLOOKUP($B893,Data!$B$3:$EZ1530,34,FALSE),VLOOKUP($B893,Data!$B$3:$EZ1530,35,FALSE)),1),"")</f>
        <v>0.3390975412</v>
      </c>
      <c r="M893" s="48">
        <f>IFERROR(MINUS(DIVIDE(VLOOKUP($B893,Data!$B$3:$EZ1530,39,FALSE),VLOOKUP($B893,Data!$B$3:$EZ1530,40,FALSE)),1),"")</f>
        <v>-0.005584363781</v>
      </c>
      <c r="N893" s="48">
        <f>IFERROR(MINUS(DIVIDE(VLOOKUP($B893,Data!$B$3:$EZ1530,44,FALSE),VLOOKUP($B893,Data!$B$3:$EZ1530,45,FALSE)),1),"")</f>
        <v>0.1759156493</v>
      </c>
      <c r="O893" s="50">
        <f>IFERROR(VLOOKUP($B893,Data!$B$3:$D1530,2,FALSE),"")</f>
        <v>238430</v>
      </c>
      <c r="P893" s="50">
        <f>IFERROR(VLOOKUP($B893,Data!$B$3:$D1530,3,FALSE),"")</f>
        <v>158600</v>
      </c>
      <c r="Q893" s="48">
        <f t="shared" si="2"/>
        <v>0.5033417402</v>
      </c>
      <c r="R893" s="48"/>
      <c r="S893" s="48"/>
      <c r="T893" s="48"/>
      <c r="U893" s="48"/>
      <c r="V893" s="48"/>
      <c r="W893" s="50"/>
      <c r="Z893" s="15"/>
      <c r="AA893" s="15"/>
    </row>
    <row r="894">
      <c r="A894" s="9">
        <f t="shared" si="1"/>
        <v>891</v>
      </c>
      <c r="B894" s="47" t="s">
        <v>1028</v>
      </c>
      <c r="C894" s="48">
        <f>IFERROR(DIVIDE(VLOOKUP($B894,Data!$B$3:$AB$1535,9,FALSE),VLOOKUP($B894,Data!$B$3:$AB$1535,4,FALSE)),"")</f>
        <v>0.2679170173</v>
      </c>
      <c r="D894" s="48">
        <f>IFERROR(DIVIDE(VLOOKUP($B894,Data!$B$3:$AB$1535,24,FALSE),VLOOKUP($B894,Data!$B$3:$AB$1535,4,FALSE)),"")</f>
        <v>0.03271483723</v>
      </c>
      <c r="E894" s="48">
        <f>IFERROR(DIVIDE(VLOOKUP($B894,Data!$B$3:$EZ1530,29,FALSE),VLOOKUP($B894,Data!$B$3:$EZ1530,4,FALSE)),"")</f>
        <v>0.01394621889</v>
      </c>
      <c r="F894" s="48">
        <f>IFERROR(DIVIDE(VLOOKUP($B894,Data!$B$3:$EZ1530,34,FALSE),VLOOKUP($B894,Data!$B$3:$EZ1530,4,FALSE)),"")</f>
        <v>0.08653602105</v>
      </c>
      <c r="G894" s="48">
        <f>IFERROR(DIVIDE(VLOOKUP($B894,Data!$B$3:$EZ1530,39,FALSE),VLOOKUP($B894,Data!$B$3:$EZ1530,4,FALSE)),"")</f>
        <v>0.008095219012</v>
      </c>
      <c r="H894" s="48">
        <f>IFERROR(DIVIDE(VLOOKUP($B894,Data!$B$3:$EZ1530,44,FALSE),VLOOKUP($B894,Data!$B$3:$EZ1530,4,FALSE)),"")</f>
        <v>0.07896178148</v>
      </c>
      <c r="I894" s="48">
        <f>IFERROR(MINUS(DIVIDE(VLOOKUP($B894,Data!$B$3:$EZ1530,9,FALSE),VLOOKUP($B894,Data!$B$3:$EZ1530,10,FALSE)),1),"")</f>
        <v>0.02368313597</v>
      </c>
      <c r="J894" s="48">
        <f>IFERROR(MINUS(DIVIDE(VLOOKUP($B894,Data!$B$3:$EZ1530,24,FALSE),VLOOKUP($B894,Data!$B$3:$EZ1530,25,FALSE)),1),"")</f>
        <v>-0.09363434493</v>
      </c>
      <c r="K894" s="48">
        <f>IFERROR(MINUS(DIVIDE(VLOOKUP($B894,Data!$B$3:$EZ1530,29,FALSE),VLOOKUP($B894,Data!$B$3:$EZ1530,30,FALSE)),1),"")</f>
        <v>-0.2683952348</v>
      </c>
      <c r="L894" s="48">
        <f>IFERROR(MINUS(DIVIDE(VLOOKUP($B894,Data!$B$3:$EZ1530,34,FALSE),VLOOKUP($B894,Data!$B$3:$EZ1530,35,FALSE)),1),"")</f>
        <v>0.0254867817</v>
      </c>
      <c r="M894" s="48">
        <f>IFERROR(MINUS(DIVIDE(VLOOKUP($B894,Data!$B$3:$EZ1530,39,FALSE),VLOOKUP($B894,Data!$B$3:$EZ1530,40,FALSE)),1),"")</f>
        <v>-0.1140350877</v>
      </c>
      <c r="N894" s="48">
        <f>IFERROR(MINUS(DIVIDE(VLOOKUP($B894,Data!$B$3:$EZ1530,44,FALSE),VLOOKUP($B894,Data!$B$3:$EZ1530,45,FALSE)),1),"")</f>
        <v>0.4188670187</v>
      </c>
      <c r="O894" s="50">
        <f>IFERROR(VLOOKUP($B894,Data!$B$3:$D1530,2,FALSE),"")</f>
        <v>699260</v>
      </c>
      <c r="P894" s="50">
        <f>IFERROR(VLOOKUP($B894,Data!$B$3:$D1530,3,FALSE),"")</f>
        <v>637010</v>
      </c>
      <c r="Q894" s="48">
        <f t="shared" si="2"/>
        <v>0.09772217077</v>
      </c>
      <c r="R894" s="48"/>
      <c r="S894" s="48"/>
      <c r="T894" s="48"/>
      <c r="U894" s="48"/>
      <c r="V894" s="48"/>
      <c r="W894" s="50"/>
      <c r="Z894" s="11"/>
      <c r="AA894" s="11"/>
    </row>
    <row r="895">
      <c r="A895" s="9">
        <f t="shared" si="1"/>
        <v>892</v>
      </c>
      <c r="B895" s="47" t="s">
        <v>1029</v>
      </c>
      <c r="C895" s="48">
        <f>IFERROR(DIVIDE(VLOOKUP($B895,Data!$B$3:$AB$1535,9,FALSE),VLOOKUP($B895,Data!$B$3:$AB$1535,4,FALSE)),"")</f>
        <v>0.0133603352</v>
      </c>
      <c r="D895" s="48">
        <f>IFERROR(DIVIDE(VLOOKUP($B895,Data!$B$3:$AB$1535,24,FALSE),VLOOKUP($B895,Data!$B$3:$AB$1535,4,FALSE)),"")</f>
        <v>0.01365642458</v>
      </c>
      <c r="E895" s="48">
        <f>IFERROR(DIVIDE(VLOOKUP($B895,Data!$B$3:$EZ1530,29,FALSE),VLOOKUP($B895,Data!$B$3:$EZ1530,4,FALSE)),"")</f>
        <v>0.0112877095</v>
      </c>
      <c r="F895" s="48">
        <f>IFERROR(DIVIDE(VLOOKUP($B895,Data!$B$3:$EZ1530,34,FALSE),VLOOKUP($B895,Data!$B$3:$EZ1530,4,FALSE)),"")</f>
        <v>0.03172765363</v>
      </c>
      <c r="G895" s="48">
        <f>IFERROR(DIVIDE(VLOOKUP($B895,Data!$B$3:$EZ1530,39,FALSE),VLOOKUP($B895,Data!$B$3:$EZ1530,4,FALSE)),"")</f>
        <v>0.00780726257</v>
      </c>
      <c r="H895" s="48">
        <f>IFERROR(DIVIDE(VLOOKUP($B895,Data!$B$3:$EZ1530,44,FALSE),VLOOKUP($B895,Data!$B$3:$EZ1530,4,FALSE)),"")</f>
        <v>0.0161801676</v>
      </c>
      <c r="I895" s="48">
        <f>IFERROR(MINUS(DIVIDE(VLOOKUP($B895,Data!$B$3:$EZ1530,9,FALSE),VLOOKUP($B895,Data!$B$3:$EZ1530,10,FALSE)),1),"")</f>
        <v>0.4531368677</v>
      </c>
      <c r="J895" s="48">
        <f>IFERROR(MINUS(DIVIDE(VLOOKUP($B895,Data!$B$3:$EZ1530,24,FALSE),VLOOKUP($B895,Data!$B$3:$EZ1530,25,FALSE)),1),"")</f>
        <v>0.5154990701</v>
      </c>
      <c r="K895" s="48">
        <f>IFERROR(MINUS(DIVIDE(VLOOKUP($B895,Data!$B$3:$EZ1530,29,FALSE),VLOOKUP($B895,Data!$B$3:$EZ1530,30,FALSE)),1),"")</f>
        <v>0.8712664969</v>
      </c>
      <c r="L895" s="48">
        <f>IFERROR(MINUS(DIVIDE(VLOOKUP($B895,Data!$B$3:$EZ1530,34,FALSE),VLOOKUP($B895,Data!$B$3:$EZ1530,35,FALSE)),1),"")</f>
        <v>0.1444909063</v>
      </c>
      <c r="M895" s="48">
        <f>IFERROR(MINUS(DIVIDE(VLOOKUP($B895,Data!$B$3:$EZ1530,39,FALSE),VLOOKUP($B895,Data!$B$3:$EZ1530,40,FALSE)),1),"")</f>
        <v>1.311827957</v>
      </c>
      <c r="N895" s="48">
        <f>IFERROR(MINUS(DIVIDE(VLOOKUP($B895,Data!$B$3:$EZ1530,44,FALSE),VLOOKUP($B895,Data!$B$3:$EZ1530,45,FALSE)),1),"")</f>
        <v>-0.2971972822</v>
      </c>
      <c r="O895" s="50">
        <f>IFERROR(VLOOKUP($B895,Data!$B$3:$D1530,2,FALSE),"")</f>
        <v>6020000</v>
      </c>
      <c r="P895" s="50">
        <f>IFERROR(VLOOKUP($B895,Data!$B$3:$D1530,3,FALSE),"")</f>
        <v>6170000</v>
      </c>
      <c r="Q895" s="48">
        <f t="shared" si="2"/>
        <v>-0.02431118314</v>
      </c>
      <c r="R895" s="48"/>
      <c r="S895" s="48"/>
      <c r="T895" s="48"/>
      <c r="U895" s="48"/>
      <c r="V895" s="48"/>
      <c r="W895" s="50"/>
      <c r="Z895" s="12"/>
      <c r="AA895" s="12"/>
    </row>
    <row r="896">
      <c r="A896" s="9">
        <f t="shared" si="1"/>
        <v>893</v>
      </c>
      <c r="B896" s="47" t="s">
        <v>1030</v>
      </c>
      <c r="C896" s="48">
        <f>IFERROR(DIVIDE(VLOOKUP($B896,Data!$B$3:$AB$1535,9,FALSE),VLOOKUP($B896,Data!$B$3:$AB$1535,4,FALSE)),"")</f>
        <v>0.3093023256</v>
      </c>
      <c r="D896" s="48">
        <f>IFERROR(DIVIDE(VLOOKUP($B896,Data!$B$3:$AB$1535,24,FALSE),VLOOKUP($B896,Data!$B$3:$AB$1535,4,FALSE)),"")</f>
        <v>0.09457364341</v>
      </c>
      <c r="E896" s="48">
        <f>IFERROR(DIVIDE(VLOOKUP($B896,Data!$B$3:$EZ1530,29,FALSE),VLOOKUP($B896,Data!$B$3:$EZ1530,4,FALSE)),"")</f>
        <v>0.2209302326</v>
      </c>
      <c r="F896" s="48">
        <f>IFERROR(DIVIDE(VLOOKUP($B896,Data!$B$3:$EZ1530,34,FALSE),VLOOKUP($B896,Data!$B$3:$EZ1530,4,FALSE)),"")</f>
        <v>0.2240310078</v>
      </c>
      <c r="G896" s="48">
        <f>IFERROR(DIVIDE(VLOOKUP($B896,Data!$B$3:$EZ1530,39,FALSE),VLOOKUP($B896,Data!$B$3:$EZ1530,4,FALSE)),"")</f>
        <v>0.1589147287</v>
      </c>
      <c r="H896" s="48">
        <f>IFERROR(DIVIDE(VLOOKUP($B896,Data!$B$3:$EZ1530,44,FALSE),VLOOKUP($B896,Data!$B$3:$EZ1530,4,FALSE)),"")</f>
        <v>0.1480620155</v>
      </c>
      <c r="I896" s="48">
        <f>IFERROR(MINUS(DIVIDE(VLOOKUP($B896,Data!$B$3:$EZ1530,9,FALSE),VLOOKUP($B896,Data!$B$3:$EZ1530,10,FALSE)),1),"")</f>
        <v>0.08719346049</v>
      </c>
      <c r="J896" s="48" t="str">
        <f>IFERROR(MINUS(DIVIDE(VLOOKUP($B896,Data!$B$3:$EZ1530,24,FALSE),VLOOKUP($B896,Data!$B$3:$EZ1530,25,FALSE)),1),"")</f>
        <v/>
      </c>
      <c r="K896" s="48">
        <f>IFERROR(MINUS(DIVIDE(VLOOKUP($B896,Data!$B$3:$EZ1530,29,FALSE),VLOOKUP($B896,Data!$B$3:$EZ1530,30,FALSE)),1),"")</f>
        <v>3.495197237</v>
      </c>
      <c r="L896" s="48">
        <f>IFERROR(MINUS(DIVIDE(VLOOKUP($B896,Data!$B$3:$EZ1530,34,FALSE),VLOOKUP($B896,Data!$B$3:$EZ1530,35,FALSE)),1),"")</f>
        <v>0.1513944223</v>
      </c>
      <c r="M896" s="48">
        <f>IFERROR(MINUS(DIVIDE(VLOOKUP($B896,Data!$B$3:$EZ1530,39,FALSE),VLOOKUP($B896,Data!$B$3:$EZ1530,40,FALSE)),1),"")</f>
        <v>3.602087776</v>
      </c>
      <c r="N896" s="48">
        <f>IFERROR(MINUS(DIVIDE(VLOOKUP($B896,Data!$B$3:$EZ1530,44,FALSE),VLOOKUP($B896,Data!$B$3:$EZ1530,45,FALSE)),1),"")</f>
        <v>-0.06829268293</v>
      </c>
      <c r="O896" s="50">
        <f>IFERROR(VLOOKUP($B896,Data!$B$3:$D1530,2,FALSE),"")</f>
        <v>10390000</v>
      </c>
      <c r="P896" s="50">
        <f>IFERROR(VLOOKUP($B896,Data!$B$3:$D1530,3,FALSE),"")</f>
        <v>6520000</v>
      </c>
      <c r="Q896" s="48">
        <f t="shared" si="2"/>
        <v>0.5935582822</v>
      </c>
      <c r="R896" s="48"/>
      <c r="S896" s="48"/>
      <c r="T896" s="48"/>
      <c r="U896" s="48"/>
      <c r="V896" s="48"/>
      <c r="W896" s="50"/>
      <c r="Z896" s="11"/>
      <c r="AA896" s="11"/>
    </row>
    <row r="897">
      <c r="A897" s="9">
        <f t="shared" si="1"/>
        <v>894</v>
      </c>
      <c r="B897" s="47" t="s">
        <v>1031</v>
      </c>
      <c r="C897" s="48">
        <f>IFERROR(DIVIDE(VLOOKUP($B897,Data!$B$3:$AB$1535,9,FALSE),VLOOKUP($B897,Data!$B$3:$AB$1535,4,FALSE)),"")</f>
        <v>0</v>
      </c>
      <c r="D897" s="48">
        <f>IFERROR(DIVIDE(VLOOKUP($B897,Data!$B$3:$AB$1535,24,FALSE),VLOOKUP($B897,Data!$B$3:$AB$1535,4,FALSE)),"")</f>
        <v>-2.447265929</v>
      </c>
      <c r="E897" s="48">
        <f>IFERROR(DIVIDE(VLOOKUP($B897,Data!$B$3:$EZ1530,29,FALSE),VLOOKUP($B897,Data!$B$3:$EZ1530,4,FALSE)),"")</f>
        <v>-2.365010126</v>
      </c>
      <c r="F897" s="48">
        <f>IFERROR(DIVIDE(VLOOKUP($B897,Data!$B$3:$EZ1530,34,FALSE),VLOOKUP($B897,Data!$B$3:$EZ1530,4,FALSE)),"")</f>
        <v>-2.568780184</v>
      </c>
      <c r="G897" s="48">
        <f>IFERROR(DIVIDE(VLOOKUP($B897,Data!$B$3:$EZ1530,39,FALSE),VLOOKUP($B897,Data!$B$3:$EZ1530,4,FALSE)),"")</f>
        <v>-2.365010126</v>
      </c>
      <c r="H897" s="48">
        <f>IFERROR(DIVIDE(VLOOKUP($B897,Data!$B$3:$EZ1530,44,FALSE),VLOOKUP($B897,Data!$B$3:$EZ1530,4,FALSE)),"")</f>
        <v>-2.136625643</v>
      </c>
      <c r="I897" s="48" t="str">
        <f>IFERROR(MINUS(DIVIDE(VLOOKUP($B897,Data!$B$3:$EZ1530,9,FALSE),VLOOKUP($B897,Data!$B$3:$EZ1530,10,FALSE)),1),"")</f>
        <v/>
      </c>
      <c r="J897" s="48" t="str">
        <f>IFERROR(MINUS(DIVIDE(VLOOKUP($B897,Data!$B$3:$EZ1530,24,FALSE),VLOOKUP($B897,Data!$B$3:$EZ1530,25,FALSE)),1),"")</f>
        <v/>
      </c>
      <c r="K897" s="48">
        <f>IFERROR(MINUS(DIVIDE(VLOOKUP($B897,Data!$B$3:$EZ1530,29,FALSE),VLOOKUP($B897,Data!$B$3:$EZ1530,30,FALSE)),1),"")</f>
        <v>-0.1145523476</v>
      </c>
      <c r="L897" s="48">
        <f>IFERROR(MINUS(DIVIDE(VLOOKUP($B897,Data!$B$3:$EZ1530,34,FALSE),VLOOKUP($B897,Data!$B$3:$EZ1530,35,FALSE)),1),"")</f>
        <v>0.01777668045</v>
      </c>
      <c r="M897" s="48">
        <f>IFERROR(MINUS(DIVIDE(VLOOKUP($B897,Data!$B$3:$EZ1530,39,FALSE),VLOOKUP($B897,Data!$B$3:$EZ1530,40,FALSE)),1),"")</f>
        <v>-0.1145523476</v>
      </c>
      <c r="N897" s="48">
        <f>IFERROR(MINUS(DIVIDE(VLOOKUP($B897,Data!$B$3:$EZ1530,44,FALSE),VLOOKUP($B897,Data!$B$3:$EZ1530,45,FALSE)),1),"")</f>
        <v>-0.1049402858</v>
      </c>
      <c r="O897" s="50">
        <f>IFERROR(VLOOKUP($B897,Data!$B$3:$D1530,2,FALSE),"")</f>
        <v>132960</v>
      </c>
      <c r="P897" s="50">
        <f>IFERROR(VLOOKUP($B897,Data!$B$3:$D1530,3,FALSE),"")</f>
        <v>66730</v>
      </c>
      <c r="Q897" s="48">
        <f t="shared" si="2"/>
        <v>0.9925071182</v>
      </c>
      <c r="R897" s="48"/>
      <c r="S897" s="48"/>
      <c r="T897" s="48"/>
      <c r="U897" s="48"/>
      <c r="V897" s="48"/>
      <c r="W897" s="50"/>
      <c r="Z897" s="11"/>
      <c r="AA897" s="11"/>
    </row>
    <row r="898">
      <c r="A898" s="9">
        <f t="shared" si="1"/>
        <v>895</v>
      </c>
      <c r="B898" s="47" t="s">
        <v>1032</v>
      </c>
      <c r="C898" s="48" t="str">
        <f>IFERROR(DIVIDE(VLOOKUP($B898,Data!$B$3:$AB$1535,9,FALSE),VLOOKUP($B898,Data!$B$3:$AB$1535,4,FALSE)),"")</f>
        <v/>
      </c>
      <c r="D898" s="48" t="str">
        <f>IFERROR(DIVIDE(VLOOKUP($B898,Data!$B$3:$AB$1535,24,FALSE),VLOOKUP($B898,Data!$B$3:$AB$1535,4,FALSE)),"")</f>
        <v/>
      </c>
      <c r="E898" s="48" t="str">
        <f>IFERROR(DIVIDE(VLOOKUP($B898,Data!$B$3:$EZ1530,29,FALSE),VLOOKUP($B898,Data!$B$3:$EZ1530,4,FALSE)),"")</f>
        <v/>
      </c>
      <c r="F898" s="48" t="str">
        <f>IFERROR(DIVIDE(VLOOKUP($B898,Data!$B$3:$EZ1530,34,FALSE),VLOOKUP($B898,Data!$B$3:$EZ1530,4,FALSE)),"")</f>
        <v/>
      </c>
      <c r="G898" s="48" t="str">
        <f>IFERROR(DIVIDE(VLOOKUP($B898,Data!$B$3:$EZ1530,39,FALSE),VLOOKUP($B898,Data!$B$3:$EZ1530,4,FALSE)),"")</f>
        <v/>
      </c>
      <c r="H898" s="48" t="str">
        <f>IFERROR(DIVIDE(VLOOKUP($B898,Data!$B$3:$EZ1530,44,FALSE),VLOOKUP($B898,Data!$B$3:$EZ1530,4,FALSE)),"")</f>
        <v/>
      </c>
      <c r="I898" s="48" t="str">
        <f>IFERROR(MINUS(DIVIDE(VLOOKUP($B898,Data!$B$3:$EZ1530,9,FALSE),VLOOKUP($B898,Data!$B$3:$EZ1530,10,FALSE)),1),"")</f>
        <v/>
      </c>
      <c r="J898" s="48" t="str">
        <f>IFERROR(MINUS(DIVIDE(VLOOKUP($B898,Data!$B$3:$EZ1530,24,FALSE),VLOOKUP($B898,Data!$B$3:$EZ1530,25,FALSE)),1),"")</f>
        <v/>
      </c>
      <c r="K898" s="48" t="str">
        <f>IFERROR(MINUS(DIVIDE(VLOOKUP($B898,Data!$B$3:$EZ1530,29,FALSE),VLOOKUP($B898,Data!$B$3:$EZ1530,30,FALSE)),1),"")</f>
        <v/>
      </c>
      <c r="L898" s="48" t="str">
        <f>IFERROR(MINUS(DIVIDE(VLOOKUP($B898,Data!$B$3:$EZ1530,34,FALSE),VLOOKUP($B898,Data!$B$3:$EZ1530,35,FALSE)),1),"")</f>
        <v/>
      </c>
      <c r="M898" s="48" t="str">
        <f>IFERROR(MINUS(DIVIDE(VLOOKUP($B898,Data!$B$3:$EZ1530,39,FALSE),VLOOKUP($B898,Data!$B$3:$EZ1530,40,FALSE)),1),"")</f>
        <v/>
      </c>
      <c r="N898" s="48" t="str">
        <f>IFERROR(MINUS(DIVIDE(VLOOKUP($B898,Data!$B$3:$EZ1530,44,FALSE),VLOOKUP($B898,Data!$B$3:$EZ1530,45,FALSE)),1),"")</f>
        <v/>
      </c>
      <c r="O898" s="50" t="str">
        <f>IFERROR(VLOOKUP($B898,Data!$B$3:$D1530,2,FALSE),"")</f>
        <v/>
      </c>
      <c r="P898" s="50" t="str">
        <f>IFERROR(VLOOKUP($B898,Data!$B$3:$D1530,3,FALSE),"")</f>
        <v/>
      </c>
      <c r="Q898" s="48" t="str">
        <f t="shared" si="2"/>
        <v/>
      </c>
      <c r="R898" s="48"/>
      <c r="S898" s="48"/>
      <c r="T898" s="48"/>
      <c r="U898" s="48"/>
      <c r="V898" s="48"/>
      <c r="W898" s="50"/>
      <c r="Z898" s="15"/>
      <c r="AA898" s="15"/>
    </row>
    <row r="899">
      <c r="A899" s="9">
        <f t="shared" si="1"/>
        <v>896</v>
      </c>
      <c r="B899" s="47" t="s">
        <v>1033</v>
      </c>
      <c r="C899" s="48">
        <f>IFERROR(DIVIDE(VLOOKUP($B899,Data!$B$3:$AB$1535,9,FALSE),VLOOKUP($B899,Data!$B$3:$AB$1535,4,FALSE)),"")</f>
        <v>0.2109717436</v>
      </c>
      <c r="D899" s="48">
        <f>IFERROR(DIVIDE(VLOOKUP($B899,Data!$B$3:$AB$1535,24,FALSE),VLOOKUP($B899,Data!$B$3:$AB$1535,4,FALSE)),"")</f>
        <v>0</v>
      </c>
      <c r="E899" s="48">
        <f>IFERROR(DIVIDE(VLOOKUP($B899,Data!$B$3:$EZ1530,29,FALSE),VLOOKUP($B899,Data!$B$3:$EZ1530,4,FALSE)),"")</f>
        <v>0.126643694</v>
      </c>
      <c r="F899" s="48">
        <f>IFERROR(DIVIDE(VLOOKUP($B899,Data!$B$3:$EZ1530,34,FALSE),VLOOKUP($B899,Data!$B$3:$EZ1530,4,FALSE)),"")</f>
        <v>0.162122674</v>
      </c>
      <c r="G899" s="48">
        <f>IFERROR(DIVIDE(VLOOKUP($B899,Data!$B$3:$EZ1530,39,FALSE),VLOOKUP($B899,Data!$B$3:$EZ1530,4,FALSE)),"")</f>
        <v>0.1062439697</v>
      </c>
      <c r="H899" s="48">
        <f>IFERROR(DIVIDE(VLOOKUP($B899,Data!$B$3:$EZ1530,44,FALSE),VLOOKUP($B899,Data!$B$3:$EZ1530,4,FALSE)),"")</f>
        <v>0.05436250861</v>
      </c>
      <c r="I899" s="48">
        <f>IFERROR(MINUS(DIVIDE(VLOOKUP($B899,Data!$B$3:$EZ1530,9,FALSE),VLOOKUP($B899,Data!$B$3:$EZ1530,10,FALSE)),1),"")</f>
        <v>-0.08456937799</v>
      </c>
      <c r="J899" s="48" t="str">
        <f>IFERROR(MINUS(DIVIDE(VLOOKUP($B899,Data!$B$3:$EZ1530,24,FALSE),VLOOKUP($B899,Data!$B$3:$EZ1530,25,FALSE)),1),"")</f>
        <v/>
      </c>
      <c r="K899" s="48">
        <f>IFERROR(MINUS(DIVIDE(VLOOKUP($B899,Data!$B$3:$EZ1530,29,FALSE),VLOOKUP($B899,Data!$B$3:$EZ1530,30,FALSE)),1),"")</f>
        <v>-0.06206614945</v>
      </c>
      <c r="L899" s="48">
        <f>IFERROR(MINUS(DIVIDE(VLOOKUP($B899,Data!$B$3:$EZ1530,34,FALSE),VLOOKUP($B899,Data!$B$3:$EZ1530,35,FALSE)),1),"")</f>
        <v>-0.04389530158</v>
      </c>
      <c r="M899" s="48">
        <f>IFERROR(MINUS(DIVIDE(VLOOKUP($B899,Data!$B$3:$EZ1530,39,FALSE),VLOOKUP($B899,Data!$B$3:$EZ1530,40,FALSE)),1),"")</f>
        <v>0.05358119191</v>
      </c>
      <c r="N899" s="48">
        <f>IFERROR(MINUS(DIVIDE(VLOOKUP($B899,Data!$B$3:$EZ1530,44,FALSE),VLOOKUP($B899,Data!$B$3:$EZ1530,45,FALSE)),1),"")</f>
        <v>-0.4109916368</v>
      </c>
      <c r="O899" s="50">
        <f>IFERROR(VLOOKUP($B899,Data!$B$3:$D1530,2,FALSE),"")</f>
        <v>400260</v>
      </c>
      <c r="P899" s="50">
        <f>IFERROR(VLOOKUP($B899,Data!$B$3:$D1530,3,FALSE),"")</f>
        <v>384410</v>
      </c>
      <c r="Q899" s="48">
        <f t="shared" si="2"/>
        <v>0.0412320179</v>
      </c>
      <c r="R899" s="48"/>
      <c r="S899" s="48"/>
      <c r="T899" s="48"/>
      <c r="U899" s="48"/>
      <c r="V899" s="48"/>
      <c r="W899" s="50"/>
      <c r="Z899" s="11"/>
      <c r="AA899" s="11"/>
    </row>
    <row r="900">
      <c r="A900" s="9">
        <f t="shared" si="1"/>
        <v>897</v>
      </c>
      <c r="B900" s="47" t="s">
        <v>1034</v>
      </c>
      <c r="C900" s="48" t="str">
        <f>IFERROR(DIVIDE(VLOOKUP($B900,Data!$B$3:$AB$1535,9,FALSE),VLOOKUP($B900,Data!$B$3:$AB$1535,4,FALSE)),"")</f>
        <v/>
      </c>
      <c r="D900" s="48" t="str">
        <f>IFERROR(DIVIDE(VLOOKUP($B900,Data!$B$3:$AB$1535,24,FALSE),VLOOKUP($B900,Data!$B$3:$AB$1535,4,FALSE)),"")</f>
        <v/>
      </c>
      <c r="E900" s="48" t="str">
        <f>IFERROR(DIVIDE(VLOOKUP($B900,Data!$B$3:$EZ1530,29,FALSE),VLOOKUP($B900,Data!$B$3:$EZ1530,4,FALSE)),"")</f>
        <v/>
      </c>
      <c r="F900" s="48" t="str">
        <f>IFERROR(DIVIDE(VLOOKUP($B900,Data!$B$3:$EZ1530,34,FALSE),VLOOKUP($B900,Data!$B$3:$EZ1530,4,FALSE)),"")</f>
        <v/>
      </c>
      <c r="G900" s="48" t="str">
        <f>IFERROR(DIVIDE(VLOOKUP($B900,Data!$B$3:$EZ1530,39,FALSE),VLOOKUP($B900,Data!$B$3:$EZ1530,4,FALSE)),"")</f>
        <v/>
      </c>
      <c r="H900" s="48" t="str">
        <f>IFERROR(DIVIDE(VLOOKUP($B900,Data!$B$3:$EZ1530,44,FALSE),VLOOKUP($B900,Data!$B$3:$EZ1530,4,FALSE)),"")</f>
        <v/>
      </c>
      <c r="I900" s="48">
        <f>IFERROR(MINUS(DIVIDE(VLOOKUP($B900,Data!$B$3:$EZ1530,9,FALSE),VLOOKUP($B900,Data!$B$3:$EZ1530,10,FALSE)),1),"")</f>
        <v>1.102857143</v>
      </c>
      <c r="J900" s="48" t="str">
        <f>IFERROR(MINUS(DIVIDE(VLOOKUP($B900,Data!$B$3:$EZ1530,24,FALSE),VLOOKUP($B900,Data!$B$3:$EZ1530,25,FALSE)),1),"")</f>
        <v/>
      </c>
      <c r="K900" s="48">
        <f>IFERROR(MINUS(DIVIDE(VLOOKUP($B900,Data!$B$3:$EZ1530,29,FALSE),VLOOKUP($B900,Data!$B$3:$EZ1530,30,FALSE)),1),"")</f>
        <v>0.3346662031</v>
      </c>
      <c r="L900" s="48">
        <f>IFERROR(MINUS(DIVIDE(VLOOKUP($B900,Data!$B$3:$EZ1530,34,FALSE),VLOOKUP($B900,Data!$B$3:$EZ1530,35,FALSE)),1),"")</f>
        <v>0.3729903537</v>
      </c>
      <c r="M900" s="48">
        <f>IFERROR(MINUS(DIVIDE(VLOOKUP($B900,Data!$B$3:$EZ1530,39,FALSE),VLOOKUP($B900,Data!$B$3:$EZ1530,40,FALSE)),1),"")</f>
        <v>0.3346662031</v>
      </c>
      <c r="N900" s="48">
        <f>IFERROR(MINUS(DIVIDE(VLOOKUP($B900,Data!$B$3:$EZ1530,44,FALSE),VLOOKUP($B900,Data!$B$3:$EZ1530,45,FALSE)),1),"")</f>
        <v>0.3630938171</v>
      </c>
      <c r="O900" s="50" t="str">
        <f>IFERROR(VLOOKUP($B900,Data!$B$3:$D1530,2,FALSE),"")</f>
        <v/>
      </c>
      <c r="P900" s="50" t="str">
        <f>IFERROR(VLOOKUP($B900,Data!$B$3:$D1530,3,FALSE),"")</f>
        <v/>
      </c>
      <c r="Q900" s="48" t="str">
        <f t="shared" si="2"/>
        <v/>
      </c>
      <c r="R900" s="48"/>
      <c r="S900" s="48"/>
      <c r="T900" s="48"/>
      <c r="U900" s="48"/>
      <c r="V900" s="48"/>
      <c r="W900" s="50"/>
      <c r="Z900" s="12"/>
      <c r="AA900" s="12"/>
    </row>
    <row r="901">
      <c r="A901" s="9">
        <f t="shared" si="1"/>
        <v>898</v>
      </c>
      <c r="B901" s="47" t="s">
        <v>1035</v>
      </c>
      <c r="C901" s="48">
        <f>IFERROR(DIVIDE(VLOOKUP($B901,Data!$B$3:$AB$1535,9,FALSE),VLOOKUP($B901,Data!$B$3:$AB$1535,4,FALSE)),"")</f>
        <v>0</v>
      </c>
      <c r="D901" s="48">
        <f>IFERROR(DIVIDE(VLOOKUP($B901,Data!$B$3:$AB$1535,24,FALSE),VLOOKUP($B901,Data!$B$3:$AB$1535,4,FALSE)),"")</f>
        <v>0</v>
      </c>
      <c r="E901" s="48">
        <f>IFERROR(DIVIDE(VLOOKUP($B901,Data!$B$3:$EZ1530,29,FALSE),VLOOKUP($B901,Data!$B$3:$EZ1530,4,FALSE)),"")</f>
        <v>-4.119638826</v>
      </c>
      <c r="F901" s="48">
        <f>IFERROR(DIVIDE(VLOOKUP($B901,Data!$B$3:$EZ1530,34,FALSE),VLOOKUP($B901,Data!$B$3:$EZ1530,4,FALSE)),"")</f>
        <v>-4.132430399</v>
      </c>
      <c r="G901" s="48">
        <f>IFERROR(DIVIDE(VLOOKUP($B901,Data!$B$3:$EZ1530,39,FALSE),VLOOKUP($B901,Data!$B$3:$EZ1530,4,FALSE)),"")</f>
        <v>-4.119638826</v>
      </c>
      <c r="H901" s="48">
        <f>IFERROR(DIVIDE(VLOOKUP($B901,Data!$B$3:$EZ1530,44,FALSE),VLOOKUP($B901,Data!$B$3:$EZ1530,4,FALSE)),"")</f>
        <v>1.507900677</v>
      </c>
      <c r="I901" s="48">
        <f>IFERROR(MINUS(DIVIDE(VLOOKUP($B901,Data!$B$3:$EZ1530,9,FALSE),VLOOKUP($B901,Data!$B$3:$EZ1530,10,FALSE)),1),"")</f>
        <v>-1</v>
      </c>
      <c r="J901" s="48">
        <f>IFERROR(MINUS(DIVIDE(VLOOKUP($B901,Data!$B$3:$EZ1530,24,FALSE),VLOOKUP($B901,Data!$B$3:$EZ1530,25,FALSE)),1),"")</f>
        <v>-1</v>
      </c>
      <c r="K901" s="48">
        <f>IFERROR(MINUS(DIVIDE(VLOOKUP($B901,Data!$B$3:$EZ1530,29,FALSE),VLOOKUP($B901,Data!$B$3:$EZ1530,30,FALSE)),1),"")</f>
        <v>-0.3430525558</v>
      </c>
      <c r="L901" s="48">
        <f>IFERROR(MINUS(DIVIDE(VLOOKUP($B901,Data!$B$3:$EZ1530,34,FALSE),VLOOKUP($B901,Data!$B$3:$EZ1530,35,FALSE)),1),"")</f>
        <v>-0.277843524</v>
      </c>
      <c r="M901" s="48">
        <f>IFERROR(MINUS(DIVIDE(VLOOKUP($B901,Data!$B$3:$EZ1530,39,FALSE),VLOOKUP($B901,Data!$B$3:$EZ1530,40,FALSE)),1),"")</f>
        <v>-0.3393266562</v>
      </c>
      <c r="N901" s="48">
        <f>IFERROR(MINUS(DIVIDE(VLOOKUP($B901,Data!$B$3:$EZ1530,44,FALSE),VLOOKUP($B901,Data!$B$3:$EZ1530,45,FALSE)),1),"")</f>
        <v>-1.340295466</v>
      </c>
      <c r="O901" s="50">
        <f>IFERROR(VLOOKUP($B901,Data!$B$3:$D1530,2,FALSE),"")</f>
        <v>9500</v>
      </c>
      <c r="P901" s="50">
        <f>IFERROR(VLOOKUP($B901,Data!$B$3:$D1530,3,FALSE),"")</f>
        <v>9500</v>
      </c>
      <c r="Q901" s="48">
        <f t="shared" si="2"/>
        <v>0</v>
      </c>
      <c r="R901" s="48"/>
      <c r="S901" s="48"/>
      <c r="T901" s="48"/>
      <c r="U901" s="48"/>
      <c r="V901" s="48"/>
      <c r="W901" s="50"/>
      <c r="Z901" s="15"/>
      <c r="AA901" s="15"/>
    </row>
    <row r="902">
      <c r="A902" s="9">
        <f t="shared" si="1"/>
        <v>899</v>
      </c>
      <c r="B902" s="47" t="s">
        <v>1036</v>
      </c>
      <c r="C902" s="48">
        <f>IFERROR(DIVIDE(VLOOKUP($B902,Data!$B$3:$AB$1535,9,FALSE),VLOOKUP($B902,Data!$B$3:$AB$1535,4,FALSE)),"")</f>
        <v>0.2768304915</v>
      </c>
      <c r="D902" s="48">
        <f>IFERROR(DIVIDE(VLOOKUP($B902,Data!$B$3:$AB$1535,24,FALSE),VLOOKUP($B902,Data!$B$3:$AB$1535,4,FALSE)),"")</f>
        <v>0.07696288867</v>
      </c>
      <c r="E902" s="48">
        <f>IFERROR(DIVIDE(VLOOKUP($B902,Data!$B$3:$EZ1530,29,FALSE),VLOOKUP($B902,Data!$B$3:$EZ1530,4,FALSE)),"")</f>
        <v>0.07518054162</v>
      </c>
      <c r="F902" s="48">
        <f>IFERROR(DIVIDE(VLOOKUP($B902,Data!$B$3:$EZ1530,34,FALSE),VLOOKUP($B902,Data!$B$3:$EZ1530,4,FALSE)),"")</f>
        <v>0.1554663992</v>
      </c>
      <c r="G902" s="48">
        <f>IFERROR(DIVIDE(VLOOKUP($B902,Data!$B$3:$EZ1530,39,FALSE),VLOOKUP($B902,Data!$B$3:$EZ1530,4,FALSE)),"")</f>
        <v>0.0746449348</v>
      </c>
      <c r="H902" s="48">
        <f>IFERROR(DIVIDE(VLOOKUP($B902,Data!$B$3:$EZ1530,44,FALSE),VLOOKUP($B902,Data!$B$3:$EZ1530,4,FALSE)),"")</f>
        <v>0.1424272818</v>
      </c>
      <c r="I902" s="48">
        <f>IFERROR(MINUS(DIVIDE(VLOOKUP($B902,Data!$B$3:$EZ1530,9,FALSE),VLOOKUP($B902,Data!$B$3:$EZ1530,10,FALSE)),1),"")</f>
        <v>-0.04498269896</v>
      </c>
      <c r="J902" s="48">
        <f>IFERROR(MINUS(DIVIDE(VLOOKUP($B902,Data!$B$3:$EZ1530,24,FALSE),VLOOKUP($B902,Data!$B$3:$EZ1530,25,FALSE)),1),"")</f>
        <v>-0.3024363636</v>
      </c>
      <c r="K902" s="48">
        <f>IFERROR(MINUS(DIVIDE(VLOOKUP($B902,Data!$B$3:$EZ1530,29,FALSE),VLOOKUP($B902,Data!$B$3:$EZ1530,30,FALSE)),1),"")</f>
        <v>-0.2861428571</v>
      </c>
      <c r="L902" s="48">
        <f>IFERROR(MINUS(DIVIDE(VLOOKUP($B902,Data!$B$3:$EZ1530,34,FALSE),VLOOKUP($B902,Data!$B$3:$EZ1530,35,FALSE)),1),"")</f>
        <v>-0.1142857143</v>
      </c>
      <c r="M902" s="48">
        <f>IFERROR(MINUS(DIVIDE(VLOOKUP($B902,Data!$B$3:$EZ1530,39,FALSE),VLOOKUP($B902,Data!$B$3:$EZ1530,40,FALSE)),1),"")</f>
        <v>-0.1324302584</v>
      </c>
      <c r="N902" s="48">
        <f>IFERROR(MINUS(DIVIDE(VLOOKUP($B902,Data!$B$3:$EZ1530,44,FALSE),VLOOKUP($B902,Data!$B$3:$EZ1530,45,FALSE)),1),"")</f>
        <v>0.2033898305</v>
      </c>
      <c r="O902" s="50">
        <f>IFERROR(VLOOKUP($B902,Data!$B$3:$D1530,2,FALSE),"")</f>
        <v>9660000</v>
      </c>
      <c r="P902" s="50">
        <f>IFERROR(VLOOKUP($B902,Data!$B$3:$D1530,3,FALSE),"")</f>
        <v>9190000</v>
      </c>
      <c r="Q902" s="48">
        <f t="shared" si="2"/>
        <v>0.05114254625</v>
      </c>
      <c r="R902" s="48"/>
      <c r="S902" s="48"/>
      <c r="T902" s="48"/>
      <c r="U902" s="48"/>
      <c r="V902" s="48"/>
      <c r="W902" s="50"/>
      <c r="Z902" s="12"/>
      <c r="AA902" s="12"/>
    </row>
    <row r="903">
      <c r="A903" s="9">
        <f t="shared" si="1"/>
        <v>900</v>
      </c>
      <c r="B903" s="47" t="s">
        <v>1037</v>
      </c>
      <c r="C903" s="48">
        <f>IFERROR(DIVIDE(VLOOKUP($B903,Data!$B$3:$AB$1535,9,FALSE),VLOOKUP($B903,Data!$B$3:$AB$1535,4,FALSE)),"")</f>
        <v>0.197824</v>
      </c>
      <c r="D903" s="48">
        <f>IFERROR(DIVIDE(VLOOKUP($B903,Data!$B$3:$AB$1535,24,FALSE),VLOOKUP($B903,Data!$B$3:$AB$1535,4,FALSE)),"")</f>
        <v>0.074836</v>
      </c>
      <c r="E903" s="48">
        <f>IFERROR(DIVIDE(VLOOKUP($B903,Data!$B$3:$EZ1530,29,FALSE),VLOOKUP($B903,Data!$B$3:$EZ1530,4,FALSE)),"")</f>
        <v>0.066412</v>
      </c>
      <c r="F903" s="48">
        <f>IFERROR(DIVIDE(VLOOKUP($B903,Data!$B$3:$EZ1530,34,FALSE),VLOOKUP($B903,Data!$B$3:$EZ1530,4,FALSE)),"")</f>
        <v>0.082184</v>
      </c>
      <c r="G903" s="48">
        <f>IFERROR(DIVIDE(VLOOKUP($B903,Data!$B$3:$EZ1530,39,FALSE),VLOOKUP($B903,Data!$B$3:$EZ1530,4,FALSE)),"")</f>
        <v>0.051036</v>
      </c>
      <c r="H903" s="48">
        <f>IFERROR(DIVIDE(VLOOKUP($B903,Data!$B$3:$EZ1530,44,FALSE),VLOOKUP($B903,Data!$B$3:$EZ1530,4,FALSE)),"")</f>
        <v>0.026252</v>
      </c>
      <c r="I903" s="48">
        <f>IFERROR(MINUS(DIVIDE(VLOOKUP($B903,Data!$B$3:$EZ1530,9,FALSE),VLOOKUP($B903,Data!$B$3:$EZ1530,10,FALSE)),1),"")</f>
        <v>0.1020835655</v>
      </c>
      <c r="J903" s="48">
        <f>IFERROR(MINUS(DIVIDE(VLOOKUP($B903,Data!$B$3:$EZ1530,24,FALSE),VLOOKUP($B903,Data!$B$3:$EZ1530,25,FALSE)),1),"")</f>
        <v>0.1587390066</v>
      </c>
      <c r="K903" s="48">
        <f>IFERROR(MINUS(DIVIDE(VLOOKUP($B903,Data!$B$3:$EZ1530,29,FALSE),VLOOKUP($B903,Data!$B$3:$EZ1530,30,FALSE)),1),"")</f>
        <v>0.1751008564</v>
      </c>
      <c r="L903" s="48">
        <f>IFERROR(MINUS(DIVIDE(VLOOKUP($B903,Data!$B$3:$EZ1530,34,FALSE),VLOOKUP($B903,Data!$B$3:$EZ1530,35,FALSE)),1),"")</f>
        <v>0.1803297524</v>
      </c>
      <c r="M903" s="48">
        <f>IFERROR(MINUS(DIVIDE(VLOOKUP($B903,Data!$B$3:$EZ1530,39,FALSE),VLOOKUP($B903,Data!$B$3:$EZ1530,40,FALSE)),1),"")</f>
        <v>0.1851198217</v>
      </c>
      <c r="N903" s="48">
        <f>IFERROR(MINUS(DIVIDE(VLOOKUP($B903,Data!$B$3:$EZ1530,44,FALSE),VLOOKUP($B903,Data!$B$3:$EZ1530,45,FALSE)),1),"")</f>
        <v>-26.33976834</v>
      </c>
      <c r="O903" s="50">
        <f>IFERROR(VLOOKUP($B903,Data!$B$3:$D1530,2,FALSE),"")</f>
        <v>2680000</v>
      </c>
      <c r="P903" s="50">
        <f>IFERROR(VLOOKUP($B903,Data!$B$3:$D1530,3,FALSE),"")</f>
        <v>2470000</v>
      </c>
      <c r="Q903" s="48">
        <f t="shared" si="2"/>
        <v>0.08502024291</v>
      </c>
      <c r="R903" s="48"/>
      <c r="S903" s="48"/>
      <c r="T903" s="48"/>
      <c r="U903" s="48"/>
      <c r="V903" s="48"/>
      <c r="W903" s="50"/>
      <c r="Z903" s="11"/>
      <c r="AA903" s="11"/>
    </row>
    <row r="904">
      <c r="A904" s="9">
        <f t="shared" si="1"/>
        <v>901</v>
      </c>
      <c r="B904" s="47" t="s">
        <v>1038</v>
      </c>
      <c r="C904" s="48">
        <f>IFERROR(DIVIDE(VLOOKUP($B904,Data!$B$3:$AB$1535,9,FALSE),VLOOKUP($B904,Data!$B$3:$AB$1535,4,FALSE)),"")</f>
        <v>0.3843930636</v>
      </c>
      <c r="D904" s="48">
        <f>IFERROR(DIVIDE(VLOOKUP($B904,Data!$B$3:$AB$1535,24,FALSE),VLOOKUP($B904,Data!$B$3:$AB$1535,4,FALSE)),"")</f>
        <v>0.1595375723</v>
      </c>
      <c r="E904" s="48">
        <f>IFERROR(DIVIDE(VLOOKUP($B904,Data!$B$3:$EZ1530,29,FALSE),VLOOKUP($B904,Data!$B$3:$EZ1530,4,FALSE)),"")</f>
        <v>0.08092485549</v>
      </c>
      <c r="F904" s="48">
        <f>IFERROR(DIVIDE(VLOOKUP($B904,Data!$B$3:$EZ1530,34,FALSE),VLOOKUP($B904,Data!$B$3:$EZ1530,4,FALSE)),"")</f>
        <v>0.3196531792</v>
      </c>
      <c r="G904" s="48">
        <f>IFERROR(DIVIDE(VLOOKUP($B904,Data!$B$3:$EZ1530,39,FALSE),VLOOKUP($B904,Data!$B$3:$EZ1530,4,FALSE)),"")</f>
        <v>0.05838150289</v>
      </c>
      <c r="H904" s="48">
        <f>IFERROR(DIVIDE(VLOOKUP($B904,Data!$B$3:$EZ1530,44,FALSE),VLOOKUP($B904,Data!$B$3:$EZ1530,4,FALSE)),"")</f>
        <v>0.2699421965</v>
      </c>
      <c r="I904" s="48">
        <f>IFERROR(MINUS(DIVIDE(VLOOKUP($B904,Data!$B$3:$EZ1530,9,FALSE),VLOOKUP($B904,Data!$B$3:$EZ1530,10,FALSE)),1),"")</f>
        <v>0.08360898825</v>
      </c>
      <c r="J904" s="48">
        <f>IFERROR(MINUS(DIVIDE(VLOOKUP($B904,Data!$B$3:$EZ1530,24,FALSE),VLOOKUP($B904,Data!$B$3:$EZ1530,25,FALSE)),1),"")</f>
        <v>-435.6456693</v>
      </c>
      <c r="K904" s="48">
        <f>IFERROR(MINUS(DIVIDE(VLOOKUP($B904,Data!$B$3:$EZ1530,29,FALSE),VLOOKUP($B904,Data!$B$3:$EZ1530,30,FALSE)),1),"")</f>
        <v>0.2272089762</v>
      </c>
      <c r="L904" s="48">
        <f>IFERROR(MINUS(DIVIDE(VLOOKUP($B904,Data!$B$3:$EZ1530,34,FALSE),VLOOKUP($B904,Data!$B$3:$EZ1530,35,FALSE)),1),"")</f>
        <v>0.1008699461</v>
      </c>
      <c r="M904" s="48">
        <f>IFERROR(MINUS(DIVIDE(VLOOKUP($B904,Data!$B$3:$EZ1530,39,FALSE),VLOOKUP($B904,Data!$B$3:$EZ1530,40,FALSE)),1),"")</f>
        <v>0.4835487662</v>
      </c>
      <c r="N904" s="48">
        <f>IFERROR(MINUS(DIVIDE(VLOOKUP($B904,Data!$B$3:$EZ1530,44,FALSE),VLOOKUP($B904,Data!$B$3:$EZ1530,45,FALSE)),1),"")</f>
        <v>-0.01301885197</v>
      </c>
      <c r="O904" s="50">
        <f>IFERROR(VLOOKUP($B904,Data!$B$3:$D1530,2,FALSE),"")</f>
        <v>1560000</v>
      </c>
      <c r="P904" s="50">
        <f>IFERROR(VLOOKUP($B904,Data!$B$3:$D1530,3,FALSE),"")</f>
        <v>1350000</v>
      </c>
      <c r="Q904" s="48">
        <f t="shared" si="2"/>
        <v>0.1555555556</v>
      </c>
      <c r="R904" s="48"/>
      <c r="S904" s="48"/>
      <c r="T904" s="48"/>
      <c r="U904" s="48"/>
      <c r="V904" s="48"/>
      <c r="W904" s="50"/>
      <c r="Z904" s="15"/>
      <c r="AA904" s="15"/>
    </row>
    <row r="905">
      <c r="A905" s="9">
        <f t="shared" si="1"/>
        <v>902</v>
      </c>
      <c r="B905" s="47" t="s">
        <v>1039</v>
      </c>
      <c r="C905" s="48">
        <f>IFERROR(DIVIDE(VLOOKUP($B905,Data!$B$3:$AB$1535,9,FALSE),VLOOKUP($B905,Data!$B$3:$AB$1535,4,FALSE)),"")</f>
        <v>0.3648648649</v>
      </c>
      <c r="D905" s="48">
        <f>IFERROR(DIVIDE(VLOOKUP($B905,Data!$B$3:$AB$1535,24,FALSE),VLOOKUP($B905,Data!$B$3:$AB$1535,4,FALSE)),"")</f>
        <v>0.1736621622</v>
      </c>
      <c r="E905" s="48">
        <f>IFERROR(DIVIDE(VLOOKUP($B905,Data!$B$3:$EZ1530,29,FALSE),VLOOKUP($B905,Data!$B$3:$EZ1530,4,FALSE)),"")</f>
        <v>0.1562905405</v>
      </c>
      <c r="F905" s="48">
        <f>IFERROR(DIVIDE(VLOOKUP($B905,Data!$B$3:$EZ1530,34,FALSE),VLOOKUP($B905,Data!$B$3:$EZ1530,4,FALSE)),"")</f>
        <v>0.2066013514</v>
      </c>
      <c r="G905" s="48">
        <f>IFERROR(DIVIDE(VLOOKUP($B905,Data!$B$3:$EZ1530,39,FALSE),VLOOKUP($B905,Data!$B$3:$EZ1530,4,FALSE)),"")</f>
        <v>0.119</v>
      </c>
      <c r="H905" s="48">
        <f>IFERROR(DIVIDE(VLOOKUP($B905,Data!$B$3:$EZ1530,44,FALSE),VLOOKUP($B905,Data!$B$3:$EZ1530,4,FALSE)),"")</f>
        <v>0.1275101351</v>
      </c>
      <c r="I905" s="48">
        <f>IFERROR(MINUS(DIVIDE(VLOOKUP($B905,Data!$B$3:$EZ1530,9,FALSE),VLOOKUP($B905,Data!$B$3:$EZ1530,10,FALSE)),1),"")</f>
        <v>0.03846153846</v>
      </c>
      <c r="J905" s="48">
        <f>IFERROR(MINUS(DIVIDE(VLOOKUP($B905,Data!$B$3:$EZ1530,24,FALSE),VLOOKUP($B905,Data!$B$3:$EZ1530,25,FALSE)),1),"")</f>
        <v>0.1524526948</v>
      </c>
      <c r="K905" s="48">
        <f>IFERROR(MINUS(DIVIDE(VLOOKUP($B905,Data!$B$3:$EZ1530,29,FALSE),VLOOKUP($B905,Data!$B$3:$EZ1530,30,FALSE)),1),"")</f>
        <v>0.09234728814</v>
      </c>
      <c r="L905" s="48">
        <f>IFERROR(MINUS(DIVIDE(VLOOKUP($B905,Data!$B$3:$EZ1530,34,FALSE),VLOOKUP($B905,Data!$B$3:$EZ1530,35,FALSE)),1),"")</f>
        <v>0.08710491698</v>
      </c>
      <c r="M905" s="48">
        <f>IFERROR(MINUS(DIVIDE(VLOOKUP($B905,Data!$B$3:$EZ1530,39,FALSE),VLOOKUP($B905,Data!$B$3:$EZ1530,40,FALSE)),1),"")</f>
        <v>0.1106416522</v>
      </c>
      <c r="N905" s="48">
        <f>IFERROR(MINUS(DIVIDE(VLOOKUP($B905,Data!$B$3:$EZ1530,44,FALSE),VLOOKUP($B905,Data!$B$3:$EZ1530,45,FALSE)),1),"")</f>
        <v>0.02309506384</v>
      </c>
      <c r="O905" s="50">
        <f>IFERROR(VLOOKUP($B905,Data!$B$3:$D1530,2,FALSE),"")</f>
        <v>2640000</v>
      </c>
      <c r="P905" s="50">
        <f>IFERROR(VLOOKUP($B905,Data!$B$3:$D1530,3,FALSE),"")</f>
        <v>2440000</v>
      </c>
      <c r="Q905" s="48">
        <f t="shared" si="2"/>
        <v>0.08196721311</v>
      </c>
      <c r="R905" s="48"/>
      <c r="S905" s="48"/>
      <c r="T905" s="48"/>
      <c r="U905" s="48"/>
      <c r="V905" s="48"/>
      <c r="W905" s="50"/>
      <c r="Z905" s="11"/>
      <c r="AA905" s="11"/>
    </row>
    <row r="906">
      <c r="A906" s="9">
        <f t="shared" si="1"/>
        <v>903</v>
      </c>
      <c r="B906" s="47" t="s">
        <v>1040</v>
      </c>
      <c r="C906" s="48">
        <f>IFERROR(DIVIDE(VLOOKUP($B906,Data!$B$3:$AB$1535,9,FALSE),VLOOKUP($B906,Data!$B$3:$AB$1535,4,FALSE)),"")</f>
        <v>0.3688362919</v>
      </c>
      <c r="D906" s="48">
        <f>IFERROR(DIVIDE(VLOOKUP($B906,Data!$B$3:$AB$1535,24,FALSE),VLOOKUP($B906,Data!$B$3:$AB$1535,4,FALSE)),"")</f>
        <v>0.1012406312</v>
      </c>
      <c r="E906" s="48">
        <f>IFERROR(DIVIDE(VLOOKUP($B906,Data!$B$3:$EZ1530,29,FALSE),VLOOKUP($B906,Data!$B$3:$EZ1530,4,FALSE)),"")</f>
        <v>0.07068441815</v>
      </c>
      <c r="F906" s="48">
        <f>IFERROR(DIVIDE(VLOOKUP($B906,Data!$B$3:$EZ1530,34,FALSE),VLOOKUP($B906,Data!$B$3:$EZ1530,4,FALSE)),"")</f>
        <v>0.201183432</v>
      </c>
      <c r="G906" s="48">
        <f>IFERROR(DIVIDE(VLOOKUP($B906,Data!$B$3:$EZ1530,39,FALSE),VLOOKUP($B906,Data!$B$3:$EZ1530,4,FALSE)),"")</f>
        <v>0.05370414201</v>
      </c>
      <c r="H906" s="48">
        <f>IFERROR(DIVIDE(VLOOKUP($B906,Data!$B$3:$EZ1530,44,FALSE),VLOOKUP($B906,Data!$B$3:$EZ1530,4,FALSE)),"")</f>
        <v>0.1609842209</v>
      </c>
      <c r="I906" s="48">
        <f>IFERROR(MINUS(DIVIDE(VLOOKUP($B906,Data!$B$3:$EZ1530,9,FALSE),VLOOKUP($B906,Data!$B$3:$EZ1530,10,FALSE)),1),"")</f>
        <v>-0.07425742574</v>
      </c>
      <c r="J906" s="48">
        <f>IFERROR(MINUS(DIVIDE(VLOOKUP($B906,Data!$B$3:$EZ1530,24,FALSE),VLOOKUP($B906,Data!$B$3:$EZ1530,25,FALSE)),1),"")</f>
        <v>-0.09343153358</v>
      </c>
      <c r="K906" s="48">
        <f>IFERROR(MINUS(DIVIDE(VLOOKUP($B906,Data!$B$3:$EZ1530,29,FALSE),VLOOKUP($B906,Data!$B$3:$EZ1530,30,FALSE)),1),"")</f>
        <v>-0.1407025537</v>
      </c>
      <c r="L906" s="48">
        <f>IFERROR(MINUS(DIVIDE(VLOOKUP($B906,Data!$B$3:$EZ1530,34,FALSE),VLOOKUP($B906,Data!$B$3:$EZ1530,35,FALSE)),1),"")</f>
        <v>0.2805383283</v>
      </c>
      <c r="M906" s="48">
        <f>IFERROR(MINUS(DIVIDE(VLOOKUP($B906,Data!$B$3:$EZ1530,39,FALSE),VLOOKUP($B906,Data!$B$3:$EZ1530,40,FALSE)),1),"")</f>
        <v>-0.1463238752</v>
      </c>
      <c r="N906" s="48">
        <f>IFERROR(MINUS(DIVIDE(VLOOKUP($B906,Data!$B$3:$EZ1530,44,FALSE),VLOOKUP($B906,Data!$B$3:$EZ1530,45,FALSE)),1),"")</f>
        <v>0.8371899338</v>
      </c>
      <c r="O906" s="50">
        <f>IFERROR(VLOOKUP($B906,Data!$B$3:$D1530,2,FALSE),"")</f>
        <v>5020000</v>
      </c>
      <c r="P906" s="50">
        <f>IFERROR(VLOOKUP($B906,Data!$B$3:$D1530,3,FALSE),"")</f>
        <v>4780000</v>
      </c>
      <c r="Q906" s="48">
        <f t="shared" si="2"/>
        <v>0.05020920502</v>
      </c>
      <c r="R906" s="48"/>
      <c r="S906" s="48"/>
      <c r="T906" s="48"/>
      <c r="U906" s="48"/>
      <c r="V906" s="48"/>
      <c r="W906" s="50"/>
      <c r="Z906" s="11"/>
      <c r="AA906" s="11"/>
    </row>
    <row r="907">
      <c r="A907" s="9">
        <f t="shared" si="1"/>
        <v>904</v>
      </c>
      <c r="B907" s="47" t="s">
        <v>1041</v>
      </c>
      <c r="C907" s="48" t="str">
        <f>IFERROR(DIVIDE(VLOOKUP($B907,Data!$B$3:$AB$1535,9,FALSE),VLOOKUP($B907,Data!$B$3:$AB$1535,4,FALSE)),"")</f>
        <v/>
      </c>
      <c r="D907" s="48" t="str">
        <f>IFERROR(DIVIDE(VLOOKUP($B907,Data!$B$3:$AB$1535,24,FALSE),VLOOKUP($B907,Data!$B$3:$AB$1535,4,FALSE)),"")</f>
        <v/>
      </c>
      <c r="E907" s="48" t="str">
        <f>IFERROR(DIVIDE(VLOOKUP($B907,Data!$B$3:$EZ1530,29,FALSE),VLOOKUP($B907,Data!$B$3:$EZ1530,4,FALSE)),"")</f>
        <v/>
      </c>
      <c r="F907" s="48" t="str">
        <f>IFERROR(DIVIDE(VLOOKUP($B907,Data!$B$3:$EZ1530,34,FALSE),VLOOKUP($B907,Data!$B$3:$EZ1530,4,FALSE)),"")</f>
        <v/>
      </c>
      <c r="G907" s="48" t="str">
        <f>IFERROR(DIVIDE(VLOOKUP($B907,Data!$B$3:$EZ1530,39,FALSE),VLOOKUP($B907,Data!$B$3:$EZ1530,4,FALSE)),"")</f>
        <v/>
      </c>
      <c r="H907" s="48" t="str">
        <f>IFERROR(DIVIDE(VLOOKUP($B907,Data!$B$3:$EZ1530,44,FALSE),VLOOKUP($B907,Data!$B$3:$EZ1530,4,FALSE)),"")</f>
        <v/>
      </c>
      <c r="I907" s="48" t="str">
        <f>IFERROR(MINUS(DIVIDE(VLOOKUP($B907,Data!$B$3:$EZ1530,9,FALSE),VLOOKUP($B907,Data!$B$3:$EZ1530,10,FALSE)),1),"")</f>
        <v/>
      </c>
      <c r="J907" s="48">
        <f>IFERROR(MINUS(DIVIDE(VLOOKUP($B907,Data!$B$3:$EZ1530,24,FALSE),VLOOKUP($B907,Data!$B$3:$EZ1530,25,FALSE)),1),"")</f>
        <v>-1</v>
      </c>
      <c r="K907" s="48">
        <f>IFERROR(MINUS(DIVIDE(VLOOKUP($B907,Data!$B$3:$EZ1530,29,FALSE),VLOOKUP($B907,Data!$B$3:$EZ1530,30,FALSE)),1),"")</f>
        <v>2.027665706</v>
      </c>
      <c r="L907" s="48">
        <f>IFERROR(MINUS(DIVIDE(VLOOKUP($B907,Data!$B$3:$EZ1530,34,FALSE),VLOOKUP($B907,Data!$B$3:$EZ1530,35,FALSE)),1),"")</f>
        <v>17.6369863</v>
      </c>
      <c r="M907" s="48">
        <f>IFERROR(MINUS(DIVIDE(VLOOKUP($B907,Data!$B$3:$EZ1530,39,FALSE),VLOOKUP($B907,Data!$B$3:$EZ1530,40,FALSE)),1),"")</f>
        <v>2.028818444</v>
      </c>
      <c r="N907" s="48">
        <f>IFERROR(MINUS(DIVIDE(VLOOKUP($B907,Data!$B$3:$EZ1530,44,FALSE),VLOOKUP($B907,Data!$B$3:$EZ1530,45,FALSE)),1),"")</f>
        <v>104.3887399</v>
      </c>
      <c r="O907" s="50">
        <f>IFERROR(VLOOKUP($B907,Data!$B$3:$D1530,2,FALSE),"")</f>
        <v>10670</v>
      </c>
      <c r="P907" s="50" t="str">
        <f>IFERROR(VLOOKUP($B907,Data!$B$3:$D1530,3,FALSE),"")</f>
        <v/>
      </c>
      <c r="Q907" s="48" t="str">
        <f t="shared" si="2"/>
        <v/>
      </c>
      <c r="R907" s="48"/>
      <c r="S907" s="48"/>
      <c r="T907" s="48"/>
      <c r="U907" s="48"/>
      <c r="V907" s="48"/>
      <c r="W907" s="50"/>
      <c r="Z907" s="11"/>
      <c r="AA907" s="11"/>
    </row>
    <row r="908">
      <c r="A908" s="9">
        <f t="shared" si="1"/>
        <v>905</v>
      </c>
      <c r="B908" s="47" t="s">
        <v>1042</v>
      </c>
      <c r="C908" s="48" t="str">
        <f>IFERROR(DIVIDE(VLOOKUP($B908,Data!$B$3:$AB$1535,9,FALSE),VLOOKUP($B908,Data!$B$3:$AB$1535,4,FALSE)),"")</f>
        <v/>
      </c>
      <c r="D908" s="48" t="str">
        <f>IFERROR(DIVIDE(VLOOKUP($B908,Data!$B$3:$AB$1535,24,FALSE),VLOOKUP($B908,Data!$B$3:$AB$1535,4,FALSE)),"")</f>
        <v/>
      </c>
      <c r="E908" s="48" t="str">
        <f>IFERROR(DIVIDE(VLOOKUP($B908,Data!$B$3:$EZ1530,29,FALSE),VLOOKUP($B908,Data!$B$3:$EZ1530,4,FALSE)),"")</f>
        <v/>
      </c>
      <c r="F908" s="48" t="str">
        <f>IFERROR(DIVIDE(VLOOKUP($B908,Data!$B$3:$EZ1530,34,FALSE),VLOOKUP($B908,Data!$B$3:$EZ1530,4,FALSE)),"")</f>
        <v/>
      </c>
      <c r="G908" s="48" t="str">
        <f>IFERROR(DIVIDE(VLOOKUP($B908,Data!$B$3:$EZ1530,39,FALSE),VLOOKUP($B908,Data!$B$3:$EZ1530,4,FALSE)),"")</f>
        <v/>
      </c>
      <c r="H908" s="48" t="str">
        <f>IFERROR(DIVIDE(VLOOKUP($B908,Data!$B$3:$EZ1530,44,FALSE),VLOOKUP($B908,Data!$B$3:$EZ1530,4,FALSE)),"")</f>
        <v/>
      </c>
      <c r="I908" s="48">
        <f>IFERROR(MINUS(DIVIDE(VLOOKUP($B908,Data!$B$3:$EZ1530,9,FALSE),VLOOKUP($B908,Data!$B$3:$EZ1530,10,FALSE)),1),"")</f>
        <v>22.6</v>
      </c>
      <c r="J908" s="48" t="str">
        <f>IFERROR(MINUS(DIVIDE(VLOOKUP($B908,Data!$B$3:$EZ1530,24,FALSE),VLOOKUP($B908,Data!$B$3:$EZ1530,25,FALSE)),1),"")</f>
        <v/>
      </c>
      <c r="K908" s="48">
        <f>IFERROR(MINUS(DIVIDE(VLOOKUP($B908,Data!$B$3:$EZ1530,29,FALSE),VLOOKUP($B908,Data!$B$3:$EZ1530,30,FALSE)),1),"")</f>
        <v>1.38254172</v>
      </c>
      <c r="L908" s="48">
        <f>IFERROR(MINUS(DIVIDE(VLOOKUP($B908,Data!$B$3:$EZ1530,34,FALSE),VLOOKUP($B908,Data!$B$3:$EZ1530,35,FALSE)),1),"")</f>
        <v>1.411300374</v>
      </c>
      <c r="M908" s="48">
        <f>IFERROR(MINUS(DIVIDE(VLOOKUP($B908,Data!$B$3:$EZ1530,39,FALSE),VLOOKUP($B908,Data!$B$3:$EZ1530,40,FALSE)),1),"")</f>
        <v>1.381630013</v>
      </c>
      <c r="N908" s="48">
        <f>IFERROR(MINUS(DIVIDE(VLOOKUP($B908,Data!$B$3:$EZ1530,44,FALSE),VLOOKUP($B908,Data!$B$3:$EZ1530,45,FALSE)),1),"")</f>
        <v>1.429928741</v>
      </c>
      <c r="O908" s="50" t="str">
        <f>IFERROR(VLOOKUP($B908,Data!$B$3:$D1530,2,FALSE),"")</f>
        <v/>
      </c>
      <c r="P908" s="50" t="str">
        <f>IFERROR(VLOOKUP($B908,Data!$B$3:$D1530,3,FALSE),"")</f>
        <v/>
      </c>
      <c r="Q908" s="48" t="str">
        <f t="shared" si="2"/>
        <v/>
      </c>
      <c r="R908" s="48"/>
      <c r="S908" s="48"/>
      <c r="T908" s="48"/>
      <c r="U908" s="48"/>
      <c r="V908" s="48"/>
      <c r="W908" s="50"/>
      <c r="Z908" s="11"/>
      <c r="AA908" s="11"/>
    </row>
    <row r="909">
      <c r="A909" s="9">
        <f t="shared" si="1"/>
        <v>906</v>
      </c>
      <c r="B909" s="47" t="s">
        <v>1043</v>
      </c>
      <c r="C909" s="48">
        <f>IFERROR(DIVIDE(VLOOKUP($B909,Data!$B$3:$AB$1535,9,FALSE),VLOOKUP($B909,Data!$B$3:$AB$1535,4,FALSE)),"")</f>
        <v>0.4</v>
      </c>
      <c r="D909" s="48">
        <f>IFERROR(DIVIDE(VLOOKUP($B909,Data!$B$3:$AB$1535,24,FALSE),VLOOKUP($B909,Data!$B$3:$AB$1535,4,FALSE)),"")</f>
        <v>0.1785794393</v>
      </c>
      <c r="E909" s="48">
        <f>IFERROR(DIVIDE(VLOOKUP($B909,Data!$B$3:$EZ1530,29,FALSE),VLOOKUP($B909,Data!$B$3:$EZ1530,4,FALSE)),"")</f>
        <v>0.1531214953</v>
      </c>
      <c r="F909" s="48">
        <f>IFERROR(DIVIDE(VLOOKUP($B909,Data!$B$3:$EZ1530,34,FALSE),VLOOKUP($B909,Data!$B$3:$EZ1530,4,FALSE)),"")</f>
        <v>0.2130841121</v>
      </c>
      <c r="G909" s="48">
        <f>IFERROR(DIVIDE(VLOOKUP($B909,Data!$B$3:$EZ1530,39,FALSE),VLOOKUP($B909,Data!$B$3:$EZ1530,4,FALSE)),"")</f>
        <v>0.1313457944</v>
      </c>
      <c r="H909" s="48">
        <f>IFERROR(DIVIDE(VLOOKUP($B909,Data!$B$3:$EZ1530,44,FALSE),VLOOKUP($B909,Data!$B$3:$EZ1530,4,FALSE)),"")</f>
        <v>0.1769719626</v>
      </c>
      <c r="I909" s="48">
        <f>IFERROR(MINUS(DIVIDE(VLOOKUP($B909,Data!$B$3:$EZ1530,9,FALSE),VLOOKUP($B909,Data!$B$3:$EZ1530,10,FALSE)),1),"")</f>
        <v>0.01904761905</v>
      </c>
      <c r="J909" s="48">
        <f>IFERROR(MINUS(DIVIDE(VLOOKUP($B909,Data!$B$3:$EZ1530,24,FALSE),VLOOKUP($B909,Data!$B$3:$EZ1530,25,FALSE)),1),"")</f>
        <v>-25.43478261</v>
      </c>
      <c r="K909" s="48">
        <f>IFERROR(MINUS(DIVIDE(VLOOKUP($B909,Data!$B$3:$EZ1530,29,FALSE),VLOOKUP($B909,Data!$B$3:$EZ1530,30,FALSE)),1),"")</f>
        <v>0.1050856603</v>
      </c>
      <c r="L909" s="48">
        <f>IFERROR(MINUS(DIVIDE(VLOOKUP($B909,Data!$B$3:$EZ1530,34,FALSE),VLOOKUP($B909,Data!$B$3:$EZ1530,35,FALSE)),1),"")</f>
        <v>0.05555555556</v>
      </c>
      <c r="M909" s="48">
        <f>IFERROR(MINUS(DIVIDE(VLOOKUP($B909,Data!$B$3:$EZ1530,39,FALSE),VLOOKUP($B909,Data!$B$3:$EZ1530,40,FALSE)),1),"")</f>
        <v>-0.2471609171</v>
      </c>
      <c r="N909" s="48">
        <f>IFERROR(MINUS(DIVIDE(VLOOKUP($B909,Data!$B$3:$EZ1530,44,FALSE),VLOOKUP($B909,Data!$B$3:$EZ1530,45,FALSE)),1),"")</f>
        <v>0.152946907</v>
      </c>
      <c r="O909" s="50">
        <f>IFERROR(VLOOKUP($B909,Data!$B$3:$D1530,2,FALSE),"")</f>
        <v>5530000</v>
      </c>
      <c r="P909" s="50">
        <f>IFERROR(VLOOKUP($B909,Data!$B$3:$D1530,3,FALSE),"")</f>
        <v>5530000</v>
      </c>
      <c r="Q909" s="48">
        <f t="shared" si="2"/>
        <v>0</v>
      </c>
      <c r="R909" s="48"/>
      <c r="S909" s="48"/>
      <c r="T909" s="48"/>
      <c r="U909" s="48"/>
      <c r="V909" s="48"/>
      <c r="W909" s="50"/>
      <c r="Z909" s="11"/>
      <c r="AA909" s="12"/>
    </row>
    <row r="910">
      <c r="A910" s="9">
        <f t="shared" si="1"/>
        <v>907</v>
      </c>
      <c r="B910" s="47" t="s">
        <v>1044</v>
      </c>
      <c r="C910" s="48">
        <f>IFERROR(DIVIDE(VLOOKUP($B910,Data!$B$3:$AB$1535,9,FALSE),VLOOKUP($B910,Data!$B$3:$AB$1535,4,FALSE)),"")</f>
        <v>0.2556521739</v>
      </c>
      <c r="D910" s="48">
        <f>IFERROR(DIVIDE(VLOOKUP($B910,Data!$B$3:$AB$1535,24,FALSE),VLOOKUP($B910,Data!$B$3:$AB$1535,4,FALSE)),"")</f>
        <v>0.1335217391</v>
      </c>
      <c r="E910" s="48">
        <f>IFERROR(DIVIDE(VLOOKUP($B910,Data!$B$3:$EZ1530,29,FALSE),VLOOKUP($B910,Data!$B$3:$EZ1530,4,FALSE)),"")</f>
        <v>0.07013217391</v>
      </c>
      <c r="F910" s="48">
        <f>IFERROR(DIVIDE(VLOOKUP($B910,Data!$B$3:$EZ1530,34,FALSE),VLOOKUP($B910,Data!$B$3:$EZ1530,4,FALSE)),"")</f>
        <v>0.2434782609</v>
      </c>
      <c r="G910" s="48">
        <f>IFERROR(DIVIDE(VLOOKUP($B910,Data!$B$3:$EZ1530,39,FALSE),VLOOKUP($B910,Data!$B$3:$EZ1530,4,FALSE)),"")</f>
        <v>0.06501217391</v>
      </c>
      <c r="H910" s="48">
        <f>IFERROR(DIVIDE(VLOOKUP($B910,Data!$B$3:$EZ1530,44,FALSE),VLOOKUP($B910,Data!$B$3:$EZ1530,4,FALSE)),"")</f>
        <v>0.1406486957</v>
      </c>
      <c r="I910" s="48">
        <f>IFERROR(MINUS(DIVIDE(VLOOKUP($B910,Data!$B$3:$EZ1530,9,FALSE),VLOOKUP($B910,Data!$B$3:$EZ1530,10,FALSE)),1),"")</f>
        <v>0.1221374046</v>
      </c>
      <c r="J910" s="48">
        <f>IFERROR(MINUS(DIVIDE(VLOOKUP($B910,Data!$B$3:$EZ1530,24,FALSE),VLOOKUP($B910,Data!$B$3:$EZ1530,25,FALSE)),1),"")</f>
        <v>-222.8930636</v>
      </c>
      <c r="K910" s="48">
        <f>IFERROR(MINUS(DIVIDE(VLOOKUP($B910,Data!$B$3:$EZ1530,29,FALSE),VLOOKUP($B910,Data!$B$3:$EZ1530,30,FALSE)),1),"")</f>
        <v>0.1901543547</v>
      </c>
      <c r="L910" s="48">
        <f>IFERROR(MINUS(DIVIDE(VLOOKUP($B910,Data!$B$3:$EZ1530,34,FALSE),VLOOKUP($B910,Data!$B$3:$EZ1530,35,FALSE)),1),"")</f>
        <v>0.1290322581</v>
      </c>
      <c r="M910" s="48">
        <f>IFERROR(MINUS(DIVIDE(VLOOKUP($B910,Data!$B$3:$EZ1530,39,FALSE),VLOOKUP($B910,Data!$B$3:$EZ1530,40,FALSE)),1),"")</f>
        <v>0.09950292656</v>
      </c>
      <c r="N910" s="48">
        <f>IFERROR(MINUS(DIVIDE(VLOOKUP($B910,Data!$B$3:$EZ1530,44,FALSE),VLOOKUP($B910,Data!$B$3:$EZ1530,45,FALSE)),1),"")</f>
        <v>-0.2297809524</v>
      </c>
      <c r="O910" s="50">
        <f>IFERROR(VLOOKUP($B910,Data!$B$3:$D1530,2,FALSE),"")</f>
        <v>5330000</v>
      </c>
      <c r="P910" s="50">
        <f>IFERROR(VLOOKUP($B910,Data!$B$3:$D1530,3,FALSE),"")</f>
        <v>3360000</v>
      </c>
      <c r="Q910" s="48">
        <f t="shared" si="2"/>
        <v>0.5863095238</v>
      </c>
      <c r="R910" s="48"/>
      <c r="S910" s="48"/>
      <c r="T910" s="48"/>
      <c r="U910" s="48"/>
      <c r="V910" s="48"/>
      <c r="W910" s="50"/>
      <c r="Z910" s="12"/>
      <c r="AA910" s="12"/>
    </row>
    <row r="911">
      <c r="A911" s="9">
        <f t="shared" si="1"/>
        <v>908</v>
      </c>
      <c r="B911" s="47" t="s">
        <v>1045</v>
      </c>
      <c r="C911" s="48">
        <f>IFERROR(DIVIDE(VLOOKUP($B911,Data!$B$3:$AB$1535,9,FALSE),VLOOKUP($B911,Data!$B$3:$AB$1535,4,FALSE)),"")</f>
        <v>0.3657429719</v>
      </c>
      <c r="D911" s="48">
        <f>IFERROR(DIVIDE(VLOOKUP($B911,Data!$B$3:$AB$1535,24,FALSE),VLOOKUP($B911,Data!$B$3:$AB$1535,4,FALSE)),"")</f>
        <v>-0.001325301205</v>
      </c>
      <c r="E911" s="48">
        <f>IFERROR(DIVIDE(VLOOKUP($B911,Data!$B$3:$EZ1530,29,FALSE),VLOOKUP($B911,Data!$B$3:$EZ1530,4,FALSE)),"")</f>
        <v>-0.005381526104</v>
      </c>
      <c r="F911" s="48">
        <f>IFERROR(DIVIDE(VLOOKUP($B911,Data!$B$3:$EZ1530,34,FALSE),VLOOKUP($B911,Data!$B$3:$EZ1530,4,FALSE)),"")</f>
        <v>0.1095983936</v>
      </c>
      <c r="G911" s="48">
        <f>IFERROR(DIVIDE(VLOOKUP($B911,Data!$B$3:$EZ1530,39,FALSE),VLOOKUP($B911,Data!$B$3:$EZ1530,4,FALSE)),"")</f>
        <v>-0.003654618474</v>
      </c>
      <c r="H911" s="48">
        <f>IFERROR(DIVIDE(VLOOKUP($B911,Data!$B$3:$EZ1530,44,FALSE),VLOOKUP($B911,Data!$B$3:$EZ1530,4,FALSE)),"")</f>
        <v>0.08907630522</v>
      </c>
      <c r="I911" s="48">
        <f>IFERROR(MINUS(DIVIDE(VLOOKUP($B911,Data!$B$3:$EZ1530,9,FALSE),VLOOKUP($B911,Data!$B$3:$EZ1530,10,FALSE)),1),"")</f>
        <v>-0.02064738144</v>
      </c>
      <c r="J911" s="48">
        <f>IFERROR(MINUS(DIVIDE(VLOOKUP($B911,Data!$B$3:$EZ1530,24,FALSE),VLOOKUP($B911,Data!$B$3:$EZ1530,25,FALSE)),1),"")</f>
        <v>-1.016192345</v>
      </c>
      <c r="K911" s="48">
        <f>IFERROR(MINUS(DIVIDE(VLOOKUP($B911,Data!$B$3:$EZ1530,29,FALSE),VLOOKUP($B911,Data!$B$3:$EZ1530,30,FALSE)),1),"")</f>
        <v>-1.068682727</v>
      </c>
      <c r="L911" s="48">
        <f>IFERROR(MINUS(DIVIDE(VLOOKUP($B911,Data!$B$3:$EZ1530,34,FALSE),VLOOKUP($B911,Data!$B$3:$EZ1530,35,FALSE)),1),"")</f>
        <v>-0.04513645906</v>
      </c>
      <c r="M911" s="48">
        <f>IFERROR(MINUS(DIVIDE(VLOOKUP($B911,Data!$B$3:$EZ1530,39,FALSE),VLOOKUP($B911,Data!$B$3:$EZ1530,40,FALSE)),1),"")</f>
        <v>-1.056697819</v>
      </c>
      <c r="N911" s="48">
        <f>IFERROR(MINUS(DIVIDE(VLOOKUP($B911,Data!$B$3:$EZ1530,44,FALSE),VLOOKUP($B911,Data!$B$3:$EZ1530,45,FALSE)),1),"")</f>
        <v>0.02495378928</v>
      </c>
      <c r="O911" s="50">
        <f>IFERROR(VLOOKUP($B911,Data!$B$3:$D1530,2,FALSE),"")</f>
        <v>2380000</v>
      </c>
      <c r="P911" s="50">
        <f>IFERROR(VLOOKUP($B911,Data!$B$3:$D1530,3,FALSE),"")</f>
        <v>2250000</v>
      </c>
      <c r="Q911" s="48">
        <f t="shared" si="2"/>
        <v>0.05777777778</v>
      </c>
      <c r="R911" s="48"/>
      <c r="S911" s="48"/>
      <c r="T911" s="48"/>
      <c r="U911" s="48"/>
      <c r="V911" s="48"/>
      <c r="W911" s="50"/>
      <c r="Z911" s="15"/>
      <c r="AA911" s="15"/>
    </row>
    <row r="912">
      <c r="A912" s="9">
        <f t="shared" si="1"/>
        <v>909</v>
      </c>
      <c r="B912" s="47" t="s">
        <v>1046</v>
      </c>
      <c r="C912" s="48">
        <f>IFERROR(DIVIDE(VLOOKUP($B912,Data!$B$3:$AB$1535,9,FALSE),VLOOKUP($B912,Data!$B$3:$AB$1535,4,FALSE)),"")</f>
        <v>0.246835443</v>
      </c>
      <c r="D912" s="48">
        <f>IFERROR(DIVIDE(VLOOKUP($B912,Data!$B$3:$AB$1535,24,FALSE),VLOOKUP($B912,Data!$B$3:$AB$1535,4,FALSE)),"")</f>
        <v>0.1866877637</v>
      </c>
      <c r="E912" s="48">
        <f>IFERROR(DIVIDE(VLOOKUP($B912,Data!$B$3:$EZ1530,29,FALSE),VLOOKUP($B912,Data!$B$3:$EZ1530,4,FALSE)),"")</f>
        <v>0.1578691983</v>
      </c>
      <c r="F912" s="48">
        <f>IFERROR(DIVIDE(VLOOKUP($B912,Data!$B$3:$EZ1530,34,FALSE),VLOOKUP($B912,Data!$B$3:$EZ1530,4,FALSE)),"")</f>
        <v>0.2679324895</v>
      </c>
      <c r="G912" s="48">
        <f>IFERROR(DIVIDE(VLOOKUP($B912,Data!$B$3:$EZ1530,39,FALSE),VLOOKUP($B912,Data!$B$3:$EZ1530,4,FALSE)),"")</f>
        <v>0.1289029536</v>
      </c>
      <c r="H912" s="48">
        <f>IFERROR(DIVIDE(VLOOKUP($B912,Data!$B$3:$EZ1530,44,FALSE),VLOOKUP($B912,Data!$B$3:$EZ1530,4,FALSE)),"")</f>
        <v>0.2038185654</v>
      </c>
      <c r="I912" s="48">
        <f>IFERROR(MINUS(DIVIDE(VLOOKUP($B912,Data!$B$3:$EZ1530,9,FALSE),VLOOKUP($B912,Data!$B$3:$EZ1530,10,FALSE)),1),"")</f>
        <v>0.2205808713</v>
      </c>
      <c r="J912" s="48">
        <f>IFERROR(MINUS(DIVIDE(VLOOKUP($B912,Data!$B$3:$EZ1530,24,FALSE),VLOOKUP($B912,Data!$B$3:$EZ1530,25,FALSE)),1),"")</f>
        <v>0.3297368777</v>
      </c>
      <c r="K912" s="48">
        <f>IFERROR(MINUS(DIVIDE(VLOOKUP($B912,Data!$B$3:$EZ1530,29,FALSE),VLOOKUP($B912,Data!$B$3:$EZ1530,30,FALSE)),1),"")</f>
        <v>0.2989515345</v>
      </c>
      <c r="L912" s="48">
        <f>IFERROR(MINUS(DIVIDE(VLOOKUP($B912,Data!$B$3:$EZ1530,34,FALSE),VLOOKUP($B912,Data!$B$3:$EZ1530,35,FALSE)),1),"")</f>
        <v>0.2211538462</v>
      </c>
      <c r="M912" s="48">
        <f>IFERROR(MINUS(DIVIDE(VLOOKUP($B912,Data!$B$3:$EZ1530,39,FALSE),VLOOKUP($B912,Data!$B$3:$EZ1530,40,FALSE)),1),"")</f>
        <v>0.3022442934</v>
      </c>
      <c r="N912" s="48">
        <f>IFERROR(MINUS(DIVIDE(VLOOKUP($B912,Data!$B$3:$EZ1530,44,FALSE),VLOOKUP($B912,Data!$B$3:$EZ1530,45,FALSE)),1),"")</f>
        <v>0.3700631071</v>
      </c>
      <c r="O912" s="50">
        <f>IFERROR(VLOOKUP($B912,Data!$B$3:$D1530,2,FALSE),"")</f>
        <v>4500000</v>
      </c>
      <c r="P912" s="50">
        <f>IFERROR(VLOOKUP($B912,Data!$B$3:$D1530,3,FALSE),"")</f>
        <v>4370000</v>
      </c>
      <c r="Q912" s="48">
        <f t="shared" si="2"/>
        <v>0.02974828375</v>
      </c>
      <c r="R912" s="48"/>
      <c r="S912" s="48"/>
      <c r="T912" s="48"/>
      <c r="U912" s="48"/>
      <c r="V912" s="48"/>
      <c r="W912" s="50"/>
      <c r="Z912" s="15"/>
      <c r="AA912" s="15"/>
    </row>
    <row r="913">
      <c r="A913" s="9">
        <f t="shared" si="1"/>
        <v>910</v>
      </c>
      <c r="B913" s="47" t="s">
        <v>1047</v>
      </c>
      <c r="C913" s="48">
        <f>IFERROR(DIVIDE(VLOOKUP($B913,Data!$B$3:$AB$1535,9,FALSE),VLOOKUP($B913,Data!$B$3:$AB$1535,4,FALSE)),"")</f>
        <v>0.5561548223</v>
      </c>
      <c r="D913" s="48">
        <f>IFERROR(DIVIDE(VLOOKUP($B913,Data!$B$3:$AB$1535,24,FALSE),VLOOKUP($B913,Data!$B$3:$AB$1535,4,FALSE)),"")</f>
        <v>-0.6817893401</v>
      </c>
      <c r="E913" s="48">
        <f>IFERROR(DIVIDE(VLOOKUP($B913,Data!$B$3:$EZ1530,29,FALSE),VLOOKUP($B913,Data!$B$3:$EZ1530,4,FALSE)),"")</f>
        <v>-0.823286802</v>
      </c>
      <c r="F913" s="48">
        <f>IFERROR(DIVIDE(VLOOKUP($B913,Data!$B$3:$EZ1530,34,FALSE),VLOOKUP($B913,Data!$B$3:$EZ1530,4,FALSE)),"")</f>
        <v>-0.6936865482</v>
      </c>
      <c r="G913" s="48">
        <f>IFERROR(DIVIDE(VLOOKUP($B913,Data!$B$3:$EZ1530,39,FALSE),VLOOKUP($B913,Data!$B$3:$EZ1530,4,FALSE)),"")</f>
        <v>-0.823286802</v>
      </c>
      <c r="H913" s="48">
        <f>IFERROR(DIVIDE(VLOOKUP($B913,Data!$B$3:$EZ1530,44,FALSE),VLOOKUP($B913,Data!$B$3:$EZ1530,4,FALSE)),"")</f>
        <v>-1.377062183</v>
      </c>
      <c r="I913" s="48">
        <f>IFERROR(MINUS(DIVIDE(VLOOKUP($B913,Data!$B$3:$EZ1530,9,FALSE),VLOOKUP($B913,Data!$B$3:$EZ1530,10,FALSE)),1),"")</f>
        <v>3.750677507</v>
      </c>
      <c r="J913" s="48">
        <f>IFERROR(MINUS(DIVIDE(VLOOKUP($B913,Data!$B$3:$EZ1530,24,FALSE),VLOOKUP($B913,Data!$B$3:$EZ1530,25,FALSE)),1),"")</f>
        <v>-0.4747647562</v>
      </c>
      <c r="K913" s="48">
        <f>IFERROR(MINUS(DIVIDE(VLOOKUP($B913,Data!$B$3:$EZ1530,29,FALSE),VLOOKUP($B913,Data!$B$3:$EZ1530,30,FALSE)),1),"")</f>
        <v>-0.4016601337</v>
      </c>
      <c r="L913" s="48">
        <f>IFERROR(MINUS(DIVIDE(VLOOKUP($B913,Data!$B$3:$EZ1530,34,FALSE),VLOOKUP($B913,Data!$B$3:$EZ1530,35,FALSE)),1),"")</f>
        <v>-0.4490361598</v>
      </c>
      <c r="M913" s="48">
        <f>IFERROR(MINUS(DIVIDE(VLOOKUP($B913,Data!$B$3:$EZ1530,39,FALSE),VLOOKUP($B913,Data!$B$3:$EZ1530,40,FALSE)),1),"")</f>
        <v>-0.403311106</v>
      </c>
      <c r="N913" s="48">
        <f>IFERROR(MINUS(DIVIDE(VLOOKUP($B913,Data!$B$3:$EZ1530,44,FALSE),VLOOKUP($B913,Data!$B$3:$EZ1530,45,FALSE)),1),"")</f>
        <v>1.300821627</v>
      </c>
      <c r="O913" s="50">
        <f>IFERROR(VLOOKUP($B913,Data!$B$3:$D1530,2,FALSE),"")</f>
        <v>101700</v>
      </c>
      <c r="P913" s="50">
        <f>IFERROR(VLOOKUP($B913,Data!$B$3:$D1530,3,FALSE),"")</f>
        <v>63650</v>
      </c>
      <c r="Q913" s="48">
        <f t="shared" si="2"/>
        <v>0.5978004713</v>
      </c>
      <c r="R913" s="48"/>
      <c r="S913" s="48"/>
      <c r="T913" s="48"/>
      <c r="U913" s="48"/>
      <c r="V913" s="48"/>
      <c r="W913" s="50"/>
      <c r="Z913" s="15"/>
      <c r="AA913" s="15"/>
    </row>
    <row r="914">
      <c r="A914" s="9">
        <f t="shared" si="1"/>
        <v>911</v>
      </c>
      <c r="B914" s="47" t="s">
        <v>1048</v>
      </c>
      <c r="C914" s="48" t="str">
        <f>IFERROR(DIVIDE(VLOOKUP($B914,Data!$B$3:$AB$1535,9,FALSE),VLOOKUP($B914,Data!$B$3:$AB$1535,4,FALSE)),"")</f>
        <v/>
      </c>
      <c r="D914" s="48" t="str">
        <f>IFERROR(DIVIDE(VLOOKUP($B914,Data!$B$3:$AB$1535,24,FALSE),VLOOKUP($B914,Data!$B$3:$AB$1535,4,FALSE)),"")</f>
        <v/>
      </c>
      <c r="E914" s="48" t="str">
        <f>IFERROR(DIVIDE(VLOOKUP($B914,Data!$B$3:$EZ1530,29,FALSE),VLOOKUP($B914,Data!$B$3:$EZ1530,4,FALSE)),"")</f>
        <v/>
      </c>
      <c r="F914" s="48" t="str">
        <f>IFERROR(DIVIDE(VLOOKUP($B914,Data!$B$3:$EZ1530,34,FALSE),VLOOKUP($B914,Data!$B$3:$EZ1530,4,FALSE)),"")</f>
        <v/>
      </c>
      <c r="G914" s="48" t="str">
        <f>IFERROR(DIVIDE(VLOOKUP($B914,Data!$B$3:$EZ1530,39,FALSE),VLOOKUP($B914,Data!$B$3:$EZ1530,4,FALSE)),"")</f>
        <v/>
      </c>
      <c r="H914" s="48" t="str">
        <f>IFERROR(DIVIDE(VLOOKUP($B914,Data!$B$3:$EZ1530,44,FALSE),VLOOKUP($B914,Data!$B$3:$EZ1530,4,FALSE)),"")</f>
        <v/>
      </c>
      <c r="I914" s="48" t="str">
        <f>IFERROR(MINUS(DIVIDE(VLOOKUP($B914,Data!$B$3:$EZ1530,9,FALSE),VLOOKUP($B914,Data!$B$3:$EZ1530,10,FALSE)),1),"")</f>
        <v/>
      </c>
      <c r="J914" s="48" t="str">
        <f>IFERROR(MINUS(DIVIDE(VLOOKUP($B914,Data!$B$3:$EZ1530,24,FALSE),VLOOKUP($B914,Data!$B$3:$EZ1530,25,FALSE)),1),"")</f>
        <v/>
      </c>
      <c r="K914" s="48">
        <f>IFERROR(MINUS(DIVIDE(VLOOKUP($B914,Data!$B$3:$EZ1530,29,FALSE),VLOOKUP($B914,Data!$B$3:$EZ1530,30,FALSE)),1),"")</f>
        <v>0.4324586978</v>
      </c>
      <c r="L914" s="48">
        <f>IFERROR(MINUS(DIVIDE(VLOOKUP($B914,Data!$B$3:$EZ1530,34,FALSE),VLOOKUP($B914,Data!$B$3:$EZ1530,35,FALSE)),1),"")</f>
        <v>0.3307649972</v>
      </c>
      <c r="M914" s="48">
        <f>IFERROR(MINUS(DIVIDE(VLOOKUP($B914,Data!$B$3:$EZ1530,39,FALSE),VLOOKUP($B914,Data!$B$3:$EZ1530,40,FALSE)),1),"")</f>
        <v>0.4324586978</v>
      </c>
      <c r="N914" s="48">
        <f>IFERROR(MINUS(DIVIDE(VLOOKUP($B914,Data!$B$3:$EZ1530,44,FALSE),VLOOKUP($B914,Data!$B$3:$EZ1530,45,FALSE)),1),"")</f>
        <v>0.2230229471</v>
      </c>
      <c r="O914" s="50">
        <f>IFERROR(VLOOKUP($B914,Data!$B$3:$D1530,2,FALSE),"")</f>
        <v>66000</v>
      </c>
      <c r="P914" s="50">
        <f>IFERROR(VLOOKUP($B914,Data!$B$3:$D1530,3,FALSE),"")</f>
        <v>22570</v>
      </c>
      <c r="Q914" s="48">
        <f t="shared" si="2"/>
        <v>1.924235711</v>
      </c>
      <c r="R914" s="48"/>
      <c r="S914" s="48"/>
      <c r="T914" s="48"/>
      <c r="U914" s="48"/>
      <c r="V914" s="48"/>
      <c r="W914" s="50"/>
      <c r="Z914" s="11"/>
      <c r="AA914" s="11"/>
    </row>
    <row r="915">
      <c r="A915" s="9">
        <f t="shared" si="1"/>
        <v>912</v>
      </c>
      <c r="B915" s="47" t="s">
        <v>1049</v>
      </c>
      <c r="C915" s="48" t="str">
        <f>IFERROR(DIVIDE(VLOOKUP($B915,Data!$B$3:$AB$1535,9,FALSE),VLOOKUP($B915,Data!$B$3:$AB$1535,4,FALSE)),"")</f>
        <v/>
      </c>
      <c r="D915" s="48" t="str">
        <f>IFERROR(DIVIDE(VLOOKUP($B915,Data!$B$3:$AB$1535,24,FALSE),VLOOKUP($B915,Data!$B$3:$AB$1535,4,FALSE)),"")</f>
        <v/>
      </c>
      <c r="E915" s="48" t="str">
        <f>IFERROR(DIVIDE(VLOOKUP($B915,Data!$B$3:$EZ1530,29,FALSE),VLOOKUP($B915,Data!$B$3:$EZ1530,4,FALSE)),"")</f>
        <v/>
      </c>
      <c r="F915" s="48" t="str">
        <f>IFERROR(DIVIDE(VLOOKUP($B915,Data!$B$3:$EZ1530,34,FALSE),VLOOKUP($B915,Data!$B$3:$EZ1530,4,FALSE)),"")</f>
        <v/>
      </c>
      <c r="G915" s="48" t="str">
        <f>IFERROR(DIVIDE(VLOOKUP($B915,Data!$B$3:$EZ1530,39,FALSE),VLOOKUP($B915,Data!$B$3:$EZ1530,4,FALSE)),"")</f>
        <v/>
      </c>
      <c r="H915" s="48" t="str">
        <f>IFERROR(DIVIDE(VLOOKUP($B915,Data!$B$3:$EZ1530,44,FALSE),VLOOKUP($B915,Data!$B$3:$EZ1530,4,FALSE)),"")</f>
        <v/>
      </c>
      <c r="I915" s="48">
        <f>IFERROR(MINUS(DIVIDE(VLOOKUP($B915,Data!$B$3:$EZ1530,9,FALSE),VLOOKUP($B915,Data!$B$3:$EZ1530,10,FALSE)),1),"")</f>
        <v>-0.07692307692</v>
      </c>
      <c r="J915" s="48" t="str">
        <f>IFERROR(MINUS(DIVIDE(VLOOKUP($B915,Data!$B$3:$EZ1530,24,FALSE),VLOOKUP($B915,Data!$B$3:$EZ1530,25,FALSE)),1),"")</f>
        <v/>
      </c>
      <c r="K915" s="48">
        <f>IFERROR(MINUS(DIVIDE(VLOOKUP($B915,Data!$B$3:$EZ1530,29,FALSE),VLOOKUP($B915,Data!$B$3:$EZ1530,30,FALSE)),1),"")</f>
        <v>-0.118609407</v>
      </c>
      <c r="L915" s="48">
        <f>IFERROR(MINUS(DIVIDE(VLOOKUP($B915,Data!$B$3:$EZ1530,34,FALSE),VLOOKUP($B915,Data!$B$3:$EZ1530,35,FALSE)),1),"")</f>
        <v>-0.09961439589</v>
      </c>
      <c r="M915" s="48">
        <f>IFERROR(MINUS(DIVIDE(VLOOKUP($B915,Data!$B$3:$EZ1530,39,FALSE),VLOOKUP($B915,Data!$B$3:$EZ1530,40,FALSE)),1),"")</f>
        <v>-0.1185286104</v>
      </c>
      <c r="N915" s="48">
        <f>IFERROR(MINUS(DIVIDE(VLOOKUP($B915,Data!$B$3:$EZ1530,44,FALSE),VLOOKUP($B915,Data!$B$3:$EZ1530,45,FALSE)),1),"")</f>
        <v>0.001097694841</v>
      </c>
      <c r="O915" s="50" t="str">
        <f>IFERROR(VLOOKUP($B915,Data!$B$3:$D1530,2,FALSE),"")</f>
        <v/>
      </c>
      <c r="P915" s="50" t="str">
        <f>IFERROR(VLOOKUP($B915,Data!$B$3:$D1530,3,FALSE),"")</f>
        <v/>
      </c>
      <c r="Q915" s="48" t="str">
        <f t="shared" si="2"/>
        <v/>
      </c>
      <c r="R915" s="48"/>
      <c r="S915" s="48"/>
      <c r="T915" s="48"/>
      <c r="U915" s="48"/>
      <c r="V915" s="48"/>
      <c r="W915" s="50"/>
      <c r="Z915" s="11"/>
      <c r="AA915" s="11"/>
    </row>
    <row r="916">
      <c r="A916" s="9">
        <f t="shared" si="1"/>
        <v>913</v>
      </c>
      <c r="B916" s="47" t="s">
        <v>1050</v>
      </c>
      <c r="C916" s="48">
        <f>IFERROR(DIVIDE(VLOOKUP($B916,Data!$B$3:$AB$1535,9,FALSE),VLOOKUP($B916,Data!$B$3:$AB$1535,4,FALSE)),"")</f>
        <v>0.3783015873</v>
      </c>
      <c r="D916" s="48">
        <f>IFERROR(DIVIDE(VLOOKUP($B916,Data!$B$3:$AB$1535,24,FALSE),VLOOKUP($B916,Data!$B$3:$AB$1535,4,FALSE)),"")</f>
        <v>0.08071428571</v>
      </c>
      <c r="E916" s="48">
        <f>IFERROR(DIVIDE(VLOOKUP($B916,Data!$B$3:$EZ1530,29,FALSE),VLOOKUP($B916,Data!$B$3:$EZ1530,4,FALSE)),"")</f>
        <v>0.05894444444</v>
      </c>
      <c r="F916" s="48">
        <f>IFERROR(DIVIDE(VLOOKUP($B916,Data!$B$3:$EZ1530,34,FALSE),VLOOKUP($B916,Data!$B$3:$EZ1530,4,FALSE)),"")</f>
        <v>0.1386269841</v>
      </c>
      <c r="G916" s="48">
        <f>IFERROR(DIVIDE(VLOOKUP($B916,Data!$B$3:$EZ1530,39,FALSE),VLOOKUP($B916,Data!$B$3:$EZ1530,4,FALSE)),"")</f>
        <v>0.04604761905</v>
      </c>
      <c r="H916" s="48">
        <f>IFERROR(DIVIDE(VLOOKUP($B916,Data!$B$3:$EZ1530,44,FALSE),VLOOKUP($B916,Data!$B$3:$EZ1530,4,FALSE)),"")</f>
        <v>0.09629365079</v>
      </c>
      <c r="I916" s="48">
        <f>IFERROR(MINUS(DIVIDE(VLOOKUP($B916,Data!$B$3:$EZ1530,9,FALSE),VLOOKUP($B916,Data!$B$3:$EZ1530,10,FALSE)),1),"")</f>
        <v>0.024568493</v>
      </c>
      <c r="J916" s="48">
        <f>IFERROR(MINUS(DIVIDE(VLOOKUP($B916,Data!$B$3:$EZ1530,24,FALSE),VLOOKUP($B916,Data!$B$3:$EZ1530,25,FALSE)),1),"")</f>
        <v>-0.197569828</v>
      </c>
      <c r="K916" s="48">
        <f>IFERROR(MINUS(DIVIDE(VLOOKUP($B916,Data!$B$3:$EZ1530,29,FALSE),VLOOKUP($B916,Data!$B$3:$EZ1530,30,FALSE)),1),"")</f>
        <v>-0.2599641291</v>
      </c>
      <c r="L916" s="48">
        <f>IFERROR(MINUS(DIVIDE(VLOOKUP($B916,Data!$B$3:$EZ1530,34,FALSE),VLOOKUP($B916,Data!$B$3:$EZ1530,35,FALSE)),1),"")</f>
        <v>-0.06126726501</v>
      </c>
      <c r="M916" s="48">
        <f>IFERROR(MINUS(DIVIDE(VLOOKUP($B916,Data!$B$3:$EZ1530,39,FALSE),VLOOKUP($B916,Data!$B$3:$EZ1530,40,FALSE)),1),"")</f>
        <v>-0.272476489</v>
      </c>
      <c r="N916" s="48">
        <f>IFERROR(MINUS(DIVIDE(VLOOKUP($B916,Data!$B$3:$EZ1530,44,FALSE),VLOOKUP($B916,Data!$B$3:$EZ1530,45,FALSE)),1),"")</f>
        <v>-0.2064229184</v>
      </c>
      <c r="O916" s="50">
        <f>IFERROR(VLOOKUP($B916,Data!$B$3:$D1530,2,FALSE),"")</f>
        <v>1280000</v>
      </c>
      <c r="P916" s="50">
        <f>IFERROR(VLOOKUP($B916,Data!$B$3:$D1530,3,FALSE),"")</f>
        <v>1160000</v>
      </c>
      <c r="Q916" s="48">
        <f t="shared" si="2"/>
        <v>0.1034482759</v>
      </c>
      <c r="R916" s="48"/>
      <c r="S916" s="48"/>
      <c r="T916" s="48"/>
      <c r="U916" s="48"/>
      <c r="V916" s="48"/>
      <c r="W916" s="50"/>
      <c r="Z916" s="11"/>
      <c r="AA916" s="11"/>
    </row>
    <row r="917">
      <c r="A917" s="9">
        <f t="shared" si="1"/>
        <v>914</v>
      </c>
      <c r="B917" s="47" t="s">
        <v>1051</v>
      </c>
      <c r="C917" s="48">
        <f>IFERROR(DIVIDE(VLOOKUP($B917,Data!$B$3:$AB$1535,9,FALSE),VLOOKUP($B917,Data!$B$3:$AB$1535,4,FALSE)),"")</f>
        <v>0.6</v>
      </c>
      <c r="D917" s="48">
        <f>IFERROR(DIVIDE(VLOOKUP($B917,Data!$B$3:$AB$1535,24,FALSE),VLOOKUP($B917,Data!$B$3:$AB$1535,4,FALSE)),"")</f>
        <v>0.3333333333</v>
      </c>
      <c r="E917" s="48">
        <f>IFERROR(DIVIDE(VLOOKUP($B917,Data!$B$3:$EZ1530,29,FALSE),VLOOKUP($B917,Data!$B$3:$EZ1530,4,FALSE)),"")</f>
        <v>0.3380952381</v>
      </c>
      <c r="F917" s="48">
        <f>IFERROR(DIVIDE(VLOOKUP($B917,Data!$B$3:$EZ1530,34,FALSE),VLOOKUP($B917,Data!$B$3:$EZ1530,4,FALSE)),"")</f>
        <v>0.35</v>
      </c>
      <c r="G917" s="48">
        <f>IFERROR(DIVIDE(VLOOKUP($B917,Data!$B$3:$EZ1530,39,FALSE),VLOOKUP($B917,Data!$B$3:$EZ1530,4,FALSE)),"")</f>
        <v>0.2642857143</v>
      </c>
      <c r="H917" s="48">
        <f>IFERROR(DIVIDE(VLOOKUP($B917,Data!$B$3:$EZ1530,44,FALSE),VLOOKUP($B917,Data!$B$3:$EZ1530,4,FALSE)),"")</f>
        <v>0.2642857143</v>
      </c>
      <c r="I917" s="48">
        <f>IFERROR(MINUS(DIVIDE(VLOOKUP($B917,Data!$B$3:$EZ1530,9,FALSE),VLOOKUP($B917,Data!$B$3:$EZ1530,10,FALSE)),1),"")</f>
        <v>0.09565217391</v>
      </c>
      <c r="J917" s="48">
        <f>IFERROR(MINUS(DIVIDE(VLOOKUP($B917,Data!$B$3:$EZ1530,24,FALSE),VLOOKUP($B917,Data!$B$3:$EZ1530,25,FALSE)),1),"")</f>
        <v>0.08527131783</v>
      </c>
      <c r="K917" s="48">
        <f>IFERROR(MINUS(DIVIDE(VLOOKUP($B917,Data!$B$3:$EZ1530,29,FALSE),VLOOKUP($B917,Data!$B$3:$EZ1530,30,FALSE)),1),"")</f>
        <v>0.1007751938</v>
      </c>
      <c r="L917" s="48">
        <f>IFERROR(MINUS(DIVIDE(VLOOKUP($B917,Data!$B$3:$EZ1530,34,FALSE),VLOOKUP($B917,Data!$B$3:$EZ1530,35,FALSE)),1),"")</f>
        <v>0.07299270073</v>
      </c>
      <c r="M917" s="48">
        <f>IFERROR(MINUS(DIVIDE(VLOOKUP($B917,Data!$B$3:$EZ1530,39,FALSE),VLOOKUP($B917,Data!$B$3:$EZ1530,40,FALSE)),1),"")</f>
        <v>0.1178247734</v>
      </c>
      <c r="N917" s="48">
        <f>IFERROR(MINUS(DIVIDE(VLOOKUP($B917,Data!$B$3:$EZ1530,44,FALSE),VLOOKUP($B917,Data!$B$3:$EZ1530,45,FALSE)),1),"")</f>
        <v>-0.04310344828</v>
      </c>
      <c r="O917" s="50">
        <f>IFERROR(VLOOKUP($B917,Data!$B$3:$D1530,2,FALSE),"")</f>
        <v>4770000</v>
      </c>
      <c r="P917" s="50">
        <f>IFERROR(VLOOKUP($B917,Data!$B$3:$D1530,3,FALSE),"")</f>
        <v>4310000</v>
      </c>
      <c r="Q917" s="48">
        <f t="shared" si="2"/>
        <v>0.1067285383</v>
      </c>
      <c r="R917" s="48"/>
      <c r="S917" s="48"/>
      <c r="T917" s="48"/>
      <c r="U917" s="48"/>
      <c r="V917" s="48"/>
      <c r="W917" s="50"/>
      <c r="Z917" s="12"/>
      <c r="AA917" s="12"/>
    </row>
    <row r="918">
      <c r="A918" s="9">
        <f t="shared" si="1"/>
        <v>915</v>
      </c>
      <c r="B918" s="47" t="s">
        <v>1052</v>
      </c>
      <c r="C918" s="48">
        <f>IFERROR(DIVIDE(VLOOKUP($B918,Data!$B$3:$AB$1535,9,FALSE),VLOOKUP($B918,Data!$B$3:$AB$1535,4,FALSE)),"")</f>
        <v>0</v>
      </c>
      <c r="D918" s="48">
        <f>IFERROR(DIVIDE(VLOOKUP($B918,Data!$B$3:$AB$1535,24,FALSE),VLOOKUP($B918,Data!$B$3:$AB$1535,4,FALSE)),"")</f>
        <v>-12.48806033</v>
      </c>
      <c r="E918" s="48">
        <f>IFERROR(DIVIDE(VLOOKUP($B918,Data!$B$3:$EZ1530,29,FALSE),VLOOKUP($B918,Data!$B$3:$EZ1530,4,FALSE)),"")</f>
        <v>-12.1516548</v>
      </c>
      <c r="F918" s="48">
        <f>IFERROR(DIVIDE(VLOOKUP($B918,Data!$B$3:$EZ1530,34,FALSE),VLOOKUP($B918,Data!$B$3:$EZ1530,4,FALSE)),"")</f>
        <v>-10.79723502</v>
      </c>
      <c r="G918" s="48">
        <f>IFERROR(DIVIDE(VLOOKUP($B918,Data!$B$3:$EZ1530,39,FALSE),VLOOKUP($B918,Data!$B$3:$EZ1530,4,FALSE)),"")</f>
        <v>-12.1516548</v>
      </c>
      <c r="H918" s="48">
        <f>IFERROR(DIVIDE(VLOOKUP($B918,Data!$B$3:$EZ1530,44,FALSE),VLOOKUP($B918,Data!$B$3:$EZ1530,4,FALSE)),"")</f>
        <v>-8.579807289</v>
      </c>
      <c r="I918" s="48" t="str">
        <f>IFERROR(MINUS(DIVIDE(VLOOKUP($B918,Data!$B$3:$EZ1530,9,FALSE),VLOOKUP($B918,Data!$B$3:$EZ1530,10,FALSE)),1),"")</f>
        <v/>
      </c>
      <c r="J918" s="48">
        <f>IFERROR(MINUS(DIVIDE(VLOOKUP($B918,Data!$B$3:$EZ1530,24,FALSE),VLOOKUP($B918,Data!$B$3:$EZ1530,25,FALSE)),1),"")</f>
        <v>0.6439088954</v>
      </c>
      <c r="K918" s="48">
        <f>IFERROR(MINUS(DIVIDE(VLOOKUP($B918,Data!$B$3:$EZ1530,29,FALSE),VLOOKUP($B918,Data!$B$3:$EZ1530,30,FALSE)),1),"")</f>
        <v>0.6475065319</v>
      </c>
      <c r="L918" s="48">
        <f>IFERROR(MINUS(DIVIDE(VLOOKUP($B918,Data!$B$3:$EZ1530,34,FALSE),VLOOKUP($B918,Data!$B$3:$EZ1530,35,FALSE)),1),"")</f>
        <v>0.6905870777</v>
      </c>
      <c r="M918" s="48">
        <f>IFERROR(MINUS(DIVIDE(VLOOKUP($B918,Data!$B$3:$EZ1530,39,FALSE),VLOOKUP($B918,Data!$B$3:$EZ1530,40,FALSE)),1),"")</f>
        <v>0.6475065319</v>
      </c>
      <c r="N918" s="48">
        <f>IFERROR(MINUS(DIVIDE(VLOOKUP($B918,Data!$B$3:$EZ1530,44,FALSE),VLOOKUP($B918,Data!$B$3:$EZ1530,45,FALSE)),1),"")</f>
        <v>0.3162799666</v>
      </c>
      <c r="O918" s="50">
        <f>IFERROR(VLOOKUP($B918,Data!$B$3:$D1530,2,FALSE),"")</f>
        <v>28480</v>
      </c>
      <c r="P918" s="50">
        <f>IFERROR(VLOOKUP($B918,Data!$B$3:$D1530,3,FALSE),"")</f>
        <v>28050</v>
      </c>
      <c r="Q918" s="48">
        <f t="shared" si="2"/>
        <v>0.01532976827</v>
      </c>
      <c r="R918" s="48"/>
      <c r="S918" s="48"/>
      <c r="T918" s="48"/>
      <c r="U918" s="48"/>
      <c r="V918" s="48"/>
      <c r="W918" s="50"/>
      <c r="Z918" s="11"/>
      <c r="AA918" s="11"/>
    </row>
    <row r="919">
      <c r="A919" s="9">
        <f t="shared" si="1"/>
        <v>916</v>
      </c>
      <c r="B919" s="47" t="s">
        <v>1053</v>
      </c>
      <c r="C919" s="48">
        <f>IFERROR(DIVIDE(VLOOKUP($B919,Data!$B$3:$AB$1535,9,FALSE),VLOOKUP($B919,Data!$B$3:$AB$1535,4,FALSE)),"")</f>
        <v>0.1799982205</v>
      </c>
      <c r="D919" s="48">
        <f>IFERROR(DIVIDE(VLOOKUP($B919,Data!$B$3:$AB$1535,24,FALSE),VLOOKUP($B919,Data!$B$3:$AB$1535,4,FALSE)),"")</f>
        <v>-0.003203131951</v>
      </c>
      <c r="E919" s="48">
        <f>IFERROR(DIVIDE(VLOOKUP($B919,Data!$B$3:$EZ1530,29,FALSE),VLOOKUP($B919,Data!$B$3:$EZ1530,4,FALSE)),"")</f>
        <v>-0.02549159178</v>
      </c>
      <c r="F919" s="48">
        <f>IFERROR(DIVIDE(VLOOKUP($B919,Data!$B$3:$EZ1530,34,FALSE),VLOOKUP($B919,Data!$B$3:$EZ1530,4,FALSE)),"")</f>
        <v>0.03038526559</v>
      </c>
      <c r="G919" s="48">
        <f>IFERROR(DIVIDE(VLOOKUP($B919,Data!$B$3:$EZ1530,39,FALSE),VLOOKUP($B919,Data!$B$3:$EZ1530,4,FALSE)),"")</f>
        <v>-0.03777026426</v>
      </c>
      <c r="H919" s="48">
        <f>IFERROR(DIVIDE(VLOOKUP($B919,Data!$B$3:$EZ1530,44,FALSE),VLOOKUP($B919,Data!$B$3:$EZ1530,4,FALSE)),"")</f>
        <v>0.01441409378</v>
      </c>
      <c r="I919" s="48">
        <f>IFERROR(MINUS(DIVIDE(VLOOKUP($B919,Data!$B$3:$EZ1530,9,FALSE),VLOOKUP($B919,Data!$B$3:$EZ1530,10,FALSE)),1),"")</f>
        <v>-0.08149829739</v>
      </c>
      <c r="J919" s="48">
        <f>IFERROR(MINUS(DIVIDE(VLOOKUP($B919,Data!$B$3:$EZ1530,24,FALSE),VLOOKUP($B919,Data!$B$3:$EZ1530,25,FALSE)),1),"")</f>
        <v>-0.8787878788</v>
      </c>
      <c r="K919" s="48">
        <f>IFERROR(MINUS(DIVIDE(VLOOKUP($B919,Data!$B$3:$EZ1530,29,FALSE),VLOOKUP($B919,Data!$B$3:$EZ1530,30,FALSE)),1),"")</f>
        <v>-0.5326264274</v>
      </c>
      <c r="L919" s="48">
        <f>IFERROR(MINUS(DIVIDE(VLOOKUP($B919,Data!$B$3:$EZ1530,34,FALSE),VLOOKUP($B919,Data!$B$3:$EZ1530,35,FALSE)),1),"")</f>
        <v>-0.3489037178</v>
      </c>
      <c r="M919" s="48">
        <f>IFERROR(MINUS(DIVIDE(VLOOKUP($B919,Data!$B$3:$EZ1530,39,FALSE),VLOOKUP($B919,Data!$B$3:$EZ1530,40,FALSE)),1),"")</f>
        <v>-0.3558421851</v>
      </c>
      <c r="N919" s="48">
        <f>IFERROR(MINUS(DIVIDE(VLOOKUP($B919,Data!$B$3:$EZ1530,44,FALSE),VLOOKUP($B919,Data!$B$3:$EZ1530,45,FALSE)),1),"")</f>
        <v>2.24</v>
      </c>
      <c r="O919" s="50">
        <f>IFERROR(VLOOKUP($B919,Data!$B$3:$D1530,2,FALSE),"")</f>
        <v>218900</v>
      </c>
      <c r="P919" s="50">
        <f>IFERROR(VLOOKUP($B919,Data!$B$3:$D1530,3,FALSE),"")</f>
        <v>185300</v>
      </c>
      <c r="Q919" s="48">
        <f t="shared" si="2"/>
        <v>0.1813275769</v>
      </c>
      <c r="R919" s="48"/>
      <c r="S919" s="48"/>
      <c r="T919" s="48"/>
      <c r="U919" s="48"/>
      <c r="V919" s="48"/>
      <c r="W919" s="50"/>
      <c r="Z919" s="15"/>
      <c r="AA919" s="15"/>
    </row>
    <row r="920">
      <c r="A920" s="9">
        <f t="shared" si="1"/>
        <v>917</v>
      </c>
      <c r="B920" s="47" t="s">
        <v>1054</v>
      </c>
      <c r="C920" s="48">
        <f>IFERROR(DIVIDE(VLOOKUP($B920,Data!$B$3:$AB$1535,9,FALSE),VLOOKUP($B920,Data!$B$3:$AB$1535,4,FALSE)),"")</f>
        <v>0.6419191919</v>
      </c>
      <c r="D920" s="48">
        <f>IFERROR(DIVIDE(VLOOKUP($B920,Data!$B$3:$AB$1535,24,FALSE),VLOOKUP($B920,Data!$B$3:$AB$1535,4,FALSE)),"")</f>
        <v>0.01434343434</v>
      </c>
      <c r="E920" s="48">
        <f>IFERROR(DIVIDE(VLOOKUP($B920,Data!$B$3:$EZ1530,29,FALSE),VLOOKUP($B920,Data!$B$3:$EZ1530,4,FALSE)),"")</f>
        <v>0.03868686869</v>
      </c>
      <c r="F920" s="48">
        <f>IFERROR(DIVIDE(VLOOKUP($B920,Data!$B$3:$EZ1530,34,FALSE),VLOOKUP($B920,Data!$B$3:$EZ1530,4,FALSE)),"")</f>
        <v>0.5449494949</v>
      </c>
      <c r="G920" s="48">
        <f>IFERROR(DIVIDE(VLOOKUP($B920,Data!$B$3:$EZ1530,39,FALSE),VLOOKUP($B920,Data!$B$3:$EZ1530,4,FALSE)),"")</f>
        <v>-0.06565656566</v>
      </c>
      <c r="H920" s="48">
        <f>IFERROR(DIVIDE(VLOOKUP($B920,Data!$B$3:$EZ1530,44,FALSE),VLOOKUP($B920,Data!$B$3:$EZ1530,4,FALSE)),"")</f>
        <v>0.395959596</v>
      </c>
      <c r="I920" s="48">
        <f>IFERROR(MINUS(DIVIDE(VLOOKUP($B920,Data!$B$3:$EZ1530,9,FALSE),VLOOKUP($B920,Data!$B$3:$EZ1530,10,FALSE)),1),"")</f>
        <v>0.04954582989</v>
      </c>
      <c r="J920" s="48">
        <f>IFERROR(MINUS(DIVIDE(VLOOKUP($B920,Data!$B$3:$EZ1530,24,FALSE),VLOOKUP($B920,Data!$B$3:$EZ1530,25,FALSE)),1),"")</f>
        <v>-1.739583333</v>
      </c>
      <c r="K920" s="48">
        <f>IFERROR(MINUS(DIVIDE(VLOOKUP($B920,Data!$B$3:$EZ1530,29,FALSE),VLOOKUP($B920,Data!$B$3:$EZ1530,30,FALSE)),1),"")</f>
        <v>-0.917987152</v>
      </c>
      <c r="L920" s="48">
        <f>IFERROR(MINUS(DIVIDE(VLOOKUP($B920,Data!$B$3:$EZ1530,34,FALSE),VLOOKUP($B920,Data!$B$3:$EZ1530,35,FALSE)),1),"")</f>
        <v>0.1135190918</v>
      </c>
      <c r="M920" s="48">
        <f>IFERROR(MINUS(DIVIDE(VLOOKUP($B920,Data!$B$3:$EZ1530,39,FALSE),VLOOKUP($B920,Data!$B$3:$EZ1530,40,FALSE)),1),"")</f>
        <v>-1.186781609</v>
      </c>
      <c r="N920" s="48">
        <f>IFERROR(MINUS(DIVIDE(VLOOKUP($B920,Data!$B$3:$EZ1530,44,FALSE),VLOOKUP($B920,Data!$B$3:$EZ1530,45,FALSE)),1),"")</f>
        <v>-0.06555423123</v>
      </c>
      <c r="O920" s="50">
        <f>IFERROR(VLOOKUP($B920,Data!$B$3:$D1530,2,FALSE),"")</f>
        <v>20870000</v>
      </c>
      <c r="P920" s="50">
        <f>IFERROR(VLOOKUP($B920,Data!$B$3:$D1530,3,FALSE),"")</f>
        <v>20500000</v>
      </c>
      <c r="Q920" s="48">
        <f t="shared" si="2"/>
        <v>0.01804878049</v>
      </c>
      <c r="R920" s="48"/>
      <c r="S920" s="48"/>
      <c r="T920" s="48"/>
      <c r="U920" s="48"/>
      <c r="V920" s="48"/>
      <c r="W920" s="50"/>
      <c r="Z920" s="11"/>
      <c r="AA920" s="11"/>
    </row>
    <row r="921">
      <c r="A921" s="9">
        <f t="shared" si="1"/>
        <v>918</v>
      </c>
      <c r="B921" s="47" t="s">
        <v>1055</v>
      </c>
      <c r="C921" s="48">
        <f>IFERROR(DIVIDE(VLOOKUP($B921,Data!$B$3:$AB$1535,9,FALSE),VLOOKUP($B921,Data!$B$3:$AB$1535,4,FALSE)),"")</f>
        <v>0.4918699187</v>
      </c>
      <c r="D921" s="48">
        <f>IFERROR(DIVIDE(VLOOKUP($B921,Data!$B$3:$AB$1535,24,FALSE),VLOOKUP($B921,Data!$B$3:$AB$1535,4,FALSE)),"")</f>
        <v>0.1879105691</v>
      </c>
      <c r="E921" s="48">
        <f>IFERROR(DIVIDE(VLOOKUP($B921,Data!$B$3:$EZ1530,29,FALSE),VLOOKUP($B921,Data!$B$3:$EZ1530,4,FALSE)),"")</f>
        <v>0.2275487805</v>
      </c>
      <c r="F921" s="48">
        <f>IFERROR(DIVIDE(VLOOKUP($B921,Data!$B$3:$EZ1530,34,FALSE),VLOOKUP($B921,Data!$B$3:$EZ1530,4,FALSE)),"")</f>
        <v>0.2097886179</v>
      </c>
      <c r="G921" s="48">
        <f>IFERROR(DIVIDE(VLOOKUP($B921,Data!$B$3:$EZ1530,39,FALSE),VLOOKUP($B921,Data!$B$3:$EZ1530,4,FALSE)),"")</f>
        <v>0.1747764228</v>
      </c>
      <c r="H921" s="48">
        <f>IFERROR(DIVIDE(VLOOKUP($B921,Data!$B$3:$EZ1530,44,FALSE),VLOOKUP($B921,Data!$B$3:$EZ1530,4,FALSE)),"")</f>
        <v>0.3205569106</v>
      </c>
      <c r="I921" s="48">
        <f>IFERROR(MINUS(DIVIDE(VLOOKUP($B921,Data!$B$3:$EZ1530,9,FALSE),VLOOKUP($B921,Data!$B$3:$EZ1530,10,FALSE)),1),"")</f>
        <v>0.3072177868</v>
      </c>
      <c r="J921" s="48">
        <f>IFERROR(MINUS(DIVIDE(VLOOKUP($B921,Data!$B$3:$EZ1530,24,FALSE),VLOOKUP($B921,Data!$B$3:$EZ1530,25,FALSE)),1),"")</f>
        <v>0.03010584958</v>
      </c>
      <c r="K921" s="48">
        <f>IFERROR(MINUS(DIVIDE(VLOOKUP($B921,Data!$B$3:$EZ1530,29,FALSE),VLOOKUP($B921,Data!$B$3:$EZ1530,30,FALSE)),1),"")</f>
        <v>0.0768949596</v>
      </c>
      <c r="L921" s="48">
        <f>IFERROR(MINUS(DIVIDE(VLOOKUP($B921,Data!$B$3:$EZ1530,34,FALSE),VLOOKUP($B921,Data!$B$3:$EZ1530,35,FALSE)),1),"")</f>
        <v>0.04949770204</v>
      </c>
      <c r="M921" s="48">
        <f>IFERROR(MINUS(DIVIDE(VLOOKUP($B921,Data!$B$3:$EZ1530,39,FALSE),VLOOKUP($B921,Data!$B$3:$EZ1530,40,FALSE)),1),"")</f>
        <v>0.0103633031</v>
      </c>
      <c r="N921" s="48">
        <f>IFERROR(MINUS(DIVIDE(VLOOKUP($B921,Data!$B$3:$EZ1530,44,FALSE),VLOOKUP($B921,Data!$B$3:$EZ1530,45,FALSE)),1),"")</f>
        <v>0.5662389767</v>
      </c>
      <c r="O921" s="50">
        <f>IFERROR(VLOOKUP($B921,Data!$B$3:$D1530,2,FALSE),"")</f>
        <v>2810000</v>
      </c>
      <c r="P921" s="50">
        <f>IFERROR(VLOOKUP($B921,Data!$B$3:$D1530,3,FALSE),"")</f>
        <v>2410000</v>
      </c>
      <c r="Q921" s="48">
        <f t="shared" si="2"/>
        <v>0.1659751037</v>
      </c>
      <c r="R921" s="48"/>
      <c r="S921" s="48"/>
      <c r="T921" s="48"/>
      <c r="U921" s="48"/>
      <c r="V921" s="48"/>
      <c r="W921" s="50"/>
      <c r="Z921" s="11"/>
      <c r="AA921" s="11"/>
    </row>
    <row r="922">
      <c r="A922" s="9">
        <f t="shared" si="1"/>
        <v>919</v>
      </c>
      <c r="B922" s="47" t="s">
        <v>1056</v>
      </c>
      <c r="C922" s="48">
        <f>IFERROR(DIVIDE(VLOOKUP($B922,Data!$B$3:$AB$1535,9,FALSE),VLOOKUP($B922,Data!$B$3:$AB$1535,4,FALSE)),"")</f>
        <v>0.7833054627</v>
      </c>
      <c r="D922" s="48">
        <f>IFERROR(DIVIDE(VLOOKUP($B922,Data!$B$3:$AB$1535,24,FALSE),VLOOKUP($B922,Data!$B$3:$AB$1535,4,FALSE)),"")</f>
        <v>-1.465440357</v>
      </c>
      <c r="E922" s="48">
        <f>IFERROR(DIVIDE(VLOOKUP($B922,Data!$B$3:$EZ1530,29,FALSE),VLOOKUP($B922,Data!$B$3:$EZ1530,4,FALSE)),"")</f>
        <v>-1.484392419</v>
      </c>
      <c r="F922" s="48">
        <f>IFERROR(DIVIDE(VLOOKUP($B922,Data!$B$3:$EZ1530,34,FALSE),VLOOKUP($B922,Data!$B$3:$EZ1530,4,FALSE)),"")</f>
        <v>-1.396181717</v>
      </c>
      <c r="G922" s="48">
        <f>IFERROR(DIVIDE(VLOOKUP($B922,Data!$B$3:$EZ1530,39,FALSE),VLOOKUP($B922,Data!$B$3:$EZ1530,4,FALSE)),"")</f>
        <v>-1.435479376</v>
      </c>
      <c r="H922" s="48">
        <f>IFERROR(DIVIDE(VLOOKUP($B922,Data!$B$3:$EZ1530,44,FALSE),VLOOKUP($B922,Data!$B$3:$EZ1530,4,FALSE)),"")</f>
        <v>-1.129598662</v>
      </c>
      <c r="I922" s="48">
        <f>IFERROR(MINUS(DIVIDE(VLOOKUP($B922,Data!$B$3:$EZ1530,9,FALSE),VLOOKUP($B922,Data!$B$3:$EZ1530,10,FALSE)),1),"")</f>
        <v>-0.2071932299</v>
      </c>
      <c r="J922" s="48">
        <f>IFERROR(MINUS(DIVIDE(VLOOKUP($B922,Data!$B$3:$EZ1530,24,FALSE),VLOOKUP($B922,Data!$B$3:$EZ1530,25,FALSE)),1),"")</f>
        <v>0.7177393009</v>
      </c>
      <c r="K922" s="48">
        <f>IFERROR(MINUS(DIVIDE(VLOOKUP($B922,Data!$B$3:$EZ1530,29,FALSE),VLOOKUP($B922,Data!$B$3:$EZ1530,30,FALSE)),1),"")</f>
        <v>0.7612433862</v>
      </c>
      <c r="L922" s="48">
        <f>IFERROR(MINUS(DIVIDE(VLOOKUP($B922,Data!$B$3:$EZ1530,34,FALSE),VLOOKUP($B922,Data!$B$3:$EZ1530,35,FALSE)),1),"")</f>
        <v>1.699084052</v>
      </c>
      <c r="M922" s="48">
        <f>IFERROR(MINUS(DIVIDE(VLOOKUP($B922,Data!$B$3:$EZ1530,39,FALSE),VLOOKUP($B922,Data!$B$3:$EZ1530,40,FALSE)),1),"")</f>
        <v>0.8338970981</v>
      </c>
      <c r="N922" s="48">
        <f>IFERROR(MINUS(DIVIDE(VLOOKUP($B922,Data!$B$3:$EZ1530,44,FALSE),VLOOKUP($B922,Data!$B$3:$EZ1530,45,FALSE)),1),"")</f>
        <v>1.436429216</v>
      </c>
      <c r="O922" s="50">
        <f>IFERROR(VLOOKUP($B922,Data!$B$3:$D1530,2,FALSE),"")</f>
        <v>270310</v>
      </c>
      <c r="P922" s="50">
        <f>IFERROR(VLOOKUP($B922,Data!$B$3:$D1530,3,FALSE),"")</f>
        <v>433400</v>
      </c>
      <c r="Q922" s="48">
        <f t="shared" si="2"/>
        <v>-0.3763036456</v>
      </c>
      <c r="R922" s="48"/>
      <c r="S922" s="48"/>
      <c r="T922" s="48"/>
      <c r="U922" s="48"/>
      <c r="V922" s="48"/>
      <c r="W922" s="50"/>
      <c r="Z922" s="15"/>
      <c r="AA922" s="15"/>
    </row>
    <row r="923">
      <c r="A923" s="9">
        <f t="shared" si="1"/>
        <v>920</v>
      </c>
      <c r="B923" s="47" t="s">
        <v>1057</v>
      </c>
      <c r="C923" s="48">
        <f>IFERROR(DIVIDE(VLOOKUP($B923,Data!$B$3:$AB$1535,9,FALSE),VLOOKUP($B923,Data!$B$3:$AB$1535,4,FALSE)),"")</f>
        <v>0</v>
      </c>
      <c r="D923" s="48">
        <f>IFERROR(DIVIDE(VLOOKUP($B923,Data!$B$3:$AB$1535,24,FALSE),VLOOKUP($B923,Data!$B$3:$AB$1535,4,FALSE)),"")</f>
        <v>0</v>
      </c>
      <c r="E923" s="48">
        <f>IFERROR(DIVIDE(VLOOKUP($B923,Data!$B$3:$EZ1530,29,FALSE),VLOOKUP($B923,Data!$B$3:$EZ1530,4,FALSE)),"")</f>
        <v>-2.498233216</v>
      </c>
      <c r="F923" s="48">
        <f>IFERROR(DIVIDE(VLOOKUP($B923,Data!$B$3:$EZ1530,34,FALSE),VLOOKUP($B923,Data!$B$3:$EZ1530,4,FALSE)),"")</f>
        <v>-2.719081272</v>
      </c>
      <c r="G923" s="48">
        <f>IFERROR(DIVIDE(VLOOKUP($B923,Data!$B$3:$EZ1530,39,FALSE),VLOOKUP($B923,Data!$B$3:$EZ1530,4,FALSE)),"")</f>
        <v>-2.551825677</v>
      </c>
      <c r="H923" s="48">
        <f>IFERROR(DIVIDE(VLOOKUP($B923,Data!$B$3:$EZ1530,44,FALSE),VLOOKUP($B923,Data!$B$3:$EZ1530,4,FALSE)),"")</f>
        <v>-2.452885748</v>
      </c>
      <c r="I923" s="48" t="str">
        <f>IFERROR(MINUS(DIVIDE(VLOOKUP($B923,Data!$B$3:$EZ1530,9,FALSE),VLOOKUP($B923,Data!$B$3:$EZ1530,10,FALSE)),1),"")</f>
        <v/>
      </c>
      <c r="J923" s="48" t="str">
        <f>IFERROR(MINUS(DIVIDE(VLOOKUP($B923,Data!$B$3:$EZ1530,24,FALSE),VLOOKUP($B923,Data!$B$3:$EZ1530,25,FALSE)),1),"")</f>
        <v/>
      </c>
      <c r="K923" s="48">
        <f>IFERROR(MINUS(DIVIDE(VLOOKUP($B923,Data!$B$3:$EZ1530,29,FALSE),VLOOKUP($B923,Data!$B$3:$EZ1530,30,FALSE)),1),"")</f>
        <v>0.7801091062</v>
      </c>
      <c r="L923" s="48">
        <f>IFERROR(MINUS(DIVIDE(VLOOKUP($B923,Data!$B$3:$EZ1530,34,FALSE),VLOOKUP($B923,Data!$B$3:$EZ1530,35,FALSE)),1),"")</f>
        <v>0.9165628892</v>
      </c>
      <c r="M923" s="48">
        <f>IFERROR(MINUS(DIVIDE(VLOOKUP($B923,Data!$B$3:$EZ1530,39,FALSE),VLOOKUP($B923,Data!$B$3:$EZ1530,40,FALSE)),1),"")</f>
        <v>0.8182962652</v>
      </c>
      <c r="N923" s="48">
        <f>IFERROR(MINUS(DIVIDE(VLOOKUP($B923,Data!$B$3:$EZ1530,44,FALSE),VLOOKUP($B923,Data!$B$3:$EZ1530,45,FALSE)),1),"")</f>
        <v>-1.545585538</v>
      </c>
      <c r="O923" s="50">
        <f>IFERROR(VLOOKUP($B923,Data!$B$3:$D1530,2,FALSE),"")</f>
        <v>34520</v>
      </c>
      <c r="P923" s="50">
        <f>IFERROR(VLOOKUP($B923,Data!$B$3:$D1530,3,FALSE),"")</f>
        <v>35100</v>
      </c>
      <c r="Q923" s="48">
        <f t="shared" si="2"/>
        <v>-0.01652421652</v>
      </c>
      <c r="R923" s="48"/>
      <c r="S923" s="48"/>
      <c r="T923" s="48"/>
      <c r="U923" s="48"/>
      <c r="V923" s="48"/>
      <c r="W923" s="50"/>
      <c r="Z923" s="11"/>
      <c r="AA923" s="11"/>
    </row>
    <row r="924">
      <c r="A924" s="9">
        <f t="shared" si="1"/>
        <v>921</v>
      </c>
      <c r="B924" s="47" t="s">
        <v>1058</v>
      </c>
      <c r="C924" s="48">
        <f>IFERROR(DIVIDE(VLOOKUP($B924,Data!$B$3:$AB$1535,9,FALSE),VLOOKUP($B924,Data!$B$3:$AB$1535,4,FALSE)),"")</f>
        <v>0.09625140292</v>
      </c>
      <c r="D924" s="48">
        <f>IFERROR(DIVIDE(VLOOKUP($B924,Data!$B$3:$AB$1535,24,FALSE),VLOOKUP($B924,Data!$B$3:$AB$1535,4,FALSE)),"")</f>
        <v>-0.1795735129</v>
      </c>
      <c r="E924" s="48">
        <f>IFERROR(DIVIDE(VLOOKUP($B924,Data!$B$3:$EZ1530,29,FALSE),VLOOKUP($B924,Data!$B$3:$EZ1530,4,FALSE)),"")</f>
        <v>-0.1414141414</v>
      </c>
      <c r="F924" s="48">
        <f>IFERROR(DIVIDE(VLOOKUP($B924,Data!$B$3:$EZ1530,34,FALSE),VLOOKUP($B924,Data!$B$3:$EZ1530,4,FALSE)),"")</f>
        <v>0.1627384961</v>
      </c>
      <c r="G924" s="48">
        <f>IFERROR(DIVIDE(VLOOKUP($B924,Data!$B$3:$EZ1530,39,FALSE),VLOOKUP($B924,Data!$B$3:$EZ1530,4,FALSE)),"")</f>
        <v>-0.1200897868</v>
      </c>
      <c r="H924" s="48">
        <f>IFERROR(DIVIDE(VLOOKUP($B924,Data!$B$3:$EZ1530,44,FALSE),VLOOKUP($B924,Data!$B$3:$EZ1530,4,FALSE)),"")</f>
        <v>0.1234567901</v>
      </c>
      <c r="I924" s="48">
        <f>IFERROR(MINUS(DIVIDE(VLOOKUP($B924,Data!$B$3:$EZ1530,9,FALSE),VLOOKUP($B924,Data!$B$3:$EZ1530,10,FALSE)),1),"")</f>
        <v>-0.4282666667</v>
      </c>
      <c r="J924" s="48">
        <f>IFERROR(MINUS(DIVIDE(VLOOKUP($B924,Data!$B$3:$EZ1530,24,FALSE),VLOOKUP($B924,Data!$B$3:$EZ1530,25,FALSE)),1),"")</f>
        <v>-2.538461538</v>
      </c>
      <c r="K924" s="48">
        <f>IFERROR(MINUS(DIVIDE(VLOOKUP($B924,Data!$B$3:$EZ1530,29,FALSE),VLOOKUP($B924,Data!$B$3:$EZ1530,30,FALSE)),1),"")</f>
        <v>-3.28467815</v>
      </c>
      <c r="L924" s="48">
        <f>IFERROR(MINUS(DIVIDE(VLOOKUP($B924,Data!$B$3:$EZ1530,34,FALSE),VLOOKUP($B924,Data!$B$3:$EZ1530,35,FALSE)),1),"")</f>
        <v>-0.3160377358</v>
      </c>
      <c r="M924" s="48">
        <f>IFERROR(MINUS(DIVIDE(VLOOKUP($B924,Data!$B$3:$EZ1530,39,FALSE),VLOOKUP($B924,Data!$B$3:$EZ1530,40,FALSE)),1),"")</f>
        <v>-3.276595745</v>
      </c>
      <c r="N924" s="48">
        <f>IFERROR(MINUS(DIVIDE(VLOOKUP($B924,Data!$B$3:$EZ1530,44,FALSE),VLOOKUP($B924,Data!$B$3:$EZ1530,45,FALSE)),1),"")</f>
        <v>-0.219858156</v>
      </c>
      <c r="O924" s="50">
        <f>IFERROR(VLOOKUP($B924,Data!$B$3:$D1530,2,FALSE),"")</f>
        <v>8840000</v>
      </c>
      <c r="P924" s="50">
        <f>IFERROR(VLOOKUP($B924,Data!$B$3:$D1530,3,FALSE),"")</f>
        <v>8260000</v>
      </c>
      <c r="Q924" s="48">
        <f t="shared" si="2"/>
        <v>0.07021791768</v>
      </c>
      <c r="R924" s="48"/>
      <c r="S924" s="48"/>
      <c r="T924" s="48"/>
      <c r="U924" s="48"/>
      <c r="V924" s="48"/>
      <c r="W924" s="50"/>
      <c r="Z924" s="11"/>
      <c r="AA924" s="11"/>
    </row>
    <row r="925">
      <c r="A925" s="9">
        <f t="shared" si="1"/>
        <v>922</v>
      </c>
      <c r="B925" s="47" t="s">
        <v>1059</v>
      </c>
      <c r="C925" s="48">
        <f>IFERROR(DIVIDE(VLOOKUP($B925,Data!$B$3:$AB$1535,9,FALSE),VLOOKUP($B925,Data!$B$3:$AB$1535,4,FALSE)),"")</f>
        <v>0.6105054509</v>
      </c>
      <c r="D925" s="48">
        <f>IFERROR(DIVIDE(VLOOKUP($B925,Data!$B$3:$AB$1535,24,FALSE),VLOOKUP($B925,Data!$B$3:$AB$1535,4,FALSE)),"")</f>
        <v>-0.2438057483</v>
      </c>
      <c r="E925" s="48">
        <f>IFERROR(DIVIDE(VLOOKUP($B925,Data!$B$3:$EZ1530,29,FALSE),VLOOKUP($B925,Data!$B$3:$EZ1530,4,FALSE)),"")</f>
        <v>-0.2556987116</v>
      </c>
      <c r="F925" s="48">
        <f>IFERROR(DIVIDE(VLOOKUP($B925,Data!$B$3:$EZ1530,34,FALSE),VLOOKUP($B925,Data!$B$3:$EZ1530,4,FALSE)),"")</f>
        <v>-0.1843409316</v>
      </c>
      <c r="G925" s="48">
        <f>IFERROR(DIVIDE(VLOOKUP($B925,Data!$B$3:$EZ1530,39,FALSE),VLOOKUP($B925,Data!$B$3:$EZ1530,4,FALSE)),"")</f>
        <v>-0.2556987116</v>
      </c>
      <c r="H925" s="48">
        <f>IFERROR(DIVIDE(VLOOKUP($B925,Data!$B$3:$EZ1530,44,FALSE),VLOOKUP($B925,Data!$B$3:$EZ1530,4,FALSE)),"")</f>
        <v>0</v>
      </c>
      <c r="I925" s="48">
        <f>IFERROR(MINUS(DIVIDE(VLOOKUP($B925,Data!$B$3:$EZ1530,9,FALSE),VLOOKUP($B925,Data!$B$3:$EZ1530,10,FALSE)),1),"")</f>
        <v>-0.392504931</v>
      </c>
      <c r="J925" s="48">
        <f>IFERROR(MINUS(DIVIDE(VLOOKUP($B925,Data!$B$3:$EZ1530,24,FALSE),VLOOKUP($B925,Data!$B$3:$EZ1530,25,FALSE)),1),"")</f>
        <v>-0.7728531856</v>
      </c>
      <c r="K925" s="48">
        <f>IFERROR(MINUS(DIVIDE(VLOOKUP($B925,Data!$B$3:$EZ1530,29,FALSE),VLOOKUP($B925,Data!$B$3:$EZ1530,30,FALSE)),1),"")</f>
        <v>-0.7736842105</v>
      </c>
      <c r="L925" s="48">
        <f>IFERROR(MINUS(DIVIDE(VLOOKUP($B925,Data!$B$3:$EZ1530,34,FALSE),VLOOKUP($B925,Data!$B$3:$EZ1530,35,FALSE)),1),"")</f>
        <v>-1.678832117</v>
      </c>
      <c r="M925" s="48">
        <f>IFERROR(MINUS(DIVIDE(VLOOKUP($B925,Data!$B$3:$EZ1530,39,FALSE),VLOOKUP($B925,Data!$B$3:$EZ1530,40,FALSE)),1),"")</f>
        <v>-0.7738825592</v>
      </c>
      <c r="N925" s="48" t="str">
        <f>IFERROR(MINUS(DIVIDE(VLOOKUP($B925,Data!$B$3:$EZ1530,44,FALSE),VLOOKUP($B925,Data!$B$3:$EZ1530,45,FALSE)),1),"")</f>
        <v/>
      </c>
      <c r="O925" s="50">
        <f>IFERROR(VLOOKUP($B925,Data!$B$3:$D1530,2,FALSE),"")</f>
        <v>15360</v>
      </c>
      <c r="P925" s="50">
        <f>IFERROR(VLOOKUP($B925,Data!$B$3:$D1530,3,FALSE),"")</f>
        <v>11770</v>
      </c>
      <c r="Q925" s="48">
        <f t="shared" si="2"/>
        <v>0.3050127443</v>
      </c>
      <c r="R925" s="48"/>
      <c r="S925" s="48"/>
      <c r="T925" s="48"/>
      <c r="U925" s="48"/>
      <c r="V925" s="48"/>
      <c r="W925" s="50"/>
      <c r="Z925" s="11"/>
      <c r="AA925" s="11"/>
    </row>
    <row r="926">
      <c r="A926" s="9">
        <f t="shared" si="1"/>
        <v>923</v>
      </c>
      <c r="B926" s="47" t="s">
        <v>1060</v>
      </c>
      <c r="C926" s="48">
        <f>IFERROR(DIVIDE(VLOOKUP($B926,Data!$B$3:$AB$1535,9,FALSE),VLOOKUP($B926,Data!$B$3:$AB$1535,4,FALSE)),"")</f>
        <v>0.5285390245</v>
      </c>
      <c r="D926" s="48">
        <f>IFERROR(DIVIDE(VLOOKUP($B926,Data!$B$3:$AB$1535,24,FALSE),VLOOKUP($B926,Data!$B$3:$AB$1535,4,FALSE)),"")</f>
        <v>0.08324179351</v>
      </c>
      <c r="E926" s="48">
        <f>IFERROR(DIVIDE(VLOOKUP($B926,Data!$B$3:$EZ1530,29,FALSE),VLOOKUP($B926,Data!$B$3:$EZ1530,4,FALSE)),"")</f>
        <v>0.08202918813</v>
      </c>
      <c r="F926" s="48">
        <f>IFERROR(DIVIDE(VLOOKUP($B926,Data!$B$3:$EZ1530,34,FALSE),VLOOKUP($B926,Data!$B$3:$EZ1530,4,FALSE)),"")</f>
        <v>0.08469691998</v>
      </c>
      <c r="G926" s="48">
        <f>IFERROR(DIVIDE(VLOOKUP($B926,Data!$B$3:$EZ1530,39,FALSE),VLOOKUP($B926,Data!$B$3:$EZ1530,4,FALSE)),"")</f>
        <v>0.0609155884</v>
      </c>
      <c r="H926" s="48">
        <f>IFERROR(DIVIDE(VLOOKUP($B926,Data!$B$3:$EZ1530,44,FALSE),VLOOKUP($B926,Data!$B$3:$EZ1530,4,FALSE)),"")</f>
        <v>0.04575088806</v>
      </c>
      <c r="I926" s="48">
        <f>IFERROR(MINUS(DIVIDE(VLOOKUP($B926,Data!$B$3:$EZ1530,9,FALSE),VLOOKUP($B926,Data!$B$3:$EZ1530,10,FALSE)),1),"")</f>
        <v>0.001432587307</v>
      </c>
      <c r="J926" s="48">
        <f>IFERROR(MINUS(DIVIDE(VLOOKUP($B926,Data!$B$3:$EZ1530,24,FALSE),VLOOKUP($B926,Data!$B$3:$EZ1530,25,FALSE)),1),"")</f>
        <v>-0.07965299685</v>
      </c>
      <c r="K926" s="48">
        <f>IFERROR(MINUS(DIVIDE(VLOOKUP($B926,Data!$B$3:$EZ1530,29,FALSE),VLOOKUP($B926,Data!$B$3:$EZ1530,30,FALSE)),1),"")</f>
        <v>-0.06852421837</v>
      </c>
      <c r="L926" s="48">
        <f>IFERROR(MINUS(DIVIDE(VLOOKUP($B926,Data!$B$3:$EZ1530,34,FALSE),VLOOKUP($B926,Data!$B$3:$EZ1530,35,FALSE)),1),"")</f>
        <v>-0.3543932144</v>
      </c>
      <c r="M926" s="48">
        <f>IFERROR(MINUS(DIVIDE(VLOOKUP($B926,Data!$B$3:$EZ1530,39,FALSE),VLOOKUP($B926,Data!$B$3:$EZ1530,40,FALSE)),1),"")</f>
        <v>-0.3070431678</v>
      </c>
      <c r="N926" s="48">
        <f>IFERROR(MINUS(DIVIDE(VLOOKUP($B926,Data!$B$3:$EZ1530,44,FALSE),VLOOKUP($B926,Data!$B$3:$EZ1530,45,FALSE)),1),"")</f>
        <v>-0.6278287107</v>
      </c>
      <c r="O926" s="50">
        <f>IFERROR(VLOOKUP($B926,Data!$B$3:$D1530,2,FALSE),"")</f>
        <v>554090</v>
      </c>
      <c r="P926" s="50">
        <f>IFERROR(VLOOKUP($B926,Data!$B$3:$D1530,3,FALSE),"")</f>
        <v>538150</v>
      </c>
      <c r="Q926" s="48">
        <f t="shared" si="2"/>
        <v>0.02961999443</v>
      </c>
      <c r="R926" s="48"/>
      <c r="S926" s="48"/>
      <c r="T926" s="48"/>
      <c r="U926" s="48"/>
      <c r="V926" s="48"/>
      <c r="W926" s="50"/>
      <c r="Z926" s="15"/>
      <c r="AA926" s="15"/>
    </row>
    <row r="927">
      <c r="A927" s="9">
        <f t="shared" si="1"/>
        <v>924</v>
      </c>
      <c r="B927" s="47" t="s">
        <v>1061</v>
      </c>
      <c r="C927" s="48">
        <f>IFERROR(DIVIDE(VLOOKUP($B927,Data!$B$3:$AB$1535,9,FALSE),VLOOKUP($B927,Data!$B$3:$AB$1535,4,FALSE)),"")</f>
        <v>0.05298013245</v>
      </c>
      <c r="D927" s="48">
        <f>IFERROR(DIVIDE(VLOOKUP($B927,Data!$B$3:$AB$1535,24,FALSE),VLOOKUP($B927,Data!$B$3:$AB$1535,4,FALSE)),"")</f>
        <v>-0.4167842797</v>
      </c>
      <c r="E927" s="48">
        <f>IFERROR(DIVIDE(VLOOKUP($B927,Data!$B$3:$EZ1530,29,FALSE),VLOOKUP($B927,Data!$B$3:$EZ1530,4,FALSE)),"")</f>
        <v>-0.4774725871</v>
      </c>
      <c r="F927" s="48">
        <f>IFERROR(DIVIDE(VLOOKUP($B927,Data!$B$3:$EZ1530,34,FALSE),VLOOKUP($B927,Data!$B$3:$EZ1530,4,FALSE)),"")</f>
        <v>0.3110049578</v>
      </c>
      <c r="G927" s="48">
        <f>IFERROR(DIVIDE(VLOOKUP($B927,Data!$B$3:$EZ1530,39,FALSE),VLOOKUP($B927,Data!$B$3:$EZ1530,4,FALSE)),"")</f>
        <v>-0.4659646075</v>
      </c>
      <c r="H927" s="48">
        <f>IFERROR(DIVIDE(VLOOKUP($B927,Data!$B$3:$EZ1530,44,FALSE),VLOOKUP($B927,Data!$B$3:$EZ1530,4,FALSE)),"")</f>
        <v>0.167806608</v>
      </c>
      <c r="I927" s="48">
        <f>IFERROR(MINUS(DIVIDE(VLOOKUP($B927,Data!$B$3:$EZ1530,9,FALSE),VLOOKUP($B927,Data!$B$3:$EZ1530,10,FALSE)),1),"")</f>
        <v>-0.7970893971</v>
      </c>
      <c r="J927" s="48">
        <f>IFERROR(MINUS(DIVIDE(VLOOKUP($B927,Data!$B$3:$EZ1530,24,FALSE),VLOOKUP($B927,Data!$B$3:$EZ1530,25,FALSE)),1),"")</f>
        <v>-3.003653445</v>
      </c>
      <c r="K927" s="48">
        <f>IFERROR(MINUS(DIVIDE(VLOOKUP($B927,Data!$B$3:$EZ1530,29,FALSE),VLOOKUP($B927,Data!$B$3:$EZ1530,30,FALSE)),1),"")</f>
        <v>7.902834008</v>
      </c>
      <c r="L927" s="48">
        <f>IFERROR(MINUS(DIVIDE(VLOOKUP($B927,Data!$B$3:$EZ1530,34,FALSE),VLOOKUP($B927,Data!$B$3:$EZ1530,35,FALSE)),1),"")</f>
        <v>-0.3764782703</v>
      </c>
      <c r="M927" s="48">
        <f>IFERROR(MINUS(DIVIDE(VLOOKUP($B927,Data!$B$3:$EZ1530,39,FALSE),VLOOKUP($B927,Data!$B$3:$EZ1530,40,FALSE)),1),"")</f>
        <v>5.801901743</v>
      </c>
      <c r="N927" s="48">
        <f>IFERROR(MINUS(DIVIDE(VLOOKUP($B927,Data!$B$3:$EZ1530,44,FALSE),VLOOKUP($B927,Data!$B$3:$EZ1530,45,FALSE)),1),"")</f>
        <v>-0.6602681515</v>
      </c>
      <c r="O927" s="50" t="str">
        <f>IFERROR(VLOOKUP($B927,Data!$B$3:$D1530,2,FALSE),"")</f>
        <v/>
      </c>
      <c r="P927" s="50" t="str">
        <f>IFERROR(VLOOKUP($B927,Data!$B$3:$D1530,3,FALSE),"")</f>
        <v/>
      </c>
      <c r="Q927" s="48" t="str">
        <f t="shared" si="2"/>
        <v/>
      </c>
      <c r="R927" s="48"/>
      <c r="S927" s="48"/>
      <c r="T927" s="48"/>
      <c r="U927" s="48"/>
      <c r="V927" s="48"/>
      <c r="W927" s="50"/>
      <c r="Z927" s="15"/>
      <c r="AA927" s="15"/>
    </row>
    <row r="928">
      <c r="A928" s="9">
        <f t="shared" si="1"/>
        <v>925</v>
      </c>
      <c r="B928" s="47" t="s">
        <v>1062</v>
      </c>
      <c r="C928" s="48" t="str">
        <f>IFERROR(DIVIDE(VLOOKUP($B928,Data!$B$3:$AB$1535,9,FALSE),VLOOKUP($B928,Data!$B$3:$AB$1535,4,FALSE)),"")</f>
        <v/>
      </c>
      <c r="D928" s="48" t="str">
        <f>IFERROR(DIVIDE(VLOOKUP($B928,Data!$B$3:$AB$1535,24,FALSE),VLOOKUP($B928,Data!$B$3:$AB$1535,4,FALSE)),"")</f>
        <v/>
      </c>
      <c r="E928" s="48" t="str">
        <f>IFERROR(DIVIDE(VLOOKUP($B928,Data!$B$3:$EZ1530,29,FALSE),VLOOKUP($B928,Data!$B$3:$EZ1530,4,FALSE)),"")</f>
        <v/>
      </c>
      <c r="F928" s="48" t="str">
        <f>IFERROR(DIVIDE(VLOOKUP($B928,Data!$B$3:$EZ1530,34,FALSE),VLOOKUP($B928,Data!$B$3:$EZ1530,4,FALSE)),"")</f>
        <v/>
      </c>
      <c r="G928" s="48" t="str">
        <f>IFERROR(DIVIDE(VLOOKUP($B928,Data!$B$3:$EZ1530,39,FALSE),VLOOKUP($B928,Data!$B$3:$EZ1530,4,FALSE)),"")</f>
        <v/>
      </c>
      <c r="H928" s="48" t="str">
        <f>IFERROR(DIVIDE(VLOOKUP($B928,Data!$B$3:$EZ1530,44,FALSE),VLOOKUP($B928,Data!$B$3:$EZ1530,4,FALSE)),"")</f>
        <v/>
      </c>
      <c r="I928" s="48" t="str">
        <f>IFERROR(MINUS(DIVIDE(VLOOKUP($B928,Data!$B$3:$EZ1530,9,FALSE),VLOOKUP($B928,Data!$B$3:$EZ1530,10,FALSE)),1),"")</f>
        <v/>
      </c>
      <c r="J928" s="48" t="str">
        <f>IFERROR(MINUS(DIVIDE(VLOOKUP($B928,Data!$B$3:$EZ1530,24,FALSE),VLOOKUP($B928,Data!$B$3:$EZ1530,25,FALSE)),1),"")</f>
        <v/>
      </c>
      <c r="K928" s="48" t="str">
        <f>IFERROR(MINUS(DIVIDE(VLOOKUP($B928,Data!$B$3:$EZ1530,29,FALSE),VLOOKUP($B928,Data!$B$3:$EZ1530,30,FALSE)),1),"")</f>
        <v/>
      </c>
      <c r="L928" s="48" t="str">
        <f>IFERROR(MINUS(DIVIDE(VLOOKUP($B928,Data!$B$3:$EZ1530,34,FALSE),VLOOKUP($B928,Data!$B$3:$EZ1530,35,FALSE)),1),"")</f>
        <v/>
      </c>
      <c r="M928" s="48" t="str">
        <f>IFERROR(MINUS(DIVIDE(VLOOKUP($B928,Data!$B$3:$EZ1530,39,FALSE),VLOOKUP($B928,Data!$B$3:$EZ1530,40,FALSE)),1),"")</f>
        <v/>
      </c>
      <c r="N928" s="48" t="str">
        <f>IFERROR(MINUS(DIVIDE(VLOOKUP($B928,Data!$B$3:$EZ1530,44,FALSE),VLOOKUP($B928,Data!$B$3:$EZ1530,45,FALSE)),1),"")</f>
        <v/>
      </c>
      <c r="O928" s="50">
        <f>IFERROR(VLOOKUP($B928,Data!$B$3:$D1530,2,FALSE),"")</f>
        <v>1360000</v>
      </c>
      <c r="P928" s="50">
        <f>IFERROR(VLOOKUP($B928,Data!$B$3:$D1530,3,FALSE),"")</f>
        <v>1250000</v>
      </c>
      <c r="Q928" s="48">
        <f t="shared" si="2"/>
        <v>0.088</v>
      </c>
      <c r="R928" s="48"/>
      <c r="S928" s="48"/>
      <c r="T928" s="48"/>
      <c r="U928" s="48"/>
      <c r="V928" s="48"/>
      <c r="W928" s="50"/>
      <c r="Z928" s="15"/>
      <c r="AA928" s="15"/>
    </row>
    <row r="929">
      <c r="A929" s="9">
        <f t="shared" si="1"/>
        <v>926</v>
      </c>
      <c r="B929" s="47" t="s">
        <v>1063</v>
      </c>
      <c r="C929" s="48">
        <f>IFERROR(DIVIDE(VLOOKUP($B929,Data!$B$3:$AB$1535,9,FALSE),VLOOKUP($B929,Data!$B$3:$AB$1535,4,FALSE)),"")</f>
        <v>0.551551153</v>
      </c>
      <c r="D929" s="48">
        <f>IFERROR(DIVIDE(VLOOKUP($B929,Data!$B$3:$AB$1535,24,FALSE),VLOOKUP($B929,Data!$B$3:$AB$1535,4,FALSE)),"")</f>
        <v>0.1633329087</v>
      </c>
      <c r="E929" s="48">
        <f>IFERROR(DIVIDE(VLOOKUP($B929,Data!$B$3:$EZ1530,29,FALSE),VLOOKUP($B929,Data!$B$3:$EZ1530,4,FALSE)),"")</f>
        <v>0.1801503376</v>
      </c>
      <c r="F929" s="48">
        <f>IFERROR(DIVIDE(VLOOKUP($B929,Data!$B$3:$EZ1530,34,FALSE),VLOOKUP($B929,Data!$B$3:$EZ1530,4,FALSE)),"")</f>
        <v>0.1909319659</v>
      </c>
      <c r="G929" s="48">
        <f>IFERROR(DIVIDE(VLOOKUP($B929,Data!$B$3:$EZ1530,39,FALSE),VLOOKUP($B929,Data!$B$3:$EZ1530,4,FALSE)),"")</f>
        <v>0.1733341827</v>
      </c>
      <c r="H929" s="48">
        <f>IFERROR(DIVIDE(VLOOKUP($B929,Data!$B$3:$EZ1530,44,FALSE),VLOOKUP($B929,Data!$B$3:$EZ1530,4,FALSE)),"")</f>
        <v>0.3444706332</v>
      </c>
      <c r="I929" s="48">
        <f>IFERROR(MINUS(DIVIDE(VLOOKUP($B929,Data!$B$3:$EZ1530,9,FALSE),VLOOKUP($B929,Data!$B$3:$EZ1530,10,FALSE)),1),"")</f>
        <v>0.07332568878</v>
      </c>
      <c r="J929" s="48">
        <f>IFERROR(MINUS(DIVIDE(VLOOKUP($B929,Data!$B$3:$EZ1530,24,FALSE),VLOOKUP($B929,Data!$B$3:$EZ1530,25,FALSE)),1),"")</f>
        <v>-0.09630804476</v>
      </c>
      <c r="K929" s="48">
        <f>IFERROR(MINUS(DIVIDE(VLOOKUP($B929,Data!$B$3:$EZ1530,29,FALSE),VLOOKUP($B929,Data!$B$3:$EZ1530,30,FALSE)),1),"")</f>
        <v>-0.0452397029</v>
      </c>
      <c r="L929" s="48">
        <f>IFERROR(MINUS(DIVIDE(VLOOKUP($B929,Data!$B$3:$EZ1530,34,FALSE),VLOOKUP($B929,Data!$B$3:$EZ1530,35,FALSE)),1),"")</f>
        <v>-0.06130598184</v>
      </c>
      <c r="M929" s="48">
        <f>IFERROR(MINUS(DIVIDE(VLOOKUP($B929,Data!$B$3:$EZ1530,39,FALSE),VLOOKUP($B929,Data!$B$3:$EZ1530,40,FALSE)),1),"")</f>
        <v>0.03391279567</v>
      </c>
      <c r="N929" s="48">
        <f>IFERROR(MINUS(DIVIDE(VLOOKUP($B929,Data!$B$3:$EZ1530,44,FALSE),VLOOKUP($B929,Data!$B$3:$EZ1530,45,FALSE)),1),"")</f>
        <v>0.5291622481</v>
      </c>
      <c r="O929" s="50">
        <f>IFERROR(VLOOKUP($B929,Data!$B$3:$D1530,2,FALSE),"")</f>
        <v>820340</v>
      </c>
      <c r="P929" s="50">
        <f>IFERROR(VLOOKUP($B929,Data!$B$3:$D1530,3,FALSE),"")</f>
        <v>693500</v>
      </c>
      <c r="Q929" s="48">
        <f t="shared" si="2"/>
        <v>0.1828983417</v>
      </c>
      <c r="R929" s="48"/>
      <c r="S929" s="48"/>
      <c r="T929" s="48"/>
      <c r="U929" s="48"/>
      <c r="V929" s="48"/>
      <c r="W929" s="50"/>
      <c r="Z929" s="12"/>
      <c r="AA929" s="12"/>
    </row>
    <row r="930">
      <c r="A930" s="9">
        <f t="shared" si="1"/>
        <v>927</v>
      </c>
      <c r="B930" s="47" t="s">
        <v>1064</v>
      </c>
      <c r="C930" s="48">
        <f>IFERROR(DIVIDE(VLOOKUP($B930,Data!$B$3:$AB$1535,9,FALSE),VLOOKUP($B930,Data!$B$3:$AB$1535,4,FALSE)),"")</f>
        <v>0.2238310399</v>
      </c>
      <c r="D930" s="48">
        <f>IFERROR(DIVIDE(VLOOKUP($B930,Data!$B$3:$AB$1535,24,FALSE),VLOOKUP($B930,Data!$B$3:$AB$1535,4,FALSE)),"")</f>
        <v>0.1168617786</v>
      </c>
      <c r="E930" s="48">
        <f>IFERROR(DIVIDE(VLOOKUP($B930,Data!$B$3:$EZ1530,29,FALSE),VLOOKUP($B930,Data!$B$3:$EZ1530,4,FALSE)),"")</f>
        <v>0.1179571438</v>
      </c>
      <c r="F930" s="48">
        <f>IFERROR(DIVIDE(VLOOKUP($B930,Data!$B$3:$EZ1530,34,FALSE),VLOOKUP($B930,Data!$B$3:$EZ1530,4,FALSE)),"")</f>
        <v>0.1199082632</v>
      </c>
      <c r="G930" s="48">
        <f>IFERROR(DIVIDE(VLOOKUP($B930,Data!$B$3:$EZ1530,39,FALSE),VLOOKUP($B930,Data!$B$3:$EZ1530,4,FALSE)),"")</f>
        <v>0.0943725611</v>
      </c>
      <c r="H930" s="48">
        <f>IFERROR(DIVIDE(VLOOKUP($B930,Data!$B$3:$EZ1530,44,FALSE),VLOOKUP($B930,Data!$B$3:$EZ1530,4,FALSE)),"")</f>
        <v>0.116108715</v>
      </c>
      <c r="I930" s="48">
        <f>IFERROR(MINUS(DIVIDE(VLOOKUP($B930,Data!$B$3:$EZ1530,9,FALSE),VLOOKUP($B930,Data!$B$3:$EZ1530,10,FALSE)),1),"")</f>
        <v>-0.01402291918</v>
      </c>
      <c r="J930" s="48">
        <f>IFERROR(MINUS(DIVIDE(VLOOKUP($B930,Data!$B$3:$EZ1530,24,FALSE),VLOOKUP($B930,Data!$B$3:$EZ1530,25,FALSE)),1),"")</f>
        <v>-0.03532071207</v>
      </c>
      <c r="K930" s="48">
        <f>IFERROR(MINUS(DIVIDE(VLOOKUP($B930,Data!$B$3:$EZ1530,29,FALSE),VLOOKUP($B930,Data!$B$3:$EZ1530,30,FALSE)),1),"")</f>
        <v>-0.03365114975</v>
      </c>
      <c r="L930" s="48">
        <f>IFERROR(MINUS(DIVIDE(VLOOKUP($B930,Data!$B$3:$EZ1530,34,FALSE),VLOOKUP($B930,Data!$B$3:$EZ1530,35,FALSE)),1),"")</f>
        <v>-0.07205298013</v>
      </c>
      <c r="M930" s="48">
        <f>IFERROR(MINUS(DIVIDE(VLOOKUP($B930,Data!$B$3:$EZ1530,39,FALSE),VLOOKUP($B930,Data!$B$3:$EZ1530,40,FALSE)),1),"")</f>
        <v>-0.00576992427</v>
      </c>
      <c r="N930" s="48">
        <f>IFERROR(MINUS(DIVIDE(VLOOKUP($B930,Data!$B$3:$EZ1530,44,FALSE),VLOOKUP($B930,Data!$B$3:$EZ1530,45,FALSE)),1),"")</f>
        <v>0.4890254609</v>
      </c>
      <c r="O930" s="50">
        <f>IFERROR(VLOOKUP($B930,Data!$B$3:$D1530,2,FALSE),"")</f>
        <v>282820</v>
      </c>
      <c r="P930" s="50">
        <f>IFERROR(VLOOKUP($B930,Data!$B$3:$D1530,3,FALSE),"")</f>
        <v>230590</v>
      </c>
      <c r="Q930" s="48">
        <f t="shared" si="2"/>
        <v>0.2265059196</v>
      </c>
      <c r="R930" s="48"/>
      <c r="S930" s="48"/>
      <c r="T930" s="48"/>
      <c r="U930" s="48"/>
      <c r="V930" s="48"/>
      <c r="W930" s="50"/>
      <c r="Z930" s="11"/>
      <c r="AA930" s="11"/>
    </row>
    <row r="931">
      <c r="A931" s="9">
        <f t="shared" si="1"/>
        <v>928</v>
      </c>
      <c r="B931" s="47" t="s">
        <v>1065</v>
      </c>
      <c r="C931" s="48">
        <f>IFERROR(DIVIDE(VLOOKUP($B931,Data!$B$3:$AB$1535,9,FALSE),VLOOKUP($B931,Data!$B$3:$AB$1535,4,FALSE)),"")</f>
        <v>0.4888</v>
      </c>
      <c r="D931" s="48">
        <f>IFERROR(DIVIDE(VLOOKUP($B931,Data!$B$3:$AB$1535,24,FALSE),VLOOKUP($B931,Data!$B$3:$AB$1535,4,FALSE)),"")</f>
        <v>-0.3842666667</v>
      </c>
      <c r="E931" s="48">
        <f>IFERROR(DIVIDE(VLOOKUP($B931,Data!$B$3:$EZ1530,29,FALSE),VLOOKUP($B931,Data!$B$3:$EZ1530,4,FALSE)),"")</f>
        <v>-0.3912</v>
      </c>
      <c r="F931" s="48">
        <f>IFERROR(DIVIDE(VLOOKUP($B931,Data!$B$3:$EZ1530,34,FALSE),VLOOKUP($B931,Data!$B$3:$EZ1530,4,FALSE)),"")</f>
        <v>-0.3184</v>
      </c>
      <c r="G931" s="48">
        <f>IFERROR(DIVIDE(VLOOKUP($B931,Data!$B$3:$EZ1530,39,FALSE),VLOOKUP($B931,Data!$B$3:$EZ1530,4,FALSE)),"")</f>
        <v>-0.3912</v>
      </c>
      <c r="H931" s="48">
        <f>IFERROR(DIVIDE(VLOOKUP($B931,Data!$B$3:$EZ1530,44,FALSE),VLOOKUP($B931,Data!$B$3:$EZ1530,4,FALSE)),"")</f>
        <v>-0.216</v>
      </c>
      <c r="I931" s="48">
        <f>IFERROR(MINUS(DIVIDE(VLOOKUP($B931,Data!$B$3:$EZ1530,9,FALSE),VLOOKUP($B931,Data!$B$3:$EZ1530,10,FALSE)),1),"")</f>
        <v>-0.2763521516</v>
      </c>
      <c r="J931" s="48" t="str">
        <f>IFERROR(MINUS(DIVIDE(VLOOKUP($B931,Data!$B$3:$EZ1530,24,FALSE),VLOOKUP($B931,Data!$B$3:$EZ1530,25,FALSE)),1),"")</f>
        <v/>
      </c>
      <c r="K931" s="48">
        <f>IFERROR(MINUS(DIVIDE(VLOOKUP($B931,Data!$B$3:$EZ1530,29,FALSE),VLOOKUP($B931,Data!$B$3:$EZ1530,30,FALSE)),1),"")</f>
        <v>-0.1735211268</v>
      </c>
      <c r="L931" s="48">
        <f>IFERROR(MINUS(DIVIDE(VLOOKUP($B931,Data!$B$3:$EZ1530,34,FALSE),VLOOKUP($B931,Data!$B$3:$EZ1530,35,FALSE)),1),"")</f>
        <v>-0.247637051</v>
      </c>
      <c r="M931" s="48">
        <f>IFERROR(MINUS(DIVIDE(VLOOKUP($B931,Data!$B$3:$EZ1530,39,FALSE),VLOOKUP($B931,Data!$B$3:$EZ1530,40,FALSE)),1),"")</f>
        <v>-0.1735211268</v>
      </c>
      <c r="N931" s="48">
        <f>IFERROR(MINUS(DIVIDE(VLOOKUP($B931,Data!$B$3:$EZ1530,44,FALSE),VLOOKUP($B931,Data!$B$3:$EZ1530,45,FALSE)),1),"")</f>
        <v>-0.4478527607</v>
      </c>
      <c r="O931" s="50">
        <f>IFERROR(VLOOKUP($B931,Data!$B$3:$D1530,2,FALSE),"")</f>
        <v>61350</v>
      </c>
      <c r="P931" s="50">
        <f>IFERROR(VLOOKUP($B931,Data!$B$3:$D1530,3,FALSE),"")</f>
        <v>50150</v>
      </c>
      <c r="Q931" s="48">
        <f t="shared" si="2"/>
        <v>0.22333001</v>
      </c>
      <c r="R931" s="48"/>
      <c r="S931" s="48"/>
      <c r="T931" s="48"/>
      <c r="U931" s="48"/>
      <c r="V931" s="48"/>
      <c r="W931" s="50"/>
      <c r="Z931" s="15"/>
      <c r="AA931" s="15"/>
    </row>
    <row r="932">
      <c r="A932" s="9">
        <f t="shared" si="1"/>
        <v>929</v>
      </c>
      <c r="B932" s="47" t="s">
        <v>1066</v>
      </c>
      <c r="C932" s="48">
        <f>IFERROR(DIVIDE(VLOOKUP($B932,Data!$B$3:$AB$1535,9,FALSE),VLOOKUP($B932,Data!$B$3:$AB$1535,4,FALSE)),"")</f>
        <v>0.7025112685</v>
      </c>
      <c r="D932" s="48">
        <f>IFERROR(DIVIDE(VLOOKUP($B932,Data!$B$3:$AB$1535,24,FALSE),VLOOKUP($B932,Data!$B$3:$AB$1535,4,FALSE)),"")</f>
        <v>0.2358875295</v>
      </c>
      <c r="E932" s="48">
        <f>IFERROR(DIVIDE(VLOOKUP($B932,Data!$B$3:$EZ1530,29,FALSE),VLOOKUP($B932,Data!$B$3:$EZ1530,4,FALSE)),"")</f>
        <v>0.2459755312</v>
      </c>
      <c r="F932" s="48">
        <f>IFERROR(DIVIDE(VLOOKUP($B932,Data!$B$3:$EZ1530,34,FALSE),VLOOKUP($B932,Data!$B$3:$EZ1530,4,FALSE)),"")</f>
        <v>0.3646705302</v>
      </c>
      <c r="G932" s="48">
        <f>IFERROR(DIVIDE(VLOOKUP($B932,Data!$B$3:$EZ1530,39,FALSE),VLOOKUP($B932,Data!$B$3:$EZ1530,4,FALSE)),"")</f>
        <v>0.2112041211</v>
      </c>
      <c r="H932" s="48">
        <f>IFERROR(DIVIDE(VLOOKUP($B932,Data!$B$3:$EZ1530,44,FALSE),VLOOKUP($B932,Data!$B$3:$EZ1530,4,FALSE)),"")</f>
        <v>0.2884739214</v>
      </c>
      <c r="I932" s="48">
        <f>IFERROR(MINUS(DIVIDE(VLOOKUP($B932,Data!$B$3:$EZ1530,9,FALSE),VLOOKUP($B932,Data!$B$3:$EZ1530,10,FALSE)),1),"")</f>
        <v>0.114023145</v>
      </c>
      <c r="J932" s="48">
        <f>IFERROR(MINUS(DIVIDE(VLOOKUP($B932,Data!$B$3:$EZ1530,24,FALSE),VLOOKUP($B932,Data!$B$3:$EZ1530,25,FALSE)),1),"")</f>
        <v>0.256</v>
      </c>
      <c r="K932" s="48">
        <f>IFERROR(MINUS(DIVIDE(VLOOKUP($B932,Data!$B$3:$EZ1530,29,FALSE),VLOOKUP($B932,Data!$B$3:$EZ1530,30,FALSE)),1),"")</f>
        <v>0.3172413793</v>
      </c>
      <c r="L932" s="48">
        <f>IFERROR(MINUS(DIVIDE(VLOOKUP($B932,Data!$B$3:$EZ1530,34,FALSE),VLOOKUP($B932,Data!$B$3:$EZ1530,35,FALSE)),1),"")</f>
        <v>0.188943317</v>
      </c>
      <c r="M932" s="48">
        <f>IFERROR(MINUS(DIVIDE(VLOOKUP($B932,Data!$B$3:$EZ1530,39,FALSE),VLOOKUP($B932,Data!$B$3:$EZ1530,40,FALSE)),1),"")</f>
        <v>0.5819935691</v>
      </c>
      <c r="N932" s="48">
        <f>IFERROR(MINUS(DIVIDE(VLOOKUP($B932,Data!$B$3:$EZ1530,44,FALSE),VLOOKUP($B932,Data!$B$3:$EZ1530,45,FALSE)),1),"")</f>
        <v>0.2307692308</v>
      </c>
      <c r="O932" s="50">
        <f>IFERROR(VLOOKUP($B932,Data!$B$3:$D1530,2,FALSE),"")</f>
        <v>51210000</v>
      </c>
      <c r="P932" s="50">
        <f>IFERROR(VLOOKUP($B932,Data!$B$3:$D1530,3,FALSE),"")</f>
        <v>47330000</v>
      </c>
      <c r="Q932" s="48">
        <f t="shared" si="2"/>
        <v>0.08197760406</v>
      </c>
      <c r="R932" s="48"/>
      <c r="S932" s="48"/>
      <c r="T932" s="48"/>
      <c r="U932" s="48"/>
      <c r="V932" s="48"/>
      <c r="W932" s="50"/>
      <c r="Z932" s="15"/>
      <c r="AA932" s="15"/>
    </row>
    <row r="933">
      <c r="A933" s="9">
        <f t="shared" si="1"/>
        <v>930</v>
      </c>
      <c r="B933" s="47" t="s">
        <v>1067</v>
      </c>
      <c r="C933" s="48">
        <f>IFERROR(DIVIDE(VLOOKUP($B933,Data!$B$3:$AB$1535,9,FALSE),VLOOKUP($B933,Data!$B$3:$AB$1535,4,FALSE)),"")</f>
        <v>0</v>
      </c>
      <c r="D933" s="48">
        <f>IFERROR(DIVIDE(VLOOKUP($B933,Data!$B$3:$AB$1535,24,FALSE),VLOOKUP($B933,Data!$B$3:$AB$1535,4,FALSE)),"")</f>
        <v>0</v>
      </c>
      <c r="E933" s="48">
        <f>IFERROR(DIVIDE(VLOOKUP($B933,Data!$B$3:$EZ1530,29,FALSE),VLOOKUP($B933,Data!$B$3:$EZ1530,4,FALSE)),"")</f>
        <v>-8.548746055</v>
      </c>
      <c r="F933" s="48">
        <f>IFERROR(DIVIDE(VLOOKUP($B933,Data!$B$3:$EZ1530,34,FALSE),VLOOKUP($B933,Data!$B$3:$EZ1530,4,FALSE)),"")</f>
        <v>-8.548413885</v>
      </c>
      <c r="G933" s="48">
        <f>IFERROR(DIVIDE(VLOOKUP($B933,Data!$B$3:$EZ1530,39,FALSE),VLOOKUP($B933,Data!$B$3:$EZ1530,4,FALSE)),"")</f>
        <v>-8.53712008</v>
      </c>
      <c r="H933" s="48">
        <f>IFERROR(DIVIDE(VLOOKUP($B933,Data!$B$3:$EZ1530,44,FALSE),VLOOKUP($B933,Data!$B$3:$EZ1530,4,FALSE)),"")</f>
        <v>-7.816641754</v>
      </c>
      <c r="I933" s="48" t="str">
        <f>IFERROR(MINUS(DIVIDE(VLOOKUP($B933,Data!$B$3:$EZ1530,9,FALSE),VLOOKUP($B933,Data!$B$3:$EZ1530,10,FALSE)),1),"")</f>
        <v/>
      </c>
      <c r="J933" s="48" t="str">
        <f>IFERROR(MINUS(DIVIDE(VLOOKUP($B933,Data!$B$3:$EZ1530,24,FALSE),VLOOKUP($B933,Data!$B$3:$EZ1530,25,FALSE)),1),"")</f>
        <v/>
      </c>
      <c r="K933" s="48">
        <f>IFERROR(MINUS(DIVIDE(VLOOKUP($B933,Data!$B$3:$EZ1530,29,FALSE),VLOOKUP($B933,Data!$B$3:$EZ1530,30,FALSE)),1),"")</f>
        <v>0.1697915956</v>
      </c>
      <c r="L933" s="48">
        <f>IFERROR(MINUS(DIVIDE(VLOOKUP($B933,Data!$B$3:$EZ1530,34,FALSE),VLOOKUP($B933,Data!$B$3:$EZ1530,35,FALSE)),1),"")</f>
        <v>0.1592342342</v>
      </c>
      <c r="M933" s="48">
        <f>IFERROR(MINUS(DIVIDE(VLOOKUP($B933,Data!$B$3:$EZ1530,39,FALSE),VLOOKUP($B933,Data!$B$3:$EZ1530,40,FALSE)),1),"")</f>
        <v>0.3218639099</v>
      </c>
      <c r="N933" s="48">
        <f>IFERROR(MINUS(DIVIDE(VLOOKUP($B933,Data!$B$3:$EZ1530,44,FALSE),VLOOKUP($B933,Data!$B$3:$EZ1530,45,FALSE)),1),"")</f>
        <v>0.4224317708</v>
      </c>
      <c r="O933" s="50">
        <f>IFERROR(VLOOKUP($B933,Data!$B$3:$D1530,2,FALSE),"")</f>
        <v>4810000</v>
      </c>
      <c r="P933" s="50">
        <f>IFERROR(VLOOKUP($B933,Data!$B$3:$D1530,3,FALSE),"")</f>
        <v>293330</v>
      </c>
      <c r="Q933" s="48">
        <f t="shared" si="2"/>
        <v>15.39791361</v>
      </c>
      <c r="R933" s="48"/>
      <c r="S933" s="48"/>
      <c r="T933" s="48"/>
      <c r="U933" s="48"/>
      <c r="V933" s="48"/>
      <c r="W933" s="50"/>
      <c r="Z933" s="15"/>
      <c r="AA933" s="15"/>
    </row>
    <row r="934">
      <c r="A934" s="9">
        <f t="shared" si="1"/>
        <v>931</v>
      </c>
      <c r="B934" s="47" t="s">
        <v>1068</v>
      </c>
      <c r="C934" s="48" t="str">
        <f>IFERROR(DIVIDE(VLOOKUP($B934,Data!$B$3:$AB$1535,9,FALSE),VLOOKUP($B934,Data!$B$3:$AB$1535,4,FALSE)),"")</f>
        <v/>
      </c>
      <c r="D934" s="48" t="str">
        <f>IFERROR(DIVIDE(VLOOKUP($B934,Data!$B$3:$AB$1535,24,FALSE),VLOOKUP($B934,Data!$B$3:$AB$1535,4,FALSE)),"")</f>
        <v/>
      </c>
      <c r="E934" s="48" t="str">
        <f>IFERROR(DIVIDE(VLOOKUP($B934,Data!$B$3:$EZ1530,29,FALSE),VLOOKUP($B934,Data!$B$3:$EZ1530,4,FALSE)),"")</f>
        <v/>
      </c>
      <c r="F934" s="48" t="str">
        <f>IFERROR(DIVIDE(VLOOKUP($B934,Data!$B$3:$EZ1530,34,FALSE),VLOOKUP($B934,Data!$B$3:$EZ1530,4,FALSE)),"")</f>
        <v/>
      </c>
      <c r="G934" s="48" t="str">
        <f>IFERROR(DIVIDE(VLOOKUP($B934,Data!$B$3:$EZ1530,39,FALSE),VLOOKUP($B934,Data!$B$3:$EZ1530,4,FALSE)),"")</f>
        <v/>
      </c>
      <c r="H934" s="48" t="str">
        <f>IFERROR(DIVIDE(VLOOKUP($B934,Data!$B$3:$EZ1530,44,FALSE),VLOOKUP($B934,Data!$B$3:$EZ1530,4,FALSE)),"")</f>
        <v/>
      </c>
      <c r="I934" s="48">
        <f>IFERROR(MINUS(DIVIDE(VLOOKUP($B934,Data!$B$3:$EZ1530,9,FALSE),VLOOKUP($B934,Data!$B$3:$EZ1530,10,FALSE)),1),"")</f>
        <v>2.960629921</v>
      </c>
      <c r="J934" s="48" t="str">
        <f>IFERROR(MINUS(DIVIDE(VLOOKUP($B934,Data!$B$3:$EZ1530,24,FALSE),VLOOKUP($B934,Data!$B$3:$EZ1530,25,FALSE)),1),"")</f>
        <v/>
      </c>
      <c r="K934" s="48">
        <f>IFERROR(MINUS(DIVIDE(VLOOKUP($B934,Data!$B$3:$EZ1530,29,FALSE),VLOOKUP($B934,Data!$B$3:$EZ1530,30,FALSE)),1),"")</f>
        <v>0.4734549415</v>
      </c>
      <c r="L934" s="48">
        <f>IFERROR(MINUS(DIVIDE(VLOOKUP($B934,Data!$B$3:$EZ1530,34,FALSE),VLOOKUP($B934,Data!$B$3:$EZ1530,35,FALSE)),1),"")</f>
        <v>0.420242915</v>
      </c>
      <c r="M934" s="48">
        <f>IFERROR(MINUS(DIVIDE(VLOOKUP($B934,Data!$B$3:$EZ1530,39,FALSE),VLOOKUP($B934,Data!$B$3:$EZ1530,40,FALSE)),1),"")</f>
        <v>0.4734549415</v>
      </c>
      <c r="N934" s="48">
        <f>IFERROR(MINUS(DIVIDE(VLOOKUP($B934,Data!$B$3:$EZ1530,44,FALSE),VLOOKUP($B934,Data!$B$3:$EZ1530,45,FALSE)),1),"")</f>
        <v>0.7467672414</v>
      </c>
      <c r="O934" s="50">
        <f>IFERROR(VLOOKUP($B934,Data!$B$3:$D1530,2,FALSE),"")</f>
        <v>4730</v>
      </c>
      <c r="P934" s="50">
        <f>IFERROR(VLOOKUP($B934,Data!$B$3:$D1530,3,FALSE),"")</f>
        <v>2220</v>
      </c>
      <c r="Q934" s="48">
        <f t="shared" si="2"/>
        <v>1.130630631</v>
      </c>
      <c r="R934" s="48"/>
      <c r="S934" s="48"/>
      <c r="T934" s="48"/>
      <c r="U934" s="48"/>
      <c r="V934" s="48"/>
      <c r="W934" s="50"/>
      <c r="Z934" s="11"/>
      <c r="AA934" s="11"/>
    </row>
    <row r="935">
      <c r="A935" s="9">
        <f t="shared" si="1"/>
        <v>932</v>
      </c>
      <c r="B935" s="47" t="s">
        <v>1069</v>
      </c>
      <c r="C935" s="48">
        <f>IFERROR(DIVIDE(VLOOKUP($B935,Data!$B$3:$AB$1535,9,FALSE),VLOOKUP($B935,Data!$B$3:$AB$1535,4,FALSE)),"")</f>
        <v>0</v>
      </c>
      <c r="D935" s="48">
        <f>IFERROR(DIVIDE(VLOOKUP($B935,Data!$B$3:$AB$1535,24,FALSE),VLOOKUP($B935,Data!$B$3:$AB$1535,4,FALSE)),"")</f>
        <v>0</v>
      </c>
      <c r="E935" s="48">
        <f>IFERROR(DIVIDE(VLOOKUP($B935,Data!$B$3:$EZ1530,29,FALSE),VLOOKUP($B935,Data!$B$3:$EZ1530,4,FALSE)),"")</f>
        <v>-0.6697530864</v>
      </c>
      <c r="F935" s="48">
        <f>IFERROR(DIVIDE(VLOOKUP($B935,Data!$B$3:$EZ1530,34,FALSE),VLOOKUP($B935,Data!$B$3:$EZ1530,4,FALSE)),"")</f>
        <v>-0.6875593542</v>
      </c>
      <c r="G935" s="48">
        <f>IFERROR(DIVIDE(VLOOKUP($B935,Data!$B$3:$EZ1530,39,FALSE),VLOOKUP($B935,Data!$B$3:$EZ1530,4,FALSE)),"")</f>
        <v>-0.6697530864</v>
      </c>
      <c r="H935" s="48">
        <f>IFERROR(DIVIDE(VLOOKUP($B935,Data!$B$3:$EZ1530,44,FALSE),VLOOKUP($B935,Data!$B$3:$EZ1530,4,FALSE)),"")</f>
        <v>-1.56362773</v>
      </c>
      <c r="I935" s="48" t="str">
        <f>IFERROR(MINUS(DIVIDE(VLOOKUP($B935,Data!$B$3:$EZ1530,9,FALSE),VLOOKUP($B935,Data!$B$3:$EZ1530,10,FALSE)),1),"")</f>
        <v/>
      </c>
      <c r="J935" s="48" t="str">
        <f>IFERROR(MINUS(DIVIDE(VLOOKUP($B935,Data!$B$3:$EZ1530,24,FALSE),VLOOKUP($B935,Data!$B$3:$EZ1530,25,FALSE)),1),"")</f>
        <v/>
      </c>
      <c r="K935" s="48">
        <f>IFERROR(MINUS(DIVIDE(VLOOKUP($B935,Data!$B$3:$EZ1530,29,FALSE),VLOOKUP($B935,Data!$B$3:$EZ1530,30,FALSE)),1),"")</f>
        <v>-0.5610021786</v>
      </c>
      <c r="L935" s="48">
        <f>IFERROR(MINUS(DIVIDE(VLOOKUP($B935,Data!$B$3:$EZ1530,34,FALSE),VLOOKUP($B935,Data!$B$3:$EZ1530,35,FALSE)),1),"")</f>
        <v>-0.550310559</v>
      </c>
      <c r="M935" s="48">
        <f>IFERROR(MINUS(DIVIDE(VLOOKUP($B935,Data!$B$3:$EZ1530,39,FALSE),VLOOKUP($B935,Data!$B$3:$EZ1530,40,FALSE)),1),"")</f>
        <v>-0.5610021786</v>
      </c>
      <c r="N935" s="48">
        <f>IFERROR(MINUS(DIVIDE(VLOOKUP($B935,Data!$B$3:$EZ1530,44,FALSE),VLOOKUP($B935,Data!$B$3:$EZ1530,45,FALSE)),1),"")</f>
        <v>0.1926838102</v>
      </c>
      <c r="O935" s="50">
        <f>IFERROR(VLOOKUP($B935,Data!$B$3:$D1530,2,FALSE),"")</f>
        <v>2020</v>
      </c>
      <c r="P935" s="50">
        <f>IFERROR(VLOOKUP($B935,Data!$B$3:$D1530,3,FALSE),"")</f>
        <v>1640</v>
      </c>
      <c r="Q935" s="48">
        <f t="shared" si="2"/>
        <v>0.2317073171</v>
      </c>
      <c r="R935" s="48"/>
      <c r="S935" s="48"/>
      <c r="T935" s="48"/>
      <c r="U935" s="48"/>
      <c r="V935" s="48"/>
      <c r="W935" s="50"/>
      <c r="Z935" s="11"/>
      <c r="AA935" s="11"/>
    </row>
    <row r="936">
      <c r="A936" s="9">
        <f t="shared" si="1"/>
        <v>933</v>
      </c>
      <c r="B936" s="47" t="s">
        <v>1070</v>
      </c>
      <c r="C936" s="48">
        <f>IFERROR(DIVIDE(VLOOKUP($B936,Data!$B$3:$AB$1535,9,FALSE),VLOOKUP($B936,Data!$B$3:$AB$1535,4,FALSE)),"")</f>
        <v>0.11698507</v>
      </c>
      <c r="D936" s="48">
        <f>IFERROR(DIVIDE(VLOOKUP($B936,Data!$B$3:$AB$1535,24,FALSE),VLOOKUP($B936,Data!$B$3:$AB$1535,4,FALSE)),"")</f>
        <v>0</v>
      </c>
      <c r="E936" s="48">
        <f>IFERROR(DIVIDE(VLOOKUP($B936,Data!$B$3:$EZ1530,29,FALSE),VLOOKUP($B936,Data!$B$3:$EZ1530,4,FALSE)),"")</f>
        <v>0.09212944846</v>
      </c>
      <c r="F936" s="48">
        <f>IFERROR(DIVIDE(VLOOKUP($B936,Data!$B$3:$EZ1530,34,FALSE),VLOOKUP($B936,Data!$B$3:$EZ1530,4,FALSE)),"")</f>
        <v>0.1932477143</v>
      </c>
      <c r="G936" s="48">
        <f>IFERROR(DIVIDE(VLOOKUP($B936,Data!$B$3:$EZ1530,39,FALSE),VLOOKUP($B936,Data!$B$3:$EZ1530,4,FALSE)),"")</f>
        <v>0.07242045845</v>
      </c>
      <c r="H936" s="48">
        <f>IFERROR(DIVIDE(VLOOKUP($B936,Data!$B$3:$EZ1530,44,FALSE),VLOOKUP($B936,Data!$B$3:$EZ1530,4,FALSE)),"")</f>
        <v>0.1816500053</v>
      </c>
      <c r="I936" s="48">
        <f>IFERROR(MINUS(DIVIDE(VLOOKUP($B936,Data!$B$3:$EZ1530,9,FALSE),VLOOKUP($B936,Data!$B$3:$EZ1530,10,FALSE)),1),"")</f>
        <v>0.07532156093</v>
      </c>
      <c r="J936" s="48" t="str">
        <f>IFERROR(MINUS(DIVIDE(VLOOKUP($B936,Data!$B$3:$EZ1530,24,FALSE),VLOOKUP($B936,Data!$B$3:$EZ1530,25,FALSE)),1),"")</f>
        <v/>
      </c>
      <c r="K936" s="48">
        <f>IFERROR(MINUS(DIVIDE(VLOOKUP($B936,Data!$B$3:$EZ1530,29,FALSE),VLOOKUP($B936,Data!$B$3:$EZ1530,30,FALSE)),1),"")</f>
        <v>0.09376319865</v>
      </c>
      <c r="L936" s="48">
        <f>IFERROR(MINUS(DIVIDE(VLOOKUP($B936,Data!$B$3:$EZ1530,34,FALSE),VLOOKUP($B936,Data!$B$3:$EZ1530,35,FALSE)),1),"")</f>
        <v>0.07429626211</v>
      </c>
      <c r="M936" s="48">
        <f>IFERROR(MINUS(DIVIDE(VLOOKUP($B936,Data!$B$3:$EZ1530,39,FALSE),VLOOKUP($B936,Data!$B$3:$EZ1530,40,FALSE)),1),"")</f>
        <v>0.1097583136</v>
      </c>
      <c r="N936" s="48">
        <f>IFERROR(MINUS(DIVIDE(VLOOKUP($B936,Data!$B$3:$EZ1530,44,FALSE),VLOOKUP($B936,Data!$B$3:$EZ1530,45,FALSE)),1),"")</f>
        <v>0.01699641482</v>
      </c>
      <c r="O936" s="50">
        <f>IFERROR(VLOOKUP($B936,Data!$B$3:$D1530,2,FALSE),"")</f>
        <v>933120</v>
      </c>
      <c r="P936" s="50">
        <f>IFERROR(VLOOKUP($B936,Data!$B$3:$D1530,3,FALSE),"")</f>
        <v>874600</v>
      </c>
      <c r="Q936" s="48">
        <f t="shared" si="2"/>
        <v>0.0669105877</v>
      </c>
      <c r="R936" s="48"/>
      <c r="S936" s="48"/>
      <c r="T936" s="48"/>
      <c r="U936" s="48"/>
      <c r="V936" s="48"/>
      <c r="W936" s="50"/>
      <c r="Z936" s="11"/>
      <c r="AA936" s="11"/>
    </row>
    <row r="937">
      <c r="A937" s="9">
        <f t="shared" si="1"/>
        <v>934</v>
      </c>
      <c r="B937" s="47" t="s">
        <v>1071</v>
      </c>
      <c r="C937" s="48">
        <f>IFERROR(DIVIDE(VLOOKUP($B937,Data!$B$3:$AB$1535,9,FALSE),VLOOKUP($B937,Data!$B$3:$AB$1535,4,FALSE)),"")</f>
        <v>0</v>
      </c>
      <c r="D937" s="48">
        <f>IFERROR(DIVIDE(VLOOKUP($B937,Data!$B$3:$AB$1535,24,FALSE),VLOOKUP($B937,Data!$B$3:$AB$1535,4,FALSE)),"")</f>
        <v>0</v>
      </c>
      <c r="E937" s="48">
        <f>IFERROR(DIVIDE(VLOOKUP($B937,Data!$B$3:$EZ1530,29,FALSE),VLOOKUP($B937,Data!$B$3:$EZ1530,4,FALSE)),"")</f>
        <v>-63.8502994</v>
      </c>
      <c r="F937" s="48">
        <f>IFERROR(DIVIDE(VLOOKUP($B937,Data!$B$3:$EZ1530,34,FALSE),VLOOKUP($B937,Data!$B$3:$EZ1530,4,FALSE)),"")</f>
        <v>-66.4251497</v>
      </c>
      <c r="G937" s="48">
        <f>IFERROR(DIVIDE(VLOOKUP($B937,Data!$B$3:$EZ1530,39,FALSE),VLOOKUP($B937,Data!$B$3:$EZ1530,4,FALSE)),"")</f>
        <v>-63.8502994</v>
      </c>
      <c r="H937" s="48">
        <f>IFERROR(DIVIDE(VLOOKUP($B937,Data!$B$3:$EZ1530,44,FALSE),VLOOKUP($B937,Data!$B$3:$EZ1530,4,FALSE)),"")</f>
        <v>-44.23053892</v>
      </c>
      <c r="I937" s="48" t="str">
        <f>IFERROR(MINUS(DIVIDE(VLOOKUP($B937,Data!$B$3:$EZ1530,9,FALSE),VLOOKUP($B937,Data!$B$3:$EZ1530,10,FALSE)),1),"")</f>
        <v/>
      </c>
      <c r="J937" s="48" t="str">
        <f>IFERROR(MINUS(DIVIDE(VLOOKUP($B937,Data!$B$3:$EZ1530,24,FALSE),VLOOKUP($B937,Data!$B$3:$EZ1530,25,FALSE)),1),"")</f>
        <v/>
      </c>
      <c r="K937" s="48">
        <f>IFERROR(MINUS(DIVIDE(VLOOKUP($B937,Data!$B$3:$EZ1530,29,FALSE),VLOOKUP($B937,Data!$B$3:$EZ1530,30,FALSE)),1),"")</f>
        <v>1.166836009</v>
      </c>
      <c r="L937" s="48">
        <f>IFERROR(MINUS(DIVIDE(VLOOKUP($B937,Data!$B$3:$EZ1530,34,FALSE),VLOOKUP($B937,Data!$B$3:$EZ1530,35,FALSE)),1),"")</f>
        <v>1.165544168</v>
      </c>
      <c r="M937" s="48">
        <f>IFERROR(MINUS(DIVIDE(VLOOKUP($B937,Data!$B$3:$EZ1530,39,FALSE),VLOOKUP($B937,Data!$B$3:$EZ1530,40,FALSE)),1),"")</f>
        <v>1.166836009</v>
      </c>
      <c r="N937" s="48">
        <f>IFERROR(MINUS(DIVIDE(VLOOKUP($B937,Data!$B$3:$EZ1530,44,FALSE),VLOOKUP($B937,Data!$B$3:$EZ1530,45,FALSE)),1),"")</f>
        <v>1.107417974</v>
      </c>
      <c r="O937" s="50">
        <f>IFERROR(VLOOKUP($B937,Data!$B$3:$D1530,2,FALSE),"")</f>
        <v>17120</v>
      </c>
      <c r="P937" s="50">
        <f>IFERROR(VLOOKUP($B937,Data!$B$3:$D1530,3,FALSE),"")</f>
        <v>3450</v>
      </c>
      <c r="Q937" s="48">
        <f t="shared" si="2"/>
        <v>3.962318841</v>
      </c>
      <c r="R937" s="48"/>
      <c r="S937" s="48"/>
      <c r="T937" s="48"/>
      <c r="U937" s="48"/>
      <c r="V937" s="48"/>
      <c r="W937" s="50"/>
      <c r="Z937" s="11"/>
      <c r="AA937" s="11"/>
    </row>
    <row r="938">
      <c r="A938" s="9">
        <f t="shared" si="1"/>
        <v>935</v>
      </c>
      <c r="B938" s="47" t="s">
        <v>1072</v>
      </c>
      <c r="C938" s="48">
        <f>IFERROR(DIVIDE(VLOOKUP($B938,Data!$B$3:$AB$1535,9,FALSE),VLOOKUP($B938,Data!$B$3:$AB$1535,4,FALSE)),"")</f>
        <v>0</v>
      </c>
      <c r="D938" s="48">
        <f>IFERROR(DIVIDE(VLOOKUP($B938,Data!$B$3:$AB$1535,24,FALSE),VLOOKUP($B938,Data!$B$3:$AB$1535,4,FALSE)),"")</f>
        <v>0</v>
      </c>
      <c r="E938" s="48">
        <f>IFERROR(DIVIDE(VLOOKUP($B938,Data!$B$3:$EZ1530,29,FALSE),VLOOKUP($B938,Data!$B$3:$EZ1530,4,FALSE)),"")</f>
        <v>-1.765499518</v>
      </c>
      <c r="F938" s="48">
        <f>IFERROR(DIVIDE(VLOOKUP($B938,Data!$B$3:$EZ1530,34,FALSE),VLOOKUP($B938,Data!$B$3:$EZ1530,4,FALSE)),"")</f>
        <v>-1.847735304</v>
      </c>
      <c r="G938" s="48">
        <f>IFERROR(DIVIDE(VLOOKUP($B938,Data!$B$3:$EZ1530,39,FALSE),VLOOKUP($B938,Data!$B$3:$EZ1530,4,FALSE)),"")</f>
        <v>-1.771602955</v>
      </c>
      <c r="H938" s="48">
        <f>IFERROR(DIVIDE(VLOOKUP($B938,Data!$B$3:$EZ1530,44,FALSE),VLOOKUP($B938,Data!$B$3:$EZ1530,4,FALSE)),"")</f>
        <v>-2.025377449</v>
      </c>
      <c r="I938" s="48" t="str">
        <f>IFERROR(MINUS(DIVIDE(VLOOKUP($B938,Data!$B$3:$EZ1530,9,FALSE),VLOOKUP($B938,Data!$B$3:$EZ1530,10,FALSE)),1),"")</f>
        <v/>
      </c>
      <c r="J938" s="48">
        <f>IFERROR(MINUS(DIVIDE(VLOOKUP($B938,Data!$B$3:$EZ1530,24,FALSE),VLOOKUP($B938,Data!$B$3:$EZ1530,25,FALSE)),1),"")</f>
        <v>-1</v>
      </c>
      <c r="K938" s="48">
        <f>IFERROR(MINUS(DIVIDE(VLOOKUP($B938,Data!$B$3:$EZ1530,29,FALSE),VLOOKUP($B938,Data!$B$3:$EZ1530,30,FALSE)),1),"")</f>
        <v>0.9482453031</v>
      </c>
      <c r="L938" s="48">
        <f>IFERROR(MINUS(DIVIDE(VLOOKUP($B938,Data!$B$3:$EZ1530,34,FALSE),VLOOKUP($B938,Data!$B$3:$EZ1530,35,FALSE)),1),"")</f>
        <v>0.3183589273</v>
      </c>
      <c r="M938" s="48">
        <f>IFERROR(MINUS(DIVIDE(VLOOKUP($B938,Data!$B$3:$EZ1530,39,FALSE),VLOOKUP($B938,Data!$B$3:$EZ1530,40,FALSE)),1),"")</f>
        <v>0.9263010828</v>
      </c>
      <c r="N938" s="48">
        <f>IFERROR(MINUS(DIVIDE(VLOOKUP($B938,Data!$B$3:$EZ1530,44,FALSE),VLOOKUP($B938,Data!$B$3:$EZ1530,45,FALSE)),1),"")</f>
        <v>0.3626539875</v>
      </c>
      <c r="O938" s="50">
        <f>IFERROR(VLOOKUP($B938,Data!$B$3:$D1530,2,FALSE),"")</f>
        <v>36500</v>
      </c>
      <c r="P938" s="50">
        <f>IFERROR(VLOOKUP($B938,Data!$B$3:$D1530,3,FALSE),"")</f>
        <v>27120</v>
      </c>
      <c r="Q938" s="48">
        <f t="shared" si="2"/>
        <v>0.3458702065</v>
      </c>
      <c r="R938" s="48"/>
      <c r="S938" s="48"/>
      <c r="T938" s="48"/>
      <c r="U938" s="48"/>
      <c r="V938" s="48"/>
      <c r="W938" s="50"/>
      <c r="Z938" s="11"/>
      <c r="AA938" s="11"/>
    </row>
    <row r="939">
      <c r="A939" s="9">
        <f t="shared" si="1"/>
        <v>936</v>
      </c>
      <c r="B939" s="47" t="s">
        <v>1073</v>
      </c>
      <c r="C939" s="48">
        <f>IFERROR(DIVIDE(VLOOKUP($B939,Data!$B$3:$AB$1535,9,FALSE),VLOOKUP($B939,Data!$B$3:$AB$1535,4,FALSE)),"")</f>
        <v>0.5037037037</v>
      </c>
      <c r="D939" s="48">
        <f>IFERROR(DIVIDE(VLOOKUP($B939,Data!$B$3:$AB$1535,24,FALSE),VLOOKUP($B939,Data!$B$3:$AB$1535,4,FALSE)),"")</f>
        <v>-0.09013333333</v>
      </c>
      <c r="E939" s="48">
        <f>IFERROR(DIVIDE(VLOOKUP($B939,Data!$B$3:$EZ1530,29,FALSE),VLOOKUP($B939,Data!$B$3:$EZ1530,4,FALSE)),"")</f>
        <v>0.2956962963</v>
      </c>
      <c r="F939" s="48">
        <f>IFERROR(DIVIDE(VLOOKUP($B939,Data!$B$3:$EZ1530,34,FALSE),VLOOKUP($B939,Data!$B$3:$EZ1530,4,FALSE)),"")</f>
        <v>0.1266703704</v>
      </c>
      <c r="G939" s="48">
        <f>IFERROR(DIVIDE(VLOOKUP($B939,Data!$B$3:$EZ1530,39,FALSE),VLOOKUP($B939,Data!$B$3:$EZ1530,4,FALSE)),"")</f>
        <v>0.5851851852</v>
      </c>
      <c r="H939" s="48">
        <f>IFERROR(DIVIDE(VLOOKUP($B939,Data!$B$3:$EZ1530,44,FALSE),VLOOKUP($B939,Data!$B$3:$EZ1530,4,FALSE)),"")</f>
        <v>0.1334444444</v>
      </c>
      <c r="I939" s="48">
        <f>IFERROR(MINUS(DIVIDE(VLOOKUP($B939,Data!$B$3:$EZ1530,9,FALSE),VLOOKUP($B939,Data!$B$3:$EZ1530,10,FALSE)),1),"")</f>
        <v>-0.06849315068</v>
      </c>
      <c r="J939" s="48">
        <f>IFERROR(MINUS(DIVIDE(VLOOKUP($B939,Data!$B$3:$EZ1530,24,FALSE),VLOOKUP($B939,Data!$B$3:$EZ1530,25,FALSE)),1),"")</f>
        <v>-6.624220014</v>
      </c>
      <c r="K939" s="48">
        <f>IFERROR(MINUS(DIVIDE(VLOOKUP($B939,Data!$B$3:$EZ1530,29,FALSE),VLOOKUP($B939,Data!$B$3:$EZ1530,30,FALSE)),1),"")</f>
        <v>-172.6946237</v>
      </c>
      <c r="L939" s="48">
        <f>IFERROR(MINUS(DIVIDE(VLOOKUP($B939,Data!$B$3:$EZ1530,34,FALSE),VLOOKUP($B939,Data!$B$3:$EZ1530,35,FALSE)),1),"")</f>
        <v>-0.2889900628</v>
      </c>
      <c r="M939" s="48">
        <f>IFERROR(MINUS(DIVIDE(VLOOKUP($B939,Data!$B$3:$EZ1530,39,FALSE),VLOOKUP($B939,Data!$B$3:$EZ1530,40,FALSE)),1),"")</f>
        <v>-9.822379809</v>
      </c>
      <c r="N939" s="48">
        <f>IFERROR(MINUS(DIVIDE(VLOOKUP($B939,Data!$B$3:$EZ1530,44,FALSE),VLOOKUP($B939,Data!$B$3:$EZ1530,45,FALSE)),1),"")</f>
        <v>-0.3962194591</v>
      </c>
      <c r="O939" s="50">
        <f>IFERROR(VLOOKUP($B939,Data!$B$3:$D1530,2,FALSE),"")</f>
        <v>3480000</v>
      </c>
      <c r="P939" s="50">
        <f>IFERROR(VLOOKUP($B939,Data!$B$3:$D1530,3,FALSE),"")</f>
        <v>3000000</v>
      </c>
      <c r="Q939" s="48">
        <f t="shared" si="2"/>
        <v>0.16</v>
      </c>
      <c r="R939" s="48"/>
      <c r="S939" s="48"/>
      <c r="T939" s="48"/>
      <c r="U939" s="48"/>
      <c r="V939" s="48"/>
      <c r="W939" s="50"/>
      <c r="Z939" s="11"/>
      <c r="AA939" s="11"/>
    </row>
    <row r="940">
      <c r="A940" s="9">
        <f t="shared" si="1"/>
        <v>937</v>
      </c>
      <c r="B940" s="47" t="s">
        <v>1074</v>
      </c>
      <c r="C940" s="48">
        <f>IFERROR(DIVIDE(VLOOKUP($B940,Data!$B$3:$AB$1535,9,FALSE),VLOOKUP($B940,Data!$B$3:$AB$1535,4,FALSE)),"")</f>
        <v>0.09889643463</v>
      </c>
      <c r="D940" s="48">
        <f>IFERROR(DIVIDE(VLOOKUP($B940,Data!$B$3:$AB$1535,24,FALSE),VLOOKUP($B940,Data!$B$3:$AB$1535,4,FALSE)),"")</f>
        <v>0</v>
      </c>
      <c r="E940" s="48">
        <f>IFERROR(DIVIDE(VLOOKUP($B940,Data!$B$3:$EZ1530,29,FALSE),VLOOKUP($B940,Data!$B$3:$EZ1530,4,FALSE)),"")</f>
        <v>0</v>
      </c>
      <c r="F940" s="48">
        <f>IFERROR(DIVIDE(VLOOKUP($B940,Data!$B$3:$EZ1530,34,FALSE),VLOOKUP($B940,Data!$B$3:$EZ1530,4,FALSE)),"")</f>
        <v>0</v>
      </c>
      <c r="G940" s="48">
        <f>IFERROR(DIVIDE(VLOOKUP($B940,Data!$B$3:$EZ1530,39,FALSE),VLOOKUP($B940,Data!$B$3:$EZ1530,4,FALSE)),"")</f>
        <v>0</v>
      </c>
      <c r="H940" s="48">
        <f>IFERROR(DIVIDE(VLOOKUP($B940,Data!$B$3:$EZ1530,44,FALSE),VLOOKUP($B940,Data!$B$3:$EZ1530,4,FALSE)),"")</f>
        <v>0.06239388795</v>
      </c>
      <c r="I940" s="48">
        <f>IFERROR(MINUS(DIVIDE(VLOOKUP($B940,Data!$B$3:$EZ1530,9,FALSE),VLOOKUP($B940,Data!$B$3:$EZ1530,10,FALSE)),1),"")</f>
        <v>-0.3361823362</v>
      </c>
      <c r="J940" s="48" t="str">
        <f>IFERROR(MINUS(DIVIDE(VLOOKUP($B940,Data!$B$3:$EZ1530,24,FALSE),VLOOKUP($B940,Data!$B$3:$EZ1530,25,FALSE)),1),"")</f>
        <v/>
      </c>
      <c r="K940" s="48" t="str">
        <f>IFERROR(MINUS(DIVIDE(VLOOKUP($B940,Data!$B$3:$EZ1530,29,FALSE),VLOOKUP($B940,Data!$B$3:$EZ1530,30,FALSE)),1),"")</f>
        <v/>
      </c>
      <c r="L940" s="48" t="str">
        <f>IFERROR(MINUS(DIVIDE(VLOOKUP($B940,Data!$B$3:$EZ1530,34,FALSE),VLOOKUP($B940,Data!$B$3:$EZ1530,35,FALSE)),1),"")</f>
        <v/>
      </c>
      <c r="M940" s="48" t="str">
        <f>IFERROR(MINUS(DIVIDE(VLOOKUP($B940,Data!$B$3:$EZ1530,39,FALSE),VLOOKUP($B940,Data!$B$3:$EZ1530,40,FALSE)),1),"")</f>
        <v/>
      </c>
      <c r="N940" s="48" t="str">
        <f>IFERROR(MINUS(DIVIDE(VLOOKUP($B940,Data!$B$3:$EZ1530,44,FALSE),VLOOKUP($B940,Data!$B$3:$EZ1530,45,FALSE)),1),"")</f>
        <v/>
      </c>
      <c r="O940" s="50">
        <f>IFERROR(VLOOKUP($B940,Data!$B$3:$D1530,2,FALSE),"")</f>
        <v>585730</v>
      </c>
      <c r="P940" s="50">
        <f>IFERROR(VLOOKUP($B940,Data!$B$3:$D1530,3,FALSE),"")</f>
        <v>1290000</v>
      </c>
      <c r="Q940" s="48">
        <f t="shared" si="2"/>
        <v>-0.5459457364</v>
      </c>
      <c r="R940" s="48"/>
      <c r="S940" s="48"/>
      <c r="T940" s="48"/>
      <c r="U940" s="48"/>
      <c r="V940" s="48"/>
      <c r="W940" s="50"/>
      <c r="Z940" s="11"/>
      <c r="AA940" s="11"/>
    </row>
    <row r="941">
      <c r="A941" s="9">
        <f t="shared" si="1"/>
        <v>938</v>
      </c>
      <c r="B941" s="47" t="s">
        <v>1075</v>
      </c>
      <c r="C941" s="48">
        <f>IFERROR(DIVIDE(VLOOKUP($B941,Data!$B$3:$AB$1535,9,FALSE),VLOOKUP($B941,Data!$B$3:$AB$1535,4,FALSE)),"")</f>
        <v>0.05183071802</v>
      </c>
      <c r="D941" s="48">
        <f>IFERROR(DIVIDE(VLOOKUP($B941,Data!$B$3:$AB$1535,24,FALSE),VLOOKUP($B941,Data!$B$3:$AB$1535,4,FALSE)),"")</f>
        <v>-0.01441654779</v>
      </c>
      <c r="E941" s="48">
        <f>IFERROR(DIVIDE(VLOOKUP($B941,Data!$B$3:$EZ1530,29,FALSE),VLOOKUP($B941,Data!$B$3:$EZ1530,4,FALSE)),"")</f>
        <v>-0.03233475987</v>
      </c>
      <c r="F941" s="48">
        <f>IFERROR(DIVIDE(VLOOKUP($B941,Data!$B$3:$EZ1530,34,FALSE),VLOOKUP($B941,Data!$B$3:$EZ1530,4,FALSE)),"")</f>
        <v>0.06181645269</v>
      </c>
      <c r="G941" s="48">
        <f>IFERROR(DIVIDE(VLOOKUP($B941,Data!$B$3:$EZ1530,39,FALSE),VLOOKUP($B941,Data!$B$3:$EZ1530,4,FALSE)),"")</f>
        <v>-0.03471231574</v>
      </c>
      <c r="H941" s="48">
        <f>IFERROR(DIVIDE(VLOOKUP($B941,Data!$B$3:$EZ1530,44,FALSE),VLOOKUP($B941,Data!$B$3:$EZ1530,4,FALSE)),"")</f>
        <v>0.08527500396</v>
      </c>
      <c r="I941" s="48">
        <f>IFERROR(MINUS(DIVIDE(VLOOKUP($B941,Data!$B$3:$EZ1530,9,FALSE),VLOOKUP($B941,Data!$B$3:$EZ1530,10,FALSE)),1),"")</f>
        <v>-0.6143867925</v>
      </c>
      <c r="J941" s="48">
        <f>IFERROR(MINUS(DIVIDE(VLOOKUP($B941,Data!$B$3:$EZ1530,24,FALSE),VLOOKUP($B941,Data!$B$3:$EZ1530,25,FALSE)),1),"")</f>
        <v>-1.179750988</v>
      </c>
      <c r="K941" s="48">
        <f>IFERROR(MINUS(DIVIDE(VLOOKUP($B941,Data!$B$3:$EZ1530,29,FALSE),VLOOKUP($B941,Data!$B$3:$EZ1530,30,FALSE)),1),"")</f>
        <v>-1.555858311</v>
      </c>
      <c r="L941" s="48">
        <f>IFERROR(MINUS(DIVIDE(VLOOKUP($B941,Data!$B$3:$EZ1530,34,FALSE),VLOOKUP($B941,Data!$B$3:$EZ1530,35,FALSE)),1),"")</f>
        <v>-0.5547945205</v>
      </c>
      <c r="M941" s="48">
        <f>IFERROR(MINUS(DIVIDE(VLOOKUP($B941,Data!$B$3:$EZ1530,39,FALSE),VLOOKUP($B941,Data!$B$3:$EZ1530,40,FALSE)),1),"")</f>
        <v>-1.502293578</v>
      </c>
      <c r="N941" s="48">
        <f>IFERROR(MINUS(DIVIDE(VLOOKUP($B941,Data!$B$3:$EZ1530,44,FALSE),VLOOKUP($B941,Data!$B$3:$EZ1530,45,FALSE)),1),"")</f>
        <v>0.5112359551</v>
      </c>
      <c r="O941" s="50">
        <f>IFERROR(VLOOKUP($B941,Data!$B$3:$D1530,2,FALSE),"")</f>
        <v>58580000</v>
      </c>
      <c r="P941" s="50">
        <f>IFERROR(VLOOKUP($B941,Data!$B$3:$D1530,3,FALSE),"")</f>
        <v>51110000</v>
      </c>
      <c r="Q941" s="48">
        <f t="shared" si="2"/>
        <v>0.1461553512</v>
      </c>
      <c r="R941" s="48"/>
      <c r="S941" s="48"/>
      <c r="T941" s="48"/>
      <c r="U941" s="48"/>
      <c r="V941" s="48"/>
      <c r="W941" s="50"/>
      <c r="Z941" s="15"/>
      <c r="AA941" s="15"/>
    </row>
    <row r="942">
      <c r="A942" s="9">
        <f t="shared" si="1"/>
        <v>939</v>
      </c>
      <c r="B942" s="47" t="s">
        <v>1076</v>
      </c>
      <c r="C942" s="48">
        <f>IFERROR(DIVIDE(VLOOKUP($B942,Data!$B$3:$AB$1535,9,FALSE),VLOOKUP($B942,Data!$B$3:$AB$1535,4,FALSE)),"")</f>
        <v>0</v>
      </c>
      <c r="D942" s="48">
        <f>IFERROR(DIVIDE(VLOOKUP($B942,Data!$B$3:$AB$1535,24,FALSE),VLOOKUP($B942,Data!$B$3:$AB$1535,4,FALSE)),"")</f>
        <v>-3.163448586</v>
      </c>
      <c r="E942" s="48">
        <f>IFERROR(DIVIDE(VLOOKUP($B942,Data!$B$3:$EZ1530,29,FALSE),VLOOKUP($B942,Data!$B$3:$EZ1530,4,FALSE)),"")</f>
        <v>-3.117198024</v>
      </c>
      <c r="F942" s="48">
        <f>IFERROR(DIVIDE(VLOOKUP($B942,Data!$B$3:$EZ1530,34,FALSE),VLOOKUP($B942,Data!$B$3:$EZ1530,4,FALSE)),"")</f>
        <v>-2.075886843</v>
      </c>
      <c r="G942" s="48">
        <f>IFERROR(DIVIDE(VLOOKUP($B942,Data!$B$3:$EZ1530,39,FALSE),VLOOKUP($B942,Data!$B$3:$EZ1530,4,FALSE)),"")</f>
        <v>-3.117198024</v>
      </c>
      <c r="H942" s="48">
        <f>IFERROR(DIVIDE(VLOOKUP($B942,Data!$B$3:$EZ1530,44,FALSE),VLOOKUP($B942,Data!$B$3:$EZ1530,4,FALSE)),"")</f>
        <v>-1.133363269</v>
      </c>
      <c r="I942" s="48" t="str">
        <f>IFERROR(MINUS(DIVIDE(VLOOKUP($B942,Data!$B$3:$EZ1530,9,FALSE),VLOOKUP($B942,Data!$B$3:$EZ1530,10,FALSE)),1),"")</f>
        <v/>
      </c>
      <c r="J942" s="48">
        <f>IFERROR(MINUS(DIVIDE(VLOOKUP($B942,Data!$B$3:$EZ1530,24,FALSE),VLOOKUP($B942,Data!$B$3:$EZ1530,25,FALSE)),1),"")</f>
        <v>1.344425957</v>
      </c>
      <c r="K942" s="48">
        <f>IFERROR(MINUS(DIVIDE(VLOOKUP($B942,Data!$B$3:$EZ1530,29,FALSE),VLOOKUP($B942,Data!$B$3:$EZ1530,30,FALSE)),1),"")</f>
        <v>1.291845494</v>
      </c>
      <c r="L942" s="48">
        <f>IFERROR(MINUS(DIVIDE(VLOOKUP($B942,Data!$B$3:$EZ1530,34,FALSE),VLOOKUP($B942,Data!$B$3:$EZ1530,35,FALSE)),1),"")</f>
        <v>0.5394605395</v>
      </c>
      <c r="M942" s="48">
        <f>IFERROR(MINUS(DIVIDE(VLOOKUP($B942,Data!$B$3:$EZ1530,39,FALSE),VLOOKUP($B942,Data!$B$3:$EZ1530,40,FALSE)),1),"")</f>
        <v>1.291845494</v>
      </c>
      <c r="N942" s="48">
        <f>IFERROR(MINUS(DIVIDE(VLOOKUP($B942,Data!$B$3:$EZ1530,44,FALSE),VLOOKUP($B942,Data!$B$3:$EZ1530,45,FALSE)),1),"")</f>
        <v>4.646532438</v>
      </c>
      <c r="O942" s="50">
        <f>IFERROR(VLOOKUP($B942,Data!$B$3:$D1530,2,FALSE),"")</f>
        <v>22800</v>
      </c>
      <c r="P942" s="50">
        <f>IFERROR(VLOOKUP($B942,Data!$B$3:$D1530,3,FALSE),"")</f>
        <v>22990</v>
      </c>
      <c r="Q942" s="48">
        <f t="shared" si="2"/>
        <v>-0.00826446281</v>
      </c>
      <c r="R942" s="48"/>
      <c r="S942" s="48"/>
      <c r="T942" s="48"/>
      <c r="U942" s="48"/>
      <c r="V942" s="48"/>
      <c r="W942" s="50"/>
      <c r="Z942" s="15"/>
      <c r="AA942" s="15"/>
    </row>
    <row r="943">
      <c r="A943" s="9">
        <f t="shared" si="1"/>
        <v>940</v>
      </c>
      <c r="B943" s="47" t="s">
        <v>1077</v>
      </c>
      <c r="C943" s="48">
        <f>IFERROR(DIVIDE(VLOOKUP($B943,Data!$B$3:$AB$1535,9,FALSE),VLOOKUP($B943,Data!$B$3:$AB$1535,4,FALSE)),"")</f>
        <v>0.1878201635</v>
      </c>
      <c r="D943" s="48">
        <f>IFERROR(DIVIDE(VLOOKUP($B943,Data!$B$3:$AB$1535,24,FALSE),VLOOKUP($B943,Data!$B$3:$AB$1535,4,FALSE)),"")</f>
        <v>0.0792479564</v>
      </c>
      <c r="E943" s="48">
        <f>IFERROR(DIVIDE(VLOOKUP($B943,Data!$B$3:$EZ1530,29,FALSE),VLOOKUP($B943,Data!$B$3:$EZ1530,4,FALSE)),"")</f>
        <v>0.08254768392</v>
      </c>
      <c r="F943" s="48">
        <f>IFERROR(DIVIDE(VLOOKUP($B943,Data!$B$3:$EZ1530,34,FALSE),VLOOKUP($B943,Data!$B$3:$EZ1530,4,FALSE)),"")</f>
        <v>0.08697275204</v>
      </c>
      <c r="G943" s="48">
        <f>IFERROR(DIVIDE(VLOOKUP($B943,Data!$B$3:$EZ1530,39,FALSE),VLOOKUP($B943,Data!$B$3:$EZ1530,4,FALSE)),"")</f>
        <v>0.06802724796</v>
      </c>
      <c r="H943" s="48">
        <f>IFERROR(DIVIDE(VLOOKUP($B943,Data!$B$3:$EZ1530,44,FALSE),VLOOKUP($B943,Data!$B$3:$EZ1530,4,FALSE)),"")</f>
        <v>0.09764850136</v>
      </c>
      <c r="I943" s="48">
        <f>IFERROR(MINUS(DIVIDE(VLOOKUP($B943,Data!$B$3:$EZ1530,9,FALSE),VLOOKUP($B943,Data!$B$3:$EZ1530,10,FALSE)),1),"")</f>
        <v>0.0694116917</v>
      </c>
      <c r="J943" s="48">
        <f>IFERROR(MINUS(DIVIDE(VLOOKUP($B943,Data!$B$3:$EZ1530,24,FALSE),VLOOKUP($B943,Data!$B$3:$EZ1530,25,FALSE)),1),"")</f>
        <v>0.1088489839</v>
      </c>
      <c r="K943" s="48">
        <f>IFERROR(MINUS(DIVIDE(VLOOKUP($B943,Data!$B$3:$EZ1530,29,FALSE),VLOOKUP($B943,Data!$B$3:$EZ1530,30,FALSE)),1),"")</f>
        <v>0.06954986761</v>
      </c>
      <c r="L943" s="48">
        <f>IFERROR(MINUS(DIVIDE(VLOOKUP($B943,Data!$B$3:$EZ1530,34,FALSE),VLOOKUP($B943,Data!$B$3:$EZ1530,35,FALSE)),1),"")</f>
        <v>0.09630774515</v>
      </c>
      <c r="M943" s="48">
        <f>IFERROR(MINUS(DIVIDE(VLOOKUP($B943,Data!$B$3:$EZ1530,39,FALSE),VLOOKUP($B943,Data!$B$3:$EZ1530,40,FALSE)),1),"")</f>
        <v>0.09822724673</v>
      </c>
      <c r="N943" s="48">
        <f>IFERROR(MINUS(DIVIDE(VLOOKUP($B943,Data!$B$3:$EZ1530,44,FALSE),VLOOKUP($B943,Data!$B$3:$EZ1530,45,FALSE)),1),"")</f>
        <v>0.3636605784</v>
      </c>
      <c r="O943" s="50">
        <f>IFERROR(VLOOKUP($B943,Data!$B$3:$D1530,2,FALSE),"")</f>
        <v>4150000</v>
      </c>
      <c r="P943" s="50">
        <f>IFERROR(VLOOKUP($B943,Data!$B$3:$D1530,3,FALSE),"")</f>
        <v>4010000</v>
      </c>
      <c r="Q943" s="48">
        <f t="shared" si="2"/>
        <v>0.0349127182</v>
      </c>
      <c r="R943" s="48"/>
      <c r="S943" s="48"/>
      <c r="T943" s="48"/>
      <c r="U943" s="48"/>
      <c r="V943" s="48"/>
      <c r="W943" s="50"/>
      <c r="Z943" s="15"/>
      <c r="AA943" s="15"/>
    </row>
    <row r="944">
      <c r="A944" s="9">
        <f t="shared" si="1"/>
        <v>941</v>
      </c>
      <c r="B944" s="47" t="s">
        <v>1078</v>
      </c>
      <c r="C944" s="48">
        <f>IFERROR(DIVIDE(VLOOKUP($B944,Data!$B$3:$AB$1535,9,FALSE),VLOOKUP($B944,Data!$B$3:$AB$1535,4,FALSE)),"")</f>
        <v>0.3640961662</v>
      </c>
      <c r="D944" s="48">
        <f>IFERROR(DIVIDE(VLOOKUP($B944,Data!$B$3:$AB$1535,24,FALSE),VLOOKUP($B944,Data!$B$3:$AB$1535,4,FALSE)),"")</f>
        <v>0.1078666082</v>
      </c>
      <c r="E944" s="48">
        <f>IFERROR(DIVIDE(VLOOKUP($B944,Data!$B$3:$EZ1530,29,FALSE),VLOOKUP($B944,Data!$B$3:$EZ1530,4,FALSE)),"")</f>
        <v>0.04127187511</v>
      </c>
      <c r="F944" s="48">
        <f>IFERROR(DIVIDE(VLOOKUP($B944,Data!$B$3:$EZ1530,34,FALSE),VLOOKUP($B944,Data!$B$3:$EZ1530,4,FALSE)),"")</f>
        <v>0.1649863439</v>
      </c>
      <c r="G944" s="48">
        <f>IFERROR(DIVIDE(VLOOKUP($B944,Data!$B$3:$EZ1530,39,FALSE),VLOOKUP($B944,Data!$B$3:$EZ1530,4,FALSE)),"")</f>
        <v>0.008126243383</v>
      </c>
      <c r="H944" s="48">
        <f>IFERROR(DIVIDE(VLOOKUP($B944,Data!$B$3:$EZ1530,44,FALSE),VLOOKUP($B944,Data!$B$3:$EZ1530,4,FALSE)),"")</f>
        <v>0.08955727147</v>
      </c>
      <c r="I944" s="48">
        <f>IFERROR(MINUS(DIVIDE(VLOOKUP($B944,Data!$B$3:$EZ1530,9,FALSE),VLOOKUP($B944,Data!$B$3:$EZ1530,10,FALSE)),1),"")</f>
        <v>-0.1929745889</v>
      </c>
      <c r="J944" s="48">
        <f>IFERROR(MINUS(DIVIDE(VLOOKUP($B944,Data!$B$3:$EZ1530,24,FALSE),VLOOKUP($B944,Data!$B$3:$EZ1530,25,FALSE)),1),"")</f>
        <v>-0.6167485324</v>
      </c>
      <c r="K944" s="48">
        <f>IFERROR(MINUS(DIVIDE(VLOOKUP($B944,Data!$B$3:$EZ1530,29,FALSE),VLOOKUP($B944,Data!$B$3:$EZ1530,30,FALSE)),1),"")</f>
        <v>-0.244910549</v>
      </c>
      <c r="L944" s="48">
        <f>IFERROR(MINUS(DIVIDE(VLOOKUP($B944,Data!$B$3:$EZ1530,34,FALSE),VLOOKUP($B944,Data!$B$3:$EZ1530,35,FALSE)),1),"")</f>
        <v>-0.3233301065</v>
      </c>
      <c r="M944" s="48">
        <f>IFERROR(MINUS(DIVIDE(VLOOKUP($B944,Data!$B$3:$EZ1530,39,FALSE),VLOOKUP($B944,Data!$B$3:$EZ1530,40,FALSE)),1),"")</f>
        <v>-0.8091844814</v>
      </c>
      <c r="N944" s="48">
        <f>IFERROR(MINUS(DIVIDE(VLOOKUP($B944,Data!$B$3:$EZ1530,44,FALSE),VLOOKUP($B944,Data!$B$3:$EZ1530,45,FALSE)),1),"")</f>
        <v>-0.2314814815</v>
      </c>
      <c r="O944" s="50" t="str">
        <f>IFERROR(VLOOKUP($B944,Data!$B$3:$D1530,2,FALSE),"")</f>
        <v/>
      </c>
      <c r="P944" s="50" t="str">
        <f>IFERROR(VLOOKUP($B944,Data!$B$3:$D1530,3,FALSE),"")</f>
        <v/>
      </c>
      <c r="Q944" s="48" t="str">
        <f t="shared" si="2"/>
        <v/>
      </c>
      <c r="R944" s="48"/>
      <c r="S944" s="48"/>
      <c r="T944" s="48"/>
      <c r="U944" s="48"/>
      <c r="V944" s="48"/>
      <c r="W944" s="50"/>
      <c r="Z944" s="11"/>
      <c r="AA944" s="11"/>
    </row>
    <row r="945">
      <c r="A945" s="9">
        <f t="shared" si="1"/>
        <v>942</v>
      </c>
      <c r="B945" s="47" t="s">
        <v>1079</v>
      </c>
      <c r="C945" s="48">
        <f>IFERROR(DIVIDE(VLOOKUP($B945,Data!$B$3:$AB$1535,9,FALSE),VLOOKUP($B945,Data!$B$3:$AB$1535,4,FALSE)),"")</f>
        <v>0.3403259912</v>
      </c>
      <c r="D945" s="48">
        <f>IFERROR(DIVIDE(VLOOKUP($B945,Data!$B$3:$AB$1535,24,FALSE),VLOOKUP($B945,Data!$B$3:$AB$1535,4,FALSE)),"")</f>
        <v>0.209845815</v>
      </c>
      <c r="E945" s="48">
        <f>IFERROR(DIVIDE(VLOOKUP($B945,Data!$B$3:$EZ1530,29,FALSE),VLOOKUP($B945,Data!$B$3:$EZ1530,4,FALSE)),"")</f>
        <v>0.1757577093</v>
      </c>
      <c r="F945" s="48">
        <f>IFERROR(DIVIDE(VLOOKUP($B945,Data!$B$3:$EZ1530,34,FALSE),VLOOKUP($B945,Data!$B$3:$EZ1530,4,FALSE)),"")</f>
        <v>0.3155242291</v>
      </c>
      <c r="G945" s="48">
        <f>IFERROR(DIVIDE(VLOOKUP($B945,Data!$B$3:$EZ1530,39,FALSE),VLOOKUP($B945,Data!$B$3:$EZ1530,4,FALSE)),"")</f>
        <v>0.1326696035</v>
      </c>
      <c r="H945" s="48">
        <f>IFERROR(DIVIDE(VLOOKUP($B945,Data!$B$3:$EZ1530,44,FALSE),VLOOKUP($B945,Data!$B$3:$EZ1530,4,FALSE)),"")</f>
        <v>0.2793964758</v>
      </c>
      <c r="I945" s="48">
        <f>IFERROR(MINUS(DIVIDE(VLOOKUP($B945,Data!$B$3:$EZ1530,9,FALSE),VLOOKUP($B945,Data!$B$3:$EZ1530,10,FALSE)),1),"")</f>
        <v>0.1654472219</v>
      </c>
      <c r="J945" s="48">
        <f>IFERROR(MINUS(DIVIDE(VLOOKUP($B945,Data!$B$3:$EZ1530,24,FALSE),VLOOKUP($B945,Data!$B$3:$EZ1530,25,FALSE)),1),"")</f>
        <v>0.1536132907</v>
      </c>
      <c r="K945" s="48">
        <f>IFERROR(MINUS(DIVIDE(VLOOKUP($B945,Data!$B$3:$EZ1530,29,FALSE),VLOOKUP($B945,Data!$B$3:$EZ1530,30,FALSE)),1),"")</f>
        <v>0.1731306419</v>
      </c>
      <c r="L945" s="48">
        <f>IFERROR(MINUS(DIVIDE(VLOOKUP($B945,Data!$B$3:$EZ1530,34,FALSE),VLOOKUP($B945,Data!$B$3:$EZ1530,35,FALSE)),1),"")</f>
        <v>0.1636150959</v>
      </c>
      <c r="M945" s="48">
        <f>IFERROR(MINUS(DIVIDE(VLOOKUP($B945,Data!$B$3:$EZ1530,39,FALSE),VLOOKUP($B945,Data!$B$3:$EZ1530,40,FALSE)),1),"")</f>
        <v>-0.2072650698</v>
      </c>
      <c r="N945" s="48">
        <f>IFERROR(MINUS(DIVIDE(VLOOKUP($B945,Data!$B$3:$EZ1530,44,FALSE),VLOOKUP($B945,Data!$B$3:$EZ1530,45,FALSE)),1),"")</f>
        <v>0.1563200788</v>
      </c>
      <c r="O945" s="50">
        <f>IFERROR(VLOOKUP($B945,Data!$B$3:$D1530,2,FALSE),"")</f>
        <v>2260000</v>
      </c>
      <c r="P945" s="50">
        <f>IFERROR(VLOOKUP($B945,Data!$B$3:$D1530,3,FALSE),"")</f>
        <v>2020000</v>
      </c>
      <c r="Q945" s="48">
        <f t="shared" si="2"/>
        <v>0.1188118812</v>
      </c>
      <c r="R945" s="48"/>
      <c r="S945" s="48"/>
      <c r="T945" s="48"/>
      <c r="U945" s="48"/>
      <c r="V945" s="48"/>
      <c r="W945" s="50"/>
      <c r="Z945" s="11"/>
      <c r="AA945" s="11"/>
    </row>
    <row r="946">
      <c r="A946" s="9">
        <f t="shared" si="1"/>
        <v>943</v>
      </c>
      <c r="B946" s="47" t="s">
        <v>1080</v>
      </c>
      <c r="C946" s="48">
        <f>IFERROR(DIVIDE(VLOOKUP($B946,Data!$B$3:$AB$1535,9,FALSE),VLOOKUP($B946,Data!$B$3:$AB$1535,4,FALSE)),"")</f>
        <v>0.09292253521</v>
      </c>
      <c r="D946" s="48">
        <f>IFERROR(DIVIDE(VLOOKUP($B946,Data!$B$3:$AB$1535,24,FALSE),VLOOKUP($B946,Data!$B$3:$AB$1535,4,FALSE)),"")</f>
        <v>0</v>
      </c>
      <c r="E946" s="48">
        <f>IFERROR(DIVIDE(VLOOKUP($B946,Data!$B$3:$EZ1530,29,FALSE),VLOOKUP($B946,Data!$B$3:$EZ1530,4,FALSE)),"")</f>
        <v>0.02704929577</v>
      </c>
      <c r="F946" s="48">
        <f>IFERROR(DIVIDE(VLOOKUP($B946,Data!$B$3:$EZ1530,34,FALSE),VLOOKUP($B946,Data!$B$3:$EZ1530,4,FALSE)),"")</f>
        <v>0.03954225352</v>
      </c>
      <c r="G946" s="48">
        <f>IFERROR(DIVIDE(VLOOKUP($B946,Data!$B$3:$EZ1530,39,FALSE),VLOOKUP($B946,Data!$B$3:$EZ1530,4,FALSE)),"")</f>
        <v>0.01970422535</v>
      </c>
      <c r="H946" s="48">
        <f>IFERROR(DIVIDE(VLOOKUP($B946,Data!$B$3:$EZ1530,44,FALSE),VLOOKUP($B946,Data!$B$3:$EZ1530,4,FALSE)),"")</f>
        <v>0.02914788732</v>
      </c>
      <c r="I946" s="48">
        <f>IFERROR(MINUS(DIVIDE(VLOOKUP($B946,Data!$B$3:$EZ1530,9,FALSE),VLOOKUP($B946,Data!$B$3:$EZ1530,10,FALSE)),1),"")</f>
        <v>0.4351751142</v>
      </c>
      <c r="J946" s="48">
        <f>IFERROR(MINUS(DIVIDE(VLOOKUP($B946,Data!$B$3:$EZ1530,24,FALSE),VLOOKUP($B946,Data!$B$3:$EZ1530,25,FALSE)),1),"")</f>
        <v>-1</v>
      </c>
      <c r="K946" s="48">
        <f>IFERROR(MINUS(DIVIDE(VLOOKUP($B946,Data!$B$3:$EZ1530,29,FALSE),VLOOKUP($B946,Data!$B$3:$EZ1530,30,FALSE)),1),"")</f>
        <v>-4.161316872</v>
      </c>
      <c r="L946" s="48">
        <f>IFERROR(MINUS(DIVIDE(VLOOKUP($B946,Data!$B$3:$EZ1530,34,FALSE),VLOOKUP($B946,Data!$B$3:$EZ1530,35,FALSE)),1),"")</f>
        <v>1.014711159</v>
      </c>
      <c r="M946" s="48">
        <f>IFERROR(MINUS(DIVIDE(VLOOKUP($B946,Data!$B$3:$EZ1530,39,FALSE),VLOOKUP($B946,Data!$B$3:$EZ1530,40,FALSE)),1),"")</f>
        <v>-3.43728223</v>
      </c>
      <c r="N946" s="48">
        <f>IFERROR(MINUS(DIVIDE(VLOOKUP($B946,Data!$B$3:$EZ1530,44,FALSE),VLOOKUP($B946,Data!$B$3:$EZ1530,45,FALSE)),1),"")</f>
        <v>-0.4456943886</v>
      </c>
      <c r="O946" s="50">
        <f>IFERROR(VLOOKUP($B946,Data!$B$3:$D1530,2,FALSE),"")</f>
        <v>1020000</v>
      </c>
      <c r="P946" s="50">
        <f>IFERROR(VLOOKUP($B946,Data!$B$3:$D1530,3,FALSE),"")</f>
        <v>1150000</v>
      </c>
      <c r="Q946" s="48">
        <f t="shared" si="2"/>
        <v>-0.1130434783</v>
      </c>
      <c r="R946" s="48"/>
      <c r="S946" s="48"/>
      <c r="T946" s="48"/>
      <c r="U946" s="48"/>
      <c r="V946" s="48"/>
      <c r="W946" s="50"/>
      <c r="Z946" s="12"/>
      <c r="AA946" s="12"/>
    </row>
    <row r="947">
      <c r="A947" s="9">
        <f t="shared" si="1"/>
        <v>944</v>
      </c>
      <c r="B947" s="47" t="s">
        <v>1081</v>
      </c>
      <c r="C947" s="48">
        <f>IFERROR(DIVIDE(VLOOKUP($B947,Data!$B$3:$AB$1535,9,FALSE),VLOOKUP($B947,Data!$B$3:$AB$1535,4,FALSE)),"")</f>
        <v>0.3518840928</v>
      </c>
      <c r="D947" s="48">
        <f>IFERROR(DIVIDE(VLOOKUP($B947,Data!$B$3:$AB$1535,24,FALSE),VLOOKUP($B947,Data!$B$3:$AB$1535,4,FALSE)),"")</f>
        <v>-0.7596606031</v>
      </c>
      <c r="E947" s="48">
        <f>IFERROR(DIVIDE(VLOOKUP($B947,Data!$B$3:$EZ1530,29,FALSE),VLOOKUP($B947,Data!$B$3:$EZ1530,4,FALSE)),"")</f>
        <v>-0.8467911389</v>
      </c>
      <c r="F947" s="48">
        <f>IFERROR(DIVIDE(VLOOKUP($B947,Data!$B$3:$EZ1530,34,FALSE),VLOOKUP($B947,Data!$B$3:$EZ1530,4,FALSE)),"")</f>
        <v>0.01714994697</v>
      </c>
      <c r="G947" s="48">
        <f>IFERROR(DIVIDE(VLOOKUP($B947,Data!$B$3:$EZ1530,39,FALSE),VLOOKUP($B947,Data!$B$3:$EZ1530,4,FALSE)),"")</f>
        <v>-0.7680454664</v>
      </c>
      <c r="H947" s="48">
        <f>IFERROR(DIVIDE(VLOOKUP($B947,Data!$B$3:$EZ1530,44,FALSE),VLOOKUP($B947,Data!$B$3:$EZ1530,4,FALSE)),"")</f>
        <v>0.04142402594</v>
      </c>
      <c r="I947" s="48">
        <f>IFERROR(MINUS(DIVIDE(VLOOKUP($B947,Data!$B$3:$EZ1530,9,FALSE),VLOOKUP($B947,Data!$B$3:$EZ1530,10,FALSE)),1),"")</f>
        <v>-0.1103015584</v>
      </c>
      <c r="J947" s="48">
        <f>IFERROR(MINUS(DIVIDE(VLOOKUP($B947,Data!$B$3:$EZ1530,24,FALSE),VLOOKUP($B947,Data!$B$3:$EZ1530,25,FALSE)),1),"")</f>
        <v>2.576839725</v>
      </c>
      <c r="K947" s="48">
        <f>IFERROR(MINUS(DIVIDE(VLOOKUP($B947,Data!$B$3:$EZ1530,29,FALSE),VLOOKUP($B947,Data!$B$3:$EZ1530,30,FALSE)),1),"")</f>
        <v>1.725779438</v>
      </c>
      <c r="L947" s="48">
        <f>IFERROR(MINUS(DIVIDE(VLOOKUP($B947,Data!$B$3:$EZ1530,34,FALSE),VLOOKUP($B947,Data!$B$3:$EZ1530,35,FALSE)),1),"")</f>
        <v>-0.6174107143</v>
      </c>
      <c r="M947" s="48">
        <f>IFERROR(MINUS(DIVIDE(VLOOKUP($B947,Data!$B$3:$EZ1530,39,FALSE),VLOOKUP($B947,Data!$B$3:$EZ1530,40,FALSE)),1),"")</f>
        <v>1.869318182</v>
      </c>
      <c r="N947" s="48">
        <f>IFERROR(MINUS(DIVIDE(VLOOKUP($B947,Data!$B$3:$EZ1530,44,FALSE),VLOOKUP($B947,Data!$B$3:$EZ1530,45,FALSE)),1),"")</f>
        <v>-0.4295949297</v>
      </c>
      <c r="O947" s="50">
        <f>IFERROR(VLOOKUP($B947,Data!$B$3:$D1530,2,FALSE),"")</f>
        <v>551550</v>
      </c>
      <c r="P947" s="50">
        <f>IFERROR(VLOOKUP($B947,Data!$B$3:$D1530,3,FALSE),"")</f>
        <v>509200</v>
      </c>
      <c r="Q947" s="48">
        <f t="shared" si="2"/>
        <v>0.08316967793</v>
      </c>
      <c r="R947" s="48"/>
      <c r="S947" s="48"/>
      <c r="T947" s="48"/>
      <c r="U947" s="48"/>
      <c r="V947" s="48"/>
      <c r="W947" s="50"/>
      <c r="Z947" s="15"/>
      <c r="AA947" s="15"/>
    </row>
    <row r="948">
      <c r="A948" s="9">
        <f t="shared" si="1"/>
        <v>945</v>
      </c>
      <c r="B948" s="47" t="s">
        <v>1082</v>
      </c>
      <c r="C948" s="48">
        <f>IFERROR(DIVIDE(VLOOKUP($B948,Data!$B$3:$AB$1535,9,FALSE),VLOOKUP($B948,Data!$B$3:$AB$1535,4,FALSE)),"")</f>
        <v>0.1861748634</v>
      </c>
      <c r="D948" s="48">
        <f>IFERROR(DIVIDE(VLOOKUP($B948,Data!$B$3:$AB$1535,24,FALSE),VLOOKUP($B948,Data!$B$3:$AB$1535,4,FALSE)),"")</f>
        <v>0.05448087432</v>
      </c>
      <c r="E948" s="48">
        <f>IFERROR(DIVIDE(VLOOKUP($B948,Data!$B$3:$EZ1530,29,FALSE),VLOOKUP($B948,Data!$B$3:$EZ1530,4,FALSE)),"")</f>
        <v>0.03224043716</v>
      </c>
      <c r="F948" s="48">
        <f>IFERROR(DIVIDE(VLOOKUP($B948,Data!$B$3:$EZ1530,34,FALSE),VLOOKUP($B948,Data!$B$3:$EZ1530,4,FALSE)),"")</f>
        <v>0.07732240437</v>
      </c>
      <c r="G948" s="48">
        <f>IFERROR(DIVIDE(VLOOKUP($B948,Data!$B$3:$EZ1530,39,FALSE),VLOOKUP($B948,Data!$B$3:$EZ1530,4,FALSE)),"")</f>
        <v>0.02546448087</v>
      </c>
      <c r="H948" s="48">
        <f>IFERROR(DIVIDE(VLOOKUP($B948,Data!$B$3:$EZ1530,44,FALSE),VLOOKUP($B948,Data!$B$3:$EZ1530,4,FALSE)),"")</f>
        <v>-0.02912568306</v>
      </c>
      <c r="I948" s="48">
        <f>IFERROR(MINUS(DIVIDE(VLOOKUP($B948,Data!$B$3:$EZ1530,9,FALSE),VLOOKUP($B948,Data!$B$3:$EZ1530,10,FALSE)),1),"")</f>
        <v>0.02373798077</v>
      </c>
      <c r="J948" s="48">
        <f>IFERROR(MINUS(DIVIDE(VLOOKUP($B948,Data!$B$3:$EZ1530,24,FALSE),VLOOKUP($B948,Data!$B$3:$EZ1530,25,FALSE)),1),"")</f>
        <v>-7.972027972</v>
      </c>
      <c r="K948" s="48">
        <f>IFERROR(MINUS(DIVIDE(VLOOKUP($B948,Data!$B$3:$EZ1530,29,FALSE),VLOOKUP($B948,Data!$B$3:$EZ1530,30,FALSE)),1),"")</f>
        <v>-1.822873082</v>
      </c>
      <c r="L948" s="48">
        <f>IFERROR(MINUS(DIVIDE(VLOOKUP($B948,Data!$B$3:$EZ1530,34,FALSE),VLOOKUP($B948,Data!$B$3:$EZ1530,35,FALSE)),1),"")</f>
        <v>0.2032312925</v>
      </c>
      <c r="M948" s="48">
        <f>IFERROR(MINUS(DIVIDE(VLOOKUP($B948,Data!$B$3:$EZ1530,39,FALSE),VLOOKUP($B948,Data!$B$3:$EZ1530,40,FALSE)),1),"")</f>
        <v>-1.696562033</v>
      </c>
      <c r="N948" s="48">
        <f>IFERROR(MINUS(DIVIDE(VLOOKUP($B948,Data!$B$3:$EZ1530,44,FALSE),VLOOKUP($B948,Data!$B$3:$EZ1530,45,FALSE)),1),"")</f>
        <v>-0.8961013645</v>
      </c>
      <c r="O948" s="50">
        <f>IFERROR(VLOOKUP($B948,Data!$B$3:$D1530,2,FALSE),"")</f>
        <v>1490000</v>
      </c>
      <c r="P948" s="50">
        <f>IFERROR(VLOOKUP($B948,Data!$B$3:$D1530,3,FALSE),"")</f>
        <v>1340000</v>
      </c>
      <c r="Q948" s="48">
        <f t="shared" si="2"/>
        <v>0.1119402985</v>
      </c>
      <c r="R948" s="48"/>
      <c r="S948" s="48"/>
      <c r="T948" s="48"/>
      <c r="U948" s="48"/>
      <c r="V948" s="48"/>
      <c r="W948" s="50"/>
      <c r="Z948" s="11"/>
      <c r="AA948" s="11"/>
    </row>
    <row r="949">
      <c r="A949" s="9">
        <f t="shared" si="1"/>
        <v>946</v>
      </c>
      <c r="B949" s="47" t="s">
        <v>1083</v>
      </c>
      <c r="C949" s="48">
        <f>IFERROR(DIVIDE(VLOOKUP($B949,Data!$B$3:$AB$1535,9,FALSE),VLOOKUP($B949,Data!$B$3:$AB$1535,4,FALSE)),"")</f>
        <v>0.2410614525</v>
      </c>
      <c r="D949" s="48">
        <f>IFERROR(DIVIDE(VLOOKUP($B949,Data!$B$3:$AB$1535,24,FALSE),VLOOKUP($B949,Data!$B$3:$AB$1535,4,FALSE)),"")</f>
        <v>0.1165921788</v>
      </c>
      <c r="E949" s="48">
        <f>IFERROR(DIVIDE(VLOOKUP($B949,Data!$B$3:$EZ1530,29,FALSE),VLOOKUP($B949,Data!$B$3:$EZ1530,4,FALSE)),"")</f>
        <v>0.08787709497</v>
      </c>
      <c r="F949" s="48">
        <f>IFERROR(DIVIDE(VLOOKUP($B949,Data!$B$3:$EZ1530,34,FALSE),VLOOKUP($B949,Data!$B$3:$EZ1530,4,FALSE)),"")</f>
        <v>0.1896089385</v>
      </c>
      <c r="G949" s="48">
        <f>IFERROR(DIVIDE(VLOOKUP($B949,Data!$B$3:$EZ1530,39,FALSE),VLOOKUP($B949,Data!$B$3:$EZ1530,4,FALSE)),"")</f>
        <v>0.07413407821</v>
      </c>
      <c r="H949" s="48">
        <f>IFERROR(DIVIDE(VLOOKUP($B949,Data!$B$3:$EZ1530,44,FALSE),VLOOKUP($B949,Data!$B$3:$EZ1530,4,FALSE)),"")</f>
        <v>0.1331284916</v>
      </c>
      <c r="I949" s="48">
        <f>IFERROR(MINUS(DIVIDE(VLOOKUP($B949,Data!$B$3:$EZ1530,9,FALSE),VLOOKUP($B949,Data!$B$3:$EZ1530,10,FALSE)),1),"")</f>
        <v>-0.0466195316</v>
      </c>
      <c r="J949" s="48">
        <f>IFERROR(MINUS(DIVIDE(VLOOKUP($B949,Data!$B$3:$EZ1530,24,FALSE),VLOOKUP($B949,Data!$B$3:$EZ1530,25,FALSE)),1),"")</f>
        <v>-0.1701789264</v>
      </c>
      <c r="K949" s="48">
        <f>IFERROR(MINUS(DIVIDE(VLOOKUP($B949,Data!$B$3:$EZ1530,29,FALSE),VLOOKUP($B949,Data!$B$3:$EZ1530,30,FALSE)),1),"")</f>
        <v>-0.2292993631</v>
      </c>
      <c r="L949" s="48">
        <f>IFERROR(MINUS(DIVIDE(VLOOKUP($B949,Data!$B$3:$EZ1530,34,FALSE),VLOOKUP($B949,Data!$B$3:$EZ1530,35,FALSE)),1),"")</f>
        <v>-0.03194523674</v>
      </c>
      <c r="M949" s="48">
        <f>IFERROR(MINUS(DIVIDE(VLOOKUP($B949,Data!$B$3:$EZ1530,39,FALSE),VLOOKUP($B949,Data!$B$3:$EZ1530,40,FALSE)),1),"")</f>
        <v>-0.2147928994</v>
      </c>
      <c r="N949" s="48">
        <f>IFERROR(MINUS(DIVIDE(VLOOKUP($B949,Data!$B$3:$EZ1530,44,FALSE),VLOOKUP($B949,Data!$B$3:$EZ1530,45,FALSE)),1),"")</f>
        <v>0.1791192479</v>
      </c>
      <c r="O949" s="50">
        <f>IFERROR(VLOOKUP($B949,Data!$B$3:$D1530,2,FALSE),"")</f>
        <v>1770000</v>
      </c>
      <c r="P949" s="50">
        <f>IFERROR(VLOOKUP($B949,Data!$B$3:$D1530,3,FALSE),"")</f>
        <v>1670000</v>
      </c>
      <c r="Q949" s="48">
        <f t="shared" si="2"/>
        <v>0.05988023952</v>
      </c>
      <c r="R949" s="48"/>
      <c r="S949" s="48"/>
      <c r="T949" s="48"/>
      <c r="U949" s="48"/>
      <c r="V949" s="48"/>
      <c r="W949" s="50"/>
      <c r="Z949" s="15"/>
      <c r="AA949" s="15"/>
    </row>
    <row r="950">
      <c r="A950" s="9">
        <f t="shared" si="1"/>
        <v>947</v>
      </c>
      <c r="B950" s="47" t="s">
        <v>1084</v>
      </c>
      <c r="C950" s="48">
        <f>IFERROR(DIVIDE(VLOOKUP($B950,Data!$B$3:$AB$1535,9,FALSE),VLOOKUP($B950,Data!$B$3:$AB$1535,4,FALSE)),"")</f>
        <v>0.1222089136</v>
      </c>
      <c r="D950" s="48">
        <f>IFERROR(DIVIDE(VLOOKUP($B950,Data!$B$3:$AB$1535,24,FALSE),VLOOKUP($B950,Data!$B$3:$AB$1535,4,FALSE)),"")</f>
        <v>0.08003342618</v>
      </c>
      <c r="E950" s="48">
        <f>IFERROR(DIVIDE(VLOOKUP($B950,Data!$B$3:$EZ1530,29,FALSE),VLOOKUP($B950,Data!$B$3:$EZ1530,4,FALSE)),"")</f>
        <v>0.07116155989</v>
      </c>
      <c r="F950" s="48">
        <f>IFERROR(DIVIDE(VLOOKUP($B950,Data!$B$3:$EZ1530,34,FALSE),VLOOKUP($B950,Data!$B$3:$EZ1530,4,FALSE)),"")</f>
        <v>0.1132924791</v>
      </c>
      <c r="G950" s="48">
        <f>IFERROR(DIVIDE(VLOOKUP($B950,Data!$B$3:$EZ1530,39,FALSE),VLOOKUP($B950,Data!$B$3:$EZ1530,4,FALSE)),"")</f>
        <v>0.05464206128</v>
      </c>
      <c r="H950" s="48">
        <f>IFERROR(DIVIDE(VLOOKUP($B950,Data!$B$3:$EZ1530,44,FALSE),VLOOKUP($B950,Data!$B$3:$EZ1530,4,FALSE)),"")</f>
        <v>0.07664066852</v>
      </c>
      <c r="I950" s="48">
        <f>IFERROR(MINUS(DIVIDE(VLOOKUP($B950,Data!$B$3:$EZ1530,9,FALSE),VLOOKUP($B950,Data!$B$3:$EZ1530,10,FALSE)),1),"")</f>
        <v>0.1588525846</v>
      </c>
      <c r="J950" s="48">
        <f>IFERROR(MINUS(DIVIDE(VLOOKUP($B950,Data!$B$3:$EZ1530,24,FALSE),VLOOKUP($B950,Data!$B$3:$EZ1530,25,FALSE)),1),"")</f>
        <v>0.3609321713</v>
      </c>
      <c r="K950" s="48">
        <f>IFERROR(MINUS(DIVIDE(VLOOKUP($B950,Data!$B$3:$EZ1530,29,FALSE),VLOOKUP($B950,Data!$B$3:$EZ1530,30,FALSE)),1),"")</f>
        <v>0.3986860115</v>
      </c>
      <c r="L950" s="48">
        <f>IFERROR(MINUS(DIVIDE(VLOOKUP($B950,Data!$B$3:$EZ1530,34,FALSE),VLOOKUP($B950,Data!$B$3:$EZ1530,35,FALSE)),1),"")</f>
        <v>0.1912774776</v>
      </c>
      <c r="M950" s="48">
        <f>IFERROR(MINUS(DIVIDE(VLOOKUP($B950,Data!$B$3:$EZ1530,39,FALSE),VLOOKUP($B950,Data!$B$3:$EZ1530,40,FALSE)),1),"")</f>
        <v>0.5109373797</v>
      </c>
      <c r="N950" s="48">
        <f>IFERROR(MINUS(DIVIDE(VLOOKUP($B950,Data!$B$3:$EZ1530,44,FALSE),VLOOKUP($B950,Data!$B$3:$EZ1530,45,FALSE)),1),"")</f>
        <v>0.03834251642</v>
      </c>
      <c r="O950" s="50">
        <f>IFERROR(VLOOKUP($B950,Data!$B$3:$D1530,2,FALSE),"")</f>
        <v>7370000</v>
      </c>
      <c r="P950" s="50">
        <f>IFERROR(VLOOKUP($B950,Data!$B$3:$D1530,3,FALSE),"")</f>
        <v>7380000</v>
      </c>
      <c r="Q950" s="48">
        <f t="shared" si="2"/>
        <v>-0.00135501355</v>
      </c>
      <c r="R950" s="48"/>
      <c r="S950" s="48"/>
      <c r="T950" s="48"/>
      <c r="U950" s="48"/>
      <c r="V950" s="48"/>
      <c r="W950" s="50"/>
      <c r="Z950" s="11"/>
      <c r="AA950" s="11"/>
    </row>
    <row r="951">
      <c r="A951" s="9">
        <f t="shared" si="1"/>
        <v>948</v>
      </c>
      <c r="B951" s="47" t="s">
        <v>1085</v>
      </c>
      <c r="C951" s="48">
        <f>IFERROR(DIVIDE(VLOOKUP($B951,Data!$B$3:$AB$1535,9,FALSE),VLOOKUP($B951,Data!$B$3:$AB$1535,4,FALSE)),"")</f>
        <v>0.4570696284</v>
      </c>
      <c r="D951" s="48">
        <f>IFERROR(DIVIDE(VLOOKUP($B951,Data!$B$3:$AB$1535,24,FALSE),VLOOKUP($B951,Data!$B$3:$AB$1535,4,FALSE)),"")</f>
        <v>0.2977360103</v>
      </c>
      <c r="E951" s="48">
        <f>IFERROR(DIVIDE(VLOOKUP($B951,Data!$B$3:$EZ1530,29,FALSE),VLOOKUP($B951,Data!$B$3:$EZ1530,4,FALSE)),"")</f>
        <v>0.3011533533</v>
      </c>
      <c r="F951" s="48">
        <f>IFERROR(DIVIDE(VLOOKUP($B951,Data!$B$3:$EZ1530,34,FALSE),VLOOKUP($B951,Data!$B$3:$EZ1530,4,FALSE)),"")</f>
        <v>0.5489107219</v>
      </c>
      <c r="G951" s="48">
        <f>IFERROR(DIVIDE(VLOOKUP($B951,Data!$B$3:$EZ1530,39,FALSE),VLOOKUP($B951,Data!$B$3:$EZ1530,4,FALSE)),"")</f>
        <v>0.2695429304</v>
      </c>
      <c r="H951" s="48">
        <f>IFERROR(DIVIDE(VLOOKUP($B951,Data!$B$3:$EZ1530,44,FALSE),VLOOKUP($B951,Data!$B$3:$EZ1530,4,FALSE)),"")</f>
        <v>0.5634344297</v>
      </c>
      <c r="I951" s="48">
        <f>IFERROR(MINUS(DIVIDE(VLOOKUP($B951,Data!$B$3:$EZ1530,9,FALSE),VLOOKUP($B951,Data!$B$3:$EZ1530,10,FALSE)),1),"")</f>
        <v>-0.4019005031</v>
      </c>
      <c r="J951" s="48">
        <f>IFERROR(MINUS(DIVIDE(VLOOKUP($B951,Data!$B$3:$EZ1530,24,FALSE),VLOOKUP($B951,Data!$B$3:$EZ1530,25,FALSE)),1),"")</f>
        <v>-12.48270181</v>
      </c>
      <c r="K951" s="48">
        <f>IFERROR(MINUS(DIVIDE(VLOOKUP($B951,Data!$B$3:$EZ1530,29,FALSE),VLOOKUP($B951,Data!$B$3:$EZ1530,30,FALSE)),1),"")</f>
        <v>-0.5073375262</v>
      </c>
      <c r="L951" s="48">
        <f>IFERROR(MINUS(DIVIDE(VLOOKUP($B951,Data!$B$3:$EZ1530,34,FALSE),VLOOKUP($B951,Data!$B$3:$EZ1530,35,FALSE)),1),"")</f>
        <v>-0.347715736</v>
      </c>
      <c r="M951" s="48">
        <f>IFERROR(MINUS(DIVIDE(VLOOKUP($B951,Data!$B$3:$EZ1530,39,FALSE),VLOOKUP($B951,Data!$B$3:$EZ1530,40,FALSE)),1),"")</f>
        <v>-0.553748232</v>
      </c>
      <c r="N951" s="48">
        <f>IFERROR(MINUS(DIVIDE(VLOOKUP($B951,Data!$B$3:$EZ1530,44,FALSE),VLOOKUP($B951,Data!$B$3:$EZ1530,45,FALSE)),1),"")</f>
        <v>-0.241954023</v>
      </c>
      <c r="O951" s="50">
        <f>IFERROR(VLOOKUP($B951,Data!$B$3:$D1530,2,FALSE),"")</f>
        <v>24390000</v>
      </c>
      <c r="P951" s="50">
        <f>IFERROR(VLOOKUP($B951,Data!$B$3:$D1530,3,FALSE),"")</f>
        <v>20710000</v>
      </c>
      <c r="Q951" s="48">
        <f t="shared" si="2"/>
        <v>0.1776919363</v>
      </c>
      <c r="R951" s="48"/>
      <c r="S951" s="48"/>
      <c r="T951" s="48"/>
      <c r="U951" s="48"/>
      <c r="V951" s="48"/>
      <c r="W951" s="50"/>
      <c r="Z951" s="15"/>
      <c r="AA951" s="15"/>
    </row>
    <row r="952">
      <c r="A952" s="9">
        <f t="shared" si="1"/>
        <v>949</v>
      </c>
      <c r="B952" s="47" t="s">
        <v>1086</v>
      </c>
      <c r="C952" s="48">
        <f>IFERROR(DIVIDE(VLOOKUP($B952,Data!$B$3:$AB$1535,9,FALSE),VLOOKUP($B952,Data!$B$3:$AB$1535,4,FALSE)),"")</f>
        <v>0.0294297933</v>
      </c>
      <c r="D952" s="48">
        <f>IFERROR(DIVIDE(VLOOKUP($B952,Data!$B$3:$AB$1535,24,FALSE),VLOOKUP($B952,Data!$B$3:$AB$1535,4,FALSE)),"")</f>
        <v>0.01807555239</v>
      </c>
      <c r="E952" s="48">
        <f>IFERROR(DIVIDE(VLOOKUP($B952,Data!$B$3:$EZ1530,29,FALSE),VLOOKUP($B952,Data!$B$3:$EZ1530,4,FALSE)),"")</f>
        <v>0.01442622951</v>
      </c>
      <c r="F952" s="48">
        <f>IFERROR(DIVIDE(VLOOKUP($B952,Data!$B$3:$EZ1530,34,FALSE),VLOOKUP($B952,Data!$B$3:$EZ1530,4,FALSE)),"")</f>
        <v>0.03012116892</v>
      </c>
      <c r="G952" s="48">
        <f>IFERROR(DIVIDE(VLOOKUP($B952,Data!$B$3:$EZ1530,39,FALSE),VLOOKUP($B952,Data!$B$3:$EZ1530,4,FALSE)),"")</f>
        <v>0.01103349964</v>
      </c>
      <c r="H952" s="48">
        <f>IFERROR(DIVIDE(VLOOKUP($B952,Data!$B$3:$EZ1530,44,FALSE),VLOOKUP($B952,Data!$B$3:$EZ1530,4,FALSE)),"")</f>
        <v>0.02233071989</v>
      </c>
      <c r="I952" s="48">
        <f>IFERROR(MINUS(DIVIDE(VLOOKUP($B952,Data!$B$3:$EZ1530,9,FALSE),VLOOKUP($B952,Data!$B$3:$EZ1530,10,FALSE)),1),"")</f>
        <v>0.002184466019</v>
      </c>
      <c r="J952" s="48">
        <f>IFERROR(MINUS(DIVIDE(VLOOKUP($B952,Data!$B$3:$EZ1530,24,FALSE),VLOOKUP($B952,Data!$B$3:$EZ1530,25,FALSE)),1),"")</f>
        <v>-0.2225628449</v>
      </c>
      <c r="K952" s="48">
        <f>IFERROR(MINUS(DIVIDE(VLOOKUP($B952,Data!$B$3:$EZ1530,29,FALSE),VLOOKUP($B952,Data!$B$3:$EZ1530,30,FALSE)),1),"")</f>
        <v>-0.2610441767</v>
      </c>
      <c r="L952" s="48">
        <f>IFERROR(MINUS(DIVIDE(VLOOKUP($B952,Data!$B$3:$EZ1530,34,FALSE),VLOOKUP($B952,Data!$B$3:$EZ1530,35,FALSE)),1),"")</f>
        <v>0.02622632346</v>
      </c>
      <c r="M952" s="48">
        <f>IFERROR(MINUS(DIVIDE(VLOOKUP($B952,Data!$B$3:$EZ1530,39,FALSE),VLOOKUP($B952,Data!$B$3:$EZ1530,40,FALSE)),1),"")</f>
        <v>-0.2752808989</v>
      </c>
      <c r="N952" s="48">
        <f>IFERROR(MINUS(DIVIDE(VLOOKUP($B952,Data!$B$3:$EZ1530,44,FALSE),VLOOKUP($B952,Data!$B$3:$EZ1530,45,FALSE)),1),"")</f>
        <v>-0.2141961374</v>
      </c>
      <c r="O952" s="50">
        <f>IFERROR(VLOOKUP($B952,Data!$B$3:$D1530,2,FALSE),"")</f>
        <v>12450000</v>
      </c>
      <c r="P952" s="50">
        <f>IFERROR(VLOOKUP($B952,Data!$B$3:$D1530,3,FALSE),"")</f>
        <v>11240000</v>
      </c>
      <c r="Q952" s="48">
        <f t="shared" si="2"/>
        <v>0.1076512456</v>
      </c>
      <c r="R952" s="48"/>
      <c r="S952" s="48"/>
      <c r="T952" s="48"/>
      <c r="U952" s="48"/>
      <c r="V952" s="48"/>
      <c r="W952" s="50"/>
      <c r="Z952" s="11"/>
      <c r="AA952" s="11"/>
    </row>
    <row r="953">
      <c r="A953" s="9">
        <f t="shared" si="1"/>
        <v>950</v>
      </c>
      <c r="B953" s="47" t="s">
        <v>1087</v>
      </c>
      <c r="C953" s="48">
        <f>IFERROR(DIVIDE(VLOOKUP($B953,Data!$B$3:$AB$1535,9,FALSE),VLOOKUP($B953,Data!$B$3:$AB$1535,4,FALSE)),"")</f>
        <v>-0.2808066997</v>
      </c>
      <c r="D953" s="48">
        <f>IFERROR(DIVIDE(VLOOKUP($B953,Data!$B$3:$AB$1535,24,FALSE),VLOOKUP($B953,Data!$B$3:$AB$1535,4,FALSE)),"")</f>
        <v>-0.4264228337</v>
      </c>
      <c r="E953" s="48">
        <f>IFERROR(DIVIDE(VLOOKUP($B953,Data!$B$3:$EZ1530,29,FALSE),VLOOKUP($B953,Data!$B$3:$EZ1530,4,FALSE)),"")</f>
        <v>-0.5434113827</v>
      </c>
      <c r="F953" s="48">
        <f>IFERROR(DIVIDE(VLOOKUP($B953,Data!$B$3:$EZ1530,34,FALSE),VLOOKUP($B953,Data!$B$3:$EZ1530,4,FALSE)),"")</f>
        <v>-0.2248333618</v>
      </c>
      <c r="G953" s="48">
        <f>IFERROR(DIVIDE(VLOOKUP($B953,Data!$B$3:$EZ1530,39,FALSE),VLOOKUP($B953,Data!$B$3:$EZ1530,4,FALSE)),"")</f>
        <v>-0.5105964792</v>
      </c>
      <c r="H953" s="48">
        <f>IFERROR(DIVIDE(VLOOKUP($B953,Data!$B$3:$EZ1530,44,FALSE),VLOOKUP($B953,Data!$B$3:$EZ1530,4,FALSE)),"")</f>
        <v>-0.3378055033</v>
      </c>
      <c r="I953" s="48">
        <f>IFERROR(MINUS(DIVIDE(VLOOKUP($B953,Data!$B$3:$EZ1530,9,FALSE),VLOOKUP($B953,Data!$B$3:$EZ1530,10,FALSE)),1),"")</f>
        <v>2.595185996</v>
      </c>
      <c r="J953" s="48">
        <f>IFERROR(MINUS(DIVIDE(VLOOKUP($B953,Data!$B$3:$EZ1530,24,FALSE),VLOOKUP($B953,Data!$B$3:$EZ1530,25,FALSE)),1),"")</f>
        <v>14.03012048</v>
      </c>
      <c r="K953" s="48">
        <f>IFERROR(MINUS(DIVIDE(VLOOKUP($B953,Data!$B$3:$EZ1530,29,FALSE),VLOOKUP($B953,Data!$B$3:$EZ1530,30,FALSE)),1),"")</f>
        <v>0.3348026868</v>
      </c>
      <c r="L953" s="48">
        <f>IFERROR(MINUS(DIVIDE(VLOOKUP($B953,Data!$B$3:$EZ1530,34,FALSE),VLOOKUP($B953,Data!$B$3:$EZ1530,35,FALSE)),1),"")</f>
        <v>0.6865384615</v>
      </c>
      <c r="M953" s="48">
        <f>IFERROR(MINUS(DIVIDE(VLOOKUP($B953,Data!$B$3:$EZ1530,39,FALSE),VLOOKUP($B953,Data!$B$3:$EZ1530,40,FALSE)),1),"")</f>
        <v>0.3316246936</v>
      </c>
      <c r="N953" s="48" t="str">
        <f>IFERROR(MINUS(DIVIDE(VLOOKUP($B953,Data!$B$3:$EZ1530,44,FALSE),VLOOKUP($B953,Data!$B$3:$EZ1530,45,FALSE)),1),"")</f>
        <v/>
      </c>
      <c r="O953" s="50">
        <f>IFERROR(VLOOKUP($B953,Data!$B$3:$D1530,2,FALSE),"")</f>
        <v>167200</v>
      </c>
      <c r="P953" s="50">
        <f>IFERROR(VLOOKUP($B953,Data!$B$3:$D1530,3,FALSE),"")</f>
        <v>108150</v>
      </c>
      <c r="Q953" s="48">
        <f t="shared" si="2"/>
        <v>0.5460009246</v>
      </c>
      <c r="R953" s="48"/>
      <c r="S953" s="48"/>
      <c r="T953" s="48"/>
      <c r="U953" s="48"/>
      <c r="V953" s="48"/>
      <c r="W953" s="50"/>
      <c r="Z953" s="15"/>
      <c r="AA953" s="15"/>
    </row>
    <row r="954">
      <c r="A954" s="9">
        <f t="shared" si="1"/>
        <v>951</v>
      </c>
      <c r="B954" s="47" t="s">
        <v>1088</v>
      </c>
      <c r="C954" s="48">
        <f>IFERROR(DIVIDE(VLOOKUP($B954,Data!$B$3:$AB$1535,9,FALSE),VLOOKUP($B954,Data!$B$3:$AB$1535,4,FALSE)),"")</f>
        <v>0.2326474279</v>
      </c>
      <c r="D954" s="48">
        <f>IFERROR(DIVIDE(VLOOKUP($B954,Data!$B$3:$AB$1535,24,FALSE),VLOOKUP($B954,Data!$B$3:$AB$1535,4,FALSE)),"")</f>
        <v>0.03503136763</v>
      </c>
      <c r="E954" s="48">
        <f>IFERROR(DIVIDE(VLOOKUP($B954,Data!$B$3:$EZ1530,29,FALSE),VLOOKUP($B954,Data!$B$3:$EZ1530,4,FALSE)),"")</f>
        <v>-0.02143036386</v>
      </c>
      <c r="F954" s="48">
        <f>IFERROR(DIVIDE(VLOOKUP($B954,Data!$B$3:$EZ1530,34,FALSE),VLOOKUP($B954,Data!$B$3:$EZ1530,4,FALSE)),"")</f>
        <v>0.08966122961</v>
      </c>
      <c r="G954" s="48">
        <f>IFERROR(DIVIDE(VLOOKUP($B954,Data!$B$3:$EZ1530,39,FALSE),VLOOKUP($B954,Data!$B$3:$EZ1530,4,FALSE)),"")</f>
        <v>-0.0273902133</v>
      </c>
      <c r="H954" s="48">
        <f>IFERROR(DIVIDE(VLOOKUP($B954,Data!$B$3:$EZ1530,44,FALSE),VLOOKUP($B954,Data!$B$3:$EZ1530,4,FALSE)),"")</f>
        <v>0.06336260979</v>
      </c>
      <c r="I954" s="48">
        <f>IFERROR(MINUS(DIVIDE(VLOOKUP($B954,Data!$B$3:$EZ1530,9,FALSE),VLOOKUP($B954,Data!$B$3:$EZ1530,10,FALSE)),1),"")</f>
        <v>-0.04589894</v>
      </c>
      <c r="J954" s="48">
        <f>IFERROR(MINUS(DIVIDE(VLOOKUP($B954,Data!$B$3:$EZ1530,24,FALSE),VLOOKUP($B954,Data!$B$3:$EZ1530,25,FALSE)),1),"")</f>
        <v>-0.3215066829</v>
      </c>
      <c r="K954" s="48" t="str">
        <f>IFERROR(MINUS(DIVIDE(VLOOKUP($B954,Data!$B$3:$EZ1530,29,FALSE),VLOOKUP($B954,Data!$B$3:$EZ1530,30,FALSE)),1),"")</f>
        <v/>
      </c>
      <c r="L954" s="48">
        <f>IFERROR(MINUS(DIVIDE(VLOOKUP($B954,Data!$B$3:$EZ1530,34,FALSE),VLOOKUP($B954,Data!$B$3:$EZ1530,35,FALSE)),1),"")</f>
        <v>-0.04681872749</v>
      </c>
      <c r="M954" s="48">
        <f>IFERROR(MINUS(DIVIDE(VLOOKUP($B954,Data!$B$3:$EZ1530,39,FALSE),VLOOKUP($B954,Data!$B$3:$EZ1530,40,FALSE)),1),"")</f>
        <v>4.597435897</v>
      </c>
      <c r="N954" s="48">
        <f>IFERROR(MINUS(DIVIDE(VLOOKUP($B954,Data!$B$3:$EZ1530,44,FALSE),VLOOKUP($B954,Data!$B$3:$EZ1530,45,FALSE)),1),"")</f>
        <v>0.2869520897</v>
      </c>
      <c r="O954" s="50">
        <f>IFERROR(VLOOKUP($B954,Data!$B$3:$D1530,2,FALSE),"")</f>
        <v>500000</v>
      </c>
      <c r="P954" s="50">
        <f>IFERROR(VLOOKUP($B954,Data!$B$3:$D1530,3,FALSE),"")</f>
        <v>482500</v>
      </c>
      <c r="Q954" s="48">
        <f t="shared" si="2"/>
        <v>0.03626943005</v>
      </c>
      <c r="R954" s="48"/>
      <c r="S954" s="48"/>
      <c r="T954" s="48"/>
      <c r="U954" s="48"/>
      <c r="V954" s="48"/>
      <c r="W954" s="50"/>
      <c r="Z954" s="11"/>
      <c r="AA954" s="11"/>
    </row>
    <row r="955">
      <c r="A955" s="9">
        <f t="shared" si="1"/>
        <v>952</v>
      </c>
      <c r="B955" s="47" t="s">
        <v>1089</v>
      </c>
      <c r="C955" s="48">
        <f>IFERROR(DIVIDE(VLOOKUP($B955,Data!$B$3:$AB$1535,9,FALSE),VLOOKUP($B955,Data!$B$3:$AB$1535,4,FALSE)),"")</f>
        <v>0.6493506494</v>
      </c>
      <c r="D955" s="48">
        <f>IFERROR(DIVIDE(VLOOKUP($B955,Data!$B$3:$AB$1535,24,FALSE),VLOOKUP($B955,Data!$B$3:$AB$1535,4,FALSE)),"")</f>
        <v>0.3235844156</v>
      </c>
      <c r="E955" s="48">
        <f>IFERROR(DIVIDE(VLOOKUP($B955,Data!$B$3:$EZ1530,29,FALSE),VLOOKUP($B955,Data!$B$3:$EZ1530,4,FALSE)),"")</f>
        <v>0.3265887446</v>
      </c>
      <c r="F955" s="48">
        <f>IFERROR(DIVIDE(VLOOKUP($B955,Data!$B$3:$EZ1530,34,FALSE),VLOOKUP($B955,Data!$B$3:$EZ1530,4,FALSE)),"")</f>
        <v>0.3742900433</v>
      </c>
      <c r="G955" s="48">
        <f>IFERROR(DIVIDE(VLOOKUP($B955,Data!$B$3:$EZ1530,39,FALSE),VLOOKUP($B955,Data!$B$3:$EZ1530,4,FALSE)),"")</f>
        <v>0.3582207792</v>
      </c>
      <c r="H955" s="48">
        <f>IFERROR(DIVIDE(VLOOKUP($B955,Data!$B$3:$EZ1530,44,FALSE),VLOOKUP($B955,Data!$B$3:$EZ1530,4,FALSE)),"")</f>
        <v>0.3791515152</v>
      </c>
      <c r="I955" s="48">
        <f>IFERROR(MINUS(DIVIDE(VLOOKUP($B955,Data!$B$3:$EZ1530,9,FALSE),VLOOKUP($B955,Data!$B$3:$EZ1530,10,FALSE)),1),"")</f>
        <v>-0.07407407407</v>
      </c>
      <c r="J955" s="48">
        <f>IFERROR(MINUS(DIVIDE(VLOOKUP($B955,Data!$B$3:$EZ1530,24,FALSE),VLOOKUP($B955,Data!$B$3:$EZ1530,25,FALSE)),1),"")</f>
        <v>-0.1032894263</v>
      </c>
      <c r="K955" s="48">
        <f>IFERROR(MINUS(DIVIDE(VLOOKUP($B955,Data!$B$3:$EZ1530,29,FALSE),VLOOKUP($B955,Data!$B$3:$EZ1530,30,FALSE)),1),"")</f>
        <v>-0.08542957243</v>
      </c>
      <c r="L955" s="48">
        <f>IFERROR(MINUS(DIVIDE(VLOOKUP($B955,Data!$B$3:$EZ1530,34,FALSE),VLOOKUP($B955,Data!$B$3:$EZ1530,35,FALSE)),1),"")</f>
        <v>-0.1306170878</v>
      </c>
      <c r="M955" s="48">
        <f>IFERROR(MINUS(DIVIDE(VLOOKUP($B955,Data!$B$3:$EZ1530,39,FALSE),VLOOKUP($B955,Data!$B$3:$EZ1530,40,FALSE)),1),"")</f>
        <v>0.7707138577</v>
      </c>
      <c r="N955" s="48">
        <f>IFERROR(MINUS(DIVIDE(VLOOKUP($B955,Data!$B$3:$EZ1530,44,FALSE),VLOOKUP($B955,Data!$B$3:$EZ1530,45,FALSE)),1),"")</f>
        <v>0.0688014058</v>
      </c>
      <c r="O955" s="50">
        <f>IFERROR(VLOOKUP($B955,Data!$B$3:$D1530,2,FALSE),"")</f>
        <v>2140000</v>
      </c>
      <c r="P955" s="50">
        <f>IFERROR(VLOOKUP($B955,Data!$B$3:$D1530,3,FALSE),"")</f>
        <v>2160000</v>
      </c>
      <c r="Q955" s="48">
        <f t="shared" si="2"/>
        <v>-0.009259259259</v>
      </c>
      <c r="R955" s="48"/>
      <c r="S955" s="48"/>
      <c r="T955" s="48"/>
      <c r="U955" s="48"/>
      <c r="V955" s="48"/>
      <c r="W955" s="50"/>
      <c r="Z955" s="15"/>
      <c r="AA955" s="15"/>
    </row>
    <row r="956">
      <c r="A956" s="9">
        <f t="shared" si="1"/>
        <v>953</v>
      </c>
      <c r="B956" s="47" t="s">
        <v>1090</v>
      </c>
      <c r="C956" s="48">
        <f>IFERROR(DIVIDE(VLOOKUP($B956,Data!$B$3:$AB$1535,9,FALSE),VLOOKUP($B956,Data!$B$3:$AB$1535,4,FALSE)),"")</f>
        <v>0.4558925531</v>
      </c>
      <c r="D956" s="48">
        <f>IFERROR(DIVIDE(VLOOKUP($B956,Data!$B$3:$AB$1535,24,FALSE),VLOOKUP($B956,Data!$B$3:$AB$1535,4,FALSE)),"")</f>
        <v>-0.06955041301</v>
      </c>
      <c r="E956" s="48">
        <f>IFERROR(DIVIDE(VLOOKUP($B956,Data!$B$3:$EZ1530,29,FALSE),VLOOKUP($B956,Data!$B$3:$EZ1530,4,FALSE)),"")</f>
        <v>-0.1024024213</v>
      </c>
      <c r="F956" s="48">
        <f>IFERROR(DIVIDE(VLOOKUP($B956,Data!$B$3:$EZ1530,34,FALSE),VLOOKUP($B956,Data!$B$3:$EZ1530,4,FALSE)),"")</f>
        <v>0.1415284696</v>
      </c>
      <c r="G956" s="48">
        <f>IFERROR(DIVIDE(VLOOKUP($B956,Data!$B$3:$EZ1530,39,FALSE),VLOOKUP($B956,Data!$B$3:$EZ1530,4,FALSE)),"")</f>
        <v>-0.06274039977</v>
      </c>
      <c r="H956" s="48">
        <f>IFERROR(DIVIDE(VLOOKUP($B956,Data!$B$3:$EZ1530,44,FALSE),VLOOKUP($B956,Data!$B$3:$EZ1530,4,FALSE)),"")</f>
        <v>0.2726842802</v>
      </c>
      <c r="I956" s="48">
        <f>IFERROR(MINUS(DIVIDE(VLOOKUP($B956,Data!$B$3:$EZ1530,9,FALSE),VLOOKUP($B956,Data!$B$3:$EZ1530,10,FALSE)),1),"")</f>
        <v>-0.1814322106</v>
      </c>
      <c r="J956" s="48">
        <f>IFERROR(MINUS(DIVIDE(VLOOKUP($B956,Data!$B$3:$EZ1530,24,FALSE),VLOOKUP($B956,Data!$B$3:$EZ1530,25,FALSE)),1),"")</f>
        <v>2.652317881</v>
      </c>
      <c r="K956" s="48">
        <f>IFERROR(MINUS(DIVIDE(VLOOKUP($B956,Data!$B$3:$EZ1530,29,FALSE),VLOOKUP($B956,Data!$B$3:$EZ1530,30,FALSE)),1),"")</f>
        <v>-0.01126331811</v>
      </c>
      <c r="L956" s="48">
        <f>IFERROR(MINUS(DIVIDE(VLOOKUP($B956,Data!$B$3:$EZ1530,34,FALSE),VLOOKUP($B956,Data!$B$3:$EZ1530,35,FALSE)),1),"")</f>
        <v>-0.3195391845</v>
      </c>
      <c r="M956" s="48">
        <f>IFERROR(MINUS(DIVIDE(VLOOKUP($B956,Data!$B$3:$EZ1530,39,FALSE),VLOOKUP($B956,Data!$B$3:$EZ1530,40,FALSE)),1),"")</f>
        <v>-0.2404580153</v>
      </c>
      <c r="N956" s="48">
        <f>IFERROR(MINUS(DIVIDE(VLOOKUP($B956,Data!$B$3:$EZ1530,44,FALSE),VLOOKUP($B956,Data!$B$3:$EZ1530,45,FALSE)),1),"")</f>
        <v>-0.1577563541</v>
      </c>
      <c r="O956" s="50">
        <f>IFERROR(VLOOKUP($B956,Data!$B$3:$D1530,2,FALSE),"")</f>
        <v>316320</v>
      </c>
      <c r="P956" s="50">
        <f>IFERROR(VLOOKUP($B956,Data!$B$3:$D1530,3,FALSE),"")</f>
        <v>268200</v>
      </c>
      <c r="Q956" s="48">
        <f t="shared" si="2"/>
        <v>0.1794183445</v>
      </c>
      <c r="R956" s="48"/>
      <c r="S956" s="48"/>
      <c r="T956" s="48"/>
      <c r="U956" s="48"/>
      <c r="V956" s="48"/>
      <c r="W956" s="50"/>
      <c r="Z956" s="15"/>
      <c r="AA956" s="15"/>
    </row>
    <row r="957">
      <c r="A957" s="9">
        <f t="shared" si="1"/>
        <v>954</v>
      </c>
      <c r="B957" s="47" t="s">
        <v>1091</v>
      </c>
      <c r="C957" s="48">
        <f>IFERROR(DIVIDE(VLOOKUP($B957,Data!$B$3:$AB$1535,9,FALSE),VLOOKUP($B957,Data!$B$3:$AB$1535,4,FALSE)),"")</f>
        <v>0.6130598184</v>
      </c>
      <c r="D957" s="48">
        <f>IFERROR(DIVIDE(VLOOKUP($B957,Data!$B$3:$AB$1535,24,FALSE),VLOOKUP($B957,Data!$B$3:$AB$1535,4,FALSE)),"")</f>
        <v>-0.3379267147</v>
      </c>
      <c r="E957" s="48">
        <f>IFERROR(DIVIDE(VLOOKUP($B957,Data!$B$3:$EZ1530,29,FALSE),VLOOKUP($B957,Data!$B$3:$EZ1530,4,FALSE)),"")</f>
        <v>-0.3496711557</v>
      </c>
      <c r="F957" s="48">
        <f>IFERROR(DIVIDE(VLOOKUP($B957,Data!$B$3:$EZ1530,34,FALSE),VLOOKUP($B957,Data!$B$3:$EZ1530,4,FALSE)),"")</f>
        <v>-0.09834011901</v>
      </c>
      <c r="G957" s="48">
        <f>IFERROR(DIVIDE(VLOOKUP($B957,Data!$B$3:$EZ1530,39,FALSE),VLOOKUP($B957,Data!$B$3:$EZ1530,4,FALSE)),"")</f>
        <v>-0.3124021297</v>
      </c>
      <c r="H957" s="48">
        <f>IFERROR(DIVIDE(VLOOKUP($B957,Data!$B$3:$EZ1530,44,FALSE),VLOOKUP($B957,Data!$B$3:$EZ1530,4,FALSE)),"")</f>
        <v>0.09348575008</v>
      </c>
      <c r="I957" s="48">
        <f>IFERROR(MINUS(DIVIDE(VLOOKUP($B957,Data!$B$3:$EZ1530,9,FALSE),VLOOKUP($B957,Data!$B$3:$EZ1530,10,FALSE)),1),"")</f>
        <v>-0.3373392011</v>
      </c>
      <c r="J957" s="48">
        <f>IFERROR(MINUS(DIVIDE(VLOOKUP($B957,Data!$B$3:$EZ1530,24,FALSE),VLOOKUP($B957,Data!$B$3:$EZ1530,25,FALSE)),1),"")</f>
        <v>-27.975</v>
      </c>
      <c r="K957" s="48" t="str">
        <f>IFERROR(MINUS(DIVIDE(VLOOKUP($B957,Data!$B$3:$EZ1530,29,FALSE),VLOOKUP($B957,Data!$B$3:$EZ1530,30,FALSE)),1),"")</f>
        <v/>
      </c>
      <c r="L957" s="48">
        <f>IFERROR(MINUS(DIVIDE(VLOOKUP($B957,Data!$B$3:$EZ1530,34,FALSE),VLOOKUP($B957,Data!$B$3:$EZ1530,35,FALSE)),1),"")</f>
        <v>-1.562724014</v>
      </c>
      <c r="M957" s="48">
        <f>IFERROR(MINUS(DIVIDE(VLOOKUP($B957,Data!$B$3:$EZ1530,39,FALSE),VLOOKUP($B957,Data!$B$3:$EZ1530,40,FALSE)),1),"")</f>
        <v>-44.36956522</v>
      </c>
      <c r="N957" s="48">
        <f>IFERROR(MINUS(DIVIDE(VLOOKUP($B957,Data!$B$3:$EZ1530,44,FALSE),VLOOKUP($B957,Data!$B$3:$EZ1530,45,FALSE)),1),"")</f>
        <v>-0.2867383513</v>
      </c>
      <c r="O957" s="50">
        <f>IFERROR(VLOOKUP($B957,Data!$B$3:$D1530,2,FALSE),"")</f>
        <v>705930</v>
      </c>
      <c r="P957" s="50">
        <f>IFERROR(VLOOKUP($B957,Data!$B$3:$D1530,3,FALSE),"")</f>
        <v>645690</v>
      </c>
      <c r="Q957" s="48">
        <f t="shared" si="2"/>
        <v>0.0932955443</v>
      </c>
      <c r="R957" s="48"/>
      <c r="S957" s="48"/>
      <c r="T957" s="48"/>
      <c r="U957" s="48"/>
      <c r="V957" s="48"/>
      <c r="W957" s="50"/>
      <c r="Z957" s="15"/>
      <c r="AA957" s="15"/>
    </row>
    <row r="958">
      <c r="A958" s="9">
        <f t="shared" si="1"/>
        <v>955</v>
      </c>
      <c r="B958" s="47" t="s">
        <v>1092</v>
      </c>
      <c r="C958" s="48">
        <f>IFERROR(DIVIDE(VLOOKUP($B958,Data!$B$3:$AB$1535,9,FALSE),VLOOKUP($B958,Data!$B$3:$AB$1535,4,FALSE)),"")</f>
        <v>0.3643478261</v>
      </c>
      <c r="D958" s="48">
        <f>IFERROR(DIVIDE(VLOOKUP($B958,Data!$B$3:$AB$1535,24,FALSE),VLOOKUP($B958,Data!$B$3:$AB$1535,4,FALSE)),"")</f>
        <v>0.06077391304</v>
      </c>
      <c r="E958" s="48">
        <f>IFERROR(DIVIDE(VLOOKUP($B958,Data!$B$3:$EZ1530,29,FALSE),VLOOKUP($B958,Data!$B$3:$EZ1530,4,FALSE)),"")</f>
        <v>0.01342608696</v>
      </c>
      <c r="F958" s="48">
        <f>IFERROR(DIVIDE(VLOOKUP($B958,Data!$B$3:$EZ1530,34,FALSE),VLOOKUP($B958,Data!$B$3:$EZ1530,4,FALSE)),"")</f>
        <v>0.2452173913</v>
      </c>
      <c r="G958" s="48">
        <f>IFERROR(DIVIDE(VLOOKUP($B958,Data!$B$3:$EZ1530,39,FALSE),VLOOKUP($B958,Data!$B$3:$EZ1530,4,FALSE)),"")</f>
        <v>0.001460869565</v>
      </c>
      <c r="H958" s="48">
        <f>IFERROR(DIVIDE(VLOOKUP($B958,Data!$B$3:$EZ1530,44,FALSE),VLOOKUP($B958,Data!$B$3:$EZ1530,4,FALSE)),"")</f>
        <v>0.1565217391</v>
      </c>
      <c r="I958" s="48">
        <f>IFERROR(MINUS(DIVIDE(VLOOKUP($B958,Data!$B$3:$EZ1530,9,FALSE),VLOOKUP($B958,Data!$B$3:$EZ1530,10,FALSE)),1),"")</f>
        <v>-0.03456221198</v>
      </c>
      <c r="J958" s="48">
        <f>IFERROR(MINUS(DIVIDE(VLOOKUP($B958,Data!$B$3:$EZ1530,24,FALSE),VLOOKUP($B958,Data!$B$3:$EZ1530,25,FALSE)),1),"")</f>
        <v>-0.2518732605</v>
      </c>
      <c r="K958" s="48">
        <f>IFERROR(MINUS(DIVIDE(VLOOKUP($B958,Data!$B$3:$EZ1530,29,FALSE),VLOOKUP($B958,Data!$B$3:$EZ1530,30,FALSE)),1),"")</f>
        <v>-0.4825737265</v>
      </c>
      <c r="L958" s="48">
        <f>IFERROR(MINUS(DIVIDE(VLOOKUP($B958,Data!$B$3:$EZ1530,34,FALSE),VLOOKUP($B958,Data!$B$3:$EZ1530,35,FALSE)),1),"")</f>
        <v>-0.1582089552</v>
      </c>
      <c r="M958" s="48">
        <f>IFERROR(MINUS(DIVIDE(VLOOKUP($B958,Data!$B$3:$EZ1530,39,FALSE),VLOOKUP($B958,Data!$B$3:$EZ1530,40,FALSE)),1),"")</f>
        <v>-0.9523404255</v>
      </c>
      <c r="N958" s="48">
        <f>IFERROR(MINUS(DIVIDE(VLOOKUP($B958,Data!$B$3:$EZ1530,44,FALSE),VLOOKUP($B958,Data!$B$3:$EZ1530,45,FALSE)),1),"")</f>
        <v>-0.2307692308</v>
      </c>
      <c r="O958" s="50">
        <f>IFERROR(VLOOKUP($B958,Data!$B$3:$D1530,2,FALSE),"")</f>
        <v>11930000</v>
      </c>
      <c r="P958" s="50">
        <f>IFERROR(VLOOKUP($B958,Data!$B$3:$D1530,3,FALSE),"")</f>
        <v>11610000</v>
      </c>
      <c r="Q958" s="48">
        <f t="shared" si="2"/>
        <v>0.02756244617</v>
      </c>
      <c r="R958" s="48"/>
      <c r="S958" s="48"/>
      <c r="T958" s="48"/>
      <c r="U958" s="48"/>
      <c r="V958" s="48"/>
      <c r="W958" s="50"/>
      <c r="Z958" s="15"/>
      <c r="AA958" s="15"/>
    </row>
    <row r="959">
      <c r="A959" s="9">
        <f t="shared" si="1"/>
        <v>956</v>
      </c>
      <c r="B959" s="47" t="s">
        <v>1093</v>
      </c>
      <c r="C959" s="48" t="str">
        <f>IFERROR(DIVIDE(VLOOKUP($B959,Data!$B$3:$AB$1535,9,FALSE),VLOOKUP($B959,Data!$B$3:$AB$1535,4,FALSE)),"")</f>
        <v/>
      </c>
      <c r="D959" s="48" t="str">
        <f>IFERROR(DIVIDE(VLOOKUP($B959,Data!$B$3:$AB$1535,24,FALSE),VLOOKUP($B959,Data!$B$3:$AB$1535,4,FALSE)),"")</f>
        <v/>
      </c>
      <c r="E959" s="48" t="str">
        <f>IFERROR(DIVIDE(VLOOKUP($B959,Data!$B$3:$EZ1530,29,FALSE),VLOOKUP($B959,Data!$B$3:$EZ1530,4,FALSE)),"")</f>
        <v/>
      </c>
      <c r="F959" s="48" t="str">
        <f>IFERROR(DIVIDE(VLOOKUP($B959,Data!$B$3:$EZ1530,34,FALSE),VLOOKUP($B959,Data!$B$3:$EZ1530,4,FALSE)),"")</f>
        <v/>
      </c>
      <c r="G959" s="48" t="str">
        <f>IFERROR(DIVIDE(VLOOKUP($B959,Data!$B$3:$EZ1530,39,FALSE),VLOOKUP($B959,Data!$B$3:$EZ1530,4,FALSE)),"")</f>
        <v/>
      </c>
      <c r="H959" s="48" t="str">
        <f>IFERROR(DIVIDE(VLOOKUP($B959,Data!$B$3:$EZ1530,44,FALSE),VLOOKUP($B959,Data!$B$3:$EZ1530,4,FALSE)),"")</f>
        <v/>
      </c>
      <c r="I959" s="48" t="str">
        <f>IFERROR(MINUS(DIVIDE(VLOOKUP($B959,Data!$B$3:$EZ1530,9,FALSE),VLOOKUP($B959,Data!$B$3:$EZ1530,10,FALSE)),1),"")</f>
        <v/>
      </c>
      <c r="J959" s="48" t="str">
        <f>IFERROR(MINUS(DIVIDE(VLOOKUP($B959,Data!$B$3:$EZ1530,24,FALSE),VLOOKUP($B959,Data!$B$3:$EZ1530,25,FALSE)),1),"")</f>
        <v/>
      </c>
      <c r="K959" s="48">
        <f>IFERROR(MINUS(DIVIDE(VLOOKUP($B959,Data!$B$3:$EZ1530,29,FALSE),VLOOKUP($B959,Data!$B$3:$EZ1530,30,FALSE)),1),"")</f>
        <v>3.079911374</v>
      </c>
      <c r="L959" s="48">
        <f>IFERROR(MINUS(DIVIDE(VLOOKUP($B959,Data!$B$3:$EZ1530,34,FALSE),VLOOKUP($B959,Data!$B$3:$EZ1530,35,FALSE)),1),"")</f>
        <v>1.856409545</v>
      </c>
      <c r="M959" s="48">
        <f>IFERROR(MINUS(DIVIDE(VLOOKUP($B959,Data!$B$3:$EZ1530,39,FALSE),VLOOKUP($B959,Data!$B$3:$EZ1530,40,FALSE)),1),"")</f>
        <v>3.079911374</v>
      </c>
      <c r="N959" s="48">
        <f>IFERROR(MINUS(DIVIDE(VLOOKUP($B959,Data!$B$3:$EZ1530,44,FALSE),VLOOKUP($B959,Data!$B$3:$EZ1530,45,FALSE)),1),"")</f>
        <v>2.729867325</v>
      </c>
      <c r="O959" s="50">
        <f>IFERROR(VLOOKUP($B959,Data!$B$3:$D1530,2,FALSE),"")</f>
        <v>22220</v>
      </c>
      <c r="P959" s="50" t="str">
        <f>IFERROR(VLOOKUP($B959,Data!$B$3:$D1530,3,FALSE),"")</f>
        <v/>
      </c>
      <c r="Q959" s="48" t="str">
        <f t="shared" si="2"/>
        <v/>
      </c>
      <c r="R959" s="48"/>
      <c r="S959" s="48"/>
      <c r="T959" s="48"/>
      <c r="U959" s="48"/>
      <c r="V959" s="48"/>
      <c r="W959" s="50"/>
      <c r="Z959" s="11"/>
      <c r="AA959" s="11"/>
    </row>
    <row r="960">
      <c r="A960" s="9">
        <f t="shared" si="1"/>
        <v>957</v>
      </c>
      <c r="B960" s="47" t="s">
        <v>1094</v>
      </c>
      <c r="C960" s="48">
        <f>IFERROR(DIVIDE(VLOOKUP($B960,Data!$B$3:$AB$1535,9,FALSE),VLOOKUP($B960,Data!$B$3:$AB$1535,4,FALSE)),"")</f>
        <v>0.1015990338</v>
      </c>
      <c r="D960" s="48">
        <f>IFERROR(DIVIDE(VLOOKUP($B960,Data!$B$3:$AB$1535,24,FALSE),VLOOKUP($B960,Data!$B$3:$AB$1535,4,FALSE)),"")</f>
        <v>0.02311111111</v>
      </c>
      <c r="E960" s="48">
        <f>IFERROR(DIVIDE(VLOOKUP($B960,Data!$B$3:$EZ1530,29,FALSE),VLOOKUP($B960,Data!$B$3:$EZ1530,4,FALSE)),"")</f>
        <v>0.02436714976</v>
      </c>
      <c r="F960" s="48">
        <f>IFERROR(DIVIDE(VLOOKUP($B960,Data!$B$3:$EZ1530,34,FALSE),VLOOKUP($B960,Data!$B$3:$EZ1530,4,FALSE)),"")</f>
        <v>0.04770531401</v>
      </c>
      <c r="G960" s="48">
        <f>IFERROR(DIVIDE(VLOOKUP($B960,Data!$B$3:$EZ1530,39,FALSE),VLOOKUP($B960,Data!$B$3:$EZ1530,4,FALSE)),"")</f>
        <v>0.01820772947</v>
      </c>
      <c r="H960" s="48">
        <f>IFERROR(DIVIDE(VLOOKUP($B960,Data!$B$3:$EZ1530,44,FALSE),VLOOKUP($B960,Data!$B$3:$EZ1530,4,FALSE)),"")</f>
        <v>0.031352657</v>
      </c>
      <c r="I960" s="48">
        <f>IFERROR(MINUS(DIVIDE(VLOOKUP($B960,Data!$B$3:$EZ1530,9,FALSE),VLOOKUP($B960,Data!$B$3:$EZ1530,10,FALSE)),1),"")</f>
        <v>0.2729088488</v>
      </c>
      <c r="J960" s="48">
        <f>IFERROR(MINUS(DIVIDE(VLOOKUP($B960,Data!$B$3:$EZ1530,24,FALSE),VLOOKUP($B960,Data!$B$3:$EZ1530,25,FALSE)),1),"")</f>
        <v>0.1235321747</v>
      </c>
      <c r="K960" s="48">
        <f>IFERROR(MINUS(DIVIDE(VLOOKUP($B960,Data!$B$3:$EZ1530,29,FALSE),VLOOKUP($B960,Data!$B$3:$EZ1530,30,FALSE)),1),"")</f>
        <v>0.1711167866</v>
      </c>
      <c r="L960" s="48">
        <f>IFERROR(MINUS(DIVIDE(VLOOKUP($B960,Data!$B$3:$EZ1530,34,FALSE),VLOOKUP($B960,Data!$B$3:$EZ1530,35,FALSE)),1),"")</f>
        <v>0.1391163917</v>
      </c>
      <c r="M960" s="48">
        <f>IFERROR(MINUS(DIVIDE(VLOOKUP($B960,Data!$B$3:$EZ1530,39,FALSE),VLOOKUP($B960,Data!$B$3:$EZ1530,40,FALSE)),1),"")</f>
        <v>0.212286909</v>
      </c>
      <c r="N960" s="48">
        <f>IFERROR(MINUS(DIVIDE(VLOOKUP($B960,Data!$B$3:$EZ1530,44,FALSE),VLOOKUP($B960,Data!$B$3:$EZ1530,45,FALSE)),1),"")</f>
        <v>-0.2345795495</v>
      </c>
      <c r="O960" s="50">
        <f>IFERROR(VLOOKUP($B960,Data!$B$3:$D1530,2,FALSE),"")</f>
        <v>2190000</v>
      </c>
      <c r="P960" s="50">
        <f>IFERROR(VLOOKUP($B960,Data!$B$3:$D1530,3,FALSE),"")</f>
        <v>2160000</v>
      </c>
      <c r="Q960" s="48">
        <f t="shared" si="2"/>
        <v>0.01388888889</v>
      </c>
      <c r="R960" s="48"/>
      <c r="S960" s="48"/>
      <c r="T960" s="48"/>
      <c r="U960" s="48"/>
      <c r="V960" s="48"/>
      <c r="W960" s="50"/>
      <c r="Z960" s="11"/>
      <c r="AA960" s="11"/>
    </row>
    <row r="961">
      <c r="A961" s="9">
        <f t="shared" si="1"/>
        <v>958</v>
      </c>
      <c r="B961" s="47" t="s">
        <v>1095</v>
      </c>
      <c r="C961" s="48" t="str">
        <f>IFERROR(DIVIDE(VLOOKUP($B961,Data!$B$3:$AB$1535,9,FALSE),VLOOKUP($B961,Data!$B$3:$AB$1535,4,FALSE)),"")</f>
        <v/>
      </c>
      <c r="D961" s="48" t="str">
        <f>IFERROR(DIVIDE(VLOOKUP($B961,Data!$B$3:$AB$1535,24,FALSE),VLOOKUP($B961,Data!$B$3:$AB$1535,4,FALSE)),"")</f>
        <v/>
      </c>
      <c r="E961" s="48" t="str">
        <f>IFERROR(DIVIDE(VLOOKUP($B961,Data!$B$3:$EZ1530,29,FALSE),VLOOKUP($B961,Data!$B$3:$EZ1530,4,FALSE)),"")</f>
        <v/>
      </c>
      <c r="F961" s="48" t="str">
        <f>IFERROR(DIVIDE(VLOOKUP($B961,Data!$B$3:$EZ1530,34,FALSE),VLOOKUP($B961,Data!$B$3:$EZ1530,4,FALSE)),"")</f>
        <v/>
      </c>
      <c r="G961" s="48" t="str">
        <f>IFERROR(DIVIDE(VLOOKUP($B961,Data!$B$3:$EZ1530,39,FALSE),VLOOKUP($B961,Data!$B$3:$EZ1530,4,FALSE)),"")</f>
        <v/>
      </c>
      <c r="H961" s="48" t="str">
        <f>IFERROR(DIVIDE(VLOOKUP($B961,Data!$B$3:$EZ1530,44,FALSE),VLOOKUP($B961,Data!$B$3:$EZ1530,4,FALSE)),"")</f>
        <v/>
      </c>
      <c r="I961" s="48" t="str">
        <f>IFERROR(MINUS(DIVIDE(VLOOKUP($B961,Data!$B$3:$EZ1530,9,FALSE),VLOOKUP($B961,Data!$B$3:$EZ1530,10,FALSE)),1),"")</f>
        <v/>
      </c>
      <c r="J961" s="48">
        <f>IFERROR(MINUS(DIVIDE(VLOOKUP($B961,Data!$B$3:$EZ1530,24,FALSE),VLOOKUP($B961,Data!$B$3:$EZ1530,25,FALSE)),1),"")</f>
        <v>2.794701987</v>
      </c>
      <c r="K961" s="48">
        <f>IFERROR(MINUS(DIVIDE(VLOOKUP($B961,Data!$B$3:$EZ1530,29,FALSE),VLOOKUP($B961,Data!$B$3:$EZ1530,30,FALSE)),1),"")</f>
        <v>3.335213033</v>
      </c>
      <c r="L961" s="48">
        <f>IFERROR(MINUS(DIVIDE(VLOOKUP($B961,Data!$B$3:$EZ1530,34,FALSE),VLOOKUP($B961,Data!$B$3:$EZ1530,35,FALSE)),1),"")</f>
        <v>0.03243407093</v>
      </c>
      <c r="M961" s="48">
        <f>IFERROR(MINUS(DIVIDE(VLOOKUP($B961,Data!$B$3:$EZ1530,39,FALSE),VLOOKUP($B961,Data!$B$3:$EZ1530,40,FALSE)),1),"")</f>
        <v>3.335213033</v>
      </c>
      <c r="N961" s="48">
        <f>IFERROR(MINUS(DIVIDE(VLOOKUP($B961,Data!$B$3:$EZ1530,44,FALSE),VLOOKUP($B961,Data!$B$3:$EZ1530,45,FALSE)),1),"")</f>
        <v>0.01686101481</v>
      </c>
      <c r="O961" s="50" t="str">
        <f>IFERROR(VLOOKUP($B961,Data!$B$3:$D1530,2,FALSE),"")</f>
        <v/>
      </c>
      <c r="P961" s="50" t="str">
        <f>IFERROR(VLOOKUP($B961,Data!$B$3:$D1530,3,FALSE),"")</f>
        <v/>
      </c>
      <c r="Q961" s="48" t="str">
        <f t="shared" si="2"/>
        <v/>
      </c>
      <c r="R961" s="48"/>
      <c r="S961" s="48"/>
      <c r="T961" s="48"/>
      <c r="U961" s="48"/>
      <c r="V961" s="48"/>
      <c r="W961" s="50"/>
      <c r="Z961" s="11"/>
      <c r="AA961" s="12"/>
    </row>
    <row r="962">
      <c r="A962" s="9">
        <f t="shared" si="1"/>
        <v>959</v>
      </c>
      <c r="B962" s="47" t="s">
        <v>1096</v>
      </c>
      <c r="C962" s="48">
        <f>IFERROR(DIVIDE(VLOOKUP($B962,Data!$B$3:$AB$1535,9,FALSE),VLOOKUP($B962,Data!$B$3:$AB$1535,4,FALSE)),"")</f>
        <v>0.8857813417</v>
      </c>
      <c r="D962" s="48">
        <f>IFERROR(DIVIDE(VLOOKUP($B962,Data!$B$3:$AB$1535,24,FALSE),VLOOKUP($B962,Data!$B$3:$AB$1535,4,FALSE)),"")</f>
        <v>-0.004713475455</v>
      </c>
      <c r="E962" s="48">
        <f>IFERROR(DIVIDE(VLOOKUP($B962,Data!$B$3:$EZ1530,29,FALSE),VLOOKUP($B962,Data!$B$3:$EZ1530,4,FALSE)),"")</f>
        <v>-0.02327400743</v>
      </c>
      <c r="F962" s="48">
        <f>IFERROR(DIVIDE(VLOOKUP($B962,Data!$B$3:$EZ1530,34,FALSE),VLOOKUP($B962,Data!$B$3:$EZ1530,4,FALSE)),"")</f>
        <v>0.03031488363</v>
      </c>
      <c r="G962" s="48">
        <f>IFERROR(DIVIDE(VLOOKUP($B962,Data!$B$3:$EZ1530,39,FALSE),VLOOKUP($B962,Data!$B$3:$EZ1530,4,FALSE)),"")</f>
        <v>-0.02327400743</v>
      </c>
      <c r="H962" s="48">
        <f>IFERROR(DIVIDE(VLOOKUP($B962,Data!$B$3:$EZ1530,44,FALSE),VLOOKUP($B962,Data!$B$3:$EZ1530,4,FALSE)),"")</f>
        <v>-0.09661646783</v>
      </c>
      <c r="I962" s="48">
        <f>IFERROR(MINUS(DIVIDE(VLOOKUP($B962,Data!$B$3:$EZ1530,9,FALSE),VLOOKUP($B962,Data!$B$3:$EZ1530,10,FALSE)),1),"")</f>
        <v>7.16036036</v>
      </c>
      <c r="J962" s="48">
        <f>IFERROR(MINUS(DIVIDE(VLOOKUP($B962,Data!$B$3:$EZ1530,24,FALSE),VLOOKUP($B962,Data!$B$3:$EZ1530,25,FALSE)),1),"")</f>
        <v>-0.9738611714</v>
      </c>
      <c r="K962" s="48">
        <f>IFERROR(MINUS(DIVIDE(VLOOKUP($B962,Data!$B$3:$EZ1530,29,FALSE),VLOOKUP($B962,Data!$B$3:$EZ1530,30,FALSE)),1),"")</f>
        <v>-0.8827586207</v>
      </c>
      <c r="L962" s="48">
        <f>IFERROR(MINUS(DIVIDE(VLOOKUP($B962,Data!$B$3:$EZ1530,34,FALSE),VLOOKUP($B962,Data!$B$3:$EZ1530,35,FALSE)),1),"")</f>
        <v>-1.174943567</v>
      </c>
      <c r="M962" s="48">
        <f>IFERROR(MINUS(DIVIDE(VLOOKUP($B962,Data!$B$3:$EZ1530,39,FALSE),VLOOKUP($B962,Data!$B$3:$EZ1530,40,FALSE)),1),"")</f>
        <v>-0.8827586207</v>
      </c>
      <c r="N962" s="48">
        <f>IFERROR(MINUS(DIVIDE(VLOOKUP($B962,Data!$B$3:$EZ1530,44,FALSE),VLOOKUP($B962,Data!$B$3:$EZ1530,45,FALSE)),1),"")</f>
        <v>-0.5537488708</v>
      </c>
      <c r="O962" s="50">
        <f>IFERROR(VLOOKUP($B962,Data!$B$3:$D1530,2,FALSE),"")</f>
        <v>144620</v>
      </c>
      <c r="P962" s="50">
        <f>IFERROR(VLOOKUP($B962,Data!$B$3:$D1530,3,FALSE),"")</f>
        <v>109810</v>
      </c>
      <c r="Q962" s="48">
        <f t="shared" si="2"/>
        <v>0.3170020945</v>
      </c>
      <c r="R962" s="48"/>
      <c r="S962" s="48"/>
      <c r="T962" s="48"/>
      <c r="U962" s="48"/>
      <c r="V962" s="48"/>
      <c r="W962" s="50"/>
      <c r="Z962" s="11"/>
      <c r="AA962" s="11"/>
    </row>
    <row r="963">
      <c r="A963" s="9">
        <f t="shared" si="1"/>
        <v>960</v>
      </c>
      <c r="B963" s="47" t="s">
        <v>1097</v>
      </c>
      <c r="C963" s="48">
        <f>IFERROR(DIVIDE(VLOOKUP($B963,Data!$B$3:$AB$1535,9,FALSE),VLOOKUP($B963,Data!$B$3:$AB$1535,4,FALSE)),"")</f>
        <v>0.1432759599</v>
      </c>
      <c r="D963" s="48">
        <f>IFERROR(DIVIDE(VLOOKUP($B963,Data!$B$3:$AB$1535,24,FALSE),VLOOKUP($B963,Data!$B$3:$AB$1535,4,FALSE)),"")</f>
        <v>0</v>
      </c>
      <c r="E963" s="48">
        <f>IFERROR(DIVIDE(VLOOKUP($B963,Data!$B$3:$EZ1530,29,FALSE),VLOOKUP($B963,Data!$B$3:$EZ1530,4,FALSE)),"")</f>
        <v>-0.03240653174</v>
      </c>
      <c r="F963" s="48">
        <f>IFERROR(DIVIDE(VLOOKUP($B963,Data!$B$3:$EZ1530,34,FALSE),VLOOKUP($B963,Data!$B$3:$EZ1530,4,FALSE)),"")</f>
        <v>0.302439947</v>
      </c>
      <c r="G963" s="48">
        <f>IFERROR(DIVIDE(VLOOKUP($B963,Data!$B$3:$EZ1530,39,FALSE),VLOOKUP($B963,Data!$B$3:$EZ1530,4,FALSE)),"")</f>
        <v>-0.03262719879</v>
      </c>
      <c r="H963" s="48">
        <f>IFERROR(DIVIDE(VLOOKUP($B963,Data!$B$3:$EZ1530,44,FALSE),VLOOKUP($B963,Data!$B$3:$EZ1530,4,FALSE)),"")</f>
        <v>0.1666351428</v>
      </c>
      <c r="I963" s="48">
        <f>IFERROR(MINUS(DIVIDE(VLOOKUP($B963,Data!$B$3:$EZ1530,9,FALSE),VLOOKUP($B963,Data!$B$3:$EZ1530,10,FALSE)),1),"")</f>
        <v>-3.657894737</v>
      </c>
      <c r="J963" s="48">
        <f>IFERROR(MINUS(DIVIDE(VLOOKUP($B963,Data!$B$3:$EZ1530,24,FALSE),VLOOKUP($B963,Data!$B$3:$EZ1530,25,FALSE)),1),"")</f>
        <v>-1</v>
      </c>
      <c r="K963" s="48">
        <f>IFERROR(MINUS(DIVIDE(VLOOKUP($B963,Data!$B$3:$EZ1530,29,FALSE),VLOOKUP($B963,Data!$B$3:$EZ1530,30,FALSE)),1),"")</f>
        <v>-0.8825947921</v>
      </c>
      <c r="L963" s="48">
        <f>IFERROR(MINUS(DIVIDE(VLOOKUP($B963,Data!$B$3:$EZ1530,34,FALSE),VLOOKUP($B963,Data!$B$3:$EZ1530,35,FALSE)),1),"")</f>
        <v>2.10787172</v>
      </c>
      <c r="M963" s="48">
        <f>IFERROR(MINUS(DIVIDE(VLOOKUP($B963,Data!$B$3:$EZ1530,39,FALSE),VLOOKUP($B963,Data!$B$3:$EZ1530,40,FALSE)),1),"")</f>
        <v>-0.8914069877</v>
      </c>
      <c r="N963" s="48">
        <f>IFERROR(MINUS(DIVIDE(VLOOKUP($B963,Data!$B$3:$EZ1530,44,FALSE),VLOOKUP($B963,Data!$B$3:$EZ1530,45,FALSE)),1),"")</f>
        <v>-4.34556962</v>
      </c>
      <c r="O963" s="50">
        <f>IFERROR(VLOOKUP($B963,Data!$B$3:$D1530,2,FALSE),"")</f>
        <v>265430</v>
      </c>
      <c r="P963" s="50">
        <f>IFERROR(VLOOKUP($B963,Data!$B$3:$D1530,3,FALSE),"")</f>
        <v>280830</v>
      </c>
      <c r="Q963" s="48">
        <f t="shared" si="2"/>
        <v>-0.05483744614</v>
      </c>
      <c r="R963" s="48"/>
      <c r="S963" s="48"/>
      <c r="T963" s="48"/>
      <c r="U963" s="48"/>
      <c r="V963" s="48"/>
      <c r="W963" s="50"/>
      <c r="Z963" s="12"/>
      <c r="AA963" s="12"/>
    </row>
    <row r="964">
      <c r="A964" s="9">
        <f t="shared" si="1"/>
        <v>961</v>
      </c>
      <c r="B964" s="47" t="s">
        <v>1098</v>
      </c>
      <c r="C964" s="48">
        <f>IFERROR(DIVIDE(VLOOKUP($B964,Data!$B$3:$AB$1535,9,FALSE),VLOOKUP($B964,Data!$B$3:$AB$1535,4,FALSE)),"")</f>
        <v>0.4059808381</v>
      </c>
      <c r="D964" s="48">
        <f>IFERROR(DIVIDE(VLOOKUP($B964,Data!$B$3:$AB$1535,24,FALSE),VLOOKUP($B964,Data!$B$3:$AB$1535,4,FALSE)),"")</f>
        <v>0</v>
      </c>
      <c r="E964" s="48">
        <f>IFERROR(DIVIDE(VLOOKUP($B964,Data!$B$3:$EZ1530,29,FALSE),VLOOKUP($B964,Data!$B$3:$EZ1530,4,FALSE)),"")</f>
        <v>0.174295945</v>
      </c>
      <c r="F964" s="48">
        <f>IFERROR(DIVIDE(VLOOKUP($B964,Data!$B$3:$EZ1530,34,FALSE),VLOOKUP($B964,Data!$B$3:$EZ1530,4,FALSE)),"")</f>
        <v>0.274944353</v>
      </c>
      <c r="G964" s="48">
        <f>IFERROR(DIVIDE(VLOOKUP($B964,Data!$B$3:$EZ1530,39,FALSE),VLOOKUP($B964,Data!$B$3:$EZ1530,4,FALSE)),"")</f>
        <v>0.1300687119</v>
      </c>
      <c r="H964" s="48">
        <f>IFERROR(DIVIDE(VLOOKUP($B964,Data!$B$3:$EZ1530,44,FALSE),VLOOKUP($B964,Data!$B$3:$EZ1530,4,FALSE)),"")</f>
        <v>0.1195199845</v>
      </c>
      <c r="I964" s="48">
        <f>IFERROR(MINUS(DIVIDE(VLOOKUP($B964,Data!$B$3:$EZ1530,9,FALSE),VLOOKUP($B964,Data!$B$3:$EZ1530,10,FALSE)),1),"")</f>
        <v>0.002868754482</v>
      </c>
      <c r="J964" s="48" t="str">
        <f>IFERROR(MINUS(DIVIDE(VLOOKUP($B964,Data!$B$3:$EZ1530,24,FALSE),VLOOKUP($B964,Data!$B$3:$EZ1530,25,FALSE)),1),"")</f>
        <v/>
      </c>
      <c r="K964" s="48">
        <f>IFERROR(MINUS(DIVIDE(VLOOKUP($B964,Data!$B$3:$EZ1530,29,FALSE),VLOOKUP($B964,Data!$B$3:$EZ1530,30,FALSE)),1),"")</f>
        <v>-0.3876232574</v>
      </c>
      <c r="L964" s="48">
        <f>IFERROR(MINUS(DIVIDE(VLOOKUP($B964,Data!$B$3:$EZ1530,34,FALSE),VLOOKUP($B964,Data!$B$3:$EZ1530,35,FALSE)),1),"")</f>
        <v>-0.02672147996</v>
      </c>
      <c r="M964" s="48">
        <f>IFERROR(MINUS(DIVIDE(VLOOKUP($B964,Data!$B$3:$EZ1530,39,FALSE),VLOOKUP($B964,Data!$B$3:$EZ1530,40,FALSE)),1),"")</f>
        <v>-0.3745928339</v>
      </c>
      <c r="N964" s="48">
        <f>IFERROR(MINUS(DIVIDE(VLOOKUP($B964,Data!$B$3:$EZ1530,44,FALSE),VLOOKUP($B964,Data!$B$3:$EZ1530,45,FALSE)),1),"")</f>
        <v>0.1066308244</v>
      </c>
      <c r="O964" s="50" t="str">
        <f>IFERROR(VLOOKUP($B964,Data!$B$3:$D1530,2,FALSE),"")</f>
        <v/>
      </c>
      <c r="P964" s="50" t="str">
        <f>IFERROR(VLOOKUP($B964,Data!$B$3:$D1530,3,FALSE),"")</f>
        <v/>
      </c>
      <c r="Q964" s="48" t="str">
        <f t="shared" si="2"/>
        <v/>
      </c>
      <c r="R964" s="48"/>
      <c r="S964" s="48"/>
      <c r="T964" s="48"/>
      <c r="U964" s="48"/>
      <c r="V964" s="48"/>
      <c r="W964" s="50"/>
      <c r="Z964" s="11"/>
      <c r="AA964" s="11"/>
    </row>
    <row r="965">
      <c r="A965" s="9">
        <f t="shared" si="1"/>
        <v>962</v>
      </c>
      <c r="B965" s="47" t="s">
        <v>1099</v>
      </c>
      <c r="C965" s="48">
        <f>IFERROR(DIVIDE(VLOOKUP($B965,Data!$B$3:$AB$1535,9,FALSE),VLOOKUP($B965,Data!$B$3:$AB$1535,4,FALSE)),"")</f>
        <v>0.7406548506</v>
      </c>
      <c r="D965" s="48">
        <f>IFERROR(DIVIDE(VLOOKUP($B965,Data!$B$3:$AB$1535,24,FALSE),VLOOKUP($B965,Data!$B$3:$AB$1535,4,FALSE)),"")</f>
        <v>0.04453094804</v>
      </c>
      <c r="E965" s="48">
        <f>IFERROR(DIVIDE(VLOOKUP($B965,Data!$B$3:$EZ1530,29,FALSE),VLOOKUP($B965,Data!$B$3:$EZ1530,4,FALSE)),"")</f>
        <v>0.04317817901</v>
      </c>
      <c r="F965" s="48">
        <f>IFERROR(DIVIDE(VLOOKUP($B965,Data!$B$3:$EZ1530,34,FALSE),VLOOKUP($B965,Data!$B$3:$EZ1530,4,FALSE)),"")</f>
        <v>0.09530119817</v>
      </c>
      <c r="G965" s="48">
        <f>IFERROR(DIVIDE(VLOOKUP($B965,Data!$B$3:$EZ1530,39,FALSE),VLOOKUP($B965,Data!$B$3:$EZ1530,4,FALSE)),"")</f>
        <v>0.01869029871</v>
      </c>
      <c r="H965" s="48">
        <f>IFERROR(DIVIDE(VLOOKUP($B965,Data!$B$3:$EZ1530,44,FALSE),VLOOKUP($B965,Data!$B$3:$EZ1530,4,FALSE)),"")</f>
        <v>0.03749102755</v>
      </c>
      <c r="I965" s="48">
        <f>IFERROR(MINUS(DIVIDE(VLOOKUP($B965,Data!$B$3:$EZ1530,9,FALSE),VLOOKUP($B965,Data!$B$3:$EZ1530,10,FALSE)),1),"")</f>
        <v>-0.003121284185</v>
      </c>
      <c r="J965" s="48">
        <f>IFERROR(MINUS(DIVIDE(VLOOKUP($B965,Data!$B$3:$EZ1530,24,FALSE),VLOOKUP($B965,Data!$B$3:$EZ1530,25,FALSE)),1),"")</f>
        <v>2.014953271</v>
      </c>
      <c r="K965" s="48">
        <f>IFERROR(MINUS(DIVIDE(VLOOKUP($B965,Data!$B$3:$EZ1530,29,FALSE),VLOOKUP($B965,Data!$B$3:$EZ1530,30,FALSE)),1),"")</f>
        <v>3.8875</v>
      </c>
      <c r="L965" s="48">
        <f>IFERROR(MINUS(DIVIDE(VLOOKUP($B965,Data!$B$3:$EZ1530,34,FALSE),VLOOKUP($B965,Data!$B$3:$EZ1530,35,FALSE)),1),"")</f>
        <v>1.060895522</v>
      </c>
      <c r="M965" s="48">
        <f>IFERROR(MINUS(DIVIDE(VLOOKUP($B965,Data!$B$3:$EZ1530,39,FALSE),VLOOKUP($B965,Data!$B$3:$EZ1530,40,FALSE)),1),"")</f>
        <v>-8.927400468</v>
      </c>
      <c r="N965" s="48">
        <f>IFERROR(MINUS(DIVIDE(VLOOKUP($B965,Data!$B$3:$EZ1530,44,FALSE),VLOOKUP($B965,Data!$B$3:$EZ1530,45,FALSE)),1),"")</f>
        <v>-0.3779202932</v>
      </c>
      <c r="O965" s="50" t="str">
        <f>IFERROR(VLOOKUP($B965,Data!$B$3:$D1530,2,FALSE),"")</f>
        <v/>
      </c>
      <c r="P965" s="50" t="str">
        <f>IFERROR(VLOOKUP($B965,Data!$B$3:$D1530,3,FALSE),"")</f>
        <v/>
      </c>
      <c r="Q965" s="48" t="str">
        <f t="shared" si="2"/>
        <v/>
      </c>
      <c r="R965" s="48"/>
      <c r="S965" s="48"/>
      <c r="T965" s="48"/>
      <c r="U965" s="48"/>
      <c r="V965" s="48"/>
      <c r="W965" s="50"/>
      <c r="Z965" s="11"/>
      <c r="AA965" s="11"/>
    </row>
    <row r="966">
      <c r="A966" s="9">
        <f t="shared" si="1"/>
        <v>963</v>
      </c>
      <c r="B966" s="47" t="s">
        <v>1100</v>
      </c>
      <c r="C966" s="48">
        <f>IFERROR(DIVIDE(VLOOKUP($B966,Data!$B$3:$AB$1535,9,FALSE),VLOOKUP($B966,Data!$B$3:$AB$1535,4,FALSE)),"")</f>
        <v>0.5688778527</v>
      </c>
      <c r="D966" s="48">
        <f>IFERROR(DIVIDE(VLOOKUP($B966,Data!$B$3:$AB$1535,24,FALSE),VLOOKUP($B966,Data!$B$3:$AB$1535,4,FALSE)),"")</f>
        <v>-0.3157542076</v>
      </c>
      <c r="E966" s="48">
        <f>IFERROR(DIVIDE(VLOOKUP($B966,Data!$B$3:$EZ1530,29,FALSE),VLOOKUP($B966,Data!$B$3:$EZ1530,4,FALSE)),"")</f>
        <v>-0.304166174</v>
      </c>
      <c r="F966" s="48">
        <f>IFERROR(DIVIDE(VLOOKUP($B966,Data!$B$3:$EZ1530,34,FALSE),VLOOKUP($B966,Data!$B$3:$EZ1530,4,FALSE)),"")</f>
        <v>-0.1212802018</v>
      </c>
      <c r="G966" s="48">
        <f>IFERROR(DIVIDE(VLOOKUP($B966,Data!$B$3:$EZ1530,39,FALSE),VLOOKUP($B966,Data!$B$3:$EZ1530,4,FALSE)),"")</f>
        <v>-0.3541050806</v>
      </c>
      <c r="H966" s="48">
        <f>IFERROR(DIVIDE(VLOOKUP($B966,Data!$B$3:$EZ1530,44,FALSE),VLOOKUP($B966,Data!$B$3:$EZ1530,4,FALSE)),"")</f>
        <v>-0.1253399551</v>
      </c>
      <c r="I966" s="48">
        <f>IFERROR(MINUS(DIVIDE(VLOOKUP($B966,Data!$B$3:$EZ1530,9,FALSE),VLOOKUP($B966,Data!$B$3:$EZ1530,10,FALSE)),1),"")</f>
        <v>19.64806867</v>
      </c>
      <c r="J966" s="48">
        <f>IFERROR(MINUS(DIVIDE(VLOOKUP($B966,Data!$B$3:$EZ1530,24,FALSE),VLOOKUP($B966,Data!$B$3:$EZ1530,25,FALSE)),1),"")</f>
        <v>3.037802419</v>
      </c>
      <c r="K966" s="48">
        <f>IFERROR(MINUS(DIVIDE(VLOOKUP($B966,Data!$B$3:$EZ1530,29,FALSE),VLOOKUP($B966,Data!$B$3:$EZ1530,30,FALSE)),1),"")</f>
        <v>2.664292498</v>
      </c>
      <c r="L966" s="48">
        <f>IFERROR(MINUS(DIVIDE(VLOOKUP($B966,Data!$B$3:$EZ1530,34,FALSE),VLOOKUP($B966,Data!$B$3:$EZ1530,35,FALSE)),1),"")</f>
        <v>1.234567901</v>
      </c>
      <c r="M966" s="48">
        <f>IFERROR(MINUS(DIVIDE(VLOOKUP($B966,Data!$B$3:$EZ1530,39,FALSE),VLOOKUP($B966,Data!$B$3:$EZ1530,40,FALSE)),1),"")</f>
        <v>6.400329489</v>
      </c>
      <c r="N966" s="48">
        <f>IFERROR(MINUS(DIVIDE(VLOOKUP($B966,Data!$B$3:$EZ1530,44,FALSE),VLOOKUP($B966,Data!$B$3:$EZ1530,45,FALSE)),1),"")</f>
        <v>0.4567109482</v>
      </c>
      <c r="O966" s="50">
        <f>IFERROR(VLOOKUP($B966,Data!$B$3:$D1530,2,FALSE),"")</f>
        <v>296000</v>
      </c>
      <c r="P966" s="50">
        <f>IFERROR(VLOOKUP($B966,Data!$B$3:$D1530,3,FALSE),"")</f>
        <v>267950</v>
      </c>
      <c r="Q966" s="48">
        <f t="shared" si="2"/>
        <v>0.1046837096</v>
      </c>
      <c r="R966" s="48"/>
      <c r="S966" s="48"/>
      <c r="T966" s="48"/>
      <c r="U966" s="48"/>
      <c r="V966" s="48"/>
      <c r="W966" s="50"/>
      <c r="Z966" s="15"/>
      <c r="AA966" s="15"/>
    </row>
    <row r="967">
      <c r="A967" s="9">
        <f t="shared" si="1"/>
        <v>964</v>
      </c>
      <c r="B967" s="47" t="s">
        <v>1101</v>
      </c>
      <c r="C967" s="48">
        <f>IFERROR(DIVIDE(VLOOKUP($B967,Data!$B$3:$AB$1535,9,FALSE),VLOOKUP($B967,Data!$B$3:$AB$1535,4,FALSE)),"")</f>
        <v>0.9811189077</v>
      </c>
      <c r="D967" s="48">
        <f>IFERROR(DIVIDE(VLOOKUP($B967,Data!$B$3:$AB$1535,24,FALSE),VLOOKUP($B967,Data!$B$3:$AB$1535,4,FALSE)),"")</f>
        <v>0.07524521311</v>
      </c>
      <c r="E967" s="48">
        <f>IFERROR(DIVIDE(VLOOKUP($B967,Data!$B$3:$EZ1530,29,FALSE),VLOOKUP($B967,Data!$B$3:$EZ1530,4,FALSE)),"")</f>
        <v>0.05905416894</v>
      </c>
      <c r="F967" s="48">
        <f>IFERROR(DIVIDE(VLOOKUP($B967,Data!$B$3:$EZ1530,34,FALSE),VLOOKUP($B967,Data!$B$3:$EZ1530,4,FALSE)),"")</f>
        <v>0.2969330914</v>
      </c>
      <c r="G967" s="48">
        <f>IFERROR(DIVIDE(VLOOKUP($B967,Data!$B$3:$EZ1530,39,FALSE),VLOOKUP($B967,Data!$B$3:$EZ1530,4,FALSE)),"")</f>
        <v>0.04696164144</v>
      </c>
      <c r="H967" s="48">
        <f>IFERROR(DIVIDE(VLOOKUP($B967,Data!$B$3:$EZ1530,44,FALSE),VLOOKUP($B967,Data!$B$3:$EZ1530,4,FALSE)),"")</f>
        <v>0.1929348171</v>
      </c>
      <c r="I967" s="48">
        <f>IFERROR(MINUS(DIVIDE(VLOOKUP($B967,Data!$B$3:$EZ1530,9,FALSE),VLOOKUP($B967,Data!$B$3:$EZ1530,10,FALSE)),1),"")</f>
        <v>0.732295284</v>
      </c>
      <c r="J967" s="48" t="str">
        <f>IFERROR(MINUS(DIVIDE(VLOOKUP($B967,Data!$B$3:$EZ1530,24,FALSE),VLOOKUP($B967,Data!$B$3:$EZ1530,25,FALSE)),1),"")</f>
        <v/>
      </c>
      <c r="K967" s="48">
        <f>IFERROR(MINUS(DIVIDE(VLOOKUP($B967,Data!$B$3:$EZ1530,29,FALSE),VLOOKUP($B967,Data!$B$3:$EZ1530,30,FALSE)),1),"")</f>
        <v>1.130952381</v>
      </c>
      <c r="L967" s="48">
        <f>IFERROR(MINUS(DIVIDE(VLOOKUP($B967,Data!$B$3:$EZ1530,34,FALSE),VLOOKUP($B967,Data!$B$3:$EZ1530,35,FALSE)),1),"")</f>
        <v>4.718719453</v>
      </c>
      <c r="M967" s="48">
        <f>IFERROR(MINUS(DIVIDE(VLOOKUP($B967,Data!$B$3:$EZ1530,39,FALSE),VLOOKUP($B967,Data!$B$3:$EZ1530,40,FALSE)),1),"")</f>
        <v>0.7531975367</v>
      </c>
      <c r="N967" s="48">
        <f>IFERROR(MINUS(DIVIDE(VLOOKUP($B967,Data!$B$3:$EZ1530,44,FALSE),VLOOKUP($B967,Data!$B$3:$EZ1530,45,FALSE)),1),"")</f>
        <v>0.5000986582</v>
      </c>
      <c r="O967" s="50">
        <f>IFERROR(VLOOKUP($B967,Data!$B$3:$D1530,2,FALSE),"")</f>
        <v>1430000</v>
      </c>
      <c r="P967" s="50">
        <f>IFERROR(VLOOKUP($B967,Data!$B$3:$D1530,3,FALSE),"")</f>
        <v>1130000</v>
      </c>
      <c r="Q967" s="48">
        <f t="shared" si="2"/>
        <v>0.2654867257</v>
      </c>
      <c r="R967" s="48"/>
      <c r="S967" s="48"/>
      <c r="T967" s="48"/>
      <c r="U967" s="48"/>
      <c r="V967" s="48"/>
      <c r="W967" s="50"/>
      <c r="Z967" s="12"/>
      <c r="AA967" s="12"/>
    </row>
    <row r="968">
      <c r="A968" s="9">
        <f t="shared" si="1"/>
        <v>965</v>
      </c>
      <c r="B968" s="47" t="s">
        <v>1102</v>
      </c>
      <c r="C968" s="48">
        <f>IFERROR(DIVIDE(VLOOKUP($B968,Data!$B$3:$AB$1535,9,FALSE),VLOOKUP($B968,Data!$B$3:$AB$1535,4,FALSE)),"")</f>
        <v>0.2022129229</v>
      </c>
      <c r="D968" s="48">
        <f>IFERROR(DIVIDE(VLOOKUP($B968,Data!$B$3:$AB$1535,24,FALSE),VLOOKUP($B968,Data!$B$3:$AB$1535,4,FALSE)),"")</f>
        <v>0</v>
      </c>
      <c r="E968" s="48">
        <f>IFERROR(DIVIDE(VLOOKUP($B968,Data!$B$3:$EZ1530,29,FALSE),VLOOKUP($B968,Data!$B$3:$EZ1530,4,FALSE)),"")</f>
        <v>0.3078232499</v>
      </c>
      <c r="F968" s="48">
        <f>IFERROR(DIVIDE(VLOOKUP($B968,Data!$B$3:$EZ1530,34,FALSE),VLOOKUP($B968,Data!$B$3:$EZ1530,4,FALSE)),"")</f>
        <v>-0.06404709554</v>
      </c>
      <c r="G968" s="48">
        <f>IFERROR(DIVIDE(VLOOKUP($B968,Data!$B$3:$EZ1530,39,FALSE),VLOOKUP($B968,Data!$B$3:$EZ1530,4,FALSE)),"")</f>
        <v>0.2810837648</v>
      </c>
      <c r="H968" s="48">
        <f>IFERROR(DIVIDE(VLOOKUP($B968,Data!$B$3:$EZ1530,44,FALSE),VLOOKUP($B968,Data!$B$3:$EZ1530,4,FALSE)),"")</f>
        <v>0.374352791</v>
      </c>
      <c r="I968" s="48">
        <f>IFERROR(MINUS(DIVIDE(VLOOKUP($B968,Data!$B$3:$EZ1530,9,FALSE),VLOOKUP($B968,Data!$B$3:$EZ1530,10,FALSE)),1),"")</f>
        <v>0.05867062755</v>
      </c>
      <c r="J968" s="48" t="str">
        <f>IFERROR(MINUS(DIVIDE(VLOOKUP($B968,Data!$B$3:$EZ1530,24,FALSE),VLOOKUP($B968,Data!$B$3:$EZ1530,25,FALSE)),1),"")</f>
        <v/>
      </c>
      <c r="K968" s="48">
        <f>IFERROR(MINUS(DIVIDE(VLOOKUP($B968,Data!$B$3:$EZ1530,29,FALSE),VLOOKUP($B968,Data!$B$3:$EZ1530,30,FALSE)),1),"")</f>
        <v>0.02941176471</v>
      </c>
      <c r="L968" s="48">
        <f>IFERROR(MINUS(DIVIDE(VLOOKUP($B968,Data!$B$3:$EZ1530,34,FALSE),VLOOKUP($B968,Data!$B$3:$EZ1530,35,FALSE)),1),"")</f>
        <v>0.191292876</v>
      </c>
      <c r="M968" s="48">
        <f>IFERROR(MINUS(DIVIDE(VLOOKUP($B968,Data!$B$3:$EZ1530,39,FALSE),VLOOKUP($B968,Data!$B$3:$EZ1530,40,FALSE)),1),"")</f>
        <v>0.1391204369</v>
      </c>
      <c r="N968" s="48">
        <f>IFERROR(MINUS(DIVIDE(VLOOKUP($B968,Data!$B$3:$EZ1530,44,FALSE),VLOOKUP($B968,Data!$B$3:$EZ1530,45,FALSE)),1),"")</f>
        <v>-0.03368729403</v>
      </c>
      <c r="O968" s="50" t="str">
        <f>IFERROR(VLOOKUP($B968,Data!$B$3:$D1530,2,FALSE),"")</f>
        <v/>
      </c>
      <c r="P968" s="50" t="str">
        <f>IFERROR(VLOOKUP($B968,Data!$B$3:$D1530,3,FALSE),"")</f>
        <v/>
      </c>
      <c r="Q968" s="48" t="str">
        <f t="shared" si="2"/>
        <v/>
      </c>
      <c r="R968" s="48"/>
      <c r="S968" s="48"/>
      <c r="T968" s="48"/>
      <c r="U968" s="48"/>
      <c r="V968" s="48"/>
      <c r="W968" s="50"/>
      <c r="Z968" s="15"/>
      <c r="AA968" s="15"/>
    </row>
    <row r="969">
      <c r="A969" s="9">
        <f t="shared" si="1"/>
        <v>966</v>
      </c>
      <c r="B969" s="47" t="s">
        <v>1103</v>
      </c>
      <c r="C969" s="48">
        <f>IFERROR(DIVIDE(VLOOKUP($B969,Data!$B$3:$AB$1535,9,FALSE),VLOOKUP($B969,Data!$B$3:$AB$1535,4,FALSE)),"")</f>
        <v>0.3312693498</v>
      </c>
      <c r="D969" s="48">
        <f>IFERROR(DIVIDE(VLOOKUP($B969,Data!$B$3:$AB$1535,24,FALSE),VLOOKUP($B969,Data!$B$3:$AB$1535,4,FALSE)),"")</f>
        <v>0.1780185759</v>
      </c>
      <c r="E969" s="48">
        <f>IFERROR(DIVIDE(VLOOKUP($B969,Data!$B$3:$EZ1530,29,FALSE),VLOOKUP($B969,Data!$B$3:$EZ1530,4,FALSE)),"")</f>
        <v>0.1410789474</v>
      </c>
      <c r="F969" s="48">
        <f>IFERROR(DIVIDE(VLOOKUP($B969,Data!$B$3:$EZ1530,34,FALSE),VLOOKUP($B969,Data!$B$3:$EZ1530,4,FALSE)),"")</f>
        <v>0.2801857585</v>
      </c>
      <c r="G969" s="48">
        <f>IFERROR(DIVIDE(VLOOKUP($B969,Data!$B$3:$EZ1530,39,FALSE),VLOOKUP($B969,Data!$B$3:$EZ1530,4,FALSE)),"")</f>
        <v>0.143998452</v>
      </c>
      <c r="H969" s="48">
        <f>IFERROR(DIVIDE(VLOOKUP($B969,Data!$B$3:$EZ1530,44,FALSE),VLOOKUP($B969,Data!$B$3:$EZ1530,4,FALSE)),"")</f>
        <v>0.2817337461</v>
      </c>
      <c r="I969" s="48">
        <f>IFERROR(MINUS(DIVIDE(VLOOKUP($B969,Data!$B$3:$EZ1530,9,FALSE),VLOOKUP($B969,Data!$B$3:$EZ1530,10,FALSE)),1),"")</f>
        <v>0.02392344498</v>
      </c>
      <c r="J969" s="48" t="str">
        <f>IFERROR(MINUS(DIVIDE(VLOOKUP($B969,Data!$B$3:$EZ1530,24,FALSE),VLOOKUP($B969,Data!$B$3:$EZ1530,25,FALSE)),1),"")</f>
        <v/>
      </c>
      <c r="K969" s="48">
        <f>IFERROR(MINUS(DIVIDE(VLOOKUP($B969,Data!$B$3:$EZ1530,29,FALSE),VLOOKUP($B969,Data!$B$3:$EZ1530,30,FALSE)),1),"")</f>
        <v>-0.05977447875</v>
      </c>
      <c r="L969" s="48">
        <f>IFERROR(MINUS(DIVIDE(VLOOKUP($B969,Data!$B$3:$EZ1530,34,FALSE),VLOOKUP($B969,Data!$B$3:$EZ1530,35,FALSE)),1),"")</f>
        <v>0.03428571429</v>
      </c>
      <c r="M969" s="48">
        <f>IFERROR(MINUS(DIVIDE(VLOOKUP($B969,Data!$B$3:$EZ1530,39,FALSE),VLOOKUP($B969,Data!$B$3:$EZ1530,40,FALSE)),1),"")</f>
        <v>-0.02577395166</v>
      </c>
      <c r="N969" s="48">
        <f>IFERROR(MINUS(DIVIDE(VLOOKUP($B969,Data!$B$3:$EZ1530,44,FALSE),VLOOKUP($B969,Data!$B$3:$EZ1530,45,FALSE)),1),"")</f>
        <v>-0.125</v>
      </c>
      <c r="O969" s="50">
        <f>IFERROR(VLOOKUP($B969,Data!$B$3:$D1530,2,FALSE),"")</f>
        <v>4280000</v>
      </c>
      <c r="P969" s="50">
        <f>IFERROR(VLOOKUP($B969,Data!$B$3:$D1530,3,FALSE),"")</f>
        <v>1790000</v>
      </c>
      <c r="Q969" s="48">
        <f t="shared" si="2"/>
        <v>1.391061453</v>
      </c>
      <c r="R969" s="48"/>
      <c r="S969" s="48"/>
      <c r="T969" s="48"/>
      <c r="U969" s="48"/>
      <c r="V969" s="48"/>
      <c r="W969" s="50"/>
      <c r="Z969" s="11"/>
      <c r="AA969" s="11"/>
    </row>
    <row r="970">
      <c r="A970" s="9">
        <f t="shared" si="1"/>
        <v>967</v>
      </c>
      <c r="B970" s="47" t="s">
        <v>1104</v>
      </c>
      <c r="C970" s="48" t="str">
        <f>IFERROR(DIVIDE(VLOOKUP($B970,Data!$B$3:$AB$1535,9,FALSE),VLOOKUP($B970,Data!$B$3:$AB$1535,4,FALSE)),"")</f>
        <v/>
      </c>
      <c r="D970" s="48" t="str">
        <f>IFERROR(DIVIDE(VLOOKUP($B970,Data!$B$3:$AB$1535,24,FALSE),VLOOKUP($B970,Data!$B$3:$AB$1535,4,FALSE)),"")</f>
        <v/>
      </c>
      <c r="E970" s="48" t="str">
        <f>IFERROR(DIVIDE(VLOOKUP($B970,Data!$B$3:$EZ1530,29,FALSE),VLOOKUP($B970,Data!$B$3:$EZ1530,4,FALSE)),"")</f>
        <v/>
      </c>
      <c r="F970" s="48" t="str">
        <f>IFERROR(DIVIDE(VLOOKUP($B970,Data!$B$3:$EZ1530,34,FALSE),VLOOKUP($B970,Data!$B$3:$EZ1530,4,FALSE)),"")</f>
        <v/>
      </c>
      <c r="G970" s="48" t="str">
        <f>IFERROR(DIVIDE(VLOOKUP($B970,Data!$B$3:$EZ1530,39,FALSE),VLOOKUP($B970,Data!$B$3:$EZ1530,4,FALSE)),"")</f>
        <v/>
      </c>
      <c r="H970" s="48" t="str">
        <f>IFERROR(DIVIDE(VLOOKUP($B970,Data!$B$3:$EZ1530,44,FALSE),VLOOKUP($B970,Data!$B$3:$EZ1530,4,FALSE)),"")</f>
        <v/>
      </c>
      <c r="I970" s="48">
        <f>IFERROR(MINUS(DIVIDE(VLOOKUP($B970,Data!$B$3:$EZ1530,9,FALSE),VLOOKUP($B970,Data!$B$3:$EZ1530,10,FALSE)),1),"")</f>
        <v>0.8505050505</v>
      </c>
      <c r="J970" s="48" t="str">
        <f>IFERROR(MINUS(DIVIDE(VLOOKUP($B970,Data!$B$3:$EZ1530,24,FALSE),VLOOKUP($B970,Data!$B$3:$EZ1530,25,FALSE)),1),"")</f>
        <v/>
      </c>
      <c r="K970" s="48">
        <f>IFERROR(MINUS(DIVIDE(VLOOKUP($B970,Data!$B$3:$EZ1530,29,FALSE),VLOOKUP($B970,Data!$B$3:$EZ1530,30,FALSE)),1),"")</f>
        <v>0.3582399336</v>
      </c>
      <c r="L970" s="48">
        <f>IFERROR(MINUS(DIVIDE(VLOOKUP($B970,Data!$B$3:$EZ1530,34,FALSE),VLOOKUP($B970,Data!$B$3:$EZ1530,35,FALSE)),1),"")</f>
        <v>0.101800554</v>
      </c>
      <c r="M970" s="48">
        <f>IFERROR(MINUS(DIVIDE(VLOOKUP($B970,Data!$B$3:$EZ1530,39,FALSE),VLOOKUP($B970,Data!$B$3:$EZ1530,40,FALSE)),1),"")</f>
        <v>0.4807588076</v>
      </c>
      <c r="N970" s="48">
        <f>IFERROR(MINUS(DIVIDE(VLOOKUP($B970,Data!$B$3:$EZ1530,44,FALSE),VLOOKUP($B970,Data!$B$3:$EZ1530,45,FALSE)),1),"")</f>
        <v>0.932</v>
      </c>
      <c r="O970" s="50" t="str">
        <f>IFERROR(VLOOKUP($B970,Data!$B$3:$D1530,2,FALSE),"")</f>
        <v/>
      </c>
      <c r="P970" s="50" t="str">
        <f>IFERROR(VLOOKUP($B970,Data!$B$3:$D1530,3,FALSE),"")</f>
        <v/>
      </c>
      <c r="Q970" s="48" t="str">
        <f t="shared" si="2"/>
        <v/>
      </c>
      <c r="R970" s="48"/>
      <c r="S970" s="48"/>
      <c r="T970" s="48"/>
      <c r="U970" s="48"/>
      <c r="V970" s="48"/>
      <c r="W970" s="50"/>
      <c r="Z970" s="12"/>
      <c r="AA970" s="12"/>
    </row>
    <row r="971">
      <c r="A971" s="9">
        <f t="shared" si="1"/>
        <v>968</v>
      </c>
      <c r="B971" s="47" t="s">
        <v>1105</v>
      </c>
      <c r="C971" s="48">
        <f>IFERROR(DIVIDE(VLOOKUP($B971,Data!$B$3:$AB$1535,9,FALSE),VLOOKUP($B971,Data!$B$3:$AB$1535,4,FALSE)),"")</f>
        <v>0.1233321079</v>
      </c>
      <c r="D971" s="48">
        <f>IFERROR(DIVIDE(VLOOKUP($B971,Data!$B$3:$AB$1535,24,FALSE),VLOOKUP($B971,Data!$B$3:$AB$1535,4,FALSE)),"")</f>
        <v>0.01444605437</v>
      </c>
      <c r="E971" s="48">
        <f>IFERROR(DIVIDE(VLOOKUP($B971,Data!$B$3:$EZ1530,29,FALSE),VLOOKUP($B971,Data!$B$3:$EZ1530,4,FALSE)),"")</f>
        <v>0.003784520231</v>
      </c>
      <c r="F971" s="48">
        <f>IFERROR(DIVIDE(VLOOKUP($B971,Data!$B$3:$EZ1530,34,FALSE),VLOOKUP($B971,Data!$B$3:$EZ1530,4,FALSE)),"")</f>
        <v>0.07713933522</v>
      </c>
      <c r="G971" s="48">
        <f>IFERROR(DIVIDE(VLOOKUP($B971,Data!$B$3:$EZ1530,39,FALSE),VLOOKUP($B971,Data!$B$3:$EZ1530,4,FALSE)),"")</f>
        <v>0.003568261932</v>
      </c>
      <c r="H971" s="48">
        <f>IFERROR(DIVIDE(VLOOKUP($B971,Data!$B$3:$EZ1530,44,FALSE),VLOOKUP($B971,Data!$B$3:$EZ1530,4,FALSE)),"")</f>
        <v>0.06500724465</v>
      </c>
      <c r="I971" s="48">
        <f>IFERROR(MINUS(DIVIDE(VLOOKUP($B971,Data!$B$3:$EZ1530,9,FALSE),VLOOKUP($B971,Data!$B$3:$EZ1530,10,FALSE)),1),"")</f>
        <v>0.1514233798</v>
      </c>
      <c r="J971" s="48">
        <f>IFERROR(MINUS(DIVIDE(VLOOKUP($B971,Data!$B$3:$EZ1530,24,FALSE),VLOOKUP($B971,Data!$B$3:$EZ1530,25,FALSE)),1),"")</f>
        <v>-3.394265233</v>
      </c>
      <c r="K971" s="48">
        <f>IFERROR(MINUS(DIVIDE(VLOOKUP($B971,Data!$B$3:$EZ1530,29,FALSE),VLOOKUP($B971,Data!$B$3:$EZ1530,30,FALSE)),1),"")</f>
        <v>-1.201380898</v>
      </c>
      <c r="L971" s="48">
        <f>IFERROR(MINUS(DIVIDE(VLOOKUP($B971,Data!$B$3:$EZ1530,34,FALSE),VLOOKUP($B971,Data!$B$3:$EZ1530,35,FALSE)),1),"")</f>
        <v>0.1886037987</v>
      </c>
      <c r="M971" s="48">
        <f>IFERROR(MINUS(DIVIDE(VLOOKUP($B971,Data!$B$3:$EZ1530,39,FALSE),VLOOKUP($B971,Data!$B$3:$EZ1530,40,FALSE)),1),"")</f>
        <v>-1.19549763</v>
      </c>
      <c r="N971" s="48">
        <f>IFERROR(MINUS(DIVIDE(VLOOKUP($B971,Data!$B$3:$EZ1530,44,FALSE),VLOOKUP($B971,Data!$B$3:$EZ1530,45,FALSE)),1),"")</f>
        <v>4.618691589</v>
      </c>
      <c r="O971" s="50">
        <f>IFERROR(VLOOKUP($B971,Data!$B$3:$D1530,2,FALSE),"")</f>
        <v>442390</v>
      </c>
      <c r="P971" s="50">
        <f>IFERROR(VLOOKUP($B971,Data!$B$3:$D1530,3,FALSE),"")</f>
        <v>379900</v>
      </c>
      <c r="Q971" s="48">
        <f t="shared" si="2"/>
        <v>0.1644906554</v>
      </c>
      <c r="R971" s="48"/>
      <c r="S971" s="48"/>
      <c r="T971" s="48"/>
      <c r="U971" s="48"/>
      <c r="V971" s="48"/>
      <c r="W971" s="50"/>
      <c r="Z971" s="15"/>
      <c r="AA971" s="15"/>
    </row>
    <row r="972">
      <c r="A972" s="9">
        <f t="shared" si="1"/>
        <v>969</v>
      </c>
      <c r="B972" s="47" t="s">
        <v>1106</v>
      </c>
      <c r="C972" s="48">
        <f>IFERROR(DIVIDE(VLOOKUP($B972,Data!$B$3:$AB$1535,9,FALSE),VLOOKUP($B972,Data!$B$3:$AB$1535,4,FALSE)),"")</f>
        <v>0.2076053443</v>
      </c>
      <c r="D972" s="48">
        <f>IFERROR(DIVIDE(VLOOKUP($B972,Data!$B$3:$AB$1535,24,FALSE),VLOOKUP($B972,Data!$B$3:$AB$1535,4,FALSE)),"")</f>
        <v>0.1541623844</v>
      </c>
      <c r="E972" s="48">
        <f>IFERROR(DIVIDE(VLOOKUP($B972,Data!$B$3:$EZ1530,29,FALSE),VLOOKUP($B972,Data!$B$3:$EZ1530,4,FALSE)),"")</f>
        <v>0.3792394656</v>
      </c>
      <c r="F972" s="48">
        <f>IFERROR(DIVIDE(VLOOKUP($B972,Data!$B$3:$EZ1530,34,FALSE),VLOOKUP($B972,Data!$B$3:$EZ1530,4,FALSE)),"")</f>
        <v>0.3864337102</v>
      </c>
      <c r="G972" s="48">
        <f>IFERROR(DIVIDE(VLOOKUP($B972,Data!$B$3:$EZ1530,39,FALSE),VLOOKUP($B972,Data!$B$3:$EZ1530,4,FALSE)),"")</f>
        <v>0.295991778</v>
      </c>
      <c r="H972" s="48">
        <f>IFERROR(DIVIDE(VLOOKUP($B972,Data!$B$3:$EZ1530,44,FALSE),VLOOKUP($B972,Data!$B$3:$EZ1530,4,FALSE)),"")</f>
        <v>0.2949640288</v>
      </c>
      <c r="I972" s="48">
        <f>IFERROR(MINUS(DIVIDE(VLOOKUP($B972,Data!$B$3:$EZ1530,9,FALSE),VLOOKUP($B972,Data!$B$3:$EZ1530,10,FALSE)),1),"")</f>
        <v>0.2704402516</v>
      </c>
      <c r="J972" s="48">
        <f>IFERROR(MINUS(DIVIDE(VLOOKUP($B972,Data!$B$3:$EZ1530,24,FALSE),VLOOKUP($B972,Data!$B$3:$EZ1530,25,FALSE)),1),"")</f>
        <v>1.092050209</v>
      </c>
      <c r="K972" s="48">
        <f>IFERROR(MINUS(DIVIDE(VLOOKUP($B972,Data!$B$3:$EZ1530,29,FALSE),VLOOKUP($B972,Data!$B$3:$EZ1530,30,FALSE)),1),"")</f>
        <v>4</v>
      </c>
      <c r="L972" s="48">
        <f>IFERROR(MINUS(DIVIDE(VLOOKUP($B972,Data!$B$3:$EZ1530,34,FALSE),VLOOKUP($B972,Data!$B$3:$EZ1530,35,FALSE)),1),"")</f>
        <v>0.46875</v>
      </c>
      <c r="M972" s="48">
        <f>IFERROR(MINUS(DIVIDE(VLOOKUP($B972,Data!$B$3:$EZ1530,39,FALSE),VLOOKUP($B972,Data!$B$3:$EZ1530,40,FALSE)),1),"")</f>
        <v>9.285714286</v>
      </c>
      <c r="N972" s="48">
        <f>IFERROR(MINUS(DIVIDE(VLOOKUP($B972,Data!$B$3:$EZ1530,44,FALSE),VLOOKUP($B972,Data!$B$3:$EZ1530,45,FALSE)),1),"")</f>
        <v>0.5683060109</v>
      </c>
      <c r="O972" s="50">
        <f>IFERROR(VLOOKUP($B972,Data!$B$3:$D1530,2,FALSE),"")</f>
        <v>12500000</v>
      </c>
      <c r="P972" s="50">
        <f>IFERROR(VLOOKUP($B972,Data!$B$3:$D1530,3,FALSE),"")</f>
        <v>11150000</v>
      </c>
      <c r="Q972" s="48">
        <f t="shared" si="2"/>
        <v>0.1210762332</v>
      </c>
      <c r="R972" s="48"/>
      <c r="S972" s="48"/>
      <c r="T972" s="48"/>
      <c r="U972" s="48"/>
      <c r="V972" s="48"/>
      <c r="W972" s="50"/>
      <c r="Z972" s="12"/>
      <c r="AA972" s="12"/>
    </row>
    <row r="973">
      <c r="A973" s="9">
        <f t="shared" si="1"/>
        <v>970</v>
      </c>
      <c r="B973" s="47" t="s">
        <v>1107</v>
      </c>
      <c r="C973" s="48">
        <f>IFERROR(DIVIDE(VLOOKUP($B973,Data!$B$3:$AB$1535,9,FALSE),VLOOKUP($B973,Data!$B$3:$AB$1535,4,FALSE)),"")</f>
        <v>0.4693784824</v>
      </c>
      <c r="D973" s="48">
        <f>IFERROR(DIVIDE(VLOOKUP($B973,Data!$B$3:$AB$1535,24,FALSE),VLOOKUP($B973,Data!$B$3:$AB$1535,4,FALSE)),"")</f>
        <v>0</v>
      </c>
      <c r="E973" s="48">
        <f>IFERROR(DIVIDE(VLOOKUP($B973,Data!$B$3:$EZ1530,29,FALSE),VLOOKUP($B973,Data!$B$3:$EZ1530,4,FALSE)),"")</f>
        <v>0.1729201043</v>
      </c>
      <c r="F973" s="48">
        <f>IFERROR(DIVIDE(VLOOKUP($B973,Data!$B$3:$EZ1530,34,FALSE),VLOOKUP($B973,Data!$B$3:$EZ1530,4,FALSE)),"")</f>
        <v>0.2054666762</v>
      </c>
      <c r="G973" s="48">
        <f>IFERROR(DIVIDE(VLOOKUP($B973,Data!$B$3:$EZ1530,39,FALSE),VLOOKUP($B973,Data!$B$3:$EZ1530,4,FALSE)),"")</f>
        <v>0.1422388024</v>
      </c>
      <c r="H973" s="48">
        <f>IFERROR(DIVIDE(VLOOKUP($B973,Data!$B$3:$EZ1530,44,FALSE),VLOOKUP($B973,Data!$B$3:$EZ1530,4,FALSE)),"")</f>
        <v>0</v>
      </c>
      <c r="I973" s="48">
        <f>IFERROR(MINUS(DIVIDE(VLOOKUP($B973,Data!$B$3:$EZ1530,9,FALSE),VLOOKUP($B973,Data!$B$3:$EZ1530,10,FALSE)),1),"")</f>
        <v>0.02271779908</v>
      </c>
      <c r="J973" s="48">
        <f>IFERROR(MINUS(DIVIDE(VLOOKUP($B973,Data!$B$3:$EZ1530,24,FALSE),VLOOKUP($B973,Data!$B$3:$EZ1530,25,FALSE)),1),"")</f>
        <v>-1</v>
      </c>
      <c r="K973" s="48">
        <f>IFERROR(MINUS(DIVIDE(VLOOKUP($B973,Data!$B$3:$EZ1530,29,FALSE),VLOOKUP($B973,Data!$B$3:$EZ1530,30,FALSE)),1),"")</f>
        <v>-0.008908991228</v>
      </c>
      <c r="L973" s="48">
        <f>IFERROR(MINUS(DIVIDE(VLOOKUP($B973,Data!$B$3:$EZ1530,34,FALSE),VLOOKUP($B973,Data!$B$3:$EZ1530,35,FALSE)),1),"")</f>
        <v>0.002333177788</v>
      </c>
      <c r="M973" s="48">
        <f>IFERROR(MINUS(DIVIDE(VLOOKUP($B973,Data!$B$3:$EZ1530,39,FALSE),VLOOKUP($B973,Data!$B$3:$EZ1530,40,FALSE)),1),"")</f>
        <v>-0.01163177135</v>
      </c>
      <c r="N973" s="48">
        <f>IFERROR(MINUS(DIVIDE(VLOOKUP($B973,Data!$B$3:$EZ1530,44,FALSE),VLOOKUP($B973,Data!$B$3:$EZ1530,45,FALSE)),1),"")</f>
        <v>-1</v>
      </c>
      <c r="O973" s="50">
        <f>IFERROR(VLOOKUP($B973,Data!$B$3:$D1530,2,FALSE),"")</f>
        <v>496930</v>
      </c>
      <c r="P973" s="50">
        <f>IFERROR(VLOOKUP($B973,Data!$B$3:$D1530,3,FALSE),"")</f>
        <v>447810</v>
      </c>
      <c r="Q973" s="48">
        <f t="shared" si="2"/>
        <v>0.1096893772</v>
      </c>
      <c r="R973" s="48"/>
      <c r="S973" s="48"/>
      <c r="T973" s="48"/>
      <c r="U973" s="48"/>
      <c r="V973" s="48"/>
      <c r="W973" s="50"/>
      <c r="Z973" s="15"/>
      <c r="AA973" s="15"/>
    </row>
    <row r="974">
      <c r="A974" s="9">
        <f t="shared" si="1"/>
        <v>971</v>
      </c>
      <c r="B974" s="47" t="s">
        <v>1108</v>
      </c>
      <c r="C974" s="48" t="str">
        <f>IFERROR(DIVIDE(VLOOKUP($B974,Data!$B$3:$AB$1535,9,FALSE),VLOOKUP($B974,Data!$B$3:$AB$1535,4,FALSE)),"")</f>
        <v/>
      </c>
      <c r="D974" s="48" t="str">
        <f>IFERROR(DIVIDE(VLOOKUP($B974,Data!$B$3:$AB$1535,24,FALSE),VLOOKUP($B974,Data!$B$3:$AB$1535,4,FALSE)),"")</f>
        <v/>
      </c>
      <c r="E974" s="48" t="str">
        <f>IFERROR(DIVIDE(VLOOKUP($B974,Data!$B$3:$EZ1530,29,FALSE),VLOOKUP($B974,Data!$B$3:$EZ1530,4,FALSE)),"")</f>
        <v/>
      </c>
      <c r="F974" s="48" t="str">
        <f>IFERROR(DIVIDE(VLOOKUP($B974,Data!$B$3:$EZ1530,34,FALSE),VLOOKUP($B974,Data!$B$3:$EZ1530,4,FALSE)),"")</f>
        <v/>
      </c>
      <c r="G974" s="48" t="str">
        <f>IFERROR(DIVIDE(VLOOKUP($B974,Data!$B$3:$EZ1530,39,FALSE),VLOOKUP($B974,Data!$B$3:$EZ1530,4,FALSE)),"")</f>
        <v/>
      </c>
      <c r="H974" s="48" t="str">
        <f>IFERROR(DIVIDE(VLOOKUP($B974,Data!$B$3:$EZ1530,44,FALSE),VLOOKUP($B974,Data!$B$3:$EZ1530,4,FALSE)),"")</f>
        <v/>
      </c>
      <c r="I974" s="48">
        <f>IFERROR(MINUS(DIVIDE(VLOOKUP($B974,Data!$B$3:$EZ1530,9,FALSE),VLOOKUP($B974,Data!$B$3:$EZ1530,10,FALSE)),1),"")</f>
        <v>8.529411765</v>
      </c>
      <c r="J974" s="48" t="str">
        <f>IFERROR(MINUS(DIVIDE(VLOOKUP($B974,Data!$B$3:$EZ1530,24,FALSE),VLOOKUP($B974,Data!$B$3:$EZ1530,25,FALSE)),1),"")</f>
        <v/>
      </c>
      <c r="K974" s="48">
        <f>IFERROR(MINUS(DIVIDE(VLOOKUP($B974,Data!$B$3:$EZ1530,29,FALSE),VLOOKUP($B974,Data!$B$3:$EZ1530,30,FALSE)),1),"")</f>
        <v>0.4837552322</v>
      </c>
      <c r="L974" s="48">
        <f>IFERROR(MINUS(DIVIDE(VLOOKUP($B974,Data!$B$3:$EZ1530,34,FALSE),VLOOKUP($B974,Data!$B$3:$EZ1530,35,FALSE)),1),"")</f>
        <v>0.09649970992</v>
      </c>
      <c r="M974" s="48">
        <f>IFERROR(MINUS(DIVIDE(VLOOKUP($B974,Data!$B$3:$EZ1530,39,FALSE),VLOOKUP($B974,Data!$B$3:$EZ1530,40,FALSE)),1),"")</f>
        <v>0.4387083915</v>
      </c>
      <c r="N974" s="48">
        <f>IFERROR(MINUS(DIVIDE(VLOOKUP($B974,Data!$B$3:$EZ1530,44,FALSE),VLOOKUP($B974,Data!$B$3:$EZ1530,45,FALSE)),1),"")</f>
        <v>0.03242727706</v>
      </c>
      <c r="O974" s="50" t="str">
        <f>IFERROR(VLOOKUP($B974,Data!$B$3:$D1530,2,FALSE),"")</f>
        <v/>
      </c>
      <c r="P974" s="50">
        <f>IFERROR(VLOOKUP($B974,Data!$B$3:$D1530,3,FALSE),"")</f>
        <v>41190</v>
      </c>
      <c r="Q974" s="48">
        <f t="shared" si="2"/>
        <v>-1</v>
      </c>
      <c r="R974" s="48"/>
      <c r="S974" s="48"/>
      <c r="T974" s="48"/>
      <c r="U974" s="48"/>
      <c r="V974" s="48"/>
      <c r="W974" s="50"/>
      <c r="Z974" s="15"/>
      <c r="AA974" s="15"/>
    </row>
    <row r="975">
      <c r="A975" s="9">
        <f t="shared" si="1"/>
        <v>972</v>
      </c>
      <c r="B975" s="47" t="s">
        <v>1109</v>
      </c>
      <c r="C975" s="48">
        <f>IFERROR(DIVIDE(VLOOKUP($B975,Data!$B$3:$AB$1535,9,FALSE),VLOOKUP($B975,Data!$B$3:$AB$1535,4,FALSE)),"")</f>
        <v>0.2876118721</v>
      </c>
      <c r="D975" s="48">
        <f>IFERROR(DIVIDE(VLOOKUP($B975,Data!$B$3:$AB$1535,24,FALSE),VLOOKUP($B975,Data!$B$3:$AB$1535,4,FALSE)),"")</f>
        <v>0</v>
      </c>
      <c r="E975" s="48">
        <f>IFERROR(DIVIDE(VLOOKUP($B975,Data!$B$3:$EZ1530,29,FALSE),VLOOKUP($B975,Data!$B$3:$EZ1530,4,FALSE)),"")</f>
        <v>0.1514109589</v>
      </c>
      <c r="F975" s="48">
        <f>IFERROR(DIVIDE(VLOOKUP($B975,Data!$B$3:$EZ1530,34,FALSE),VLOOKUP($B975,Data!$B$3:$EZ1530,4,FALSE)),"")</f>
        <v>0.2072511416</v>
      </c>
      <c r="G975" s="48">
        <f>IFERROR(DIVIDE(VLOOKUP($B975,Data!$B$3:$EZ1530,39,FALSE),VLOOKUP($B975,Data!$B$3:$EZ1530,4,FALSE)),"")</f>
        <v>0.115913242</v>
      </c>
      <c r="H975" s="48">
        <f>IFERROR(DIVIDE(VLOOKUP($B975,Data!$B$3:$EZ1530,44,FALSE),VLOOKUP($B975,Data!$B$3:$EZ1530,4,FALSE)),"")</f>
        <v>0.1615114155</v>
      </c>
      <c r="I975" s="48">
        <f>IFERROR(MINUS(DIVIDE(VLOOKUP($B975,Data!$B$3:$EZ1530,9,FALSE),VLOOKUP($B975,Data!$B$3:$EZ1530,10,FALSE)),1),"")</f>
        <v>0.07603867705</v>
      </c>
      <c r="J975" s="48" t="str">
        <f>IFERROR(MINUS(DIVIDE(VLOOKUP($B975,Data!$B$3:$EZ1530,24,FALSE),VLOOKUP($B975,Data!$B$3:$EZ1530,25,FALSE)),1),"")</f>
        <v/>
      </c>
      <c r="K975" s="48">
        <f>IFERROR(MINUS(DIVIDE(VLOOKUP($B975,Data!$B$3:$EZ1530,29,FALSE),VLOOKUP($B975,Data!$B$3:$EZ1530,30,FALSE)),1),"")</f>
        <v>0.1422715216</v>
      </c>
      <c r="L975" s="48">
        <f>IFERROR(MINUS(DIVIDE(VLOOKUP($B975,Data!$B$3:$EZ1530,34,FALSE),VLOOKUP($B975,Data!$B$3:$EZ1530,35,FALSE)),1),"")</f>
        <v>0.1507238293</v>
      </c>
      <c r="M975" s="48">
        <f>IFERROR(MINUS(DIVIDE(VLOOKUP($B975,Data!$B$3:$EZ1530,39,FALSE),VLOOKUP($B975,Data!$B$3:$EZ1530,40,FALSE)),1),"")</f>
        <v>0.08362503202</v>
      </c>
      <c r="N975" s="48">
        <f>IFERROR(MINUS(DIVIDE(VLOOKUP($B975,Data!$B$3:$EZ1530,44,FALSE),VLOOKUP($B975,Data!$B$3:$EZ1530,45,FALSE)),1),"")</f>
        <v>0.7872265171</v>
      </c>
      <c r="O975" s="50">
        <f>IFERROR(VLOOKUP($B975,Data!$B$3:$D1530,2,FALSE),"")</f>
        <v>2250000</v>
      </c>
      <c r="P975" s="50" t="str">
        <f>IFERROR(VLOOKUP($B975,Data!$B$3:$D1530,3,FALSE),"")</f>
        <v/>
      </c>
      <c r="Q975" s="48" t="str">
        <f t="shared" si="2"/>
        <v/>
      </c>
      <c r="R975" s="48"/>
      <c r="S975" s="48"/>
      <c r="T975" s="48"/>
      <c r="U975" s="48"/>
      <c r="V975" s="48"/>
      <c r="W975" s="50"/>
      <c r="Z975" s="11"/>
      <c r="AA975" s="11"/>
    </row>
    <row r="976">
      <c r="A976" s="9">
        <f t="shared" si="1"/>
        <v>973</v>
      </c>
      <c r="B976" s="47" t="s">
        <v>1110</v>
      </c>
      <c r="C976" s="48">
        <f>IFERROR(DIVIDE(VLOOKUP($B976,Data!$B$3:$AB$1535,9,FALSE),VLOOKUP($B976,Data!$B$3:$AB$1535,4,FALSE)),"")</f>
        <v>0.1156652361</v>
      </c>
      <c r="D976" s="48">
        <f>IFERROR(DIVIDE(VLOOKUP($B976,Data!$B$3:$AB$1535,24,FALSE),VLOOKUP($B976,Data!$B$3:$AB$1535,4,FALSE)),"")</f>
        <v>-0.03843347639</v>
      </c>
      <c r="E976" s="48">
        <f>IFERROR(DIVIDE(VLOOKUP($B976,Data!$B$3:$EZ1530,29,FALSE),VLOOKUP($B976,Data!$B$3:$EZ1530,4,FALSE)),"")</f>
        <v>-0.09265236052</v>
      </c>
      <c r="F976" s="48">
        <f>IFERROR(DIVIDE(VLOOKUP($B976,Data!$B$3:$EZ1530,34,FALSE),VLOOKUP($B976,Data!$B$3:$EZ1530,4,FALSE)),"")</f>
        <v>0.1597553648</v>
      </c>
      <c r="G976" s="48">
        <f>IFERROR(DIVIDE(VLOOKUP($B976,Data!$B$3:$EZ1530,39,FALSE),VLOOKUP($B976,Data!$B$3:$EZ1530,4,FALSE)),"")</f>
        <v>-0.06293133047</v>
      </c>
      <c r="H976" s="48">
        <f>IFERROR(DIVIDE(VLOOKUP($B976,Data!$B$3:$EZ1530,44,FALSE),VLOOKUP($B976,Data!$B$3:$EZ1530,4,FALSE)),"")</f>
        <v>0.05271244635</v>
      </c>
      <c r="I976" s="48">
        <f>IFERROR(MINUS(DIVIDE(VLOOKUP($B976,Data!$B$3:$EZ1530,9,FALSE),VLOOKUP($B976,Data!$B$3:$EZ1530,10,FALSE)),1),"")</f>
        <v>-0.4280560272</v>
      </c>
      <c r="J976" s="48">
        <f>IFERROR(MINUS(DIVIDE(VLOOKUP($B976,Data!$B$3:$EZ1530,24,FALSE),VLOOKUP($B976,Data!$B$3:$EZ1530,25,FALSE)),1),"")</f>
        <v>-1.231096774</v>
      </c>
      <c r="K976" s="48">
        <f>IFERROR(MINUS(DIVIDE(VLOOKUP($B976,Data!$B$3:$EZ1530,29,FALSE),VLOOKUP($B976,Data!$B$3:$EZ1530,30,FALSE)),1),"")</f>
        <v>-2.636694466</v>
      </c>
      <c r="L976" s="48">
        <f>IFERROR(MINUS(DIVIDE(VLOOKUP($B976,Data!$B$3:$EZ1530,34,FALSE),VLOOKUP($B976,Data!$B$3:$EZ1530,35,FALSE)),1),"")</f>
        <v>-0.4007405619</v>
      </c>
      <c r="M976" s="48">
        <f>IFERROR(MINUS(DIVIDE(VLOOKUP($B976,Data!$B$3:$EZ1530,39,FALSE),VLOOKUP($B976,Data!$B$3:$EZ1530,40,FALSE)),1),"")</f>
        <v>-2.95872295</v>
      </c>
      <c r="N976" s="48">
        <f>IFERROR(MINUS(DIVIDE(VLOOKUP($B976,Data!$B$3:$EZ1530,44,FALSE),VLOOKUP($B976,Data!$B$3:$EZ1530,45,FALSE)),1),"")</f>
        <v>-0.6836248422</v>
      </c>
      <c r="O976" s="50">
        <f>IFERROR(VLOOKUP($B976,Data!$B$3:$D1530,2,FALSE),"")</f>
        <v>2060000</v>
      </c>
      <c r="P976" s="50">
        <f>IFERROR(VLOOKUP($B976,Data!$B$3:$D1530,3,FALSE),"")</f>
        <v>1640000</v>
      </c>
      <c r="Q976" s="48">
        <f t="shared" si="2"/>
        <v>0.256097561</v>
      </c>
      <c r="R976" s="48"/>
      <c r="S976" s="48"/>
      <c r="T976" s="48"/>
      <c r="U976" s="48"/>
      <c r="V976" s="48"/>
      <c r="W976" s="50"/>
      <c r="Z976" s="12"/>
      <c r="AA976" s="11"/>
    </row>
    <row r="977">
      <c r="A977" s="9">
        <f t="shared" si="1"/>
        <v>974</v>
      </c>
      <c r="B977" s="55" t="s">
        <v>1111</v>
      </c>
      <c r="C977" s="48" t="str">
        <f>IFERROR(DIVIDE(VLOOKUP($B977,Data!$B$3:$AB$1535,9,FALSE),VLOOKUP($B977,Data!$B$3:$AB$1535,4,FALSE)),"")</f>
        <v/>
      </c>
      <c r="D977" s="48" t="str">
        <f>IFERROR(DIVIDE(VLOOKUP($B977,Data!$B$3:$AB$1535,24,FALSE),VLOOKUP($B977,Data!$B$3:$AB$1535,4,FALSE)),"")</f>
        <v/>
      </c>
      <c r="E977" s="48" t="str">
        <f>IFERROR(DIVIDE(VLOOKUP($B977,Data!$B$3:$EZ1530,29,FALSE),VLOOKUP($B977,Data!$B$3:$EZ1530,4,FALSE)),"")</f>
        <v/>
      </c>
      <c r="F977" s="48" t="str">
        <f>IFERROR(DIVIDE(VLOOKUP($B977,Data!$B$3:$EZ1530,34,FALSE),VLOOKUP($B977,Data!$B$3:$EZ1530,4,FALSE)),"")</f>
        <v/>
      </c>
      <c r="G977" s="48" t="str">
        <f>IFERROR(DIVIDE(VLOOKUP($B977,Data!$B$3:$EZ1530,39,FALSE),VLOOKUP($B977,Data!$B$3:$EZ1530,4,FALSE)),"")</f>
        <v/>
      </c>
      <c r="H977" s="48" t="str">
        <f>IFERROR(DIVIDE(VLOOKUP($B977,Data!$B$3:$EZ1530,44,FALSE),VLOOKUP($B977,Data!$B$3:$EZ1530,4,FALSE)),"")</f>
        <v/>
      </c>
      <c r="I977" s="48" t="str">
        <f>IFERROR(MINUS(DIVIDE(VLOOKUP($B977,Data!$B$3:$EZ1530,9,FALSE),VLOOKUP($B977,Data!$B$3:$EZ1530,10,FALSE)),1),"")</f>
        <v/>
      </c>
      <c r="J977" s="48">
        <f>IFERROR(MINUS(DIVIDE(VLOOKUP($B977,Data!$B$3:$EZ1530,24,FALSE),VLOOKUP($B977,Data!$B$3:$EZ1530,25,FALSE)),1),"")</f>
        <v>-0.1001251564</v>
      </c>
      <c r="K977" s="48">
        <f>IFERROR(MINUS(DIVIDE(VLOOKUP($B977,Data!$B$3:$EZ1530,29,FALSE),VLOOKUP($B977,Data!$B$3:$EZ1530,30,FALSE)),1),"")</f>
        <v>-0.4679519279</v>
      </c>
      <c r="L977" s="48">
        <f>IFERROR(MINUS(DIVIDE(VLOOKUP($B977,Data!$B$3:$EZ1530,34,FALSE),VLOOKUP($B977,Data!$B$3:$EZ1530,35,FALSE)),1),"")</f>
        <v>-0.09140461216</v>
      </c>
      <c r="M977" s="48">
        <f>IFERROR(MINUS(DIVIDE(VLOOKUP($B977,Data!$B$3:$EZ1530,39,FALSE),VLOOKUP($B977,Data!$B$3:$EZ1530,40,FALSE)),1),"")</f>
        <v>-0.09182668636</v>
      </c>
      <c r="N977" s="48">
        <f>IFERROR(MINUS(DIVIDE(VLOOKUP($B977,Data!$B$3:$EZ1530,44,FALSE),VLOOKUP($B977,Data!$B$3:$EZ1530,45,FALSE)),1),"")</f>
        <v>-0.393442623</v>
      </c>
      <c r="O977" s="50" t="str">
        <f>IFERROR(VLOOKUP($B977,Data!$B$3:$D1530,2,FALSE),"")</f>
        <v/>
      </c>
      <c r="P977" s="50" t="str">
        <f>IFERROR(VLOOKUP($B977,Data!$B$3:$D1530,3,FALSE),"")</f>
        <v/>
      </c>
      <c r="Q977" s="48" t="str">
        <f t="shared" si="2"/>
        <v/>
      </c>
      <c r="R977" s="48"/>
      <c r="S977" s="48"/>
      <c r="T977" s="48"/>
      <c r="U977" s="48"/>
      <c r="V977" s="48"/>
      <c r="W977" s="50"/>
      <c r="Z977" s="15"/>
      <c r="AA977" s="15"/>
    </row>
    <row r="978">
      <c r="A978" s="9">
        <f t="shared" si="1"/>
        <v>975</v>
      </c>
      <c r="B978" s="47" t="s">
        <v>1112</v>
      </c>
      <c r="C978" s="48">
        <f>IFERROR(DIVIDE(VLOOKUP($B978,Data!$B$3:$AB$1535,9,FALSE),VLOOKUP($B978,Data!$B$3:$AB$1535,4,FALSE)),"")</f>
        <v>0.01738529871</v>
      </c>
      <c r="D978" s="48">
        <f>IFERROR(DIVIDE(VLOOKUP($B978,Data!$B$3:$AB$1535,24,FALSE),VLOOKUP($B978,Data!$B$3:$AB$1535,4,FALSE)),"")</f>
        <v>-0.01943342979</v>
      </c>
      <c r="E978" s="48">
        <f>IFERROR(DIVIDE(VLOOKUP($B978,Data!$B$3:$EZ1530,29,FALSE),VLOOKUP($B978,Data!$B$3:$EZ1530,4,FALSE)),"")</f>
        <v>-0.1167672871</v>
      </c>
      <c r="F978" s="48">
        <f>IFERROR(DIVIDE(VLOOKUP($B978,Data!$B$3:$EZ1530,34,FALSE),VLOOKUP($B978,Data!$B$3:$EZ1530,4,FALSE)),"")</f>
        <v>0.3747841722</v>
      </c>
      <c r="G978" s="48">
        <f>IFERROR(DIVIDE(VLOOKUP($B978,Data!$B$3:$EZ1530,39,FALSE),VLOOKUP($B978,Data!$B$3:$EZ1530,4,FALSE)),"")</f>
        <v>-0.1161361769</v>
      </c>
      <c r="H978" s="48">
        <f>IFERROR(DIVIDE(VLOOKUP($B978,Data!$B$3:$EZ1530,44,FALSE),VLOOKUP($B978,Data!$B$3:$EZ1530,4,FALSE)),"")</f>
        <v>0.3343335834</v>
      </c>
      <c r="I978" s="48">
        <f>IFERROR(MINUS(DIVIDE(VLOOKUP($B978,Data!$B$3:$EZ1530,9,FALSE),VLOOKUP($B978,Data!$B$3:$EZ1530,10,FALSE)),1),"")</f>
        <v>-0.6232258065</v>
      </c>
      <c r="J978" s="48">
        <f>IFERROR(MINUS(DIVIDE(VLOOKUP($B978,Data!$B$3:$EZ1530,24,FALSE),VLOOKUP($B978,Data!$B$3:$EZ1530,25,FALSE)),1),"")</f>
        <v>-0.988</v>
      </c>
      <c r="K978" s="48">
        <f>IFERROR(MINUS(DIVIDE(VLOOKUP($B978,Data!$B$3:$EZ1530,29,FALSE),VLOOKUP($B978,Data!$B$3:$EZ1530,30,FALSE)),1),"")</f>
        <v>-0.930943662</v>
      </c>
      <c r="L978" s="48">
        <f>IFERROR(MINUS(DIVIDE(VLOOKUP($B978,Data!$B$3:$EZ1530,34,FALSE),VLOOKUP($B978,Data!$B$3:$EZ1530,35,FALSE)),1),"")</f>
        <v>-0.03064461486</v>
      </c>
      <c r="M978" s="48">
        <f>IFERROR(MINUS(DIVIDE(VLOOKUP($B978,Data!$B$3:$EZ1530,39,FALSE),VLOOKUP($B978,Data!$B$3:$EZ1530,40,FALSE)),1),"")</f>
        <v>-0.9308297872</v>
      </c>
      <c r="N978" s="48">
        <f>IFERROR(MINUS(DIVIDE(VLOOKUP($B978,Data!$B$3:$EZ1530,44,FALSE),VLOOKUP($B978,Data!$B$3:$EZ1530,45,FALSE)),1),"")</f>
        <v>0.1830861284</v>
      </c>
      <c r="O978" s="50">
        <f>IFERROR(VLOOKUP($B978,Data!$B$3:$D1530,2,FALSE),"")</f>
        <v>949420</v>
      </c>
      <c r="P978" s="50">
        <f>IFERROR(VLOOKUP($B978,Data!$B$3:$D1530,3,FALSE),"")</f>
        <v>731160</v>
      </c>
      <c r="Q978" s="48">
        <f t="shared" si="2"/>
        <v>0.2985119536</v>
      </c>
      <c r="R978" s="48"/>
      <c r="S978" s="48"/>
      <c r="T978" s="48"/>
      <c r="U978" s="48"/>
      <c r="V978" s="48"/>
      <c r="W978" s="50"/>
      <c r="Z978" s="15"/>
      <c r="AA978" s="15"/>
    </row>
    <row r="979">
      <c r="A979" s="9">
        <f t="shared" si="1"/>
        <v>976</v>
      </c>
      <c r="B979" s="47" t="s">
        <v>1113</v>
      </c>
      <c r="C979" s="48">
        <f>IFERROR(DIVIDE(VLOOKUP($B979,Data!$B$3:$AB$1535,9,FALSE),VLOOKUP($B979,Data!$B$3:$AB$1535,4,FALSE)),"")</f>
        <v>0</v>
      </c>
      <c r="D979" s="48">
        <f>IFERROR(DIVIDE(VLOOKUP($B979,Data!$B$3:$AB$1535,24,FALSE),VLOOKUP($B979,Data!$B$3:$AB$1535,4,FALSE)),"")</f>
        <v>0</v>
      </c>
      <c r="E979" s="48">
        <f>IFERROR(DIVIDE(VLOOKUP($B979,Data!$B$3:$EZ1530,29,FALSE),VLOOKUP($B979,Data!$B$3:$EZ1530,4,FALSE)),"")</f>
        <v>-0.4133668148</v>
      </c>
      <c r="F979" s="48">
        <f>IFERROR(DIVIDE(VLOOKUP($B979,Data!$B$3:$EZ1530,34,FALSE),VLOOKUP($B979,Data!$B$3:$EZ1530,4,FALSE)),"")</f>
        <v>-0.4031292254</v>
      </c>
      <c r="G979" s="48">
        <f>IFERROR(DIVIDE(VLOOKUP($B979,Data!$B$3:$EZ1530,39,FALSE),VLOOKUP($B979,Data!$B$3:$EZ1530,4,FALSE)),"")</f>
        <v>-0.4133668148</v>
      </c>
      <c r="H979" s="48">
        <f>IFERROR(DIVIDE(VLOOKUP($B979,Data!$B$3:$EZ1530,44,FALSE),VLOOKUP($B979,Data!$B$3:$EZ1530,4,FALSE)),"")</f>
        <v>-0.3976241066</v>
      </c>
      <c r="I979" s="48" t="str">
        <f>IFERROR(MINUS(DIVIDE(VLOOKUP($B979,Data!$B$3:$EZ1530,9,FALSE),VLOOKUP($B979,Data!$B$3:$EZ1530,10,FALSE)),1),"")</f>
        <v/>
      </c>
      <c r="J979" s="48">
        <f>IFERROR(MINUS(DIVIDE(VLOOKUP($B979,Data!$B$3:$EZ1530,24,FALSE),VLOOKUP($B979,Data!$B$3:$EZ1530,25,FALSE)),1),"")</f>
        <v>-1</v>
      </c>
      <c r="K979" s="48">
        <f>IFERROR(MINUS(DIVIDE(VLOOKUP($B979,Data!$B$3:$EZ1530,29,FALSE),VLOOKUP($B979,Data!$B$3:$EZ1530,30,FALSE)),1),"")</f>
        <v>85.81541582</v>
      </c>
      <c r="L979" s="48">
        <f>IFERROR(MINUS(DIVIDE(VLOOKUP($B979,Data!$B$3:$EZ1530,34,FALSE),VLOOKUP($B979,Data!$B$3:$EZ1530,35,FALSE)),1),"")</f>
        <v>-15.34364261</v>
      </c>
      <c r="M979" s="48">
        <f>IFERROR(MINUS(DIVIDE(VLOOKUP($B979,Data!$B$3:$EZ1530,39,FALSE),VLOOKUP($B979,Data!$B$3:$EZ1530,40,FALSE)),1),"")</f>
        <v>85.81541582</v>
      </c>
      <c r="N979" s="48">
        <f>IFERROR(MINUS(DIVIDE(VLOOKUP($B979,Data!$B$3:$EZ1530,44,FALSE),VLOOKUP($B979,Data!$B$3:$EZ1530,45,FALSE)),1),"")</f>
        <v>3.201020408</v>
      </c>
      <c r="O979" s="50">
        <f>IFERROR(VLOOKUP($B979,Data!$B$3:$D1530,2,FALSE),"")</f>
        <v>105450</v>
      </c>
      <c r="P979" s="50">
        <f>IFERROR(VLOOKUP($B979,Data!$B$3:$D1530,3,FALSE),"")</f>
        <v>84160</v>
      </c>
      <c r="Q979" s="48">
        <f t="shared" si="2"/>
        <v>0.2529705323</v>
      </c>
      <c r="R979" s="48"/>
      <c r="S979" s="48"/>
      <c r="T979" s="48"/>
      <c r="U979" s="48"/>
      <c r="V979" s="48"/>
      <c r="W979" s="50"/>
      <c r="Z979" s="12"/>
      <c r="AA979" s="12"/>
    </row>
    <row r="980">
      <c r="A980" s="9">
        <f t="shared" si="1"/>
        <v>977</v>
      </c>
      <c r="B980" s="47" t="s">
        <v>1114</v>
      </c>
      <c r="C980" s="48">
        <f>IFERROR(DIVIDE(VLOOKUP($B980,Data!$B$3:$AB$1535,9,FALSE),VLOOKUP($B980,Data!$B$3:$AB$1535,4,FALSE)),"")</f>
        <v>0.232973284</v>
      </c>
      <c r="D980" s="48">
        <f>IFERROR(DIVIDE(VLOOKUP($B980,Data!$B$3:$AB$1535,24,FALSE),VLOOKUP($B980,Data!$B$3:$AB$1535,4,FALSE)),"")</f>
        <v>0.02005356471</v>
      </c>
      <c r="E980" s="48">
        <f>IFERROR(DIVIDE(VLOOKUP($B980,Data!$B$3:$EZ1530,29,FALSE),VLOOKUP($B980,Data!$B$3:$EZ1530,4,FALSE)),"")</f>
        <v>0.01307023174</v>
      </c>
      <c r="F980" s="48">
        <f>IFERROR(DIVIDE(VLOOKUP($B980,Data!$B$3:$EZ1530,34,FALSE),VLOOKUP($B980,Data!$B$3:$EZ1530,4,FALSE)),"")</f>
        <v>0.05309989154</v>
      </c>
      <c r="G980" s="48">
        <f>IFERROR(DIVIDE(VLOOKUP($B980,Data!$B$3:$EZ1530,39,FALSE),VLOOKUP($B980,Data!$B$3:$EZ1530,4,FALSE)),"")</f>
        <v>0.01042519755</v>
      </c>
      <c r="H980" s="48">
        <f>IFERROR(DIVIDE(VLOOKUP($B980,Data!$B$3:$EZ1530,44,FALSE),VLOOKUP($B980,Data!$B$3:$EZ1530,4,FALSE)),"")</f>
        <v>0.04136877753</v>
      </c>
      <c r="I980" s="48">
        <f>IFERROR(MINUS(DIVIDE(VLOOKUP($B980,Data!$B$3:$EZ1530,9,FALSE),VLOOKUP($B980,Data!$B$3:$EZ1530,10,FALSE)),1),"")</f>
        <v>0.06906708649</v>
      </c>
      <c r="J980" s="48" t="str">
        <f>IFERROR(MINUS(DIVIDE(VLOOKUP($B980,Data!$B$3:$EZ1530,24,FALSE),VLOOKUP($B980,Data!$B$3:$EZ1530,25,FALSE)),1),"")</f>
        <v/>
      </c>
      <c r="K980" s="48">
        <f>IFERROR(MINUS(DIVIDE(VLOOKUP($B980,Data!$B$3:$EZ1530,29,FALSE),VLOOKUP($B980,Data!$B$3:$EZ1530,30,FALSE)),1),"")</f>
        <v>0.1258341277</v>
      </c>
      <c r="L980" s="48">
        <f>IFERROR(MINUS(DIVIDE(VLOOKUP($B980,Data!$B$3:$EZ1530,34,FALSE),VLOOKUP($B980,Data!$B$3:$EZ1530,35,FALSE)),1),"")</f>
        <v>0.02390098165</v>
      </c>
      <c r="M980" s="48">
        <f>IFERROR(MINUS(DIVIDE(VLOOKUP($B980,Data!$B$3:$EZ1530,39,FALSE),VLOOKUP($B980,Data!$B$3:$EZ1530,40,FALSE)),1),"")</f>
        <v>-0.2559241706</v>
      </c>
      <c r="N980" s="48">
        <f>IFERROR(MINUS(DIVIDE(VLOOKUP($B980,Data!$B$3:$EZ1530,44,FALSE),VLOOKUP($B980,Data!$B$3:$EZ1530,45,FALSE)),1),"")</f>
        <v>-0.1278581428</v>
      </c>
      <c r="O980" s="50">
        <f>IFERROR(VLOOKUP($B980,Data!$B$3:$D1530,2,FALSE),"")</f>
        <v>1010000</v>
      </c>
      <c r="P980" s="50">
        <f>IFERROR(VLOOKUP($B980,Data!$B$3:$D1530,3,FALSE),"")</f>
        <v>972620</v>
      </c>
      <c r="Q980" s="48">
        <f t="shared" si="2"/>
        <v>0.03843227571</v>
      </c>
      <c r="R980" s="48"/>
      <c r="S980" s="48"/>
      <c r="T980" s="48"/>
      <c r="U980" s="48"/>
      <c r="V980" s="48"/>
      <c r="W980" s="50"/>
      <c r="Z980" s="12"/>
      <c r="AA980" s="12"/>
    </row>
    <row r="981">
      <c r="A981" s="9">
        <f t="shared" si="1"/>
        <v>978</v>
      </c>
      <c r="B981" s="47" t="s">
        <v>1115</v>
      </c>
      <c r="C981" s="48">
        <f>IFERROR(DIVIDE(VLOOKUP($B981,Data!$B$3:$AB$1535,9,FALSE),VLOOKUP($B981,Data!$B$3:$AB$1535,4,FALSE)),"")</f>
        <v>0.351627907</v>
      </c>
      <c r="D981" s="48">
        <f>IFERROR(DIVIDE(VLOOKUP($B981,Data!$B$3:$AB$1535,24,FALSE),VLOOKUP($B981,Data!$B$3:$AB$1535,4,FALSE)),"")</f>
        <v>0.2112403101</v>
      </c>
      <c r="E981" s="48">
        <f>IFERROR(DIVIDE(VLOOKUP($B981,Data!$B$3:$EZ1530,29,FALSE),VLOOKUP($B981,Data!$B$3:$EZ1530,4,FALSE)),"")</f>
        <v>0.1766666667</v>
      </c>
      <c r="F981" s="48">
        <f>IFERROR(DIVIDE(VLOOKUP($B981,Data!$B$3:$EZ1530,34,FALSE),VLOOKUP($B981,Data!$B$3:$EZ1530,4,FALSE)),"")</f>
        <v>0.2975968992</v>
      </c>
      <c r="G981" s="48">
        <f>IFERROR(DIVIDE(VLOOKUP($B981,Data!$B$3:$EZ1530,39,FALSE),VLOOKUP($B981,Data!$B$3:$EZ1530,4,FALSE)),"")</f>
        <v>0.1424031008</v>
      </c>
      <c r="H981" s="48">
        <f>IFERROR(DIVIDE(VLOOKUP($B981,Data!$B$3:$EZ1530,44,FALSE),VLOOKUP($B981,Data!$B$3:$EZ1530,4,FALSE)),"")</f>
        <v>0.2137209302</v>
      </c>
      <c r="I981" s="48">
        <f>IFERROR(MINUS(DIVIDE(VLOOKUP($B981,Data!$B$3:$EZ1530,9,FALSE),VLOOKUP($B981,Data!$B$3:$EZ1530,10,FALSE)),1),"")</f>
        <v>0.08829174664</v>
      </c>
      <c r="J981" s="48">
        <f>IFERROR(MINUS(DIVIDE(VLOOKUP($B981,Data!$B$3:$EZ1530,24,FALSE),VLOOKUP($B981,Data!$B$3:$EZ1530,25,FALSE)),1),"")</f>
        <v>0.08134920635</v>
      </c>
      <c r="K981" s="48">
        <f>IFERROR(MINUS(DIVIDE(VLOOKUP($B981,Data!$B$3:$EZ1530,29,FALSE),VLOOKUP($B981,Data!$B$3:$EZ1530,30,FALSE)),1),"")</f>
        <v>0.02750225428</v>
      </c>
      <c r="L981" s="48">
        <f>IFERROR(MINUS(DIVIDE(VLOOKUP($B981,Data!$B$3:$EZ1530,34,FALSE),VLOOKUP($B981,Data!$B$3:$EZ1530,35,FALSE)),1),"")</f>
        <v>0.1966957606</v>
      </c>
      <c r="M981" s="48">
        <f>IFERROR(MINUS(DIVIDE(VLOOKUP($B981,Data!$B$3:$EZ1530,39,FALSE),VLOOKUP($B981,Data!$B$3:$EZ1530,40,FALSE)),1),"")</f>
        <v>0.08633944412</v>
      </c>
      <c r="N981" s="48">
        <f>IFERROR(MINUS(DIVIDE(VLOOKUP($B981,Data!$B$3:$EZ1530,44,FALSE),VLOOKUP($B981,Data!$B$3:$EZ1530,45,FALSE)),1),"")</f>
        <v>0.09404761905</v>
      </c>
      <c r="O981" s="50">
        <f>IFERROR(VLOOKUP($B981,Data!$B$3:$D1530,2,FALSE),"")</f>
        <v>1260000</v>
      </c>
      <c r="P981" s="50">
        <f>IFERROR(VLOOKUP($B981,Data!$B$3:$D1530,3,FALSE),"")</f>
        <v>1140000</v>
      </c>
      <c r="Q981" s="48">
        <f t="shared" si="2"/>
        <v>0.1052631579</v>
      </c>
      <c r="R981" s="48"/>
      <c r="S981" s="48"/>
      <c r="T981" s="48"/>
      <c r="U981" s="48"/>
      <c r="V981" s="48"/>
      <c r="W981" s="50"/>
      <c r="Z981" s="11"/>
      <c r="AA981" s="11"/>
    </row>
    <row r="982">
      <c r="A982" s="9">
        <f t="shared" si="1"/>
        <v>979</v>
      </c>
      <c r="B982" s="47" t="s">
        <v>1116</v>
      </c>
      <c r="C982" s="48" t="str">
        <f>IFERROR(DIVIDE(VLOOKUP($B982,Data!$B$3:$AB$1535,9,FALSE),VLOOKUP($B982,Data!$B$3:$AB$1535,4,FALSE)),"")</f>
        <v/>
      </c>
      <c r="D982" s="48" t="str">
        <f>IFERROR(DIVIDE(VLOOKUP($B982,Data!$B$3:$AB$1535,24,FALSE),VLOOKUP($B982,Data!$B$3:$AB$1535,4,FALSE)),"")</f>
        <v/>
      </c>
      <c r="E982" s="48" t="str">
        <f>IFERROR(DIVIDE(VLOOKUP($B982,Data!$B$3:$EZ1530,29,FALSE),VLOOKUP($B982,Data!$B$3:$EZ1530,4,FALSE)),"")</f>
        <v/>
      </c>
      <c r="F982" s="48" t="str">
        <f>IFERROR(DIVIDE(VLOOKUP($B982,Data!$B$3:$EZ1530,34,FALSE),VLOOKUP($B982,Data!$B$3:$EZ1530,4,FALSE)),"")</f>
        <v/>
      </c>
      <c r="G982" s="48" t="str">
        <f>IFERROR(DIVIDE(VLOOKUP($B982,Data!$B$3:$EZ1530,39,FALSE),VLOOKUP($B982,Data!$B$3:$EZ1530,4,FALSE)),"")</f>
        <v/>
      </c>
      <c r="H982" s="48" t="str">
        <f>IFERROR(DIVIDE(VLOOKUP($B982,Data!$B$3:$EZ1530,44,FALSE),VLOOKUP($B982,Data!$B$3:$EZ1530,4,FALSE)),"")</f>
        <v/>
      </c>
      <c r="I982" s="48" t="str">
        <f>IFERROR(MINUS(DIVIDE(VLOOKUP($B982,Data!$B$3:$EZ1530,9,FALSE),VLOOKUP($B982,Data!$B$3:$EZ1530,10,FALSE)),1),"")</f>
        <v/>
      </c>
      <c r="J982" s="48" t="str">
        <f>IFERROR(MINUS(DIVIDE(VLOOKUP($B982,Data!$B$3:$EZ1530,24,FALSE),VLOOKUP($B982,Data!$B$3:$EZ1530,25,FALSE)),1),"")</f>
        <v/>
      </c>
      <c r="K982" s="48" t="str">
        <f>IFERROR(MINUS(DIVIDE(VLOOKUP($B982,Data!$B$3:$EZ1530,29,FALSE),VLOOKUP($B982,Data!$B$3:$EZ1530,30,FALSE)),1),"")</f>
        <v/>
      </c>
      <c r="L982" s="48" t="str">
        <f>IFERROR(MINUS(DIVIDE(VLOOKUP($B982,Data!$B$3:$EZ1530,34,FALSE),VLOOKUP($B982,Data!$B$3:$EZ1530,35,FALSE)),1),"")</f>
        <v/>
      </c>
      <c r="M982" s="48" t="str">
        <f>IFERROR(MINUS(DIVIDE(VLOOKUP($B982,Data!$B$3:$EZ1530,39,FALSE),VLOOKUP($B982,Data!$B$3:$EZ1530,40,FALSE)),1),"")</f>
        <v/>
      </c>
      <c r="N982" s="48" t="str">
        <f>IFERROR(MINUS(DIVIDE(VLOOKUP($B982,Data!$B$3:$EZ1530,44,FALSE),VLOOKUP($B982,Data!$B$3:$EZ1530,45,FALSE)),1),"")</f>
        <v/>
      </c>
      <c r="O982" s="50">
        <f>IFERROR(VLOOKUP($B982,Data!$B$3:$D1530,2,FALSE),"")</f>
        <v>347490</v>
      </c>
      <c r="P982" s="50">
        <f>IFERROR(VLOOKUP($B982,Data!$B$3:$D1530,3,FALSE),"")</f>
        <v>334170</v>
      </c>
      <c r="Q982" s="48">
        <f t="shared" si="2"/>
        <v>0.03985995152</v>
      </c>
      <c r="R982" s="48"/>
      <c r="S982" s="48"/>
      <c r="T982" s="48"/>
      <c r="U982" s="48"/>
      <c r="V982" s="48"/>
      <c r="W982" s="50"/>
      <c r="Z982" s="15"/>
      <c r="AA982" s="15"/>
    </row>
    <row r="983">
      <c r="A983" s="9">
        <f t="shared" si="1"/>
        <v>980</v>
      </c>
      <c r="B983" s="47" t="s">
        <v>1117</v>
      </c>
      <c r="C983" s="48">
        <f>IFERROR(DIVIDE(VLOOKUP($B983,Data!$B$3:$AB$1535,9,FALSE),VLOOKUP($B983,Data!$B$3:$AB$1535,4,FALSE)),"")</f>
        <v>0</v>
      </c>
      <c r="D983" s="48">
        <f>IFERROR(DIVIDE(VLOOKUP($B983,Data!$B$3:$AB$1535,24,FALSE),VLOOKUP($B983,Data!$B$3:$AB$1535,4,FALSE)),"")</f>
        <v>-1576.976744</v>
      </c>
      <c r="E983" s="48">
        <f>IFERROR(DIVIDE(VLOOKUP($B983,Data!$B$3:$EZ1530,29,FALSE),VLOOKUP($B983,Data!$B$3:$EZ1530,4,FALSE)),"")</f>
        <v>-1532.325581</v>
      </c>
      <c r="F983" s="48">
        <f>IFERROR(DIVIDE(VLOOKUP($B983,Data!$B$3:$EZ1530,34,FALSE),VLOOKUP($B983,Data!$B$3:$EZ1530,4,FALSE)),"")</f>
        <v>-1285.813953</v>
      </c>
      <c r="G983" s="48">
        <f>IFERROR(DIVIDE(VLOOKUP($B983,Data!$B$3:$EZ1530,39,FALSE),VLOOKUP($B983,Data!$B$3:$EZ1530,4,FALSE)),"")</f>
        <v>-1530</v>
      </c>
      <c r="H983" s="48">
        <f>IFERROR(DIVIDE(VLOOKUP($B983,Data!$B$3:$EZ1530,44,FALSE),VLOOKUP($B983,Data!$B$3:$EZ1530,4,FALSE)),"")</f>
        <v>-1374.186047</v>
      </c>
      <c r="I983" s="48" t="str">
        <f>IFERROR(MINUS(DIVIDE(VLOOKUP($B983,Data!$B$3:$EZ1530,9,FALSE),VLOOKUP($B983,Data!$B$3:$EZ1530,10,FALSE)),1),"")</f>
        <v/>
      </c>
      <c r="J983" s="48" t="str">
        <f>IFERROR(MINUS(DIVIDE(VLOOKUP($B983,Data!$B$3:$EZ1530,24,FALSE),VLOOKUP($B983,Data!$B$3:$EZ1530,25,FALSE)),1),"")</f>
        <v/>
      </c>
      <c r="K983" s="48">
        <f>IFERROR(MINUS(DIVIDE(VLOOKUP($B983,Data!$B$3:$EZ1530,29,FALSE),VLOOKUP($B983,Data!$B$3:$EZ1530,30,FALSE)),1),"")</f>
        <v>-0.318825597</v>
      </c>
      <c r="L983" s="48">
        <f>IFERROR(MINUS(DIVIDE(VLOOKUP($B983,Data!$B$3:$EZ1530,34,FALSE),VLOOKUP($B983,Data!$B$3:$EZ1530,35,FALSE)),1),"")</f>
        <v>-0.3775751435</v>
      </c>
      <c r="M983" s="48">
        <f>IFERROR(MINUS(DIVIDE(VLOOKUP($B983,Data!$B$3:$EZ1530,39,FALSE),VLOOKUP($B983,Data!$B$3:$EZ1530,40,FALSE)),1),"")</f>
        <v>-0.3163254702</v>
      </c>
      <c r="N983" s="48">
        <f>IFERROR(MINUS(DIVIDE(VLOOKUP($B983,Data!$B$3:$EZ1530,44,FALSE),VLOOKUP($B983,Data!$B$3:$EZ1530,45,FALSE)),1),"")</f>
        <v>-0.0676869675</v>
      </c>
      <c r="O983" s="50" t="str">
        <f>IFERROR(VLOOKUP($B983,Data!$B$3:$D1530,2,FALSE),"")</f>
        <v/>
      </c>
      <c r="P983" s="50" t="str">
        <f>IFERROR(VLOOKUP($B983,Data!$B$3:$D1530,3,FALSE),"")</f>
        <v/>
      </c>
      <c r="Q983" s="48" t="str">
        <f t="shared" si="2"/>
        <v/>
      </c>
      <c r="R983" s="48"/>
      <c r="S983" s="48"/>
      <c r="T983" s="48"/>
      <c r="U983" s="48"/>
      <c r="V983" s="48"/>
      <c r="W983" s="50"/>
      <c r="Z983" s="15"/>
      <c r="AA983" s="15"/>
    </row>
    <row r="984">
      <c r="A984" s="9">
        <f t="shared" si="1"/>
        <v>981</v>
      </c>
      <c r="B984" s="47" t="s">
        <v>1118</v>
      </c>
      <c r="C984" s="48">
        <f>IFERROR(DIVIDE(VLOOKUP($B984,Data!$B$3:$AB$1535,9,FALSE),VLOOKUP($B984,Data!$B$3:$AB$1535,4,FALSE)),"")</f>
        <v>0.4246392304</v>
      </c>
      <c r="D984" s="48">
        <f>IFERROR(DIVIDE(VLOOKUP($B984,Data!$B$3:$AB$1535,24,FALSE),VLOOKUP($B984,Data!$B$3:$AB$1535,4,FALSE)),"")</f>
        <v>0.07616247996</v>
      </c>
      <c r="E984" s="48">
        <f>IFERROR(DIVIDE(VLOOKUP($B984,Data!$B$3:$EZ1530,29,FALSE),VLOOKUP($B984,Data!$B$3:$EZ1530,4,FALSE)),"")</f>
        <v>0.07723142704</v>
      </c>
      <c r="F984" s="48">
        <f>IFERROR(DIVIDE(VLOOKUP($B984,Data!$B$3:$EZ1530,34,FALSE),VLOOKUP($B984,Data!$B$3:$EZ1530,4,FALSE)),"")</f>
        <v>0.09326563335</v>
      </c>
      <c r="G984" s="48">
        <f>IFERROR(DIVIDE(VLOOKUP($B984,Data!$B$3:$EZ1530,39,FALSE),VLOOKUP($B984,Data!$B$3:$EZ1530,4,FALSE)),"")</f>
        <v>0.06787814003</v>
      </c>
      <c r="H984" s="48">
        <f>IFERROR(DIVIDE(VLOOKUP($B984,Data!$B$3:$EZ1530,44,FALSE),VLOOKUP($B984,Data!$B$3:$EZ1530,4,FALSE)),"")</f>
        <v>0.06654195617</v>
      </c>
      <c r="I984" s="48">
        <f>IFERROR(MINUS(DIVIDE(VLOOKUP($B984,Data!$B$3:$EZ1530,9,FALSE),VLOOKUP($B984,Data!$B$3:$EZ1530,10,FALSE)),1),"")</f>
        <v>-0.08835341365</v>
      </c>
      <c r="J984" s="48">
        <f>IFERROR(MINUS(DIVIDE(VLOOKUP($B984,Data!$B$3:$EZ1530,24,FALSE),VLOOKUP($B984,Data!$B$3:$EZ1530,25,FALSE)),1),"")</f>
        <v>-0.4183673469</v>
      </c>
      <c r="K984" s="48">
        <f>IFERROR(MINUS(DIVIDE(VLOOKUP($B984,Data!$B$3:$EZ1530,29,FALSE),VLOOKUP($B984,Data!$B$3:$EZ1530,30,FALSE)),1),"")</f>
        <v>-0.3979166667</v>
      </c>
      <c r="L984" s="48">
        <f>IFERROR(MINUS(DIVIDE(VLOOKUP($B984,Data!$B$3:$EZ1530,34,FALSE),VLOOKUP($B984,Data!$B$3:$EZ1530,35,FALSE)),1),"")</f>
        <v>-0.3572744015</v>
      </c>
      <c r="M984" s="48">
        <f>IFERROR(MINUS(DIVIDE(VLOOKUP($B984,Data!$B$3:$EZ1530,39,FALSE),VLOOKUP($B984,Data!$B$3:$EZ1530,40,FALSE)),1),"")</f>
        <v>-0.3697270471</v>
      </c>
      <c r="N984" s="48">
        <f>IFERROR(MINUS(DIVIDE(VLOOKUP($B984,Data!$B$3:$EZ1530,44,FALSE),VLOOKUP($B984,Data!$B$3:$EZ1530,45,FALSE)),1),"")</f>
        <v>-0.5779661017</v>
      </c>
      <c r="O984" s="50">
        <f>IFERROR(VLOOKUP($B984,Data!$B$3:$D1530,2,FALSE),"")</f>
        <v>44310000</v>
      </c>
      <c r="P984" s="50">
        <f>IFERROR(VLOOKUP($B984,Data!$B$3:$D1530,3,FALSE),"")</f>
        <v>39080000</v>
      </c>
      <c r="Q984" s="48">
        <f t="shared" si="2"/>
        <v>0.133828045</v>
      </c>
      <c r="R984" s="48"/>
      <c r="S984" s="48"/>
      <c r="T984" s="48"/>
      <c r="U984" s="48"/>
      <c r="V984" s="48"/>
      <c r="W984" s="50"/>
      <c r="Z984" s="11"/>
      <c r="AA984" s="11"/>
    </row>
    <row r="985">
      <c r="A985" s="9">
        <f t="shared" si="1"/>
        <v>982</v>
      </c>
      <c r="B985" s="47" t="s">
        <v>1119</v>
      </c>
      <c r="C985" s="48">
        <f>IFERROR(DIVIDE(VLOOKUP($B985,Data!$B$3:$AB$1535,9,FALSE),VLOOKUP($B985,Data!$B$3:$AB$1535,4,FALSE)),"")</f>
        <v>0.742453324</v>
      </c>
      <c r="D985" s="48">
        <f>IFERROR(DIVIDE(VLOOKUP($B985,Data!$B$3:$AB$1535,24,FALSE),VLOOKUP($B985,Data!$B$3:$AB$1535,4,FALSE)),"")</f>
        <v>0</v>
      </c>
      <c r="E985" s="48">
        <f>IFERROR(DIVIDE(VLOOKUP($B985,Data!$B$3:$EZ1530,29,FALSE),VLOOKUP($B985,Data!$B$3:$EZ1530,4,FALSE)),"")</f>
        <v>-3.839207817</v>
      </c>
      <c r="F985" s="48">
        <f>IFERROR(DIVIDE(VLOOKUP($B985,Data!$B$3:$EZ1530,34,FALSE),VLOOKUP($B985,Data!$B$3:$EZ1530,4,FALSE)),"")</f>
        <v>-3.743151282</v>
      </c>
      <c r="G985" s="48">
        <f>IFERROR(DIVIDE(VLOOKUP($B985,Data!$B$3:$EZ1530,39,FALSE),VLOOKUP($B985,Data!$B$3:$EZ1530,4,FALSE)),"")</f>
        <v>-3.844616995</v>
      </c>
      <c r="H985" s="48">
        <f>IFERROR(DIVIDE(VLOOKUP($B985,Data!$B$3:$EZ1530,44,FALSE),VLOOKUP($B985,Data!$B$3:$EZ1530,4,FALSE)),"")</f>
        <v>-2.86756238</v>
      </c>
      <c r="I985" s="48">
        <f>IFERROR(MINUS(DIVIDE(VLOOKUP($B985,Data!$B$3:$EZ1530,9,FALSE),VLOOKUP($B985,Data!$B$3:$EZ1530,10,FALSE)),1),"")</f>
        <v>-0.926637931</v>
      </c>
      <c r="J985" s="48" t="str">
        <f>IFERROR(MINUS(DIVIDE(VLOOKUP($B985,Data!$B$3:$EZ1530,24,FALSE),VLOOKUP($B985,Data!$B$3:$EZ1530,25,FALSE)),1),"")</f>
        <v/>
      </c>
      <c r="K985" s="48">
        <f>IFERROR(MINUS(DIVIDE(VLOOKUP($B985,Data!$B$3:$EZ1530,29,FALSE),VLOOKUP($B985,Data!$B$3:$EZ1530,30,FALSE)),1),"")</f>
        <v>-1.644544696</v>
      </c>
      <c r="L985" s="48">
        <f>IFERROR(MINUS(DIVIDE(VLOOKUP($B985,Data!$B$3:$EZ1530,34,FALSE),VLOOKUP($B985,Data!$B$3:$EZ1530,35,FALSE)),1),"")</f>
        <v>-1.615790909</v>
      </c>
      <c r="M985" s="48">
        <f>IFERROR(MINUS(DIVIDE(VLOOKUP($B985,Data!$B$3:$EZ1530,39,FALSE),VLOOKUP($B985,Data!$B$3:$EZ1530,40,FALSE)),1),"")</f>
        <v>-1.64679808</v>
      </c>
      <c r="N985" s="48">
        <f>IFERROR(MINUS(DIVIDE(VLOOKUP($B985,Data!$B$3:$EZ1530,44,FALSE),VLOOKUP($B985,Data!$B$3:$EZ1530,45,FALSE)),1),"")</f>
        <v>-1.457637738</v>
      </c>
      <c r="O985" s="50">
        <f>IFERROR(VLOOKUP($B985,Data!$B$3:$D1530,2,FALSE),"")</f>
        <v>178920</v>
      </c>
      <c r="P985" s="50">
        <f>IFERROR(VLOOKUP($B985,Data!$B$3:$D1530,3,FALSE),"")</f>
        <v>148470</v>
      </c>
      <c r="Q985" s="48">
        <f t="shared" si="2"/>
        <v>0.2050919378</v>
      </c>
      <c r="R985" s="48"/>
      <c r="S985" s="48"/>
      <c r="T985" s="48"/>
      <c r="U985" s="48"/>
      <c r="V985" s="48"/>
      <c r="W985" s="50"/>
      <c r="Z985" s="12"/>
      <c r="AA985" s="12"/>
    </row>
    <row r="986">
      <c r="A986" s="9">
        <f t="shared" si="1"/>
        <v>983</v>
      </c>
      <c r="B986" s="47" t="s">
        <v>1120</v>
      </c>
      <c r="C986" s="48">
        <f>IFERROR(DIVIDE(VLOOKUP($B986,Data!$B$3:$AB$1535,9,FALSE),VLOOKUP($B986,Data!$B$3:$AB$1535,4,FALSE)),"")</f>
        <v>0</v>
      </c>
      <c r="D986" s="48">
        <f>IFERROR(DIVIDE(VLOOKUP($B986,Data!$B$3:$AB$1535,24,FALSE),VLOOKUP($B986,Data!$B$3:$AB$1535,4,FALSE)),"")</f>
        <v>-181.9130435</v>
      </c>
      <c r="E986" s="48">
        <f>IFERROR(DIVIDE(VLOOKUP($B986,Data!$B$3:$EZ1530,29,FALSE),VLOOKUP($B986,Data!$B$3:$EZ1530,4,FALSE)),"")</f>
        <v>-183.3043478</v>
      </c>
      <c r="F986" s="48">
        <f>IFERROR(DIVIDE(VLOOKUP($B986,Data!$B$3:$EZ1530,34,FALSE),VLOOKUP($B986,Data!$B$3:$EZ1530,4,FALSE)),"")</f>
        <v>-189.5652174</v>
      </c>
      <c r="G986" s="48">
        <f>IFERROR(DIVIDE(VLOOKUP($B986,Data!$B$3:$EZ1530,39,FALSE),VLOOKUP($B986,Data!$B$3:$EZ1530,4,FALSE)),"")</f>
        <v>-183.3043478</v>
      </c>
      <c r="H986" s="48">
        <f>IFERROR(DIVIDE(VLOOKUP($B986,Data!$B$3:$EZ1530,44,FALSE),VLOOKUP($B986,Data!$B$3:$EZ1530,4,FALSE)),"")</f>
        <v>-159.7391304</v>
      </c>
      <c r="I986" s="48" t="str">
        <f>IFERROR(MINUS(DIVIDE(VLOOKUP($B986,Data!$B$3:$EZ1530,9,FALSE),VLOOKUP($B986,Data!$B$3:$EZ1530,10,FALSE)),1),"")</f>
        <v/>
      </c>
      <c r="J986" s="48" t="str">
        <f>IFERROR(MINUS(DIVIDE(VLOOKUP($B986,Data!$B$3:$EZ1530,24,FALSE),VLOOKUP($B986,Data!$B$3:$EZ1530,25,FALSE)),1),"")</f>
        <v/>
      </c>
      <c r="K986" s="48">
        <f>IFERROR(MINUS(DIVIDE(VLOOKUP($B986,Data!$B$3:$EZ1530,29,FALSE),VLOOKUP($B986,Data!$B$3:$EZ1530,30,FALSE)),1),"")</f>
        <v>75.65454545</v>
      </c>
      <c r="L986" s="48">
        <f>IFERROR(MINUS(DIVIDE(VLOOKUP($B986,Data!$B$3:$EZ1530,34,FALSE),VLOOKUP($B986,Data!$B$3:$EZ1530,35,FALSE)),1),"")</f>
        <v>125.0115607</v>
      </c>
      <c r="M986" s="48">
        <f>IFERROR(MINUS(DIVIDE(VLOOKUP($B986,Data!$B$3:$EZ1530,39,FALSE),VLOOKUP($B986,Data!$B$3:$EZ1530,40,FALSE)),1),"")</f>
        <v>75.65454545</v>
      </c>
      <c r="N986" s="48">
        <f>IFERROR(MINUS(DIVIDE(VLOOKUP($B986,Data!$B$3:$EZ1530,44,FALSE),VLOOKUP($B986,Data!$B$3:$EZ1530,45,FALSE)),1),"")</f>
        <v>2.546332046</v>
      </c>
      <c r="O986" s="50" t="str">
        <f>IFERROR(VLOOKUP($B986,Data!$B$3:$D1530,2,FALSE),"")</f>
        <v/>
      </c>
      <c r="P986" s="50" t="str">
        <f>IFERROR(VLOOKUP($B986,Data!$B$3:$D1530,3,FALSE),"")</f>
        <v/>
      </c>
      <c r="Q986" s="48" t="str">
        <f t="shared" si="2"/>
        <v/>
      </c>
      <c r="R986" s="48"/>
      <c r="S986" s="48"/>
      <c r="T986" s="48"/>
      <c r="U986" s="48"/>
      <c r="V986" s="48"/>
      <c r="W986" s="50"/>
      <c r="Z986" s="15"/>
      <c r="AA986" s="15"/>
    </row>
    <row r="987">
      <c r="A987" s="9">
        <f t="shared" si="1"/>
        <v>984</v>
      </c>
      <c r="B987" s="47" t="s">
        <v>1121</v>
      </c>
      <c r="C987" s="48">
        <f>IFERROR(DIVIDE(VLOOKUP($B987,Data!$B$3:$AB$1535,9,FALSE),VLOOKUP($B987,Data!$B$3:$AB$1535,4,FALSE)),"")</f>
        <v>0.3575285331</v>
      </c>
      <c r="D987" s="48">
        <f>IFERROR(DIVIDE(VLOOKUP($B987,Data!$B$3:$AB$1535,24,FALSE),VLOOKUP($B987,Data!$B$3:$AB$1535,4,FALSE)),"")</f>
        <v>-0.3236121439</v>
      </c>
      <c r="E987" s="48">
        <f>IFERROR(DIVIDE(VLOOKUP($B987,Data!$B$3:$EZ1530,29,FALSE),VLOOKUP($B987,Data!$B$3:$EZ1530,4,FALSE)),"")</f>
        <v>-0.329237932</v>
      </c>
      <c r="F987" s="48">
        <f>IFERROR(DIVIDE(VLOOKUP($B987,Data!$B$3:$EZ1530,34,FALSE),VLOOKUP($B987,Data!$B$3:$EZ1530,4,FALSE)),"")</f>
        <v>-0.05732484076</v>
      </c>
      <c r="G987" s="48">
        <f>IFERROR(DIVIDE(VLOOKUP($B987,Data!$B$3:$EZ1530,39,FALSE),VLOOKUP($B987,Data!$B$3:$EZ1530,4,FALSE)),"")</f>
        <v>-0.298425426</v>
      </c>
      <c r="H987" s="48">
        <f>IFERROR(DIVIDE(VLOOKUP($B987,Data!$B$3:$EZ1530,44,FALSE),VLOOKUP($B987,Data!$B$3:$EZ1530,4,FALSE)),"")</f>
        <v>-0.07297358466</v>
      </c>
      <c r="I987" s="48">
        <f>IFERROR(MINUS(DIVIDE(VLOOKUP($B987,Data!$B$3:$EZ1530,9,FALSE),VLOOKUP($B987,Data!$B$3:$EZ1530,10,FALSE)),1),"")</f>
        <v>-0.3915483658</v>
      </c>
      <c r="J987" s="48">
        <f>IFERROR(MINUS(DIVIDE(VLOOKUP($B987,Data!$B$3:$EZ1530,24,FALSE),VLOOKUP($B987,Data!$B$3:$EZ1530,25,FALSE)),1),"")</f>
        <v>-5.997004493</v>
      </c>
      <c r="K987" s="48">
        <f>IFERROR(MINUS(DIVIDE(VLOOKUP($B987,Data!$B$3:$EZ1530,29,FALSE),VLOOKUP($B987,Data!$B$3:$EZ1530,30,FALSE)),1),"")</f>
        <v>-5.849047619</v>
      </c>
      <c r="L987" s="48">
        <f>IFERROR(MINUS(DIVIDE(VLOOKUP($B987,Data!$B$3:$EZ1530,34,FALSE),VLOOKUP($B987,Data!$B$3:$EZ1530,35,FALSE)),1),"")</f>
        <v>-1.592778335</v>
      </c>
      <c r="M987" s="48">
        <f>IFERROR(MINUS(DIVIDE(VLOOKUP($B987,Data!$B$3:$EZ1530,39,FALSE),VLOOKUP($B987,Data!$B$3:$EZ1530,40,FALSE)),1),"")</f>
        <v>-7.108537392</v>
      </c>
      <c r="N987" s="48">
        <f>IFERROR(MINUS(DIVIDE(VLOOKUP($B987,Data!$B$3:$EZ1530,44,FALSE),VLOOKUP($B987,Data!$B$3:$EZ1530,45,FALSE)),1),"")</f>
        <v>-2.062117647</v>
      </c>
      <c r="O987" s="50">
        <f>IFERROR(VLOOKUP($B987,Data!$B$3:$D1530,2,FALSE),"")</f>
        <v>441660</v>
      </c>
      <c r="P987" s="50">
        <f>IFERROR(VLOOKUP($B987,Data!$B$3:$D1530,3,FALSE),"")</f>
        <v>444870</v>
      </c>
      <c r="Q987" s="48">
        <f t="shared" si="2"/>
        <v>-0.007215591072</v>
      </c>
      <c r="R987" s="48"/>
      <c r="S987" s="48"/>
      <c r="T987" s="48"/>
      <c r="U987" s="48"/>
      <c r="V987" s="48"/>
      <c r="W987" s="50"/>
      <c r="Z987" s="11"/>
      <c r="AA987" s="11"/>
    </row>
    <row r="988">
      <c r="A988" s="9">
        <f t="shared" si="1"/>
        <v>985</v>
      </c>
      <c r="B988" s="47" t="s">
        <v>1122</v>
      </c>
      <c r="C988" s="48">
        <f>IFERROR(DIVIDE(VLOOKUP($B988,Data!$B$3:$AB$1535,9,FALSE),VLOOKUP($B988,Data!$B$3:$AB$1535,4,FALSE)),"")</f>
        <v>0.09846743295</v>
      </c>
      <c r="D988" s="48">
        <f>IFERROR(DIVIDE(VLOOKUP($B988,Data!$B$3:$AB$1535,24,FALSE),VLOOKUP($B988,Data!$B$3:$AB$1535,4,FALSE)),"")</f>
        <v>0</v>
      </c>
      <c r="E988" s="48">
        <f>IFERROR(DIVIDE(VLOOKUP($B988,Data!$B$3:$EZ1530,29,FALSE),VLOOKUP($B988,Data!$B$3:$EZ1530,4,FALSE)),"")</f>
        <v>-0.4766283525</v>
      </c>
      <c r="F988" s="48">
        <f>IFERROR(DIVIDE(VLOOKUP($B988,Data!$B$3:$EZ1530,34,FALSE),VLOOKUP($B988,Data!$B$3:$EZ1530,4,FALSE)),"")</f>
        <v>-0.4130268199</v>
      </c>
      <c r="G988" s="48">
        <f>IFERROR(DIVIDE(VLOOKUP($B988,Data!$B$3:$EZ1530,39,FALSE),VLOOKUP($B988,Data!$B$3:$EZ1530,4,FALSE)),"")</f>
        <v>-0.4770114943</v>
      </c>
      <c r="H988" s="48">
        <f>IFERROR(DIVIDE(VLOOKUP($B988,Data!$B$3:$EZ1530,44,FALSE),VLOOKUP($B988,Data!$B$3:$EZ1530,4,FALSE)),"")</f>
        <v>-0.4402298851</v>
      </c>
      <c r="I988" s="48">
        <f>IFERROR(MINUS(DIVIDE(VLOOKUP($B988,Data!$B$3:$EZ1530,9,FALSE),VLOOKUP($B988,Data!$B$3:$EZ1530,10,FALSE)),1),"")</f>
        <v>0.1173913043</v>
      </c>
      <c r="J988" s="48" t="str">
        <f>IFERROR(MINUS(DIVIDE(VLOOKUP($B988,Data!$B$3:$EZ1530,24,FALSE),VLOOKUP($B988,Data!$B$3:$EZ1530,25,FALSE)),1),"")</f>
        <v/>
      </c>
      <c r="K988" s="48">
        <f>IFERROR(MINUS(DIVIDE(VLOOKUP($B988,Data!$B$3:$EZ1530,29,FALSE),VLOOKUP($B988,Data!$B$3:$EZ1530,30,FALSE)),1),"")</f>
        <v>-0.273364486</v>
      </c>
      <c r="L988" s="48">
        <f>IFERROR(MINUS(DIVIDE(VLOOKUP($B988,Data!$B$3:$EZ1530,34,FALSE),VLOOKUP($B988,Data!$B$3:$EZ1530,35,FALSE)),1),"")</f>
        <v>-0.3312655087</v>
      </c>
      <c r="M988" s="48">
        <f>IFERROR(MINUS(DIVIDE(VLOOKUP($B988,Data!$B$3:$EZ1530,39,FALSE),VLOOKUP($B988,Data!$B$3:$EZ1530,40,FALSE)),1),"")</f>
        <v>-0.2727803738</v>
      </c>
      <c r="N988" s="48">
        <f>IFERROR(MINUS(DIVIDE(VLOOKUP($B988,Data!$B$3:$EZ1530,44,FALSE),VLOOKUP($B988,Data!$B$3:$EZ1530,45,FALSE)),1),"")</f>
        <v>0.08703878903</v>
      </c>
      <c r="O988" s="50">
        <f>IFERROR(VLOOKUP($B988,Data!$B$3:$D1530,2,FALSE),"")</f>
        <v>63650</v>
      </c>
      <c r="P988" s="50">
        <f>IFERROR(VLOOKUP($B988,Data!$B$3:$D1530,3,FALSE),"")</f>
        <v>55300</v>
      </c>
      <c r="Q988" s="48">
        <f t="shared" si="2"/>
        <v>0.150994575</v>
      </c>
      <c r="R988" s="48"/>
      <c r="S988" s="48"/>
      <c r="T988" s="48"/>
      <c r="U988" s="48"/>
      <c r="V988" s="48"/>
      <c r="W988" s="50"/>
      <c r="Z988" s="12"/>
      <c r="AA988" s="12"/>
    </row>
    <row r="989">
      <c r="A989" s="9">
        <f t="shared" si="1"/>
        <v>986</v>
      </c>
      <c r="B989" s="47" t="s">
        <v>1123</v>
      </c>
      <c r="C989" s="48">
        <f>IFERROR(DIVIDE(VLOOKUP($B989,Data!$B$3:$AB$1535,9,FALSE),VLOOKUP($B989,Data!$B$3:$AB$1535,4,FALSE)),"")</f>
        <v>0.1330885727</v>
      </c>
      <c r="D989" s="48">
        <f>IFERROR(DIVIDE(VLOOKUP($B989,Data!$B$3:$AB$1535,24,FALSE),VLOOKUP($B989,Data!$B$3:$AB$1535,4,FALSE)),"")</f>
        <v>0.08173056865</v>
      </c>
      <c r="E989" s="48">
        <f>IFERROR(DIVIDE(VLOOKUP($B989,Data!$B$3:$EZ1530,29,FALSE),VLOOKUP($B989,Data!$B$3:$EZ1530,4,FALSE)),"")</f>
        <v>0.05174739594</v>
      </c>
      <c r="F989" s="48">
        <f>IFERROR(DIVIDE(VLOOKUP($B989,Data!$B$3:$EZ1530,34,FALSE),VLOOKUP($B989,Data!$B$3:$EZ1530,4,FALSE)),"")</f>
        <v>0.2277107931</v>
      </c>
      <c r="G989" s="48">
        <f>IFERROR(DIVIDE(VLOOKUP($B989,Data!$B$3:$EZ1530,39,FALSE),VLOOKUP($B989,Data!$B$3:$EZ1530,4,FALSE)),"")</f>
        <v>0.05128846983</v>
      </c>
      <c r="H989" s="48">
        <f>IFERROR(DIVIDE(VLOOKUP($B989,Data!$B$3:$EZ1530,44,FALSE),VLOOKUP($B989,Data!$B$3:$EZ1530,4,FALSE)),"")</f>
        <v>0.2159177827</v>
      </c>
      <c r="I989" s="48">
        <f>IFERROR(MINUS(DIVIDE(VLOOKUP($B989,Data!$B$3:$EZ1530,9,FALSE),VLOOKUP($B989,Data!$B$3:$EZ1530,10,FALSE)),1),"")</f>
        <v>0.359375</v>
      </c>
      <c r="J989" s="48">
        <f>IFERROR(MINUS(DIVIDE(VLOOKUP($B989,Data!$B$3:$EZ1530,24,FALSE),VLOOKUP($B989,Data!$B$3:$EZ1530,25,FALSE)),1),"")</f>
        <v>0.8627575277</v>
      </c>
      <c r="K989" s="48">
        <f>IFERROR(MINUS(DIVIDE(VLOOKUP($B989,Data!$B$3:$EZ1530,29,FALSE),VLOOKUP($B989,Data!$B$3:$EZ1530,30,FALSE)),1),"")</f>
        <v>0.7371615313</v>
      </c>
      <c r="L989" s="48">
        <f>IFERROR(MINUS(DIVIDE(VLOOKUP($B989,Data!$B$3:$EZ1530,34,FALSE),VLOOKUP($B989,Data!$B$3:$EZ1530,35,FALSE)),1),"")</f>
        <v>0.8114835712</v>
      </c>
      <c r="M989" s="48">
        <f>IFERROR(MINUS(DIVIDE(VLOOKUP($B989,Data!$B$3:$EZ1530,39,FALSE),VLOOKUP($B989,Data!$B$3:$EZ1530,40,FALSE)),1),"")</f>
        <v>1.412034009</v>
      </c>
      <c r="N989" s="48">
        <f>IFERROR(MINUS(DIVIDE(VLOOKUP($B989,Data!$B$3:$EZ1530,44,FALSE),VLOOKUP($B989,Data!$B$3:$EZ1530,45,FALSE)),1),"")</f>
        <v>0.4307040177</v>
      </c>
      <c r="O989" s="50">
        <f>IFERROR(VLOOKUP($B989,Data!$B$3:$D1530,2,FALSE),"")</f>
        <v>301050</v>
      </c>
      <c r="P989" s="50">
        <f>IFERROR(VLOOKUP($B989,Data!$B$3:$D1530,3,FALSE),"")</f>
        <v>263470</v>
      </c>
      <c r="Q989" s="48">
        <f t="shared" si="2"/>
        <v>0.1426348351</v>
      </c>
      <c r="R989" s="48"/>
      <c r="S989" s="48"/>
      <c r="T989" s="48"/>
      <c r="U989" s="48"/>
      <c r="V989" s="48"/>
      <c r="W989" s="50"/>
      <c r="Z989" s="15"/>
      <c r="AA989" s="15"/>
    </row>
    <row r="990">
      <c r="A990" s="9">
        <f t="shared" si="1"/>
        <v>987</v>
      </c>
      <c r="B990" s="47" t="s">
        <v>1124</v>
      </c>
      <c r="C990" s="48">
        <f>IFERROR(DIVIDE(VLOOKUP($B990,Data!$B$3:$AB$1535,9,FALSE),VLOOKUP($B990,Data!$B$3:$AB$1535,4,FALSE)),"")</f>
        <v>0.2145390071</v>
      </c>
      <c r="D990" s="48">
        <f>IFERROR(DIVIDE(VLOOKUP($B990,Data!$B$3:$AB$1535,24,FALSE),VLOOKUP($B990,Data!$B$3:$AB$1535,4,FALSE)),"")</f>
        <v>0</v>
      </c>
      <c r="E990" s="48">
        <f>IFERROR(DIVIDE(VLOOKUP($B990,Data!$B$3:$EZ1530,29,FALSE),VLOOKUP($B990,Data!$B$3:$EZ1530,4,FALSE)),"")</f>
        <v>0.07535460993</v>
      </c>
      <c r="F990" s="48">
        <f>IFERROR(DIVIDE(VLOOKUP($B990,Data!$B$3:$EZ1530,34,FALSE),VLOOKUP($B990,Data!$B$3:$EZ1530,4,FALSE)),"")</f>
        <v>0.1545508274</v>
      </c>
      <c r="G990" s="48">
        <f>IFERROR(DIVIDE(VLOOKUP($B990,Data!$B$3:$EZ1530,39,FALSE),VLOOKUP($B990,Data!$B$3:$EZ1530,4,FALSE)),"")</f>
        <v>0.0664893617</v>
      </c>
      <c r="H990" s="48">
        <f>IFERROR(DIVIDE(VLOOKUP($B990,Data!$B$3:$EZ1530,44,FALSE),VLOOKUP($B990,Data!$B$3:$EZ1530,4,FALSE)),"")</f>
        <v>0.1270685579</v>
      </c>
      <c r="I990" s="48">
        <f>IFERROR(MINUS(DIVIDE(VLOOKUP($B990,Data!$B$3:$EZ1530,9,FALSE),VLOOKUP($B990,Data!$B$3:$EZ1530,10,FALSE)),1),"")</f>
        <v>0.06921944035</v>
      </c>
      <c r="J990" s="48" t="str">
        <f>IFERROR(MINUS(DIVIDE(VLOOKUP($B990,Data!$B$3:$EZ1530,24,FALSE),VLOOKUP($B990,Data!$B$3:$EZ1530,25,FALSE)),1),"")</f>
        <v/>
      </c>
      <c r="K990" s="48">
        <f>IFERROR(MINUS(DIVIDE(VLOOKUP($B990,Data!$B$3:$EZ1530,29,FALSE),VLOOKUP($B990,Data!$B$3:$EZ1530,30,FALSE)),1),"")</f>
        <v>-0.3181818182</v>
      </c>
      <c r="L990" s="48">
        <f>IFERROR(MINUS(DIVIDE(VLOOKUP($B990,Data!$B$3:$EZ1530,34,FALSE),VLOOKUP($B990,Data!$B$3:$EZ1530,35,FALSE)),1),"")</f>
        <v>0.1419213974</v>
      </c>
      <c r="M990" s="48">
        <f>IFERROR(MINUS(DIVIDE(VLOOKUP($B990,Data!$B$3:$EZ1530,39,FALSE),VLOOKUP($B990,Data!$B$3:$EZ1530,40,FALSE)),1),"")</f>
        <v>-0.3034055728</v>
      </c>
      <c r="N990" s="48">
        <f>IFERROR(MINUS(DIVIDE(VLOOKUP($B990,Data!$B$3:$EZ1530,44,FALSE),VLOOKUP($B990,Data!$B$3:$EZ1530,45,FALSE)),1),"")</f>
        <v>0.1227154047</v>
      </c>
      <c r="O990" s="50">
        <f>IFERROR(VLOOKUP($B990,Data!$B$3:$D1530,2,FALSE),"")</f>
        <v>37240000</v>
      </c>
      <c r="P990" s="50">
        <f>IFERROR(VLOOKUP($B990,Data!$B$3:$D1530,3,FALSE),"")</f>
        <v>35190000</v>
      </c>
      <c r="Q990" s="48">
        <f t="shared" si="2"/>
        <v>0.05825518613</v>
      </c>
      <c r="R990" s="48"/>
      <c r="S990" s="48"/>
      <c r="T990" s="48"/>
      <c r="U990" s="48"/>
      <c r="V990" s="48"/>
      <c r="W990" s="50"/>
      <c r="Z990" s="15"/>
      <c r="AA990" s="15"/>
    </row>
    <row r="991">
      <c r="A991" s="9">
        <f t="shared" si="1"/>
        <v>988</v>
      </c>
      <c r="B991" s="47" t="s">
        <v>1125</v>
      </c>
      <c r="C991" s="48">
        <f>IFERROR(DIVIDE(VLOOKUP($B991,Data!$B$3:$AB$1535,9,FALSE),VLOOKUP($B991,Data!$B$3:$AB$1535,4,FALSE)),"")</f>
        <v>0.2967307692</v>
      </c>
      <c r="D991" s="48">
        <f>IFERROR(DIVIDE(VLOOKUP($B991,Data!$B$3:$AB$1535,24,FALSE),VLOOKUP($B991,Data!$B$3:$AB$1535,4,FALSE)),"")</f>
        <v>0.1198038462</v>
      </c>
      <c r="E991" s="48">
        <f>IFERROR(DIVIDE(VLOOKUP($B991,Data!$B$3:$EZ1530,29,FALSE),VLOOKUP($B991,Data!$B$3:$EZ1530,4,FALSE)),"")</f>
        <v>0.09053076923</v>
      </c>
      <c r="F991" s="48">
        <f>IFERROR(DIVIDE(VLOOKUP($B991,Data!$B$3:$EZ1530,34,FALSE),VLOOKUP($B991,Data!$B$3:$EZ1530,4,FALSE)),"")</f>
        <v>0.1686615385</v>
      </c>
      <c r="G991" s="48">
        <f>IFERROR(DIVIDE(VLOOKUP($B991,Data!$B$3:$EZ1530,39,FALSE),VLOOKUP($B991,Data!$B$3:$EZ1530,4,FALSE)),"")</f>
        <v>0.06629230769</v>
      </c>
      <c r="H991" s="48">
        <f>IFERROR(DIVIDE(VLOOKUP($B991,Data!$B$3:$EZ1530,44,FALSE),VLOOKUP($B991,Data!$B$3:$EZ1530,4,FALSE)),"")</f>
        <v>0.1159730769</v>
      </c>
      <c r="I991" s="48">
        <f>IFERROR(MINUS(DIVIDE(VLOOKUP($B991,Data!$B$3:$EZ1530,9,FALSE),VLOOKUP($B991,Data!$B$3:$EZ1530,10,FALSE)),1),"")</f>
        <v>0.01152469484</v>
      </c>
      <c r="J991" s="48">
        <f>IFERROR(MINUS(DIVIDE(VLOOKUP($B991,Data!$B$3:$EZ1530,24,FALSE),VLOOKUP($B991,Data!$B$3:$EZ1530,25,FALSE)),1),"")</f>
        <v>-0.1225386631</v>
      </c>
      <c r="K991" s="48">
        <f>IFERROR(MINUS(DIVIDE(VLOOKUP($B991,Data!$B$3:$EZ1530,29,FALSE),VLOOKUP($B991,Data!$B$3:$EZ1530,30,FALSE)),1),"")</f>
        <v>-0.1214541654</v>
      </c>
      <c r="L991" s="48">
        <f>IFERROR(MINUS(DIVIDE(VLOOKUP($B991,Data!$B$3:$EZ1530,34,FALSE),VLOOKUP($B991,Data!$B$3:$EZ1530,35,FALSE)),1),"")</f>
        <v>0.03568645049</v>
      </c>
      <c r="M991" s="48">
        <f>IFERROR(MINUS(DIVIDE(VLOOKUP($B991,Data!$B$3:$EZ1530,39,FALSE),VLOOKUP($B991,Data!$B$3:$EZ1530,40,FALSE)),1),"")</f>
        <v>-0.1466059316</v>
      </c>
      <c r="N991" s="48">
        <f>IFERROR(MINUS(DIVIDE(VLOOKUP($B991,Data!$B$3:$EZ1530,44,FALSE),VLOOKUP($B991,Data!$B$3:$EZ1530,45,FALSE)),1),"")</f>
        <v>-0.07463556851</v>
      </c>
      <c r="O991" s="50">
        <f>IFERROR(VLOOKUP($B991,Data!$B$3:$D1530,2,FALSE),"")</f>
        <v>2880000</v>
      </c>
      <c r="P991" s="50">
        <f>IFERROR(VLOOKUP($B991,Data!$B$3:$D1530,3,FALSE),"")</f>
        <v>2920000</v>
      </c>
      <c r="Q991" s="48">
        <f t="shared" si="2"/>
        <v>-0.01369863014</v>
      </c>
      <c r="R991" s="48"/>
      <c r="S991" s="48"/>
      <c r="T991" s="48"/>
      <c r="U991" s="48"/>
      <c r="V991" s="48"/>
      <c r="W991" s="50"/>
      <c r="Z991" s="11"/>
      <c r="AA991" s="11"/>
    </row>
    <row r="992">
      <c r="A992" s="9">
        <f t="shared" si="1"/>
        <v>989</v>
      </c>
      <c r="B992" s="47" t="s">
        <v>1126</v>
      </c>
      <c r="C992" s="48">
        <f>IFERROR(DIVIDE(VLOOKUP($B992,Data!$B$3:$AB$1535,9,FALSE),VLOOKUP($B992,Data!$B$3:$AB$1535,4,FALSE)),"")</f>
        <v>0</v>
      </c>
      <c r="D992" s="48">
        <f>IFERROR(DIVIDE(VLOOKUP($B992,Data!$B$3:$AB$1535,24,FALSE),VLOOKUP($B992,Data!$B$3:$AB$1535,4,FALSE)),"")</f>
        <v>0</v>
      </c>
      <c r="E992" s="48">
        <f>IFERROR(DIVIDE(VLOOKUP($B992,Data!$B$3:$EZ1530,29,FALSE),VLOOKUP($B992,Data!$B$3:$EZ1530,4,FALSE)),"")</f>
        <v>0</v>
      </c>
      <c r="F992" s="48">
        <f>IFERROR(DIVIDE(VLOOKUP($B992,Data!$B$3:$EZ1530,34,FALSE),VLOOKUP($B992,Data!$B$3:$EZ1530,4,FALSE)),"")</f>
        <v>0</v>
      </c>
      <c r="G992" s="48">
        <f>IFERROR(DIVIDE(VLOOKUP($B992,Data!$B$3:$EZ1530,39,FALSE),VLOOKUP($B992,Data!$B$3:$EZ1530,4,FALSE)),"")</f>
        <v>0</v>
      </c>
      <c r="H992" s="48">
        <f>IFERROR(DIVIDE(VLOOKUP($B992,Data!$B$3:$EZ1530,44,FALSE),VLOOKUP($B992,Data!$B$3:$EZ1530,4,FALSE)),"")</f>
        <v>0</v>
      </c>
      <c r="I992" s="48" t="str">
        <f>IFERROR(MINUS(DIVIDE(VLOOKUP($B992,Data!$B$3:$EZ1530,9,FALSE),VLOOKUP($B992,Data!$B$3:$EZ1530,10,FALSE)),1),"")</f>
        <v/>
      </c>
      <c r="J992" s="48" t="str">
        <f>IFERROR(MINUS(DIVIDE(VLOOKUP($B992,Data!$B$3:$EZ1530,24,FALSE),VLOOKUP($B992,Data!$B$3:$EZ1530,25,FALSE)),1),"")</f>
        <v/>
      </c>
      <c r="K992" s="48" t="str">
        <f>IFERROR(MINUS(DIVIDE(VLOOKUP($B992,Data!$B$3:$EZ1530,29,FALSE),VLOOKUP($B992,Data!$B$3:$EZ1530,30,FALSE)),1),"")</f>
        <v/>
      </c>
      <c r="L992" s="48" t="str">
        <f>IFERROR(MINUS(DIVIDE(VLOOKUP($B992,Data!$B$3:$EZ1530,34,FALSE),VLOOKUP($B992,Data!$B$3:$EZ1530,35,FALSE)),1),"")</f>
        <v/>
      </c>
      <c r="M992" s="48" t="str">
        <f>IFERROR(MINUS(DIVIDE(VLOOKUP($B992,Data!$B$3:$EZ1530,39,FALSE),VLOOKUP($B992,Data!$B$3:$EZ1530,40,FALSE)),1),"")</f>
        <v/>
      </c>
      <c r="N992" s="48" t="str">
        <f>IFERROR(MINUS(DIVIDE(VLOOKUP($B992,Data!$B$3:$EZ1530,44,FALSE),VLOOKUP($B992,Data!$B$3:$EZ1530,45,FALSE)),1),"")</f>
        <v/>
      </c>
      <c r="O992" s="50">
        <f>IFERROR(VLOOKUP($B992,Data!$B$3:$D1530,2,FALSE),"")</f>
        <v>4300</v>
      </c>
      <c r="P992" s="50">
        <f>IFERROR(VLOOKUP($B992,Data!$B$3:$D1530,3,FALSE),"")</f>
        <v>4820</v>
      </c>
      <c r="Q992" s="48">
        <f t="shared" si="2"/>
        <v>-0.1078838174</v>
      </c>
      <c r="R992" s="48"/>
      <c r="S992" s="48"/>
      <c r="T992" s="48"/>
      <c r="U992" s="48"/>
      <c r="V992" s="48"/>
      <c r="W992" s="50"/>
      <c r="Z992" s="11"/>
      <c r="AA992" s="11"/>
    </row>
    <row r="993">
      <c r="A993" s="9">
        <f t="shared" si="1"/>
        <v>990</v>
      </c>
      <c r="B993" s="47" t="s">
        <v>1127</v>
      </c>
      <c r="C993" s="48">
        <f>IFERROR(DIVIDE(VLOOKUP($B993,Data!$B$3:$AB$1535,9,FALSE),VLOOKUP($B993,Data!$B$3:$AB$1535,4,FALSE)),"")</f>
        <v>0.2328611714</v>
      </c>
      <c r="D993" s="48">
        <f>IFERROR(DIVIDE(VLOOKUP($B993,Data!$B$3:$AB$1535,24,FALSE),VLOOKUP($B993,Data!$B$3:$AB$1535,4,FALSE)),"")</f>
        <v>0</v>
      </c>
      <c r="E993" s="48">
        <f>IFERROR(DIVIDE(VLOOKUP($B993,Data!$B$3:$EZ1530,29,FALSE),VLOOKUP($B993,Data!$B$3:$EZ1530,4,FALSE)),"")</f>
        <v>0.1695569025</v>
      </c>
      <c r="F993" s="48">
        <f>IFERROR(DIVIDE(VLOOKUP($B993,Data!$B$3:$EZ1530,34,FALSE),VLOOKUP($B993,Data!$B$3:$EZ1530,4,FALSE)),"")</f>
        <v>0.1622961979</v>
      </c>
      <c r="G993" s="48">
        <f>IFERROR(DIVIDE(VLOOKUP($B993,Data!$B$3:$EZ1530,39,FALSE),VLOOKUP($B993,Data!$B$3:$EZ1530,4,FALSE)),"")</f>
        <v>0.1314057891</v>
      </c>
      <c r="H993" s="48">
        <f>IFERROR(DIVIDE(VLOOKUP($B993,Data!$B$3:$EZ1530,44,FALSE),VLOOKUP($B993,Data!$B$3:$EZ1530,4,FALSE)),"")</f>
        <v>0.03105247804</v>
      </c>
      <c r="I993" s="48">
        <f>IFERROR(MINUS(DIVIDE(VLOOKUP($B993,Data!$B$3:$EZ1530,9,FALSE),VLOOKUP($B993,Data!$B$3:$EZ1530,10,FALSE)),1),"")</f>
        <v>-0.02550189908</v>
      </c>
      <c r="J993" s="48" t="str">
        <f>IFERROR(MINUS(DIVIDE(VLOOKUP($B993,Data!$B$3:$EZ1530,24,FALSE),VLOOKUP($B993,Data!$B$3:$EZ1530,25,FALSE)),1),"")</f>
        <v/>
      </c>
      <c r="K993" s="48">
        <f>IFERROR(MINUS(DIVIDE(VLOOKUP($B993,Data!$B$3:$EZ1530,29,FALSE),VLOOKUP($B993,Data!$B$3:$EZ1530,30,FALSE)),1),"")</f>
        <v>-0.0005731753917</v>
      </c>
      <c r="L993" s="48">
        <f>IFERROR(MINUS(DIVIDE(VLOOKUP($B993,Data!$B$3:$EZ1530,34,FALSE),VLOOKUP($B993,Data!$B$3:$EZ1530,35,FALSE)),1),"")</f>
        <v>-0.1161518094</v>
      </c>
      <c r="M993" s="48">
        <f>IFERROR(MINUS(DIVIDE(VLOOKUP($B993,Data!$B$3:$EZ1530,39,FALSE),VLOOKUP($B993,Data!$B$3:$EZ1530,40,FALSE)),1),"")</f>
        <v>0.01629481073</v>
      </c>
      <c r="N993" s="48">
        <f>IFERROR(MINUS(DIVIDE(VLOOKUP($B993,Data!$B$3:$EZ1530,44,FALSE),VLOOKUP($B993,Data!$B$3:$EZ1530,45,FALSE)),1),"")</f>
        <v>-0.8743606557</v>
      </c>
      <c r="O993" s="50" t="str">
        <f>IFERROR(VLOOKUP($B993,Data!$B$3:$D1530,2,FALSE),"")</f>
        <v/>
      </c>
      <c r="P993" s="50" t="str">
        <f>IFERROR(VLOOKUP($B993,Data!$B$3:$D1530,3,FALSE),"")</f>
        <v/>
      </c>
      <c r="Q993" s="48" t="str">
        <f t="shared" si="2"/>
        <v/>
      </c>
      <c r="R993" s="48"/>
      <c r="S993" s="48"/>
      <c r="T993" s="48"/>
      <c r="U993" s="48"/>
      <c r="V993" s="48"/>
      <c r="W993" s="50"/>
      <c r="Z993" s="15"/>
      <c r="AA993" s="15"/>
    </row>
    <row r="994">
      <c r="A994" s="9">
        <f t="shared" si="1"/>
        <v>991</v>
      </c>
      <c r="B994" s="47" t="s">
        <v>1128</v>
      </c>
      <c r="C994" s="48">
        <f>IFERROR(DIVIDE(VLOOKUP($B994,Data!$B$3:$AB$1535,9,FALSE),VLOOKUP($B994,Data!$B$3:$AB$1535,4,FALSE)),"")</f>
        <v>0.2485706278</v>
      </c>
      <c r="D994" s="48">
        <f>IFERROR(DIVIDE(VLOOKUP($B994,Data!$B$3:$AB$1535,24,FALSE),VLOOKUP($B994,Data!$B$3:$AB$1535,4,FALSE)),"")</f>
        <v>-0.04330156951</v>
      </c>
      <c r="E994" s="48">
        <f>IFERROR(DIVIDE(VLOOKUP($B994,Data!$B$3:$EZ1530,29,FALSE),VLOOKUP($B994,Data!$B$3:$EZ1530,4,FALSE)),"")</f>
        <v>-0.0432735426</v>
      </c>
      <c r="F994" s="48">
        <f>IFERROR(DIVIDE(VLOOKUP($B994,Data!$B$3:$EZ1530,34,FALSE),VLOOKUP($B994,Data!$B$3:$EZ1530,4,FALSE)),"")</f>
        <v>0.04246076233</v>
      </c>
      <c r="G994" s="48">
        <f>IFERROR(DIVIDE(VLOOKUP($B994,Data!$B$3:$EZ1530,39,FALSE),VLOOKUP($B994,Data!$B$3:$EZ1530,4,FALSE)),"")</f>
        <v>-0.04786995516</v>
      </c>
      <c r="H994" s="48">
        <f>IFERROR(DIVIDE(VLOOKUP($B994,Data!$B$3:$EZ1530,44,FALSE),VLOOKUP($B994,Data!$B$3:$EZ1530,4,FALSE)),"")</f>
        <v>0.09722533632</v>
      </c>
      <c r="I994" s="48">
        <f>IFERROR(MINUS(DIVIDE(VLOOKUP($B994,Data!$B$3:$EZ1530,9,FALSE),VLOOKUP($B994,Data!$B$3:$EZ1530,10,FALSE)),1),"")</f>
        <v>0.3464399575</v>
      </c>
      <c r="J994" s="48">
        <f>IFERROR(MINUS(DIVIDE(VLOOKUP($B994,Data!$B$3:$EZ1530,24,FALSE),VLOOKUP($B994,Data!$B$3:$EZ1530,25,FALSE)),1),"")</f>
        <v>-0.6273516643</v>
      </c>
      <c r="K994" s="48">
        <f>IFERROR(MINUS(DIVIDE(VLOOKUP($B994,Data!$B$3:$EZ1530,29,FALSE),VLOOKUP($B994,Data!$B$3:$EZ1530,30,FALSE)),1),"")</f>
        <v>-0.6350744505</v>
      </c>
      <c r="L994" s="48">
        <f>IFERROR(MINUS(DIVIDE(VLOOKUP($B994,Data!$B$3:$EZ1530,34,FALSE),VLOOKUP($B994,Data!$B$3:$EZ1530,35,FALSE)),1),"")</f>
        <v>-4.806532663</v>
      </c>
      <c r="M994" s="48">
        <f>IFERROR(MINUS(DIVIDE(VLOOKUP($B994,Data!$B$3:$EZ1530,39,FALSE),VLOOKUP($B994,Data!$B$3:$EZ1530,40,FALSE)),1),"")</f>
        <v>-0.6086159487</v>
      </c>
      <c r="N994" s="48">
        <f>IFERROR(MINUS(DIVIDE(VLOOKUP($B994,Data!$B$3:$EZ1530,44,FALSE),VLOOKUP($B994,Data!$B$3:$EZ1530,45,FALSE)),1),"")</f>
        <v>0.7698979592</v>
      </c>
      <c r="O994" s="50">
        <f>IFERROR(VLOOKUP($B994,Data!$B$3:$D1530,2,FALSE),"")</f>
        <v>428530</v>
      </c>
      <c r="P994" s="50">
        <f>IFERROR(VLOOKUP($B994,Data!$B$3:$D1530,3,FALSE),"")</f>
        <v>396390</v>
      </c>
      <c r="Q994" s="48">
        <f t="shared" si="2"/>
        <v>0.08108176291</v>
      </c>
      <c r="R994" s="48"/>
      <c r="S994" s="48"/>
      <c r="T994" s="48"/>
      <c r="U994" s="48"/>
      <c r="V994" s="48"/>
      <c r="W994" s="50"/>
      <c r="Z994" s="11"/>
      <c r="AA994" s="11"/>
    </row>
    <row r="995">
      <c r="A995" s="9">
        <f t="shared" si="1"/>
        <v>992</v>
      </c>
      <c r="B995" s="47" t="s">
        <v>1129</v>
      </c>
      <c r="C995" s="48">
        <f>IFERROR(DIVIDE(VLOOKUP($B995,Data!$B$3:$AB$1535,9,FALSE),VLOOKUP($B995,Data!$B$3:$AB$1535,4,FALSE)),"")</f>
        <v>0.5939209251</v>
      </c>
      <c r="D995" s="48">
        <f>IFERROR(DIVIDE(VLOOKUP($B995,Data!$B$3:$AB$1535,24,FALSE),VLOOKUP($B995,Data!$B$3:$AB$1535,4,FALSE)),"")</f>
        <v>0.3363025473</v>
      </c>
      <c r="E995" s="48">
        <f>IFERROR(DIVIDE(VLOOKUP($B995,Data!$B$3:$EZ1530,29,FALSE),VLOOKUP($B995,Data!$B$3:$EZ1530,4,FALSE)),"")</f>
        <v>0.3166119706</v>
      </c>
      <c r="F995" s="48">
        <f>IFERROR(DIVIDE(VLOOKUP($B995,Data!$B$3:$EZ1530,34,FALSE),VLOOKUP($B995,Data!$B$3:$EZ1530,4,FALSE)),"")</f>
        <v>0.3797468354</v>
      </c>
      <c r="G995" s="48">
        <f>IFERROR(DIVIDE(VLOOKUP($B995,Data!$B$3:$EZ1530,39,FALSE),VLOOKUP($B995,Data!$B$3:$EZ1530,4,FALSE)),"")</f>
        <v>0.2523831849</v>
      </c>
      <c r="H995" s="48">
        <f>IFERROR(DIVIDE(VLOOKUP($B995,Data!$B$3:$EZ1530,44,FALSE),VLOOKUP($B995,Data!$B$3:$EZ1530,4,FALSE)),"")</f>
        <v>0.3198155962</v>
      </c>
      <c r="I995" s="48">
        <f>IFERROR(MINUS(DIVIDE(VLOOKUP($B995,Data!$B$3:$EZ1530,9,FALSE),VLOOKUP($B995,Data!$B$3:$EZ1530,10,FALSE)),1),"")</f>
        <v>0.1404351088</v>
      </c>
      <c r="J995" s="48">
        <f>IFERROR(MINUS(DIVIDE(VLOOKUP($B995,Data!$B$3:$EZ1530,24,FALSE),VLOOKUP($B995,Data!$B$3:$EZ1530,25,FALSE)),1),"")</f>
        <v>0.2199546485</v>
      </c>
      <c r="K995" s="48">
        <f>IFERROR(MINUS(DIVIDE(VLOOKUP($B995,Data!$B$3:$EZ1530,29,FALSE),VLOOKUP($B995,Data!$B$3:$EZ1530,30,FALSE)),1),"")</f>
        <v>0.1673869202</v>
      </c>
      <c r="L995" s="48">
        <f>IFERROR(MINUS(DIVIDE(VLOOKUP($B995,Data!$B$3:$EZ1530,34,FALSE),VLOOKUP($B995,Data!$B$3:$EZ1530,35,FALSE)),1),"")</f>
        <v>0.1914684972</v>
      </c>
      <c r="M995" s="48">
        <f>IFERROR(MINUS(DIVIDE(VLOOKUP($B995,Data!$B$3:$EZ1530,39,FALSE),VLOOKUP($B995,Data!$B$3:$EZ1530,40,FALSE)),1),"")</f>
        <v>0.07846410684</v>
      </c>
      <c r="N995" s="48">
        <f>IFERROR(MINUS(DIVIDE(VLOOKUP($B995,Data!$B$3:$EZ1530,44,FALSE),VLOOKUP($B995,Data!$B$3:$EZ1530,45,FALSE)),1),"")</f>
        <v>0.02710163112</v>
      </c>
      <c r="O995" s="50" t="str">
        <f>IFERROR(VLOOKUP($B995,Data!$B$3:$D1530,2,FALSE),"")</f>
        <v/>
      </c>
      <c r="P995" s="50">
        <f>IFERROR(VLOOKUP($B995,Data!$B$3:$D1530,3,FALSE),"")</f>
        <v>127980</v>
      </c>
      <c r="Q995" s="48">
        <f t="shared" si="2"/>
        <v>-1</v>
      </c>
      <c r="R995" s="48"/>
      <c r="S995" s="48"/>
      <c r="T995" s="48"/>
      <c r="U995" s="48"/>
      <c r="V995" s="48"/>
      <c r="W995" s="50"/>
      <c r="Z995" s="15"/>
      <c r="AA995" s="15"/>
    </row>
    <row r="996">
      <c r="A996" s="9">
        <f t="shared" si="1"/>
        <v>993</v>
      </c>
      <c r="B996" s="47" t="s">
        <v>1130</v>
      </c>
      <c r="C996" s="48">
        <f>IFERROR(DIVIDE(VLOOKUP($B996,Data!$B$3:$AB$1535,9,FALSE),VLOOKUP($B996,Data!$B$3:$AB$1535,4,FALSE)),"")</f>
        <v>0</v>
      </c>
      <c r="D996" s="48">
        <f>IFERROR(DIVIDE(VLOOKUP($B996,Data!$B$3:$AB$1535,24,FALSE),VLOOKUP($B996,Data!$B$3:$AB$1535,4,FALSE)),"")</f>
        <v>0</v>
      </c>
      <c r="E996" s="48">
        <f>IFERROR(DIVIDE(VLOOKUP($B996,Data!$B$3:$EZ1530,29,FALSE),VLOOKUP($B996,Data!$B$3:$EZ1530,4,FALSE)),"")</f>
        <v>-0.6895886889</v>
      </c>
      <c r="F996" s="48">
        <f>IFERROR(DIVIDE(VLOOKUP($B996,Data!$B$3:$EZ1530,34,FALSE),VLOOKUP($B996,Data!$B$3:$EZ1530,4,FALSE)),"")</f>
        <v>-0.6388174807</v>
      </c>
      <c r="G996" s="48">
        <f>IFERROR(DIVIDE(VLOOKUP($B996,Data!$B$3:$EZ1530,39,FALSE),VLOOKUP($B996,Data!$B$3:$EZ1530,4,FALSE)),"")</f>
        <v>-0.6973007712</v>
      </c>
      <c r="H996" s="48">
        <f>IFERROR(DIVIDE(VLOOKUP($B996,Data!$B$3:$EZ1530,44,FALSE),VLOOKUP($B996,Data!$B$3:$EZ1530,4,FALSE)),"")</f>
        <v>0.01931233933</v>
      </c>
      <c r="I996" s="48" t="str">
        <f>IFERROR(MINUS(DIVIDE(VLOOKUP($B996,Data!$B$3:$EZ1530,9,FALSE),VLOOKUP($B996,Data!$B$3:$EZ1530,10,FALSE)),1),"")</f>
        <v/>
      </c>
      <c r="J996" s="48" t="str">
        <f>IFERROR(MINUS(DIVIDE(VLOOKUP($B996,Data!$B$3:$EZ1530,24,FALSE),VLOOKUP($B996,Data!$B$3:$EZ1530,25,FALSE)),1),"")</f>
        <v/>
      </c>
      <c r="K996" s="48">
        <f>IFERROR(MINUS(DIVIDE(VLOOKUP($B996,Data!$B$3:$EZ1530,29,FALSE),VLOOKUP($B996,Data!$B$3:$EZ1530,30,FALSE)),1),"")</f>
        <v>1.405829596</v>
      </c>
      <c r="L996" s="48">
        <f>IFERROR(MINUS(DIVIDE(VLOOKUP($B996,Data!$B$3:$EZ1530,34,FALSE),VLOOKUP($B996,Data!$B$3:$EZ1530,35,FALSE)),1),"")</f>
        <v>1.945185185</v>
      </c>
      <c r="M996" s="48">
        <f>IFERROR(MINUS(DIVIDE(VLOOKUP($B996,Data!$B$3:$EZ1530,39,FALSE),VLOOKUP($B996,Data!$B$3:$EZ1530,40,FALSE)),1),"")</f>
        <v>1.30116649</v>
      </c>
      <c r="N996" s="48">
        <f>IFERROR(MINUS(DIVIDE(VLOOKUP($B996,Data!$B$3:$EZ1530,44,FALSE),VLOOKUP($B996,Data!$B$3:$EZ1530,45,FALSE)),1),"")</f>
        <v>-1.01897096</v>
      </c>
      <c r="O996" s="50">
        <f>IFERROR(VLOOKUP($B996,Data!$B$3:$D1530,2,FALSE),"")</f>
        <v>42000</v>
      </c>
      <c r="P996" s="50">
        <f>IFERROR(VLOOKUP($B996,Data!$B$3:$D1530,3,FALSE),"")</f>
        <v>33250</v>
      </c>
      <c r="Q996" s="48">
        <f t="shared" si="2"/>
        <v>0.2631578947</v>
      </c>
      <c r="R996" s="48"/>
      <c r="S996" s="48"/>
      <c r="T996" s="48"/>
      <c r="U996" s="48"/>
      <c r="V996" s="48"/>
      <c r="W996" s="50"/>
      <c r="Z996" s="15"/>
      <c r="AA996" s="15"/>
    </row>
    <row r="997">
      <c r="A997" s="9">
        <f t="shared" si="1"/>
        <v>994</v>
      </c>
      <c r="B997" s="47" t="s">
        <v>1131</v>
      </c>
      <c r="C997" s="48">
        <f>IFERROR(DIVIDE(VLOOKUP($B997,Data!$B$3:$AB$1535,9,FALSE),VLOOKUP($B997,Data!$B$3:$AB$1535,4,FALSE)),"")</f>
        <v>0.3442477876</v>
      </c>
      <c r="D997" s="48">
        <f>IFERROR(DIVIDE(VLOOKUP($B997,Data!$B$3:$AB$1535,24,FALSE),VLOOKUP($B997,Data!$B$3:$AB$1535,4,FALSE)),"")</f>
        <v>0.3433628319</v>
      </c>
      <c r="E997" s="48">
        <f>IFERROR(DIVIDE(VLOOKUP($B997,Data!$B$3:$EZ1530,29,FALSE),VLOOKUP($B997,Data!$B$3:$EZ1530,4,FALSE)),"")</f>
        <v>0.3088495575</v>
      </c>
      <c r="F997" s="48">
        <f>IFERROR(DIVIDE(VLOOKUP($B997,Data!$B$3:$EZ1530,34,FALSE),VLOOKUP($B997,Data!$B$3:$EZ1530,4,FALSE)),"")</f>
        <v>0.4451327434</v>
      </c>
      <c r="G997" s="48">
        <f>IFERROR(DIVIDE(VLOOKUP($B997,Data!$B$3:$EZ1530,39,FALSE),VLOOKUP($B997,Data!$B$3:$EZ1530,4,FALSE)),"")</f>
        <v>0.2407079646</v>
      </c>
      <c r="H997" s="48">
        <f>IFERROR(DIVIDE(VLOOKUP($B997,Data!$B$3:$EZ1530,44,FALSE),VLOOKUP($B997,Data!$B$3:$EZ1530,4,FALSE)),"")</f>
        <v>0.3442477876</v>
      </c>
      <c r="I997" s="48">
        <f>IFERROR(MINUS(DIVIDE(VLOOKUP($B997,Data!$B$3:$EZ1530,9,FALSE),VLOOKUP($B997,Data!$B$3:$EZ1530,10,FALSE)),1),"")</f>
        <v>-0.01767676768</v>
      </c>
      <c r="J997" s="48" t="str">
        <f>IFERROR(MINUS(DIVIDE(VLOOKUP($B997,Data!$B$3:$EZ1530,24,FALSE),VLOOKUP($B997,Data!$B$3:$EZ1530,25,FALSE)),1),"")</f>
        <v/>
      </c>
      <c r="K997" s="48">
        <f>IFERROR(MINUS(DIVIDE(VLOOKUP($B997,Data!$B$3:$EZ1530,29,FALSE),VLOOKUP($B997,Data!$B$3:$EZ1530,30,FALSE)),1),"")</f>
        <v>0.005763688761</v>
      </c>
      <c r="L997" s="48">
        <f>IFERROR(MINUS(DIVIDE(VLOOKUP($B997,Data!$B$3:$EZ1530,34,FALSE),VLOOKUP($B997,Data!$B$3:$EZ1530,35,FALSE)),1),"")</f>
        <v>-0.005928853755</v>
      </c>
      <c r="M997" s="48">
        <f>IFERROR(MINUS(DIVIDE(VLOOKUP($B997,Data!$B$3:$EZ1530,39,FALSE),VLOOKUP($B997,Data!$B$3:$EZ1530,40,FALSE)),1),"")</f>
        <v>0.02255639098</v>
      </c>
      <c r="N997" s="48">
        <f>IFERROR(MINUS(DIVIDE(VLOOKUP($B997,Data!$B$3:$EZ1530,44,FALSE),VLOOKUP($B997,Data!$B$3:$EZ1530,45,FALSE)),1),"")</f>
        <v>0.04289544236</v>
      </c>
      <c r="O997" s="50">
        <f>IFERROR(VLOOKUP($B997,Data!$B$3:$D1530,2,FALSE),"")</f>
        <v>10620000</v>
      </c>
      <c r="P997" s="50">
        <f>IFERROR(VLOOKUP($B997,Data!$B$3:$D1530,3,FALSE),"")</f>
        <v>9740000</v>
      </c>
      <c r="Q997" s="48">
        <f t="shared" si="2"/>
        <v>0.09034907598</v>
      </c>
      <c r="R997" s="48"/>
      <c r="S997" s="48"/>
      <c r="T997" s="48"/>
      <c r="U997" s="48"/>
      <c r="V997" s="48"/>
      <c r="W997" s="50"/>
      <c r="Z997" s="12"/>
      <c r="AA997" s="11"/>
    </row>
    <row r="998">
      <c r="A998" s="9">
        <f t="shared" si="1"/>
        <v>995</v>
      </c>
      <c r="B998" s="47" t="s">
        <v>1132</v>
      </c>
      <c r="C998" s="48">
        <f>IFERROR(DIVIDE(VLOOKUP($B998,Data!$B$3:$AB$1535,9,FALSE),VLOOKUP($B998,Data!$B$3:$AB$1535,4,FALSE)),"")</f>
        <v>0.6566855141</v>
      </c>
      <c r="D998" s="48">
        <f>IFERROR(DIVIDE(VLOOKUP($B998,Data!$B$3:$AB$1535,24,FALSE),VLOOKUP($B998,Data!$B$3:$AB$1535,4,FALSE)),"")</f>
        <v>0</v>
      </c>
      <c r="E998" s="48">
        <f>IFERROR(DIVIDE(VLOOKUP($B998,Data!$B$3:$EZ1530,29,FALSE),VLOOKUP($B998,Data!$B$3:$EZ1530,4,FALSE)),"")</f>
        <v>-0.3219718086</v>
      </c>
      <c r="F998" s="48">
        <f>IFERROR(DIVIDE(VLOOKUP($B998,Data!$B$3:$EZ1530,34,FALSE),VLOOKUP($B998,Data!$B$3:$EZ1530,4,FALSE)),"")</f>
        <v>-0.5968782352</v>
      </c>
      <c r="G998" s="48">
        <f>IFERROR(DIVIDE(VLOOKUP($B998,Data!$B$3:$EZ1530,39,FALSE),VLOOKUP($B998,Data!$B$3:$EZ1530,4,FALSE)),"")</f>
        <v>-0.3241220037</v>
      </c>
      <c r="H998" s="48">
        <f>IFERROR(DIVIDE(VLOOKUP($B998,Data!$B$3:$EZ1530,44,FALSE),VLOOKUP($B998,Data!$B$3:$EZ1530,4,FALSE)),"")</f>
        <v>-0.6922035518</v>
      </c>
      <c r="I998" s="48">
        <f>IFERROR(MINUS(DIVIDE(VLOOKUP($B998,Data!$B$3:$EZ1530,9,FALSE),VLOOKUP($B998,Data!$B$3:$EZ1530,10,FALSE)),1),"")</f>
        <v>0.1713068182</v>
      </c>
      <c r="J998" s="48" t="str">
        <f>IFERROR(MINUS(DIVIDE(VLOOKUP($B998,Data!$B$3:$EZ1530,24,FALSE),VLOOKUP($B998,Data!$B$3:$EZ1530,25,FALSE)),1),"")</f>
        <v/>
      </c>
      <c r="K998" s="48">
        <f>IFERROR(MINUS(DIVIDE(VLOOKUP($B998,Data!$B$3:$EZ1530,29,FALSE),VLOOKUP($B998,Data!$B$3:$EZ1530,30,FALSE)),1),"")</f>
        <v>-0.47595593</v>
      </c>
      <c r="L998" s="48">
        <f>IFERROR(MINUS(DIVIDE(VLOOKUP($B998,Data!$B$3:$EZ1530,34,FALSE),VLOOKUP($B998,Data!$B$3:$EZ1530,35,FALSE)),1),"")</f>
        <v>0.1474280465</v>
      </c>
      <c r="M998" s="48">
        <f>IFERROR(MINUS(DIVIDE(VLOOKUP($B998,Data!$B$3:$EZ1530,39,FALSE),VLOOKUP($B998,Data!$B$3:$EZ1530,40,FALSE)),1),"")</f>
        <v>-0.4741602067</v>
      </c>
      <c r="N998" s="48">
        <f>IFERROR(MINUS(DIVIDE(VLOOKUP($B998,Data!$B$3:$EZ1530,44,FALSE),VLOOKUP($B998,Data!$B$3:$EZ1530,45,FALSE)),1),"")</f>
        <v>0.607545774</v>
      </c>
      <c r="O998" s="50">
        <f>IFERROR(VLOOKUP($B998,Data!$B$3:$D1530,2,FALSE),"")</f>
        <v>145650</v>
      </c>
      <c r="P998" s="50">
        <f>IFERROR(VLOOKUP($B998,Data!$B$3:$D1530,3,FALSE),"")</f>
        <v>109500</v>
      </c>
      <c r="Q998" s="48">
        <f t="shared" si="2"/>
        <v>0.3301369863</v>
      </c>
      <c r="R998" s="48"/>
      <c r="S998" s="48"/>
      <c r="T998" s="48"/>
      <c r="U998" s="48"/>
      <c r="V998" s="48"/>
      <c r="W998" s="50"/>
      <c r="Z998" s="11"/>
      <c r="AA998" s="11"/>
    </row>
    <row r="999">
      <c r="A999" s="9">
        <f t="shared" si="1"/>
        <v>996</v>
      </c>
      <c r="B999" s="47" t="s">
        <v>1133</v>
      </c>
      <c r="C999" s="48">
        <f>IFERROR(DIVIDE(VLOOKUP($B999,Data!$B$3:$AB$1535,9,FALSE),VLOOKUP($B999,Data!$B$3:$AB$1535,4,FALSE)),"")</f>
        <v>0.1431393678</v>
      </c>
      <c r="D999" s="48">
        <f>IFERROR(DIVIDE(VLOOKUP($B999,Data!$B$3:$AB$1535,24,FALSE),VLOOKUP($B999,Data!$B$3:$AB$1535,4,FALSE)),"")</f>
        <v>0.06591235632</v>
      </c>
      <c r="E999" s="48">
        <f>IFERROR(DIVIDE(VLOOKUP($B999,Data!$B$3:$EZ1530,29,FALSE),VLOOKUP($B999,Data!$B$3:$EZ1530,4,FALSE)),"")</f>
        <v>0.08890086207</v>
      </c>
      <c r="F999" s="48">
        <f>IFERROR(DIVIDE(VLOOKUP($B999,Data!$B$3:$EZ1530,34,FALSE),VLOOKUP($B999,Data!$B$3:$EZ1530,4,FALSE)),"")</f>
        <v>0.1458333333</v>
      </c>
      <c r="G999" s="48">
        <f>IFERROR(DIVIDE(VLOOKUP($B999,Data!$B$3:$EZ1530,39,FALSE),VLOOKUP($B999,Data!$B$3:$EZ1530,4,FALSE)),"")</f>
        <v>0.06914511494</v>
      </c>
      <c r="H999" s="48">
        <f>IFERROR(DIVIDE(VLOOKUP($B999,Data!$B$3:$EZ1530,44,FALSE),VLOOKUP($B999,Data!$B$3:$EZ1530,4,FALSE)),"")</f>
        <v>0.1343390805</v>
      </c>
      <c r="I999" s="48">
        <f>IFERROR(MINUS(DIVIDE(VLOOKUP($B999,Data!$B$3:$EZ1530,9,FALSE),VLOOKUP($B999,Data!$B$3:$EZ1530,10,FALSE)),1),"")</f>
        <v>-0.1689259645</v>
      </c>
      <c r="J999" s="48">
        <f>IFERROR(MINUS(DIVIDE(VLOOKUP($B999,Data!$B$3:$EZ1530,24,FALSE),VLOOKUP($B999,Data!$B$3:$EZ1530,25,FALSE)),1),"")</f>
        <v>0.3107142857</v>
      </c>
      <c r="K999" s="48">
        <f>IFERROR(MINUS(DIVIDE(VLOOKUP($B999,Data!$B$3:$EZ1530,29,FALSE),VLOOKUP($B999,Data!$B$3:$EZ1530,30,FALSE)),1),"")</f>
        <v>0.2073170732</v>
      </c>
      <c r="L999" s="48">
        <f>IFERROR(MINUS(DIVIDE(VLOOKUP($B999,Data!$B$3:$EZ1530,34,FALSE),VLOOKUP($B999,Data!$B$3:$EZ1530,35,FALSE)),1),"")</f>
        <v>-0.007334963325</v>
      </c>
      <c r="M999" s="48">
        <f>IFERROR(MINUS(DIVIDE(VLOOKUP($B999,Data!$B$3:$EZ1530,39,FALSE),VLOOKUP($B999,Data!$B$3:$EZ1530,40,FALSE)),1),"")</f>
        <v>0.1390532544</v>
      </c>
      <c r="N999" s="48">
        <f>IFERROR(MINUS(DIVIDE(VLOOKUP($B999,Data!$B$3:$EZ1530,44,FALSE),VLOOKUP($B999,Data!$B$3:$EZ1530,45,FALSE)),1),"")</f>
        <v>0.06704707561</v>
      </c>
      <c r="O999" s="50" t="str">
        <f>IFERROR(VLOOKUP($B999,Data!$B$3:$D1530,2,FALSE),"")</f>
        <v/>
      </c>
      <c r="P999" s="50" t="str">
        <f>IFERROR(VLOOKUP($B999,Data!$B$3:$D1530,3,FALSE),"")</f>
        <v/>
      </c>
      <c r="Q999" s="48" t="str">
        <f t="shared" si="2"/>
        <v/>
      </c>
      <c r="R999" s="48"/>
      <c r="S999" s="48"/>
      <c r="T999" s="48"/>
      <c r="U999" s="48"/>
      <c r="V999" s="48"/>
      <c r="W999" s="50"/>
      <c r="Z999" s="11"/>
      <c r="AA999" s="11"/>
    </row>
    <row r="1000">
      <c r="A1000" s="9">
        <f t="shared" si="1"/>
        <v>997</v>
      </c>
      <c r="B1000" s="47" t="s">
        <v>1134</v>
      </c>
      <c r="C1000" s="48">
        <f>IFERROR(DIVIDE(VLOOKUP($B1000,Data!$B$3:$AB$1535,9,FALSE),VLOOKUP($B1000,Data!$B$3:$AB$1535,4,FALSE)),"")</f>
        <v>0</v>
      </c>
      <c r="D1000" s="48">
        <f>IFERROR(DIVIDE(VLOOKUP($B1000,Data!$B$3:$AB$1535,24,FALSE),VLOOKUP($B1000,Data!$B$3:$AB$1535,4,FALSE)),"")</f>
        <v>0</v>
      </c>
      <c r="E1000" s="48">
        <f>IFERROR(DIVIDE(VLOOKUP($B1000,Data!$B$3:$EZ1530,29,FALSE),VLOOKUP($B1000,Data!$B$3:$EZ1530,4,FALSE)),"")</f>
        <v>-2.309280742</v>
      </c>
      <c r="F1000" s="48">
        <f>IFERROR(DIVIDE(VLOOKUP($B1000,Data!$B$3:$EZ1530,34,FALSE),VLOOKUP($B1000,Data!$B$3:$EZ1530,4,FALSE)),"")</f>
        <v>-2.338283063</v>
      </c>
      <c r="G1000" s="48">
        <f>IFERROR(DIVIDE(VLOOKUP($B1000,Data!$B$3:$EZ1530,39,FALSE),VLOOKUP($B1000,Data!$B$3:$EZ1530,4,FALSE)),"")</f>
        <v>-2.309280742</v>
      </c>
      <c r="H1000" s="48">
        <f>IFERROR(DIVIDE(VLOOKUP($B1000,Data!$B$3:$EZ1530,44,FALSE),VLOOKUP($B1000,Data!$B$3:$EZ1530,4,FALSE)),"")</f>
        <v>-2.284686775</v>
      </c>
      <c r="I1000" s="48" t="str">
        <f>IFERROR(MINUS(DIVIDE(VLOOKUP($B1000,Data!$B$3:$EZ1530,9,FALSE),VLOOKUP($B1000,Data!$B$3:$EZ1530,10,FALSE)),1),"")</f>
        <v/>
      </c>
      <c r="J1000" s="48" t="str">
        <f>IFERROR(MINUS(DIVIDE(VLOOKUP($B1000,Data!$B$3:$EZ1530,24,FALSE),VLOOKUP($B1000,Data!$B$3:$EZ1530,25,FALSE)),1),"")</f>
        <v/>
      </c>
      <c r="K1000" s="48">
        <f>IFERROR(MINUS(DIVIDE(VLOOKUP($B1000,Data!$B$3:$EZ1530,29,FALSE),VLOOKUP($B1000,Data!$B$3:$EZ1530,30,FALSE)),1),"")</f>
        <v>0.1662760722</v>
      </c>
      <c r="L1000" s="48">
        <f>IFERROR(MINUS(DIVIDE(VLOOKUP($B1000,Data!$B$3:$EZ1530,34,FALSE),VLOOKUP($B1000,Data!$B$3:$EZ1530,35,FALSE)),1),"")</f>
        <v>0.1663001967</v>
      </c>
      <c r="M1000" s="48">
        <f>IFERROR(MINUS(DIVIDE(VLOOKUP($B1000,Data!$B$3:$EZ1530,39,FALSE),VLOOKUP($B1000,Data!$B$3:$EZ1530,40,FALSE)),1),"")</f>
        <v>0.1662760722</v>
      </c>
      <c r="N1000" s="48">
        <f>IFERROR(MINUS(DIVIDE(VLOOKUP($B1000,Data!$B$3:$EZ1530,44,FALSE),VLOOKUP($B1000,Data!$B$3:$EZ1530,45,FALSE)),1),"")</f>
        <v>0.6074110349</v>
      </c>
      <c r="O1000" s="50">
        <f>IFERROR(VLOOKUP($B1000,Data!$B$3:$D1530,2,FALSE),"")</f>
        <v>39390</v>
      </c>
      <c r="P1000" s="50">
        <f>IFERROR(VLOOKUP($B1000,Data!$B$3:$D1530,3,FALSE),"")</f>
        <v>59040</v>
      </c>
      <c r="Q1000" s="48">
        <f t="shared" si="2"/>
        <v>-0.3328252033</v>
      </c>
      <c r="R1000" s="48"/>
      <c r="S1000" s="48"/>
      <c r="T1000" s="48"/>
      <c r="U1000" s="48"/>
      <c r="V1000" s="48"/>
      <c r="W1000" s="50"/>
      <c r="Z1000" s="11"/>
      <c r="AA1000" s="11"/>
    </row>
    <row r="1001">
      <c r="A1001" s="9">
        <f t="shared" si="1"/>
        <v>998</v>
      </c>
      <c r="B1001" s="47" t="s">
        <v>1135</v>
      </c>
      <c r="C1001" s="48">
        <f>IFERROR(DIVIDE(VLOOKUP($B1001,Data!$B$3:$AB$1535,9,FALSE),VLOOKUP($B1001,Data!$B$3:$AB$1535,4,FALSE)),"")</f>
        <v>0.6037354871</v>
      </c>
      <c r="D1001" s="48">
        <f>IFERROR(DIVIDE(VLOOKUP($B1001,Data!$B$3:$AB$1535,24,FALSE),VLOOKUP($B1001,Data!$B$3:$AB$1535,4,FALSE)),"")</f>
        <v>-0.08884401817</v>
      </c>
      <c r="E1001" s="48">
        <f>IFERROR(DIVIDE(VLOOKUP($B1001,Data!$B$3:$EZ1530,29,FALSE),VLOOKUP($B1001,Data!$B$3:$EZ1530,4,FALSE)),"")</f>
        <v>-0.1019687027</v>
      </c>
      <c r="F1001" s="48">
        <f>IFERROR(DIVIDE(VLOOKUP($B1001,Data!$B$3:$EZ1530,34,FALSE),VLOOKUP($B1001,Data!$B$3:$EZ1530,4,FALSE)),"")</f>
        <v>0.09893992933</v>
      </c>
      <c r="G1001" s="48">
        <f>IFERROR(DIVIDE(VLOOKUP($B1001,Data!$B$3:$EZ1530,39,FALSE),VLOOKUP($B1001,Data!$B$3:$EZ1530,4,FALSE)),"")</f>
        <v>-0.1034830893</v>
      </c>
      <c r="H1001" s="48">
        <f>IFERROR(DIVIDE(VLOOKUP($B1001,Data!$B$3:$EZ1530,44,FALSE),VLOOKUP($B1001,Data!$B$3:$EZ1530,4,FALSE)),"")</f>
        <v>0.1494194851</v>
      </c>
      <c r="I1001" s="48">
        <f>IFERROR(MINUS(DIVIDE(VLOOKUP($B1001,Data!$B$3:$EZ1530,9,FALSE),VLOOKUP($B1001,Data!$B$3:$EZ1530,10,FALSE)),1),"")</f>
        <v>-0.2</v>
      </c>
      <c r="J1001" s="48" t="str">
        <f>IFERROR(MINUS(DIVIDE(VLOOKUP($B1001,Data!$B$3:$EZ1530,24,FALSE),VLOOKUP($B1001,Data!$B$3:$EZ1530,25,FALSE)),1),"")</f>
        <v/>
      </c>
      <c r="K1001" s="48" t="str">
        <f>IFERROR(MINUS(DIVIDE(VLOOKUP($B1001,Data!$B$3:$EZ1530,29,FALSE),VLOOKUP($B1001,Data!$B$3:$EZ1530,30,FALSE)),1),"")</f>
        <v/>
      </c>
      <c r="L1001" s="48">
        <f>IFERROR(MINUS(DIVIDE(VLOOKUP($B1001,Data!$B$3:$EZ1530,34,FALSE),VLOOKUP($B1001,Data!$B$3:$EZ1530,35,FALSE)),1),"")</f>
        <v>-0.3931888545</v>
      </c>
      <c r="M1001" s="48" t="str">
        <f>IFERROR(MINUS(DIVIDE(VLOOKUP($B1001,Data!$B$3:$EZ1530,39,FALSE),VLOOKUP($B1001,Data!$B$3:$EZ1530,40,FALSE)),1),"")</f>
        <v/>
      </c>
      <c r="N1001" s="48">
        <f>IFERROR(MINUS(DIVIDE(VLOOKUP($B1001,Data!$B$3:$EZ1530,44,FALSE),VLOOKUP($B1001,Data!$B$3:$EZ1530,45,FALSE)),1),"")</f>
        <v>1.160583942</v>
      </c>
      <c r="O1001" s="50" t="str">
        <f>IFERROR(VLOOKUP($B1001,Data!$B$3:$D1530,2,FALSE),"")</f>
        <v/>
      </c>
      <c r="P1001" s="50">
        <f>IFERROR(VLOOKUP($B1001,Data!$B$3:$D1530,3,FALSE),"")</f>
        <v>25630</v>
      </c>
      <c r="Q1001" s="48">
        <f t="shared" si="2"/>
        <v>-1</v>
      </c>
      <c r="R1001" s="48"/>
      <c r="S1001" s="48"/>
      <c r="T1001" s="48"/>
      <c r="U1001" s="48"/>
      <c r="V1001" s="48"/>
      <c r="W1001" s="50"/>
      <c r="Z1001" s="12"/>
      <c r="AA1001" s="12"/>
    </row>
    <row r="1002">
      <c r="A1002" s="9">
        <f t="shared" si="1"/>
        <v>999</v>
      </c>
      <c r="B1002" s="47" t="s">
        <v>1136</v>
      </c>
      <c r="C1002" s="48">
        <f>IFERROR(DIVIDE(VLOOKUP($B1002,Data!$B$3:$AB$1535,9,FALSE),VLOOKUP($B1002,Data!$B$3:$AB$1535,4,FALSE)),"")</f>
        <v>0.238238615</v>
      </c>
      <c r="D1002" s="48">
        <f>IFERROR(DIVIDE(VLOOKUP($B1002,Data!$B$3:$AB$1535,24,FALSE),VLOOKUP($B1002,Data!$B$3:$AB$1535,4,FALSE)),"")</f>
        <v>0.09183289424</v>
      </c>
      <c r="E1002" s="48">
        <f>IFERROR(DIVIDE(VLOOKUP($B1002,Data!$B$3:$EZ1530,29,FALSE),VLOOKUP($B1002,Data!$B$3:$EZ1530,4,FALSE)),"")</f>
        <v>0.06210011291</v>
      </c>
      <c r="F1002" s="48">
        <f>IFERROR(DIVIDE(VLOOKUP($B1002,Data!$B$3:$EZ1530,34,FALSE),VLOOKUP($B1002,Data!$B$3:$EZ1530,4,FALSE)),"")</f>
        <v>0.1953330824</v>
      </c>
      <c r="G1002" s="48">
        <f>IFERROR(DIVIDE(VLOOKUP($B1002,Data!$B$3:$EZ1530,39,FALSE),VLOOKUP($B1002,Data!$B$3:$EZ1530,4,FALSE)),"")</f>
        <v>0.04968009033</v>
      </c>
      <c r="H1002" s="48">
        <f>IFERROR(DIVIDE(VLOOKUP($B1002,Data!$B$3:$EZ1530,44,FALSE),VLOOKUP($B1002,Data!$B$3:$EZ1530,4,FALSE)),"")</f>
        <v>0.1814076026</v>
      </c>
      <c r="I1002" s="48">
        <f>IFERROR(MINUS(DIVIDE(VLOOKUP($B1002,Data!$B$3:$EZ1530,9,FALSE),VLOOKUP($B1002,Data!$B$3:$EZ1530,10,FALSE)),1),"")</f>
        <v>0.02096774194</v>
      </c>
      <c r="J1002" s="48">
        <f>IFERROR(MINUS(DIVIDE(VLOOKUP($B1002,Data!$B$3:$EZ1530,24,FALSE),VLOOKUP($B1002,Data!$B$3:$EZ1530,25,FALSE)),1),"")</f>
        <v>3.790042993</v>
      </c>
      <c r="K1002" s="48">
        <f>IFERROR(MINUS(DIVIDE(VLOOKUP($B1002,Data!$B$3:$EZ1530,29,FALSE),VLOOKUP($B1002,Data!$B$3:$EZ1530,30,FALSE)),1),"")</f>
        <v>-11.26630164</v>
      </c>
      <c r="L1002" s="48">
        <f>IFERROR(MINUS(DIVIDE(VLOOKUP($B1002,Data!$B$3:$EZ1530,34,FALSE),VLOOKUP($B1002,Data!$B$3:$EZ1530,35,FALSE)),1),"")</f>
        <v>0.038</v>
      </c>
      <c r="M1002" s="48">
        <f>IFERROR(MINUS(DIVIDE(VLOOKUP($B1002,Data!$B$3:$EZ1530,39,FALSE),VLOOKUP($B1002,Data!$B$3:$EZ1530,40,FALSE)),1),"")</f>
        <v>-33.85216526</v>
      </c>
      <c r="N1002" s="48">
        <f>IFERROR(MINUS(DIVIDE(VLOOKUP($B1002,Data!$B$3:$EZ1530,44,FALSE),VLOOKUP($B1002,Data!$B$3:$EZ1530,45,FALSE)),1),"")</f>
        <v>0.8326996198</v>
      </c>
      <c r="O1002" s="50">
        <f>IFERROR(VLOOKUP($B1002,Data!$B$3:$D1530,2,FALSE),"")</f>
        <v>19510000</v>
      </c>
      <c r="P1002" s="50">
        <f>IFERROR(VLOOKUP($B1002,Data!$B$3:$D1530,3,FALSE),"")</f>
        <v>18900000</v>
      </c>
      <c r="Q1002" s="48">
        <f t="shared" si="2"/>
        <v>0.03227513228</v>
      </c>
      <c r="R1002" s="48"/>
      <c r="S1002" s="48"/>
      <c r="T1002" s="48"/>
      <c r="U1002" s="48"/>
      <c r="V1002" s="48"/>
      <c r="W1002" s="50"/>
      <c r="Z1002" s="11"/>
      <c r="AA1002" s="11"/>
    </row>
    <row r="1003">
      <c r="A1003" s="9">
        <f t="shared" si="1"/>
        <v>1000</v>
      </c>
      <c r="B1003" s="47" t="s">
        <v>1137</v>
      </c>
      <c r="C1003" s="48">
        <f>IFERROR(DIVIDE(VLOOKUP($B1003,Data!$B$3:$AB$1535,9,FALSE),VLOOKUP($B1003,Data!$B$3:$AB$1535,4,FALSE)),"")</f>
        <v>0.4196077134</v>
      </c>
      <c r="D1003" s="48">
        <f>IFERROR(DIVIDE(VLOOKUP($B1003,Data!$B$3:$AB$1535,24,FALSE),VLOOKUP($B1003,Data!$B$3:$AB$1535,4,FALSE)),"")</f>
        <v>0</v>
      </c>
      <c r="E1003" s="48">
        <f>IFERROR(DIVIDE(VLOOKUP($B1003,Data!$B$3:$EZ1530,29,FALSE),VLOOKUP($B1003,Data!$B$3:$EZ1530,4,FALSE)),"")</f>
        <v>0</v>
      </c>
      <c r="F1003" s="48">
        <f>IFERROR(DIVIDE(VLOOKUP($B1003,Data!$B$3:$EZ1530,34,FALSE),VLOOKUP($B1003,Data!$B$3:$EZ1530,4,FALSE)),"")</f>
        <v>0</v>
      </c>
      <c r="G1003" s="48">
        <f>IFERROR(DIVIDE(VLOOKUP($B1003,Data!$B$3:$EZ1530,39,FALSE),VLOOKUP($B1003,Data!$B$3:$EZ1530,4,FALSE)),"")</f>
        <v>0</v>
      </c>
      <c r="H1003" s="48">
        <f>IFERROR(DIVIDE(VLOOKUP($B1003,Data!$B$3:$EZ1530,44,FALSE),VLOOKUP($B1003,Data!$B$3:$EZ1530,4,FALSE)),"")</f>
        <v>0</v>
      </c>
      <c r="I1003" s="48">
        <f>IFERROR(MINUS(DIVIDE(VLOOKUP($B1003,Data!$B$3:$EZ1530,9,FALSE),VLOOKUP($B1003,Data!$B$3:$EZ1530,10,FALSE)),1),"")</f>
        <v>0.3849344978</v>
      </c>
      <c r="J1003" s="48" t="str">
        <f>IFERROR(MINUS(DIVIDE(VLOOKUP($B1003,Data!$B$3:$EZ1530,24,FALSE),VLOOKUP($B1003,Data!$B$3:$EZ1530,25,FALSE)),1),"")</f>
        <v/>
      </c>
      <c r="K1003" s="48" t="str">
        <f>IFERROR(MINUS(DIVIDE(VLOOKUP($B1003,Data!$B$3:$EZ1530,29,FALSE),VLOOKUP($B1003,Data!$B$3:$EZ1530,30,FALSE)),1),"")</f>
        <v/>
      </c>
      <c r="L1003" s="48" t="str">
        <f>IFERROR(MINUS(DIVIDE(VLOOKUP($B1003,Data!$B$3:$EZ1530,34,FALSE),VLOOKUP($B1003,Data!$B$3:$EZ1530,35,FALSE)),1),"")</f>
        <v/>
      </c>
      <c r="M1003" s="48" t="str">
        <f>IFERROR(MINUS(DIVIDE(VLOOKUP($B1003,Data!$B$3:$EZ1530,39,FALSE),VLOOKUP($B1003,Data!$B$3:$EZ1530,40,FALSE)),1),"")</f>
        <v/>
      </c>
      <c r="N1003" s="48" t="str">
        <f>IFERROR(MINUS(DIVIDE(VLOOKUP($B1003,Data!$B$3:$EZ1530,44,FALSE),VLOOKUP($B1003,Data!$B$3:$EZ1530,45,FALSE)),1),"")</f>
        <v/>
      </c>
      <c r="O1003" s="50">
        <f>IFERROR(VLOOKUP($B1003,Data!$B$3:$D1530,2,FALSE),"")</f>
        <v>393790</v>
      </c>
      <c r="P1003" s="50">
        <f>IFERROR(VLOOKUP($B1003,Data!$B$3:$D1530,3,FALSE),"")</f>
        <v>335500</v>
      </c>
      <c r="Q1003" s="48">
        <f t="shared" si="2"/>
        <v>0.1737406855</v>
      </c>
      <c r="R1003" s="48"/>
      <c r="S1003" s="48"/>
      <c r="T1003" s="48"/>
      <c r="U1003" s="48"/>
      <c r="V1003" s="48"/>
      <c r="W1003" s="50"/>
      <c r="Z1003" s="12"/>
      <c r="AA1003" s="12"/>
    </row>
    <row r="1004">
      <c r="A1004" s="9">
        <f t="shared" si="1"/>
        <v>1001</v>
      </c>
      <c r="B1004" s="47" t="s">
        <v>1138</v>
      </c>
      <c r="C1004" s="48">
        <f>IFERROR(DIVIDE(VLOOKUP($B1004,Data!$B$3:$AB$1535,9,FALSE),VLOOKUP($B1004,Data!$B$3:$AB$1535,4,FALSE)),"")</f>
        <v>0.1186365649</v>
      </c>
      <c r="D1004" s="48">
        <f>IFERROR(DIVIDE(VLOOKUP($B1004,Data!$B$3:$AB$1535,24,FALSE),VLOOKUP($B1004,Data!$B$3:$AB$1535,4,FALSE)),"")</f>
        <v>0.08277999115</v>
      </c>
      <c r="E1004" s="48">
        <f>IFERROR(DIVIDE(VLOOKUP($B1004,Data!$B$3:$EZ1530,29,FALSE),VLOOKUP($B1004,Data!$B$3:$EZ1530,4,FALSE)),"")</f>
        <v>0.0787959274</v>
      </c>
      <c r="F1004" s="48">
        <f>IFERROR(DIVIDE(VLOOKUP($B1004,Data!$B$3:$EZ1530,34,FALSE),VLOOKUP($B1004,Data!$B$3:$EZ1530,4,FALSE)),"")</f>
        <v>0.1181938911</v>
      </c>
      <c r="G1004" s="48">
        <f>IFERROR(DIVIDE(VLOOKUP($B1004,Data!$B$3:$EZ1530,39,FALSE),VLOOKUP($B1004,Data!$B$3:$EZ1530,4,FALSE)),"")</f>
        <v>0.05577689243</v>
      </c>
      <c r="H1004" s="48">
        <f>IFERROR(DIVIDE(VLOOKUP($B1004,Data!$B$3:$EZ1530,44,FALSE),VLOOKUP($B1004,Data!$B$3:$EZ1530,4,FALSE)),"")</f>
        <v>0.1243913236</v>
      </c>
      <c r="I1004" s="48">
        <f>IFERROR(MINUS(DIVIDE(VLOOKUP($B1004,Data!$B$3:$EZ1530,9,FALSE),VLOOKUP($B1004,Data!$B$3:$EZ1530,10,FALSE)),1),"")</f>
        <v>-0.3752913753</v>
      </c>
      <c r="J1004" s="48">
        <f>IFERROR(MINUS(DIVIDE(VLOOKUP($B1004,Data!$B$3:$EZ1530,24,FALSE),VLOOKUP($B1004,Data!$B$3:$EZ1530,25,FALSE)),1),"")</f>
        <v>-0.436746988</v>
      </c>
      <c r="K1004" s="48">
        <f>IFERROR(MINUS(DIVIDE(VLOOKUP($B1004,Data!$B$3:$EZ1530,29,FALSE),VLOOKUP($B1004,Data!$B$3:$EZ1530,30,FALSE)),1),"")</f>
        <v>-0.4489164087</v>
      </c>
      <c r="L1004" s="48">
        <f>IFERROR(MINUS(DIVIDE(VLOOKUP($B1004,Data!$B$3:$EZ1530,34,FALSE),VLOOKUP($B1004,Data!$B$3:$EZ1530,35,FALSE)),1),"")</f>
        <v>-0.3519417476</v>
      </c>
      <c r="M1004" s="48">
        <f>IFERROR(MINUS(DIVIDE(VLOOKUP($B1004,Data!$B$3:$EZ1530,39,FALSE),VLOOKUP($B1004,Data!$B$3:$EZ1530,40,FALSE)),1),"")</f>
        <v>-0.4638297872</v>
      </c>
      <c r="N1004" s="48">
        <f>IFERROR(MINUS(DIVIDE(VLOOKUP($B1004,Data!$B$3:$EZ1530,44,FALSE),VLOOKUP($B1004,Data!$B$3:$EZ1530,45,FALSE)),1),"")</f>
        <v>0.1757322176</v>
      </c>
      <c r="O1004" s="50">
        <f>IFERROR(VLOOKUP($B1004,Data!$B$3:$D1530,2,FALSE),"")</f>
        <v>20090000</v>
      </c>
      <c r="P1004" s="50">
        <f>IFERROR(VLOOKUP($B1004,Data!$B$3:$D1530,3,FALSE),"")</f>
        <v>19280000</v>
      </c>
      <c r="Q1004" s="48">
        <f t="shared" si="2"/>
        <v>0.04201244813</v>
      </c>
      <c r="R1004" s="48"/>
      <c r="S1004" s="48"/>
      <c r="T1004" s="48"/>
      <c r="U1004" s="48"/>
      <c r="V1004" s="48"/>
      <c r="W1004" s="50"/>
      <c r="Z1004" s="15"/>
      <c r="AA1004" s="15"/>
    </row>
    <row r="1005">
      <c r="A1005" s="9">
        <f t="shared" si="1"/>
        <v>1002</v>
      </c>
      <c r="B1005" s="47" t="s">
        <v>1139</v>
      </c>
      <c r="C1005" s="48">
        <f>IFERROR(DIVIDE(VLOOKUP($B1005,Data!$B$3:$AB$1535,9,FALSE),VLOOKUP($B1005,Data!$B$3:$AB$1535,4,FALSE)),"")</f>
        <v>0.7603305785</v>
      </c>
      <c r="D1005" s="48">
        <f>IFERROR(DIVIDE(VLOOKUP($B1005,Data!$B$3:$AB$1535,24,FALSE),VLOOKUP($B1005,Data!$B$3:$AB$1535,4,FALSE)),"")</f>
        <v>0</v>
      </c>
      <c r="E1005" s="48">
        <f>IFERROR(DIVIDE(VLOOKUP($B1005,Data!$B$3:$EZ1530,29,FALSE),VLOOKUP($B1005,Data!$B$3:$EZ1530,4,FALSE)),"")</f>
        <v>0.1054421488</v>
      </c>
      <c r="F1005" s="48">
        <f>IFERROR(DIVIDE(VLOOKUP($B1005,Data!$B$3:$EZ1530,34,FALSE),VLOOKUP($B1005,Data!$B$3:$EZ1530,4,FALSE)),"")</f>
        <v>0.160553719</v>
      </c>
      <c r="G1005" s="48">
        <f>IFERROR(DIVIDE(VLOOKUP($B1005,Data!$B$3:$EZ1530,39,FALSE),VLOOKUP($B1005,Data!$B$3:$EZ1530,4,FALSE)),"")</f>
        <v>0.07171487603</v>
      </c>
      <c r="H1005" s="48">
        <f>IFERROR(DIVIDE(VLOOKUP($B1005,Data!$B$3:$EZ1530,44,FALSE),VLOOKUP($B1005,Data!$B$3:$EZ1530,4,FALSE)),"")</f>
        <v>0.07352479339</v>
      </c>
      <c r="I1005" s="48">
        <f>IFERROR(MINUS(DIVIDE(VLOOKUP($B1005,Data!$B$3:$EZ1530,9,FALSE),VLOOKUP($B1005,Data!$B$3:$EZ1530,10,FALSE)),1),"")</f>
        <v>-0.09803921569</v>
      </c>
      <c r="J1005" s="48">
        <f>IFERROR(MINUS(DIVIDE(VLOOKUP($B1005,Data!$B$3:$EZ1530,24,FALSE),VLOOKUP($B1005,Data!$B$3:$EZ1530,25,FALSE)),1),"")</f>
        <v>-1</v>
      </c>
      <c r="K1005" s="48">
        <f>IFERROR(MINUS(DIVIDE(VLOOKUP($B1005,Data!$B$3:$EZ1530,29,FALSE),VLOOKUP($B1005,Data!$B$3:$EZ1530,30,FALSE)),1),"")</f>
        <v>0.1616060454</v>
      </c>
      <c r="L1005" s="48">
        <f>IFERROR(MINUS(DIVIDE(VLOOKUP($B1005,Data!$B$3:$EZ1530,34,FALSE),VLOOKUP($B1005,Data!$B$3:$EZ1530,35,FALSE)),1),"")</f>
        <v>-0.01518262236</v>
      </c>
      <c r="M1005" s="48">
        <f>IFERROR(MINUS(DIVIDE(VLOOKUP($B1005,Data!$B$3:$EZ1530,39,FALSE),VLOOKUP($B1005,Data!$B$3:$EZ1530,40,FALSE)),1),"")</f>
        <v>0.42382476</v>
      </c>
      <c r="N1005" s="48">
        <f>IFERROR(MINUS(DIVIDE(VLOOKUP($B1005,Data!$B$3:$EZ1530,44,FALSE),VLOOKUP($B1005,Data!$B$3:$EZ1530,45,FALSE)),1),"")</f>
        <v>-0.1223734833</v>
      </c>
      <c r="O1005" s="50">
        <f>IFERROR(VLOOKUP($B1005,Data!$B$3:$D1530,2,FALSE),"")</f>
        <v>2520000</v>
      </c>
      <c r="P1005" s="50">
        <f>IFERROR(VLOOKUP($B1005,Data!$B$3:$D1530,3,FALSE),"")</f>
        <v>2420000</v>
      </c>
      <c r="Q1005" s="48">
        <f t="shared" si="2"/>
        <v>0.04132231405</v>
      </c>
      <c r="R1005" s="48"/>
      <c r="S1005" s="48"/>
      <c r="T1005" s="48"/>
      <c r="U1005" s="48"/>
      <c r="V1005" s="48"/>
      <c r="W1005" s="50"/>
      <c r="Z1005" s="11"/>
      <c r="AA1005" s="11"/>
    </row>
    <row r="1006">
      <c r="A1006" s="9">
        <f t="shared" si="1"/>
        <v>1003</v>
      </c>
      <c r="B1006" s="47" t="s">
        <v>1140</v>
      </c>
      <c r="C1006" s="48">
        <f>IFERROR(DIVIDE(VLOOKUP($B1006,Data!$B$3:$AB$1535,9,FALSE),VLOOKUP($B1006,Data!$B$3:$AB$1535,4,FALSE)),"")</f>
        <v>0</v>
      </c>
      <c r="D1006" s="48">
        <f>IFERROR(DIVIDE(VLOOKUP($B1006,Data!$B$3:$AB$1535,24,FALSE),VLOOKUP($B1006,Data!$B$3:$AB$1535,4,FALSE)),"")</f>
        <v>0</v>
      </c>
      <c r="E1006" s="48">
        <f>IFERROR(DIVIDE(VLOOKUP($B1006,Data!$B$3:$EZ1530,29,FALSE),VLOOKUP($B1006,Data!$B$3:$EZ1530,4,FALSE)),"")</f>
        <v>-7.110932476</v>
      </c>
      <c r="F1006" s="48">
        <f>IFERROR(DIVIDE(VLOOKUP($B1006,Data!$B$3:$EZ1530,34,FALSE),VLOOKUP($B1006,Data!$B$3:$EZ1530,4,FALSE)),"")</f>
        <v>-6.634512326</v>
      </c>
      <c r="G1006" s="48">
        <f>IFERROR(DIVIDE(VLOOKUP($B1006,Data!$B$3:$EZ1530,39,FALSE),VLOOKUP($B1006,Data!$B$3:$EZ1530,4,FALSE)),"")</f>
        <v>-7.110932476</v>
      </c>
      <c r="H1006" s="48">
        <f>IFERROR(DIVIDE(VLOOKUP($B1006,Data!$B$3:$EZ1530,44,FALSE),VLOOKUP($B1006,Data!$B$3:$EZ1530,4,FALSE)),"")</f>
        <v>-7.321543408</v>
      </c>
      <c r="I1006" s="48" t="str">
        <f>IFERROR(MINUS(DIVIDE(VLOOKUP($B1006,Data!$B$3:$EZ1530,9,FALSE),VLOOKUP($B1006,Data!$B$3:$EZ1530,10,FALSE)),1),"")</f>
        <v/>
      </c>
      <c r="J1006" s="48" t="str">
        <f>IFERROR(MINUS(DIVIDE(VLOOKUP($B1006,Data!$B$3:$EZ1530,24,FALSE),VLOOKUP($B1006,Data!$B$3:$EZ1530,25,FALSE)),1),"")</f>
        <v/>
      </c>
      <c r="K1006" s="48">
        <f>IFERROR(MINUS(DIVIDE(VLOOKUP($B1006,Data!$B$3:$EZ1530,29,FALSE),VLOOKUP($B1006,Data!$B$3:$EZ1530,30,FALSE)),1),"")</f>
        <v>-0.2817861976</v>
      </c>
      <c r="L1006" s="48">
        <f>IFERROR(MINUS(DIVIDE(VLOOKUP($B1006,Data!$B$3:$EZ1530,34,FALSE),VLOOKUP($B1006,Data!$B$3:$EZ1530,35,FALSE)),1),"")</f>
        <v>-0.2531370656</v>
      </c>
      <c r="M1006" s="48">
        <f>IFERROR(MINUS(DIVIDE(VLOOKUP($B1006,Data!$B$3:$EZ1530,39,FALSE),VLOOKUP($B1006,Data!$B$3:$EZ1530,40,FALSE)),1),"")</f>
        <v>-0.2817861976</v>
      </c>
      <c r="N1006" s="48">
        <f>IFERROR(MINUS(DIVIDE(VLOOKUP($B1006,Data!$B$3:$EZ1530,44,FALSE),VLOOKUP($B1006,Data!$B$3:$EZ1530,45,FALSE)),1),"")</f>
        <v>-0.2608342801</v>
      </c>
      <c r="O1006" s="50">
        <f>IFERROR(VLOOKUP($B1006,Data!$B$3:$D1530,2,FALSE),"")</f>
        <v>2740000</v>
      </c>
      <c r="P1006" s="50">
        <f>IFERROR(VLOOKUP($B1006,Data!$B$3:$D1530,3,FALSE),"")</f>
        <v>1170000</v>
      </c>
      <c r="Q1006" s="48">
        <f t="shared" si="2"/>
        <v>1.341880342</v>
      </c>
      <c r="R1006" s="48"/>
      <c r="S1006" s="48"/>
      <c r="T1006" s="48"/>
      <c r="U1006" s="48"/>
      <c r="V1006" s="48"/>
      <c r="W1006" s="50"/>
      <c r="Z1006" s="15"/>
      <c r="AA1006" s="15"/>
    </row>
    <row r="1007">
      <c r="A1007" s="9">
        <f t="shared" si="1"/>
        <v>1004</v>
      </c>
      <c r="B1007" s="54" t="s">
        <v>1141</v>
      </c>
      <c r="C1007" s="48">
        <f>IFERROR(DIVIDE(VLOOKUP($B1007,Data!$B$3:$AB$1535,9,FALSE),VLOOKUP($B1007,Data!$B$3:$AB$1535,4,FALSE)),"")</f>
        <v>0.6208791209</v>
      </c>
      <c r="D1007" s="48">
        <f>IFERROR(DIVIDE(VLOOKUP($B1007,Data!$B$3:$AB$1535,24,FALSE),VLOOKUP($B1007,Data!$B$3:$AB$1535,4,FALSE)),"")</f>
        <v>0.260989011</v>
      </c>
      <c r="E1007" s="48">
        <f>IFERROR(DIVIDE(VLOOKUP($B1007,Data!$B$3:$EZ1530,29,FALSE),VLOOKUP($B1007,Data!$B$3:$EZ1530,4,FALSE)),"")</f>
        <v>0.271978022</v>
      </c>
      <c r="F1007" s="48">
        <f>IFERROR(DIVIDE(VLOOKUP($B1007,Data!$B$3:$EZ1530,34,FALSE),VLOOKUP($B1007,Data!$B$3:$EZ1530,4,FALSE)),"")</f>
        <v>0.2994505495</v>
      </c>
      <c r="G1007" s="48">
        <f>IFERROR(DIVIDE(VLOOKUP($B1007,Data!$B$3:$EZ1530,39,FALSE),VLOOKUP($B1007,Data!$B$3:$EZ1530,4,FALSE)),"")</f>
        <v>0.2564102564</v>
      </c>
      <c r="H1007" s="48">
        <f>IFERROR(DIVIDE(VLOOKUP($B1007,Data!$B$3:$EZ1530,44,FALSE),VLOOKUP($B1007,Data!$B$3:$EZ1530,4,FALSE)),"")</f>
        <v>0.4358974359</v>
      </c>
      <c r="I1007" s="48">
        <f>IFERROR(MINUS(DIVIDE(VLOOKUP($B1007,Data!$B$3:$EZ1530,9,FALSE),VLOOKUP($B1007,Data!$B$3:$EZ1530,10,FALSE)),1),"")</f>
        <v>-0.05963938974</v>
      </c>
      <c r="J1007" s="48">
        <f>IFERROR(MINUS(DIVIDE(VLOOKUP($B1007,Data!$B$3:$EZ1530,24,FALSE),VLOOKUP($B1007,Data!$B$3:$EZ1530,25,FALSE)),1),"")</f>
        <v>-0.25</v>
      </c>
      <c r="K1007" s="48">
        <f>IFERROR(MINUS(DIVIDE(VLOOKUP($B1007,Data!$B$3:$EZ1530,29,FALSE),VLOOKUP($B1007,Data!$B$3:$EZ1530,30,FALSE)),1),"")</f>
        <v>-0.2384615385</v>
      </c>
      <c r="L1007" s="48">
        <f>IFERROR(MINUS(DIVIDE(VLOOKUP($B1007,Data!$B$3:$EZ1530,34,FALSE),VLOOKUP($B1007,Data!$B$3:$EZ1530,35,FALSE)),1),"")</f>
        <v>-0.204379562</v>
      </c>
      <c r="M1007" s="48">
        <f>IFERROR(MINUS(DIVIDE(VLOOKUP($B1007,Data!$B$3:$EZ1530,39,FALSE),VLOOKUP($B1007,Data!$B$3:$EZ1530,40,FALSE)),1),"")</f>
        <v>-0.3236714976</v>
      </c>
      <c r="N1007" s="48">
        <f>IFERROR(MINUS(DIVIDE(VLOOKUP($B1007,Data!$B$3:$EZ1530,44,FALSE),VLOOKUP($B1007,Data!$B$3:$EZ1530,45,FALSE)),1),"")</f>
        <v>0.2727272727</v>
      </c>
      <c r="O1007" s="50">
        <f>IFERROR(VLOOKUP($B1007,Data!$B$3:$D1530,2,FALSE),"")</f>
        <v>17200000</v>
      </c>
      <c r="P1007" s="50">
        <f>IFERROR(VLOOKUP($B1007,Data!$B$3:$D1530,3,FALSE),"")</f>
        <v>14640000</v>
      </c>
      <c r="Q1007" s="48">
        <f t="shared" si="2"/>
        <v>0.174863388</v>
      </c>
      <c r="R1007" s="48"/>
      <c r="S1007" s="48"/>
      <c r="T1007" s="48"/>
      <c r="U1007" s="48"/>
      <c r="V1007" s="48"/>
      <c r="W1007" s="50"/>
      <c r="Z1007" s="15"/>
      <c r="AA1007" s="15"/>
    </row>
    <row r="1008">
      <c r="A1008" s="9">
        <f t="shared" si="1"/>
        <v>1005</v>
      </c>
      <c r="B1008" s="54" t="s">
        <v>1142</v>
      </c>
      <c r="C1008" s="48">
        <f>IFERROR(DIVIDE(VLOOKUP($B1008,Data!$B$3:$AB$1535,9,FALSE),VLOOKUP($B1008,Data!$B$3:$AB$1535,4,FALSE)),"")</f>
        <v>0.8075560803</v>
      </c>
      <c r="D1008" s="48">
        <f>IFERROR(DIVIDE(VLOOKUP($B1008,Data!$B$3:$AB$1535,24,FALSE),VLOOKUP($B1008,Data!$B$3:$AB$1535,4,FALSE)),"")</f>
        <v>0</v>
      </c>
      <c r="E1008" s="48">
        <f>IFERROR(DIVIDE(VLOOKUP($B1008,Data!$B$3:$EZ1530,29,FALSE),VLOOKUP($B1008,Data!$B$3:$EZ1530,4,FALSE)),"")</f>
        <v>0.6808343172</v>
      </c>
      <c r="F1008" s="48">
        <f>IFERROR(DIVIDE(VLOOKUP($B1008,Data!$B$3:$EZ1530,34,FALSE),VLOOKUP($B1008,Data!$B$3:$EZ1530,4,FALSE)),"")</f>
        <v>0.632034632</v>
      </c>
      <c r="G1008" s="48">
        <f>IFERROR(DIVIDE(VLOOKUP($B1008,Data!$B$3:$EZ1530,39,FALSE),VLOOKUP($B1008,Data!$B$3:$EZ1530,4,FALSE)),"")</f>
        <v>0.5718221173</v>
      </c>
      <c r="H1008" s="48">
        <f>IFERROR(DIVIDE(VLOOKUP($B1008,Data!$B$3:$EZ1530,44,FALSE),VLOOKUP($B1008,Data!$B$3:$EZ1530,4,FALSE)),"")</f>
        <v>0.6257378985</v>
      </c>
      <c r="I1008" s="48">
        <f>IFERROR(MINUS(DIVIDE(VLOOKUP($B1008,Data!$B$3:$EZ1530,9,FALSE),VLOOKUP($B1008,Data!$B$3:$EZ1530,10,FALSE)),1),"")</f>
        <v>-0.03480714958</v>
      </c>
      <c r="J1008" s="48" t="str">
        <f>IFERROR(MINUS(DIVIDE(VLOOKUP($B1008,Data!$B$3:$EZ1530,24,FALSE),VLOOKUP($B1008,Data!$B$3:$EZ1530,25,FALSE)),1),"")</f>
        <v/>
      </c>
      <c r="K1008" s="48">
        <f>IFERROR(MINUS(DIVIDE(VLOOKUP($B1008,Data!$B$3:$EZ1530,29,FALSE),VLOOKUP($B1008,Data!$B$3:$EZ1530,30,FALSE)),1),"")</f>
        <v>-0.02315076228</v>
      </c>
      <c r="L1008" s="48">
        <f>IFERROR(MINUS(DIVIDE(VLOOKUP($B1008,Data!$B$3:$EZ1530,34,FALSE),VLOOKUP($B1008,Data!$B$3:$EZ1530,35,FALSE)),1),"")</f>
        <v>-0.03427540589</v>
      </c>
      <c r="M1008" s="48">
        <f>IFERROR(MINUS(DIVIDE(VLOOKUP($B1008,Data!$B$3:$EZ1530,39,FALSE),VLOOKUP($B1008,Data!$B$3:$EZ1530,40,FALSE)),1),"")</f>
        <v>0.001378359752</v>
      </c>
      <c r="N1008" s="48">
        <f>IFERROR(MINUS(DIVIDE(VLOOKUP($B1008,Data!$B$3:$EZ1530,44,FALSE),VLOOKUP($B1008,Data!$B$3:$EZ1530,45,FALSE)),1),"")</f>
        <v>0.1181434599</v>
      </c>
      <c r="O1008" s="50" t="str">
        <f>IFERROR(VLOOKUP($B1008,Data!$B$3:$D1530,2,FALSE),"")</f>
        <v/>
      </c>
      <c r="P1008" s="50" t="str">
        <f>IFERROR(VLOOKUP($B1008,Data!$B$3:$D1530,3,FALSE),"")</f>
        <v/>
      </c>
      <c r="Q1008" s="48" t="str">
        <f t="shared" si="2"/>
        <v/>
      </c>
      <c r="R1008" s="48"/>
      <c r="S1008" s="48"/>
      <c r="T1008" s="48"/>
      <c r="U1008" s="48"/>
      <c r="V1008" s="48"/>
      <c r="W1008" s="50"/>
      <c r="Z1008" s="11"/>
      <c r="AA1008" s="11"/>
    </row>
    <row r="1009">
      <c r="A1009" s="9">
        <f t="shared" si="1"/>
        <v>1006</v>
      </c>
      <c r="B1009" s="47" t="s">
        <v>1143</v>
      </c>
      <c r="C1009" s="48">
        <f>IFERROR(DIVIDE(VLOOKUP($B1009,Data!$B$3:$AB$1535,9,FALSE),VLOOKUP($B1009,Data!$B$3:$AB$1535,4,FALSE)),"")</f>
        <v>0.1774776867</v>
      </c>
      <c r="D1009" s="48">
        <f>IFERROR(DIVIDE(VLOOKUP($B1009,Data!$B$3:$AB$1535,24,FALSE),VLOOKUP($B1009,Data!$B$3:$AB$1535,4,FALSE)),"")</f>
        <v>0.1048143601</v>
      </c>
      <c r="E1009" s="48">
        <f>IFERROR(DIVIDE(VLOOKUP($B1009,Data!$B$3:$EZ1530,29,FALSE),VLOOKUP($B1009,Data!$B$3:$EZ1530,4,FALSE)),"")</f>
        <v>-0.05020073659</v>
      </c>
      <c r="F1009" s="48">
        <f>IFERROR(DIVIDE(VLOOKUP($B1009,Data!$B$3:$EZ1530,34,FALSE),VLOOKUP($B1009,Data!$B$3:$EZ1530,4,FALSE)),"")</f>
        <v>0.3609277016</v>
      </c>
      <c r="G1009" s="48">
        <f>IFERROR(DIVIDE(VLOOKUP($B1009,Data!$B$3:$EZ1530,39,FALSE),VLOOKUP($B1009,Data!$B$3:$EZ1530,4,FALSE)),"")</f>
        <v>-0.05544311357</v>
      </c>
      <c r="H1009" s="48">
        <f>IFERROR(DIVIDE(VLOOKUP($B1009,Data!$B$3:$EZ1530,44,FALSE),VLOOKUP($B1009,Data!$B$3:$EZ1530,4,FALSE)),"")</f>
        <v>0.1649026179</v>
      </c>
      <c r="I1009" s="48">
        <f>IFERROR(MINUS(DIVIDE(VLOOKUP($B1009,Data!$B$3:$EZ1530,9,FALSE),VLOOKUP($B1009,Data!$B$3:$EZ1530,10,FALSE)),1),"")</f>
        <v>-0.1145505711</v>
      </c>
      <c r="J1009" s="48">
        <f>IFERROR(MINUS(DIVIDE(VLOOKUP($B1009,Data!$B$3:$EZ1530,24,FALSE),VLOOKUP($B1009,Data!$B$3:$EZ1530,25,FALSE)),1),"")</f>
        <v>-7.133980583</v>
      </c>
      <c r="K1009" s="48">
        <f>IFERROR(MINUS(DIVIDE(VLOOKUP($B1009,Data!$B$3:$EZ1530,29,FALSE),VLOOKUP($B1009,Data!$B$3:$EZ1530,30,FALSE)),1),"")</f>
        <v>1.817504655</v>
      </c>
      <c r="L1009" s="48">
        <f>IFERROR(MINUS(DIVIDE(VLOOKUP($B1009,Data!$B$3:$EZ1530,34,FALSE),VLOOKUP($B1009,Data!$B$3:$EZ1530,35,FALSE)),1),"")</f>
        <v>-0.07515728618</v>
      </c>
      <c r="M1009" s="48">
        <f>IFERROR(MINUS(DIVIDE(VLOOKUP($B1009,Data!$B$3:$EZ1530,39,FALSE),VLOOKUP($B1009,Data!$B$3:$EZ1530,40,FALSE)),1),"")</f>
        <v>1.911149826</v>
      </c>
      <c r="N1009" s="48">
        <f>IFERROR(MINUS(DIVIDE(VLOOKUP($B1009,Data!$B$3:$EZ1530,44,FALSE),VLOOKUP($B1009,Data!$B$3:$EZ1530,45,FALSE)),1),"")</f>
        <v>-0.358875129</v>
      </c>
      <c r="O1009" s="50">
        <f>IFERROR(VLOOKUP($B1009,Data!$B$3:$D1530,2,FALSE),"")</f>
        <v>323810</v>
      </c>
      <c r="P1009" s="50">
        <f>IFERROR(VLOOKUP($B1009,Data!$B$3:$D1530,3,FALSE),"")</f>
        <v>299490</v>
      </c>
      <c r="Q1009" s="48">
        <f t="shared" si="2"/>
        <v>0.08120471468</v>
      </c>
      <c r="R1009" s="48"/>
      <c r="S1009" s="48"/>
      <c r="T1009" s="48"/>
      <c r="U1009" s="48"/>
      <c r="V1009" s="48"/>
      <c r="W1009" s="50"/>
      <c r="Z1009" s="15"/>
      <c r="AA1009" s="15"/>
    </row>
    <row r="1010">
      <c r="A1010" s="9">
        <f t="shared" si="1"/>
        <v>1007</v>
      </c>
      <c r="B1010" s="47" t="s">
        <v>1144</v>
      </c>
      <c r="C1010" s="48">
        <f>IFERROR(DIVIDE(VLOOKUP($B1010,Data!$B$3:$AB$1535,9,FALSE),VLOOKUP($B1010,Data!$B$3:$AB$1535,4,FALSE)),"")</f>
        <v>0.5338135254</v>
      </c>
      <c r="D1010" s="48">
        <f>IFERROR(DIVIDE(VLOOKUP($B1010,Data!$B$3:$AB$1535,24,FALSE),VLOOKUP($B1010,Data!$B$3:$AB$1535,4,FALSE)),"")</f>
        <v>0</v>
      </c>
      <c r="E1010" s="48">
        <f>IFERROR(DIVIDE(VLOOKUP($B1010,Data!$B$3:$EZ1530,29,FALSE),VLOOKUP($B1010,Data!$B$3:$EZ1530,4,FALSE)),"")</f>
        <v>0.1755813436</v>
      </c>
      <c r="F1010" s="48">
        <f>IFERROR(DIVIDE(VLOOKUP($B1010,Data!$B$3:$EZ1530,34,FALSE),VLOOKUP($B1010,Data!$B$3:$EZ1530,4,FALSE)),"")</f>
        <v>0.1772709084</v>
      </c>
      <c r="G1010" s="48">
        <f>IFERROR(DIVIDE(VLOOKUP($B1010,Data!$B$3:$EZ1530,39,FALSE),VLOOKUP($B1010,Data!$B$3:$EZ1530,4,FALSE)),"")</f>
        <v>0.1563736606</v>
      </c>
      <c r="H1010" s="48">
        <f>IFERROR(DIVIDE(VLOOKUP($B1010,Data!$B$3:$EZ1530,44,FALSE),VLOOKUP($B1010,Data!$B$3:$EZ1530,4,FALSE)),"")</f>
        <v>0.1831843849</v>
      </c>
      <c r="I1010" s="48">
        <f>IFERROR(MINUS(DIVIDE(VLOOKUP($B1010,Data!$B$3:$EZ1530,9,FALSE),VLOOKUP($B1010,Data!$B$3:$EZ1530,10,FALSE)),1),"")</f>
        <v>-0.1632283245</v>
      </c>
      <c r="J1010" s="48" t="str">
        <f>IFERROR(MINUS(DIVIDE(VLOOKUP($B1010,Data!$B$3:$EZ1530,24,FALSE),VLOOKUP($B1010,Data!$B$3:$EZ1530,25,FALSE)),1),"")</f>
        <v/>
      </c>
      <c r="K1010" s="48">
        <f>IFERROR(MINUS(DIVIDE(VLOOKUP($B1010,Data!$B$3:$EZ1530,29,FALSE),VLOOKUP($B1010,Data!$B$3:$EZ1530,30,FALSE)),1),"")</f>
        <v>-0.3774239319</v>
      </c>
      <c r="L1010" s="48">
        <f>IFERROR(MINUS(DIVIDE(VLOOKUP($B1010,Data!$B$3:$EZ1530,34,FALSE),VLOOKUP($B1010,Data!$B$3:$EZ1530,35,FALSE)),1),"")</f>
        <v>-0.4147952444</v>
      </c>
      <c r="M1010" s="48">
        <f>IFERROR(MINUS(DIVIDE(VLOOKUP($B1010,Data!$B$3:$EZ1530,39,FALSE),VLOOKUP($B1010,Data!$B$3:$EZ1530,40,FALSE)),1),"")</f>
        <v>-0.3532548731</v>
      </c>
      <c r="N1010" s="48">
        <f>IFERROR(MINUS(DIVIDE(VLOOKUP($B1010,Data!$B$3:$EZ1530,44,FALSE),VLOOKUP($B1010,Data!$B$3:$EZ1530,45,FALSE)),1),"")</f>
        <v>0.1409581833</v>
      </c>
      <c r="O1010" s="50">
        <f>IFERROR(VLOOKUP($B1010,Data!$B$3:$D1530,2,FALSE),"")</f>
        <v>289850</v>
      </c>
      <c r="P1010" s="50">
        <f>IFERROR(VLOOKUP($B1010,Data!$B$3:$D1530,3,FALSE),"")</f>
        <v>249860</v>
      </c>
      <c r="Q1010" s="48">
        <f t="shared" si="2"/>
        <v>0.1600496278</v>
      </c>
      <c r="R1010" s="48"/>
      <c r="S1010" s="48"/>
      <c r="T1010" s="48"/>
      <c r="U1010" s="48"/>
      <c r="V1010" s="48"/>
      <c r="W1010" s="50"/>
      <c r="Z1010" s="12"/>
      <c r="AA1010" s="12"/>
    </row>
    <row r="1011">
      <c r="A1011" s="9">
        <f t="shared" si="1"/>
        <v>1008</v>
      </c>
      <c r="B1011" s="47" t="s">
        <v>1145</v>
      </c>
      <c r="C1011" s="48">
        <f>IFERROR(DIVIDE(VLOOKUP($B1011,Data!$B$3:$AB$1535,9,FALSE),VLOOKUP($B1011,Data!$B$3:$AB$1535,4,FALSE)),"")</f>
        <v>0.8263399443</v>
      </c>
      <c r="D1011" s="48">
        <f>IFERROR(DIVIDE(VLOOKUP($B1011,Data!$B$3:$AB$1535,24,FALSE),VLOOKUP($B1011,Data!$B$3:$AB$1535,4,FALSE)),"")</f>
        <v>0.4100147517</v>
      </c>
      <c r="E1011" s="48">
        <f>IFERROR(DIVIDE(VLOOKUP($B1011,Data!$B$3:$EZ1530,29,FALSE),VLOOKUP($B1011,Data!$B$3:$EZ1530,4,FALSE)),"")</f>
        <v>0.3990329454</v>
      </c>
      <c r="F1011" s="48">
        <f>IFERROR(DIVIDE(VLOOKUP($B1011,Data!$B$3:$EZ1530,34,FALSE),VLOOKUP($B1011,Data!$B$3:$EZ1530,4,FALSE)),"")</f>
        <v>0.4732011146</v>
      </c>
      <c r="G1011" s="48">
        <f>IFERROR(DIVIDE(VLOOKUP($B1011,Data!$B$3:$EZ1530,39,FALSE),VLOOKUP($B1011,Data!$B$3:$EZ1530,4,FALSE)),"")</f>
        <v>0.3192099656</v>
      </c>
      <c r="H1011" s="48">
        <f>IFERROR(DIVIDE(VLOOKUP($B1011,Data!$B$3:$EZ1530,44,FALSE),VLOOKUP($B1011,Data!$B$3:$EZ1530,4,FALSE)),"")</f>
        <v>0.3835436814</v>
      </c>
      <c r="I1011" s="48">
        <f>IFERROR(MINUS(DIVIDE(VLOOKUP($B1011,Data!$B$3:$EZ1530,9,FALSE),VLOOKUP($B1011,Data!$B$3:$EZ1530,10,FALSE)),1),"")</f>
        <v>0.08501022275</v>
      </c>
      <c r="J1011" s="48">
        <f>IFERROR(MINUS(DIVIDE(VLOOKUP($B1011,Data!$B$3:$EZ1530,24,FALSE),VLOOKUP($B1011,Data!$B$3:$EZ1530,25,FALSE)),1),"")</f>
        <v>0.1214974221</v>
      </c>
      <c r="K1011" s="48">
        <f>IFERROR(MINUS(DIVIDE(VLOOKUP($B1011,Data!$B$3:$EZ1530,29,FALSE),VLOOKUP($B1011,Data!$B$3:$EZ1530,30,FALSE)),1),"")</f>
        <v>0.02289915966</v>
      </c>
      <c r="L1011" s="48">
        <f>IFERROR(MINUS(DIVIDE(VLOOKUP($B1011,Data!$B$3:$EZ1530,34,FALSE),VLOOKUP($B1011,Data!$B$3:$EZ1530,35,FALSE)),1),"")</f>
        <v>0.1545690862</v>
      </c>
      <c r="M1011" s="48">
        <f>IFERROR(MINUS(DIVIDE(VLOOKUP($B1011,Data!$B$3:$EZ1530,39,FALSE),VLOOKUP($B1011,Data!$B$3:$EZ1530,40,FALSE)),1),"")</f>
        <v>0.008283717318</v>
      </c>
      <c r="N1011" s="48">
        <f>IFERROR(MINUS(DIVIDE(VLOOKUP($B1011,Data!$B$3:$EZ1530,44,FALSE),VLOOKUP($B1011,Data!$B$3:$EZ1530,45,FALSE)),1),"")</f>
        <v>0.04838709677</v>
      </c>
      <c r="O1011" s="50">
        <f>IFERROR(VLOOKUP($B1011,Data!$B$3:$D1530,2,FALSE),"")</f>
        <v>21420000</v>
      </c>
      <c r="P1011" s="50">
        <f>IFERROR(VLOOKUP($B1011,Data!$B$3:$D1530,3,FALSE),"")</f>
        <v>19940000</v>
      </c>
      <c r="Q1011" s="48">
        <f t="shared" si="2"/>
        <v>0.074222668</v>
      </c>
      <c r="R1011" s="48"/>
      <c r="S1011" s="48"/>
      <c r="T1011" s="48"/>
      <c r="U1011" s="48"/>
      <c r="V1011" s="48"/>
      <c r="W1011" s="50"/>
      <c r="Z1011" s="11"/>
      <c r="AA1011" s="11"/>
    </row>
    <row r="1012">
      <c r="A1012" s="9">
        <f t="shared" si="1"/>
        <v>1009</v>
      </c>
      <c r="B1012" s="47" t="s">
        <v>1146</v>
      </c>
      <c r="C1012" s="48">
        <f>IFERROR(DIVIDE(VLOOKUP($B1012,Data!$B$3:$AB$1535,9,FALSE),VLOOKUP($B1012,Data!$B$3:$AB$1535,4,FALSE)),"")</f>
        <v>0.194214876</v>
      </c>
      <c r="D1012" s="48">
        <f>IFERROR(DIVIDE(VLOOKUP($B1012,Data!$B$3:$AB$1535,24,FALSE),VLOOKUP($B1012,Data!$B$3:$AB$1535,4,FALSE)),"")</f>
        <v>0.1215922865</v>
      </c>
      <c r="E1012" s="48">
        <f>IFERROR(DIVIDE(VLOOKUP($B1012,Data!$B$3:$EZ1530,29,FALSE),VLOOKUP($B1012,Data!$B$3:$EZ1530,4,FALSE)),"")</f>
        <v>0.1418732782</v>
      </c>
      <c r="F1012" s="48">
        <f>IFERROR(DIVIDE(VLOOKUP($B1012,Data!$B$3:$EZ1530,34,FALSE),VLOOKUP($B1012,Data!$B$3:$EZ1530,4,FALSE)),"")</f>
        <v>0.1244862259</v>
      </c>
      <c r="G1012" s="48">
        <f>IFERROR(DIVIDE(VLOOKUP($B1012,Data!$B$3:$EZ1530,39,FALSE),VLOOKUP($B1012,Data!$B$3:$EZ1530,4,FALSE)),"")</f>
        <v>0.1210110193</v>
      </c>
      <c r="H1012" s="48">
        <f>IFERROR(DIVIDE(VLOOKUP($B1012,Data!$B$3:$EZ1530,44,FALSE),VLOOKUP($B1012,Data!$B$3:$EZ1530,4,FALSE)),"")</f>
        <v>0.1204931129</v>
      </c>
      <c r="I1012" s="48">
        <f>IFERROR(MINUS(DIVIDE(VLOOKUP($B1012,Data!$B$3:$EZ1530,9,FALSE),VLOOKUP($B1012,Data!$B$3:$EZ1530,10,FALSE)),1),"")</f>
        <v>0.04444444444</v>
      </c>
      <c r="J1012" s="48">
        <f>IFERROR(MINUS(DIVIDE(VLOOKUP($B1012,Data!$B$3:$EZ1530,24,FALSE),VLOOKUP($B1012,Data!$B$3:$EZ1530,25,FALSE)),1),"")</f>
        <v>0.0558319778</v>
      </c>
      <c r="K1012" s="48">
        <f>IFERROR(MINUS(DIVIDE(VLOOKUP($B1012,Data!$B$3:$EZ1530,29,FALSE),VLOOKUP($B1012,Data!$B$3:$EZ1530,30,FALSE)),1),"")</f>
        <v>0.07321850937</v>
      </c>
      <c r="L1012" s="48">
        <f>IFERROR(MINUS(DIVIDE(VLOOKUP($B1012,Data!$B$3:$EZ1530,34,FALSE),VLOOKUP($B1012,Data!$B$3:$EZ1530,35,FALSE)),1),"")</f>
        <v>0.05684316385</v>
      </c>
      <c r="M1012" s="48">
        <f>IFERROR(MINUS(DIVIDE(VLOOKUP($B1012,Data!$B$3:$EZ1530,39,FALSE),VLOOKUP($B1012,Data!$B$3:$EZ1530,40,FALSE)),1),"")</f>
        <v>0.1020321124</v>
      </c>
      <c r="N1012" s="48">
        <f>IFERROR(MINUS(DIVIDE(VLOOKUP($B1012,Data!$B$3:$EZ1530,44,FALSE),VLOOKUP($B1012,Data!$B$3:$EZ1530,45,FALSE)),1),"")</f>
        <v>0.1923831852</v>
      </c>
      <c r="O1012" s="50">
        <f>IFERROR(VLOOKUP($B1012,Data!$B$3:$D1530,2,FALSE),"")</f>
        <v>6930000</v>
      </c>
      <c r="P1012" s="50">
        <f>IFERROR(VLOOKUP($B1012,Data!$B$3:$D1530,3,FALSE),"")</f>
        <v>6160000</v>
      </c>
      <c r="Q1012" s="48">
        <f t="shared" si="2"/>
        <v>0.125</v>
      </c>
      <c r="R1012" s="48"/>
      <c r="S1012" s="48"/>
      <c r="T1012" s="48"/>
      <c r="U1012" s="48"/>
      <c r="V1012" s="48"/>
      <c r="W1012" s="50"/>
      <c r="Z1012" s="15"/>
      <c r="AA1012" s="15"/>
    </row>
    <row r="1013">
      <c r="A1013" s="9">
        <f t="shared" si="1"/>
        <v>1010</v>
      </c>
      <c r="B1013" s="47" t="s">
        <v>1147</v>
      </c>
      <c r="C1013" s="48">
        <f>IFERROR(DIVIDE(VLOOKUP($B1013,Data!$B$3:$AB$1535,9,FALSE),VLOOKUP($B1013,Data!$B$3:$AB$1535,4,FALSE)),"")</f>
        <v>0.6963983051</v>
      </c>
      <c r="D1013" s="48">
        <f>IFERROR(DIVIDE(VLOOKUP($B1013,Data!$B$3:$AB$1535,24,FALSE),VLOOKUP($B1013,Data!$B$3:$AB$1535,4,FALSE)),"")</f>
        <v>0.173940678</v>
      </c>
      <c r="E1013" s="48">
        <f>IFERROR(DIVIDE(VLOOKUP($B1013,Data!$B$3:$EZ1530,29,FALSE),VLOOKUP($B1013,Data!$B$3:$EZ1530,4,FALSE)),"")</f>
        <v>0.1743644068</v>
      </c>
      <c r="F1013" s="48">
        <f>IFERROR(DIVIDE(VLOOKUP($B1013,Data!$B$3:$EZ1530,34,FALSE),VLOOKUP($B1013,Data!$B$3:$EZ1530,4,FALSE)),"")</f>
        <v>0.3351694915</v>
      </c>
      <c r="G1013" s="48">
        <f>IFERROR(DIVIDE(VLOOKUP($B1013,Data!$B$3:$EZ1530,39,FALSE),VLOOKUP($B1013,Data!$B$3:$EZ1530,4,FALSE)),"")</f>
        <v>0.1504237288</v>
      </c>
      <c r="H1013" s="48">
        <f>IFERROR(DIVIDE(VLOOKUP($B1013,Data!$B$3:$EZ1530,44,FALSE),VLOOKUP($B1013,Data!$B$3:$EZ1530,4,FALSE)),"")</f>
        <v>0.2868644068</v>
      </c>
      <c r="I1013" s="48">
        <f>IFERROR(MINUS(DIVIDE(VLOOKUP($B1013,Data!$B$3:$EZ1530,9,FALSE),VLOOKUP($B1013,Data!$B$3:$EZ1530,10,FALSE)),1),"")</f>
        <v>0.1074797844</v>
      </c>
      <c r="J1013" s="48" t="str">
        <f>IFERROR(MINUS(DIVIDE(VLOOKUP($B1013,Data!$B$3:$EZ1530,24,FALSE),VLOOKUP($B1013,Data!$B$3:$EZ1530,25,FALSE)),1),"")</f>
        <v/>
      </c>
      <c r="K1013" s="48">
        <f>IFERROR(MINUS(DIVIDE(VLOOKUP($B1013,Data!$B$3:$EZ1530,29,FALSE),VLOOKUP($B1013,Data!$B$3:$EZ1530,30,FALSE)),1),"")</f>
        <v>0.09879839786</v>
      </c>
      <c r="L1013" s="48" t="str">
        <f>IFERROR(MINUS(DIVIDE(VLOOKUP($B1013,Data!$B$3:$EZ1530,34,FALSE),VLOOKUP($B1013,Data!$B$3:$EZ1530,35,FALSE)),1),"")</f>
        <v/>
      </c>
      <c r="M1013" s="48" t="str">
        <f>IFERROR(MINUS(DIVIDE(VLOOKUP($B1013,Data!$B$3:$EZ1530,39,FALSE),VLOOKUP($B1013,Data!$B$3:$EZ1530,40,FALSE)),1),"")</f>
        <v/>
      </c>
      <c r="N1013" s="48" t="str">
        <f>IFERROR(MINUS(DIVIDE(VLOOKUP($B1013,Data!$B$3:$EZ1530,44,FALSE),VLOOKUP($B1013,Data!$B$3:$EZ1530,45,FALSE)),1),"")</f>
        <v/>
      </c>
      <c r="O1013" s="50">
        <f>IFERROR(VLOOKUP($B1013,Data!$B$3:$D1530,2,FALSE),"")</f>
        <v>52490000</v>
      </c>
      <c r="P1013" s="50">
        <f>IFERROR(VLOOKUP($B1013,Data!$B$3:$D1530,3,FALSE),"")</f>
        <v>49720000</v>
      </c>
      <c r="Q1013" s="48">
        <f t="shared" si="2"/>
        <v>0.05571198713</v>
      </c>
      <c r="R1013" s="48"/>
      <c r="S1013" s="48"/>
      <c r="T1013" s="48"/>
      <c r="U1013" s="48"/>
      <c r="V1013" s="48"/>
      <c r="W1013" s="50"/>
      <c r="Z1013" s="11"/>
      <c r="AA1013" s="11"/>
    </row>
    <row r="1014">
      <c r="A1014" s="9">
        <f t="shared" si="1"/>
        <v>1011</v>
      </c>
      <c r="B1014" s="47" t="s">
        <v>1148</v>
      </c>
      <c r="C1014" s="48">
        <f>IFERROR(DIVIDE(VLOOKUP($B1014,Data!$B$3:$AB$1535,9,FALSE),VLOOKUP($B1014,Data!$B$3:$AB$1535,4,FALSE)),"")</f>
        <v>0.5527272727</v>
      </c>
      <c r="D1014" s="48">
        <f>IFERROR(DIVIDE(VLOOKUP($B1014,Data!$B$3:$AB$1535,24,FALSE),VLOOKUP($B1014,Data!$B$3:$AB$1535,4,FALSE)),"")</f>
        <v>0.1009090909</v>
      </c>
      <c r="E1014" s="48">
        <f>IFERROR(DIVIDE(VLOOKUP($B1014,Data!$B$3:$EZ1530,29,FALSE),VLOOKUP($B1014,Data!$B$3:$EZ1530,4,FALSE)),"")</f>
        <v>0.1001818182</v>
      </c>
      <c r="F1014" s="48">
        <f>IFERROR(DIVIDE(VLOOKUP($B1014,Data!$B$3:$EZ1530,34,FALSE),VLOOKUP($B1014,Data!$B$3:$EZ1530,4,FALSE)),"")</f>
        <v>0.1667636364</v>
      </c>
      <c r="G1014" s="48">
        <f>IFERROR(DIVIDE(VLOOKUP($B1014,Data!$B$3:$EZ1530,39,FALSE),VLOOKUP($B1014,Data!$B$3:$EZ1530,4,FALSE)),"")</f>
        <v>0.07912727273</v>
      </c>
      <c r="H1014" s="48">
        <f>IFERROR(DIVIDE(VLOOKUP($B1014,Data!$B$3:$EZ1530,44,FALSE),VLOOKUP($B1014,Data!$B$3:$EZ1530,4,FALSE)),"")</f>
        <v>0.1445454545</v>
      </c>
      <c r="I1014" s="48">
        <f>IFERROR(MINUS(DIVIDE(VLOOKUP($B1014,Data!$B$3:$EZ1530,9,FALSE),VLOOKUP($B1014,Data!$B$3:$EZ1530,10,FALSE)),1),"")</f>
        <v>-0.05590062112</v>
      </c>
      <c r="J1014" s="48">
        <f>IFERROR(MINUS(DIVIDE(VLOOKUP($B1014,Data!$B$3:$EZ1530,24,FALSE),VLOOKUP($B1014,Data!$B$3:$EZ1530,25,FALSE)),1),"")</f>
        <v>-0.07004021448</v>
      </c>
      <c r="K1014" s="48">
        <f>IFERROR(MINUS(DIVIDE(VLOOKUP($B1014,Data!$B$3:$EZ1530,29,FALSE),VLOOKUP($B1014,Data!$B$3:$EZ1530,30,FALSE)),1),"")</f>
        <v>-0.08502158751</v>
      </c>
      <c r="L1014" s="48">
        <f>IFERROR(MINUS(DIVIDE(VLOOKUP($B1014,Data!$B$3:$EZ1530,34,FALSE),VLOOKUP($B1014,Data!$B$3:$EZ1530,35,FALSE)),1),"")</f>
        <v>0.01437735014</v>
      </c>
      <c r="M1014" s="48">
        <f>IFERROR(MINUS(DIVIDE(VLOOKUP($B1014,Data!$B$3:$EZ1530,39,FALSE),VLOOKUP($B1014,Data!$B$3:$EZ1530,40,FALSE)),1),"")</f>
        <v>-0.05678370178</v>
      </c>
      <c r="N1014" s="48">
        <f>IFERROR(MINUS(DIVIDE(VLOOKUP($B1014,Data!$B$3:$EZ1530,44,FALSE),VLOOKUP($B1014,Data!$B$3:$EZ1530,45,FALSE)),1),"")</f>
        <v>-0.006498375406</v>
      </c>
      <c r="O1014" s="50">
        <f>IFERROR(VLOOKUP($B1014,Data!$B$3:$D1530,2,FALSE),"")</f>
        <v>2410000</v>
      </c>
      <c r="P1014" s="50">
        <f>IFERROR(VLOOKUP($B1014,Data!$B$3:$D1530,3,FALSE),"")</f>
        <v>2040000</v>
      </c>
      <c r="Q1014" s="48">
        <f t="shared" si="2"/>
        <v>0.181372549</v>
      </c>
      <c r="R1014" s="48"/>
      <c r="S1014" s="48"/>
      <c r="T1014" s="48"/>
      <c r="U1014" s="48"/>
      <c r="V1014" s="48"/>
      <c r="W1014" s="50"/>
      <c r="Z1014" s="11"/>
      <c r="AA1014" s="11"/>
    </row>
    <row r="1015">
      <c r="A1015" s="9">
        <f t="shared" si="1"/>
        <v>1012</v>
      </c>
      <c r="B1015" s="47" t="s">
        <v>1149</v>
      </c>
      <c r="C1015" s="48">
        <f>IFERROR(DIVIDE(VLOOKUP($B1015,Data!$B$3:$AB$1535,9,FALSE),VLOOKUP($B1015,Data!$B$3:$AB$1535,4,FALSE)),"")</f>
        <v>0.4401807951</v>
      </c>
      <c r="D1015" s="48">
        <f>IFERROR(DIVIDE(VLOOKUP($B1015,Data!$B$3:$AB$1535,24,FALSE),VLOOKUP($B1015,Data!$B$3:$AB$1535,4,FALSE)),"")</f>
        <v>0</v>
      </c>
      <c r="E1015" s="48">
        <f>IFERROR(DIVIDE(VLOOKUP($B1015,Data!$B$3:$EZ1530,29,FALSE),VLOOKUP($B1015,Data!$B$3:$EZ1530,4,FALSE)),"")</f>
        <v>0</v>
      </c>
      <c r="F1015" s="48">
        <f>IFERROR(DIVIDE(VLOOKUP($B1015,Data!$B$3:$EZ1530,34,FALSE),VLOOKUP($B1015,Data!$B$3:$EZ1530,4,FALSE)),"")</f>
        <v>0</v>
      </c>
      <c r="G1015" s="48">
        <f>IFERROR(DIVIDE(VLOOKUP($B1015,Data!$B$3:$EZ1530,39,FALSE),VLOOKUP($B1015,Data!$B$3:$EZ1530,4,FALSE)),"")</f>
        <v>0</v>
      </c>
      <c r="H1015" s="48">
        <f>IFERROR(DIVIDE(VLOOKUP($B1015,Data!$B$3:$EZ1530,44,FALSE),VLOOKUP($B1015,Data!$B$3:$EZ1530,4,FALSE)),"")</f>
        <v>0</v>
      </c>
      <c r="I1015" s="48">
        <f>IFERROR(MINUS(DIVIDE(VLOOKUP($B1015,Data!$B$3:$EZ1530,9,FALSE),VLOOKUP($B1015,Data!$B$3:$EZ1530,10,FALSE)),1),"")</f>
        <v>0.4120432017</v>
      </c>
      <c r="J1015" s="48" t="str">
        <f>IFERROR(MINUS(DIVIDE(VLOOKUP($B1015,Data!$B$3:$EZ1530,24,FALSE),VLOOKUP($B1015,Data!$B$3:$EZ1530,25,FALSE)),1),"")</f>
        <v/>
      </c>
      <c r="K1015" s="48" t="str">
        <f>IFERROR(MINUS(DIVIDE(VLOOKUP($B1015,Data!$B$3:$EZ1530,29,FALSE),VLOOKUP($B1015,Data!$B$3:$EZ1530,30,FALSE)),1),"")</f>
        <v/>
      </c>
      <c r="L1015" s="48" t="str">
        <f>IFERROR(MINUS(DIVIDE(VLOOKUP($B1015,Data!$B$3:$EZ1530,34,FALSE),VLOOKUP($B1015,Data!$B$3:$EZ1530,35,FALSE)),1),"")</f>
        <v/>
      </c>
      <c r="M1015" s="48" t="str">
        <f>IFERROR(MINUS(DIVIDE(VLOOKUP($B1015,Data!$B$3:$EZ1530,39,FALSE),VLOOKUP($B1015,Data!$B$3:$EZ1530,40,FALSE)),1),"")</f>
        <v/>
      </c>
      <c r="N1015" s="48" t="str">
        <f>IFERROR(MINUS(DIVIDE(VLOOKUP($B1015,Data!$B$3:$EZ1530,44,FALSE),VLOOKUP($B1015,Data!$B$3:$EZ1530,45,FALSE)),1),"")</f>
        <v/>
      </c>
      <c r="O1015" s="50">
        <f>IFERROR(VLOOKUP($B1015,Data!$B$3:$D1530,2,FALSE),"")</f>
        <v>492240</v>
      </c>
      <c r="P1015" s="50">
        <f>IFERROR(VLOOKUP($B1015,Data!$B$3:$D1530,3,FALSE),"")</f>
        <v>260030</v>
      </c>
      <c r="Q1015" s="48">
        <f t="shared" si="2"/>
        <v>0.8930123447</v>
      </c>
      <c r="R1015" s="48"/>
      <c r="S1015" s="48"/>
      <c r="T1015" s="48"/>
      <c r="U1015" s="48"/>
      <c r="V1015" s="48"/>
      <c r="W1015" s="50"/>
      <c r="Z1015" s="11"/>
      <c r="AA1015" s="11"/>
    </row>
    <row r="1016">
      <c r="A1016" s="9">
        <f t="shared" si="1"/>
        <v>1013</v>
      </c>
      <c r="B1016" s="47" t="s">
        <v>1150</v>
      </c>
      <c r="C1016" s="48">
        <f>IFERROR(DIVIDE(VLOOKUP($B1016,Data!$B$3:$AB$1535,9,FALSE),VLOOKUP($B1016,Data!$B$3:$AB$1535,4,FALSE)),"")</f>
        <v>0.3316168898</v>
      </c>
      <c r="D1016" s="48">
        <f>IFERROR(DIVIDE(VLOOKUP($B1016,Data!$B$3:$AB$1535,24,FALSE),VLOOKUP($B1016,Data!$B$3:$AB$1535,4,FALSE)),"")</f>
        <v>-0.05611740474</v>
      </c>
      <c r="E1016" s="48">
        <f>IFERROR(DIVIDE(VLOOKUP($B1016,Data!$B$3:$EZ1530,29,FALSE),VLOOKUP($B1016,Data!$B$3:$EZ1530,4,FALSE)),"")</f>
        <v>-0.08770339856</v>
      </c>
      <c r="F1016" s="48">
        <f>IFERROR(DIVIDE(VLOOKUP($B1016,Data!$B$3:$EZ1530,34,FALSE),VLOOKUP($B1016,Data!$B$3:$EZ1530,4,FALSE)),"")</f>
        <v>0.1287332647</v>
      </c>
      <c r="G1016" s="48">
        <f>IFERROR(DIVIDE(VLOOKUP($B1016,Data!$B$3:$EZ1530,39,FALSE),VLOOKUP($B1016,Data!$B$3:$EZ1530,4,FALSE)),"")</f>
        <v>0.01916580844</v>
      </c>
      <c r="H1016" s="48">
        <f>IFERROR(DIVIDE(VLOOKUP($B1016,Data!$B$3:$EZ1530,44,FALSE),VLOOKUP($B1016,Data!$B$3:$EZ1530,4,FALSE)),"")</f>
        <v>0.1071060762</v>
      </c>
      <c r="I1016" s="48">
        <f>IFERROR(MINUS(DIVIDE(VLOOKUP($B1016,Data!$B$3:$EZ1530,9,FALSE),VLOOKUP($B1016,Data!$B$3:$EZ1530,10,FALSE)),1),"")</f>
        <v>-0.08781869688</v>
      </c>
      <c r="J1016" s="48">
        <f>IFERROR(MINUS(DIVIDE(VLOOKUP($B1016,Data!$B$3:$EZ1530,24,FALSE),VLOOKUP($B1016,Data!$B$3:$EZ1530,25,FALSE)),1),"")</f>
        <v>-0.9354383886</v>
      </c>
      <c r="K1016" s="48">
        <f>IFERROR(MINUS(DIVIDE(VLOOKUP($B1016,Data!$B$3:$EZ1530,29,FALSE),VLOOKUP($B1016,Data!$B$3:$EZ1530,30,FALSE)),1),"")</f>
        <v>-0.893416771</v>
      </c>
      <c r="L1016" s="48">
        <f>IFERROR(MINUS(DIVIDE(VLOOKUP($B1016,Data!$B$3:$EZ1530,34,FALSE),VLOOKUP($B1016,Data!$B$3:$EZ1530,35,FALSE)),1),"")</f>
        <v>-0.0157480315</v>
      </c>
      <c r="M1016" s="48">
        <f>IFERROR(MINUS(DIVIDE(VLOOKUP($B1016,Data!$B$3:$EZ1530,39,FALSE),VLOOKUP($B1016,Data!$B$3:$EZ1530,40,FALSE)),1),"")</f>
        <v>-1.028069382</v>
      </c>
      <c r="N1016" s="48">
        <f>IFERROR(MINUS(DIVIDE(VLOOKUP($B1016,Data!$B$3:$EZ1530,44,FALSE),VLOOKUP($B1016,Data!$B$3:$EZ1530,45,FALSE)),1),"")</f>
        <v>0.5294117647</v>
      </c>
      <c r="O1016" s="50">
        <f>IFERROR(VLOOKUP($B1016,Data!$B$3:$D1530,2,FALSE),"")</f>
        <v>9420000</v>
      </c>
      <c r="P1016" s="50">
        <f>IFERROR(VLOOKUP($B1016,Data!$B$3:$D1530,3,FALSE),"")</f>
        <v>9000000</v>
      </c>
      <c r="Q1016" s="48">
        <f t="shared" si="2"/>
        <v>0.04666666667</v>
      </c>
      <c r="R1016" s="48"/>
      <c r="S1016" s="48"/>
      <c r="T1016" s="48"/>
      <c r="U1016" s="48"/>
      <c r="V1016" s="48"/>
      <c r="W1016" s="50"/>
      <c r="Z1016" s="11"/>
      <c r="AA1016" s="11"/>
    </row>
    <row r="1017">
      <c r="A1017" s="9">
        <f t="shared" si="1"/>
        <v>1014</v>
      </c>
      <c r="B1017" s="47" t="s">
        <v>1151</v>
      </c>
      <c r="C1017" s="48">
        <f>IFERROR(DIVIDE(VLOOKUP($B1017,Data!$B$3:$AB$1535,9,FALSE),VLOOKUP($B1017,Data!$B$3:$AB$1535,4,FALSE)),"")</f>
        <v>0.167636266</v>
      </c>
      <c r="D1017" s="48">
        <f>IFERROR(DIVIDE(VLOOKUP($B1017,Data!$B$3:$AB$1535,24,FALSE),VLOOKUP($B1017,Data!$B$3:$AB$1535,4,FALSE)),"")</f>
        <v>-0.0297816164</v>
      </c>
      <c r="E1017" s="48">
        <f>IFERROR(DIVIDE(VLOOKUP($B1017,Data!$B$3:$EZ1530,29,FALSE),VLOOKUP($B1017,Data!$B$3:$EZ1530,4,FALSE)),"")</f>
        <v>-0.04021972613</v>
      </c>
      <c r="F1017" s="48">
        <f>IFERROR(DIVIDE(VLOOKUP($B1017,Data!$B$3:$EZ1530,34,FALSE),VLOOKUP($B1017,Data!$B$3:$EZ1530,4,FALSE)),"")</f>
        <v>0.1097847489</v>
      </c>
      <c r="G1017" s="48">
        <f>IFERROR(DIVIDE(VLOOKUP($B1017,Data!$B$3:$EZ1530,39,FALSE),VLOOKUP($B1017,Data!$B$3:$EZ1530,4,FALSE)),"")</f>
        <v>-0.05228005012</v>
      </c>
      <c r="H1017" s="48">
        <f>IFERROR(DIVIDE(VLOOKUP($B1017,Data!$B$3:$EZ1530,44,FALSE),VLOOKUP($B1017,Data!$B$3:$EZ1530,4,FALSE)),"")</f>
        <v>0.1078157165</v>
      </c>
      <c r="I1017" s="48">
        <f>IFERROR(MINUS(DIVIDE(VLOOKUP($B1017,Data!$B$3:$EZ1530,9,FALSE),VLOOKUP($B1017,Data!$B$3:$EZ1530,10,FALSE)),1),"")</f>
        <v>0.06314743863</v>
      </c>
      <c r="J1017" s="48">
        <f>IFERROR(MINUS(DIVIDE(VLOOKUP($B1017,Data!$B$3:$EZ1530,24,FALSE),VLOOKUP($B1017,Data!$B$3:$EZ1530,25,FALSE)),1),"")</f>
        <v>16.74666667</v>
      </c>
      <c r="K1017" s="48">
        <f>IFERROR(MINUS(DIVIDE(VLOOKUP($B1017,Data!$B$3:$EZ1530,29,FALSE),VLOOKUP($B1017,Data!$B$3:$EZ1530,30,FALSE)),1),"")</f>
        <v>-2.396116505</v>
      </c>
      <c r="L1017" s="48">
        <f>IFERROR(MINUS(DIVIDE(VLOOKUP($B1017,Data!$B$3:$EZ1530,34,FALSE),VLOOKUP($B1017,Data!$B$3:$EZ1530,35,FALSE)),1),"")</f>
        <v>0.1024603977</v>
      </c>
      <c r="M1017" s="48">
        <f>IFERROR(MINUS(DIVIDE(VLOOKUP($B1017,Data!$B$3:$EZ1530,39,FALSE),VLOOKUP($B1017,Data!$B$3:$EZ1530,40,FALSE)),1),"")</f>
        <v>-2.76007533</v>
      </c>
      <c r="N1017" s="48">
        <f>IFERROR(MINUS(DIVIDE(VLOOKUP($B1017,Data!$B$3:$EZ1530,44,FALSE),VLOOKUP($B1017,Data!$B$3:$EZ1530,45,FALSE)),1),"")</f>
        <v>-0.07876876016</v>
      </c>
      <c r="O1017" s="50">
        <f>IFERROR(VLOOKUP($B1017,Data!$B$3:$D1530,2,FALSE),"")</f>
        <v>833630</v>
      </c>
      <c r="P1017" s="50">
        <f>IFERROR(VLOOKUP($B1017,Data!$B$3:$D1530,3,FALSE),"")</f>
        <v>783590</v>
      </c>
      <c r="Q1017" s="48">
        <f t="shared" si="2"/>
        <v>0.06385992675</v>
      </c>
      <c r="R1017" s="48"/>
      <c r="S1017" s="48"/>
      <c r="T1017" s="48"/>
      <c r="U1017" s="48"/>
      <c r="V1017" s="48"/>
      <c r="W1017" s="50"/>
      <c r="Z1017" s="11"/>
      <c r="AA1017" s="11"/>
    </row>
    <row r="1018">
      <c r="A1018" s="9">
        <f t="shared" si="1"/>
        <v>1015</v>
      </c>
      <c r="B1018" s="47" t="s">
        <v>1152</v>
      </c>
      <c r="C1018" s="48">
        <f>IFERROR(DIVIDE(VLOOKUP($B1018,Data!$B$3:$AB$1535,9,FALSE),VLOOKUP($B1018,Data!$B$3:$AB$1535,4,FALSE)),"")</f>
        <v>0.3592342342</v>
      </c>
      <c r="D1018" s="48">
        <f>IFERROR(DIVIDE(VLOOKUP($B1018,Data!$B$3:$AB$1535,24,FALSE),VLOOKUP($B1018,Data!$B$3:$AB$1535,4,FALSE)),"")</f>
        <v>0.06813063063</v>
      </c>
      <c r="E1018" s="48">
        <f>IFERROR(DIVIDE(VLOOKUP($B1018,Data!$B$3:$EZ1530,29,FALSE),VLOOKUP($B1018,Data!$B$3:$EZ1530,4,FALSE)),"")</f>
        <v>0.03277027027</v>
      </c>
      <c r="F1018" s="48">
        <f>IFERROR(DIVIDE(VLOOKUP($B1018,Data!$B$3:$EZ1530,34,FALSE),VLOOKUP($B1018,Data!$B$3:$EZ1530,4,FALSE)),"")</f>
        <v>0.4650900901</v>
      </c>
      <c r="G1018" s="48">
        <f>IFERROR(DIVIDE(VLOOKUP($B1018,Data!$B$3:$EZ1530,39,FALSE),VLOOKUP($B1018,Data!$B$3:$EZ1530,4,FALSE)),"")</f>
        <v>0.02736486486</v>
      </c>
      <c r="H1018" s="48">
        <f>IFERROR(DIVIDE(VLOOKUP($B1018,Data!$B$3:$EZ1530,44,FALSE),VLOOKUP($B1018,Data!$B$3:$EZ1530,4,FALSE)),"")</f>
        <v>0.2668918919</v>
      </c>
      <c r="I1018" s="48">
        <f>IFERROR(MINUS(DIVIDE(VLOOKUP($B1018,Data!$B$3:$EZ1530,9,FALSE),VLOOKUP($B1018,Data!$B$3:$EZ1530,10,FALSE)),1),"")</f>
        <v>-0.06176470588</v>
      </c>
      <c r="J1018" s="48">
        <f>IFERROR(MINUS(DIVIDE(VLOOKUP($B1018,Data!$B$3:$EZ1530,24,FALSE),VLOOKUP($B1018,Data!$B$3:$EZ1530,25,FALSE)),1),"")</f>
        <v>-0.03044871795</v>
      </c>
      <c r="K1018" s="48">
        <f>IFERROR(MINUS(DIVIDE(VLOOKUP($B1018,Data!$B$3:$EZ1530,29,FALSE),VLOOKUP($B1018,Data!$B$3:$EZ1530,30,FALSE)),1),"")</f>
        <v>-0.8777310924</v>
      </c>
      <c r="L1018" s="48">
        <f>IFERROR(MINUS(DIVIDE(VLOOKUP($B1018,Data!$B$3:$EZ1530,34,FALSE),VLOOKUP($B1018,Data!$B$3:$EZ1530,35,FALSE)),1),"")</f>
        <v>-0.004819277108</v>
      </c>
      <c r="M1018" s="48">
        <f>IFERROR(MINUS(DIVIDE(VLOOKUP($B1018,Data!$B$3:$EZ1530,39,FALSE),VLOOKUP($B1018,Data!$B$3:$EZ1530,40,FALSE)),1),"")</f>
        <v>-0.8900452489</v>
      </c>
      <c r="N1018" s="48">
        <f>IFERROR(MINUS(DIVIDE(VLOOKUP($B1018,Data!$B$3:$EZ1530,44,FALSE),VLOOKUP($B1018,Data!$B$3:$EZ1530,45,FALSE)),1),"")</f>
        <v>-0.4576659039</v>
      </c>
      <c r="O1018" s="50">
        <f>IFERROR(VLOOKUP($B1018,Data!$B$3:$D1530,2,FALSE),"")</f>
        <v>8780000</v>
      </c>
      <c r="P1018" s="50">
        <f>IFERROR(VLOOKUP($B1018,Data!$B$3:$D1530,3,FALSE),"")</f>
        <v>7730000</v>
      </c>
      <c r="Q1018" s="48">
        <f t="shared" si="2"/>
        <v>0.1358344114</v>
      </c>
      <c r="R1018" s="48"/>
      <c r="S1018" s="48"/>
      <c r="T1018" s="48"/>
      <c r="U1018" s="48"/>
      <c r="V1018" s="48"/>
      <c r="W1018" s="50"/>
      <c r="Z1018" s="15"/>
      <c r="AA1018" s="15"/>
    </row>
    <row r="1019">
      <c r="A1019" s="9">
        <f t="shared" si="1"/>
        <v>1016</v>
      </c>
      <c r="B1019" s="47" t="s">
        <v>1153</v>
      </c>
      <c r="C1019" s="48">
        <f>IFERROR(DIVIDE(VLOOKUP($B1019,Data!$B$3:$AB$1535,9,FALSE),VLOOKUP($B1019,Data!$B$3:$AB$1535,4,FALSE)),"")</f>
        <v>0</v>
      </c>
      <c r="D1019" s="48">
        <f>IFERROR(DIVIDE(VLOOKUP($B1019,Data!$B$3:$AB$1535,24,FALSE),VLOOKUP($B1019,Data!$B$3:$AB$1535,4,FALSE)),"")</f>
        <v>0</v>
      </c>
      <c r="E1019" s="48">
        <f>IFERROR(DIVIDE(VLOOKUP($B1019,Data!$B$3:$EZ1530,29,FALSE),VLOOKUP($B1019,Data!$B$3:$EZ1530,4,FALSE)),"")</f>
        <v>-5.313385827</v>
      </c>
      <c r="F1019" s="48">
        <f>IFERROR(DIVIDE(VLOOKUP($B1019,Data!$B$3:$EZ1530,34,FALSE),VLOOKUP($B1019,Data!$B$3:$EZ1530,4,FALSE)),"")</f>
        <v>-5.478740157</v>
      </c>
      <c r="G1019" s="48">
        <f>IFERROR(DIVIDE(VLOOKUP($B1019,Data!$B$3:$EZ1530,39,FALSE),VLOOKUP($B1019,Data!$B$3:$EZ1530,4,FALSE)),"")</f>
        <v>-5.313385827</v>
      </c>
      <c r="H1019" s="48">
        <f>IFERROR(DIVIDE(VLOOKUP($B1019,Data!$B$3:$EZ1530,44,FALSE),VLOOKUP($B1019,Data!$B$3:$EZ1530,4,FALSE)),"")</f>
        <v>-5.609448819</v>
      </c>
      <c r="I1019" s="48">
        <f>IFERROR(MINUS(DIVIDE(VLOOKUP($B1019,Data!$B$3:$EZ1530,9,FALSE),VLOOKUP($B1019,Data!$B$3:$EZ1530,10,FALSE)),1),"")</f>
        <v>-1</v>
      </c>
      <c r="J1019" s="48" t="str">
        <f>IFERROR(MINUS(DIVIDE(VLOOKUP($B1019,Data!$B$3:$EZ1530,24,FALSE),VLOOKUP($B1019,Data!$B$3:$EZ1530,25,FALSE)),1),"")</f>
        <v/>
      </c>
      <c r="K1019" s="48">
        <f>IFERROR(MINUS(DIVIDE(VLOOKUP($B1019,Data!$B$3:$EZ1530,29,FALSE),VLOOKUP($B1019,Data!$B$3:$EZ1530,30,FALSE)),1),"")</f>
        <v>0.4798245614</v>
      </c>
      <c r="L1019" s="48">
        <f>IFERROR(MINUS(DIVIDE(VLOOKUP($B1019,Data!$B$3:$EZ1530,34,FALSE),VLOOKUP($B1019,Data!$B$3:$EZ1530,35,FALSE)),1),"")</f>
        <v>0.6166356877</v>
      </c>
      <c r="M1019" s="48">
        <f>IFERROR(MINUS(DIVIDE(VLOOKUP($B1019,Data!$B$3:$EZ1530,39,FALSE),VLOOKUP($B1019,Data!$B$3:$EZ1530,40,FALSE)),1),"")</f>
        <v>0.4798245614</v>
      </c>
      <c r="N1019" s="48">
        <f>IFERROR(MINUS(DIVIDE(VLOOKUP($B1019,Data!$B$3:$EZ1530,44,FALSE),VLOOKUP($B1019,Data!$B$3:$EZ1530,45,FALSE)),1),"")</f>
        <v>-5.699208443</v>
      </c>
      <c r="O1019" s="50">
        <f>IFERROR(VLOOKUP($B1019,Data!$B$3:$D1530,2,FALSE),"")</f>
        <v>1940</v>
      </c>
      <c r="P1019" s="50">
        <f>IFERROR(VLOOKUP($B1019,Data!$B$3:$D1530,3,FALSE),"")</f>
        <v>22380</v>
      </c>
      <c r="Q1019" s="48">
        <f t="shared" si="2"/>
        <v>-0.9133154602</v>
      </c>
      <c r="R1019" s="48"/>
      <c r="S1019" s="48"/>
      <c r="T1019" s="48"/>
      <c r="U1019" s="48"/>
      <c r="V1019" s="48"/>
      <c r="W1019" s="50"/>
      <c r="Z1019" s="11"/>
      <c r="AA1019" s="11"/>
    </row>
    <row r="1020">
      <c r="A1020" s="9">
        <f t="shared" si="1"/>
        <v>1017</v>
      </c>
      <c r="B1020" s="47" t="s">
        <v>1154</v>
      </c>
      <c r="C1020" s="48" t="str">
        <f>IFERROR(DIVIDE(VLOOKUP($B1020,Data!$B$3:$AB$1535,9,FALSE),VLOOKUP($B1020,Data!$B$3:$AB$1535,4,FALSE)),"")</f>
        <v/>
      </c>
      <c r="D1020" s="48" t="str">
        <f>IFERROR(DIVIDE(VLOOKUP($B1020,Data!$B$3:$AB$1535,24,FALSE),VLOOKUP($B1020,Data!$B$3:$AB$1535,4,FALSE)),"")</f>
        <v/>
      </c>
      <c r="E1020" s="48" t="str">
        <f>IFERROR(DIVIDE(VLOOKUP($B1020,Data!$B$3:$EZ1530,29,FALSE),VLOOKUP($B1020,Data!$B$3:$EZ1530,4,FALSE)),"")</f>
        <v/>
      </c>
      <c r="F1020" s="48" t="str">
        <f>IFERROR(DIVIDE(VLOOKUP($B1020,Data!$B$3:$EZ1530,34,FALSE),VLOOKUP($B1020,Data!$B$3:$EZ1530,4,FALSE)),"")</f>
        <v/>
      </c>
      <c r="G1020" s="48" t="str">
        <f>IFERROR(DIVIDE(VLOOKUP($B1020,Data!$B$3:$EZ1530,39,FALSE),VLOOKUP($B1020,Data!$B$3:$EZ1530,4,FALSE)),"")</f>
        <v/>
      </c>
      <c r="H1020" s="48" t="str">
        <f>IFERROR(DIVIDE(VLOOKUP($B1020,Data!$B$3:$EZ1530,44,FALSE),VLOOKUP($B1020,Data!$B$3:$EZ1530,4,FALSE)),"")</f>
        <v/>
      </c>
      <c r="I1020" s="48" t="str">
        <f>IFERROR(MINUS(DIVIDE(VLOOKUP($B1020,Data!$B$3:$EZ1530,9,FALSE),VLOOKUP($B1020,Data!$B$3:$EZ1530,10,FALSE)),1),"")</f>
        <v/>
      </c>
      <c r="J1020" s="48" t="str">
        <f>IFERROR(MINUS(DIVIDE(VLOOKUP($B1020,Data!$B$3:$EZ1530,24,FALSE),VLOOKUP($B1020,Data!$B$3:$EZ1530,25,FALSE)),1),"")</f>
        <v/>
      </c>
      <c r="K1020" s="48" t="str">
        <f>IFERROR(MINUS(DIVIDE(VLOOKUP($B1020,Data!$B$3:$EZ1530,29,FALSE),VLOOKUP($B1020,Data!$B$3:$EZ1530,30,FALSE)),1),"")</f>
        <v/>
      </c>
      <c r="L1020" s="48" t="str">
        <f>IFERROR(MINUS(DIVIDE(VLOOKUP($B1020,Data!$B$3:$EZ1530,34,FALSE),VLOOKUP($B1020,Data!$B$3:$EZ1530,35,FALSE)),1),"")</f>
        <v/>
      </c>
      <c r="M1020" s="48" t="str">
        <f>IFERROR(MINUS(DIVIDE(VLOOKUP($B1020,Data!$B$3:$EZ1530,39,FALSE),VLOOKUP($B1020,Data!$B$3:$EZ1530,40,FALSE)),1),"")</f>
        <v/>
      </c>
      <c r="N1020" s="48" t="str">
        <f>IFERROR(MINUS(DIVIDE(VLOOKUP($B1020,Data!$B$3:$EZ1530,44,FALSE),VLOOKUP($B1020,Data!$B$3:$EZ1530,45,FALSE)),1),"")</f>
        <v/>
      </c>
      <c r="O1020" s="50" t="str">
        <f>IFERROR(VLOOKUP($B1020,Data!$B$3:$D1530,2,FALSE),"")</f>
        <v/>
      </c>
      <c r="P1020" s="50" t="str">
        <f>IFERROR(VLOOKUP($B1020,Data!$B$3:$D1530,3,FALSE),"")</f>
        <v/>
      </c>
      <c r="Q1020" s="48" t="str">
        <f t="shared" si="2"/>
        <v/>
      </c>
      <c r="R1020" s="48"/>
      <c r="S1020" s="48"/>
      <c r="T1020" s="48"/>
      <c r="U1020" s="48"/>
      <c r="V1020" s="48"/>
      <c r="W1020" s="50"/>
      <c r="Z1020" s="15"/>
      <c r="AA1020" s="15"/>
    </row>
    <row r="1021">
      <c r="A1021" s="9">
        <f t="shared" si="1"/>
        <v>1018</v>
      </c>
      <c r="B1021" s="47" t="s">
        <v>1155</v>
      </c>
      <c r="C1021" s="48">
        <f>IFERROR(DIVIDE(VLOOKUP($B1021,Data!$B$3:$AB$1535,9,FALSE),VLOOKUP($B1021,Data!$B$3:$AB$1535,4,FALSE)),"")</f>
        <v>-0.1540328973</v>
      </c>
      <c r="D1021" s="48">
        <f>IFERROR(DIVIDE(VLOOKUP($B1021,Data!$B$3:$AB$1535,24,FALSE),VLOOKUP($B1021,Data!$B$3:$AB$1535,4,FALSE)),"")</f>
        <v>0</v>
      </c>
      <c r="E1021" s="48">
        <f>IFERROR(DIVIDE(VLOOKUP($B1021,Data!$B$3:$EZ1530,29,FALSE),VLOOKUP($B1021,Data!$B$3:$EZ1530,4,FALSE)),"")</f>
        <v>-0.2176971859</v>
      </c>
      <c r="F1021" s="48">
        <f>IFERROR(DIVIDE(VLOOKUP($B1021,Data!$B$3:$EZ1530,34,FALSE),VLOOKUP($B1021,Data!$B$3:$EZ1530,4,FALSE)),"")</f>
        <v>-0.07238406659</v>
      </c>
      <c r="G1021" s="48">
        <f>IFERROR(DIVIDE(VLOOKUP($B1021,Data!$B$3:$EZ1530,39,FALSE),VLOOKUP($B1021,Data!$B$3:$EZ1530,4,FALSE)),"")</f>
        <v>-0.05504359889</v>
      </c>
      <c r="H1021" s="48">
        <f>IFERROR(DIVIDE(VLOOKUP($B1021,Data!$B$3:$EZ1530,44,FALSE),VLOOKUP($B1021,Data!$B$3:$EZ1530,4,FALSE)),"")</f>
        <v>-0.02734839477</v>
      </c>
      <c r="I1021" s="48">
        <f>IFERROR(MINUS(DIVIDE(VLOOKUP($B1021,Data!$B$3:$EZ1530,9,FALSE),VLOOKUP($B1021,Data!$B$3:$EZ1530,10,FALSE)),1),"")</f>
        <v>-0.7529991261</v>
      </c>
      <c r="J1021" s="48">
        <f>IFERROR(MINUS(DIVIDE(VLOOKUP($B1021,Data!$B$3:$EZ1530,24,FALSE),VLOOKUP($B1021,Data!$B$3:$EZ1530,25,FALSE)),1),"")</f>
        <v>-1</v>
      </c>
      <c r="K1021" s="48">
        <f>IFERROR(MINUS(DIVIDE(VLOOKUP($B1021,Data!$B$3:$EZ1530,29,FALSE),VLOOKUP($B1021,Data!$B$3:$EZ1530,30,FALSE)),1),"")</f>
        <v>-0.7400922749</v>
      </c>
      <c r="L1021" s="48">
        <f>IFERROR(MINUS(DIVIDE(VLOOKUP($B1021,Data!$B$3:$EZ1530,34,FALSE),VLOOKUP($B1021,Data!$B$3:$EZ1530,35,FALSE)),1),"")</f>
        <v>-0.8789159622</v>
      </c>
      <c r="M1021" s="48">
        <f>IFERROR(MINUS(DIVIDE(VLOOKUP($B1021,Data!$B$3:$EZ1530,39,FALSE),VLOOKUP($B1021,Data!$B$3:$EZ1530,40,FALSE)),1),"")</f>
        <v>-0.9449700332</v>
      </c>
      <c r="N1021" s="48">
        <f>IFERROR(MINUS(DIVIDE(VLOOKUP($B1021,Data!$B$3:$EZ1530,44,FALSE),VLOOKUP($B1021,Data!$B$3:$EZ1530,45,FALSE)),1),"")</f>
        <v>-0.9535509929</v>
      </c>
      <c r="O1021" s="50" t="str">
        <f>IFERROR(VLOOKUP($B1021,Data!$B$3:$D1530,2,FALSE),"")</f>
        <v/>
      </c>
      <c r="P1021" s="50" t="str">
        <f>IFERROR(VLOOKUP($B1021,Data!$B$3:$D1530,3,FALSE),"")</f>
        <v/>
      </c>
      <c r="Q1021" s="48" t="str">
        <f t="shared" si="2"/>
        <v/>
      </c>
      <c r="R1021" s="48"/>
      <c r="S1021" s="48"/>
      <c r="T1021" s="48"/>
      <c r="U1021" s="48"/>
      <c r="V1021" s="48"/>
      <c r="W1021" s="50"/>
      <c r="Z1021" s="11"/>
      <c r="AA1021" s="11"/>
    </row>
    <row r="1022">
      <c r="A1022" s="9">
        <f t="shared" si="1"/>
        <v>1019</v>
      </c>
      <c r="B1022" s="47" t="s">
        <v>1156</v>
      </c>
      <c r="C1022" s="48" t="str">
        <f>IFERROR(DIVIDE(VLOOKUP($B1022,Data!$B$3:$AB$1535,9,FALSE),VLOOKUP($B1022,Data!$B$3:$AB$1535,4,FALSE)),"")</f>
        <v/>
      </c>
      <c r="D1022" s="48" t="str">
        <f>IFERROR(DIVIDE(VLOOKUP($B1022,Data!$B$3:$AB$1535,24,FALSE),VLOOKUP($B1022,Data!$B$3:$AB$1535,4,FALSE)),"")</f>
        <v/>
      </c>
      <c r="E1022" s="48" t="str">
        <f>IFERROR(DIVIDE(VLOOKUP($B1022,Data!$B$3:$EZ1530,29,FALSE),VLOOKUP($B1022,Data!$B$3:$EZ1530,4,FALSE)),"")</f>
        <v/>
      </c>
      <c r="F1022" s="48" t="str">
        <f>IFERROR(DIVIDE(VLOOKUP($B1022,Data!$B$3:$EZ1530,34,FALSE),VLOOKUP($B1022,Data!$B$3:$EZ1530,4,FALSE)),"")</f>
        <v/>
      </c>
      <c r="G1022" s="48" t="str">
        <f>IFERROR(DIVIDE(VLOOKUP($B1022,Data!$B$3:$EZ1530,39,FALSE),VLOOKUP($B1022,Data!$B$3:$EZ1530,4,FALSE)),"")</f>
        <v/>
      </c>
      <c r="H1022" s="48" t="str">
        <f>IFERROR(DIVIDE(VLOOKUP($B1022,Data!$B$3:$EZ1530,44,FALSE),VLOOKUP($B1022,Data!$B$3:$EZ1530,4,FALSE)),"")</f>
        <v/>
      </c>
      <c r="I1022" s="48">
        <f>IFERROR(MINUS(DIVIDE(VLOOKUP($B1022,Data!$B$3:$EZ1530,9,FALSE),VLOOKUP($B1022,Data!$B$3:$EZ1530,10,FALSE)),1),"")</f>
        <v>5.76146789</v>
      </c>
      <c r="J1022" s="48" t="str">
        <f>IFERROR(MINUS(DIVIDE(VLOOKUP($B1022,Data!$B$3:$EZ1530,24,FALSE),VLOOKUP($B1022,Data!$B$3:$EZ1530,25,FALSE)),1),"")</f>
        <v/>
      </c>
      <c r="K1022" s="48">
        <f>IFERROR(MINUS(DIVIDE(VLOOKUP($B1022,Data!$B$3:$EZ1530,29,FALSE),VLOOKUP($B1022,Data!$B$3:$EZ1530,30,FALSE)),1),"")</f>
        <v>0.4163626889</v>
      </c>
      <c r="L1022" s="48">
        <f>IFERROR(MINUS(DIVIDE(VLOOKUP($B1022,Data!$B$3:$EZ1530,34,FALSE),VLOOKUP($B1022,Data!$B$3:$EZ1530,35,FALSE)),1),"")</f>
        <v>0.3803529717</v>
      </c>
      <c r="M1022" s="48">
        <f>IFERROR(MINUS(DIVIDE(VLOOKUP($B1022,Data!$B$3:$EZ1530,39,FALSE),VLOOKUP($B1022,Data!$B$3:$EZ1530,40,FALSE)),1),"")</f>
        <v>0.4180135558</v>
      </c>
      <c r="N1022" s="48">
        <f>IFERROR(MINUS(DIVIDE(VLOOKUP($B1022,Data!$B$3:$EZ1530,44,FALSE),VLOOKUP($B1022,Data!$B$3:$EZ1530,45,FALSE)),1),"")</f>
        <v>0.4299343134</v>
      </c>
      <c r="O1022" s="50" t="str">
        <f>IFERROR(VLOOKUP($B1022,Data!$B$3:$D1530,2,FALSE),"")</f>
        <v/>
      </c>
      <c r="P1022" s="50" t="str">
        <f>IFERROR(VLOOKUP($B1022,Data!$B$3:$D1530,3,FALSE),"")</f>
        <v/>
      </c>
      <c r="Q1022" s="48" t="str">
        <f t="shared" si="2"/>
        <v/>
      </c>
      <c r="R1022" s="48"/>
      <c r="S1022" s="48"/>
      <c r="T1022" s="48"/>
      <c r="U1022" s="48"/>
      <c r="V1022" s="48"/>
      <c r="W1022" s="50"/>
      <c r="Z1022" s="12"/>
      <c r="AA1022" s="12"/>
    </row>
    <row r="1023">
      <c r="A1023" s="9">
        <f t="shared" si="1"/>
        <v>1020</v>
      </c>
      <c r="B1023" s="47" t="s">
        <v>1157</v>
      </c>
      <c r="C1023" s="48">
        <f>IFERROR(DIVIDE(VLOOKUP($B1023,Data!$B$3:$AB$1535,9,FALSE),VLOOKUP($B1023,Data!$B$3:$AB$1535,4,FALSE)),"")</f>
        <v>0.2276536313</v>
      </c>
      <c r="D1023" s="48">
        <f>IFERROR(DIVIDE(VLOOKUP($B1023,Data!$B$3:$AB$1535,24,FALSE),VLOOKUP($B1023,Data!$B$3:$AB$1535,4,FALSE)),"")</f>
        <v>0.1160614525</v>
      </c>
      <c r="E1023" s="48">
        <f>IFERROR(DIVIDE(VLOOKUP($B1023,Data!$B$3:$EZ1530,29,FALSE),VLOOKUP($B1023,Data!$B$3:$EZ1530,4,FALSE)),"")</f>
        <v>0.08240223464</v>
      </c>
      <c r="F1023" s="48">
        <f>IFERROR(DIVIDE(VLOOKUP($B1023,Data!$B$3:$EZ1530,34,FALSE),VLOOKUP($B1023,Data!$B$3:$EZ1530,4,FALSE)),"")</f>
        <v>0.1801675978</v>
      </c>
      <c r="G1023" s="48">
        <f>IFERROR(DIVIDE(VLOOKUP($B1023,Data!$B$3:$EZ1530,39,FALSE),VLOOKUP($B1023,Data!$B$3:$EZ1530,4,FALSE)),"")</f>
        <v>0.05656424581</v>
      </c>
      <c r="H1023" s="48">
        <f>IFERROR(DIVIDE(VLOOKUP($B1023,Data!$B$3:$EZ1530,44,FALSE),VLOOKUP($B1023,Data!$B$3:$EZ1530,4,FALSE)),"")</f>
        <v>0.1452513966</v>
      </c>
      <c r="I1023" s="48">
        <f>IFERROR(MINUS(DIVIDE(VLOOKUP($B1023,Data!$B$3:$EZ1530,9,FALSE),VLOOKUP($B1023,Data!$B$3:$EZ1530,10,FALSE)),1),"")</f>
        <v>-0.01212121212</v>
      </c>
      <c r="J1023" s="48">
        <f>IFERROR(MINUS(DIVIDE(VLOOKUP($B1023,Data!$B$3:$EZ1530,24,FALSE),VLOOKUP($B1023,Data!$B$3:$EZ1530,25,FALSE)),1),"")</f>
        <v>-0.07046979866</v>
      </c>
      <c r="K1023" s="48">
        <f>IFERROR(MINUS(DIVIDE(VLOOKUP($B1023,Data!$B$3:$EZ1530,29,FALSE),VLOOKUP($B1023,Data!$B$3:$EZ1530,30,FALSE)),1),"")</f>
        <v>-0.1619318182</v>
      </c>
      <c r="L1023" s="48">
        <f>IFERROR(MINUS(DIVIDE(VLOOKUP($B1023,Data!$B$3:$EZ1530,34,FALSE),VLOOKUP($B1023,Data!$B$3:$EZ1530,35,FALSE)),1),"")</f>
        <v>-0.007692307692</v>
      </c>
      <c r="M1023" s="48">
        <f>IFERROR(MINUS(DIVIDE(VLOOKUP($B1023,Data!$B$3:$EZ1530,39,FALSE),VLOOKUP($B1023,Data!$B$3:$EZ1530,40,FALSE)),1),"")</f>
        <v>-0.2568807339</v>
      </c>
      <c r="N1023" s="48">
        <f>IFERROR(MINUS(DIVIDE(VLOOKUP($B1023,Data!$B$3:$EZ1530,44,FALSE),VLOOKUP($B1023,Data!$B$3:$EZ1530,45,FALSE)),1),"")</f>
        <v>0.295143213</v>
      </c>
      <c r="O1023" s="50">
        <f>IFERROR(VLOOKUP($B1023,Data!$B$3:$D1530,2,FALSE),"")</f>
        <v>6860000</v>
      </c>
      <c r="P1023" s="50">
        <f>IFERROR(VLOOKUP($B1023,Data!$B$3:$D1530,3,FALSE),"")</f>
        <v>6430000</v>
      </c>
      <c r="Q1023" s="48">
        <f t="shared" si="2"/>
        <v>0.06687402799</v>
      </c>
      <c r="R1023" s="48"/>
      <c r="S1023" s="48"/>
      <c r="T1023" s="48"/>
      <c r="U1023" s="48"/>
      <c r="V1023" s="48"/>
      <c r="W1023" s="50"/>
      <c r="Z1023" s="12"/>
      <c r="AA1023" s="12"/>
    </row>
    <row r="1024">
      <c r="A1024" s="9">
        <f t="shared" si="1"/>
        <v>1021</v>
      </c>
      <c r="B1024" s="47" t="s">
        <v>1158</v>
      </c>
      <c r="C1024" s="48">
        <f>IFERROR(DIVIDE(VLOOKUP($B1024,Data!$B$3:$AB$1535,9,FALSE),VLOOKUP($B1024,Data!$B$3:$AB$1535,4,FALSE)),"")</f>
        <v>0.1505910165</v>
      </c>
      <c r="D1024" s="48">
        <f>IFERROR(DIVIDE(VLOOKUP($B1024,Data!$B$3:$AB$1535,24,FALSE),VLOOKUP($B1024,Data!$B$3:$AB$1535,4,FALSE)),"")</f>
        <v>-19.26477541</v>
      </c>
      <c r="E1024" s="48">
        <f>IFERROR(DIVIDE(VLOOKUP($B1024,Data!$B$3:$EZ1530,29,FALSE),VLOOKUP($B1024,Data!$B$3:$EZ1530,4,FALSE)),"")</f>
        <v>-20.41843972</v>
      </c>
      <c r="F1024" s="48">
        <f>IFERROR(DIVIDE(VLOOKUP($B1024,Data!$B$3:$EZ1530,34,FALSE),VLOOKUP($B1024,Data!$B$3:$EZ1530,4,FALSE)),"")</f>
        <v>-19.6855792</v>
      </c>
      <c r="G1024" s="48">
        <f>IFERROR(DIVIDE(VLOOKUP($B1024,Data!$B$3:$EZ1530,39,FALSE),VLOOKUP($B1024,Data!$B$3:$EZ1530,4,FALSE)),"")</f>
        <v>-20.41843972</v>
      </c>
      <c r="H1024" s="48">
        <f>IFERROR(DIVIDE(VLOOKUP($B1024,Data!$B$3:$EZ1530,44,FALSE),VLOOKUP($B1024,Data!$B$3:$EZ1530,4,FALSE)),"")</f>
        <v>-18.13947991</v>
      </c>
      <c r="I1024" s="48">
        <f>IFERROR(MINUS(DIVIDE(VLOOKUP($B1024,Data!$B$3:$EZ1530,9,FALSE),VLOOKUP($B1024,Data!$B$3:$EZ1530,10,FALSE)),1),"")</f>
        <v>-1.837056505</v>
      </c>
      <c r="J1024" s="48" t="str">
        <f>IFERROR(MINUS(DIVIDE(VLOOKUP($B1024,Data!$B$3:$EZ1530,24,FALSE),VLOOKUP($B1024,Data!$B$3:$EZ1530,25,FALSE)),1),"")</f>
        <v/>
      </c>
      <c r="K1024" s="48">
        <f>IFERROR(MINUS(DIVIDE(VLOOKUP($B1024,Data!$B$3:$EZ1530,29,FALSE),VLOOKUP($B1024,Data!$B$3:$EZ1530,30,FALSE)),1),"")</f>
        <v>0.4399799933</v>
      </c>
      <c r="L1024" s="48">
        <f>IFERROR(MINUS(DIVIDE(VLOOKUP($B1024,Data!$B$3:$EZ1530,34,FALSE),VLOOKUP($B1024,Data!$B$3:$EZ1530,35,FALSE)),1),"")</f>
        <v>0.4652472286</v>
      </c>
      <c r="M1024" s="48">
        <f>IFERROR(MINUS(DIVIDE(VLOOKUP($B1024,Data!$B$3:$EZ1530,39,FALSE),VLOOKUP($B1024,Data!$B$3:$EZ1530,40,FALSE)),1),"")</f>
        <v>0.4399799933</v>
      </c>
      <c r="N1024" s="48">
        <f>IFERROR(MINUS(DIVIDE(VLOOKUP($B1024,Data!$B$3:$EZ1530,44,FALSE),VLOOKUP($B1024,Data!$B$3:$EZ1530,45,FALSE)),1),"")</f>
        <v>0.5586024782</v>
      </c>
      <c r="O1024" s="50">
        <f>IFERROR(VLOOKUP($B1024,Data!$B$3:$D1530,2,FALSE),"")</f>
        <v>54300</v>
      </c>
      <c r="P1024" s="50">
        <f>IFERROR(VLOOKUP($B1024,Data!$B$3:$D1530,3,FALSE),"")</f>
        <v>13830</v>
      </c>
      <c r="Q1024" s="48">
        <f t="shared" si="2"/>
        <v>2.926247289</v>
      </c>
      <c r="R1024" s="48"/>
      <c r="S1024" s="48"/>
      <c r="T1024" s="48"/>
      <c r="U1024" s="48"/>
      <c r="V1024" s="48"/>
      <c r="W1024" s="50"/>
      <c r="Z1024" s="12"/>
      <c r="AA1024" s="12"/>
    </row>
    <row r="1025">
      <c r="A1025" s="9">
        <f t="shared" si="1"/>
        <v>1022</v>
      </c>
      <c r="B1025" s="47" t="s">
        <v>1159</v>
      </c>
      <c r="C1025" s="48">
        <f>IFERROR(DIVIDE(VLOOKUP($B1025,Data!$B$3:$AB$1535,9,FALSE),VLOOKUP($B1025,Data!$B$3:$AB$1535,4,FALSE)),"")</f>
        <v>0.2370140418</v>
      </c>
      <c r="D1025" s="48">
        <f>IFERROR(DIVIDE(VLOOKUP($B1025,Data!$B$3:$AB$1535,24,FALSE),VLOOKUP($B1025,Data!$B$3:$AB$1535,4,FALSE)),"")</f>
        <v>0</v>
      </c>
      <c r="E1025" s="48">
        <f>IFERROR(DIVIDE(VLOOKUP($B1025,Data!$B$3:$EZ1530,29,FALSE),VLOOKUP($B1025,Data!$B$3:$EZ1530,4,FALSE)),"")</f>
        <v>0.05252138758</v>
      </c>
      <c r="F1025" s="48">
        <f>IFERROR(DIVIDE(VLOOKUP($B1025,Data!$B$3:$EZ1530,34,FALSE),VLOOKUP($B1025,Data!$B$3:$EZ1530,4,FALSE)),"")</f>
        <v>0.08569469011</v>
      </c>
      <c r="G1025" s="48">
        <f>IFERROR(DIVIDE(VLOOKUP($B1025,Data!$B$3:$EZ1530,39,FALSE),VLOOKUP($B1025,Data!$B$3:$EZ1530,4,FALSE)),"")</f>
        <v>0.04374977439</v>
      </c>
      <c r="H1025" s="48">
        <f>IFERROR(DIVIDE(VLOOKUP($B1025,Data!$B$3:$EZ1530,44,FALSE),VLOOKUP($B1025,Data!$B$3:$EZ1530,4,FALSE)),"")</f>
        <v>0.09652384218</v>
      </c>
      <c r="I1025" s="48">
        <f>IFERROR(MINUS(DIVIDE(VLOOKUP($B1025,Data!$B$3:$EZ1530,9,FALSE),VLOOKUP($B1025,Data!$B$3:$EZ1530,10,FALSE)),1),"")</f>
        <v>-0.08704115684</v>
      </c>
      <c r="J1025" s="48" t="str">
        <f>IFERROR(MINUS(DIVIDE(VLOOKUP($B1025,Data!$B$3:$EZ1530,24,FALSE),VLOOKUP($B1025,Data!$B$3:$EZ1530,25,FALSE)),1),"")</f>
        <v/>
      </c>
      <c r="K1025" s="48">
        <f>IFERROR(MINUS(DIVIDE(VLOOKUP($B1025,Data!$B$3:$EZ1530,29,FALSE),VLOOKUP($B1025,Data!$B$3:$EZ1530,30,FALSE)),1),"")</f>
        <v>-0.0215198386</v>
      </c>
      <c r="L1025" s="48">
        <f>IFERROR(MINUS(DIVIDE(VLOOKUP($B1025,Data!$B$3:$EZ1530,34,FALSE),VLOOKUP($B1025,Data!$B$3:$EZ1530,35,FALSE)),1),"")</f>
        <v>-0.1707998603</v>
      </c>
      <c r="M1025" s="48">
        <f>IFERROR(MINUS(DIVIDE(VLOOKUP($B1025,Data!$B$3:$EZ1530,39,FALSE),VLOOKUP($B1025,Data!$B$3:$EZ1530,40,FALSE)),1),"")</f>
        <v>0.5055900621</v>
      </c>
      <c r="N1025" s="48">
        <f>IFERROR(MINUS(DIVIDE(VLOOKUP($B1025,Data!$B$3:$EZ1530,44,FALSE),VLOOKUP($B1025,Data!$B$3:$EZ1530,45,FALSE)),1),"")</f>
        <v>1.520263902</v>
      </c>
      <c r="O1025" s="50" t="str">
        <f>IFERROR(VLOOKUP($B1025,Data!$B$3:$D1530,2,FALSE),"")</f>
        <v/>
      </c>
      <c r="P1025" s="50" t="str">
        <f>IFERROR(VLOOKUP($B1025,Data!$B$3:$D1530,3,FALSE),"")</f>
        <v/>
      </c>
      <c r="Q1025" s="48" t="str">
        <f t="shared" si="2"/>
        <v/>
      </c>
      <c r="R1025" s="48"/>
      <c r="S1025" s="48"/>
      <c r="T1025" s="48"/>
      <c r="U1025" s="48"/>
      <c r="V1025" s="48"/>
      <c r="W1025" s="50"/>
      <c r="Z1025" s="11"/>
      <c r="AA1025" s="11"/>
    </row>
    <row r="1026">
      <c r="A1026" s="9">
        <f t="shared" si="1"/>
        <v>1023</v>
      </c>
      <c r="B1026" s="47" t="s">
        <v>1160</v>
      </c>
      <c r="C1026" s="48">
        <f>IFERROR(DIVIDE(VLOOKUP($B1026,Data!$B$3:$AB$1535,9,FALSE),VLOOKUP($B1026,Data!$B$3:$AB$1535,4,FALSE)),"")</f>
        <v>0.2725060827</v>
      </c>
      <c r="D1026" s="48">
        <f>IFERROR(DIVIDE(VLOOKUP($B1026,Data!$B$3:$AB$1535,24,FALSE),VLOOKUP($B1026,Data!$B$3:$AB$1535,4,FALSE)),"")</f>
        <v>0</v>
      </c>
      <c r="E1026" s="48">
        <f>IFERROR(DIVIDE(VLOOKUP($B1026,Data!$B$3:$EZ1530,29,FALSE),VLOOKUP($B1026,Data!$B$3:$EZ1530,4,FALSE)),"")</f>
        <v>0.2004744526</v>
      </c>
      <c r="F1026" s="48">
        <f>IFERROR(DIVIDE(VLOOKUP($B1026,Data!$B$3:$EZ1530,34,FALSE),VLOOKUP($B1026,Data!$B$3:$EZ1530,4,FALSE)),"")</f>
        <v>0.2676399027</v>
      </c>
      <c r="G1026" s="48">
        <f>IFERROR(DIVIDE(VLOOKUP($B1026,Data!$B$3:$EZ1530,39,FALSE),VLOOKUP($B1026,Data!$B$3:$EZ1530,4,FALSE)),"")</f>
        <v>0.1497615572</v>
      </c>
      <c r="H1026" s="48">
        <f>IFERROR(DIVIDE(VLOOKUP($B1026,Data!$B$3:$EZ1530,44,FALSE),VLOOKUP($B1026,Data!$B$3:$EZ1530,4,FALSE)),"")</f>
        <v>0.2393892944</v>
      </c>
      <c r="I1026" s="48">
        <f>IFERROR(MINUS(DIVIDE(VLOOKUP($B1026,Data!$B$3:$EZ1530,9,FALSE),VLOOKUP($B1026,Data!$B$3:$EZ1530,10,FALSE)),1),"")</f>
        <v>0.009009009009</v>
      </c>
      <c r="J1026" s="48" t="str">
        <f>IFERROR(MINUS(DIVIDE(VLOOKUP($B1026,Data!$B$3:$EZ1530,24,FALSE),VLOOKUP($B1026,Data!$B$3:$EZ1530,25,FALSE)),1),"")</f>
        <v/>
      </c>
      <c r="K1026" s="48">
        <f>IFERROR(MINUS(DIVIDE(VLOOKUP($B1026,Data!$B$3:$EZ1530,29,FALSE),VLOOKUP($B1026,Data!$B$3:$EZ1530,30,FALSE)),1),"")</f>
        <v>0.01034935194</v>
      </c>
      <c r="L1026" s="48">
        <f>IFERROR(MINUS(DIVIDE(VLOOKUP($B1026,Data!$B$3:$EZ1530,34,FALSE),VLOOKUP($B1026,Data!$B$3:$EZ1530,35,FALSE)),1),"")</f>
        <v>0.02803738318</v>
      </c>
      <c r="M1026" s="48">
        <f>IFERROR(MINUS(DIVIDE(VLOOKUP($B1026,Data!$B$3:$EZ1530,39,FALSE),VLOOKUP($B1026,Data!$B$3:$EZ1530,40,FALSE)),1),"")</f>
        <v>0.01626298149</v>
      </c>
      <c r="N1026" s="48">
        <f>IFERROR(MINUS(DIVIDE(VLOOKUP($B1026,Data!$B$3:$EZ1530,44,FALSE),VLOOKUP($B1026,Data!$B$3:$EZ1530,45,FALSE)),1),"")</f>
        <v>0.09306536906</v>
      </c>
      <c r="O1026" s="50">
        <f>IFERROR(VLOOKUP($B1026,Data!$B$3:$D1530,2,FALSE),"")</f>
        <v>4360000</v>
      </c>
      <c r="P1026" s="50">
        <f>IFERROR(VLOOKUP($B1026,Data!$B$3:$D1530,3,FALSE),"")</f>
        <v>3910000</v>
      </c>
      <c r="Q1026" s="48">
        <f t="shared" si="2"/>
        <v>0.1150895141</v>
      </c>
      <c r="R1026" s="48"/>
      <c r="S1026" s="48"/>
      <c r="T1026" s="48"/>
      <c r="U1026" s="48"/>
      <c r="V1026" s="48"/>
      <c r="W1026" s="50"/>
      <c r="Z1026" s="11"/>
      <c r="AA1026" s="11"/>
    </row>
    <row r="1027">
      <c r="A1027" s="9">
        <f t="shared" si="1"/>
        <v>1024</v>
      </c>
      <c r="B1027" s="47" t="s">
        <v>1161</v>
      </c>
      <c r="C1027" s="48">
        <f>IFERROR(DIVIDE(VLOOKUP($B1027,Data!$B$3:$AB$1535,9,FALSE),VLOOKUP($B1027,Data!$B$3:$AB$1535,4,FALSE)),"")</f>
        <v>0.2281690141</v>
      </c>
      <c r="D1027" s="48">
        <f>IFERROR(DIVIDE(VLOOKUP($B1027,Data!$B$3:$AB$1535,24,FALSE),VLOOKUP($B1027,Data!$B$3:$AB$1535,4,FALSE)),"")</f>
        <v>0.01971830986</v>
      </c>
      <c r="E1027" s="48">
        <f>IFERROR(DIVIDE(VLOOKUP($B1027,Data!$B$3:$EZ1530,29,FALSE),VLOOKUP($B1027,Data!$B$3:$EZ1530,4,FALSE)),"")</f>
        <v>0.01370892019</v>
      </c>
      <c r="F1027" s="48">
        <f>IFERROR(DIVIDE(VLOOKUP($B1027,Data!$B$3:$EZ1530,34,FALSE),VLOOKUP($B1027,Data!$B$3:$EZ1530,4,FALSE)),"")</f>
        <v>0.05502347418</v>
      </c>
      <c r="G1027" s="48">
        <f>IFERROR(DIVIDE(VLOOKUP($B1027,Data!$B$3:$EZ1530,39,FALSE),VLOOKUP($B1027,Data!$B$3:$EZ1530,4,FALSE)),"")</f>
        <v>0.009295774648</v>
      </c>
      <c r="H1027" s="48">
        <f>IFERROR(DIVIDE(VLOOKUP($B1027,Data!$B$3:$EZ1530,44,FALSE),VLOOKUP($B1027,Data!$B$3:$EZ1530,4,FALSE)),"")</f>
        <v>0.03436619718</v>
      </c>
      <c r="I1027" s="48">
        <f>IFERROR(MINUS(DIVIDE(VLOOKUP($B1027,Data!$B$3:$EZ1530,9,FALSE),VLOOKUP($B1027,Data!$B$3:$EZ1530,10,FALSE)),1),"")</f>
        <v>-0.03571428571</v>
      </c>
      <c r="J1027" s="48">
        <f>IFERROR(MINUS(DIVIDE(VLOOKUP($B1027,Data!$B$3:$EZ1530,24,FALSE),VLOOKUP($B1027,Data!$B$3:$EZ1530,25,FALSE)),1),"")</f>
        <v>-0.1213389121</v>
      </c>
      <c r="K1027" s="48">
        <f>IFERROR(MINUS(DIVIDE(VLOOKUP($B1027,Data!$B$3:$EZ1530,29,FALSE),VLOOKUP($B1027,Data!$B$3:$EZ1530,30,FALSE)),1),"")</f>
        <v>-0.07594936709</v>
      </c>
      <c r="L1027" s="48">
        <f>IFERROR(MINUS(DIVIDE(VLOOKUP($B1027,Data!$B$3:$EZ1530,34,FALSE),VLOOKUP($B1027,Data!$B$3:$EZ1530,35,FALSE)),1),"")</f>
        <v>0.06739526412</v>
      </c>
      <c r="M1027" s="48">
        <f>IFERROR(MINUS(DIVIDE(VLOOKUP($B1027,Data!$B$3:$EZ1530,39,FALSE),VLOOKUP($B1027,Data!$B$3:$EZ1530,40,FALSE)),1),"")</f>
        <v>0</v>
      </c>
      <c r="N1027" s="48">
        <f>IFERROR(MINUS(DIVIDE(VLOOKUP($B1027,Data!$B$3:$EZ1530,44,FALSE),VLOOKUP($B1027,Data!$B$3:$EZ1530,45,FALSE)),1),"")</f>
        <v>-0.4058441558</v>
      </c>
      <c r="O1027" s="50">
        <f>IFERROR(VLOOKUP($B1027,Data!$B$3:$D1530,2,FALSE),"")</f>
        <v>9490000</v>
      </c>
      <c r="P1027" s="50">
        <f>IFERROR(VLOOKUP($B1027,Data!$B$3:$D1530,3,FALSE),"")</f>
        <v>9750000</v>
      </c>
      <c r="Q1027" s="48">
        <f t="shared" si="2"/>
        <v>-0.02666666667</v>
      </c>
      <c r="R1027" s="48"/>
      <c r="S1027" s="48"/>
      <c r="T1027" s="48"/>
      <c r="U1027" s="48"/>
      <c r="V1027" s="48"/>
      <c r="W1027" s="50"/>
      <c r="Z1027" s="15"/>
      <c r="AA1027" s="15"/>
    </row>
    <row r="1028">
      <c r="A1028" s="9">
        <f t="shared" si="1"/>
        <v>1025</v>
      </c>
      <c r="B1028" s="47" t="s">
        <v>1162</v>
      </c>
      <c r="C1028" s="48" t="str">
        <f>IFERROR(DIVIDE(VLOOKUP($B1028,Data!$B$3:$AB$1535,9,FALSE),VLOOKUP($B1028,Data!$B$3:$AB$1535,4,FALSE)),"")</f>
        <v/>
      </c>
      <c r="D1028" s="48" t="str">
        <f>IFERROR(DIVIDE(VLOOKUP($B1028,Data!$B$3:$AB$1535,24,FALSE),VLOOKUP($B1028,Data!$B$3:$AB$1535,4,FALSE)),"")</f>
        <v/>
      </c>
      <c r="E1028" s="48" t="str">
        <f>IFERROR(DIVIDE(VLOOKUP($B1028,Data!$B$3:$EZ1530,29,FALSE),VLOOKUP($B1028,Data!$B$3:$EZ1530,4,FALSE)),"")</f>
        <v/>
      </c>
      <c r="F1028" s="48" t="str">
        <f>IFERROR(DIVIDE(VLOOKUP($B1028,Data!$B$3:$EZ1530,34,FALSE),VLOOKUP($B1028,Data!$B$3:$EZ1530,4,FALSE)),"")</f>
        <v/>
      </c>
      <c r="G1028" s="48" t="str">
        <f>IFERROR(DIVIDE(VLOOKUP($B1028,Data!$B$3:$EZ1530,39,FALSE),VLOOKUP($B1028,Data!$B$3:$EZ1530,4,FALSE)),"")</f>
        <v/>
      </c>
      <c r="H1028" s="48" t="str">
        <f>IFERROR(DIVIDE(VLOOKUP($B1028,Data!$B$3:$EZ1530,44,FALSE),VLOOKUP($B1028,Data!$B$3:$EZ1530,4,FALSE)),"")</f>
        <v/>
      </c>
      <c r="I1028" s="48">
        <f>IFERROR(MINUS(DIVIDE(VLOOKUP($B1028,Data!$B$3:$EZ1530,9,FALSE),VLOOKUP($B1028,Data!$B$3:$EZ1530,10,FALSE)),1),"")</f>
        <v>0.08857142857</v>
      </c>
      <c r="J1028" s="48" t="str">
        <f>IFERROR(MINUS(DIVIDE(VLOOKUP($B1028,Data!$B$3:$EZ1530,24,FALSE),VLOOKUP($B1028,Data!$B$3:$EZ1530,25,FALSE)),1),"")</f>
        <v/>
      </c>
      <c r="K1028" s="48">
        <f>IFERROR(MINUS(DIVIDE(VLOOKUP($B1028,Data!$B$3:$EZ1530,29,FALSE),VLOOKUP($B1028,Data!$B$3:$EZ1530,30,FALSE)),1),"")</f>
        <v>0.2570818345</v>
      </c>
      <c r="L1028" s="48">
        <f>IFERROR(MINUS(DIVIDE(VLOOKUP($B1028,Data!$B$3:$EZ1530,34,FALSE),VLOOKUP($B1028,Data!$B$3:$EZ1530,35,FALSE)),1),"")</f>
        <v>0.2670058622</v>
      </c>
      <c r="M1028" s="48">
        <f>IFERROR(MINUS(DIVIDE(VLOOKUP($B1028,Data!$B$3:$EZ1530,39,FALSE),VLOOKUP($B1028,Data!$B$3:$EZ1530,40,FALSE)),1),"")</f>
        <v>0.2570818345</v>
      </c>
      <c r="N1028" s="48">
        <f>IFERROR(MINUS(DIVIDE(VLOOKUP($B1028,Data!$B$3:$EZ1530,44,FALSE),VLOOKUP($B1028,Data!$B$3:$EZ1530,45,FALSE)),1),"")</f>
        <v>0.4404531227</v>
      </c>
      <c r="O1028" s="50">
        <f>IFERROR(VLOOKUP($B1028,Data!$B$3:$D1530,2,FALSE),"")</f>
        <v>19170</v>
      </c>
      <c r="P1028" s="50" t="str">
        <f>IFERROR(VLOOKUP($B1028,Data!$B$3:$D1530,3,FALSE),"")</f>
        <v/>
      </c>
      <c r="Q1028" s="48" t="str">
        <f t="shared" si="2"/>
        <v/>
      </c>
      <c r="R1028" s="48"/>
      <c r="S1028" s="48"/>
      <c r="T1028" s="48"/>
      <c r="U1028" s="48"/>
      <c r="V1028" s="48"/>
      <c r="W1028" s="50"/>
      <c r="Z1028" s="11"/>
      <c r="AA1028" s="11"/>
    </row>
    <row r="1029">
      <c r="A1029" s="9">
        <f t="shared" si="1"/>
        <v>1026</v>
      </c>
      <c r="B1029" s="47" t="s">
        <v>1163</v>
      </c>
      <c r="C1029" s="48">
        <f>IFERROR(DIVIDE(VLOOKUP($B1029,Data!$B$3:$AB$1535,9,FALSE),VLOOKUP($B1029,Data!$B$3:$AB$1535,4,FALSE)),"")</f>
        <v>0.2633175676</v>
      </c>
      <c r="D1029" s="48">
        <f>IFERROR(DIVIDE(VLOOKUP($B1029,Data!$B$3:$AB$1535,24,FALSE),VLOOKUP($B1029,Data!$B$3:$AB$1535,4,FALSE)),"")</f>
        <v>0.1076486486</v>
      </c>
      <c r="E1029" s="48">
        <f>IFERROR(DIVIDE(VLOOKUP($B1029,Data!$B$3:$EZ1530,29,FALSE),VLOOKUP($B1029,Data!$B$3:$EZ1530,4,FALSE)),"")</f>
        <v>0.0807972973</v>
      </c>
      <c r="F1029" s="48">
        <f>IFERROR(DIVIDE(VLOOKUP($B1029,Data!$B$3:$EZ1530,34,FALSE),VLOOKUP($B1029,Data!$B$3:$EZ1530,4,FALSE)),"")</f>
        <v>0.1754459459</v>
      </c>
      <c r="G1029" s="48">
        <f>IFERROR(DIVIDE(VLOOKUP($B1029,Data!$B$3:$EZ1530,39,FALSE),VLOOKUP($B1029,Data!$B$3:$EZ1530,4,FALSE)),"")</f>
        <v>0.05872972973</v>
      </c>
      <c r="H1029" s="48">
        <f>IFERROR(DIVIDE(VLOOKUP($B1029,Data!$B$3:$EZ1530,44,FALSE),VLOOKUP($B1029,Data!$B$3:$EZ1530,4,FALSE)),"")</f>
        <v>0.1564256757</v>
      </c>
      <c r="I1029" s="48">
        <f>IFERROR(MINUS(DIVIDE(VLOOKUP($B1029,Data!$B$3:$EZ1530,9,FALSE),VLOOKUP($B1029,Data!$B$3:$EZ1530,10,FALSE)),1),"")</f>
        <v>-0.09363443961</v>
      </c>
      <c r="J1029" s="48">
        <f>IFERROR(MINUS(DIVIDE(VLOOKUP($B1029,Data!$B$3:$EZ1530,24,FALSE),VLOOKUP($B1029,Data!$B$3:$EZ1530,25,FALSE)),1),"")</f>
        <v>-0.2127291595</v>
      </c>
      <c r="K1029" s="48">
        <f>IFERROR(MINUS(DIVIDE(VLOOKUP($B1029,Data!$B$3:$EZ1530,29,FALSE),VLOOKUP($B1029,Data!$B$3:$EZ1530,30,FALSE)),1),"")</f>
        <v>-0.2867708458</v>
      </c>
      <c r="L1029" s="48">
        <f>IFERROR(MINUS(DIVIDE(VLOOKUP($B1029,Data!$B$3:$EZ1530,34,FALSE),VLOOKUP($B1029,Data!$B$3:$EZ1530,35,FALSE)),1),"")</f>
        <v>-0.05882779369</v>
      </c>
      <c r="M1029" s="48">
        <f>IFERROR(MINUS(DIVIDE(VLOOKUP($B1029,Data!$B$3:$EZ1530,39,FALSE),VLOOKUP($B1029,Data!$B$3:$EZ1530,40,FALSE)),1),"")</f>
        <v>-0.283488583</v>
      </c>
      <c r="N1029" s="48">
        <f>IFERROR(MINUS(DIVIDE(VLOOKUP($B1029,Data!$B$3:$EZ1530,44,FALSE),VLOOKUP($B1029,Data!$B$3:$EZ1530,45,FALSE)),1),"")</f>
        <v>0.8977785064</v>
      </c>
      <c r="O1029" s="50">
        <f>IFERROR(VLOOKUP($B1029,Data!$B$3:$D1530,2,FALSE),"")</f>
        <v>1180000</v>
      </c>
      <c r="P1029" s="50">
        <f>IFERROR(VLOOKUP($B1029,Data!$B$3:$D1530,3,FALSE),"")</f>
        <v>1060000</v>
      </c>
      <c r="Q1029" s="48">
        <f t="shared" si="2"/>
        <v>0.1132075472</v>
      </c>
      <c r="R1029" s="48"/>
      <c r="S1029" s="48"/>
      <c r="T1029" s="48"/>
      <c r="U1029" s="48"/>
      <c r="V1029" s="48"/>
      <c r="W1029" s="50"/>
      <c r="Z1029" s="11"/>
      <c r="AA1029" s="11"/>
    </row>
    <row r="1030">
      <c r="A1030" s="9">
        <f t="shared" si="1"/>
        <v>1027</v>
      </c>
      <c r="B1030" s="47" t="s">
        <v>1164</v>
      </c>
      <c r="C1030" s="48">
        <f>IFERROR(DIVIDE(VLOOKUP($B1030,Data!$B$3:$AB$1535,9,FALSE),VLOOKUP($B1030,Data!$B$3:$AB$1535,4,FALSE)),"")</f>
        <v>0.2458896844</v>
      </c>
      <c r="D1030" s="48">
        <f>IFERROR(DIVIDE(VLOOKUP($B1030,Data!$B$3:$AB$1535,24,FALSE),VLOOKUP($B1030,Data!$B$3:$AB$1535,4,FALSE)),"")</f>
        <v>0.08625033148</v>
      </c>
      <c r="E1030" s="48">
        <f>IFERROR(DIVIDE(VLOOKUP($B1030,Data!$B$3:$EZ1530,29,FALSE),VLOOKUP($B1030,Data!$B$3:$EZ1530,4,FALSE)),"")</f>
        <v>0.0836648104</v>
      </c>
      <c r="F1030" s="48">
        <f>IFERROR(DIVIDE(VLOOKUP($B1030,Data!$B$3:$EZ1530,34,FALSE),VLOOKUP($B1030,Data!$B$3:$EZ1530,4,FALSE)),"")</f>
        <v>0.09984089101</v>
      </c>
      <c r="G1030" s="48">
        <f>IFERROR(DIVIDE(VLOOKUP($B1030,Data!$B$3:$EZ1530,39,FALSE),VLOOKUP($B1030,Data!$B$3:$EZ1530,4,FALSE)),"")</f>
        <v>0.0826040838</v>
      </c>
      <c r="H1030" s="48">
        <f>IFERROR(DIVIDE(VLOOKUP($B1030,Data!$B$3:$EZ1530,44,FALSE),VLOOKUP($B1030,Data!$B$3:$EZ1530,4,FALSE)),"")</f>
        <v>0.1348448687</v>
      </c>
      <c r="I1030" s="48">
        <f>IFERROR(MINUS(DIVIDE(VLOOKUP($B1030,Data!$B$3:$EZ1530,9,FALSE),VLOOKUP($B1030,Data!$B$3:$EZ1530,10,FALSE)),1),"")</f>
        <v>1.597338936</v>
      </c>
      <c r="J1030" s="48">
        <f>IFERROR(MINUS(DIVIDE(VLOOKUP($B1030,Data!$B$3:$EZ1530,24,FALSE),VLOOKUP($B1030,Data!$B$3:$EZ1530,25,FALSE)),1),"")</f>
        <v>-3.112012987</v>
      </c>
      <c r="K1030" s="48">
        <f>IFERROR(MINUS(DIVIDE(VLOOKUP($B1030,Data!$B$3:$EZ1530,29,FALSE),VLOOKUP($B1030,Data!$B$3:$EZ1530,30,FALSE)),1),"")</f>
        <v>-2.894894895</v>
      </c>
      <c r="L1030" s="48">
        <f>IFERROR(MINUS(DIVIDE(VLOOKUP($B1030,Data!$B$3:$EZ1530,34,FALSE),VLOOKUP($B1030,Data!$B$3:$EZ1530,35,FALSE)),1),"")</f>
        <v>-4.478060046</v>
      </c>
      <c r="M1030" s="48">
        <f>IFERROR(MINUS(DIVIDE(VLOOKUP($B1030,Data!$B$3:$EZ1530,39,FALSE),VLOOKUP($B1030,Data!$B$3:$EZ1530,40,FALSE)),1),"")</f>
        <v>-2.868065967</v>
      </c>
      <c r="N1030" s="48">
        <f>IFERROR(MINUS(DIVIDE(VLOOKUP($B1030,Data!$B$3:$EZ1530,44,FALSE),VLOOKUP($B1030,Data!$B$3:$EZ1530,45,FALSE)),1),"")</f>
        <v>-5.019762846</v>
      </c>
      <c r="O1030" s="50">
        <f>IFERROR(VLOOKUP($B1030,Data!$B$3:$D1530,2,FALSE),"")</f>
        <v>147460</v>
      </c>
      <c r="P1030" s="50">
        <f>IFERROR(VLOOKUP($B1030,Data!$B$3:$D1530,3,FALSE),"")</f>
        <v>109250</v>
      </c>
      <c r="Q1030" s="48">
        <f t="shared" si="2"/>
        <v>0.3497482838</v>
      </c>
      <c r="R1030" s="48"/>
      <c r="S1030" s="48"/>
      <c r="T1030" s="48"/>
      <c r="U1030" s="48"/>
      <c r="V1030" s="48"/>
      <c r="W1030" s="50"/>
      <c r="Z1030" s="11"/>
      <c r="AA1030" s="12"/>
    </row>
    <row r="1031">
      <c r="A1031" s="9">
        <f t="shared" si="1"/>
        <v>1028</v>
      </c>
      <c r="B1031" s="47" t="s">
        <v>1165</v>
      </c>
      <c r="C1031" s="48" t="str">
        <f>IFERROR(DIVIDE(VLOOKUP($B1031,Data!$B$3:$AB$1535,9,FALSE),VLOOKUP($B1031,Data!$B$3:$AB$1535,4,FALSE)),"")</f>
        <v/>
      </c>
      <c r="D1031" s="48" t="str">
        <f>IFERROR(DIVIDE(VLOOKUP($B1031,Data!$B$3:$AB$1535,24,FALSE),VLOOKUP($B1031,Data!$B$3:$AB$1535,4,FALSE)),"")</f>
        <v/>
      </c>
      <c r="E1031" s="48" t="str">
        <f>IFERROR(DIVIDE(VLOOKUP($B1031,Data!$B$3:$EZ1530,29,FALSE),VLOOKUP($B1031,Data!$B$3:$EZ1530,4,FALSE)),"")</f>
        <v/>
      </c>
      <c r="F1031" s="48" t="str">
        <f>IFERROR(DIVIDE(VLOOKUP($B1031,Data!$B$3:$EZ1530,34,FALSE),VLOOKUP($B1031,Data!$B$3:$EZ1530,4,FALSE)),"")</f>
        <v/>
      </c>
      <c r="G1031" s="48" t="str">
        <f>IFERROR(DIVIDE(VLOOKUP($B1031,Data!$B$3:$EZ1530,39,FALSE),VLOOKUP($B1031,Data!$B$3:$EZ1530,4,FALSE)),"")</f>
        <v/>
      </c>
      <c r="H1031" s="48" t="str">
        <f>IFERROR(DIVIDE(VLOOKUP($B1031,Data!$B$3:$EZ1530,44,FALSE),VLOOKUP($B1031,Data!$B$3:$EZ1530,4,FALSE)),"")</f>
        <v/>
      </c>
      <c r="I1031" s="48" t="str">
        <f>IFERROR(MINUS(DIVIDE(VLOOKUP($B1031,Data!$B$3:$EZ1530,9,FALSE),VLOOKUP($B1031,Data!$B$3:$EZ1530,10,FALSE)),1),"")</f>
        <v/>
      </c>
      <c r="J1031" s="48" t="str">
        <f>IFERROR(MINUS(DIVIDE(VLOOKUP($B1031,Data!$B$3:$EZ1530,24,FALSE),VLOOKUP($B1031,Data!$B$3:$EZ1530,25,FALSE)),1),"")</f>
        <v/>
      </c>
      <c r="K1031" s="48" t="str">
        <f>IFERROR(MINUS(DIVIDE(VLOOKUP($B1031,Data!$B$3:$EZ1530,29,FALSE),VLOOKUP($B1031,Data!$B$3:$EZ1530,30,FALSE)),1),"")</f>
        <v/>
      </c>
      <c r="L1031" s="48" t="str">
        <f>IFERROR(MINUS(DIVIDE(VLOOKUP($B1031,Data!$B$3:$EZ1530,34,FALSE),VLOOKUP($B1031,Data!$B$3:$EZ1530,35,FALSE)),1),"")</f>
        <v/>
      </c>
      <c r="M1031" s="48" t="str">
        <f>IFERROR(MINUS(DIVIDE(VLOOKUP($B1031,Data!$B$3:$EZ1530,39,FALSE),VLOOKUP($B1031,Data!$B$3:$EZ1530,40,FALSE)),1),"")</f>
        <v/>
      </c>
      <c r="N1031" s="48" t="str">
        <f>IFERROR(MINUS(DIVIDE(VLOOKUP($B1031,Data!$B$3:$EZ1530,44,FALSE),VLOOKUP($B1031,Data!$B$3:$EZ1530,45,FALSE)),1),"")</f>
        <v/>
      </c>
      <c r="O1031" s="50">
        <f>IFERROR(VLOOKUP($B1031,Data!$B$3:$D1530,2,FALSE),"")</f>
        <v>1020000</v>
      </c>
      <c r="P1031" s="50">
        <f>IFERROR(VLOOKUP($B1031,Data!$B$3:$D1530,3,FALSE),"")</f>
        <v>989650</v>
      </c>
      <c r="Q1031" s="48">
        <f t="shared" si="2"/>
        <v>0.03066740767</v>
      </c>
      <c r="R1031" s="48"/>
      <c r="S1031" s="48"/>
      <c r="T1031" s="48"/>
      <c r="U1031" s="48"/>
      <c r="V1031" s="48"/>
      <c r="W1031" s="50"/>
      <c r="Z1031" s="15"/>
      <c r="AA1031" s="15"/>
    </row>
    <row r="1032">
      <c r="A1032" s="9">
        <f t="shared" si="1"/>
        <v>1029</v>
      </c>
      <c r="B1032" s="47" t="s">
        <v>1166</v>
      </c>
      <c r="C1032" s="48">
        <f>IFERROR(DIVIDE(VLOOKUP($B1032,Data!$B$3:$AB$1535,9,FALSE),VLOOKUP($B1032,Data!$B$3:$AB$1535,4,FALSE)),"")</f>
        <v>0.04792195122</v>
      </c>
      <c r="D1032" s="48">
        <f>IFERROR(DIVIDE(VLOOKUP($B1032,Data!$B$3:$AB$1535,24,FALSE),VLOOKUP($B1032,Data!$B$3:$AB$1535,4,FALSE)),"")</f>
        <v>-0.1418097561</v>
      </c>
      <c r="E1032" s="48">
        <f>IFERROR(DIVIDE(VLOOKUP($B1032,Data!$B$3:$EZ1530,29,FALSE),VLOOKUP($B1032,Data!$B$3:$EZ1530,4,FALSE)),"")</f>
        <v>-0.1613756098</v>
      </c>
      <c r="F1032" s="48">
        <f>IFERROR(DIVIDE(VLOOKUP($B1032,Data!$B$3:$EZ1530,34,FALSE),VLOOKUP($B1032,Data!$B$3:$EZ1530,4,FALSE)),"")</f>
        <v>0.06442439024</v>
      </c>
      <c r="G1032" s="48">
        <f>IFERROR(DIVIDE(VLOOKUP($B1032,Data!$B$3:$EZ1530,39,FALSE),VLOOKUP($B1032,Data!$B$3:$EZ1530,4,FALSE)),"")</f>
        <v>-0.1699707317</v>
      </c>
      <c r="H1032" s="48">
        <f>IFERROR(DIVIDE(VLOOKUP($B1032,Data!$B$3:$EZ1530,44,FALSE),VLOOKUP($B1032,Data!$B$3:$EZ1530,4,FALSE)),"")</f>
        <v>0.07851707317</v>
      </c>
      <c r="I1032" s="48">
        <f>IFERROR(MINUS(DIVIDE(VLOOKUP($B1032,Data!$B$3:$EZ1530,9,FALSE),VLOOKUP($B1032,Data!$B$3:$EZ1530,10,FALSE)),1),"")</f>
        <v>-0.2398049988</v>
      </c>
      <c r="J1032" s="48">
        <f>IFERROR(MINUS(DIVIDE(VLOOKUP($B1032,Data!$B$3:$EZ1530,24,FALSE),VLOOKUP($B1032,Data!$B$3:$EZ1530,25,FALSE)),1),"")</f>
        <v>0.9982815507</v>
      </c>
      <c r="K1032" s="48">
        <f>IFERROR(MINUS(DIVIDE(VLOOKUP($B1032,Data!$B$3:$EZ1530,29,FALSE),VLOOKUP($B1032,Data!$B$3:$EZ1530,30,FALSE)),1),"")</f>
        <v>0.7802292418</v>
      </c>
      <c r="L1032" s="48">
        <f>IFERROR(MINUS(DIVIDE(VLOOKUP($B1032,Data!$B$3:$EZ1530,34,FALSE),VLOOKUP($B1032,Data!$B$3:$EZ1530,35,FALSE)),1),"")</f>
        <v>-0.4118721055</v>
      </c>
      <c r="M1032" s="48">
        <f>IFERROR(MINUS(DIVIDE(VLOOKUP($B1032,Data!$B$3:$EZ1530,39,FALSE),VLOOKUP($B1032,Data!$B$3:$EZ1530,40,FALSE)),1),"")</f>
        <v>0.6410304714</v>
      </c>
      <c r="N1032" s="48">
        <f>IFERROR(MINUS(DIVIDE(VLOOKUP($B1032,Data!$B$3:$EZ1530,44,FALSE),VLOOKUP($B1032,Data!$B$3:$EZ1530,45,FALSE)),1),"")</f>
        <v>3.133538778</v>
      </c>
      <c r="O1032" s="50">
        <f>IFERROR(VLOOKUP($B1032,Data!$B$3:$D1530,2,FALSE),"")</f>
        <v>1640000</v>
      </c>
      <c r="P1032" s="50">
        <f>IFERROR(VLOOKUP($B1032,Data!$B$3:$D1530,3,FALSE),"")</f>
        <v>1810000</v>
      </c>
      <c r="Q1032" s="48">
        <f t="shared" si="2"/>
        <v>-0.09392265193</v>
      </c>
      <c r="R1032" s="48"/>
      <c r="S1032" s="48"/>
      <c r="T1032" s="48"/>
      <c r="U1032" s="48"/>
      <c r="V1032" s="48"/>
      <c r="W1032" s="50"/>
      <c r="Z1032" s="11"/>
      <c r="AA1032" s="11"/>
    </row>
    <row r="1033">
      <c r="A1033" s="9">
        <f t="shared" si="1"/>
        <v>1030</v>
      </c>
      <c r="B1033" s="47" t="s">
        <v>1167</v>
      </c>
      <c r="C1033" s="48">
        <f>IFERROR(DIVIDE(VLOOKUP($B1033,Data!$B$3:$AB$1535,9,FALSE),VLOOKUP($B1033,Data!$B$3:$AB$1535,4,FALSE)),"")</f>
        <v>0.524700476</v>
      </c>
      <c r="D1033" s="48">
        <f>IFERROR(DIVIDE(VLOOKUP($B1033,Data!$B$3:$AB$1535,24,FALSE),VLOOKUP($B1033,Data!$B$3:$AB$1535,4,FALSE)),"")</f>
        <v>-0.09174462498</v>
      </c>
      <c r="E1033" s="48">
        <f>IFERROR(DIVIDE(VLOOKUP($B1033,Data!$B$3:$EZ1530,29,FALSE),VLOOKUP($B1033,Data!$B$3:$EZ1530,4,FALSE)),"")</f>
        <v>-0.0635155096</v>
      </c>
      <c r="F1033" s="48">
        <f>IFERROR(DIVIDE(VLOOKUP($B1033,Data!$B$3:$EZ1530,34,FALSE),VLOOKUP($B1033,Data!$B$3:$EZ1530,4,FALSE)),"")</f>
        <v>0</v>
      </c>
      <c r="G1033" s="48">
        <f>IFERROR(DIVIDE(VLOOKUP($B1033,Data!$B$3:$EZ1530,39,FALSE),VLOOKUP($B1033,Data!$B$3:$EZ1530,4,FALSE)),"")</f>
        <v>-0.08271787297</v>
      </c>
      <c r="H1033" s="48">
        <f>IFERROR(DIVIDE(VLOOKUP($B1033,Data!$B$3:$EZ1530,44,FALSE),VLOOKUP($B1033,Data!$B$3:$EZ1530,4,FALSE)),"")</f>
        <v>-0.1317905794</v>
      </c>
      <c r="I1033" s="48">
        <f>IFERROR(MINUS(DIVIDE(VLOOKUP($B1033,Data!$B$3:$EZ1530,9,FALSE),VLOOKUP($B1033,Data!$B$3:$EZ1530,10,FALSE)),1),"")</f>
        <v>0</v>
      </c>
      <c r="J1033" s="48">
        <f>IFERROR(MINUS(DIVIDE(VLOOKUP($B1033,Data!$B$3:$EZ1530,24,FALSE),VLOOKUP($B1033,Data!$B$3:$EZ1530,25,FALSE)),1),"")</f>
        <v>-4.122905028</v>
      </c>
      <c r="K1033" s="48">
        <f>IFERROR(MINUS(DIVIDE(VLOOKUP($B1033,Data!$B$3:$EZ1530,29,FALSE),VLOOKUP($B1033,Data!$B$3:$EZ1530,30,FALSE)),1),"")</f>
        <v>-2.198142415</v>
      </c>
      <c r="L1033" s="48">
        <f>IFERROR(MINUS(DIVIDE(VLOOKUP($B1033,Data!$B$3:$EZ1530,34,FALSE),VLOOKUP($B1033,Data!$B$3:$EZ1530,35,FALSE)),1),"")</f>
        <v>-1</v>
      </c>
      <c r="M1033" s="48">
        <f>IFERROR(MINUS(DIVIDE(VLOOKUP($B1033,Data!$B$3:$EZ1530,39,FALSE),VLOOKUP($B1033,Data!$B$3:$EZ1530,40,FALSE)),1),"")</f>
        <v>-3.411483254</v>
      </c>
      <c r="N1033" s="48">
        <f>IFERROR(MINUS(DIVIDE(VLOOKUP($B1033,Data!$B$3:$EZ1530,44,FALSE),VLOOKUP($B1033,Data!$B$3:$EZ1530,45,FALSE)),1),"")</f>
        <v>0.1091160221</v>
      </c>
      <c r="O1033" s="50">
        <f>IFERROR(VLOOKUP($B1033,Data!$B$3:$D1530,2,FALSE),"")</f>
        <v>74700</v>
      </c>
      <c r="P1033" s="50">
        <f>IFERROR(VLOOKUP($B1033,Data!$B$3:$D1530,3,FALSE),"")</f>
        <v>68150</v>
      </c>
      <c r="Q1033" s="48">
        <f t="shared" si="2"/>
        <v>0.09611151871</v>
      </c>
      <c r="R1033" s="48"/>
      <c r="S1033" s="48"/>
      <c r="T1033" s="48"/>
      <c r="U1033" s="48"/>
      <c r="V1033" s="48"/>
      <c r="W1033" s="50"/>
      <c r="Z1033" s="11"/>
      <c r="AA1033" s="11"/>
    </row>
    <row r="1034">
      <c r="A1034" s="9">
        <f t="shared" si="1"/>
        <v>1031</v>
      </c>
      <c r="B1034" s="47" t="s">
        <v>1168</v>
      </c>
      <c r="C1034" s="48">
        <f>IFERROR(DIVIDE(VLOOKUP($B1034,Data!$B$3:$AB$1535,9,FALSE),VLOOKUP($B1034,Data!$B$3:$AB$1535,4,FALSE)),"")</f>
        <v>0.3836950355</v>
      </c>
      <c r="D1034" s="48">
        <f>IFERROR(DIVIDE(VLOOKUP($B1034,Data!$B$3:$AB$1535,24,FALSE),VLOOKUP($B1034,Data!$B$3:$AB$1535,4,FALSE)),"")</f>
        <v>0</v>
      </c>
      <c r="E1034" s="48">
        <f>IFERROR(DIVIDE(VLOOKUP($B1034,Data!$B$3:$EZ1530,29,FALSE),VLOOKUP($B1034,Data!$B$3:$EZ1530,4,FALSE)),"")</f>
        <v>0.1225035461</v>
      </c>
      <c r="F1034" s="48">
        <f>IFERROR(DIVIDE(VLOOKUP($B1034,Data!$B$3:$EZ1530,34,FALSE),VLOOKUP($B1034,Data!$B$3:$EZ1530,4,FALSE)),"")</f>
        <v>0.1436099291</v>
      </c>
      <c r="G1034" s="48">
        <f>IFERROR(DIVIDE(VLOOKUP($B1034,Data!$B$3:$EZ1530,39,FALSE),VLOOKUP($B1034,Data!$B$3:$EZ1530,4,FALSE)),"")</f>
        <v>0.1000921986</v>
      </c>
      <c r="H1034" s="48">
        <f>IFERROR(DIVIDE(VLOOKUP($B1034,Data!$B$3:$EZ1530,44,FALSE),VLOOKUP($B1034,Data!$B$3:$EZ1530,4,FALSE)),"")</f>
        <v>0.07431914894</v>
      </c>
      <c r="I1034" s="48">
        <f>IFERROR(MINUS(DIVIDE(VLOOKUP($B1034,Data!$B$3:$EZ1530,9,FALSE),VLOOKUP($B1034,Data!$B$3:$EZ1530,10,FALSE)),1),"")</f>
        <v>0.113212206</v>
      </c>
      <c r="J1034" s="48">
        <f>IFERROR(MINUS(DIVIDE(VLOOKUP($B1034,Data!$B$3:$EZ1530,24,FALSE),VLOOKUP($B1034,Data!$B$3:$EZ1530,25,FALSE)),1),"")</f>
        <v>-1</v>
      </c>
      <c r="K1034" s="48">
        <f>IFERROR(MINUS(DIVIDE(VLOOKUP($B1034,Data!$B$3:$EZ1530,29,FALSE),VLOOKUP($B1034,Data!$B$3:$EZ1530,30,FALSE)),1),"")</f>
        <v>0.07526145418</v>
      </c>
      <c r="L1034" s="48">
        <f>IFERROR(MINUS(DIVIDE(VLOOKUP($B1034,Data!$B$3:$EZ1530,34,FALSE),VLOOKUP($B1034,Data!$B$3:$EZ1530,35,FALSE)),1),"")</f>
        <v>0.07971632718</v>
      </c>
      <c r="M1034" s="48">
        <f>IFERROR(MINUS(DIVIDE(VLOOKUP($B1034,Data!$B$3:$EZ1530,39,FALSE),VLOOKUP($B1034,Data!$B$3:$EZ1530,40,FALSE)),1),"")</f>
        <v>0.04532997556</v>
      </c>
      <c r="N1034" s="48">
        <f>IFERROR(MINUS(DIVIDE(VLOOKUP($B1034,Data!$B$3:$EZ1530,44,FALSE),VLOOKUP($B1034,Data!$B$3:$EZ1530,45,FALSE)),1),"")</f>
        <v>-0.1688610406</v>
      </c>
      <c r="O1034" s="50">
        <f>IFERROR(VLOOKUP($B1034,Data!$B$3:$D1530,2,FALSE),"")</f>
        <v>1880000</v>
      </c>
      <c r="P1034" s="50">
        <f>IFERROR(VLOOKUP($B1034,Data!$B$3:$D1530,3,FALSE),"")</f>
        <v>1740000</v>
      </c>
      <c r="Q1034" s="48">
        <f t="shared" si="2"/>
        <v>0.08045977011</v>
      </c>
      <c r="R1034" s="48"/>
      <c r="S1034" s="48"/>
      <c r="T1034" s="48"/>
      <c r="U1034" s="48"/>
      <c r="V1034" s="48"/>
      <c r="W1034" s="50"/>
      <c r="Z1034" s="11"/>
      <c r="AA1034" s="11"/>
    </row>
    <row r="1035">
      <c r="A1035" s="9">
        <f t="shared" si="1"/>
        <v>1032</v>
      </c>
      <c r="B1035" s="47" t="s">
        <v>1169</v>
      </c>
      <c r="C1035" s="48">
        <f>IFERROR(DIVIDE(VLOOKUP($B1035,Data!$B$3:$AB$1535,9,FALSE),VLOOKUP($B1035,Data!$B$3:$AB$1535,4,FALSE)),"")</f>
        <v>0.1148772504</v>
      </c>
      <c r="D1035" s="48">
        <f>IFERROR(DIVIDE(VLOOKUP($B1035,Data!$B$3:$AB$1535,24,FALSE),VLOOKUP($B1035,Data!$B$3:$AB$1535,4,FALSE)),"")</f>
        <v>0.03369885434</v>
      </c>
      <c r="E1035" s="48">
        <f>IFERROR(DIVIDE(VLOOKUP($B1035,Data!$B$3:$EZ1530,29,FALSE),VLOOKUP($B1035,Data!$B$3:$EZ1530,4,FALSE)),"")</f>
        <v>-0.006039279869</v>
      </c>
      <c r="F1035" s="48">
        <f>IFERROR(DIVIDE(VLOOKUP($B1035,Data!$B$3:$EZ1530,34,FALSE),VLOOKUP($B1035,Data!$B$3:$EZ1530,4,FALSE)),"")</f>
        <v>0.148608838</v>
      </c>
      <c r="G1035" s="48">
        <f>IFERROR(DIVIDE(VLOOKUP($B1035,Data!$B$3:$EZ1530,39,FALSE),VLOOKUP($B1035,Data!$B$3:$EZ1530,4,FALSE)),"")</f>
        <v>-0.001849427169</v>
      </c>
      <c r="H1035" s="48">
        <f>IFERROR(DIVIDE(VLOOKUP($B1035,Data!$B$3:$EZ1530,44,FALSE),VLOOKUP($B1035,Data!$B$3:$EZ1530,4,FALSE)),"")</f>
        <v>0.1010310966</v>
      </c>
      <c r="I1035" s="48">
        <f>IFERROR(MINUS(DIVIDE(VLOOKUP($B1035,Data!$B$3:$EZ1530,9,FALSE),VLOOKUP($B1035,Data!$B$3:$EZ1530,10,FALSE)),1),"")</f>
        <v>-0.3733035714</v>
      </c>
      <c r="J1035" s="48">
        <f>IFERROR(MINUS(DIVIDE(VLOOKUP($B1035,Data!$B$3:$EZ1530,24,FALSE),VLOOKUP($B1035,Data!$B$3:$EZ1530,25,FALSE)),1),"")</f>
        <v>-0.6931445604</v>
      </c>
      <c r="K1035" s="48">
        <f>IFERROR(MINUS(DIVIDE(VLOOKUP($B1035,Data!$B$3:$EZ1530,29,FALSE),VLOOKUP($B1035,Data!$B$3:$EZ1530,30,FALSE)),1),"")</f>
        <v>-1.084381432</v>
      </c>
      <c r="L1035" s="48">
        <f>IFERROR(MINUS(DIVIDE(VLOOKUP($B1035,Data!$B$3:$EZ1530,34,FALSE),VLOOKUP($B1035,Data!$B$3:$EZ1530,35,FALSE)),1),"")</f>
        <v>-0.3015384615</v>
      </c>
      <c r="M1035" s="48">
        <f>IFERROR(MINUS(DIVIDE(VLOOKUP($B1035,Data!$B$3:$EZ1530,39,FALSE),VLOOKUP($B1035,Data!$B$3:$EZ1530,40,FALSE)),1),"")</f>
        <v>-1.034461726</v>
      </c>
      <c r="N1035" s="48">
        <f>IFERROR(MINUS(DIVIDE(VLOOKUP($B1035,Data!$B$3:$EZ1530,44,FALSE),VLOOKUP($B1035,Data!$B$3:$EZ1530,45,FALSE)),1),"")</f>
        <v>-0.3200044063</v>
      </c>
      <c r="O1035" s="50">
        <f>IFERROR(VLOOKUP($B1035,Data!$B$3:$D1530,2,FALSE),"")</f>
        <v>6200000</v>
      </c>
      <c r="P1035" s="50">
        <f>IFERROR(VLOOKUP($B1035,Data!$B$3:$D1530,3,FALSE),"")</f>
        <v>5590000</v>
      </c>
      <c r="Q1035" s="48">
        <f t="shared" si="2"/>
        <v>0.1091234347</v>
      </c>
      <c r="R1035" s="48"/>
      <c r="S1035" s="48"/>
      <c r="T1035" s="48"/>
      <c r="U1035" s="48"/>
      <c r="V1035" s="48"/>
      <c r="W1035" s="50"/>
      <c r="Z1035" s="15"/>
      <c r="AA1035" s="15"/>
    </row>
    <row r="1036">
      <c r="A1036" s="9">
        <f t="shared" si="1"/>
        <v>1033</v>
      </c>
      <c r="B1036" s="47" t="s">
        <v>1170</v>
      </c>
      <c r="C1036" s="48">
        <f>IFERROR(DIVIDE(VLOOKUP($B1036,Data!$B$3:$AB$1535,9,FALSE),VLOOKUP($B1036,Data!$B$3:$AB$1535,4,FALSE)),"")</f>
        <v>0.633059789</v>
      </c>
      <c r="D1036" s="48">
        <f>IFERROR(DIVIDE(VLOOKUP($B1036,Data!$B$3:$AB$1535,24,FALSE),VLOOKUP($B1036,Data!$B$3:$AB$1535,4,FALSE)),"")</f>
        <v>0</v>
      </c>
      <c r="E1036" s="48">
        <f>IFERROR(DIVIDE(VLOOKUP($B1036,Data!$B$3:$EZ1530,29,FALSE),VLOOKUP($B1036,Data!$B$3:$EZ1530,4,FALSE)),"")</f>
        <v>0.5392731536</v>
      </c>
      <c r="F1036" s="48">
        <f>IFERROR(DIVIDE(VLOOKUP($B1036,Data!$B$3:$EZ1530,34,FALSE),VLOOKUP($B1036,Data!$B$3:$EZ1530,4,FALSE)),"")</f>
        <v>0.6178194607</v>
      </c>
      <c r="G1036" s="48">
        <f>IFERROR(DIVIDE(VLOOKUP($B1036,Data!$B$3:$EZ1530,39,FALSE),VLOOKUP($B1036,Data!$B$3:$EZ1530,4,FALSE)),"")</f>
        <v>0.3774912075</v>
      </c>
      <c r="H1036" s="48">
        <f>IFERROR(DIVIDE(VLOOKUP($B1036,Data!$B$3:$EZ1530,44,FALSE),VLOOKUP($B1036,Data!$B$3:$EZ1530,4,FALSE)),"")</f>
        <v>0.4173505275</v>
      </c>
      <c r="I1036" s="48">
        <f>IFERROR(MINUS(DIVIDE(VLOOKUP($B1036,Data!$B$3:$EZ1530,9,FALSE),VLOOKUP($B1036,Data!$B$3:$EZ1530,10,FALSE)),1),"")</f>
        <v>0.1513859275</v>
      </c>
      <c r="J1036" s="48" t="str">
        <f>IFERROR(MINUS(DIVIDE(VLOOKUP($B1036,Data!$B$3:$EZ1530,24,FALSE),VLOOKUP($B1036,Data!$B$3:$EZ1530,25,FALSE)),1),"")</f>
        <v/>
      </c>
      <c r="K1036" s="48">
        <f>IFERROR(MINUS(DIVIDE(VLOOKUP($B1036,Data!$B$3:$EZ1530,29,FALSE),VLOOKUP($B1036,Data!$B$3:$EZ1530,30,FALSE)),1),"")</f>
        <v>0.1528822055</v>
      </c>
      <c r="L1036" s="48">
        <f>IFERROR(MINUS(DIVIDE(VLOOKUP($B1036,Data!$B$3:$EZ1530,34,FALSE),VLOOKUP($B1036,Data!$B$3:$EZ1530,35,FALSE)),1),"")</f>
        <v>0.1763392857</v>
      </c>
      <c r="M1036" s="48">
        <f>IFERROR(MINUS(DIVIDE(VLOOKUP($B1036,Data!$B$3:$EZ1530,39,FALSE),VLOOKUP($B1036,Data!$B$3:$EZ1530,40,FALSE)),1),"")</f>
        <v>0.1298245614</v>
      </c>
      <c r="N1036" s="48">
        <f>IFERROR(MINUS(DIVIDE(VLOOKUP($B1036,Data!$B$3:$EZ1530,44,FALSE),VLOOKUP($B1036,Data!$B$3:$EZ1530,45,FALSE)),1),"")</f>
        <v>0</v>
      </c>
      <c r="O1036" s="50">
        <f>IFERROR(VLOOKUP($B1036,Data!$B$3:$D1530,2,FALSE),"")</f>
        <v>291000</v>
      </c>
      <c r="P1036" s="50">
        <f>IFERROR(VLOOKUP($B1036,Data!$B$3:$D1530,3,FALSE),"")</f>
        <v>229210</v>
      </c>
      <c r="Q1036" s="48">
        <f t="shared" si="2"/>
        <v>0.2695781161</v>
      </c>
      <c r="R1036" s="48"/>
      <c r="S1036" s="48"/>
      <c r="T1036" s="48"/>
      <c r="U1036" s="48"/>
      <c r="V1036" s="48"/>
      <c r="W1036" s="50"/>
      <c r="Z1036" s="11"/>
      <c r="AA1036" s="11"/>
    </row>
    <row r="1037">
      <c r="A1037" s="9">
        <f t="shared" si="1"/>
        <v>1034</v>
      </c>
      <c r="B1037" s="47" t="s">
        <v>1171</v>
      </c>
      <c r="C1037" s="48">
        <f>IFERROR(DIVIDE(VLOOKUP($B1037,Data!$B$3:$AB$1535,9,FALSE),VLOOKUP($B1037,Data!$B$3:$AB$1535,4,FALSE)),"")</f>
        <v>0.9762096414</v>
      </c>
      <c r="D1037" s="48">
        <f>IFERROR(DIVIDE(VLOOKUP($B1037,Data!$B$3:$AB$1535,24,FALSE),VLOOKUP($B1037,Data!$B$3:$AB$1535,4,FALSE)),"")</f>
        <v>0</v>
      </c>
      <c r="E1037" s="48">
        <f>IFERROR(DIVIDE(VLOOKUP($B1037,Data!$B$3:$EZ1530,29,FALSE),VLOOKUP($B1037,Data!$B$3:$EZ1530,4,FALSE)),"")</f>
        <v>-0.755656918</v>
      </c>
      <c r="F1037" s="48">
        <f>IFERROR(DIVIDE(VLOOKUP($B1037,Data!$B$3:$EZ1530,34,FALSE),VLOOKUP($B1037,Data!$B$3:$EZ1530,4,FALSE)),"")</f>
        <v>-0.5508451838</v>
      </c>
      <c r="G1037" s="48">
        <f>IFERROR(DIVIDE(VLOOKUP($B1037,Data!$B$3:$EZ1530,39,FALSE),VLOOKUP($B1037,Data!$B$3:$EZ1530,4,FALSE)),"")</f>
        <v>-0.755656918</v>
      </c>
      <c r="H1037" s="48">
        <f>IFERROR(DIVIDE(VLOOKUP($B1037,Data!$B$3:$EZ1530,44,FALSE),VLOOKUP($B1037,Data!$B$3:$EZ1530,4,FALSE)),"")</f>
        <v>-0.5372506931</v>
      </c>
      <c r="I1037" s="48">
        <f>IFERROR(MINUS(DIVIDE(VLOOKUP($B1037,Data!$B$3:$EZ1530,9,FALSE),VLOOKUP($B1037,Data!$B$3:$EZ1530,10,FALSE)),1),"")</f>
        <v>2.779432133</v>
      </c>
      <c r="J1037" s="48">
        <f>IFERROR(MINUS(DIVIDE(VLOOKUP($B1037,Data!$B$3:$EZ1530,24,FALSE),VLOOKUP($B1037,Data!$B$3:$EZ1530,25,FALSE)),1),"")</f>
        <v>-1</v>
      </c>
      <c r="K1037" s="48">
        <f>IFERROR(MINUS(DIVIDE(VLOOKUP($B1037,Data!$B$3:$EZ1530,29,FALSE),VLOOKUP($B1037,Data!$B$3:$EZ1530,30,FALSE)),1),"")</f>
        <v>-0.395160713</v>
      </c>
      <c r="L1037" s="48">
        <f>IFERROR(MINUS(DIVIDE(VLOOKUP($B1037,Data!$B$3:$EZ1530,34,FALSE),VLOOKUP($B1037,Data!$B$3:$EZ1530,35,FALSE)),1),"")</f>
        <v>-0.4464317814</v>
      </c>
      <c r="M1037" s="48">
        <f>IFERROR(MINUS(DIVIDE(VLOOKUP($B1037,Data!$B$3:$EZ1530,39,FALSE),VLOOKUP($B1037,Data!$B$3:$EZ1530,40,FALSE)),1),"")</f>
        <v>-0.3334648154</v>
      </c>
      <c r="N1037" s="48">
        <f>IFERROR(MINUS(DIVIDE(VLOOKUP($B1037,Data!$B$3:$EZ1530,44,FALSE),VLOOKUP($B1037,Data!$B$3:$EZ1530,45,FALSE)),1),"")</f>
        <v>-0.4209562367</v>
      </c>
      <c r="O1037" s="50">
        <f>IFERROR(VLOOKUP($B1037,Data!$B$3:$D1530,2,FALSE),"")</f>
        <v>66790</v>
      </c>
      <c r="P1037" s="50">
        <f>IFERROR(VLOOKUP($B1037,Data!$B$3:$D1530,3,FALSE),"")</f>
        <v>68700</v>
      </c>
      <c r="Q1037" s="48">
        <f t="shared" si="2"/>
        <v>-0.02780203785</v>
      </c>
      <c r="R1037" s="48"/>
      <c r="S1037" s="48"/>
      <c r="T1037" s="48"/>
      <c r="U1037" s="48"/>
      <c r="V1037" s="48"/>
      <c r="W1037" s="50"/>
      <c r="Z1037" s="15"/>
      <c r="AA1037" s="15"/>
    </row>
    <row r="1038">
      <c r="A1038" s="9">
        <f t="shared" si="1"/>
        <v>1035</v>
      </c>
      <c r="B1038" s="47" t="s">
        <v>1172</v>
      </c>
      <c r="C1038" s="48">
        <f>IFERROR(DIVIDE(VLOOKUP($B1038,Data!$B$3:$AB$1535,9,FALSE),VLOOKUP($B1038,Data!$B$3:$AB$1535,4,FALSE)),"")</f>
        <v>0.111834962</v>
      </c>
      <c r="D1038" s="48">
        <f>IFERROR(DIVIDE(VLOOKUP($B1038,Data!$B$3:$AB$1535,24,FALSE),VLOOKUP($B1038,Data!$B$3:$AB$1535,4,FALSE)),"")</f>
        <v>0.008041259501</v>
      </c>
      <c r="E1038" s="48">
        <f>IFERROR(DIVIDE(VLOOKUP($B1038,Data!$B$3:$EZ1530,29,FALSE),VLOOKUP($B1038,Data!$B$3:$EZ1530,4,FALSE)),"")</f>
        <v>0</v>
      </c>
      <c r="F1038" s="48">
        <f>IFERROR(DIVIDE(VLOOKUP($B1038,Data!$B$3:$EZ1530,34,FALSE),VLOOKUP($B1038,Data!$B$3:$EZ1530,4,FALSE)),"")</f>
        <v>0.02189576547</v>
      </c>
      <c r="G1038" s="48">
        <f>IFERROR(DIVIDE(VLOOKUP($B1038,Data!$B$3:$EZ1530,39,FALSE),VLOOKUP($B1038,Data!$B$3:$EZ1530,4,FALSE)),"")</f>
        <v>0</v>
      </c>
      <c r="H1038" s="48">
        <f>IFERROR(DIVIDE(VLOOKUP($B1038,Data!$B$3:$EZ1530,44,FALSE),VLOOKUP($B1038,Data!$B$3:$EZ1530,4,FALSE)),"")</f>
        <v>0.01756460369</v>
      </c>
      <c r="I1038" s="48">
        <f>IFERROR(MINUS(DIVIDE(VLOOKUP($B1038,Data!$B$3:$EZ1530,9,FALSE),VLOOKUP($B1038,Data!$B$3:$EZ1530,10,FALSE)),1),"")</f>
        <v>0.04342893033</v>
      </c>
      <c r="J1038" s="48" t="str">
        <f>IFERROR(MINUS(DIVIDE(VLOOKUP($B1038,Data!$B$3:$EZ1530,24,FALSE),VLOOKUP($B1038,Data!$B$3:$EZ1530,25,FALSE)),1),"")</f>
        <v/>
      </c>
      <c r="K1038" s="48" t="str">
        <f>IFERROR(MINUS(DIVIDE(VLOOKUP($B1038,Data!$B$3:$EZ1530,29,FALSE),VLOOKUP($B1038,Data!$B$3:$EZ1530,30,FALSE)),1),"")</f>
        <v/>
      </c>
      <c r="L1038" s="48">
        <f>IFERROR(MINUS(DIVIDE(VLOOKUP($B1038,Data!$B$3:$EZ1530,34,FALSE),VLOOKUP($B1038,Data!$B$3:$EZ1530,35,FALSE)),1),"")</f>
        <v>0.002984183826</v>
      </c>
      <c r="M1038" s="48" t="str">
        <f>IFERROR(MINUS(DIVIDE(VLOOKUP($B1038,Data!$B$3:$EZ1530,39,FALSE),VLOOKUP($B1038,Data!$B$3:$EZ1530,40,FALSE)),1),"")</f>
        <v/>
      </c>
      <c r="N1038" s="48">
        <f>IFERROR(MINUS(DIVIDE(VLOOKUP($B1038,Data!$B$3:$EZ1530,44,FALSE),VLOOKUP($B1038,Data!$B$3:$EZ1530,45,FALSE)),1),"")</f>
        <v>0.399515529</v>
      </c>
      <c r="O1038" s="50">
        <f>IFERROR(VLOOKUP($B1038,Data!$B$3:$D1530,2,FALSE),"")</f>
        <v>8640000</v>
      </c>
      <c r="P1038" s="50">
        <f>IFERROR(VLOOKUP($B1038,Data!$B$3:$D1530,3,FALSE),"")</f>
        <v>8450000</v>
      </c>
      <c r="Q1038" s="48">
        <f t="shared" si="2"/>
        <v>0.0224852071</v>
      </c>
      <c r="R1038" s="48"/>
      <c r="S1038" s="48"/>
      <c r="T1038" s="48"/>
      <c r="U1038" s="48"/>
      <c r="V1038" s="48"/>
      <c r="W1038" s="50"/>
      <c r="Z1038" s="11"/>
      <c r="AA1038" s="11"/>
    </row>
    <row r="1039">
      <c r="A1039" s="9">
        <f t="shared" si="1"/>
        <v>1036</v>
      </c>
      <c r="B1039" s="47" t="s">
        <v>1173</v>
      </c>
      <c r="C1039" s="48">
        <f>IFERROR(DIVIDE(VLOOKUP($B1039,Data!$B$3:$AB$1535,9,FALSE),VLOOKUP($B1039,Data!$B$3:$AB$1535,4,FALSE)),"")</f>
        <v>0.2230522946</v>
      </c>
      <c r="D1039" s="48">
        <f>IFERROR(DIVIDE(VLOOKUP($B1039,Data!$B$3:$AB$1535,24,FALSE),VLOOKUP($B1039,Data!$B$3:$AB$1535,4,FALSE)),"")</f>
        <v>0.04893276414</v>
      </c>
      <c r="E1039" s="48">
        <f>IFERROR(DIVIDE(VLOOKUP($B1039,Data!$B$3:$EZ1530,29,FALSE),VLOOKUP($B1039,Data!$B$3:$EZ1530,4,FALSE)),"")</f>
        <v>0.01814300961</v>
      </c>
      <c r="F1039" s="48">
        <f>IFERROR(DIVIDE(VLOOKUP($B1039,Data!$B$3:$EZ1530,34,FALSE),VLOOKUP($B1039,Data!$B$3:$EZ1530,4,FALSE)),"")</f>
        <v>0.1003201708</v>
      </c>
      <c r="G1039" s="48">
        <f>IFERROR(DIVIDE(VLOOKUP($B1039,Data!$B$3:$EZ1530,39,FALSE),VLOOKUP($B1039,Data!$B$3:$EZ1530,4,FALSE)),"")</f>
        <v>0.006616862327</v>
      </c>
      <c r="H1039" s="48">
        <f>IFERROR(DIVIDE(VLOOKUP($B1039,Data!$B$3:$EZ1530,44,FALSE),VLOOKUP($B1039,Data!$B$3:$EZ1530,4,FALSE)),"")</f>
        <v>0.0901814301</v>
      </c>
      <c r="I1039" s="48">
        <f>IFERROR(MINUS(DIVIDE(VLOOKUP($B1039,Data!$B$3:$EZ1530,9,FALSE),VLOOKUP($B1039,Data!$B$3:$EZ1530,10,FALSE)),1),"")</f>
        <v>0.1176470588</v>
      </c>
      <c r="J1039" s="48">
        <f>IFERROR(MINUS(DIVIDE(VLOOKUP($B1039,Data!$B$3:$EZ1530,24,FALSE),VLOOKUP($B1039,Data!$B$3:$EZ1530,25,FALSE)),1),"")</f>
        <v>34.26923077</v>
      </c>
      <c r="K1039" s="48">
        <f>IFERROR(MINUS(DIVIDE(VLOOKUP($B1039,Data!$B$3:$EZ1530,29,FALSE),VLOOKUP($B1039,Data!$B$3:$EZ1530,30,FALSE)),1),"")</f>
        <v>-1.770975057</v>
      </c>
      <c r="L1039" s="48">
        <f>IFERROR(MINUS(DIVIDE(VLOOKUP($B1039,Data!$B$3:$EZ1530,34,FALSE),VLOOKUP($B1039,Data!$B$3:$EZ1530,35,FALSE)),1),"")</f>
        <v>1.002129925</v>
      </c>
      <c r="M1039" s="48">
        <f>IFERROR(MINUS(DIVIDE(VLOOKUP($B1039,Data!$B$3:$EZ1530,39,FALSE),VLOOKUP($B1039,Data!$B$3:$EZ1530,40,FALSE)),1),"")</f>
        <v>-1.299516908</v>
      </c>
      <c r="N1039" s="48">
        <f>IFERROR(MINUS(DIVIDE(VLOOKUP($B1039,Data!$B$3:$EZ1530,44,FALSE),VLOOKUP($B1039,Data!$B$3:$EZ1530,45,FALSE)),1),"")</f>
        <v>4.434083601</v>
      </c>
      <c r="O1039" s="50">
        <f>IFERROR(VLOOKUP($B1039,Data!$B$3:$D1530,2,FALSE),"")</f>
        <v>832000</v>
      </c>
      <c r="P1039" s="50">
        <f>IFERROR(VLOOKUP($B1039,Data!$B$3:$D1530,3,FALSE),"")</f>
        <v>807000</v>
      </c>
      <c r="Q1039" s="48">
        <f t="shared" si="2"/>
        <v>0.03097893432</v>
      </c>
      <c r="R1039" s="48"/>
      <c r="S1039" s="48"/>
      <c r="T1039" s="48"/>
      <c r="U1039" s="48"/>
      <c r="V1039" s="48"/>
      <c r="W1039" s="50"/>
      <c r="Z1039" s="11"/>
      <c r="AA1039" s="11"/>
    </row>
    <row r="1040">
      <c r="A1040" s="9">
        <f t="shared" si="1"/>
        <v>1037</v>
      </c>
      <c r="B1040" s="56" t="s">
        <v>1174</v>
      </c>
      <c r="C1040" s="48">
        <f>IFERROR(DIVIDE(VLOOKUP($B1040,Data!$B$3:$AB$1535,9,FALSE),VLOOKUP($B1040,Data!$B$3:$AB$1535,4,FALSE)),"")</f>
        <v>0.4479483171</v>
      </c>
      <c r="D1040" s="48">
        <f>IFERROR(DIVIDE(VLOOKUP($B1040,Data!$B$3:$AB$1535,24,FALSE),VLOOKUP($B1040,Data!$B$3:$AB$1535,4,FALSE)),"")</f>
        <v>0.07506121125</v>
      </c>
      <c r="E1040" s="48">
        <f>IFERROR(DIVIDE(VLOOKUP($B1040,Data!$B$3:$EZ1530,29,FALSE),VLOOKUP($B1040,Data!$B$3:$EZ1530,4,FALSE)),"")</f>
        <v>0.07646243252</v>
      </c>
      <c r="F1040" s="48">
        <f>IFERROR(DIVIDE(VLOOKUP($B1040,Data!$B$3:$EZ1530,34,FALSE),VLOOKUP($B1040,Data!$B$3:$EZ1530,4,FALSE)),"")</f>
        <v>0.1186908168</v>
      </c>
      <c r="G1040" s="48">
        <f>IFERROR(DIVIDE(VLOOKUP($B1040,Data!$B$3:$EZ1530,39,FALSE),VLOOKUP($B1040,Data!$B$3:$EZ1530,4,FALSE)),"")</f>
        <v>0.05775981592</v>
      </c>
      <c r="H1040" s="48">
        <f>IFERROR(DIVIDE(VLOOKUP($B1040,Data!$B$3:$EZ1530,44,FALSE),VLOOKUP($B1040,Data!$B$3:$EZ1530,4,FALSE)),"")</f>
        <v>0.132437535</v>
      </c>
      <c r="I1040" s="48">
        <f>IFERROR(MINUS(DIVIDE(VLOOKUP($B1040,Data!$B$3:$EZ1530,9,FALSE),VLOOKUP($B1040,Data!$B$3:$EZ1530,10,FALSE)),1),"")</f>
        <v>-0.06691655401</v>
      </c>
      <c r="J1040" s="48">
        <f>IFERROR(MINUS(DIVIDE(VLOOKUP($B1040,Data!$B$3:$EZ1530,24,FALSE),VLOOKUP($B1040,Data!$B$3:$EZ1530,25,FALSE)),1),"")</f>
        <v>-89.50434783</v>
      </c>
      <c r="K1040" s="48">
        <f>IFERROR(MINUS(DIVIDE(VLOOKUP($B1040,Data!$B$3:$EZ1530,29,FALSE),VLOOKUP($B1040,Data!$B$3:$EZ1530,30,FALSE)),1),"")</f>
        <v>-0.2134729176</v>
      </c>
      <c r="L1040" s="48">
        <f>IFERROR(MINUS(DIVIDE(VLOOKUP($B1040,Data!$B$3:$EZ1530,34,FALSE),VLOOKUP($B1040,Data!$B$3:$EZ1530,35,FALSE)),1),"")</f>
        <v>-0.1764404872</v>
      </c>
      <c r="M1040" s="48">
        <f>IFERROR(MINUS(DIVIDE(VLOOKUP($B1040,Data!$B$3:$EZ1530,39,FALSE),VLOOKUP($B1040,Data!$B$3:$EZ1530,40,FALSE)),1),"")</f>
        <v>-0.1605573419</v>
      </c>
      <c r="N1040" s="48">
        <f>IFERROR(MINUS(DIVIDE(VLOOKUP($B1040,Data!$B$3:$EZ1530,44,FALSE),VLOOKUP($B1040,Data!$B$3:$EZ1530,45,FALSE)),1),"")</f>
        <v>0.2602105263</v>
      </c>
      <c r="O1040" s="50" t="str">
        <f>IFERROR(VLOOKUP($B1040,Data!$B$3:$D1530,2,FALSE),"")</f>
        <v/>
      </c>
      <c r="P1040" s="50" t="str">
        <f>IFERROR(VLOOKUP($B1040,Data!$B$3:$D1530,3,FALSE),"")</f>
        <v/>
      </c>
      <c r="Q1040" s="48" t="str">
        <f t="shared" si="2"/>
        <v/>
      </c>
      <c r="R1040" s="48"/>
      <c r="S1040" s="48"/>
      <c r="T1040" s="48"/>
      <c r="U1040" s="48"/>
      <c r="V1040" s="48"/>
      <c r="W1040" s="50"/>
      <c r="Z1040" s="11"/>
      <c r="AA1040" s="11"/>
    </row>
    <row r="1041">
      <c r="A1041" s="9">
        <f t="shared" si="1"/>
        <v>1038</v>
      </c>
      <c r="B1041" s="47" t="s">
        <v>1175</v>
      </c>
      <c r="C1041" s="48">
        <f>IFERROR(DIVIDE(VLOOKUP($B1041,Data!$B$3:$AB$1535,9,FALSE),VLOOKUP($B1041,Data!$B$3:$AB$1535,4,FALSE)),"")</f>
        <v>0.3369565217</v>
      </c>
      <c r="D1041" s="48">
        <f>IFERROR(DIVIDE(VLOOKUP($B1041,Data!$B$3:$AB$1535,24,FALSE),VLOOKUP($B1041,Data!$B$3:$AB$1535,4,FALSE)),"")</f>
        <v>0.07726449275</v>
      </c>
      <c r="E1041" s="48">
        <f>IFERROR(DIVIDE(VLOOKUP($B1041,Data!$B$3:$EZ1530,29,FALSE),VLOOKUP($B1041,Data!$B$3:$EZ1530,4,FALSE)),"")</f>
        <v>0.05010869565</v>
      </c>
      <c r="F1041" s="48">
        <f>IFERROR(DIVIDE(VLOOKUP($B1041,Data!$B$3:$EZ1530,34,FALSE),VLOOKUP($B1041,Data!$B$3:$EZ1530,4,FALSE)),"")</f>
        <v>0.2246376812</v>
      </c>
      <c r="G1041" s="48">
        <f>IFERROR(DIVIDE(VLOOKUP($B1041,Data!$B$3:$EZ1530,39,FALSE),VLOOKUP($B1041,Data!$B$3:$EZ1530,4,FALSE)),"")</f>
        <v>0.03835144928</v>
      </c>
      <c r="H1041" s="48">
        <f>IFERROR(DIVIDE(VLOOKUP($B1041,Data!$B$3:$EZ1530,44,FALSE),VLOOKUP($B1041,Data!$B$3:$EZ1530,4,FALSE)),"")</f>
        <v>0.1258514493</v>
      </c>
      <c r="I1041" s="48">
        <f>IFERROR(MINUS(DIVIDE(VLOOKUP($B1041,Data!$B$3:$EZ1530,9,FALSE),VLOOKUP($B1041,Data!$B$3:$EZ1530,10,FALSE)),1),"")</f>
        <v>-0.1267605634</v>
      </c>
      <c r="J1041" s="48">
        <f>IFERROR(MINUS(DIVIDE(VLOOKUP($B1041,Data!$B$3:$EZ1530,24,FALSE),VLOOKUP($B1041,Data!$B$3:$EZ1530,25,FALSE)),1),"")</f>
        <v>-0.4938286257</v>
      </c>
      <c r="K1041" s="48">
        <f>IFERROR(MINUS(DIVIDE(VLOOKUP($B1041,Data!$B$3:$EZ1530,29,FALSE),VLOOKUP($B1041,Data!$B$3:$EZ1530,30,FALSE)),1),"")</f>
        <v>-0.6336423841</v>
      </c>
      <c r="L1041" s="48">
        <f>IFERROR(MINUS(DIVIDE(VLOOKUP($B1041,Data!$B$3:$EZ1530,34,FALSE),VLOOKUP($B1041,Data!$B$3:$EZ1530,35,FALSE)),1),"")</f>
        <v>-0.09489051095</v>
      </c>
      <c r="M1041" s="48">
        <f>IFERROR(MINUS(DIVIDE(VLOOKUP($B1041,Data!$B$3:$EZ1530,39,FALSE),VLOOKUP($B1041,Data!$B$3:$EZ1530,40,FALSE)),1),"")</f>
        <v>-0.6625757093</v>
      </c>
      <c r="N1041" s="48">
        <f>IFERROR(MINUS(DIVIDE(VLOOKUP($B1041,Data!$B$3:$EZ1530,44,FALSE),VLOOKUP($B1041,Data!$B$3:$EZ1530,45,FALSE)),1),"")</f>
        <v>-0.452992126</v>
      </c>
      <c r="O1041" s="50">
        <f>IFERROR(VLOOKUP($B1041,Data!$B$3:$D1530,2,FALSE),"")</f>
        <v>5460000</v>
      </c>
      <c r="P1041" s="50">
        <f>IFERROR(VLOOKUP($B1041,Data!$B$3:$D1530,3,FALSE),"")</f>
        <v>5010000</v>
      </c>
      <c r="Q1041" s="48">
        <f t="shared" si="2"/>
        <v>0.08982035928</v>
      </c>
      <c r="R1041" s="48"/>
      <c r="S1041" s="48"/>
      <c r="T1041" s="48"/>
      <c r="U1041" s="48"/>
      <c r="V1041" s="48"/>
      <c r="W1041" s="50"/>
      <c r="Z1041" s="15"/>
      <c r="AA1041" s="15"/>
    </row>
    <row r="1042">
      <c r="A1042" s="9">
        <f t="shared" si="1"/>
        <v>1039</v>
      </c>
      <c r="B1042" s="47" t="s">
        <v>1176</v>
      </c>
      <c r="C1042" s="48" t="str">
        <f>IFERROR(DIVIDE(VLOOKUP($B1042,Data!$B$3:$AB$1535,9,FALSE),VLOOKUP($B1042,Data!$B$3:$AB$1535,4,FALSE)),"")</f>
        <v/>
      </c>
      <c r="D1042" s="48" t="str">
        <f>IFERROR(DIVIDE(VLOOKUP($B1042,Data!$B$3:$AB$1535,24,FALSE),VLOOKUP($B1042,Data!$B$3:$AB$1535,4,FALSE)),"")</f>
        <v/>
      </c>
      <c r="E1042" s="48" t="str">
        <f>IFERROR(DIVIDE(VLOOKUP($B1042,Data!$B$3:$EZ1530,29,FALSE),VLOOKUP($B1042,Data!$B$3:$EZ1530,4,FALSE)),"")</f>
        <v/>
      </c>
      <c r="F1042" s="48" t="str">
        <f>IFERROR(DIVIDE(VLOOKUP($B1042,Data!$B$3:$EZ1530,34,FALSE),VLOOKUP($B1042,Data!$B$3:$EZ1530,4,FALSE)),"")</f>
        <v/>
      </c>
      <c r="G1042" s="48" t="str">
        <f>IFERROR(DIVIDE(VLOOKUP($B1042,Data!$B$3:$EZ1530,39,FALSE),VLOOKUP($B1042,Data!$B$3:$EZ1530,4,FALSE)),"")</f>
        <v/>
      </c>
      <c r="H1042" s="48" t="str">
        <f>IFERROR(DIVIDE(VLOOKUP($B1042,Data!$B$3:$EZ1530,44,FALSE),VLOOKUP($B1042,Data!$B$3:$EZ1530,4,FALSE)),"")</f>
        <v/>
      </c>
      <c r="I1042" s="48">
        <f>IFERROR(MINUS(DIVIDE(VLOOKUP($B1042,Data!$B$3:$EZ1530,9,FALSE),VLOOKUP($B1042,Data!$B$3:$EZ1530,10,FALSE)),1),"")</f>
        <v>-0.2694610778</v>
      </c>
      <c r="J1042" s="48" t="str">
        <f>IFERROR(MINUS(DIVIDE(VLOOKUP($B1042,Data!$B$3:$EZ1530,24,FALSE),VLOOKUP($B1042,Data!$B$3:$EZ1530,25,FALSE)),1),"")</f>
        <v/>
      </c>
      <c r="K1042" s="48">
        <f>IFERROR(MINUS(DIVIDE(VLOOKUP($B1042,Data!$B$3:$EZ1530,29,FALSE),VLOOKUP($B1042,Data!$B$3:$EZ1530,30,FALSE)),1),"")</f>
        <v>-0.2266223812</v>
      </c>
      <c r="L1042" s="48">
        <f>IFERROR(MINUS(DIVIDE(VLOOKUP($B1042,Data!$B$3:$EZ1530,34,FALSE),VLOOKUP($B1042,Data!$B$3:$EZ1530,35,FALSE)),1),"")</f>
        <v>-0.156555773</v>
      </c>
      <c r="M1042" s="48">
        <f>IFERROR(MINUS(DIVIDE(VLOOKUP($B1042,Data!$B$3:$EZ1530,39,FALSE),VLOOKUP($B1042,Data!$B$3:$EZ1530,40,FALSE)),1),"")</f>
        <v>-0.2263668881</v>
      </c>
      <c r="N1042" s="48">
        <f>IFERROR(MINUS(DIVIDE(VLOOKUP($B1042,Data!$B$3:$EZ1530,44,FALSE),VLOOKUP($B1042,Data!$B$3:$EZ1530,45,FALSE)),1),"")</f>
        <v>0.2489233419</v>
      </c>
      <c r="O1042" s="50" t="str">
        <f>IFERROR(VLOOKUP($B1042,Data!$B$3:$D1530,2,FALSE),"")</f>
        <v/>
      </c>
      <c r="P1042" s="50" t="str">
        <f>IFERROR(VLOOKUP($B1042,Data!$B$3:$D1530,3,FALSE),"")</f>
        <v/>
      </c>
      <c r="Q1042" s="48" t="str">
        <f t="shared" si="2"/>
        <v/>
      </c>
      <c r="R1042" s="48"/>
      <c r="S1042" s="48"/>
      <c r="T1042" s="48"/>
      <c r="U1042" s="48"/>
      <c r="V1042" s="48"/>
      <c r="W1042" s="50"/>
      <c r="Z1042" s="11"/>
      <c r="AA1042" s="11"/>
    </row>
    <row r="1043">
      <c r="A1043" s="9">
        <f t="shared" si="1"/>
        <v>1040</v>
      </c>
      <c r="B1043" s="47" t="s">
        <v>1177</v>
      </c>
      <c r="C1043" s="48">
        <f>IFERROR(DIVIDE(VLOOKUP($B1043,Data!$B$3:$AB$1535,9,FALSE),VLOOKUP($B1043,Data!$B$3:$AB$1535,4,FALSE)),"")</f>
        <v>0</v>
      </c>
      <c r="D1043" s="48">
        <f>IFERROR(DIVIDE(VLOOKUP($B1043,Data!$B$3:$AB$1535,24,FALSE),VLOOKUP($B1043,Data!$B$3:$AB$1535,4,FALSE)),"")</f>
        <v>-9.926605505</v>
      </c>
      <c r="E1043" s="48">
        <f>IFERROR(DIVIDE(VLOOKUP($B1043,Data!$B$3:$EZ1530,29,FALSE),VLOOKUP($B1043,Data!$B$3:$EZ1530,4,FALSE)),"")</f>
        <v>-9.857798165</v>
      </c>
      <c r="F1043" s="48">
        <f>IFERROR(DIVIDE(VLOOKUP($B1043,Data!$B$3:$EZ1530,34,FALSE),VLOOKUP($B1043,Data!$B$3:$EZ1530,4,FALSE)),"")</f>
        <v>-9.949541284</v>
      </c>
      <c r="G1043" s="48">
        <f>IFERROR(DIVIDE(VLOOKUP($B1043,Data!$B$3:$EZ1530,39,FALSE),VLOOKUP($B1043,Data!$B$3:$EZ1530,4,FALSE)),"")</f>
        <v>-9.862385321</v>
      </c>
      <c r="H1043" s="48">
        <f>IFERROR(DIVIDE(VLOOKUP($B1043,Data!$B$3:$EZ1530,44,FALSE),VLOOKUP($B1043,Data!$B$3:$EZ1530,4,FALSE)),"")</f>
        <v>-9.555045872</v>
      </c>
      <c r="I1043" s="48" t="str">
        <f>IFERROR(MINUS(DIVIDE(VLOOKUP($B1043,Data!$B$3:$EZ1530,9,FALSE),VLOOKUP($B1043,Data!$B$3:$EZ1530,10,FALSE)),1),"")</f>
        <v/>
      </c>
      <c r="J1043" s="48">
        <f>IFERROR(MINUS(DIVIDE(VLOOKUP($B1043,Data!$B$3:$EZ1530,24,FALSE),VLOOKUP($B1043,Data!$B$3:$EZ1530,25,FALSE)),1),"")</f>
        <v>-0.002305209774</v>
      </c>
      <c r="K1043" s="48">
        <f>IFERROR(MINUS(DIVIDE(VLOOKUP($B1043,Data!$B$3:$EZ1530,29,FALSE),VLOOKUP($B1043,Data!$B$3:$EZ1530,30,FALSE)),1),"")</f>
        <v>0.0467608378</v>
      </c>
      <c r="L1043" s="48">
        <f>IFERROR(MINUS(DIVIDE(VLOOKUP($B1043,Data!$B$3:$EZ1530,34,FALSE),VLOOKUP($B1043,Data!$B$3:$EZ1530,35,FALSE)),1),"")</f>
        <v>-0.06629358588</v>
      </c>
      <c r="M1043" s="48">
        <f>IFERROR(MINUS(DIVIDE(VLOOKUP($B1043,Data!$B$3:$EZ1530,39,FALSE),VLOOKUP($B1043,Data!$B$3:$EZ1530,40,FALSE)),1),"")</f>
        <v>0.04521147302</v>
      </c>
      <c r="N1043" s="48">
        <f>IFERROR(MINUS(DIVIDE(VLOOKUP($B1043,Data!$B$3:$EZ1530,44,FALSE),VLOOKUP($B1043,Data!$B$3:$EZ1530,45,FALSE)),1),"")</f>
        <v>-0.08237885463</v>
      </c>
      <c r="O1043" s="50">
        <f>IFERROR(VLOOKUP($B1043,Data!$B$3:$D1530,2,FALSE),"")</f>
        <v>7630</v>
      </c>
      <c r="P1043" s="50">
        <f>IFERROR(VLOOKUP($B1043,Data!$B$3:$D1530,3,FALSE),"")</f>
        <v>2820</v>
      </c>
      <c r="Q1043" s="48">
        <f t="shared" si="2"/>
        <v>1.705673759</v>
      </c>
      <c r="R1043" s="48"/>
      <c r="S1043" s="48"/>
      <c r="T1043" s="48"/>
      <c r="U1043" s="48"/>
      <c r="V1043" s="48"/>
      <c r="W1043" s="50"/>
      <c r="Z1043" s="15"/>
      <c r="AA1043" s="15"/>
    </row>
    <row r="1044">
      <c r="A1044" s="9">
        <f t="shared" si="1"/>
        <v>1041</v>
      </c>
      <c r="B1044" s="47" t="s">
        <v>1178</v>
      </c>
      <c r="C1044" s="48">
        <f>IFERROR(DIVIDE(VLOOKUP($B1044,Data!$B$3:$AB$1535,9,FALSE),VLOOKUP($B1044,Data!$B$3:$AB$1535,4,FALSE)),"")</f>
        <v>0.2934452403</v>
      </c>
      <c r="D1044" s="48">
        <f>IFERROR(DIVIDE(VLOOKUP($B1044,Data!$B$3:$AB$1535,24,FALSE),VLOOKUP($B1044,Data!$B$3:$AB$1535,4,FALSE)),"")</f>
        <v>-0.3036565625</v>
      </c>
      <c r="E1044" s="48">
        <f>IFERROR(DIVIDE(VLOOKUP($B1044,Data!$B$3:$EZ1530,29,FALSE),VLOOKUP($B1044,Data!$B$3:$EZ1530,4,FALSE)),"")</f>
        <v>-0.3381267047</v>
      </c>
      <c r="F1044" s="48">
        <f>IFERROR(DIVIDE(VLOOKUP($B1044,Data!$B$3:$EZ1530,34,FALSE),VLOOKUP($B1044,Data!$B$3:$EZ1530,4,FALSE)),"")</f>
        <v>-0.1138656673</v>
      </c>
      <c r="G1044" s="48">
        <f>IFERROR(DIVIDE(VLOOKUP($B1044,Data!$B$3:$EZ1530,39,FALSE),VLOOKUP($B1044,Data!$B$3:$EZ1530,4,FALSE)),"")</f>
        <v>-0.3491695678</v>
      </c>
      <c r="H1044" s="48">
        <f>IFERROR(DIVIDE(VLOOKUP($B1044,Data!$B$3:$EZ1530,44,FALSE),VLOOKUP($B1044,Data!$B$3:$EZ1530,4,FALSE)),"")</f>
        <v>-0.1912765816</v>
      </c>
      <c r="I1044" s="48">
        <f>IFERROR(MINUS(DIVIDE(VLOOKUP($B1044,Data!$B$3:$EZ1530,9,FALSE),VLOOKUP($B1044,Data!$B$3:$EZ1530,10,FALSE)),1),"")</f>
        <v>-0.1669184766</v>
      </c>
      <c r="J1044" s="48">
        <f>IFERROR(MINUS(DIVIDE(VLOOKUP($B1044,Data!$B$3:$EZ1530,24,FALSE),VLOOKUP($B1044,Data!$B$3:$EZ1530,25,FALSE)),1),"")</f>
        <v>0.628783824</v>
      </c>
      <c r="K1044" s="48">
        <f>IFERROR(MINUS(DIVIDE(VLOOKUP($B1044,Data!$B$3:$EZ1530,29,FALSE),VLOOKUP($B1044,Data!$B$3:$EZ1530,30,FALSE)),1),"")</f>
        <v>0.720370057</v>
      </c>
      <c r="L1044" s="48">
        <f>IFERROR(MINUS(DIVIDE(VLOOKUP($B1044,Data!$B$3:$EZ1530,34,FALSE),VLOOKUP($B1044,Data!$B$3:$EZ1530,35,FALSE)),1),"")</f>
        <v>0.4907824067</v>
      </c>
      <c r="M1044" s="48">
        <f>IFERROR(MINUS(DIVIDE(VLOOKUP($B1044,Data!$B$3:$EZ1530,39,FALSE),VLOOKUP($B1044,Data!$B$3:$EZ1530,40,FALSE)),1),"")</f>
        <v>1.057828019</v>
      </c>
      <c r="N1044" s="48">
        <f>IFERROR(MINUS(DIVIDE(VLOOKUP($B1044,Data!$B$3:$EZ1530,44,FALSE),VLOOKUP($B1044,Data!$B$3:$EZ1530,45,FALSE)),1),"")</f>
        <v>0.5807220084</v>
      </c>
      <c r="O1044" s="50">
        <f>IFERROR(VLOOKUP($B1044,Data!$B$3:$D1530,2,FALSE),"")</f>
        <v>1470000</v>
      </c>
      <c r="P1044" s="50">
        <f>IFERROR(VLOOKUP($B1044,Data!$B$3:$D1530,3,FALSE),"")</f>
        <v>1280000</v>
      </c>
      <c r="Q1044" s="48">
        <f t="shared" si="2"/>
        <v>0.1484375</v>
      </c>
      <c r="R1044" s="48"/>
      <c r="S1044" s="48"/>
      <c r="T1044" s="48"/>
      <c r="U1044" s="48"/>
      <c r="V1044" s="48"/>
      <c r="W1044" s="50"/>
      <c r="Z1044" s="12"/>
      <c r="AA1044" s="12"/>
    </row>
    <row r="1045">
      <c r="A1045" s="9">
        <f t="shared" si="1"/>
        <v>1042</v>
      </c>
      <c r="B1045" s="47" t="s">
        <v>1179</v>
      </c>
      <c r="C1045" s="48">
        <f>IFERROR(DIVIDE(VLOOKUP($B1045,Data!$B$3:$AB$1535,9,FALSE),VLOOKUP($B1045,Data!$B$3:$AB$1535,4,FALSE)),"")</f>
        <v>0.8472422755</v>
      </c>
      <c r="D1045" s="48">
        <f>IFERROR(DIVIDE(VLOOKUP($B1045,Data!$B$3:$AB$1535,24,FALSE),VLOOKUP($B1045,Data!$B$3:$AB$1535,4,FALSE)),"")</f>
        <v>-2.967369333</v>
      </c>
      <c r="E1045" s="48">
        <f>IFERROR(DIVIDE(VLOOKUP($B1045,Data!$B$3:$EZ1530,29,FALSE),VLOOKUP($B1045,Data!$B$3:$EZ1530,4,FALSE)),"")</f>
        <v>-3.17788045</v>
      </c>
      <c r="F1045" s="48">
        <f>IFERROR(DIVIDE(VLOOKUP($B1045,Data!$B$3:$EZ1530,34,FALSE),VLOOKUP($B1045,Data!$B$3:$EZ1530,4,FALSE)),"")</f>
        <v>-2.72884782</v>
      </c>
      <c r="G1045" s="48">
        <f>IFERROR(DIVIDE(VLOOKUP($B1045,Data!$B$3:$EZ1530,39,FALSE),VLOOKUP($B1045,Data!$B$3:$EZ1530,4,FALSE)),"")</f>
        <v>-3.17788045</v>
      </c>
      <c r="H1045" s="48">
        <f>IFERROR(DIVIDE(VLOOKUP($B1045,Data!$B$3:$EZ1530,44,FALSE),VLOOKUP($B1045,Data!$B$3:$EZ1530,4,FALSE)),"")</f>
        <v>-2.622581577</v>
      </c>
      <c r="I1045" s="48">
        <f>IFERROR(MINUS(DIVIDE(VLOOKUP($B1045,Data!$B$3:$EZ1530,9,FALSE),VLOOKUP($B1045,Data!$B$3:$EZ1530,10,FALSE)),1),"")</f>
        <v>4.354014599</v>
      </c>
      <c r="J1045" s="48" t="str">
        <f>IFERROR(MINUS(DIVIDE(VLOOKUP($B1045,Data!$B$3:$EZ1530,24,FALSE),VLOOKUP($B1045,Data!$B$3:$EZ1530,25,FALSE)),1),"")</f>
        <v/>
      </c>
      <c r="K1045" s="48">
        <f>IFERROR(MINUS(DIVIDE(VLOOKUP($B1045,Data!$B$3:$EZ1530,29,FALSE),VLOOKUP($B1045,Data!$B$3:$EZ1530,30,FALSE)),1),"")</f>
        <v>0.03178323645</v>
      </c>
      <c r="L1045" s="48">
        <f>IFERROR(MINUS(DIVIDE(VLOOKUP($B1045,Data!$B$3:$EZ1530,34,FALSE),VLOOKUP($B1045,Data!$B$3:$EZ1530,35,FALSE)),1),"")</f>
        <v>-0.05225152944</v>
      </c>
      <c r="M1045" s="48">
        <f>IFERROR(MINUS(DIVIDE(VLOOKUP($B1045,Data!$B$3:$EZ1530,39,FALSE),VLOOKUP($B1045,Data!$B$3:$EZ1530,40,FALSE)),1),"")</f>
        <v>0.03178323645</v>
      </c>
      <c r="N1045" s="48">
        <f>IFERROR(MINUS(DIVIDE(VLOOKUP($B1045,Data!$B$3:$EZ1530,44,FALSE),VLOOKUP($B1045,Data!$B$3:$EZ1530,45,FALSE)),1),"")</f>
        <v>-0.07665717771</v>
      </c>
      <c r="O1045" s="50">
        <f>IFERROR(VLOOKUP($B1045,Data!$B$3:$D1530,2,FALSE),"")</f>
        <v>109380</v>
      </c>
      <c r="P1045" s="50">
        <f>IFERROR(VLOOKUP($B1045,Data!$B$3:$D1530,3,FALSE),"")</f>
        <v>50520</v>
      </c>
      <c r="Q1045" s="48">
        <f t="shared" si="2"/>
        <v>1.165083135</v>
      </c>
      <c r="R1045" s="48"/>
      <c r="S1045" s="48"/>
      <c r="T1045" s="48"/>
      <c r="U1045" s="48"/>
      <c r="V1045" s="48"/>
      <c r="W1045" s="50"/>
      <c r="Z1045" s="11"/>
      <c r="AA1045" s="11"/>
    </row>
    <row r="1046">
      <c r="A1046" s="9">
        <f t="shared" si="1"/>
        <v>1043</v>
      </c>
      <c r="B1046" s="47" t="s">
        <v>1180</v>
      </c>
      <c r="C1046" s="48">
        <f>IFERROR(DIVIDE(VLOOKUP($B1046,Data!$B$3:$AB$1535,9,FALSE),VLOOKUP($B1046,Data!$B$3:$AB$1535,4,FALSE)),"")</f>
        <v>0.2069791136</v>
      </c>
      <c r="D1046" s="48">
        <f>IFERROR(DIVIDE(VLOOKUP($B1046,Data!$B$3:$AB$1535,24,FALSE),VLOOKUP($B1046,Data!$B$3:$AB$1535,4,FALSE)),"")</f>
        <v>-0.5396332145</v>
      </c>
      <c r="E1046" s="48">
        <f>IFERROR(DIVIDE(VLOOKUP($B1046,Data!$B$3:$EZ1530,29,FALSE),VLOOKUP($B1046,Data!$B$3:$EZ1530,4,FALSE)),"")</f>
        <v>-0.6428680591</v>
      </c>
      <c r="F1046" s="48">
        <f>IFERROR(DIVIDE(VLOOKUP($B1046,Data!$B$3:$EZ1530,34,FALSE),VLOOKUP($B1046,Data!$B$3:$EZ1530,4,FALSE)),"")</f>
        <v>0.2572083546</v>
      </c>
      <c r="G1046" s="48">
        <f>IFERROR(DIVIDE(VLOOKUP($B1046,Data!$B$3:$EZ1530,39,FALSE),VLOOKUP($B1046,Data!$B$3:$EZ1530,4,FALSE)),"")</f>
        <v>-0.5965359144</v>
      </c>
      <c r="H1046" s="48">
        <f>IFERROR(DIVIDE(VLOOKUP($B1046,Data!$B$3:$EZ1530,44,FALSE),VLOOKUP($B1046,Data!$B$3:$EZ1530,4,FALSE)),"")</f>
        <v>0.2333163525</v>
      </c>
      <c r="I1046" s="48">
        <f>IFERROR(MINUS(DIVIDE(VLOOKUP($B1046,Data!$B$3:$EZ1530,9,FALSE),VLOOKUP($B1046,Data!$B$3:$EZ1530,10,FALSE)),1),"")</f>
        <v>0.2274924471</v>
      </c>
      <c r="J1046" s="48">
        <f>IFERROR(MINUS(DIVIDE(VLOOKUP($B1046,Data!$B$3:$EZ1530,24,FALSE),VLOOKUP($B1046,Data!$B$3:$EZ1530,25,FALSE)),1),"")</f>
        <v>0.6684517247</v>
      </c>
      <c r="K1046" s="48">
        <f>IFERROR(MINUS(DIVIDE(VLOOKUP($B1046,Data!$B$3:$EZ1530,29,FALSE),VLOOKUP($B1046,Data!$B$3:$EZ1530,30,FALSE)),1),"")</f>
        <v>0.9161099302</v>
      </c>
      <c r="L1046" s="48">
        <f>IFERROR(MINUS(DIVIDE(VLOOKUP($B1046,Data!$B$3:$EZ1530,34,FALSE),VLOOKUP($B1046,Data!$B$3:$EZ1530,35,FALSE)),1),"")</f>
        <v>0.04664179104</v>
      </c>
      <c r="M1046" s="48">
        <f>IFERROR(MINUS(DIVIDE(VLOOKUP($B1046,Data!$B$3:$EZ1530,39,FALSE),VLOOKUP($B1046,Data!$B$3:$EZ1530,40,FALSE)),1),"")</f>
        <v>1.218013069</v>
      </c>
      <c r="N1046" s="48">
        <f>IFERROR(MINUS(DIVIDE(VLOOKUP($B1046,Data!$B$3:$EZ1530,44,FALSE),VLOOKUP($B1046,Data!$B$3:$EZ1530,45,FALSE)),1),"")</f>
        <v>0.1148977605</v>
      </c>
      <c r="O1046" s="50" t="str">
        <f>IFERROR(VLOOKUP($B1046,Data!$B$3:$D1530,2,FALSE),"")</f>
        <v/>
      </c>
      <c r="P1046" s="50" t="str">
        <f>IFERROR(VLOOKUP($B1046,Data!$B$3:$D1530,3,FALSE),"")</f>
        <v/>
      </c>
      <c r="Q1046" s="48" t="str">
        <f t="shared" si="2"/>
        <v/>
      </c>
      <c r="R1046" s="48"/>
      <c r="S1046" s="48"/>
      <c r="T1046" s="48"/>
      <c r="U1046" s="48"/>
      <c r="V1046" s="48"/>
      <c r="W1046" s="50"/>
      <c r="Z1046" s="11"/>
      <c r="AA1046" s="11"/>
    </row>
    <row r="1047">
      <c r="A1047" s="9">
        <f t="shared" si="1"/>
        <v>1044</v>
      </c>
      <c r="B1047" s="47" t="s">
        <v>1181</v>
      </c>
      <c r="C1047" s="48">
        <f>IFERROR(DIVIDE(VLOOKUP($B1047,Data!$B$3:$AB$1535,9,FALSE),VLOOKUP($B1047,Data!$B$3:$AB$1535,4,FALSE)),"")</f>
        <v>0.6728484941</v>
      </c>
      <c r="D1047" s="48">
        <f>IFERROR(DIVIDE(VLOOKUP($B1047,Data!$B$3:$AB$1535,24,FALSE),VLOOKUP($B1047,Data!$B$3:$AB$1535,4,FALSE)),"")</f>
        <v>-0.1200091961</v>
      </c>
      <c r="E1047" s="48">
        <f>IFERROR(DIVIDE(VLOOKUP($B1047,Data!$B$3:$EZ1530,29,FALSE),VLOOKUP($B1047,Data!$B$3:$EZ1530,4,FALSE)),"")</f>
        <v>-0.1544179631</v>
      </c>
      <c r="F1047" s="48">
        <f>IFERROR(DIVIDE(VLOOKUP($B1047,Data!$B$3:$EZ1530,34,FALSE),VLOOKUP($B1047,Data!$B$3:$EZ1530,4,FALSE)),"")</f>
        <v>-0.07674917618</v>
      </c>
      <c r="G1047" s="48">
        <f>IFERROR(DIVIDE(VLOOKUP($B1047,Data!$B$3:$EZ1530,39,FALSE),VLOOKUP($B1047,Data!$B$3:$EZ1530,4,FALSE)),"")</f>
        <v>-0.1549927197</v>
      </c>
      <c r="H1047" s="48">
        <f>IFERROR(DIVIDE(VLOOKUP($B1047,Data!$B$3:$EZ1530,44,FALSE),VLOOKUP($B1047,Data!$B$3:$EZ1530,4,FALSE)),"")</f>
        <v>-0.128477278</v>
      </c>
      <c r="I1047" s="48">
        <f>IFERROR(MINUS(DIVIDE(VLOOKUP($B1047,Data!$B$3:$EZ1530,9,FALSE),VLOOKUP($B1047,Data!$B$3:$EZ1530,10,FALSE)),1),"")</f>
        <v>0.4088575096</v>
      </c>
      <c r="J1047" s="48">
        <f>IFERROR(MINUS(DIVIDE(VLOOKUP($B1047,Data!$B$3:$EZ1530,24,FALSE),VLOOKUP($B1047,Data!$B$3:$EZ1530,25,FALSE)),1),"")</f>
        <v>-0.421286031</v>
      </c>
      <c r="K1047" s="48">
        <f>IFERROR(MINUS(DIVIDE(VLOOKUP($B1047,Data!$B$3:$EZ1530,29,FALSE),VLOOKUP($B1047,Data!$B$3:$EZ1530,30,FALSE)),1),"")</f>
        <v>-0.3776061776</v>
      </c>
      <c r="L1047" s="48">
        <f>IFERROR(MINUS(DIVIDE(VLOOKUP($B1047,Data!$B$3:$EZ1530,34,FALSE),VLOOKUP($B1047,Data!$B$3:$EZ1530,35,FALSE)),1),"")</f>
        <v>-0.4548176375</v>
      </c>
      <c r="M1047" s="48">
        <f>IFERROR(MINUS(DIVIDE(VLOOKUP($B1047,Data!$B$3:$EZ1530,39,FALSE),VLOOKUP($B1047,Data!$B$3:$EZ1530,40,FALSE)),1),"")</f>
        <v>-0.3760604658</v>
      </c>
      <c r="N1047" s="48">
        <f>IFERROR(MINUS(DIVIDE(VLOOKUP($B1047,Data!$B$3:$EZ1530,44,FALSE),VLOOKUP($B1047,Data!$B$3:$EZ1530,45,FALSE)),1),"")</f>
        <v>-0.4479749753</v>
      </c>
      <c r="O1047" s="50">
        <f>IFERROR(VLOOKUP($B1047,Data!$B$3:$D1530,2,FALSE),"")</f>
        <v>288260</v>
      </c>
      <c r="P1047" s="50">
        <f>IFERROR(VLOOKUP($B1047,Data!$B$3:$D1530,3,FALSE),"")</f>
        <v>275120</v>
      </c>
      <c r="Q1047" s="48">
        <f t="shared" si="2"/>
        <v>0.04776097703</v>
      </c>
      <c r="R1047" s="48"/>
      <c r="S1047" s="48"/>
      <c r="T1047" s="48"/>
      <c r="U1047" s="48"/>
      <c r="V1047" s="48"/>
      <c r="W1047" s="50"/>
      <c r="Z1047" s="11"/>
      <c r="AA1047" s="11"/>
    </row>
    <row r="1048">
      <c r="A1048" s="9">
        <f t="shared" si="1"/>
        <v>1045</v>
      </c>
      <c r="B1048" s="47" t="s">
        <v>1182</v>
      </c>
      <c r="C1048" s="48">
        <f>IFERROR(DIVIDE(VLOOKUP($B1048,Data!$B$3:$AB$1535,9,FALSE),VLOOKUP($B1048,Data!$B$3:$AB$1535,4,FALSE)),"")</f>
        <v>0.3668069753</v>
      </c>
      <c r="D1048" s="48">
        <f>IFERROR(DIVIDE(VLOOKUP($B1048,Data!$B$3:$AB$1535,24,FALSE),VLOOKUP($B1048,Data!$B$3:$AB$1535,4,FALSE)),"")</f>
        <v>-0.7486470235</v>
      </c>
      <c r="E1048" s="48">
        <f>IFERROR(DIVIDE(VLOOKUP($B1048,Data!$B$3:$EZ1530,29,FALSE),VLOOKUP($B1048,Data!$B$3:$EZ1530,4,FALSE)),"")</f>
        <v>-0.7660853879</v>
      </c>
      <c r="F1048" s="48">
        <f>IFERROR(DIVIDE(VLOOKUP($B1048,Data!$B$3:$EZ1530,34,FALSE),VLOOKUP($B1048,Data!$B$3:$EZ1530,4,FALSE)),"")</f>
        <v>-0.6322910403</v>
      </c>
      <c r="G1048" s="48">
        <f>IFERROR(DIVIDE(VLOOKUP($B1048,Data!$B$3:$EZ1530,39,FALSE),VLOOKUP($B1048,Data!$B$3:$EZ1530,4,FALSE)),"")</f>
        <v>-0.8484666266</v>
      </c>
      <c r="H1048" s="48">
        <f>IFERROR(DIVIDE(VLOOKUP($B1048,Data!$B$3:$EZ1530,44,FALSE),VLOOKUP($B1048,Data!$B$3:$EZ1530,4,FALSE)),"")</f>
        <v>-0.4759470836</v>
      </c>
      <c r="I1048" s="48">
        <f>IFERROR(MINUS(DIVIDE(VLOOKUP($B1048,Data!$B$3:$EZ1530,9,FALSE),VLOOKUP($B1048,Data!$B$3:$EZ1530,10,FALSE)),1),"")</f>
        <v>1.178571429</v>
      </c>
      <c r="J1048" s="48">
        <f>IFERROR(MINUS(DIVIDE(VLOOKUP($B1048,Data!$B$3:$EZ1530,24,FALSE),VLOOKUP($B1048,Data!$B$3:$EZ1530,25,FALSE)),1),"")</f>
        <v>0.4733727811</v>
      </c>
      <c r="K1048" s="48">
        <f>IFERROR(MINUS(DIVIDE(VLOOKUP($B1048,Data!$B$3:$EZ1530,29,FALSE),VLOOKUP($B1048,Data!$B$3:$EZ1530,30,FALSE)),1),"")</f>
        <v>0.4338773213</v>
      </c>
      <c r="L1048" s="48">
        <f>IFERROR(MINUS(DIVIDE(VLOOKUP($B1048,Data!$B$3:$EZ1530,34,FALSE),VLOOKUP($B1048,Data!$B$3:$EZ1530,35,FALSE)),1),"")</f>
        <v>0.4778636683</v>
      </c>
      <c r="M1048" s="48">
        <f>IFERROR(MINUS(DIVIDE(VLOOKUP($B1048,Data!$B$3:$EZ1530,39,FALSE),VLOOKUP($B1048,Data!$B$3:$EZ1530,40,FALSE)),1),"")</f>
        <v>0.4713242961</v>
      </c>
      <c r="N1048" s="48">
        <f>IFERROR(MINUS(DIVIDE(VLOOKUP($B1048,Data!$B$3:$EZ1530,44,FALSE),VLOOKUP($B1048,Data!$B$3:$EZ1530,45,FALSE)),1),"")</f>
        <v>0.009566326531</v>
      </c>
      <c r="O1048" s="50" t="str">
        <f>IFERROR(VLOOKUP($B1048,Data!$B$3:$D1530,2,FALSE),"")</f>
        <v/>
      </c>
      <c r="P1048" s="50">
        <f>IFERROR(VLOOKUP($B1048,Data!$B$3:$D1530,3,FALSE),"")</f>
        <v>51700</v>
      </c>
      <c r="Q1048" s="48">
        <f t="shared" si="2"/>
        <v>-1</v>
      </c>
      <c r="R1048" s="48"/>
      <c r="S1048" s="48"/>
      <c r="T1048" s="48"/>
      <c r="U1048" s="48"/>
      <c r="V1048" s="48"/>
      <c r="W1048" s="50"/>
      <c r="Z1048" s="12"/>
      <c r="AA1048" s="12"/>
    </row>
    <row r="1049">
      <c r="A1049" s="9">
        <f t="shared" si="1"/>
        <v>1046</v>
      </c>
      <c r="B1049" s="47" t="s">
        <v>1183</v>
      </c>
      <c r="C1049" s="48" t="str">
        <f>IFERROR(DIVIDE(VLOOKUP($B1049,Data!$B$3:$AB$1535,9,FALSE),VLOOKUP($B1049,Data!$B$3:$AB$1535,4,FALSE)),"")</f>
        <v/>
      </c>
      <c r="D1049" s="48" t="str">
        <f>IFERROR(DIVIDE(VLOOKUP($B1049,Data!$B$3:$AB$1535,24,FALSE),VLOOKUP($B1049,Data!$B$3:$AB$1535,4,FALSE)),"")</f>
        <v/>
      </c>
      <c r="E1049" s="48" t="str">
        <f>IFERROR(DIVIDE(VLOOKUP($B1049,Data!$B$3:$EZ1530,29,FALSE),VLOOKUP($B1049,Data!$B$3:$EZ1530,4,FALSE)),"")</f>
        <v/>
      </c>
      <c r="F1049" s="48" t="str">
        <f>IFERROR(DIVIDE(VLOOKUP($B1049,Data!$B$3:$EZ1530,34,FALSE),VLOOKUP($B1049,Data!$B$3:$EZ1530,4,FALSE)),"")</f>
        <v/>
      </c>
      <c r="G1049" s="48" t="str">
        <f>IFERROR(DIVIDE(VLOOKUP($B1049,Data!$B$3:$EZ1530,39,FALSE),VLOOKUP($B1049,Data!$B$3:$EZ1530,4,FALSE)),"")</f>
        <v/>
      </c>
      <c r="H1049" s="48" t="str">
        <f>IFERROR(DIVIDE(VLOOKUP($B1049,Data!$B$3:$EZ1530,44,FALSE),VLOOKUP($B1049,Data!$B$3:$EZ1530,4,FALSE)),"")</f>
        <v/>
      </c>
      <c r="I1049" s="48">
        <f>IFERROR(MINUS(DIVIDE(VLOOKUP($B1049,Data!$B$3:$EZ1530,9,FALSE),VLOOKUP($B1049,Data!$B$3:$EZ1530,10,FALSE)),1),"")</f>
        <v>0.1111111111</v>
      </c>
      <c r="J1049" s="48" t="str">
        <f>IFERROR(MINUS(DIVIDE(VLOOKUP($B1049,Data!$B$3:$EZ1530,24,FALSE),VLOOKUP($B1049,Data!$B$3:$EZ1530,25,FALSE)),1),"")</f>
        <v/>
      </c>
      <c r="K1049" s="48">
        <f>IFERROR(MINUS(DIVIDE(VLOOKUP($B1049,Data!$B$3:$EZ1530,29,FALSE),VLOOKUP($B1049,Data!$B$3:$EZ1530,30,FALSE)),1),"")</f>
        <v>0.2584269663</v>
      </c>
      <c r="L1049" s="48">
        <f>IFERROR(MINUS(DIVIDE(VLOOKUP($B1049,Data!$B$3:$EZ1530,34,FALSE),VLOOKUP($B1049,Data!$B$3:$EZ1530,35,FALSE)),1),"")</f>
        <v>0.2841173731</v>
      </c>
      <c r="M1049" s="48">
        <f>IFERROR(MINUS(DIVIDE(VLOOKUP($B1049,Data!$B$3:$EZ1530,39,FALSE),VLOOKUP($B1049,Data!$B$3:$EZ1530,40,FALSE)),1),"")</f>
        <v>0.2584269663</v>
      </c>
      <c r="N1049" s="48">
        <f>IFERROR(MINUS(DIVIDE(VLOOKUP($B1049,Data!$B$3:$EZ1530,44,FALSE),VLOOKUP($B1049,Data!$B$3:$EZ1530,45,FALSE)),1),"")</f>
        <v>0.1426499033</v>
      </c>
      <c r="O1049" s="50" t="str">
        <f>IFERROR(VLOOKUP($B1049,Data!$B$3:$D1530,2,FALSE),"")</f>
        <v/>
      </c>
      <c r="P1049" s="50" t="str">
        <f>IFERROR(VLOOKUP($B1049,Data!$B$3:$D1530,3,FALSE),"")</f>
        <v/>
      </c>
      <c r="Q1049" s="48" t="str">
        <f t="shared" si="2"/>
        <v/>
      </c>
      <c r="R1049" s="48"/>
      <c r="S1049" s="48"/>
      <c r="T1049" s="48"/>
      <c r="U1049" s="48"/>
      <c r="V1049" s="48"/>
      <c r="W1049" s="50"/>
      <c r="Z1049" s="11"/>
      <c r="AA1049" s="11"/>
    </row>
    <row r="1050">
      <c r="A1050" s="9">
        <f t="shared" si="1"/>
        <v>1047</v>
      </c>
      <c r="B1050" s="47" t="s">
        <v>1184</v>
      </c>
      <c r="C1050" s="48">
        <f>IFERROR(DIVIDE(VLOOKUP($B1050,Data!$B$3:$AB$1535,9,FALSE),VLOOKUP($B1050,Data!$B$3:$AB$1535,4,FALSE)),"")</f>
        <v>0.5054187192</v>
      </c>
      <c r="D1050" s="48">
        <f>IFERROR(DIVIDE(VLOOKUP($B1050,Data!$B$3:$AB$1535,24,FALSE),VLOOKUP($B1050,Data!$B$3:$AB$1535,4,FALSE)),"")</f>
        <v>0.1901477833</v>
      </c>
      <c r="E1050" s="48">
        <f>IFERROR(DIVIDE(VLOOKUP($B1050,Data!$B$3:$EZ1530,29,FALSE),VLOOKUP($B1050,Data!$B$3:$EZ1530,4,FALSE)),"")</f>
        <v>0.1763546798</v>
      </c>
      <c r="F1050" s="48">
        <f>IFERROR(DIVIDE(VLOOKUP($B1050,Data!$B$3:$EZ1530,34,FALSE),VLOOKUP($B1050,Data!$B$3:$EZ1530,4,FALSE)),"")</f>
        <v>0.2157635468</v>
      </c>
      <c r="G1050" s="48">
        <f>IFERROR(DIVIDE(VLOOKUP($B1050,Data!$B$3:$EZ1530,39,FALSE),VLOOKUP($B1050,Data!$B$3:$EZ1530,4,FALSE)),"")</f>
        <v>0.1369458128</v>
      </c>
      <c r="H1050" s="48">
        <f>IFERROR(DIVIDE(VLOOKUP($B1050,Data!$B$3:$EZ1530,44,FALSE),VLOOKUP($B1050,Data!$B$3:$EZ1530,4,FALSE)),"")</f>
        <v>0.1684729064</v>
      </c>
      <c r="I1050" s="48">
        <f>IFERROR(MINUS(DIVIDE(VLOOKUP($B1050,Data!$B$3:$EZ1530,9,FALSE),VLOOKUP($B1050,Data!$B$3:$EZ1530,10,FALSE)),1),"")</f>
        <v>0.07098121086</v>
      </c>
      <c r="J1050" s="48">
        <f>IFERROR(MINUS(DIVIDE(VLOOKUP($B1050,Data!$B$3:$EZ1530,24,FALSE),VLOOKUP($B1050,Data!$B$3:$EZ1530,25,FALSE)),1),"")</f>
        <v>0.06629834254</v>
      </c>
      <c r="K1050" s="48">
        <f>IFERROR(MINUS(DIVIDE(VLOOKUP($B1050,Data!$B$3:$EZ1530,29,FALSE),VLOOKUP($B1050,Data!$B$3:$EZ1530,30,FALSE)),1),"")</f>
        <v>0.05917159763</v>
      </c>
      <c r="L1050" s="48">
        <f>IFERROR(MINUS(DIVIDE(VLOOKUP($B1050,Data!$B$3:$EZ1530,34,FALSE),VLOOKUP($B1050,Data!$B$3:$EZ1530,35,FALSE)),1),"")</f>
        <v>0.05797101449</v>
      </c>
      <c r="M1050" s="48">
        <f>IFERROR(MINUS(DIVIDE(VLOOKUP($B1050,Data!$B$3:$EZ1530,39,FALSE),VLOOKUP($B1050,Data!$B$3:$EZ1530,40,FALSE)),1),"")</f>
        <v>0.05303030303</v>
      </c>
      <c r="N1050" s="48">
        <f>IFERROR(MINUS(DIVIDE(VLOOKUP($B1050,Data!$B$3:$EZ1530,44,FALSE),VLOOKUP($B1050,Data!$B$3:$EZ1530,45,FALSE)),1),"")</f>
        <v>-0.01156069364</v>
      </c>
      <c r="O1050" s="50">
        <f>IFERROR(VLOOKUP($B1050,Data!$B$3:$D1530,2,FALSE),"")</f>
        <v>11440000</v>
      </c>
      <c r="P1050" s="50">
        <f>IFERROR(VLOOKUP($B1050,Data!$B$3:$D1530,3,FALSE),"")</f>
        <v>11090000</v>
      </c>
      <c r="Q1050" s="48">
        <f t="shared" si="2"/>
        <v>0.03155996393</v>
      </c>
      <c r="R1050" s="48"/>
      <c r="S1050" s="48"/>
      <c r="T1050" s="48"/>
      <c r="U1050" s="48"/>
      <c r="V1050" s="48"/>
      <c r="W1050" s="50"/>
      <c r="Z1050" s="12"/>
      <c r="AA1050" s="11"/>
    </row>
    <row r="1051">
      <c r="A1051" s="9">
        <f t="shared" si="1"/>
        <v>1048</v>
      </c>
      <c r="B1051" s="47" t="s">
        <v>1185</v>
      </c>
      <c r="C1051" s="48">
        <f>IFERROR(DIVIDE(VLOOKUP($B1051,Data!$B$3:$AB$1535,9,FALSE),VLOOKUP($B1051,Data!$B$3:$AB$1535,4,FALSE)),"")</f>
        <v>0.9666666667</v>
      </c>
      <c r="D1051" s="48">
        <f>IFERROR(DIVIDE(VLOOKUP($B1051,Data!$B$3:$AB$1535,24,FALSE),VLOOKUP($B1051,Data!$B$3:$AB$1535,4,FALSE)),"")</f>
        <v>0</v>
      </c>
      <c r="E1051" s="48">
        <f>IFERROR(DIVIDE(VLOOKUP($B1051,Data!$B$3:$EZ1530,29,FALSE),VLOOKUP($B1051,Data!$B$3:$EZ1530,4,FALSE)),"")</f>
        <v>0</v>
      </c>
      <c r="F1051" s="48">
        <f>IFERROR(DIVIDE(VLOOKUP($B1051,Data!$B$3:$EZ1530,34,FALSE),VLOOKUP($B1051,Data!$B$3:$EZ1530,4,FALSE)),"")</f>
        <v>0</v>
      </c>
      <c r="G1051" s="48">
        <f>IFERROR(DIVIDE(VLOOKUP($B1051,Data!$B$3:$EZ1530,39,FALSE),VLOOKUP($B1051,Data!$B$3:$EZ1530,4,FALSE)),"")</f>
        <v>0</v>
      </c>
      <c r="H1051" s="48">
        <f>IFERROR(DIVIDE(VLOOKUP($B1051,Data!$B$3:$EZ1530,44,FALSE),VLOOKUP($B1051,Data!$B$3:$EZ1530,4,FALSE)),"")</f>
        <v>0</v>
      </c>
      <c r="I1051" s="48">
        <f>IFERROR(MINUS(DIVIDE(VLOOKUP($B1051,Data!$B$3:$EZ1530,9,FALSE),VLOOKUP($B1051,Data!$B$3:$EZ1530,10,FALSE)),1),"")</f>
        <v>0.03162055336</v>
      </c>
      <c r="J1051" s="48" t="str">
        <f>IFERROR(MINUS(DIVIDE(VLOOKUP($B1051,Data!$B$3:$EZ1530,24,FALSE),VLOOKUP($B1051,Data!$B$3:$EZ1530,25,FALSE)),1),"")</f>
        <v/>
      </c>
      <c r="K1051" s="48" t="str">
        <f>IFERROR(MINUS(DIVIDE(VLOOKUP($B1051,Data!$B$3:$EZ1530,29,FALSE),VLOOKUP($B1051,Data!$B$3:$EZ1530,30,FALSE)),1),"")</f>
        <v/>
      </c>
      <c r="L1051" s="48" t="str">
        <f>IFERROR(MINUS(DIVIDE(VLOOKUP($B1051,Data!$B$3:$EZ1530,34,FALSE),VLOOKUP($B1051,Data!$B$3:$EZ1530,35,FALSE)),1),"")</f>
        <v/>
      </c>
      <c r="M1051" s="48" t="str">
        <f>IFERROR(MINUS(DIVIDE(VLOOKUP($B1051,Data!$B$3:$EZ1530,39,FALSE),VLOOKUP($B1051,Data!$B$3:$EZ1530,40,FALSE)),1),"")</f>
        <v/>
      </c>
      <c r="N1051" s="48" t="str">
        <f>IFERROR(MINUS(DIVIDE(VLOOKUP($B1051,Data!$B$3:$EZ1530,44,FALSE),VLOOKUP($B1051,Data!$B$3:$EZ1530,45,FALSE)),1),"")</f>
        <v/>
      </c>
      <c r="O1051" s="50">
        <f>IFERROR(VLOOKUP($B1051,Data!$B$3:$D1530,2,FALSE),"")</f>
        <v>2890</v>
      </c>
      <c r="P1051" s="50">
        <f>IFERROR(VLOOKUP($B1051,Data!$B$3:$D1530,3,FALSE),"")</f>
        <v>3780</v>
      </c>
      <c r="Q1051" s="48">
        <f t="shared" si="2"/>
        <v>-0.2354497354</v>
      </c>
      <c r="R1051" s="48"/>
      <c r="S1051" s="48"/>
      <c r="T1051" s="48"/>
      <c r="U1051" s="48"/>
      <c r="V1051" s="48"/>
      <c r="W1051" s="50"/>
      <c r="Z1051" s="12"/>
      <c r="AA1051" s="12"/>
    </row>
    <row r="1052">
      <c r="A1052" s="9">
        <f t="shared" si="1"/>
        <v>1049</v>
      </c>
      <c r="B1052" s="47" t="s">
        <v>1186</v>
      </c>
      <c r="C1052" s="48">
        <f>IFERROR(DIVIDE(VLOOKUP($B1052,Data!$B$3:$AB$1535,9,FALSE),VLOOKUP($B1052,Data!$B$3:$AB$1535,4,FALSE)),"")</f>
        <v>0.0130952381</v>
      </c>
      <c r="D1052" s="48">
        <f>IFERROR(DIVIDE(VLOOKUP($B1052,Data!$B$3:$AB$1535,24,FALSE),VLOOKUP($B1052,Data!$B$3:$AB$1535,4,FALSE)),"")</f>
        <v>0</v>
      </c>
      <c r="E1052" s="48">
        <f>IFERROR(DIVIDE(VLOOKUP($B1052,Data!$B$3:$EZ1530,29,FALSE),VLOOKUP($B1052,Data!$B$3:$EZ1530,4,FALSE)),"")</f>
        <v>-73.00793651</v>
      </c>
      <c r="F1052" s="48">
        <f>IFERROR(DIVIDE(VLOOKUP($B1052,Data!$B$3:$EZ1530,34,FALSE),VLOOKUP($B1052,Data!$B$3:$EZ1530,4,FALSE)),"")</f>
        <v>-75.21428571</v>
      </c>
      <c r="G1052" s="48">
        <f>IFERROR(DIVIDE(VLOOKUP($B1052,Data!$B$3:$EZ1530,39,FALSE),VLOOKUP($B1052,Data!$B$3:$EZ1530,4,FALSE)),"")</f>
        <v>-65.11904762</v>
      </c>
      <c r="H1052" s="48">
        <f>IFERROR(DIVIDE(VLOOKUP($B1052,Data!$B$3:$EZ1530,44,FALSE),VLOOKUP($B1052,Data!$B$3:$EZ1530,4,FALSE)),"")</f>
        <v>-65.24603175</v>
      </c>
      <c r="I1052" s="48">
        <f>IFERROR(MINUS(DIVIDE(VLOOKUP($B1052,Data!$B$3:$EZ1530,9,FALSE),VLOOKUP($B1052,Data!$B$3:$EZ1530,10,FALSE)),1),"")</f>
        <v>-0.9273127753</v>
      </c>
      <c r="J1052" s="48" t="str">
        <f>IFERROR(MINUS(DIVIDE(VLOOKUP($B1052,Data!$B$3:$EZ1530,24,FALSE),VLOOKUP($B1052,Data!$B$3:$EZ1530,25,FALSE)),1),"")</f>
        <v/>
      </c>
      <c r="K1052" s="48">
        <f>IFERROR(MINUS(DIVIDE(VLOOKUP($B1052,Data!$B$3:$EZ1530,29,FALSE),VLOOKUP($B1052,Data!$B$3:$EZ1530,30,FALSE)),1),"")</f>
        <v>-0.1970847517</v>
      </c>
      <c r="L1052" s="48">
        <f>IFERROR(MINUS(DIVIDE(VLOOKUP($B1052,Data!$B$3:$EZ1530,34,FALSE),VLOOKUP($B1052,Data!$B$3:$EZ1530,35,FALSE)),1),"")</f>
        <v>-0.1880568883</v>
      </c>
      <c r="M1052" s="48">
        <f>IFERROR(MINUS(DIVIDE(VLOOKUP($B1052,Data!$B$3:$EZ1530,39,FALSE),VLOOKUP($B1052,Data!$B$3:$EZ1530,40,FALSE)),1),"")</f>
        <v>-0.2868628047</v>
      </c>
      <c r="N1052" s="48">
        <f>IFERROR(MINUS(DIVIDE(VLOOKUP($B1052,Data!$B$3:$EZ1530,44,FALSE),VLOOKUP($B1052,Data!$B$3:$EZ1530,45,FALSE)),1),"")</f>
        <v>0.688610455</v>
      </c>
      <c r="O1052" s="50">
        <f>IFERROR(VLOOKUP($B1052,Data!$B$3:$D1530,2,FALSE),"")</f>
        <v>5860</v>
      </c>
      <c r="P1052" s="50" t="str">
        <f>IFERROR(VLOOKUP($B1052,Data!$B$3:$D1530,3,FALSE),"")</f>
        <v/>
      </c>
      <c r="Q1052" s="48" t="str">
        <f t="shared" si="2"/>
        <v/>
      </c>
      <c r="R1052" s="48"/>
      <c r="S1052" s="48"/>
      <c r="T1052" s="48"/>
      <c r="U1052" s="48"/>
      <c r="V1052" s="48"/>
      <c r="W1052" s="50"/>
      <c r="Z1052" s="11"/>
      <c r="AA1052" s="11"/>
    </row>
    <row r="1053">
      <c r="A1053" s="9">
        <f t="shared" si="1"/>
        <v>1050</v>
      </c>
      <c r="B1053" s="47" t="s">
        <v>1187</v>
      </c>
      <c r="C1053" s="48">
        <f>IFERROR(DIVIDE(VLOOKUP($B1053,Data!$B$3:$AB$1535,9,FALSE),VLOOKUP($B1053,Data!$B$3:$AB$1535,4,FALSE)),"")</f>
        <v>0.0075</v>
      </c>
      <c r="D1053" s="48">
        <f>IFERROR(DIVIDE(VLOOKUP($B1053,Data!$B$3:$AB$1535,24,FALSE),VLOOKUP($B1053,Data!$B$3:$AB$1535,4,FALSE)),"")</f>
        <v>-0.01326956522</v>
      </c>
      <c r="E1053" s="48">
        <f>IFERROR(DIVIDE(VLOOKUP($B1053,Data!$B$3:$EZ1530,29,FALSE),VLOOKUP($B1053,Data!$B$3:$EZ1530,4,FALSE)),"")</f>
        <v>-0.03980869565</v>
      </c>
      <c r="F1053" s="48">
        <f>IFERROR(DIVIDE(VLOOKUP($B1053,Data!$B$3:$EZ1530,34,FALSE),VLOOKUP($B1053,Data!$B$3:$EZ1530,4,FALSE)),"")</f>
        <v>0.0778826087</v>
      </c>
      <c r="G1053" s="48">
        <f>IFERROR(DIVIDE(VLOOKUP($B1053,Data!$B$3:$EZ1530,39,FALSE),VLOOKUP($B1053,Data!$B$3:$EZ1530,4,FALSE)),"")</f>
        <v>-0.02423043478</v>
      </c>
      <c r="H1053" s="48">
        <f>IFERROR(DIVIDE(VLOOKUP($B1053,Data!$B$3:$EZ1530,44,FALSE),VLOOKUP($B1053,Data!$B$3:$EZ1530,4,FALSE)),"")</f>
        <v>0.01096086957</v>
      </c>
      <c r="I1053" s="48">
        <f>IFERROR(MINUS(DIVIDE(VLOOKUP($B1053,Data!$B$3:$EZ1530,9,FALSE),VLOOKUP($B1053,Data!$B$3:$EZ1530,10,FALSE)),1),"")</f>
        <v>-0.9779656903</v>
      </c>
      <c r="J1053" s="48">
        <f>IFERROR(MINUS(DIVIDE(VLOOKUP($B1053,Data!$B$3:$EZ1530,24,FALSE),VLOOKUP($B1053,Data!$B$3:$EZ1530,25,FALSE)),1),"")</f>
        <v>-1.046260648</v>
      </c>
      <c r="K1053" s="48">
        <f>IFERROR(MINUS(DIVIDE(VLOOKUP($B1053,Data!$B$3:$EZ1530,29,FALSE),VLOOKUP($B1053,Data!$B$3:$EZ1530,30,FALSE)),1),"")</f>
        <v>-1.149977887</v>
      </c>
      <c r="L1053" s="48">
        <f>IFERROR(MINUS(DIVIDE(VLOOKUP($B1053,Data!$B$3:$EZ1530,34,FALSE),VLOOKUP($B1053,Data!$B$3:$EZ1530,35,FALSE)),1),"")</f>
        <v>-0.8093773611</v>
      </c>
      <c r="M1053" s="48">
        <f>IFERROR(MINUS(DIVIDE(VLOOKUP($B1053,Data!$B$3:$EZ1530,39,FALSE),VLOOKUP($B1053,Data!$B$3:$EZ1530,40,FALSE)),1),"")</f>
        <v>-1.115894109</v>
      </c>
      <c r="N1053" s="48">
        <f>IFERROR(MINUS(DIVIDE(VLOOKUP($B1053,Data!$B$3:$EZ1530,44,FALSE),VLOOKUP($B1053,Data!$B$3:$EZ1530,45,FALSE)),1),"")</f>
        <v>-0.96801005</v>
      </c>
      <c r="O1053" s="50">
        <f>IFERROR(VLOOKUP($B1053,Data!$B$3:$D1530,2,FALSE),"")</f>
        <v>2300000</v>
      </c>
      <c r="P1053" s="50">
        <f>IFERROR(VLOOKUP($B1053,Data!$B$3:$D1530,3,FALSE),"")</f>
        <v>2240000</v>
      </c>
      <c r="Q1053" s="48">
        <f t="shared" si="2"/>
        <v>0.02678571429</v>
      </c>
      <c r="R1053" s="48"/>
      <c r="S1053" s="48"/>
      <c r="T1053" s="48"/>
      <c r="U1053" s="48"/>
      <c r="V1053" s="48"/>
      <c r="W1053" s="50"/>
      <c r="Z1053" s="11"/>
      <c r="AA1053" s="11"/>
    </row>
    <row r="1054">
      <c r="A1054" s="9">
        <f t="shared" si="1"/>
        <v>1051</v>
      </c>
      <c r="B1054" s="47" t="s">
        <v>1188</v>
      </c>
      <c r="C1054" s="48">
        <f>IFERROR(DIVIDE(VLOOKUP($B1054,Data!$B$3:$AB$1535,9,FALSE),VLOOKUP($B1054,Data!$B$3:$AB$1535,4,FALSE)),"")</f>
        <v>0.1621712839</v>
      </c>
      <c r="D1054" s="48">
        <f>IFERROR(DIVIDE(VLOOKUP($B1054,Data!$B$3:$AB$1535,24,FALSE),VLOOKUP($B1054,Data!$B$3:$AB$1535,4,FALSE)),"")</f>
        <v>0.08406693855</v>
      </c>
      <c r="E1054" s="48">
        <f>IFERROR(DIVIDE(VLOOKUP($B1054,Data!$B$3:$EZ1530,29,FALSE),VLOOKUP($B1054,Data!$B$3:$EZ1530,4,FALSE)),"")</f>
        <v>0.02590352974</v>
      </c>
      <c r="F1054" s="48">
        <f>IFERROR(DIVIDE(VLOOKUP($B1054,Data!$B$3:$EZ1530,34,FALSE),VLOOKUP($B1054,Data!$B$3:$EZ1530,4,FALSE)),"")</f>
        <v>0.4876388694</v>
      </c>
      <c r="G1054" s="48">
        <f>IFERROR(DIVIDE(VLOOKUP($B1054,Data!$B$3:$EZ1530,39,FALSE),VLOOKUP($B1054,Data!$B$3:$EZ1530,4,FALSE)),"")</f>
        <v>0.02441288145</v>
      </c>
      <c r="H1054" s="48">
        <f>IFERROR(DIVIDE(VLOOKUP($B1054,Data!$B$3:$EZ1530,44,FALSE),VLOOKUP($B1054,Data!$B$3:$EZ1530,4,FALSE)),"")</f>
        <v>0.4417381522</v>
      </c>
      <c r="I1054" s="48">
        <f>IFERROR(MINUS(DIVIDE(VLOOKUP($B1054,Data!$B$3:$EZ1530,9,FALSE),VLOOKUP($B1054,Data!$B$3:$EZ1530,10,FALSE)),1),"")</f>
        <v>0.1557426338</v>
      </c>
      <c r="J1054" s="48">
        <f>IFERROR(MINUS(DIVIDE(VLOOKUP($B1054,Data!$B$3:$EZ1530,24,FALSE),VLOOKUP($B1054,Data!$B$3:$EZ1530,25,FALSE)),1),"")</f>
        <v>0.5242223355</v>
      </c>
      <c r="K1054" s="48">
        <f>IFERROR(MINUS(DIVIDE(VLOOKUP($B1054,Data!$B$3:$EZ1530,29,FALSE),VLOOKUP($B1054,Data!$B$3:$EZ1530,30,FALSE)),1),"")</f>
        <v>-3.177304965</v>
      </c>
      <c r="L1054" s="48">
        <f>IFERROR(MINUS(DIVIDE(VLOOKUP($B1054,Data!$B$3:$EZ1530,34,FALSE),VLOOKUP($B1054,Data!$B$3:$EZ1530,35,FALSE)),1),"")</f>
        <v>1.358269859</v>
      </c>
      <c r="M1054" s="48">
        <f>IFERROR(MINUS(DIVIDE(VLOOKUP($B1054,Data!$B$3:$EZ1530,39,FALSE),VLOOKUP($B1054,Data!$B$3:$EZ1530,40,FALSE)),1),"")</f>
        <v>-0.3565604151</v>
      </c>
      <c r="N1054" s="48">
        <f>IFERROR(MINUS(DIVIDE(VLOOKUP($B1054,Data!$B$3:$EZ1530,44,FALSE),VLOOKUP($B1054,Data!$B$3:$EZ1530,45,FALSE)),1),"")</f>
        <v>2.470172338</v>
      </c>
      <c r="O1054" s="50" t="str">
        <f>IFERROR(VLOOKUP($B1054,Data!$B$3:$D1530,2,FALSE),"")</f>
        <v/>
      </c>
      <c r="P1054" s="50" t="str">
        <f>IFERROR(VLOOKUP($B1054,Data!$B$3:$D1530,3,FALSE),"")</f>
        <v/>
      </c>
      <c r="Q1054" s="48" t="str">
        <f t="shared" si="2"/>
        <v/>
      </c>
      <c r="R1054" s="48"/>
      <c r="S1054" s="48"/>
      <c r="T1054" s="48"/>
      <c r="U1054" s="48"/>
      <c r="V1054" s="48"/>
      <c r="W1054" s="50"/>
      <c r="Z1054" s="11"/>
      <c r="AA1054" s="12"/>
    </row>
    <row r="1055">
      <c r="A1055" s="9">
        <f t="shared" si="1"/>
        <v>1052</v>
      </c>
      <c r="B1055" s="47" t="s">
        <v>1189</v>
      </c>
      <c r="C1055" s="48">
        <f>IFERROR(DIVIDE(VLOOKUP($B1055,Data!$B$3:$AB$1535,9,FALSE),VLOOKUP($B1055,Data!$B$3:$AB$1535,4,FALSE)),"")</f>
        <v>0.5263508728</v>
      </c>
      <c r="D1055" s="48">
        <f>IFERROR(DIVIDE(VLOOKUP($B1055,Data!$B$3:$AB$1535,24,FALSE),VLOOKUP($B1055,Data!$B$3:$AB$1535,4,FALSE)),"")</f>
        <v>-1.169437154</v>
      </c>
      <c r="E1055" s="48">
        <f>IFERROR(DIVIDE(VLOOKUP($B1055,Data!$B$3:$EZ1530,29,FALSE),VLOOKUP($B1055,Data!$B$3:$EZ1530,4,FALSE)),"")</f>
        <v>-1.241594801</v>
      </c>
      <c r="F1055" s="48">
        <f>IFERROR(DIVIDE(VLOOKUP($B1055,Data!$B$3:$EZ1530,34,FALSE),VLOOKUP($B1055,Data!$B$3:$EZ1530,4,FALSE)),"")</f>
        <v>0.25042703</v>
      </c>
      <c r="G1055" s="48">
        <f>IFERROR(DIVIDE(VLOOKUP($B1055,Data!$B$3:$EZ1530,39,FALSE),VLOOKUP($B1055,Data!$B$3:$EZ1530,4,FALSE)),"")</f>
        <v>-1.128608924</v>
      </c>
      <c r="H1055" s="48">
        <f>IFERROR(DIVIDE(VLOOKUP($B1055,Data!$B$3:$EZ1530,44,FALSE),VLOOKUP($B1055,Data!$B$3:$EZ1530,4,FALSE)),"")</f>
        <v>0.1398575178</v>
      </c>
      <c r="I1055" s="48">
        <f>IFERROR(MINUS(DIVIDE(VLOOKUP($B1055,Data!$B$3:$EZ1530,9,FALSE),VLOOKUP($B1055,Data!$B$3:$EZ1530,10,FALSE)),1),"")</f>
        <v>0.03770020534</v>
      </c>
      <c r="J1055" s="48">
        <f>IFERROR(MINUS(DIVIDE(VLOOKUP($B1055,Data!$B$3:$EZ1530,24,FALSE),VLOOKUP($B1055,Data!$B$3:$EZ1530,25,FALSE)),1),"")</f>
        <v>1.693341009</v>
      </c>
      <c r="K1055" s="48">
        <f>IFERROR(MINUS(DIVIDE(VLOOKUP($B1055,Data!$B$3:$EZ1530,29,FALSE),VLOOKUP($B1055,Data!$B$3:$EZ1530,30,FALSE)),1),"")</f>
        <v>1.511545592</v>
      </c>
      <c r="L1055" s="48">
        <f>IFERROR(MINUS(DIVIDE(VLOOKUP($B1055,Data!$B$3:$EZ1530,34,FALSE),VLOOKUP($B1055,Data!$B$3:$EZ1530,35,FALSE)),1),"")</f>
        <v>-0.3112969753</v>
      </c>
      <c r="M1055" s="48">
        <f>IFERROR(MINUS(DIVIDE(VLOOKUP($B1055,Data!$B$3:$EZ1530,39,FALSE),VLOOKUP($B1055,Data!$B$3:$EZ1530,40,FALSE)),1),"")</f>
        <v>1.469912473</v>
      </c>
      <c r="N1055" s="48">
        <f>IFERROR(MINUS(DIVIDE(VLOOKUP($B1055,Data!$B$3:$EZ1530,44,FALSE),VLOOKUP($B1055,Data!$B$3:$EZ1530,45,FALSE)),1),"")</f>
        <v>-0.1062300319</v>
      </c>
      <c r="O1055" s="50">
        <f>IFERROR(VLOOKUP($B1055,Data!$B$3:$D1530,2,FALSE),"")</f>
        <v>191660</v>
      </c>
      <c r="P1055" s="50">
        <f>IFERROR(VLOOKUP($B1055,Data!$B$3:$D1530,3,FALSE),"")</f>
        <v>165670</v>
      </c>
      <c r="Q1055" s="48">
        <f t="shared" si="2"/>
        <v>0.1568781312</v>
      </c>
      <c r="R1055" s="48"/>
      <c r="S1055" s="48"/>
      <c r="T1055" s="48"/>
      <c r="U1055" s="48"/>
      <c r="V1055" s="48"/>
      <c r="W1055" s="50"/>
      <c r="Z1055" s="11"/>
      <c r="AA1055" s="11"/>
    </row>
    <row r="1056">
      <c r="A1056" s="9">
        <f t="shared" si="1"/>
        <v>1053</v>
      </c>
      <c r="B1056" s="47" t="s">
        <v>1190</v>
      </c>
      <c r="C1056" s="48">
        <f>IFERROR(DIVIDE(VLOOKUP($B1056,Data!$B$3:$AB$1535,9,FALSE),VLOOKUP($B1056,Data!$B$3:$AB$1535,4,FALSE)),"")</f>
        <v>0.160988932</v>
      </c>
      <c r="D1056" s="48">
        <f>IFERROR(DIVIDE(VLOOKUP($B1056,Data!$B$3:$AB$1535,24,FALSE),VLOOKUP($B1056,Data!$B$3:$AB$1535,4,FALSE)),"")</f>
        <v>0</v>
      </c>
      <c r="E1056" s="48">
        <f>IFERROR(DIVIDE(VLOOKUP($B1056,Data!$B$3:$EZ1530,29,FALSE),VLOOKUP($B1056,Data!$B$3:$EZ1530,4,FALSE)),"")</f>
        <v>0.09903694121</v>
      </c>
      <c r="F1056" s="48">
        <f>IFERROR(DIVIDE(VLOOKUP($B1056,Data!$B$3:$EZ1530,34,FALSE),VLOOKUP($B1056,Data!$B$3:$EZ1530,4,FALSE)),"")</f>
        <v>0.1177950266</v>
      </c>
      <c r="G1056" s="48">
        <f>IFERROR(DIVIDE(VLOOKUP($B1056,Data!$B$3:$EZ1530,39,FALSE),VLOOKUP($B1056,Data!$B$3:$EZ1530,4,FALSE)),"")</f>
        <v>0.07984763548</v>
      </c>
      <c r="H1056" s="48">
        <f>IFERROR(DIVIDE(VLOOKUP($B1056,Data!$B$3:$EZ1530,44,FALSE),VLOOKUP($B1056,Data!$B$3:$EZ1530,4,FALSE)),"")</f>
        <v>0</v>
      </c>
      <c r="I1056" s="48">
        <f>IFERROR(MINUS(DIVIDE(VLOOKUP($B1056,Data!$B$3:$EZ1530,9,FALSE),VLOOKUP($B1056,Data!$B$3:$EZ1530,10,FALSE)),1),"")</f>
        <v>0.09268292683</v>
      </c>
      <c r="J1056" s="48" t="str">
        <f>IFERROR(MINUS(DIVIDE(VLOOKUP($B1056,Data!$B$3:$EZ1530,24,FALSE),VLOOKUP($B1056,Data!$B$3:$EZ1530,25,FALSE)),1),"")</f>
        <v/>
      </c>
      <c r="K1056" s="48">
        <f>IFERROR(MINUS(DIVIDE(VLOOKUP($B1056,Data!$B$3:$EZ1530,29,FALSE),VLOOKUP($B1056,Data!$B$3:$EZ1530,30,FALSE)),1),"")</f>
        <v>0.02074074074</v>
      </c>
      <c r="L1056" s="48">
        <f>IFERROR(MINUS(DIVIDE(VLOOKUP($B1056,Data!$B$3:$EZ1530,34,FALSE),VLOOKUP($B1056,Data!$B$3:$EZ1530,35,FALSE)),1),"")</f>
        <v>0.06015523933</v>
      </c>
      <c r="M1056" s="48">
        <f>IFERROR(MINUS(DIVIDE(VLOOKUP($B1056,Data!$B$3:$EZ1530,39,FALSE),VLOOKUP($B1056,Data!$B$3:$EZ1530,40,FALSE)),1),"")</f>
        <v>0.07135969142</v>
      </c>
      <c r="N1056" s="48">
        <f>IFERROR(MINUS(DIVIDE(VLOOKUP($B1056,Data!$B$3:$EZ1530,44,FALSE),VLOOKUP($B1056,Data!$B$3:$EZ1530,45,FALSE)),1),"")</f>
        <v>-1</v>
      </c>
      <c r="O1056" s="50" t="str">
        <f>IFERROR(VLOOKUP($B1056,Data!$B$3:$D1530,2,FALSE),"")</f>
        <v/>
      </c>
      <c r="P1056" s="50" t="str">
        <f>IFERROR(VLOOKUP($B1056,Data!$B$3:$D1530,3,FALSE),"")</f>
        <v/>
      </c>
      <c r="Q1056" s="48" t="str">
        <f t="shared" si="2"/>
        <v/>
      </c>
      <c r="R1056" s="48"/>
      <c r="S1056" s="48"/>
      <c r="T1056" s="48"/>
      <c r="U1056" s="48"/>
      <c r="V1056" s="48"/>
      <c r="W1056" s="50"/>
      <c r="Z1056" s="12"/>
      <c r="AA1056" s="12"/>
    </row>
    <row r="1057">
      <c r="A1057" s="9">
        <f t="shared" si="1"/>
        <v>1054</v>
      </c>
      <c r="B1057" s="47" t="s">
        <v>1191</v>
      </c>
      <c r="C1057" s="48">
        <f>IFERROR(DIVIDE(VLOOKUP($B1057,Data!$B$3:$AB$1535,9,FALSE),VLOOKUP($B1057,Data!$B$3:$AB$1535,4,FALSE)),"")</f>
        <v>0.6117327469</v>
      </c>
      <c r="D1057" s="48">
        <f>IFERROR(DIVIDE(VLOOKUP($B1057,Data!$B$3:$AB$1535,24,FALSE),VLOOKUP($B1057,Data!$B$3:$AB$1535,4,FALSE)),"")</f>
        <v>0.05471832352</v>
      </c>
      <c r="E1057" s="48">
        <f>IFERROR(DIVIDE(VLOOKUP($B1057,Data!$B$3:$EZ1530,29,FALSE),VLOOKUP($B1057,Data!$B$3:$EZ1530,4,FALSE)),"")</f>
        <v>0.1379600285</v>
      </c>
      <c r="F1057" s="48">
        <f>IFERROR(DIVIDE(VLOOKUP($B1057,Data!$B$3:$EZ1530,34,FALSE),VLOOKUP($B1057,Data!$B$3:$EZ1530,4,FALSE)),"")</f>
        <v>0.1056852726</v>
      </c>
      <c r="G1057" s="48">
        <f>IFERROR(DIVIDE(VLOOKUP($B1057,Data!$B$3:$EZ1530,39,FALSE),VLOOKUP($B1057,Data!$B$3:$EZ1530,4,FALSE)),"")</f>
        <v>0.1077549964</v>
      </c>
      <c r="H1057" s="48">
        <f>IFERROR(DIVIDE(VLOOKUP($B1057,Data!$B$3:$EZ1530,44,FALSE),VLOOKUP($B1057,Data!$B$3:$EZ1530,4,FALSE)),"")</f>
        <v>0.06338529203</v>
      </c>
      <c r="I1057" s="48">
        <f>IFERROR(MINUS(DIVIDE(VLOOKUP($B1057,Data!$B$3:$EZ1530,9,FALSE),VLOOKUP($B1057,Data!$B$3:$EZ1530,10,FALSE)),1),"")</f>
        <v>-0.1675028607</v>
      </c>
      <c r="J1057" s="48">
        <f>IFERROR(MINUS(DIVIDE(VLOOKUP($B1057,Data!$B$3:$EZ1530,24,FALSE),VLOOKUP($B1057,Data!$B$3:$EZ1530,25,FALSE)),1),"")</f>
        <v>-0.7024270137</v>
      </c>
      <c r="K1057" s="48">
        <f>IFERROR(MINUS(DIVIDE(VLOOKUP($B1057,Data!$B$3:$EZ1530,29,FALSE),VLOOKUP($B1057,Data!$B$3:$EZ1530,30,FALSE)),1),"")</f>
        <v>-0.3275535939</v>
      </c>
      <c r="L1057" s="48">
        <f>IFERROR(MINUS(DIVIDE(VLOOKUP($B1057,Data!$B$3:$EZ1530,34,FALSE),VLOOKUP($B1057,Data!$B$3:$EZ1530,35,FALSE)),1),"")</f>
        <v>-0.6426071741</v>
      </c>
      <c r="M1057" s="48">
        <f>IFERROR(MINUS(DIVIDE(VLOOKUP($B1057,Data!$B$3:$EZ1530,39,FALSE),VLOOKUP($B1057,Data!$B$3:$EZ1530,40,FALSE)),1),"")</f>
        <v>-0.1833333333</v>
      </c>
      <c r="N1057" s="48">
        <f>IFERROR(MINUS(DIVIDE(VLOOKUP($B1057,Data!$B$3:$EZ1530,44,FALSE),VLOOKUP($B1057,Data!$B$3:$EZ1530,45,FALSE)),1),"")</f>
        <v>-0.7492964953</v>
      </c>
      <c r="O1057" s="50">
        <f>IFERROR(VLOOKUP($B1057,Data!$B$3:$D1530,2,FALSE),"")</f>
        <v>169660</v>
      </c>
      <c r="P1057" s="50">
        <f>IFERROR(VLOOKUP($B1057,Data!$B$3:$D1530,3,FALSE),"")</f>
        <v>149390</v>
      </c>
      <c r="Q1057" s="48">
        <f t="shared" si="2"/>
        <v>0.1356851195</v>
      </c>
      <c r="R1057" s="48"/>
      <c r="S1057" s="48"/>
      <c r="T1057" s="48"/>
      <c r="U1057" s="48"/>
      <c r="V1057" s="48"/>
      <c r="W1057" s="50"/>
      <c r="Z1057" s="11"/>
      <c r="AA1057" s="11"/>
    </row>
    <row r="1058">
      <c r="A1058" s="9">
        <f t="shared" si="1"/>
        <v>1055</v>
      </c>
      <c r="B1058" s="47" t="s">
        <v>1192</v>
      </c>
      <c r="C1058" s="48">
        <f>IFERROR(DIVIDE(VLOOKUP($B1058,Data!$B$3:$AB$1535,9,FALSE),VLOOKUP($B1058,Data!$B$3:$AB$1535,4,FALSE)),"")</f>
        <v>-2.433333333</v>
      </c>
      <c r="D1058" s="48">
        <f>IFERROR(DIVIDE(VLOOKUP($B1058,Data!$B$3:$AB$1535,24,FALSE),VLOOKUP($B1058,Data!$B$3:$AB$1535,4,FALSE)),"")</f>
        <v>0</v>
      </c>
      <c r="E1058" s="48">
        <f>IFERROR(DIVIDE(VLOOKUP($B1058,Data!$B$3:$EZ1530,29,FALSE),VLOOKUP($B1058,Data!$B$3:$EZ1530,4,FALSE)),"")</f>
        <v>-100.9666667</v>
      </c>
      <c r="F1058" s="48">
        <f>IFERROR(DIVIDE(VLOOKUP($B1058,Data!$B$3:$EZ1530,34,FALSE),VLOOKUP($B1058,Data!$B$3:$EZ1530,4,FALSE)),"")</f>
        <v>-99.26666667</v>
      </c>
      <c r="G1058" s="48">
        <f>IFERROR(DIVIDE(VLOOKUP($B1058,Data!$B$3:$EZ1530,39,FALSE),VLOOKUP($B1058,Data!$B$3:$EZ1530,4,FALSE)),"")</f>
        <v>-74.46666667</v>
      </c>
      <c r="H1058" s="48">
        <f>IFERROR(DIVIDE(VLOOKUP($B1058,Data!$B$3:$EZ1530,44,FALSE),VLOOKUP($B1058,Data!$B$3:$EZ1530,4,FALSE)),"")</f>
        <v>-61.63333333</v>
      </c>
      <c r="I1058" s="48">
        <f>IFERROR(MINUS(DIVIDE(VLOOKUP($B1058,Data!$B$3:$EZ1530,9,FALSE),VLOOKUP($B1058,Data!$B$3:$EZ1530,10,FALSE)),1),"")</f>
        <v>0.838790932</v>
      </c>
      <c r="J1058" s="48" t="str">
        <f>IFERROR(MINUS(DIVIDE(VLOOKUP($B1058,Data!$B$3:$EZ1530,24,FALSE),VLOOKUP($B1058,Data!$B$3:$EZ1530,25,FALSE)),1),"")</f>
        <v/>
      </c>
      <c r="K1058" s="48">
        <f>IFERROR(MINUS(DIVIDE(VLOOKUP($B1058,Data!$B$3:$EZ1530,29,FALSE),VLOOKUP($B1058,Data!$B$3:$EZ1530,30,FALSE)),1),"")</f>
        <v>-0.06324416267</v>
      </c>
      <c r="L1058" s="48">
        <f>IFERROR(MINUS(DIVIDE(VLOOKUP($B1058,Data!$B$3:$EZ1530,34,FALSE),VLOOKUP($B1058,Data!$B$3:$EZ1530,35,FALSE)),1),"")</f>
        <v>-0.08608255332</v>
      </c>
      <c r="M1058" s="48">
        <f>IFERROR(MINUS(DIVIDE(VLOOKUP($B1058,Data!$B$3:$EZ1530,39,FALSE),VLOOKUP($B1058,Data!$B$3:$EZ1530,40,FALSE)),1),"")</f>
        <v>-0.1129640659</v>
      </c>
      <c r="N1058" s="48">
        <f>IFERROR(MINUS(DIVIDE(VLOOKUP($B1058,Data!$B$3:$EZ1530,44,FALSE),VLOOKUP($B1058,Data!$B$3:$EZ1530,45,FALSE)),1),"")</f>
        <v>-0.03773093937</v>
      </c>
      <c r="O1058" s="50">
        <f>IFERROR(VLOOKUP($B1058,Data!$B$3:$D1530,2,FALSE),"")</f>
        <v>7820</v>
      </c>
      <c r="P1058" s="50" t="str">
        <f>IFERROR(VLOOKUP($B1058,Data!$B$3:$D1530,3,FALSE),"")</f>
        <v/>
      </c>
      <c r="Q1058" s="48" t="str">
        <f t="shared" si="2"/>
        <v/>
      </c>
      <c r="R1058" s="48"/>
      <c r="S1058" s="48"/>
      <c r="T1058" s="48"/>
      <c r="U1058" s="48"/>
      <c r="V1058" s="48"/>
      <c r="W1058" s="50"/>
      <c r="Z1058" s="12"/>
      <c r="AA1058" s="12"/>
    </row>
    <row r="1059">
      <c r="A1059" s="9">
        <f t="shared" si="1"/>
        <v>1056</v>
      </c>
      <c r="B1059" s="47" t="s">
        <v>1193</v>
      </c>
      <c r="C1059" s="48">
        <f>IFERROR(DIVIDE(VLOOKUP($B1059,Data!$B$3:$AB$1535,9,FALSE),VLOOKUP($B1059,Data!$B$3:$AB$1535,4,FALSE)),"")</f>
        <v>0</v>
      </c>
      <c r="D1059" s="48">
        <f>IFERROR(DIVIDE(VLOOKUP($B1059,Data!$B$3:$AB$1535,24,FALSE),VLOOKUP($B1059,Data!$B$3:$AB$1535,4,FALSE)),"")</f>
        <v>-4.229447853</v>
      </c>
      <c r="E1059" s="48">
        <f>IFERROR(DIVIDE(VLOOKUP($B1059,Data!$B$3:$EZ1530,29,FALSE),VLOOKUP($B1059,Data!$B$3:$EZ1530,4,FALSE)),"")</f>
        <v>-4.65398773</v>
      </c>
      <c r="F1059" s="48">
        <f>IFERROR(DIVIDE(VLOOKUP($B1059,Data!$B$3:$EZ1530,34,FALSE),VLOOKUP($B1059,Data!$B$3:$EZ1530,4,FALSE)),"")</f>
        <v>-2.598773006</v>
      </c>
      <c r="G1059" s="48">
        <f>IFERROR(DIVIDE(VLOOKUP($B1059,Data!$B$3:$EZ1530,39,FALSE),VLOOKUP($B1059,Data!$B$3:$EZ1530,4,FALSE)),"")</f>
        <v>-4.244171779</v>
      </c>
      <c r="H1059" s="48">
        <f>IFERROR(DIVIDE(VLOOKUP($B1059,Data!$B$3:$EZ1530,44,FALSE),VLOOKUP($B1059,Data!$B$3:$EZ1530,4,FALSE)),"")</f>
        <v>-3.96196319</v>
      </c>
      <c r="I1059" s="48" t="str">
        <f>IFERROR(MINUS(DIVIDE(VLOOKUP($B1059,Data!$B$3:$EZ1530,9,FALSE),VLOOKUP($B1059,Data!$B$3:$EZ1530,10,FALSE)),1),"")</f>
        <v/>
      </c>
      <c r="J1059" s="48">
        <f>IFERROR(MINUS(DIVIDE(VLOOKUP($B1059,Data!$B$3:$EZ1530,24,FALSE),VLOOKUP($B1059,Data!$B$3:$EZ1530,25,FALSE)),1),"")</f>
        <v>0.1547738693</v>
      </c>
      <c r="K1059" s="48">
        <f>IFERROR(MINUS(DIVIDE(VLOOKUP($B1059,Data!$B$3:$EZ1530,29,FALSE),VLOOKUP($B1059,Data!$B$3:$EZ1530,30,FALSE)),1),"")</f>
        <v>0.1241849437</v>
      </c>
      <c r="L1059" s="48">
        <f>IFERROR(MINUS(DIVIDE(VLOOKUP($B1059,Data!$B$3:$EZ1530,34,FALSE),VLOOKUP($B1059,Data!$B$3:$EZ1530,35,FALSE)),1),"")</f>
        <v>-0.05404198303</v>
      </c>
      <c r="M1059" s="48">
        <f>IFERROR(MINUS(DIVIDE(VLOOKUP($B1059,Data!$B$3:$EZ1530,39,FALSE),VLOOKUP($B1059,Data!$B$3:$EZ1530,40,FALSE)),1),"")</f>
        <v>-0.2498373455</v>
      </c>
      <c r="N1059" s="48">
        <f>IFERROR(MINUS(DIVIDE(VLOOKUP($B1059,Data!$B$3:$EZ1530,44,FALSE),VLOOKUP($B1059,Data!$B$3:$EZ1530,45,FALSE)),1),"")</f>
        <v>-0.02269975787</v>
      </c>
      <c r="O1059" s="50" t="str">
        <f>IFERROR(VLOOKUP($B1059,Data!$B$3:$D1530,2,FALSE),"")</f>
        <v/>
      </c>
      <c r="P1059" s="50" t="str">
        <f>IFERROR(VLOOKUP($B1059,Data!$B$3:$D1530,3,FALSE),"")</f>
        <v/>
      </c>
      <c r="Q1059" s="48" t="str">
        <f t="shared" si="2"/>
        <v/>
      </c>
      <c r="R1059" s="48"/>
      <c r="S1059" s="48"/>
      <c r="T1059" s="48"/>
      <c r="U1059" s="48"/>
      <c r="V1059" s="48"/>
      <c r="W1059" s="50"/>
      <c r="Z1059" s="11"/>
      <c r="AA1059" s="11"/>
    </row>
    <row r="1060">
      <c r="A1060" s="9">
        <f t="shared" si="1"/>
        <v>1057</v>
      </c>
      <c r="B1060" s="47" t="s">
        <v>1194</v>
      </c>
      <c r="C1060" s="48" t="str">
        <f>IFERROR(DIVIDE(VLOOKUP($B1060,Data!$B$3:$AB$1535,9,FALSE),VLOOKUP($B1060,Data!$B$3:$AB$1535,4,FALSE)),"")</f>
        <v/>
      </c>
      <c r="D1060" s="48" t="str">
        <f>IFERROR(DIVIDE(VLOOKUP($B1060,Data!$B$3:$AB$1535,24,FALSE),VLOOKUP($B1060,Data!$B$3:$AB$1535,4,FALSE)),"")</f>
        <v/>
      </c>
      <c r="E1060" s="48" t="str">
        <f>IFERROR(DIVIDE(VLOOKUP($B1060,Data!$B$3:$EZ1530,29,FALSE),VLOOKUP($B1060,Data!$B$3:$EZ1530,4,FALSE)),"")</f>
        <v/>
      </c>
      <c r="F1060" s="48" t="str">
        <f>IFERROR(DIVIDE(VLOOKUP($B1060,Data!$B$3:$EZ1530,34,FALSE),VLOOKUP($B1060,Data!$B$3:$EZ1530,4,FALSE)),"")</f>
        <v/>
      </c>
      <c r="G1060" s="48" t="str">
        <f>IFERROR(DIVIDE(VLOOKUP($B1060,Data!$B$3:$EZ1530,39,FALSE),VLOOKUP($B1060,Data!$B$3:$EZ1530,4,FALSE)),"")</f>
        <v/>
      </c>
      <c r="H1060" s="48" t="str">
        <f>IFERROR(DIVIDE(VLOOKUP($B1060,Data!$B$3:$EZ1530,44,FALSE),VLOOKUP($B1060,Data!$B$3:$EZ1530,4,FALSE)),"")</f>
        <v/>
      </c>
      <c r="I1060" s="48">
        <f>IFERROR(MINUS(DIVIDE(VLOOKUP($B1060,Data!$B$3:$EZ1530,9,FALSE),VLOOKUP($B1060,Data!$B$3:$EZ1530,10,FALSE)),1),"")</f>
        <v>0.7957746479</v>
      </c>
      <c r="J1060" s="48" t="str">
        <f>IFERROR(MINUS(DIVIDE(VLOOKUP($B1060,Data!$B$3:$EZ1530,24,FALSE),VLOOKUP($B1060,Data!$B$3:$EZ1530,25,FALSE)),1),"")</f>
        <v/>
      </c>
      <c r="K1060" s="48">
        <f>IFERROR(MINUS(DIVIDE(VLOOKUP($B1060,Data!$B$3:$EZ1530,29,FALSE),VLOOKUP($B1060,Data!$B$3:$EZ1530,30,FALSE)),1),"")</f>
        <v>0.1631396691</v>
      </c>
      <c r="L1060" s="48">
        <f>IFERROR(MINUS(DIVIDE(VLOOKUP($B1060,Data!$B$3:$EZ1530,34,FALSE),VLOOKUP($B1060,Data!$B$3:$EZ1530,35,FALSE)),1),"")</f>
        <v>0.1583633264</v>
      </c>
      <c r="M1060" s="48">
        <f>IFERROR(MINUS(DIVIDE(VLOOKUP($B1060,Data!$B$3:$EZ1530,39,FALSE),VLOOKUP($B1060,Data!$B$3:$EZ1530,40,FALSE)),1),"")</f>
        <v>0.1631396691</v>
      </c>
      <c r="N1060" s="48">
        <f>IFERROR(MINUS(DIVIDE(VLOOKUP($B1060,Data!$B$3:$EZ1530,44,FALSE),VLOOKUP($B1060,Data!$B$3:$EZ1530,45,FALSE)),1),"")</f>
        <v>0.1213784021</v>
      </c>
      <c r="O1060" s="50">
        <f>IFERROR(VLOOKUP($B1060,Data!$B$3:$D1530,2,FALSE),"")</f>
        <v>4670</v>
      </c>
      <c r="P1060" s="50" t="str">
        <f>IFERROR(VLOOKUP($B1060,Data!$B$3:$D1530,3,FALSE),"")</f>
        <v/>
      </c>
      <c r="Q1060" s="48" t="str">
        <f t="shared" si="2"/>
        <v/>
      </c>
      <c r="R1060" s="48"/>
      <c r="S1060" s="48"/>
      <c r="T1060" s="48"/>
      <c r="U1060" s="48"/>
      <c r="V1060" s="48"/>
      <c r="W1060" s="50"/>
      <c r="Z1060" s="11"/>
      <c r="AA1060" s="12"/>
    </row>
    <row r="1061">
      <c r="A1061" s="9">
        <f t="shared" si="1"/>
        <v>1058</v>
      </c>
      <c r="B1061" s="47" t="s">
        <v>1195</v>
      </c>
      <c r="C1061" s="48">
        <f>IFERROR(DIVIDE(VLOOKUP($B1061,Data!$B$3:$AB$1535,9,FALSE),VLOOKUP($B1061,Data!$B$3:$AB$1535,4,FALSE)),"")</f>
        <v>0.7382987383</v>
      </c>
      <c r="D1061" s="48">
        <f>IFERROR(DIVIDE(VLOOKUP($B1061,Data!$B$3:$AB$1535,24,FALSE),VLOOKUP($B1061,Data!$B$3:$AB$1535,4,FALSE)),"")</f>
        <v>-0.08302808303</v>
      </c>
      <c r="E1061" s="48">
        <f>IFERROR(DIVIDE(VLOOKUP($B1061,Data!$B$3:$EZ1530,29,FALSE),VLOOKUP($B1061,Data!$B$3:$EZ1530,4,FALSE)),"")</f>
        <v>-0.05101071768</v>
      </c>
      <c r="F1061" s="48">
        <f>IFERROR(DIVIDE(VLOOKUP($B1061,Data!$B$3:$EZ1530,34,FALSE),VLOOKUP($B1061,Data!$B$3:$EZ1530,4,FALSE)),"")</f>
        <v>-0.04422737756</v>
      </c>
      <c r="G1061" s="48">
        <f>IFERROR(DIVIDE(VLOOKUP($B1061,Data!$B$3:$EZ1530,39,FALSE),VLOOKUP($B1061,Data!$B$3:$EZ1530,4,FALSE)),"")</f>
        <v>-0.01817935151</v>
      </c>
      <c r="H1061" s="48">
        <f>IFERROR(DIVIDE(VLOOKUP($B1061,Data!$B$3:$EZ1530,44,FALSE),VLOOKUP($B1061,Data!$B$3:$EZ1530,4,FALSE)),"")</f>
        <v>-0.09713743047</v>
      </c>
      <c r="I1061" s="48">
        <f>IFERROR(MINUS(DIVIDE(VLOOKUP($B1061,Data!$B$3:$EZ1530,9,FALSE),VLOOKUP($B1061,Data!$B$3:$EZ1530,10,FALSE)),1),"")</f>
        <v>0.2676450035</v>
      </c>
      <c r="J1061" s="48">
        <f>IFERROR(MINUS(DIVIDE(VLOOKUP($B1061,Data!$B$3:$EZ1530,24,FALSE),VLOOKUP($B1061,Data!$B$3:$EZ1530,25,FALSE)),1),"")</f>
        <v>-0.7318141981</v>
      </c>
      <c r="K1061" s="48">
        <f>IFERROR(MINUS(DIVIDE(VLOOKUP($B1061,Data!$B$3:$EZ1530,29,FALSE),VLOOKUP($B1061,Data!$B$3:$EZ1530,30,FALSE)),1),"")</f>
        <v>-0.8482647296</v>
      </c>
      <c r="L1061" s="48">
        <f>IFERROR(MINUS(DIVIDE(VLOOKUP($B1061,Data!$B$3:$EZ1530,34,FALSE),VLOOKUP($B1061,Data!$B$3:$EZ1530,35,FALSE)),1),"")</f>
        <v>-0.7431048069</v>
      </c>
      <c r="M1061" s="48">
        <f>IFERROR(MINUS(DIVIDE(VLOOKUP($B1061,Data!$B$3:$EZ1530,39,FALSE),VLOOKUP($B1061,Data!$B$3:$EZ1530,40,FALSE)),1),"")</f>
        <v>-1.107114309</v>
      </c>
      <c r="N1061" s="48">
        <f>IFERROR(MINUS(DIVIDE(VLOOKUP($B1061,Data!$B$3:$EZ1530,44,FALSE),VLOOKUP($B1061,Data!$B$3:$EZ1530,45,FALSE)),1),"")</f>
        <v>-0.7770859278</v>
      </c>
      <c r="O1061" s="50">
        <f>IFERROR(VLOOKUP($B1061,Data!$B$3:$D1530,2,FALSE),"")</f>
        <v>80470</v>
      </c>
      <c r="P1061" s="50">
        <f>IFERROR(VLOOKUP($B1061,Data!$B$3:$D1530,3,FALSE),"")</f>
        <v>56990</v>
      </c>
      <c r="Q1061" s="48">
        <f t="shared" si="2"/>
        <v>0.4120021056</v>
      </c>
      <c r="R1061" s="48"/>
      <c r="S1061" s="48"/>
      <c r="T1061" s="48"/>
      <c r="U1061" s="48"/>
      <c r="V1061" s="48"/>
      <c r="W1061" s="50"/>
      <c r="Z1061" s="12"/>
      <c r="AA1061" s="12"/>
    </row>
    <row r="1062">
      <c r="A1062" s="9">
        <f t="shared" si="1"/>
        <v>1059</v>
      </c>
      <c r="B1062" s="47" t="s">
        <v>1196</v>
      </c>
      <c r="C1062" s="48">
        <f>IFERROR(DIVIDE(VLOOKUP($B1062,Data!$B$3:$AB$1535,9,FALSE),VLOOKUP($B1062,Data!$B$3:$AB$1535,4,FALSE)),"")</f>
        <v>0.5753214286</v>
      </c>
      <c r="D1062" s="48">
        <f>IFERROR(DIVIDE(VLOOKUP($B1062,Data!$B$3:$AB$1535,24,FALSE),VLOOKUP($B1062,Data!$B$3:$AB$1535,4,FALSE)),"")</f>
        <v>0.070375</v>
      </c>
      <c r="E1062" s="48">
        <f>IFERROR(DIVIDE(VLOOKUP($B1062,Data!$B$3:$EZ1530,29,FALSE),VLOOKUP($B1062,Data!$B$3:$EZ1530,4,FALSE)),"")</f>
        <v>0.08252678571</v>
      </c>
      <c r="F1062" s="48">
        <f>IFERROR(DIVIDE(VLOOKUP($B1062,Data!$B$3:$EZ1530,34,FALSE),VLOOKUP($B1062,Data!$B$3:$EZ1530,4,FALSE)),"")</f>
        <v>0.1101160714</v>
      </c>
      <c r="G1062" s="48">
        <f>IFERROR(DIVIDE(VLOOKUP($B1062,Data!$B$3:$EZ1530,39,FALSE),VLOOKUP($B1062,Data!$B$3:$EZ1530,4,FALSE)),"")</f>
        <v>0.06115178571</v>
      </c>
      <c r="H1062" s="48">
        <f>IFERROR(DIVIDE(VLOOKUP($B1062,Data!$B$3:$EZ1530,44,FALSE),VLOOKUP($B1062,Data!$B$3:$EZ1530,4,FALSE)),"")</f>
        <v>0.1088660714</v>
      </c>
      <c r="I1062" s="48">
        <f>IFERROR(MINUS(DIVIDE(VLOOKUP($B1062,Data!$B$3:$EZ1530,9,FALSE),VLOOKUP($B1062,Data!$B$3:$EZ1530,10,FALSE)),1),"")</f>
        <v>0.01462830869</v>
      </c>
      <c r="J1062" s="48">
        <f>IFERROR(MINUS(DIVIDE(VLOOKUP($B1062,Data!$B$3:$EZ1530,24,FALSE),VLOOKUP($B1062,Data!$B$3:$EZ1530,25,FALSE)),1),"")</f>
        <v>0.02871312973</v>
      </c>
      <c r="K1062" s="48">
        <f>IFERROR(MINUS(DIVIDE(VLOOKUP($B1062,Data!$B$3:$EZ1530,29,FALSE),VLOOKUP($B1062,Data!$B$3:$EZ1530,30,FALSE)),1),"")</f>
        <v>0.04665383309</v>
      </c>
      <c r="L1062" s="48">
        <f>IFERROR(MINUS(DIVIDE(VLOOKUP($B1062,Data!$B$3:$EZ1530,34,FALSE),VLOOKUP($B1062,Data!$B$3:$EZ1530,35,FALSE)),1),"")</f>
        <v>0.0004055807917</v>
      </c>
      <c r="M1062" s="48">
        <f>IFERROR(MINUS(DIVIDE(VLOOKUP($B1062,Data!$B$3:$EZ1530,39,FALSE),VLOOKUP($B1062,Data!$B$3:$EZ1530,40,FALSE)),1),"")</f>
        <v>0.03318750943</v>
      </c>
      <c r="N1062" s="48">
        <f>IFERROR(MINUS(DIVIDE(VLOOKUP($B1062,Data!$B$3:$EZ1530,44,FALSE),VLOOKUP($B1062,Data!$B$3:$EZ1530,45,FALSE)),1),"")</f>
        <v>0.265096493</v>
      </c>
      <c r="O1062" s="50">
        <f>IFERROR(VLOOKUP($B1062,Data!$B$3:$D1530,2,FALSE),"")</f>
        <v>1010000</v>
      </c>
      <c r="P1062" s="50">
        <f>IFERROR(VLOOKUP($B1062,Data!$B$3:$D1530,3,FALSE),"")</f>
        <v>813330</v>
      </c>
      <c r="Q1062" s="48">
        <f t="shared" si="2"/>
        <v>0.2418083681</v>
      </c>
      <c r="R1062" s="48"/>
      <c r="S1062" s="48"/>
      <c r="T1062" s="48"/>
      <c r="U1062" s="48"/>
      <c r="V1062" s="48"/>
      <c r="W1062" s="50"/>
      <c r="Z1062" s="11"/>
      <c r="AA1062" s="12"/>
    </row>
    <row r="1063">
      <c r="A1063" s="9">
        <f t="shared" si="1"/>
        <v>1060</v>
      </c>
      <c r="B1063" s="47" t="s">
        <v>1197</v>
      </c>
      <c r="C1063" s="48" t="str">
        <f>IFERROR(DIVIDE(VLOOKUP($B1063,Data!$B$3:$AB$1535,9,FALSE),VLOOKUP($B1063,Data!$B$3:$AB$1535,4,FALSE)),"")</f>
        <v/>
      </c>
      <c r="D1063" s="48" t="str">
        <f>IFERROR(DIVIDE(VLOOKUP($B1063,Data!$B$3:$AB$1535,24,FALSE),VLOOKUP($B1063,Data!$B$3:$AB$1535,4,FALSE)),"")</f>
        <v/>
      </c>
      <c r="E1063" s="48" t="str">
        <f>IFERROR(DIVIDE(VLOOKUP($B1063,Data!$B$3:$EZ1530,29,FALSE),VLOOKUP($B1063,Data!$B$3:$EZ1530,4,FALSE)),"")</f>
        <v/>
      </c>
      <c r="F1063" s="48" t="str">
        <f>IFERROR(DIVIDE(VLOOKUP($B1063,Data!$B$3:$EZ1530,34,FALSE),VLOOKUP($B1063,Data!$B$3:$EZ1530,4,FALSE)),"")</f>
        <v/>
      </c>
      <c r="G1063" s="48" t="str">
        <f>IFERROR(DIVIDE(VLOOKUP($B1063,Data!$B$3:$EZ1530,39,FALSE),VLOOKUP($B1063,Data!$B$3:$EZ1530,4,FALSE)),"")</f>
        <v/>
      </c>
      <c r="H1063" s="48" t="str">
        <f>IFERROR(DIVIDE(VLOOKUP($B1063,Data!$B$3:$EZ1530,44,FALSE),VLOOKUP($B1063,Data!$B$3:$EZ1530,4,FALSE)),"")</f>
        <v/>
      </c>
      <c r="I1063" s="48" t="str">
        <f>IFERROR(MINUS(DIVIDE(VLOOKUP($B1063,Data!$B$3:$EZ1530,9,FALSE),VLOOKUP($B1063,Data!$B$3:$EZ1530,10,FALSE)),1),"")</f>
        <v/>
      </c>
      <c r="J1063" s="48" t="str">
        <f>IFERROR(MINUS(DIVIDE(VLOOKUP($B1063,Data!$B$3:$EZ1530,24,FALSE),VLOOKUP($B1063,Data!$B$3:$EZ1530,25,FALSE)),1),"")</f>
        <v/>
      </c>
      <c r="K1063" s="48">
        <f>IFERROR(MINUS(DIVIDE(VLOOKUP($B1063,Data!$B$3:$EZ1530,29,FALSE),VLOOKUP($B1063,Data!$B$3:$EZ1530,30,FALSE)),1),"")</f>
        <v>1.77030303</v>
      </c>
      <c r="L1063" s="48" t="str">
        <f>IFERROR(MINUS(DIVIDE(VLOOKUP($B1063,Data!$B$3:$EZ1530,34,FALSE),VLOOKUP($B1063,Data!$B$3:$EZ1530,35,FALSE)),1),"")</f>
        <v/>
      </c>
      <c r="M1063" s="48">
        <f>IFERROR(MINUS(DIVIDE(VLOOKUP($B1063,Data!$B$3:$EZ1530,39,FALSE),VLOOKUP($B1063,Data!$B$3:$EZ1530,40,FALSE)),1),"")</f>
        <v>1.77030303</v>
      </c>
      <c r="N1063" s="48">
        <f>IFERROR(MINUS(DIVIDE(VLOOKUP($B1063,Data!$B$3:$EZ1530,44,FALSE),VLOOKUP($B1063,Data!$B$3:$EZ1530,45,FALSE)),1),"")</f>
        <v>1.433255269</v>
      </c>
      <c r="O1063" s="50">
        <f>IFERROR(VLOOKUP($B1063,Data!$B$3:$D1530,2,FALSE),"")</f>
        <v>14000</v>
      </c>
      <c r="P1063" s="50" t="str">
        <f>IFERROR(VLOOKUP($B1063,Data!$B$3:$D1530,3,FALSE),"")</f>
        <v/>
      </c>
      <c r="Q1063" s="48" t="str">
        <f t="shared" si="2"/>
        <v/>
      </c>
      <c r="R1063" s="48"/>
      <c r="S1063" s="48"/>
      <c r="T1063" s="48"/>
      <c r="U1063" s="48"/>
      <c r="V1063" s="48"/>
      <c r="W1063" s="50"/>
      <c r="Z1063" s="11"/>
      <c r="AA1063" s="11"/>
    </row>
    <row r="1064">
      <c r="A1064" s="9">
        <f t="shared" si="1"/>
        <v>1061</v>
      </c>
      <c r="B1064" s="47" t="s">
        <v>1198</v>
      </c>
      <c r="C1064" s="48">
        <f>IFERROR(DIVIDE(VLOOKUP($B1064,Data!$B$3:$AB$1535,9,FALSE),VLOOKUP($B1064,Data!$B$3:$AB$1535,4,FALSE)),"")</f>
        <v>0.1539664804</v>
      </c>
      <c r="D1064" s="48">
        <f>IFERROR(DIVIDE(VLOOKUP($B1064,Data!$B$3:$AB$1535,24,FALSE),VLOOKUP($B1064,Data!$B$3:$AB$1535,4,FALSE)),"")</f>
        <v>0.0879273743</v>
      </c>
      <c r="E1064" s="48">
        <f>IFERROR(DIVIDE(VLOOKUP($B1064,Data!$B$3:$EZ1530,29,FALSE),VLOOKUP($B1064,Data!$B$3:$EZ1530,4,FALSE)),"")</f>
        <v>0.1339832402</v>
      </c>
      <c r="F1064" s="48">
        <f>IFERROR(DIVIDE(VLOOKUP($B1064,Data!$B$3:$EZ1530,34,FALSE),VLOOKUP($B1064,Data!$B$3:$EZ1530,4,FALSE)),"")</f>
        <v>0.3079441341</v>
      </c>
      <c r="G1064" s="48">
        <f>IFERROR(DIVIDE(VLOOKUP($B1064,Data!$B$3:$EZ1530,39,FALSE),VLOOKUP($B1064,Data!$B$3:$EZ1530,4,FALSE)),"")</f>
        <v>0.08208938547</v>
      </c>
      <c r="H1064" s="48">
        <f>IFERROR(DIVIDE(VLOOKUP($B1064,Data!$B$3:$EZ1530,44,FALSE),VLOOKUP($B1064,Data!$B$3:$EZ1530,4,FALSE)),"")</f>
        <v>0.2090614525</v>
      </c>
      <c r="I1064" s="48">
        <f>IFERROR(MINUS(DIVIDE(VLOOKUP($B1064,Data!$B$3:$EZ1530,9,FALSE),VLOOKUP($B1064,Data!$B$3:$EZ1530,10,FALSE)),1),"")</f>
        <v>1.554690397</v>
      </c>
      <c r="J1064" s="48">
        <f>IFERROR(MINUS(DIVIDE(VLOOKUP($B1064,Data!$B$3:$EZ1530,24,FALSE),VLOOKUP($B1064,Data!$B$3:$EZ1530,25,FALSE)),1),"")</f>
        <v>2.540832396</v>
      </c>
      <c r="K1064" s="48">
        <f>IFERROR(MINUS(DIVIDE(VLOOKUP($B1064,Data!$B$3:$EZ1530,29,FALSE),VLOOKUP($B1064,Data!$B$3:$EZ1530,30,FALSE)),1),"")</f>
        <v>4.641731357</v>
      </c>
      <c r="L1064" s="48">
        <f>IFERROR(MINUS(DIVIDE(VLOOKUP($B1064,Data!$B$3:$EZ1530,34,FALSE),VLOOKUP($B1064,Data!$B$3:$EZ1530,35,FALSE)),1),"")</f>
        <v>1.011384784</v>
      </c>
      <c r="M1064" s="48">
        <f>IFERROR(MINUS(DIVIDE(VLOOKUP($B1064,Data!$B$3:$EZ1530,39,FALSE),VLOOKUP($B1064,Data!$B$3:$EZ1530,40,FALSE)),1),"")</f>
        <v>10.0149925</v>
      </c>
      <c r="N1064" s="48">
        <f>IFERROR(MINUS(DIVIDE(VLOOKUP($B1064,Data!$B$3:$EZ1530,44,FALSE),VLOOKUP($B1064,Data!$B$3:$EZ1530,45,FALSE)),1),"")</f>
        <v>0.8629959675</v>
      </c>
      <c r="O1064" s="50">
        <f>IFERROR(VLOOKUP($B1064,Data!$B$3:$D1530,2,FALSE),"")</f>
        <v>1840000</v>
      </c>
      <c r="P1064" s="50">
        <f>IFERROR(VLOOKUP($B1064,Data!$B$3:$D1530,3,FALSE),"")</f>
        <v>1480000</v>
      </c>
      <c r="Q1064" s="48">
        <f t="shared" si="2"/>
        <v>0.2432432432</v>
      </c>
      <c r="R1064" s="48"/>
      <c r="S1064" s="48"/>
      <c r="T1064" s="48"/>
      <c r="U1064" s="48"/>
      <c r="V1064" s="48"/>
      <c r="W1064" s="50"/>
      <c r="Z1064" s="15"/>
      <c r="AA1064" s="15"/>
    </row>
    <row r="1065">
      <c r="A1065" s="9">
        <f t="shared" si="1"/>
        <v>1062</v>
      </c>
      <c r="B1065" s="47" t="s">
        <v>1199</v>
      </c>
      <c r="C1065" s="48">
        <f>IFERROR(DIVIDE(VLOOKUP($B1065,Data!$B$3:$AB$1535,9,FALSE),VLOOKUP($B1065,Data!$B$3:$AB$1535,4,FALSE)),"")</f>
        <v>0.494146642</v>
      </c>
      <c r="D1065" s="48">
        <f>IFERROR(DIVIDE(VLOOKUP($B1065,Data!$B$3:$AB$1535,24,FALSE),VLOOKUP($B1065,Data!$B$3:$AB$1535,4,FALSE)),"")</f>
        <v>0.4849044978</v>
      </c>
      <c r="E1065" s="48">
        <f>IFERROR(DIVIDE(VLOOKUP($B1065,Data!$B$3:$EZ1530,29,FALSE),VLOOKUP($B1065,Data!$B$3:$EZ1530,4,FALSE)),"")</f>
        <v>0.4528650647</v>
      </c>
      <c r="F1065" s="48">
        <f>IFERROR(DIVIDE(VLOOKUP($B1065,Data!$B$3:$EZ1530,34,FALSE),VLOOKUP($B1065,Data!$B$3:$EZ1530,4,FALSE)),"")</f>
        <v>0.6032039433</v>
      </c>
      <c r="G1065" s="48">
        <f>IFERROR(DIVIDE(VLOOKUP($B1065,Data!$B$3:$EZ1530,39,FALSE),VLOOKUP($B1065,Data!$B$3:$EZ1530,4,FALSE)),"")</f>
        <v>0.3302526186</v>
      </c>
      <c r="H1065" s="48">
        <f>IFERROR(DIVIDE(VLOOKUP($B1065,Data!$B$3:$EZ1530,44,FALSE),VLOOKUP($B1065,Data!$B$3:$EZ1530,4,FALSE)),"")</f>
        <v>0.4325323475</v>
      </c>
      <c r="I1065" s="48">
        <f>IFERROR(MINUS(DIVIDE(VLOOKUP($B1065,Data!$B$3:$EZ1530,9,FALSE),VLOOKUP($B1065,Data!$B$3:$EZ1530,10,FALSE)),1),"")</f>
        <v>0.1185495119</v>
      </c>
      <c r="J1065" s="48">
        <f>IFERROR(MINUS(DIVIDE(VLOOKUP($B1065,Data!$B$3:$EZ1530,24,FALSE),VLOOKUP($B1065,Data!$B$3:$EZ1530,25,FALSE)),1),"")</f>
        <v>0.08402203857</v>
      </c>
      <c r="K1065" s="48">
        <f>IFERROR(MINUS(DIVIDE(VLOOKUP($B1065,Data!$B$3:$EZ1530,29,FALSE),VLOOKUP($B1065,Data!$B$3:$EZ1530,30,FALSE)),1),"")</f>
        <v>0.0485021398</v>
      </c>
      <c r="L1065" s="48">
        <f>IFERROR(MINUS(DIVIDE(VLOOKUP($B1065,Data!$B$3:$EZ1530,34,FALSE),VLOOKUP($B1065,Data!$B$3:$EZ1530,35,FALSE)),1),"")</f>
        <v>0.1201372998</v>
      </c>
      <c r="M1065" s="48">
        <f>IFERROR(MINUS(DIVIDE(VLOOKUP($B1065,Data!$B$3:$EZ1530,39,FALSE),VLOOKUP($B1065,Data!$B$3:$EZ1530,40,FALSE)),1),"")</f>
        <v>0.06349206349</v>
      </c>
      <c r="N1065" s="48">
        <f>IFERROR(MINUS(DIVIDE(VLOOKUP($B1065,Data!$B$3:$EZ1530,44,FALSE),VLOOKUP($B1065,Data!$B$3:$EZ1530,45,FALSE)),1),"")</f>
        <v>0.1090047393</v>
      </c>
      <c r="O1065" s="50">
        <f>IFERROR(VLOOKUP($B1065,Data!$B$3:$D1530,2,FALSE),"")</f>
        <v>669300</v>
      </c>
      <c r="P1065" s="50">
        <f>IFERROR(VLOOKUP($B1065,Data!$B$3:$D1530,3,FALSE),"")</f>
        <v>568740</v>
      </c>
      <c r="Q1065" s="48">
        <f t="shared" si="2"/>
        <v>0.1768119</v>
      </c>
      <c r="R1065" s="48"/>
      <c r="S1065" s="48"/>
      <c r="T1065" s="48"/>
      <c r="U1065" s="48"/>
      <c r="V1065" s="48"/>
      <c r="W1065" s="50"/>
      <c r="Z1065" s="11"/>
      <c r="AA1065" s="12"/>
    </row>
    <row r="1066">
      <c r="A1066" s="9">
        <f t="shared" si="1"/>
        <v>1063</v>
      </c>
      <c r="B1066" s="47" t="s">
        <v>1200</v>
      </c>
      <c r="C1066" s="48">
        <f>IFERROR(DIVIDE(VLOOKUP($B1066,Data!$B$3:$AB$1535,9,FALSE),VLOOKUP($B1066,Data!$B$3:$AB$1535,4,FALSE)),"")</f>
        <v>0.3804598966</v>
      </c>
      <c r="D1066" s="48">
        <f>IFERROR(DIVIDE(VLOOKUP($B1066,Data!$B$3:$AB$1535,24,FALSE),VLOOKUP($B1066,Data!$B$3:$AB$1535,4,FALSE)),"")</f>
        <v>-1.106392342</v>
      </c>
      <c r="E1066" s="48">
        <f>IFERROR(DIVIDE(VLOOKUP($B1066,Data!$B$3:$EZ1530,29,FALSE),VLOOKUP($B1066,Data!$B$3:$EZ1530,4,FALSE)),"")</f>
        <v>-0.9256243811</v>
      </c>
      <c r="F1066" s="48">
        <f>IFERROR(DIVIDE(VLOOKUP($B1066,Data!$B$3:$EZ1530,34,FALSE),VLOOKUP($B1066,Data!$B$3:$EZ1530,4,FALSE)),"")</f>
        <v>-0.99680933</v>
      </c>
      <c r="G1066" s="48">
        <f>IFERROR(DIVIDE(VLOOKUP($B1066,Data!$B$3:$EZ1530,39,FALSE),VLOOKUP($B1066,Data!$B$3:$EZ1530,4,FALSE)),"")</f>
        <v>-0.9256243811</v>
      </c>
      <c r="H1066" s="48">
        <f>IFERROR(DIVIDE(VLOOKUP($B1066,Data!$B$3:$EZ1530,44,FALSE),VLOOKUP($B1066,Data!$B$3:$EZ1530,4,FALSE)),"")</f>
        <v>-0.8238530091</v>
      </c>
      <c r="I1066" s="48">
        <f>IFERROR(MINUS(DIVIDE(VLOOKUP($B1066,Data!$B$3:$EZ1530,9,FALSE),VLOOKUP($B1066,Data!$B$3:$EZ1530,10,FALSE)),1),"")</f>
        <v>0.377689243</v>
      </c>
      <c r="J1066" s="48">
        <f>IFERROR(MINUS(DIVIDE(VLOOKUP($B1066,Data!$B$3:$EZ1530,24,FALSE),VLOOKUP($B1066,Data!$B$3:$EZ1530,25,FALSE)),1),"")</f>
        <v>-0.005832921404</v>
      </c>
      <c r="K1066" s="48">
        <f>IFERROR(MINUS(DIVIDE(VLOOKUP($B1066,Data!$B$3:$EZ1530,29,FALSE),VLOOKUP($B1066,Data!$B$3:$EZ1530,30,FALSE)),1),"")</f>
        <v>-0.179699688</v>
      </c>
      <c r="L1066" s="48">
        <f>IFERROR(MINUS(DIVIDE(VLOOKUP($B1066,Data!$B$3:$EZ1530,34,FALSE),VLOOKUP($B1066,Data!$B$3:$EZ1530,35,FALSE)),1),"")</f>
        <v>-0.03380612136</v>
      </c>
      <c r="M1066" s="48">
        <f>IFERROR(MINUS(DIVIDE(VLOOKUP($B1066,Data!$B$3:$EZ1530,39,FALSE),VLOOKUP($B1066,Data!$B$3:$EZ1530,40,FALSE)),1),"")</f>
        <v>-0.179699688</v>
      </c>
      <c r="N1066" s="48">
        <f>IFERROR(MINUS(DIVIDE(VLOOKUP($B1066,Data!$B$3:$EZ1530,44,FALSE),VLOOKUP($B1066,Data!$B$3:$EZ1530,45,FALSE)),1),"")</f>
        <v>0.1272015656</v>
      </c>
      <c r="O1066" s="50">
        <f>IFERROR(VLOOKUP($B1066,Data!$B$3:$D1530,2,FALSE),"")</f>
        <v>130730</v>
      </c>
      <c r="P1066" s="50">
        <f>IFERROR(VLOOKUP($B1066,Data!$B$3:$D1530,3,FALSE),"")</f>
        <v>79640</v>
      </c>
      <c r="Q1066" s="48">
        <f t="shared" si="2"/>
        <v>0.6415118031</v>
      </c>
      <c r="R1066" s="48"/>
      <c r="S1066" s="48"/>
      <c r="T1066" s="48"/>
      <c r="U1066" s="48"/>
      <c r="V1066" s="48"/>
      <c r="W1066" s="50"/>
      <c r="Z1066" s="15"/>
      <c r="AA1066" s="15"/>
    </row>
    <row r="1067">
      <c r="A1067" s="9">
        <f t="shared" si="1"/>
        <v>1064</v>
      </c>
      <c r="B1067" s="47" t="s">
        <v>1201</v>
      </c>
      <c r="C1067" s="48">
        <f>IFERROR(DIVIDE(VLOOKUP($B1067,Data!$B$3:$AB$1535,9,FALSE),VLOOKUP($B1067,Data!$B$3:$AB$1535,4,FALSE)),"")</f>
        <v>0.1445211389</v>
      </c>
      <c r="D1067" s="48">
        <f>IFERROR(DIVIDE(VLOOKUP($B1067,Data!$B$3:$AB$1535,24,FALSE),VLOOKUP($B1067,Data!$B$3:$AB$1535,4,FALSE)),"")</f>
        <v>0</v>
      </c>
      <c r="E1067" s="48">
        <f>IFERROR(DIVIDE(VLOOKUP($B1067,Data!$B$3:$EZ1530,29,FALSE),VLOOKUP($B1067,Data!$B$3:$EZ1530,4,FALSE)),"")</f>
        <v>0.02551768766</v>
      </c>
      <c r="F1067" s="48">
        <f>IFERROR(DIVIDE(VLOOKUP($B1067,Data!$B$3:$EZ1530,34,FALSE),VLOOKUP($B1067,Data!$B$3:$EZ1530,4,FALSE)),"")</f>
        <v>0.03288610871</v>
      </c>
      <c r="G1067" s="48">
        <f>IFERROR(DIVIDE(VLOOKUP($B1067,Data!$B$3:$EZ1530,39,FALSE),VLOOKUP($B1067,Data!$B$3:$EZ1530,4,FALSE)),"")</f>
        <v>0.01878774806</v>
      </c>
      <c r="H1067" s="48">
        <f>IFERROR(DIVIDE(VLOOKUP($B1067,Data!$B$3:$EZ1530,44,FALSE),VLOOKUP($B1067,Data!$B$3:$EZ1530,4,FALSE)),"")</f>
        <v>0.01874029336</v>
      </c>
      <c r="I1067" s="48">
        <f>IFERROR(MINUS(DIVIDE(VLOOKUP($B1067,Data!$B$3:$EZ1530,9,FALSE),VLOOKUP($B1067,Data!$B$3:$EZ1530,10,FALSE)),1),"")</f>
        <v>0.01208459215</v>
      </c>
      <c r="J1067" s="48" t="str">
        <f>IFERROR(MINUS(DIVIDE(VLOOKUP($B1067,Data!$B$3:$EZ1530,24,FALSE),VLOOKUP($B1067,Data!$B$3:$EZ1530,25,FALSE)),1),"")</f>
        <v/>
      </c>
      <c r="K1067" s="48">
        <f>IFERROR(MINUS(DIVIDE(VLOOKUP($B1067,Data!$B$3:$EZ1530,29,FALSE),VLOOKUP($B1067,Data!$B$3:$EZ1530,30,FALSE)),1),"")</f>
        <v>-0.02085747393</v>
      </c>
      <c r="L1067" s="48">
        <f>IFERROR(MINUS(DIVIDE(VLOOKUP($B1067,Data!$B$3:$EZ1530,34,FALSE),VLOOKUP($B1067,Data!$B$3:$EZ1530,35,FALSE)),1),"")</f>
        <v>-0.008196721311</v>
      </c>
      <c r="M1067" s="48">
        <f>IFERROR(MINUS(DIVIDE(VLOOKUP($B1067,Data!$B$3:$EZ1530,39,FALSE),VLOOKUP($B1067,Data!$B$3:$EZ1530,40,FALSE)),1),"")</f>
        <v>-0.07438894793</v>
      </c>
      <c r="N1067" s="48">
        <f>IFERROR(MINUS(DIVIDE(VLOOKUP($B1067,Data!$B$3:$EZ1530,44,FALSE),VLOOKUP($B1067,Data!$B$3:$EZ1530,45,FALSE)),1),"")</f>
        <v>-0.2597137014</v>
      </c>
      <c r="O1067" s="50">
        <f>IFERROR(VLOOKUP($B1067,Data!$B$3:$D1530,2,FALSE),"")</f>
        <v>22160000</v>
      </c>
      <c r="P1067" s="50">
        <f>IFERROR(VLOOKUP($B1067,Data!$B$3:$D1530,3,FALSE),"")</f>
        <v>19960000</v>
      </c>
      <c r="Q1067" s="48">
        <f t="shared" si="2"/>
        <v>0.1102204409</v>
      </c>
      <c r="R1067" s="48"/>
      <c r="S1067" s="48"/>
      <c r="T1067" s="48"/>
      <c r="U1067" s="48"/>
      <c r="V1067" s="48"/>
      <c r="W1067" s="50"/>
      <c r="Z1067" s="11"/>
      <c r="AA1067" s="11"/>
    </row>
    <row r="1068">
      <c r="A1068" s="9">
        <f t="shared" si="1"/>
        <v>1065</v>
      </c>
      <c r="B1068" s="47" t="s">
        <v>1202</v>
      </c>
      <c r="C1068" s="48">
        <f>IFERROR(DIVIDE(VLOOKUP($B1068,Data!$B$3:$AB$1535,9,FALSE),VLOOKUP($B1068,Data!$B$3:$AB$1535,4,FALSE)),"")</f>
        <v>0.3183091787</v>
      </c>
      <c r="D1068" s="48">
        <f>IFERROR(DIVIDE(VLOOKUP($B1068,Data!$B$3:$AB$1535,24,FALSE),VLOOKUP($B1068,Data!$B$3:$AB$1535,4,FALSE)),"")</f>
        <v>0.1005193237</v>
      </c>
      <c r="E1068" s="48">
        <f>IFERROR(DIVIDE(VLOOKUP($B1068,Data!$B$3:$EZ1530,29,FALSE),VLOOKUP($B1068,Data!$B$3:$EZ1530,4,FALSE)),"")</f>
        <v>0.0863647343</v>
      </c>
      <c r="F1068" s="48">
        <f>IFERROR(DIVIDE(VLOOKUP($B1068,Data!$B$3:$EZ1530,34,FALSE),VLOOKUP($B1068,Data!$B$3:$EZ1530,4,FALSE)),"")</f>
        <v>0.1385386473</v>
      </c>
      <c r="G1068" s="48">
        <f>IFERROR(DIVIDE(VLOOKUP($B1068,Data!$B$3:$EZ1530,39,FALSE),VLOOKUP($B1068,Data!$B$3:$EZ1530,4,FALSE)),"")</f>
        <v>0.06607487923</v>
      </c>
      <c r="H1068" s="48">
        <f>IFERROR(DIVIDE(VLOOKUP($B1068,Data!$B$3:$EZ1530,44,FALSE),VLOOKUP($B1068,Data!$B$3:$EZ1530,4,FALSE)),"")</f>
        <v>0.05696859903</v>
      </c>
      <c r="I1068" s="48">
        <f>IFERROR(MINUS(DIVIDE(VLOOKUP($B1068,Data!$B$3:$EZ1530,9,FALSE),VLOOKUP($B1068,Data!$B$3:$EZ1530,10,FALSE)),1),"")</f>
        <v>-0.006970347764</v>
      </c>
      <c r="J1068" s="48">
        <f>IFERROR(MINUS(DIVIDE(VLOOKUP($B1068,Data!$B$3:$EZ1530,24,FALSE),VLOOKUP($B1068,Data!$B$3:$EZ1530,25,FALSE)),1),"")</f>
        <v>-0.1586980693</v>
      </c>
      <c r="K1068" s="48">
        <f>IFERROR(MINUS(DIVIDE(VLOOKUP($B1068,Data!$B$3:$EZ1530,29,FALSE),VLOOKUP($B1068,Data!$B$3:$EZ1530,30,FALSE)),1),"")</f>
        <v>-0.1880322471</v>
      </c>
      <c r="L1068" s="48">
        <f>IFERROR(MINUS(DIVIDE(VLOOKUP($B1068,Data!$B$3:$EZ1530,34,FALSE),VLOOKUP($B1068,Data!$B$3:$EZ1530,35,FALSE)),1),"")</f>
        <v>-0.08084935897</v>
      </c>
      <c r="M1068" s="48">
        <f>IFERROR(MINUS(DIVIDE(VLOOKUP($B1068,Data!$B$3:$EZ1530,39,FALSE),VLOOKUP($B1068,Data!$B$3:$EZ1530,40,FALSE)),1),"")</f>
        <v>-0.1567509248</v>
      </c>
      <c r="N1068" s="48">
        <f>IFERROR(MINUS(DIVIDE(VLOOKUP($B1068,Data!$B$3:$EZ1530,44,FALSE),VLOOKUP($B1068,Data!$B$3:$EZ1530,45,FALSE)),1),"")</f>
        <v>-0.3262391087</v>
      </c>
      <c r="O1068" s="50">
        <f>IFERROR(VLOOKUP($B1068,Data!$B$3:$D1530,2,FALSE),"")</f>
        <v>823590</v>
      </c>
      <c r="P1068" s="50">
        <f>IFERROR(VLOOKUP($B1068,Data!$B$3:$D1530,3,FALSE),"")</f>
        <v>804160</v>
      </c>
      <c r="Q1068" s="48">
        <f t="shared" si="2"/>
        <v>0.02416185834</v>
      </c>
      <c r="R1068" s="48"/>
      <c r="S1068" s="48"/>
      <c r="T1068" s="48"/>
      <c r="U1068" s="48"/>
      <c r="V1068" s="48"/>
      <c r="W1068" s="50"/>
      <c r="Z1068" s="11"/>
      <c r="AA1068" s="11"/>
    </row>
    <row r="1069">
      <c r="A1069" s="9">
        <f t="shared" si="1"/>
        <v>1066</v>
      </c>
      <c r="B1069" s="47" t="s">
        <v>1203</v>
      </c>
      <c r="C1069" s="48">
        <f>IFERROR(DIVIDE(VLOOKUP($B1069,Data!$B$3:$AB$1535,9,FALSE),VLOOKUP($B1069,Data!$B$3:$AB$1535,4,FALSE)),"")</f>
        <v>0</v>
      </c>
      <c r="D1069" s="48">
        <f>IFERROR(DIVIDE(VLOOKUP($B1069,Data!$B$3:$AB$1535,24,FALSE),VLOOKUP($B1069,Data!$B$3:$AB$1535,4,FALSE)),"")</f>
        <v>-22.86452947</v>
      </c>
      <c r="E1069" s="48">
        <f>IFERROR(DIVIDE(VLOOKUP($B1069,Data!$B$3:$EZ1530,29,FALSE),VLOOKUP($B1069,Data!$B$3:$EZ1530,4,FALSE)),"")</f>
        <v>-22.62668046</v>
      </c>
      <c r="F1069" s="48">
        <f>IFERROR(DIVIDE(VLOOKUP($B1069,Data!$B$3:$EZ1530,34,FALSE),VLOOKUP($B1069,Data!$B$3:$EZ1530,4,FALSE)),"")</f>
        <v>-22.73009307</v>
      </c>
      <c r="G1069" s="48">
        <f>IFERROR(DIVIDE(VLOOKUP($B1069,Data!$B$3:$EZ1530,39,FALSE),VLOOKUP($B1069,Data!$B$3:$EZ1530,4,FALSE)),"")</f>
        <v>-22.62668046</v>
      </c>
      <c r="H1069" s="48">
        <f>IFERROR(DIVIDE(VLOOKUP($B1069,Data!$B$3:$EZ1530,44,FALSE),VLOOKUP($B1069,Data!$B$3:$EZ1530,4,FALSE)),"")</f>
        <v>-13.88831437</v>
      </c>
      <c r="I1069" s="48">
        <f>IFERROR(MINUS(DIVIDE(VLOOKUP($B1069,Data!$B$3:$EZ1530,9,FALSE),VLOOKUP($B1069,Data!$B$3:$EZ1530,10,FALSE)),1),"")</f>
        <v>-1</v>
      </c>
      <c r="J1069" s="48" t="str">
        <f>IFERROR(MINUS(DIVIDE(VLOOKUP($B1069,Data!$B$3:$EZ1530,24,FALSE),VLOOKUP($B1069,Data!$B$3:$EZ1530,25,FALSE)),1),"")</f>
        <v/>
      </c>
      <c r="K1069" s="48">
        <f>IFERROR(MINUS(DIVIDE(VLOOKUP($B1069,Data!$B$3:$EZ1530,29,FALSE),VLOOKUP($B1069,Data!$B$3:$EZ1530,30,FALSE)),1),"")</f>
        <v>1.009182736</v>
      </c>
      <c r="L1069" s="48">
        <f>IFERROR(MINUS(DIVIDE(VLOOKUP($B1069,Data!$B$3:$EZ1530,34,FALSE),VLOOKUP($B1069,Data!$B$3:$EZ1530,35,FALSE)),1),"")</f>
        <v>1.005474453</v>
      </c>
      <c r="M1069" s="48">
        <f>IFERROR(MINUS(DIVIDE(VLOOKUP($B1069,Data!$B$3:$EZ1530,39,FALSE),VLOOKUP($B1069,Data!$B$3:$EZ1530,40,FALSE)),1),"")</f>
        <v>1.009182736</v>
      </c>
      <c r="N1069" s="48">
        <f>IFERROR(MINUS(DIVIDE(VLOOKUP($B1069,Data!$B$3:$EZ1530,44,FALSE),VLOOKUP($B1069,Data!$B$3:$EZ1530,45,FALSE)),1),"")</f>
        <v>0.2657869934</v>
      </c>
      <c r="O1069" s="50">
        <f>IFERROR(VLOOKUP($B1069,Data!$B$3:$D1530,2,FALSE),"")</f>
        <v>2340</v>
      </c>
      <c r="P1069" s="50">
        <f>IFERROR(VLOOKUP($B1069,Data!$B$3:$D1530,3,FALSE),"")</f>
        <v>7000</v>
      </c>
      <c r="Q1069" s="48">
        <f t="shared" si="2"/>
        <v>-0.6657142857</v>
      </c>
      <c r="R1069" s="48"/>
      <c r="S1069" s="48"/>
      <c r="T1069" s="48"/>
      <c r="U1069" s="48"/>
      <c r="V1069" s="48"/>
      <c r="W1069" s="50"/>
      <c r="Z1069" s="11"/>
      <c r="AA1069" s="11"/>
    </row>
    <row r="1070">
      <c r="A1070" s="9">
        <f t="shared" si="1"/>
        <v>1067</v>
      </c>
      <c r="B1070" s="47" t="s">
        <v>1204</v>
      </c>
      <c r="C1070" s="48">
        <f>IFERROR(DIVIDE(VLOOKUP($B1070,Data!$B$3:$AB$1535,9,FALSE),VLOOKUP($B1070,Data!$B$3:$AB$1535,4,FALSE)),"")</f>
        <v>0.1212275594</v>
      </c>
      <c r="D1070" s="48">
        <f>IFERROR(DIVIDE(VLOOKUP($B1070,Data!$B$3:$AB$1535,24,FALSE),VLOOKUP($B1070,Data!$B$3:$AB$1535,4,FALSE)),"")</f>
        <v>0.07423580786</v>
      </c>
      <c r="E1070" s="48">
        <f>IFERROR(DIVIDE(VLOOKUP($B1070,Data!$B$3:$EZ1530,29,FALSE),VLOOKUP($B1070,Data!$B$3:$EZ1530,4,FALSE)),"")</f>
        <v>0.04136341582</v>
      </c>
      <c r="F1070" s="48">
        <f>IFERROR(DIVIDE(VLOOKUP($B1070,Data!$B$3:$EZ1530,34,FALSE),VLOOKUP($B1070,Data!$B$3:$EZ1530,4,FALSE)),"")</f>
        <v>0.1240174672</v>
      </c>
      <c r="G1070" s="48">
        <f>IFERROR(DIVIDE(VLOOKUP($B1070,Data!$B$3:$EZ1530,39,FALSE),VLOOKUP($B1070,Data!$B$3:$EZ1530,4,FALSE)),"")</f>
        <v>0.0282872392</v>
      </c>
      <c r="H1070" s="48">
        <f>IFERROR(DIVIDE(VLOOKUP($B1070,Data!$B$3:$EZ1530,44,FALSE),VLOOKUP($B1070,Data!$B$3:$EZ1530,4,FALSE)),"")</f>
        <v>0.107860262</v>
      </c>
      <c r="I1070" s="48">
        <f>IFERROR(MINUS(DIVIDE(VLOOKUP($B1070,Data!$B$3:$EZ1530,9,FALSE),VLOOKUP($B1070,Data!$B$3:$EZ1530,10,FALSE)),1),"")</f>
        <v>-0.06458255335</v>
      </c>
      <c r="J1070" s="48">
        <f>IFERROR(MINUS(DIVIDE(VLOOKUP($B1070,Data!$B$3:$EZ1530,24,FALSE),VLOOKUP($B1070,Data!$B$3:$EZ1530,25,FALSE)),1),"")</f>
        <v>-0.07441016334</v>
      </c>
      <c r="K1070" s="48">
        <f>IFERROR(MINUS(DIVIDE(VLOOKUP($B1070,Data!$B$3:$EZ1530,29,FALSE),VLOOKUP($B1070,Data!$B$3:$EZ1530,30,FALSE)),1),"")</f>
        <v>-0.2889908257</v>
      </c>
      <c r="L1070" s="48">
        <f>IFERROR(MINUS(DIVIDE(VLOOKUP($B1070,Data!$B$3:$EZ1530,34,FALSE),VLOOKUP($B1070,Data!$B$3:$EZ1530,35,FALSE)),1),"")</f>
        <v>-0.06287809349</v>
      </c>
      <c r="M1070" s="48">
        <f>IFERROR(MINUS(DIVIDE(VLOOKUP($B1070,Data!$B$3:$EZ1530,39,FALSE),VLOOKUP($B1070,Data!$B$3:$EZ1530,40,FALSE)),1),"")</f>
        <v>-0.3434684685</v>
      </c>
      <c r="N1070" s="48">
        <f>IFERROR(MINUS(DIVIDE(VLOOKUP($B1070,Data!$B$3:$EZ1530,44,FALSE),VLOOKUP($B1070,Data!$B$3:$EZ1530,45,FALSE)),1),"")</f>
        <v>0.128140066</v>
      </c>
      <c r="O1070" s="50" t="str">
        <f>IFERROR(VLOOKUP($B1070,Data!$B$3:$D1530,2,FALSE),"")</f>
        <v/>
      </c>
      <c r="P1070" s="50">
        <f>IFERROR(VLOOKUP($B1070,Data!$B$3:$D1530,3,FALSE),"")</f>
        <v>390030</v>
      </c>
      <c r="Q1070" s="48">
        <f t="shared" si="2"/>
        <v>-1</v>
      </c>
      <c r="R1070" s="48"/>
      <c r="S1070" s="48"/>
      <c r="T1070" s="48"/>
      <c r="U1070" s="48"/>
      <c r="V1070" s="48"/>
      <c r="W1070" s="50"/>
      <c r="Z1070" s="11"/>
      <c r="AA1070" s="11"/>
    </row>
    <row r="1071">
      <c r="A1071" s="9">
        <f t="shared" si="1"/>
        <v>1068</v>
      </c>
      <c r="B1071" s="47" t="s">
        <v>1205</v>
      </c>
      <c r="C1071" s="48" t="str">
        <f>IFERROR(DIVIDE(VLOOKUP($B1071,Data!$B$3:$AB$1535,9,FALSE),VLOOKUP($B1071,Data!$B$3:$AB$1535,4,FALSE)),"")</f>
        <v/>
      </c>
      <c r="D1071" s="48" t="str">
        <f>IFERROR(DIVIDE(VLOOKUP($B1071,Data!$B$3:$AB$1535,24,FALSE),VLOOKUP($B1071,Data!$B$3:$AB$1535,4,FALSE)),"")</f>
        <v/>
      </c>
      <c r="E1071" s="48" t="str">
        <f>IFERROR(DIVIDE(VLOOKUP($B1071,Data!$B$3:$EZ1530,29,FALSE),VLOOKUP($B1071,Data!$B$3:$EZ1530,4,FALSE)),"")</f>
        <v/>
      </c>
      <c r="F1071" s="48" t="str">
        <f>IFERROR(DIVIDE(VLOOKUP($B1071,Data!$B$3:$EZ1530,34,FALSE),VLOOKUP($B1071,Data!$B$3:$EZ1530,4,FALSE)),"")</f>
        <v/>
      </c>
      <c r="G1071" s="48" t="str">
        <f>IFERROR(DIVIDE(VLOOKUP($B1071,Data!$B$3:$EZ1530,39,FALSE),VLOOKUP($B1071,Data!$B$3:$EZ1530,4,FALSE)),"")</f>
        <v/>
      </c>
      <c r="H1071" s="48" t="str">
        <f>IFERROR(DIVIDE(VLOOKUP($B1071,Data!$B$3:$EZ1530,44,FALSE),VLOOKUP($B1071,Data!$B$3:$EZ1530,4,FALSE)),"")</f>
        <v/>
      </c>
      <c r="I1071" s="48" t="str">
        <f>IFERROR(MINUS(DIVIDE(VLOOKUP($B1071,Data!$B$3:$EZ1530,9,FALSE),VLOOKUP($B1071,Data!$B$3:$EZ1530,10,FALSE)),1),"")</f>
        <v/>
      </c>
      <c r="J1071" s="48">
        <f>IFERROR(MINUS(DIVIDE(VLOOKUP($B1071,Data!$B$3:$EZ1530,24,FALSE),VLOOKUP($B1071,Data!$B$3:$EZ1530,25,FALSE)),1),"")</f>
        <v>2.628034456</v>
      </c>
      <c r="K1071" s="48">
        <f>IFERROR(MINUS(DIVIDE(VLOOKUP($B1071,Data!$B$3:$EZ1530,29,FALSE),VLOOKUP($B1071,Data!$B$3:$EZ1530,30,FALSE)),1),"")</f>
        <v>2.573218481</v>
      </c>
      <c r="L1071" s="48">
        <f>IFERROR(MINUS(DIVIDE(VLOOKUP($B1071,Data!$B$3:$EZ1530,34,FALSE),VLOOKUP($B1071,Data!$B$3:$EZ1530,35,FALSE)),1),"")</f>
        <v>2.61980198</v>
      </c>
      <c r="M1071" s="48">
        <f>IFERROR(MINUS(DIVIDE(VLOOKUP($B1071,Data!$B$3:$EZ1530,39,FALSE),VLOOKUP($B1071,Data!$B$3:$EZ1530,40,FALSE)),1),"")</f>
        <v>2.573218481</v>
      </c>
      <c r="N1071" s="48">
        <f>IFERROR(MINUS(DIVIDE(VLOOKUP($B1071,Data!$B$3:$EZ1530,44,FALSE),VLOOKUP($B1071,Data!$B$3:$EZ1530,45,FALSE)),1),"")</f>
        <v>1.148626817</v>
      </c>
      <c r="O1071" s="50" t="str">
        <f>IFERROR(VLOOKUP($B1071,Data!$B$3:$D1530,2,FALSE),"")</f>
        <v/>
      </c>
      <c r="P1071" s="50" t="str">
        <f>IFERROR(VLOOKUP($B1071,Data!$B$3:$D1530,3,FALSE),"")</f>
        <v/>
      </c>
      <c r="Q1071" s="48" t="str">
        <f t="shared" si="2"/>
        <v/>
      </c>
      <c r="R1071" s="48"/>
      <c r="S1071" s="48"/>
      <c r="T1071" s="48"/>
      <c r="U1071" s="48"/>
      <c r="V1071" s="48"/>
      <c r="W1071" s="50"/>
      <c r="Z1071" s="11"/>
      <c r="AA1071" s="11"/>
    </row>
    <row r="1072">
      <c r="A1072" s="9">
        <f t="shared" si="1"/>
        <v>1069</v>
      </c>
      <c r="B1072" s="47" t="s">
        <v>1206</v>
      </c>
      <c r="C1072" s="48">
        <f>IFERROR(DIVIDE(VLOOKUP($B1072,Data!$B$3:$AB$1535,9,FALSE),VLOOKUP($B1072,Data!$B$3:$AB$1535,4,FALSE)),"")</f>
        <v>0.1653675214</v>
      </c>
      <c r="D1072" s="48">
        <f>IFERROR(DIVIDE(VLOOKUP($B1072,Data!$B$3:$AB$1535,24,FALSE),VLOOKUP($B1072,Data!$B$3:$AB$1535,4,FALSE)),"")</f>
        <v>0</v>
      </c>
      <c r="E1072" s="48">
        <f>IFERROR(DIVIDE(VLOOKUP($B1072,Data!$B$3:$EZ1530,29,FALSE),VLOOKUP($B1072,Data!$B$3:$EZ1530,4,FALSE)),"")</f>
        <v>0.05035470085</v>
      </c>
      <c r="F1072" s="48">
        <f>IFERROR(DIVIDE(VLOOKUP($B1072,Data!$B$3:$EZ1530,34,FALSE),VLOOKUP($B1072,Data!$B$3:$EZ1530,4,FALSE)),"")</f>
        <v>0.09283760684</v>
      </c>
      <c r="G1072" s="48">
        <f>IFERROR(DIVIDE(VLOOKUP($B1072,Data!$B$3:$EZ1530,39,FALSE),VLOOKUP($B1072,Data!$B$3:$EZ1530,4,FALSE)),"")</f>
        <v>0.03827777778</v>
      </c>
      <c r="H1072" s="48">
        <f>IFERROR(DIVIDE(VLOOKUP($B1072,Data!$B$3:$EZ1530,44,FALSE),VLOOKUP($B1072,Data!$B$3:$EZ1530,4,FALSE)),"")</f>
        <v>0.08222649573</v>
      </c>
      <c r="I1072" s="48">
        <f>IFERROR(MINUS(DIVIDE(VLOOKUP($B1072,Data!$B$3:$EZ1530,9,FALSE),VLOOKUP($B1072,Data!$B$3:$EZ1530,10,FALSE)),1),"")</f>
        <v>0.01391327132</v>
      </c>
      <c r="J1072" s="48" t="str">
        <f>IFERROR(MINUS(DIVIDE(VLOOKUP($B1072,Data!$B$3:$EZ1530,24,FALSE),VLOOKUP($B1072,Data!$B$3:$EZ1530,25,FALSE)),1),"")</f>
        <v/>
      </c>
      <c r="K1072" s="48">
        <f>IFERROR(MINUS(DIVIDE(VLOOKUP($B1072,Data!$B$3:$EZ1530,29,FALSE),VLOOKUP($B1072,Data!$B$3:$EZ1530,30,FALSE)),1),"")</f>
        <v>-0.2247006185</v>
      </c>
      <c r="L1072" s="48">
        <f>IFERROR(MINUS(DIVIDE(VLOOKUP($B1072,Data!$B$3:$EZ1530,34,FALSE),VLOOKUP($B1072,Data!$B$3:$EZ1530,35,FALSE)),1),"")</f>
        <v>-0.06951642609</v>
      </c>
      <c r="M1072" s="48">
        <f>IFERROR(MINUS(DIVIDE(VLOOKUP($B1072,Data!$B$3:$EZ1530,39,FALSE),VLOOKUP($B1072,Data!$B$3:$EZ1530,40,FALSE)),1),"")</f>
        <v>-0.2525244096</v>
      </c>
      <c r="N1072" s="48">
        <f>IFERROR(MINUS(DIVIDE(VLOOKUP($B1072,Data!$B$3:$EZ1530,44,FALSE),VLOOKUP($B1072,Data!$B$3:$EZ1530,45,FALSE)),1),"")</f>
        <v>-0.03799810009</v>
      </c>
      <c r="O1072" s="50">
        <f>IFERROR(VLOOKUP($B1072,Data!$B$3:$D1530,2,FALSE),"")</f>
        <v>2370000</v>
      </c>
      <c r="P1072" s="50">
        <f>IFERROR(VLOOKUP($B1072,Data!$B$3:$D1530,3,FALSE),"")</f>
        <v>2120000</v>
      </c>
      <c r="Q1072" s="48">
        <f t="shared" si="2"/>
        <v>0.1179245283</v>
      </c>
      <c r="R1072" s="48"/>
      <c r="S1072" s="48"/>
      <c r="T1072" s="48"/>
      <c r="U1072" s="48"/>
      <c r="V1072" s="48"/>
      <c r="W1072" s="50"/>
      <c r="Z1072" s="12"/>
      <c r="AA1072" s="11"/>
    </row>
    <row r="1073">
      <c r="A1073" s="9">
        <f t="shared" si="1"/>
        <v>1070</v>
      </c>
      <c r="B1073" s="47" t="s">
        <v>1207</v>
      </c>
      <c r="C1073" s="48">
        <f>IFERROR(DIVIDE(VLOOKUP($B1073,Data!$B$3:$AB$1535,9,FALSE),VLOOKUP($B1073,Data!$B$3:$AB$1535,4,FALSE)),"")</f>
        <v>0.5572735486</v>
      </c>
      <c r="D1073" s="48">
        <f>IFERROR(DIVIDE(VLOOKUP($B1073,Data!$B$3:$AB$1535,24,FALSE),VLOOKUP($B1073,Data!$B$3:$AB$1535,4,FALSE)),"")</f>
        <v>0.3001007258</v>
      </c>
      <c r="E1073" s="48">
        <f>IFERROR(DIVIDE(VLOOKUP($B1073,Data!$B$3:$EZ1530,29,FALSE),VLOOKUP($B1073,Data!$B$3:$EZ1530,4,FALSE)),"")</f>
        <v>0.1984922275</v>
      </c>
      <c r="F1073" s="48">
        <f>IFERROR(DIVIDE(VLOOKUP($B1073,Data!$B$3:$EZ1530,34,FALSE),VLOOKUP($B1073,Data!$B$3:$EZ1530,4,FALSE)),"")</f>
        <v>0.3511282334</v>
      </c>
      <c r="G1073" s="48">
        <f>IFERROR(DIVIDE(VLOOKUP($B1073,Data!$B$3:$EZ1530,39,FALSE),VLOOKUP($B1073,Data!$B$3:$EZ1530,4,FALSE)),"")</f>
        <v>0.1477450909</v>
      </c>
      <c r="H1073" s="48">
        <f>IFERROR(DIVIDE(VLOOKUP($B1073,Data!$B$3:$EZ1530,44,FALSE),VLOOKUP($B1073,Data!$B$3:$EZ1530,4,FALSE)),"")</f>
        <v>0.2346289239</v>
      </c>
      <c r="I1073" s="48">
        <f>IFERROR(MINUS(DIVIDE(VLOOKUP($B1073,Data!$B$3:$EZ1530,9,FALSE),VLOOKUP($B1073,Data!$B$3:$EZ1530,10,FALSE)),1),"")</f>
        <v>0.01499820324</v>
      </c>
      <c r="J1073" s="48">
        <f>IFERROR(MINUS(DIVIDE(VLOOKUP($B1073,Data!$B$3:$EZ1530,24,FALSE),VLOOKUP($B1073,Data!$B$3:$EZ1530,25,FALSE)),1),"")</f>
        <v>3.364240411</v>
      </c>
      <c r="K1073" s="48">
        <f>IFERROR(MINUS(DIVIDE(VLOOKUP($B1073,Data!$B$3:$EZ1530,29,FALSE),VLOOKUP($B1073,Data!$B$3:$EZ1530,30,FALSE)),1),"")</f>
        <v>-6.022333158</v>
      </c>
      <c r="L1073" s="48">
        <f>IFERROR(MINUS(DIVIDE(VLOOKUP($B1073,Data!$B$3:$EZ1530,34,FALSE),VLOOKUP($B1073,Data!$B$3:$EZ1530,35,FALSE)),1),"")</f>
        <v>0.01861670081</v>
      </c>
      <c r="M1073" s="48">
        <f>IFERROR(MINUS(DIVIDE(VLOOKUP($B1073,Data!$B$3:$EZ1530,39,FALSE),VLOOKUP($B1073,Data!$B$3:$EZ1530,40,FALSE)),1),"")</f>
        <v>-4.974301676</v>
      </c>
      <c r="N1073" s="48">
        <f>IFERROR(MINUS(DIVIDE(VLOOKUP($B1073,Data!$B$3:$EZ1530,44,FALSE),VLOOKUP($B1073,Data!$B$3:$EZ1530,45,FALSE)),1),"")</f>
        <v>0.1937341505</v>
      </c>
      <c r="O1073" s="50">
        <f>IFERROR(VLOOKUP($B1073,Data!$B$3:$D1530,2,FALSE),"")</f>
        <v>949200</v>
      </c>
      <c r="P1073" s="50">
        <f>IFERROR(VLOOKUP($B1073,Data!$B$3:$D1530,3,FALSE),"")</f>
        <v>939540</v>
      </c>
      <c r="Q1073" s="48">
        <f t="shared" si="2"/>
        <v>0.01028162718</v>
      </c>
      <c r="R1073" s="48"/>
      <c r="S1073" s="48"/>
      <c r="T1073" s="48"/>
      <c r="U1073" s="48"/>
      <c r="V1073" s="48"/>
      <c r="W1073" s="50"/>
      <c r="Z1073" s="12"/>
      <c r="AA1073" s="12"/>
    </row>
    <row r="1074">
      <c r="A1074" s="9">
        <f t="shared" si="1"/>
        <v>1071</v>
      </c>
      <c r="B1074" s="47" t="s">
        <v>1208</v>
      </c>
      <c r="C1074" s="48">
        <f>IFERROR(DIVIDE(VLOOKUP($B1074,Data!$B$3:$AB$1535,9,FALSE),VLOOKUP($B1074,Data!$B$3:$AB$1535,4,FALSE)),"")</f>
        <v>0.8647983545</v>
      </c>
      <c r="D1074" s="48">
        <f>IFERROR(DIVIDE(VLOOKUP($B1074,Data!$B$3:$AB$1535,24,FALSE),VLOOKUP($B1074,Data!$B$3:$AB$1535,4,FALSE)),"")</f>
        <v>-0.2334165871</v>
      </c>
      <c r="E1074" s="48">
        <f>IFERROR(DIVIDE(VLOOKUP($B1074,Data!$B$3:$EZ1530,29,FALSE),VLOOKUP($B1074,Data!$B$3:$EZ1530,4,FALSE)),"")</f>
        <v>-0.2776757511</v>
      </c>
      <c r="F1074" s="48">
        <f>IFERROR(DIVIDE(VLOOKUP($B1074,Data!$B$3:$EZ1530,34,FALSE),VLOOKUP($B1074,Data!$B$3:$EZ1530,4,FALSE)),"")</f>
        <v>-0.113935209</v>
      </c>
      <c r="G1074" s="48">
        <f>IFERROR(DIVIDE(VLOOKUP($B1074,Data!$B$3:$EZ1530,39,FALSE),VLOOKUP($B1074,Data!$B$3:$EZ1530,4,FALSE)),"")</f>
        <v>-0.2776757511</v>
      </c>
      <c r="H1074" s="48">
        <f>IFERROR(DIVIDE(VLOOKUP($B1074,Data!$B$3:$EZ1530,44,FALSE),VLOOKUP($B1074,Data!$B$3:$EZ1530,4,FALSE)),"")</f>
        <v>0.08220083743</v>
      </c>
      <c r="I1074" s="48">
        <f>IFERROR(MINUS(DIVIDE(VLOOKUP($B1074,Data!$B$3:$EZ1530,9,FALSE),VLOOKUP($B1074,Data!$B$3:$EZ1530,10,FALSE)),1),"")</f>
        <v>0.08818228035</v>
      </c>
      <c r="J1074" s="48" t="str">
        <f>IFERROR(MINUS(DIVIDE(VLOOKUP($B1074,Data!$B$3:$EZ1530,24,FALSE),VLOOKUP($B1074,Data!$B$3:$EZ1530,25,FALSE)),1),"")</f>
        <v/>
      </c>
      <c r="K1074" s="48">
        <f>IFERROR(MINUS(DIVIDE(VLOOKUP($B1074,Data!$B$3:$EZ1530,29,FALSE),VLOOKUP($B1074,Data!$B$3:$EZ1530,30,FALSE)),1),"")</f>
        <v>-0.3343898574</v>
      </c>
      <c r="L1074" s="48">
        <f>IFERROR(MINUS(DIVIDE(VLOOKUP($B1074,Data!$B$3:$EZ1530,34,FALSE),VLOOKUP($B1074,Data!$B$3:$EZ1530,35,FALSE)),1),"")</f>
        <v>-0.6446328331</v>
      </c>
      <c r="M1074" s="48">
        <f>IFERROR(MINUS(DIVIDE(VLOOKUP($B1074,Data!$B$3:$EZ1530,39,FALSE),VLOOKUP($B1074,Data!$B$3:$EZ1530,40,FALSE)),1),"")</f>
        <v>-0.3343898574</v>
      </c>
      <c r="N1074" s="48">
        <f>IFERROR(MINUS(DIVIDE(VLOOKUP($B1074,Data!$B$3:$EZ1530,44,FALSE),VLOOKUP($B1074,Data!$B$3:$EZ1530,45,FALSE)),1),"")</f>
        <v>-1.928245541</v>
      </c>
      <c r="O1074" s="50">
        <f>IFERROR(VLOOKUP($B1074,Data!$B$3:$D1530,2,FALSE),"")</f>
        <v>253900</v>
      </c>
      <c r="P1074" s="50">
        <f>IFERROR(VLOOKUP($B1074,Data!$B$3:$D1530,3,FALSE),"")</f>
        <v>233060</v>
      </c>
      <c r="Q1074" s="48">
        <f t="shared" si="2"/>
        <v>0.08941903373</v>
      </c>
      <c r="R1074" s="48"/>
      <c r="S1074" s="48"/>
      <c r="T1074" s="48"/>
      <c r="U1074" s="48"/>
      <c r="V1074" s="48"/>
      <c r="W1074" s="50"/>
      <c r="Z1074" s="11"/>
      <c r="AA1074" s="11"/>
    </row>
    <row r="1075">
      <c r="A1075" s="9">
        <f t="shared" si="1"/>
        <v>1072</v>
      </c>
      <c r="B1075" s="47" t="s">
        <v>1209</v>
      </c>
      <c r="C1075" s="48">
        <f>IFERROR(DIVIDE(VLOOKUP($B1075,Data!$B$3:$AB$1535,9,FALSE),VLOOKUP($B1075,Data!$B$3:$AB$1535,4,FALSE)),"")</f>
        <v>0.7329881481</v>
      </c>
      <c r="D1075" s="48">
        <f>IFERROR(DIVIDE(VLOOKUP($B1075,Data!$B$3:$AB$1535,24,FALSE),VLOOKUP($B1075,Data!$B$3:$AB$1535,4,FALSE)),"")</f>
        <v>0.01135311023</v>
      </c>
      <c r="E1075" s="48">
        <f>IFERROR(DIVIDE(VLOOKUP($B1075,Data!$B$3:$EZ1530,29,FALSE),VLOOKUP($B1075,Data!$B$3:$EZ1530,4,FALSE)),"")</f>
        <v>-0.02553262238</v>
      </c>
      <c r="F1075" s="48">
        <f>IFERROR(DIVIDE(VLOOKUP($B1075,Data!$B$3:$EZ1530,34,FALSE),VLOOKUP($B1075,Data!$B$3:$EZ1530,4,FALSE)),"")</f>
        <v>0.1313208085</v>
      </c>
      <c r="G1075" s="48">
        <f>IFERROR(DIVIDE(VLOOKUP($B1075,Data!$B$3:$EZ1530,39,FALSE),VLOOKUP($B1075,Data!$B$3:$EZ1530,4,FALSE)),"")</f>
        <v>-0.02617390685</v>
      </c>
      <c r="H1075" s="48">
        <f>IFERROR(DIVIDE(VLOOKUP($B1075,Data!$B$3:$EZ1530,44,FALSE),VLOOKUP($B1075,Data!$B$3:$EZ1530,4,FALSE)),"")</f>
        <v>0.1674940028</v>
      </c>
      <c r="I1075" s="48">
        <f>IFERROR(MINUS(DIVIDE(VLOOKUP($B1075,Data!$B$3:$EZ1530,9,FALSE),VLOOKUP($B1075,Data!$B$3:$EZ1530,10,FALSE)),1),"")</f>
        <v>0.2323204089</v>
      </c>
      <c r="J1075" s="48">
        <f>IFERROR(MINUS(DIVIDE(VLOOKUP($B1075,Data!$B$3:$EZ1530,24,FALSE),VLOOKUP($B1075,Data!$B$3:$EZ1530,25,FALSE)),1),"")</f>
        <v>-0.6997487437</v>
      </c>
      <c r="K1075" s="48">
        <f>IFERROR(MINUS(DIVIDE(VLOOKUP($B1075,Data!$B$3:$EZ1530,29,FALSE),VLOOKUP($B1075,Data!$B$3:$EZ1530,30,FALSE)),1),"")</f>
        <v>24.29411765</v>
      </c>
      <c r="L1075" s="48">
        <f>IFERROR(MINUS(DIVIDE(VLOOKUP($B1075,Data!$B$3:$EZ1530,34,FALSE),VLOOKUP($B1075,Data!$B$3:$EZ1530,35,FALSE)),1),"")</f>
        <v>0.4650238474</v>
      </c>
      <c r="M1075" s="48">
        <f>IFERROR(MINUS(DIVIDE(VLOOKUP($B1075,Data!$B$3:$EZ1530,39,FALSE),VLOOKUP($B1075,Data!$B$3:$EZ1530,40,FALSE)),1),"")</f>
        <v>22.3970276</v>
      </c>
      <c r="N1075" s="48">
        <f>IFERROR(MINUS(DIVIDE(VLOOKUP($B1075,Data!$B$3:$EZ1530,44,FALSE),VLOOKUP($B1075,Data!$B$3:$EZ1530,45,FALSE)),1),"")</f>
        <v>0.4430120728</v>
      </c>
      <c r="O1075" s="50">
        <f>IFERROR(VLOOKUP($B1075,Data!$B$3:$D1530,2,FALSE),"")</f>
        <v>553670</v>
      </c>
      <c r="P1075" s="50">
        <f>IFERROR(VLOOKUP($B1075,Data!$B$3:$D1530,3,FALSE),"")</f>
        <v>422480</v>
      </c>
      <c r="Q1075" s="48">
        <f t="shared" si="2"/>
        <v>0.3105235751</v>
      </c>
      <c r="R1075" s="48"/>
      <c r="S1075" s="48"/>
      <c r="T1075" s="48"/>
      <c r="U1075" s="48"/>
      <c r="V1075" s="48"/>
      <c r="W1075" s="50"/>
      <c r="Z1075" s="15"/>
      <c r="AA1075" s="15"/>
    </row>
    <row r="1076">
      <c r="A1076" s="9">
        <f t="shared" si="1"/>
        <v>1073</v>
      </c>
      <c r="B1076" s="47" t="s">
        <v>1210</v>
      </c>
      <c r="C1076" s="48" t="str">
        <f>IFERROR(DIVIDE(VLOOKUP($B1076,Data!$B$3:$AB$1535,9,FALSE),VLOOKUP($B1076,Data!$B$3:$AB$1535,4,FALSE)),"")</f>
        <v/>
      </c>
      <c r="D1076" s="48" t="str">
        <f>IFERROR(DIVIDE(VLOOKUP($B1076,Data!$B$3:$AB$1535,24,FALSE),VLOOKUP($B1076,Data!$B$3:$AB$1535,4,FALSE)),"")</f>
        <v/>
      </c>
      <c r="E1076" s="48" t="str">
        <f>IFERROR(DIVIDE(VLOOKUP($B1076,Data!$B$3:$EZ1530,29,FALSE),VLOOKUP($B1076,Data!$B$3:$EZ1530,4,FALSE)),"")</f>
        <v/>
      </c>
      <c r="F1076" s="48" t="str">
        <f>IFERROR(DIVIDE(VLOOKUP($B1076,Data!$B$3:$EZ1530,34,FALSE),VLOOKUP($B1076,Data!$B$3:$EZ1530,4,FALSE)),"")</f>
        <v/>
      </c>
      <c r="G1076" s="48" t="str">
        <f>IFERROR(DIVIDE(VLOOKUP($B1076,Data!$B$3:$EZ1530,39,FALSE),VLOOKUP($B1076,Data!$B$3:$EZ1530,4,FALSE)),"")</f>
        <v/>
      </c>
      <c r="H1076" s="48" t="str">
        <f>IFERROR(DIVIDE(VLOOKUP($B1076,Data!$B$3:$EZ1530,44,FALSE),VLOOKUP($B1076,Data!$B$3:$EZ1530,4,FALSE)),"")</f>
        <v/>
      </c>
      <c r="I1076" s="48">
        <f>IFERROR(MINUS(DIVIDE(VLOOKUP($B1076,Data!$B$3:$EZ1530,9,FALSE),VLOOKUP($B1076,Data!$B$3:$EZ1530,10,FALSE)),1),"")</f>
        <v>0.1826923077</v>
      </c>
      <c r="J1076" s="48">
        <f>IFERROR(MINUS(DIVIDE(VLOOKUP($B1076,Data!$B$3:$EZ1530,24,FALSE),VLOOKUP($B1076,Data!$B$3:$EZ1530,25,FALSE)),1),"")</f>
        <v>0.6788537549</v>
      </c>
      <c r="K1076" s="48">
        <f>IFERROR(MINUS(DIVIDE(VLOOKUP($B1076,Data!$B$3:$EZ1530,29,FALSE),VLOOKUP($B1076,Data!$B$3:$EZ1530,30,FALSE)),1),"")</f>
        <v>0.7046456426</v>
      </c>
      <c r="L1076" s="48">
        <f>IFERROR(MINUS(DIVIDE(VLOOKUP($B1076,Data!$B$3:$EZ1530,34,FALSE),VLOOKUP($B1076,Data!$B$3:$EZ1530,35,FALSE)),1),"")</f>
        <v>0.5339130435</v>
      </c>
      <c r="M1076" s="48">
        <f>IFERROR(MINUS(DIVIDE(VLOOKUP($B1076,Data!$B$3:$EZ1530,39,FALSE),VLOOKUP($B1076,Data!$B$3:$EZ1530,40,FALSE)),1),"")</f>
        <v>0.7046456426</v>
      </c>
      <c r="N1076" s="48">
        <f>IFERROR(MINUS(DIVIDE(VLOOKUP($B1076,Data!$B$3:$EZ1530,44,FALSE),VLOOKUP($B1076,Data!$B$3:$EZ1530,45,FALSE)),1),"")</f>
        <v>0.5831965868</v>
      </c>
      <c r="O1076" s="50">
        <f>IFERROR(VLOOKUP($B1076,Data!$B$3:$D1530,2,FALSE),"")</f>
        <v>1500</v>
      </c>
      <c r="P1076" s="50" t="str">
        <f>IFERROR(VLOOKUP($B1076,Data!$B$3:$D1530,3,FALSE),"")</f>
        <v/>
      </c>
      <c r="Q1076" s="48" t="str">
        <f t="shared" si="2"/>
        <v/>
      </c>
      <c r="R1076" s="48"/>
      <c r="S1076" s="48"/>
      <c r="T1076" s="48"/>
      <c r="U1076" s="48"/>
      <c r="V1076" s="48"/>
      <c r="W1076" s="50"/>
      <c r="Z1076" s="11"/>
      <c r="AA1076" s="11"/>
    </row>
    <row r="1077">
      <c r="A1077" s="9">
        <f t="shared" si="1"/>
        <v>1074</v>
      </c>
      <c r="B1077" s="47" t="s">
        <v>1211</v>
      </c>
      <c r="C1077" s="48">
        <f>IFERROR(DIVIDE(VLOOKUP($B1077,Data!$B$3:$AB$1535,9,FALSE),VLOOKUP($B1077,Data!$B$3:$AB$1535,4,FALSE)),"")</f>
        <v>0.218579235</v>
      </c>
      <c r="D1077" s="48">
        <f>IFERROR(DIVIDE(VLOOKUP($B1077,Data!$B$3:$AB$1535,24,FALSE),VLOOKUP($B1077,Data!$B$3:$AB$1535,4,FALSE)),"")</f>
        <v>0</v>
      </c>
      <c r="E1077" s="48">
        <f>IFERROR(DIVIDE(VLOOKUP($B1077,Data!$B$3:$EZ1530,29,FALSE),VLOOKUP($B1077,Data!$B$3:$EZ1530,4,FALSE)),"")</f>
        <v>0</v>
      </c>
      <c r="F1077" s="48">
        <f>IFERROR(DIVIDE(VLOOKUP($B1077,Data!$B$3:$EZ1530,34,FALSE),VLOOKUP($B1077,Data!$B$3:$EZ1530,4,FALSE)),"")</f>
        <v>0.04248816029</v>
      </c>
      <c r="G1077" s="48">
        <f>IFERROR(DIVIDE(VLOOKUP($B1077,Data!$B$3:$EZ1530,39,FALSE),VLOOKUP($B1077,Data!$B$3:$EZ1530,4,FALSE)),"")</f>
        <v>0</v>
      </c>
      <c r="H1077" s="48">
        <f>IFERROR(DIVIDE(VLOOKUP($B1077,Data!$B$3:$EZ1530,44,FALSE),VLOOKUP($B1077,Data!$B$3:$EZ1530,4,FALSE)),"")</f>
        <v>0</v>
      </c>
      <c r="I1077" s="48">
        <f>IFERROR(MINUS(DIVIDE(VLOOKUP($B1077,Data!$B$3:$EZ1530,9,FALSE),VLOOKUP($B1077,Data!$B$3:$EZ1530,10,FALSE)),1),"")</f>
        <v>0.008403361345</v>
      </c>
      <c r="J1077" s="48">
        <f>IFERROR(MINUS(DIVIDE(VLOOKUP($B1077,Data!$B$3:$EZ1530,24,FALSE),VLOOKUP($B1077,Data!$B$3:$EZ1530,25,FALSE)),1),"")</f>
        <v>-1</v>
      </c>
      <c r="K1077" s="48">
        <f>IFERROR(MINUS(DIVIDE(VLOOKUP($B1077,Data!$B$3:$EZ1530,29,FALSE),VLOOKUP($B1077,Data!$B$3:$EZ1530,30,FALSE)),1),"")</f>
        <v>-1</v>
      </c>
      <c r="L1077" s="48">
        <f>IFERROR(MINUS(DIVIDE(VLOOKUP($B1077,Data!$B$3:$EZ1530,34,FALSE),VLOOKUP($B1077,Data!$B$3:$EZ1530,35,FALSE)),1),"")</f>
        <v>-0.09028509029</v>
      </c>
      <c r="M1077" s="48">
        <f>IFERROR(MINUS(DIVIDE(VLOOKUP($B1077,Data!$B$3:$EZ1530,39,FALSE),VLOOKUP($B1077,Data!$B$3:$EZ1530,40,FALSE)),1),"")</f>
        <v>-1</v>
      </c>
      <c r="N1077" s="48">
        <f>IFERROR(MINUS(DIVIDE(VLOOKUP($B1077,Data!$B$3:$EZ1530,44,FALSE),VLOOKUP($B1077,Data!$B$3:$EZ1530,45,FALSE)),1),"")</f>
        <v>-1</v>
      </c>
      <c r="O1077" s="50">
        <f>IFERROR(VLOOKUP($B1077,Data!$B$3:$D1530,2,FALSE),"")</f>
        <v>5670000</v>
      </c>
      <c r="P1077" s="50">
        <f>IFERROR(VLOOKUP($B1077,Data!$B$3:$D1530,3,FALSE),"")</f>
        <v>5330000</v>
      </c>
      <c r="Q1077" s="48">
        <f t="shared" si="2"/>
        <v>0.06378986867</v>
      </c>
      <c r="R1077" s="48"/>
      <c r="S1077" s="48"/>
      <c r="T1077" s="48"/>
      <c r="U1077" s="48"/>
      <c r="V1077" s="48"/>
      <c r="W1077" s="50"/>
      <c r="Z1077" s="11"/>
      <c r="AA1077" s="11"/>
    </row>
    <row r="1078">
      <c r="A1078" s="9">
        <f t="shared" si="1"/>
        <v>1075</v>
      </c>
      <c r="B1078" s="47" t="s">
        <v>1212</v>
      </c>
      <c r="C1078" s="48">
        <f>IFERROR(DIVIDE(VLOOKUP($B1078,Data!$B$3:$AB$1535,9,FALSE),VLOOKUP($B1078,Data!$B$3:$AB$1535,4,FALSE)),"")</f>
        <v>0.6017058068</v>
      </c>
      <c r="D1078" s="48">
        <f>IFERROR(DIVIDE(VLOOKUP($B1078,Data!$B$3:$AB$1535,24,FALSE),VLOOKUP($B1078,Data!$B$3:$AB$1535,4,FALSE)),"")</f>
        <v>-0.08926276434</v>
      </c>
      <c r="E1078" s="48">
        <f>IFERROR(DIVIDE(VLOOKUP($B1078,Data!$B$3:$EZ1530,29,FALSE),VLOOKUP($B1078,Data!$B$3:$EZ1530,4,FALSE)),"")</f>
        <v>-0.08599135413</v>
      </c>
      <c r="F1078" s="48">
        <f>IFERROR(DIVIDE(VLOOKUP($B1078,Data!$B$3:$EZ1530,34,FALSE),VLOOKUP($B1078,Data!$B$3:$EZ1530,4,FALSE)),"")</f>
        <v>0</v>
      </c>
      <c r="G1078" s="48">
        <f>IFERROR(DIVIDE(VLOOKUP($B1078,Data!$B$3:$EZ1530,39,FALSE),VLOOKUP($B1078,Data!$B$3:$EZ1530,4,FALSE)),"")</f>
        <v>-0.06332515481</v>
      </c>
      <c r="H1078" s="48">
        <f>IFERROR(DIVIDE(VLOOKUP($B1078,Data!$B$3:$EZ1530,44,FALSE),VLOOKUP($B1078,Data!$B$3:$EZ1530,4,FALSE)),"")</f>
        <v>0.3028391167</v>
      </c>
      <c r="I1078" s="48">
        <f>IFERROR(MINUS(DIVIDE(VLOOKUP($B1078,Data!$B$3:$EZ1530,9,FALSE),VLOOKUP($B1078,Data!$B$3:$EZ1530,10,FALSE)),1),"")</f>
        <v>0.210056391</v>
      </c>
      <c r="J1078" s="48">
        <f>IFERROR(MINUS(DIVIDE(VLOOKUP($B1078,Data!$B$3:$EZ1530,24,FALSE),VLOOKUP($B1078,Data!$B$3:$EZ1530,25,FALSE)),1),"")</f>
        <v>-0.232160804</v>
      </c>
      <c r="K1078" s="48">
        <f>IFERROR(MINUS(DIVIDE(VLOOKUP($B1078,Data!$B$3:$EZ1530,29,FALSE),VLOOKUP($B1078,Data!$B$3:$EZ1530,30,FALSE)),1),"")</f>
        <v>-0.221987315</v>
      </c>
      <c r="L1078" s="48">
        <f>IFERROR(MINUS(DIVIDE(VLOOKUP($B1078,Data!$B$3:$EZ1530,34,FALSE),VLOOKUP($B1078,Data!$B$3:$EZ1530,35,FALSE)),1),"")</f>
        <v>-1</v>
      </c>
      <c r="M1078" s="48">
        <f>IFERROR(MINUS(DIVIDE(VLOOKUP($B1078,Data!$B$3:$EZ1530,39,FALSE),VLOOKUP($B1078,Data!$B$3:$EZ1530,40,FALSE)),1),"")</f>
        <v>-0.2979274611</v>
      </c>
      <c r="N1078" s="48">
        <f>IFERROR(MINUS(DIVIDE(VLOOKUP($B1078,Data!$B$3:$EZ1530,44,FALSE),VLOOKUP($B1078,Data!$B$3:$EZ1530,45,FALSE)),1),"")</f>
        <v>0.9430284858</v>
      </c>
      <c r="O1078" s="50">
        <f>IFERROR(VLOOKUP($B1078,Data!$B$3:$D1530,2,FALSE),"")</f>
        <v>110160</v>
      </c>
      <c r="P1078" s="50">
        <f>IFERROR(VLOOKUP($B1078,Data!$B$3:$D1530,3,FALSE),"")</f>
        <v>92550</v>
      </c>
      <c r="Q1078" s="48">
        <f t="shared" si="2"/>
        <v>0.1902755267</v>
      </c>
      <c r="R1078" s="48"/>
      <c r="S1078" s="48"/>
      <c r="T1078" s="48"/>
      <c r="U1078" s="48"/>
      <c r="V1078" s="48"/>
      <c r="W1078" s="50"/>
      <c r="Z1078" s="11"/>
      <c r="AA1078" s="12"/>
    </row>
    <row r="1079">
      <c r="A1079" s="9">
        <f t="shared" si="1"/>
        <v>1076</v>
      </c>
      <c r="B1079" s="47" t="s">
        <v>1213</v>
      </c>
      <c r="C1079" s="48">
        <f>IFERROR(DIVIDE(VLOOKUP($B1079,Data!$B$3:$AB$1535,9,FALSE),VLOOKUP($B1079,Data!$B$3:$AB$1535,4,FALSE)),"")</f>
        <v>-0.09441197955</v>
      </c>
      <c r="D1079" s="48">
        <f>IFERROR(DIVIDE(VLOOKUP($B1079,Data!$B$3:$AB$1535,24,FALSE),VLOOKUP($B1079,Data!$B$3:$AB$1535,4,FALSE)),"")</f>
        <v>-1.311906501</v>
      </c>
      <c r="E1079" s="48">
        <f>IFERROR(DIVIDE(VLOOKUP($B1079,Data!$B$3:$EZ1530,29,FALSE),VLOOKUP($B1079,Data!$B$3:$EZ1530,4,FALSE)),"")</f>
        <v>-1.34660336</v>
      </c>
      <c r="F1079" s="48">
        <f>IFERROR(DIVIDE(VLOOKUP($B1079,Data!$B$3:$EZ1530,34,FALSE),VLOOKUP($B1079,Data!$B$3:$EZ1530,4,FALSE)),"")</f>
        <v>-1.031044558</v>
      </c>
      <c r="G1079" s="48">
        <f>IFERROR(DIVIDE(VLOOKUP($B1079,Data!$B$3:$EZ1530,39,FALSE),VLOOKUP($B1079,Data!$B$3:$EZ1530,4,FALSE)),"")</f>
        <v>-1.285792549</v>
      </c>
      <c r="H1079" s="48">
        <f>IFERROR(DIVIDE(VLOOKUP($B1079,Data!$B$3:$EZ1530,44,FALSE),VLOOKUP($B1079,Data!$B$3:$EZ1530,4,FALSE)),"")</f>
        <v>-0.592403214</v>
      </c>
      <c r="I1079" s="48">
        <f>IFERROR(MINUS(DIVIDE(VLOOKUP($B1079,Data!$B$3:$EZ1530,9,FALSE),VLOOKUP($B1079,Data!$B$3:$EZ1530,10,FALSE)),1),"")</f>
        <v>-1.038633986</v>
      </c>
      <c r="J1079" s="48">
        <f>IFERROR(MINUS(DIVIDE(VLOOKUP($B1079,Data!$B$3:$EZ1530,24,FALSE),VLOOKUP($B1079,Data!$B$3:$EZ1530,25,FALSE)),1),"")</f>
        <v>0.4200434869</v>
      </c>
      <c r="K1079" s="48">
        <f>IFERROR(MINUS(DIVIDE(VLOOKUP($B1079,Data!$B$3:$EZ1530,29,FALSE),VLOOKUP($B1079,Data!$B$3:$EZ1530,30,FALSE)),1),"")</f>
        <v>0.3186695279</v>
      </c>
      <c r="L1079" s="48">
        <f>IFERROR(MINUS(DIVIDE(VLOOKUP($B1079,Data!$B$3:$EZ1530,34,FALSE),VLOOKUP($B1079,Data!$B$3:$EZ1530,35,FALSE)),1),"")</f>
        <v>-1.671024483</v>
      </c>
      <c r="M1079" s="48">
        <f>IFERROR(MINUS(DIVIDE(VLOOKUP($B1079,Data!$B$3:$EZ1530,39,FALSE),VLOOKUP($B1079,Data!$B$3:$EZ1530,40,FALSE)),1),"")</f>
        <v>0.02250943944</v>
      </c>
      <c r="N1079" s="48">
        <f>IFERROR(MINUS(DIVIDE(VLOOKUP($B1079,Data!$B$3:$EZ1530,44,FALSE),VLOOKUP($B1079,Data!$B$3:$EZ1530,45,FALSE)),1),"")</f>
        <v>1.415487714</v>
      </c>
      <c r="O1079" s="50">
        <f>IFERROR(VLOOKUP($B1079,Data!$B$3:$D1530,2,FALSE),"")</f>
        <v>31300</v>
      </c>
      <c r="P1079" s="50">
        <f>IFERROR(VLOOKUP($B1079,Data!$B$3:$D1530,3,FALSE),"")</f>
        <v>17450</v>
      </c>
      <c r="Q1079" s="48">
        <f t="shared" si="2"/>
        <v>0.7936962751</v>
      </c>
      <c r="R1079" s="48"/>
      <c r="S1079" s="48"/>
      <c r="T1079" s="48"/>
      <c r="U1079" s="48"/>
      <c r="V1079" s="48"/>
      <c r="W1079" s="50"/>
      <c r="Z1079" s="11"/>
      <c r="AA1079" s="11"/>
    </row>
    <row r="1080">
      <c r="A1080" s="9">
        <f t="shared" si="1"/>
        <v>1077</v>
      </c>
      <c r="B1080" s="47" t="s">
        <v>1214</v>
      </c>
      <c r="C1080" s="48">
        <f>IFERROR(DIVIDE(VLOOKUP($B1080,Data!$B$3:$AB$1535,9,FALSE),VLOOKUP($B1080,Data!$B$3:$AB$1535,4,FALSE)),"")</f>
        <v>0.3641509434</v>
      </c>
      <c r="D1080" s="48">
        <f>IFERROR(DIVIDE(VLOOKUP($B1080,Data!$B$3:$AB$1535,24,FALSE),VLOOKUP($B1080,Data!$B$3:$AB$1535,4,FALSE)),"")</f>
        <v>0.1079056604</v>
      </c>
      <c r="E1080" s="48">
        <f>IFERROR(DIVIDE(VLOOKUP($B1080,Data!$B$3:$EZ1530,29,FALSE),VLOOKUP($B1080,Data!$B$3:$EZ1530,4,FALSE)),"")</f>
        <v>0.01624528302</v>
      </c>
      <c r="F1080" s="48">
        <f>IFERROR(DIVIDE(VLOOKUP($B1080,Data!$B$3:$EZ1530,34,FALSE),VLOOKUP($B1080,Data!$B$3:$EZ1530,4,FALSE)),"")</f>
        <v>0.2377358491</v>
      </c>
      <c r="G1080" s="48">
        <f>IFERROR(DIVIDE(VLOOKUP($B1080,Data!$B$3:$EZ1530,39,FALSE),VLOOKUP($B1080,Data!$B$3:$EZ1530,4,FALSE)),"")</f>
        <v>0.008283018868</v>
      </c>
      <c r="H1080" s="48">
        <f>IFERROR(DIVIDE(VLOOKUP($B1080,Data!$B$3:$EZ1530,44,FALSE),VLOOKUP($B1080,Data!$B$3:$EZ1530,4,FALSE)),"")</f>
        <v>0.1590566038</v>
      </c>
      <c r="I1080" s="48">
        <f>IFERROR(MINUS(DIVIDE(VLOOKUP($B1080,Data!$B$3:$EZ1530,9,FALSE),VLOOKUP($B1080,Data!$B$3:$EZ1530,10,FALSE)),1),"")</f>
        <v>0.5196850394</v>
      </c>
      <c r="J1080" s="48">
        <f>IFERROR(MINUS(DIVIDE(VLOOKUP($B1080,Data!$B$3:$EZ1530,24,FALSE),VLOOKUP($B1080,Data!$B$3:$EZ1530,25,FALSE)),1),"")</f>
        <v>-0.06724511931</v>
      </c>
      <c r="K1080" s="48">
        <f>IFERROR(MINUS(DIVIDE(VLOOKUP($B1080,Data!$B$3:$EZ1530,29,FALSE),VLOOKUP($B1080,Data!$B$3:$EZ1530,30,FALSE)),1),"")</f>
        <v>-0.04248220641</v>
      </c>
      <c r="L1080" s="48">
        <f>IFERROR(MINUS(DIVIDE(VLOOKUP($B1080,Data!$B$3:$EZ1530,34,FALSE),VLOOKUP($B1080,Data!$B$3:$EZ1530,35,FALSE)),1),"")</f>
        <v>0.2475247525</v>
      </c>
      <c r="M1080" s="48">
        <f>IFERROR(MINUS(DIVIDE(VLOOKUP($B1080,Data!$B$3:$EZ1530,39,FALSE),VLOOKUP($B1080,Data!$B$3:$EZ1530,40,FALSE)),1),"")</f>
        <v>-0.5305816938</v>
      </c>
      <c r="N1080" s="48">
        <f>IFERROR(MINUS(DIVIDE(VLOOKUP($B1080,Data!$B$3:$EZ1530,44,FALSE),VLOOKUP($B1080,Data!$B$3:$EZ1530,45,FALSE)),1),"")</f>
        <v>1.389523513</v>
      </c>
      <c r="O1080" s="50">
        <f>IFERROR(VLOOKUP($B1080,Data!$B$3:$D1530,2,FALSE),"")</f>
        <v>4690000</v>
      </c>
      <c r="P1080" s="50">
        <f>IFERROR(VLOOKUP($B1080,Data!$B$3:$D1530,3,FALSE),"")</f>
        <v>3020000</v>
      </c>
      <c r="Q1080" s="48">
        <f t="shared" si="2"/>
        <v>0.5529801325</v>
      </c>
      <c r="R1080" s="48"/>
      <c r="S1080" s="48"/>
      <c r="T1080" s="48"/>
      <c r="U1080" s="48"/>
      <c r="V1080" s="48"/>
      <c r="W1080" s="50"/>
      <c r="Z1080" s="15"/>
      <c r="AA1080" s="15"/>
    </row>
    <row r="1081">
      <c r="A1081" s="9">
        <f t="shared" si="1"/>
        <v>1078</v>
      </c>
      <c r="B1081" s="47" t="s">
        <v>1215</v>
      </c>
      <c r="C1081" s="48">
        <f>IFERROR(DIVIDE(VLOOKUP($B1081,Data!$B$3:$AB$1535,9,FALSE),VLOOKUP($B1081,Data!$B$3:$AB$1535,4,FALSE)),"")</f>
        <v>0.5531566409</v>
      </c>
      <c r="D1081" s="48">
        <f>IFERROR(DIVIDE(VLOOKUP($B1081,Data!$B$3:$AB$1535,24,FALSE),VLOOKUP($B1081,Data!$B$3:$AB$1535,4,FALSE)),"")</f>
        <v>0.1542584872</v>
      </c>
      <c r="E1081" s="48">
        <f>IFERROR(DIVIDE(VLOOKUP($B1081,Data!$B$3:$EZ1530,29,FALSE),VLOOKUP($B1081,Data!$B$3:$EZ1530,4,FALSE)),"")</f>
        <v>0.1386241811</v>
      </c>
      <c r="F1081" s="48">
        <f>IFERROR(DIVIDE(VLOOKUP($B1081,Data!$B$3:$EZ1530,34,FALSE),VLOOKUP($B1081,Data!$B$3:$EZ1530,4,FALSE)),"")</f>
        <v>0.194758785</v>
      </c>
      <c r="G1081" s="48">
        <f>IFERROR(DIVIDE(VLOOKUP($B1081,Data!$B$3:$EZ1530,39,FALSE),VLOOKUP($B1081,Data!$B$3:$EZ1530,4,FALSE)),"")</f>
        <v>0.1088445503</v>
      </c>
      <c r="H1081" s="48">
        <f>IFERROR(DIVIDE(VLOOKUP($B1081,Data!$B$3:$EZ1530,44,FALSE),VLOOKUP($B1081,Data!$B$3:$EZ1530,4,FALSE)),"")</f>
        <v>0.1436867183</v>
      </c>
      <c r="I1081" s="48">
        <f>IFERROR(MINUS(DIVIDE(VLOOKUP($B1081,Data!$B$3:$EZ1530,9,FALSE),VLOOKUP($B1081,Data!$B$3:$EZ1530,10,FALSE)),1),"")</f>
        <v>0.05300453515</v>
      </c>
      <c r="J1081" s="48">
        <f>IFERROR(MINUS(DIVIDE(VLOOKUP($B1081,Data!$B$3:$EZ1530,24,FALSE),VLOOKUP($B1081,Data!$B$3:$EZ1530,25,FALSE)),1),"")</f>
        <v>0.0454086781</v>
      </c>
      <c r="K1081" s="48">
        <f>IFERROR(MINUS(DIVIDE(VLOOKUP($B1081,Data!$B$3:$EZ1530,29,FALSE),VLOOKUP($B1081,Data!$B$3:$EZ1530,30,FALSE)),1),"")</f>
        <v>0.01305767138</v>
      </c>
      <c r="L1081" s="48">
        <f>IFERROR(MINUS(DIVIDE(VLOOKUP($B1081,Data!$B$3:$EZ1530,34,FALSE),VLOOKUP($B1081,Data!$B$3:$EZ1530,35,FALSE)),1),"")</f>
        <v>0.021875</v>
      </c>
      <c r="M1081" s="48">
        <f>IFERROR(MINUS(DIVIDE(VLOOKUP($B1081,Data!$B$3:$EZ1530,39,FALSE),VLOOKUP($B1081,Data!$B$3:$EZ1530,40,FALSE)),1),"")</f>
        <v>-0.4161341853</v>
      </c>
      <c r="N1081" s="48">
        <f>IFERROR(MINUS(DIVIDE(VLOOKUP($B1081,Data!$B$3:$EZ1530,44,FALSE),VLOOKUP($B1081,Data!$B$3:$EZ1530,45,FALSE)),1),"")</f>
        <v>0.02441613588</v>
      </c>
      <c r="O1081" s="50">
        <f>IFERROR(VLOOKUP($B1081,Data!$B$3:$D1530,2,FALSE),"")</f>
        <v>71320000</v>
      </c>
      <c r="P1081" s="50">
        <f>IFERROR(VLOOKUP($B1081,Data!$B$3:$D1530,3,FALSE),"")</f>
        <v>67990000</v>
      </c>
      <c r="Q1081" s="48">
        <f t="shared" si="2"/>
        <v>0.04897779085</v>
      </c>
      <c r="R1081" s="48"/>
      <c r="S1081" s="48"/>
      <c r="T1081" s="48"/>
      <c r="U1081" s="48"/>
      <c r="V1081" s="48"/>
      <c r="W1081" s="50"/>
      <c r="Z1081" s="11"/>
      <c r="AA1081" s="11"/>
    </row>
    <row r="1082">
      <c r="A1082" s="9">
        <f t="shared" si="1"/>
        <v>1079</v>
      </c>
      <c r="B1082" s="47" t="s">
        <v>1216</v>
      </c>
      <c r="C1082" s="48">
        <f>IFERROR(DIVIDE(VLOOKUP($B1082,Data!$B$3:$AB$1535,9,FALSE),VLOOKUP($B1082,Data!$B$3:$AB$1535,4,FALSE)),"")</f>
        <v>0.1513609517</v>
      </c>
      <c r="D1082" s="48">
        <f>IFERROR(DIVIDE(VLOOKUP($B1082,Data!$B$3:$AB$1535,24,FALSE),VLOOKUP($B1082,Data!$B$3:$AB$1535,4,FALSE)),"")</f>
        <v>-0.00442608855</v>
      </c>
      <c r="E1082" s="48">
        <f>IFERROR(DIVIDE(VLOOKUP($B1082,Data!$B$3:$EZ1530,29,FALSE),VLOOKUP($B1082,Data!$B$3:$EZ1530,4,FALSE)),"")</f>
        <v>-0.02482274502</v>
      </c>
      <c r="F1082" s="48">
        <f>IFERROR(DIVIDE(VLOOKUP($B1082,Data!$B$3:$EZ1530,34,FALSE),VLOOKUP($B1082,Data!$B$3:$EZ1530,4,FALSE)),"")</f>
        <v>0.03724116544</v>
      </c>
      <c r="G1082" s="48">
        <f>IFERROR(DIVIDE(VLOOKUP($B1082,Data!$B$3:$EZ1530,39,FALSE),VLOOKUP($B1082,Data!$B$3:$EZ1530,4,FALSE)),"")</f>
        <v>-0.0161397178</v>
      </c>
      <c r="H1082" s="48">
        <f>IFERROR(DIVIDE(VLOOKUP($B1082,Data!$B$3:$EZ1530,44,FALSE),VLOOKUP($B1082,Data!$B$3:$EZ1530,4,FALSE)),"")</f>
        <v>0.02936160016</v>
      </c>
      <c r="I1082" s="48">
        <f>IFERROR(MINUS(DIVIDE(VLOOKUP($B1082,Data!$B$3:$EZ1530,9,FALSE),VLOOKUP($B1082,Data!$B$3:$EZ1530,10,FALSE)),1),"")</f>
        <v>0.2892303998</v>
      </c>
      <c r="J1082" s="48">
        <f>IFERROR(MINUS(DIVIDE(VLOOKUP($B1082,Data!$B$3:$EZ1530,24,FALSE),VLOOKUP($B1082,Data!$B$3:$EZ1530,25,FALSE)),1),"")</f>
        <v>-1.40516129</v>
      </c>
      <c r="K1082" s="48">
        <f>IFERROR(MINUS(DIVIDE(VLOOKUP($B1082,Data!$B$3:$EZ1530,29,FALSE),VLOOKUP($B1082,Data!$B$3:$EZ1530,30,FALSE)),1),"")</f>
        <v>29.67944251</v>
      </c>
      <c r="L1082" s="48">
        <f>IFERROR(MINUS(DIVIDE(VLOOKUP($B1082,Data!$B$3:$EZ1530,34,FALSE),VLOOKUP($B1082,Data!$B$3:$EZ1530,35,FALSE)),1),"")</f>
        <v>0.152202355</v>
      </c>
      <c r="M1082" s="48">
        <f>IFERROR(MINUS(DIVIDE(VLOOKUP($B1082,Data!$B$3:$EZ1530,39,FALSE),VLOOKUP($B1082,Data!$B$3:$EZ1530,40,FALSE)),1),"")</f>
        <v>13.64194373</v>
      </c>
      <c r="N1082" s="48">
        <f>IFERROR(MINUS(DIVIDE(VLOOKUP($B1082,Data!$B$3:$EZ1530,44,FALSE),VLOOKUP($B1082,Data!$B$3:$EZ1530,45,FALSE)),1),"")</f>
        <v>-2.678485093</v>
      </c>
      <c r="O1082" s="50">
        <f>IFERROR(VLOOKUP($B1082,Data!$B$3:$D1530,2,FALSE),"")</f>
        <v>914370</v>
      </c>
      <c r="P1082" s="50">
        <f>IFERROR(VLOOKUP($B1082,Data!$B$3:$D1530,3,FALSE),"")</f>
        <v>798830</v>
      </c>
      <c r="Q1082" s="48">
        <f t="shared" si="2"/>
        <v>0.1446365309</v>
      </c>
      <c r="R1082" s="48"/>
      <c r="S1082" s="48"/>
      <c r="T1082" s="48"/>
      <c r="U1082" s="48"/>
      <c r="V1082" s="48"/>
      <c r="W1082" s="50"/>
      <c r="Z1082" s="15"/>
      <c r="AA1082" s="15"/>
    </row>
    <row r="1083">
      <c r="A1083" s="9">
        <f t="shared" si="1"/>
        <v>1080</v>
      </c>
      <c r="B1083" s="47" t="s">
        <v>1217</v>
      </c>
      <c r="C1083" s="48">
        <f>IFERROR(DIVIDE(VLOOKUP($B1083,Data!$B$3:$AB$1535,9,FALSE),VLOOKUP($B1083,Data!$B$3:$AB$1535,4,FALSE)),"")</f>
        <v>0.7151690821</v>
      </c>
      <c r="D1083" s="48">
        <f>IFERROR(DIVIDE(VLOOKUP($B1083,Data!$B$3:$AB$1535,24,FALSE),VLOOKUP($B1083,Data!$B$3:$AB$1535,4,FALSE)),"")</f>
        <v>0.1853140097</v>
      </c>
      <c r="E1083" s="48">
        <f>IFERROR(DIVIDE(VLOOKUP($B1083,Data!$B$3:$EZ1530,29,FALSE),VLOOKUP($B1083,Data!$B$3:$EZ1530,4,FALSE)),"")</f>
        <v>0.3416425121</v>
      </c>
      <c r="F1083" s="48">
        <f>IFERROR(DIVIDE(VLOOKUP($B1083,Data!$B$3:$EZ1530,34,FALSE),VLOOKUP($B1083,Data!$B$3:$EZ1530,4,FALSE)),"")</f>
        <v>0.3889855072</v>
      </c>
      <c r="G1083" s="48">
        <f>IFERROR(DIVIDE(VLOOKUP($B1083,Data!$B$3:$EZ1530,39,FALSE),VLOOKUP($B1083,Data!$B$3:$EZ1530,4,FALSE)),"")</f>
        <v>0.3143961353</v>
      </c>
      <c r="H1083" s="48">
        <f>IFERROR(DIVIDE(VLOOKUP($B1083,Data!$B$3:$EZ1530,44,FALSE),VLOOKUP($B1083,Data!$B$3:$EZ1530,4,FALSE)),"")</f>
        <v>0.2432850242</v>
      </c>
      <c r="I1083" s="48">
        <f>IFERROR(MINUS(DIVIDE(VLOOKUP($B1083,Data!$B$3:$EZ1530,9,FALSE),VLOOKUP($B1083,Data!$B$3:$EZ1530,10,FALSE)),1),"")</f>
        <v>-0.01673751328</v>
      </c>
      <c r="J1083" s="48">
        <f>IFERROR(MINUS(DIVIDE(VLOOKUP($B1083,Data!$B$3:$EZ1530,24,FALSE),VLOOKUP($B1083,Data!$B$3:$EZ1530,25,FALSE)),1),"")</f>
        <v>-0.1782347901</v>
      </c>
      <c r="K1083" s="48">
        <f>IFERROR(MINUS(DIVIDE(VLOOKUP($B1083,Data!$B$3:$EZ1530,29,FALSE),VLOOKUP($B1083,Data!$B$3:$EZ1530,30,FALSE)),1),"")</f>
        <v>0.4869638352</v>
      </c>
      <c r="L1083" s="48">
        <f>IFERROR(MINUS(DIVIDE(VLOOKUP($B1083,Data!$B$3:$EZ1530,34,FALSE),VLOOKUP($B1083,Data!$B$3:$EZ1530,35,FALSE)),1),"")</f>
        <v>-0.07106598985</v>
      </c>
      <c r="M1083" s="48">
        <f>IFERROR(MINUS(DIVIDE(VLOOKUP($B1083,Data!$B$3:$EZ1530,39,FALSE),VLOOKUP($B1083,Data!$B$3:$EZ1530,40,FALSE)),1),"")</f>
        <v>0.460502693</v>
      </c>
      <c r="N1083" s="48">
        <f>IFERROR(MINUS(DIVIDE(VLOOKUP($B1083,Data!$B$3:$EZ1530,44,FALSE),VLOOKUP($B1083,Data!$B$3:$EZ1530,45,FALSE)),1),"")</f>
        <v>-0.2046746684</v>
      </c>
      <c r="O1083" s="50">
        <f>IFERROR(VLOOKUP($B1083,Data!$B$3:$D1530,2,FALSE),"")</f>
        <v>52590000</v>
      </c>
      <c r="P1083" s="50">
        <f>IFERROR(VLOOKUP($B1083,Data!$B$3:$D1530,3,FALSE),"")</f>
        <v>49140000</v>
      </c>
      <c r="Q1083" s="48">
        <f t="shared" si="2"/>
        <v>0.07020757021</v>
      </c>
      <c r="R1083" s="48"/>
      <c r="S1083" s="48"/>
      <c r="T1083" s="48"/>
      <c r="U1083" s="48"/>
      <c r="V1083" s="48"/>
      <c r="W1083" s="50"/>
      <c r="Z1083" s="15"/>
      <c r="AA1083" s="15"/>
    </row>
    <row r="1084">
      <c r="A1084" s="9">
        <f t="shared" si="1"/>
        <v>1081</v>
      </c>
      <c r="B1084" s="47" t="s">
        <v>1218</v>
      </c>
      <c r="C1084" s="48">
        <f>IFERROR(DIVIDE(VLOOKUP($B1084,Data!$B$3:$AB$1535,9,FALSE),VLOOKUP($B1084,Data!$B$3:$AB$1535,4,FALSE)),"")</f>
        <v>0.1215805471</v>
      </c>
      <c r="D1084" s="48">
        <f>IFERROR(DIVIDE(VLOOKUP($B1084,Data!$B$3:$AB$1535,24,FALSE),VLOOKUP($B1084,Data!$B$3:$AB$1535,4,FALSE)),"")</f>
        <v>0</v>
      </c>
      <c r="E1084" s="48">
        <f>IFERROR(DIVIDE(VLOOKUP($B1084,Data!$B$3:$EZ1530,29,FALSE),VLOOKUP($B1084,Data!$B$3:$EZ1530,4,FALSE)),"")</f>
        <v>0.01105876393</v>
      </c>
      <c r="F1084" s="48">
        <f>IFERROR(DIVIDE(VLOOKUP($B1084,Data!$B$3:$EZ1530,34,FALSE),VLOOKUP($B1084,Data!$B$3:$EZ1530,4,FALSE)),"")</f>
        <v>0.02220364742</v>
      </c>
      <c r="G1084" s="48">
        <f>IFERROR(DIVIDE(VLOOKUP($B1084,Data!$B$3:$EZ1530,39,FALSE),VLOOKUP($B1084,Data!$B$3:$EZ1530,4,FALSE)),"")</f>
        <v>0.008449848024</v>
      </c>
      <c r="H1084" s="48">
        <f>IFERROR(DIVIDE(VLOOKUP($B1084,Data!$B$3:$EZ1530,44,FALSE),VLOOKUP($B1084,Data!$B$3:$EZ1530,4,FALSE)),"")</f>
        <v>0.01607902736</v>
      </c>
      <c r="I1084" s="48">
        <f>IFERROR(MINUS(DIVIDE(VLOOKUP($B1084,Data!$B$3:$EZ1530,9,FALSE),VLOOKUP($B1084,Data!$B$3:$EZ1530,10,FALSE)),1),"")</f>
        <v>0.09589041096</v>
      </c>
      <c r="J1084" s="48" t="str">
        <f>IFERROR(MINUS(DIVIDE(VLOOKUP($B1084,Data!$B$3:$EZ1530,24,FALSE),VLOOKUP($B1084,Data!$B$3:$EZ1530,25,FALSE)),1),"")</f>
        <v/>
      </c>
      <c r="K1084" s="48">
        <f>IFERROR(MINUS(DIVIDE(VLOOKUP($B1084,Data!$B$3:$EZ1530,29,FALSE),VLOOKUP($B1084,Data!$B$3:$EZ1530,30,FALSE)),1),"")</f>
        <v>0.1275826446</v>
      </c>
      <c r="L1084" s="48">
        <f>IFERROR(MINUS(DIVIDE(VLOOKUP($B1084,Data!$B$3:$EZ1530,34,FALSE),VLOOKUP($B1084,Data!$B$3:$EZ1530,35,FALSE)),1),"")</f>
        <v>0.1322655645</v>
      </c>
      <c r="M1084" s="48">
        <f>IFERROR(MINUS(DIVIDE(VLOOKUP($B1084,Data!$B$3:$EZ1530,39,FALSE),VLOOKUP($B1084,Data!$B$3:$EZ1530,40,FALSE)),1),"")</f>
        <v>-0.160543533</v>
      </c>
      <c r="N1084" s="48">
        <f>IFERROR(MINUS(DIVIDE(VLOOKUP($B1084,Data!$B$3:$EZ1530,44,FALSE),VLOOKUP($B1084,Data!$B$3:$EZ1530,45,FALSE)),1),"")</f>
        <v>-0.1351498638</v>
      </c>
      <c r="O1084" s="50">
        <f>IFERROR(VLOOKUP($B1084,Data!$B$3:$D1530,2,FALSE),"")</f>
        <v>27250000</v>
      </c>
      <c r="P1084" s="50">
        <f>IFERROR(VLOOKUP($B1084,Data!$B$3:$D1530,3,FALSE),"")</f>
        <v>24780000</v>
      </c>
      <c r="Q1084" s="48">
        <f t="shared" si="2"/>
        <v>0.099677159</v>
      </c>
      <c r="R1084" s="48"/>
      <c r="S1084" s="48"/>
      <c r="T1084" s="48"/>
      <c r="U1084" s="48"/>
      <c r="V1084" s="48"/>
      <c r="W1084" s="50"/>
      <c r="Z1084" s="15"/>
      <c r="AA1084" s="15"/>
    </row>
    <row r="1085">
      <c r="A1085" s="9">
        <f t="shared" si="1"/>
        <v>1082</v>
      </c>
      <c r="B1085" s="47" t="s">
        <v>1219</v>
      </c>
      <c r="C1085" s="48">
        <f>IFERROR(DIVIDE(VLOOKUP($B1085,Data!$B$3:$AB$1535,9,FALSE),VLOOKUP($B1085,Data!$B$3:$AB$1535,4,FALSE)),"")</f>
        <v>0.5117688513</v>
      </c>
      <c r="D1085" s="48">
        <f>IFERROR(DIVIDE(VLOOKUP($B1085,Data!$B$3:$AB$1535,24,FALSE),VLOOKUP($B1085,Data!$B$3:$AB$1535,4,FALSE)),"")</f>
        <v>0.2225510923</v>
      </c>
      <c r="E1085" s="48">
        <f>IFERROR(DIVIDE(VLOOKUP($B1085,Data!$B$3:$EZ1530,29,FALSE),VLOOKUP($B1085,Data!$B$3:$EZ1530,4,FALSE)),"")</f>
        <v>0.2231148696</v>
      </c>
      <c r="F1085" s="48">
        <f>IFERROR(DIVIDE(VLOOKUP($B1085,Data!$B$3:$EZ1530,34,FALSE),VLOOKUP($B1085,Data!$B$3:$EZ1530,4,FALSE)),"")</f>
        <v>0.2735729387</v>
      </c>
      <c r="G1085" s="48">
        <f>IFERROR(DIVIDE(VLOOKUP($B1085,Data!$B$3:$EZ1530,39,FALSE),VLOOKUP($B1085,Data!$B$3:$EZ1530,4,FALSE)),"")</f>
        <v>0.1836504581</v>
      </c>
      <c r="H1085" s="48">
        <f>IFERROR(DIVIDE(VLOOKUP($B1085,Data!$B$3:$EZ1530,44,FALSE),VLOOKUP($B1085,Data!$B$3:$EZ1530,4,FALSE)),"")</f>
        <v>0.245243129</v>
      </c>
      <c r="I1085" s="48">
        <f>IFERROR(MINUS(DIVIDE(VLOOKUP($B1085,Data!$B$3:$EZ1530,9,FALSE),VLOOKUP($B1085,Data!$B$3:$EZ1530,10,FALSE)),1),"")</f>
        <v>0.08582535885</v>
      </c>
      <c r="J1085" s="48">
        <f>IFERROR(MINUS(DIVIDE(VLOOKUP($B1085,Data!$B$3:$EZ1530,24,FALSE),VLOOKUP($B1085,Data!$B$3:$EZ1530,25,FALSE)),1),"")</f>
        <v>1.834829443</v>
      </c>
      <c r="K1085" s="48">
        <f>IFERROR(MINUS(DIVIDE(VLOOKUP($B1085,Data!$B$3:$EZ1530,29,FALSE),VLOOKUP($B1085,Data!$B$3:$EZ1530,30,FALSE)),1),"")</f>
        <v>1.607907743</v>
      </c>
      <c r="L1085" s="48">
        <f>IFERROR(MINUS(DIVIDE(VLOOKUP($B1085,Data!$B$3:$EZ1530,34,FALSE),VLOOKUP($B1085,Data!$B$3:$EZ1530,35,FALSE)),1),"")</f>
        <v>0.1193771626</v>
      </c>
      <c r="M1085" s="48">
        <f>IFERROR(MINUS(DIVIDE(VLOOKUP($B1085,Data!$B$3:$EZ1530,39,FALSE),VLOOKUP($B1085,Data!$B$3:$EZ1530,40,FALSE)),1),"")</f>
        <v>2.341025641</v>
      </c>
      <c r="N1085" s="48">
        <f>IFERROR(MINUS(DIVIDE(VLOOKUP($B1085,Data!$B$3:$EZ1530,44,FALSE),VLOOKUP($B1085,Data!$B$3:$EZ1530,45,FALSE)),1),"")</f>
        <v>0.1417322835</v>
      </c>
      <c r="O1085" s="50">
        <f>IFERROR(VLOOKUP($B1085,Data!$B$3:$D1530,2,FALSE),"")</f>
        <v>75500000</v>
      </c>
      <c r="P1085" s="50">
        <f>IFERROR(VLOOKUP($B1085,Data!$B$3:$D1530,3,FALSE),"")</f>
        <v>72860000</v>
      </c>
      <c r="Q1085" s="48">
        <f t="shared" si="2"/>
        <v>0.03623387318</v>
      </c>
      <c r="R1085" s="48"/>
      <c r="S1085" s="48"/>
      <c r="T1085" s="48"/>
      <c r="U1085" s="48"/>
      <c r="V1085" s="48"/>
      <c r="W1085" s="50"/>
      <c r="Z1085" s="11"/>
      <c r="AA1085" s="11"/>
    </row>
    <row r="1086">
      <c r="A1086" s="9">
        <f t="shared" si="1"/>
        <v>1083</v>
      </c>
      <c r="B1086" s="47" t="s">
        <v>1220</v>
      </c>
      <c r="C1086" s="48">
        <f>IFERROR(DIVIDE(VLOOKUP($B1086,Data!$B$3:$AB$1535,9,FALSE),VLOOKUP($B1086,Data!$B$3:$AB$1535,4,FALSE)),"")</f>
        <v>0.1981452456</v>
      </c>
      <c r="D1086" s="48">
        <f>IFERROR(DIVIDE(VLOOKUP($B1086,Data!$B$3:$AB$1535,24,FALSE),VLOOKUP($B1086,Data!$B$3:$AB$1535,4,FALSE)),"")</f>
        <v>-0.03700801115</v>
      </c>
      <c r="E1086" s="48">
        <f>IFERROR(DIVIDE(VLOOKUP($B1086,Data!$B$3:$EZ1530,29,FALSE),VLOOKUP($B1086,Data!$B$3:$EZ1530,4,FALSE)),"")</f>
        <v>-0.03726924417</v>
      </c>
      <c r="F1086" s="48">
        <f>IFERROR(DIVIDE(VLOOKUP($B1086,Data!$B$3:$EZ1530,34,FALSE),VLOOKUP($B1086,Data!$B$3:$EZ1530,4,FALSE)),"")</f>
        <v>0.05141936607</v>
      </c>
      <c r="G1086" s="48">
        <f>IFERROR(DIVIDE(VLOOKUP($B1086,Data!$B$3:$EZ1530,39,FALSE),VLOOKUP($B1086,Data!$B$3:$EZ1530,4,FALSE)),"")</f>
        <v>-0.037312783</v>
      </c>
      <c r="H1086" s="48">
        <f>IFERROR(DIVIDE(VLOOKUP($B1086,Data!$B$3:$EZ1530,44,FALSE),VLOOKUP($B1086,Data!$B$3:$EZ1530,4,FALSE)),"")</f>
        <v>-0.006661442006</v>
      </c>
      <c r="I1086" s="48">
        <f>IFERROR(MINUS(DIVIDE(VLOOKUP($B1086,Data!$B$3:$EZ1530,9,FALSE),VLOOKUP($B1086,Data!$B$3:$EZ1530,10,FALSE)),1),"")</f>
        <v>1.342254246</v>
      </c>
      <c r="J1086" s="48">
        <f>IFERROR(MINUS(DIVIDE(VLOOKUP($B1086,Data!$B$3:$EZ1530,24,FALSE),VLOOKUP($B1086,Data!$B$3:$EZ1530,25,FALSE)),1),"")</f>
        <v>0.3117283951</v>
      </c>
      <c r="K1086" s="48">
        <f>IFERROR(MINUS(DIVIDE(VLOOKUP($B1086,Data!$B$3:$EZ1530,29,FALSE),VLOOKUP($B1086,Data!$B$3:$EZ1530,30,FALSE)),1),"")</f>
        <v>0.2423802612</v>
      </c>
      <c r="L1086" s="48">
        <f>IFERROR(MINUS(DIVIDE(VLOOKUP($B1086,Data!$B$3:$EZ1530,34,FALSE),VLOOKUP($B1086,Data!$B$3:$EZ1530,35,FALSE)),1),"")</f>
        <v>-8.522292994</v>
      </c>
      <c r="M1086" s="48">
        <f>IFERROR(MINUS(DIVIDE(VLOOKUP($B1086,Data!$B$3:$EZ1530,39,FALSE),VLOOKUP($B1086,Data!$B$3:$EZ1530,40,FALSE)),1),"")</f>
        <v>0.673828125</v>
      </c>
      <c r="N1086" s="48">
        <f>IFERROR(MINUS(DIVIDE(VLOOKUP($B1086,Data!$B$3:$EZ1530,44,FALSE),VLOOKUP($B1086,Data!$B$3:$EZ1530,45,FALSE)),1),"")</f>
        <v>-1.674008811</v>
      </c>
      <c r="O1086" s="50">
        <f>IFERROR(VLOOKUP($B1086,Data!$B$3:$D1530,2,FALSE),"")</f>
        <v>543010</v>
      </c>
      <c r="P1086" s="50">
        <f>IFERROR(VLOOKUP($B1086,Data!$B$3:$D1530,3,FALSE),"")</f>
        <v>337320</v>
      </c>
      <c r="Q1086" s="48">
        <f t="shared" si="2"/>
        <v>0.6097770663</v>
      </c>
      <c r="R1086" s="48"/>
      <c r="S1086" s="48"/>
      <c r="T1086" s="48"/>
      <c r="U1086" s="48"/>
      <c r="V1086" s="48"/>
      <c r="W1086" s="50"/>
      <c r="Z1086" s="15"/>
      <c r="AA1086" s="15"/>
    </row>
    <row r="1087">
      <c r="A1087" s="9">
        <f t="shared" si="1"/>
        <v>1084</v>
      </c>
      <c r="B1087" s="47" t="s">
        <v>1221</v>
      </c>
      <c r="C1087" s="48">
        <f>IFERROR(DIVIDE(VLOOKUP($B1087,Data!$B$3:$AB$1535,9,FALSE),VLOOKUP($B1087,Data!$B$3:$AB$1535,4,FALSE)),"")</f>
        <v>0.3349710052</v>
      </c>
      <c r="D1087" s="48">
        <f>IFERROR(DIVIDE(VLOOKUP($B1087,Data!$B$3:$AB$1535,24,FALSE),VLOOKUP($B1087,Data!$B$3:$AB$1535,4,FALSE)),"")</f>
        <v>0.1175499356</v>
      </c>
      <c r="E1087" s="48">
        <f>IFERROR(DIVIDE(VLOOKUP($B1087,Data!$B$3:$EZ1530,29,FALSE),VLOOKUP($B1087,Data!$B$3:$EZ1530,4,FALSE)),"")</f>
        <v>0.07534632732</v>
      </c>
      <c r="F1087" s="48">
        <f>IFERROR(DIVIDE(VLOOKUP($B1087,Data!$B$3:$EZ1530,34,FALSE),VLOOKUP($B1087,Data!$B$3:$EZ1530,4,FALSE)),"")</f>
        <v>0.1671499141</v>
      </c>
      <c r="G1087" s="48">
        <f>IFERROR(DIVIDE(VLOOKUP($B1087,Data!$B$3:$EZ1530,39,FALSE),VLOOKUP($B1087,Data!$B$3:$EZ1530,4,FALSE)),"")</f>
        <v>0.05864744416</v>
      </c>
      <c r="H1087" s="48">
        <f>IFERROR(DIVIDE(VLOOKUP($B1087,Data!$B$3:$EZ1530,44,FALSE),VLOOKUP($B1087,Data!$B$3:$EZ1530,4,FALSE)),"")</f>
        <v>0.109025988</v>
      </c>
      <c r="I1087" s="48">
        <f>IFERROR(MINUS(DIVIDE(VLOOKUP($B1087,Data!$B$3:$EZ1530,9,FALSE),VLOOKUP($B1087,Data!$B$3:$EZ1530,10,FALSE)),1),"")</f>
        <v>0.01600097716</v>
      </c>
      <c r="J1087" s="48">
        <f>IFERROR(MINUS(DIVIDE(VLOOKUP($B1087,Data!$B$3:$EZ1530,24,FALSE),VLOOKUP($B1087,Data!$B$3:$EZ1530,25,FALSE)),1),"")</f>
        <v>-0.02068888392</v>
      </c>
      <c r="K1087" s="48">
        <f>IFERROR(MINUS(DIVIDE(VLOOKUP($B1087,Data!$B$3:$EZ1530,29,FALSE),VLOOKUP($B1087,Data!$B$3:$EZ1530,30,FALSE)),1),"")</f>
        <v>-0.1392424475</v>
      </c>
      <c r="L1087" s="48">
        <f>IFERROR(MINUS(DIVIDE(VLOOKUP($B1087,Data!$B$3:$EZ1530,34,FALSE),VLOOKUP($B1087,Data!$B$3:$EZ1530,35,FALSE)),1),"")</f>
        <v>0.02866584056</v>
      </c>
      <c r="M1087" s="48">
        <f>IFERROR(MINUS(DIVIDE(VLOOKUP($B1087,Data!$B$3:$EZ1530,39,FALSE),VLOOKUP($B1087,Data!$B$3:$EZ1530,40,FALSE)),1),"")</f>
        <v>-0.1898757649</v>
      </c>
      <c r="N1087" s="48">
        <f>IFERROR(MINUS(DIVIDE(VLOOKUP($B1087,Data!$B$3:$EZ1530,44,FALSE),VLOOKUP($B1087,Data!$B$3:$EZ1530,45,FALSE)),1),"")</f>
        <v>-0.1903100389</v>
      </c>
      <c r="O1087" s="50">
        <f>IFERROR(VLOOKUP($B1087,Data!$B$3:$D1530,2,FALSE),"")</f>
        <v>867000</v>
      </c>
      <c r="P1087" s="50">
        <f>IFERROR(VLOOKUP($B1087,Data!$B$3:$D1530,3,FALSE),"")</f>
        <v>805680</v>
      </c>
      <c r="Q1087" s="48">
        <f t="shared" si="2"/>
        <v>0.07610962169</v>
      </c>
      <c r="R1087" s="48"/>
      <c r="S1087" s="48"/>
      <c r="T1087" s="48"/>
      <c r="U1087" s="48"/>
      <c r="V1087" s="48"/>
      <c r="W1087" s="50"/>
      <c r="Z1087" s="15"/>
      <c r="AA1087" s="15"/>
    </row>
    <row r="1088">
      <c r="A1088" s="9">
        <f t="shared" si="1"/>
        <v>1085</v>
      </c>
      <c r="B1088" s="47" t="s">
        <v>1222</v>
      </c>
      <c r="C1088" s="48">
        <f>IFERROR(DIVIDE(VLOOKUP($B1088,Data!$B$3:$AB$1535,9,FALSE),VLOOKUP($B1088,Data!$B$3:$AB$1535,4,FALSE)),"")</f>
        <v>0.2489051095</v>
      </c>
      <c r="D1088" s="48">
        <f>IFERROR(DIVIDE(VLOOKUP($B1088,Data!$B$3:$AB$1535,24,FALSE),VLOOKUP($B1088,Data!$B$3:$AB$1535,4,FALSE)),"")</f>
        <v>0</v>
      </c>
      <c r="E1088" s="48">
        <f>IFERROR(DIVIDE(VLOOKUP($B1088,Data!$B$3:$EZ1530,29,FALSE),VLOOKUP($B1088,Data!$B$3:$EZ1530,4,FALSE)),"")</f>
        <v>0.1102189781</v>
      </c>
      <c r="F1088" s="48">
        <f>IFERROR(DIVIDE(VLOOKUP($B1088,Data!$B$3:$EZ1530,34,FALSE),VLOOKUP($B1088,Data!$B$3:$EZ1530,4,FALSE)),"")</f>
        <v>0.1671532847</v>
      </c>
      <c r="G1088" s="48">
        <f>IFERROR(DIVIDE(VLOOKUP($B1088,Data!$B$3:$EZ1530,39,FALSE),VLOOKUP($B1088,Data!$B$3:$EZ1530,4,FALSE)),"")</f>
        <v>0.08832116788</v>
      </c>
      <c r="H1088" s="48">
        <f>IFERROR(DIVIDE(VLOOKUP($B1088,Data!$B$3:$EZ1530,44,FALSE),VLOOKUP($B1088,Data!$B$3:$EZ1530,4,FALSE)),"")</f>
        <v>0.1510948905</v>
      </c>
      <c r="I1088" s="48">
        <f>IFERROR(MINUS(DIVIDE(VLOOKUP($B1088,Data!$B$3:$EZ1530,9,FALSE),VLOOKUP($B1088,Data!$B$3:$EZ1530,10,FALSE)),1),"")</f>
        <v>-0.06575342466</v>
      </c>
      <c r="J1088" s="48">
        <f>IFERROR(MINUS(DIVIDE(VLOOKUP($B1088,Data!$B$3:$EZ1530,24,FALSE),VLOOKUP($B1088,Data!$B$3:$EZ1530,25,FALSE)),1),"")</f>
        <v>-1</v>
      </c>
      <c r="K1088" s="48">
        <f>IFERROR(MINUS(DIVIDE(VLOOKUP($B1088,Data!$B$3:$EZ1530,29,FALSE),VLOOKUP($B1088,Data!$B$3:$EZ1530,30,FALSE)),1),"")</f>
        <v>-0.2176165803</v>
      </c>
      <c r="L1088" s="48">
        <f>IFERROR(MINUS(DIVIDE(VLOOKUP($B1088,Data!$B$3:$EZ1530,34,FALSE),VLOOKUP($B1088,Data!$B$3:$EZ1530,35,FALSE)),1),"")</f>
        <v>-0.10546875</v>
      </c>
      <c r="M1088" s="48">
        <f>IFERROR(MINUS(DIVIDE(VLOOKUP($B1088,Data!$B$3:$EZ1530,39,FALSE),VLOOKUP($B1088,Data!$B$3:$EZ1530,40,FALSE)),1),"")</f>
        <v>-0.1986754967</v>
      </c>
      <c r="N1088" s="48">
        <f>IFERROR(MINUS(DIVIDE(VLOOKUP($B1088,Data!$B$3:$EZ1530,44,FALSE),VLOOKUP($B1088,Data!$B$3:$EZ1530,45,FALSE)),1),"")</f>
        <v>0.1965317919</v>
      </c>
      <c r="O1088" s="50">
        <f>IFERROR(VLOOKUP($B1088,Data!$B$3:$D1530,2,FALSE),"")</f>
        <v>14030000</v>
      </c>
      <c r="P1088" s="50">
        <f>IFERROR(VLOOKUP($B1088,Data!$B$3:$D1530,3,FALSE),"")</f>
        <v>12760000</v>
      </c>
      <c r="Q1088" s="48">
        <f t="shared" si="2"/>
        <v>0.09952978056</v>
      </c>
      <c r="R1088" s="48"/>
      <c r="S1088" s="48"/>
      <c r="T1088" s="48"/>
      <c r="U1088" s="48"/>
      <c r="V1088" s="48"/>
      <c r="W1088" s="50"/>
      <c r="Z1088" s="11"/>
      <c r="AA1088" s="11"/>
    </row>
    <row r="1089">
      <c r="A1089" s="9">
        <f t="shared" si="1"/>
        <v>1086</v>
      </c>
      <c r="B1089" s="47" t="s">
        <v>1223</v>
      </c>
      <c r="C1089" s="48">
        <f>IFERROR(DIVIDE(VLOOKUP($B1089,Data!$B$3:$AB$1535,9,FALSE),VLOOKUP($B1089,Data!$B$3:$AB$1535,4,FALSE)),"")</f>
        <v>0</v>
      </c>
      <c r="D1089" s="48">
        <f>IFERROR(DIVIDE(VLOOKUP($B1089,Data!$B$3:$AB$1535,24,FALSE),VLOOKUP($B1089,Data!$B$3:$AB$1535,4,FALSE)),"")</f>
        <v>0</v>
      </c>
      <c r="E1089" s="48">
        <f>IFERROR(DIVIDE(VLOOKUP($B1089,Data!$B$3:$EZ1530,29,FALSE),VLOOKUP($B1089,Data!$B$3:$EZ1530,4,FALSE)),"")</f>
        <v>-75.56521739</v>
      </c>
      <c r="F1089" s="48">
        <f>IFERROR(DIVIDE(VLOOKUP($B1089,Data!$B$3:$EZ1530,34,FALSE),VLOOKUP($B1089,Data!$B$3:$EZ1530,4,FALSE)),"")</f>
        <v>-79.2173913</v>
      </c>
      <c r="G1089" s="48">
        <f>IFERROR(DIVIDE(VLOOKUP($B1089,Data!$B$3:$EZ1530,39,FALSE),VLOOKUP($B1089,Data!$B$3:$EZ1530,4,FALSE)),"")</f>
        <v>-68.26086957</v>
      </c>
      <c r="H1089" s="48">
        <f>IFERROR(DIVIDE(VLOOKUP($B1089,Data!$B$3:$EZ1530,44,FALSE),VLOOKUP($B1089,Data!$B$3:$EZ1530,4,FALSE)),"")</f>
        <v>-68.85217391</v>
      </c>
      <c r="I1089" s="48">
        <f>IFERROR(MINUS(DIVIDE(VLOOKUP($B1089,Data!$B$3:$EZ1530,9,FALSE),VLOOKUP($B1089,Data!$B$3:$EZ1530,10,FALSE)),1),"")</f>
        <v>-1</v>
      </c>
      <c r="J1089" s="48">
        <f>IFERROR(MINUS(DIVIDE(VLOOKUP($B1089,Data!$B$3:$EZ1530,24,FALSE),VLOOKUP($B1089,Data!$B$3:$EZ1530,25,FALSE)),1),"")</f>
        <v>-1</v>
      </c>
      <c r="K1089" s="48">
        <f>IFERROR(MINUS(DIVIDE(VLOOKUP($B1089,Data!$B$3:$EZ1530,29,FALSE),VLOOKUP($B1089,Data!$B$3:$EZ1530,30,FALSE)),1),"")</f>
        <v>0.5944954128</v>
      </c>
      <c r="L1089" s="48">
        <f>IFERROR(MINUS(DIVIDE(VLOOKUP($B1089,Data!$B$3:$EZ1530,34,FALSE),VLOOKUP($B1089,Data!$B$3:$EZ1530,35,FALSE)),1),"")</f>
        <v>0.9292672596</v>
      </c>
      <c r="M1089" s="48">
        <f>IFERROR(MINUS(DIVIDE(VLOOKUP($B1089,Data!$B$3:$EZ1530,39,FALSE),VLOOKUP($B1089,Data!$B$3:$EZ1530,40,FALSE)),1),"")</f>
        <v>0.6457023061</v>
      </c>
      <c r="N1089" s="48">
        <f>IFERROR(MINUS(DIVIDE(VLOOKUP($B1089,Data!$B$3:$EZ1530,44,FALSE),VLOOKUP($B1089,Data!$B$3:$EZ1530,45,FALSE)),1),"")</f>
        <v>1.321994135</v>
      </c>
      <c r="O1089" s="50" t="str">
        <f>IFERROR(VLOOKUP($B1089,Data!$B$3:$D1530,2,FALSE),"")</f>
        <v/>
      </c>
      <c r="P1089" s="50" t="str">
        <f>IFERROR(VLOOKUP($B1089,Data!$B$3:$D1530,3,FALSE),"")</f>
        <v/>
      </c>
      <c r="Q1089" s="48" t="str">
        <f t="shared" si="2"/>
        <v/>
      </c>
      <c r="R1089" s="48"/>
      <c r="S1089" s="48"/>
      <c r="T1089" s="48"/>
      <c r="U1089" s="48"/>
      <c r="V1089" s="48"/>
      <c r="W1089" s="50"/>
      <c r="Z1089" s="11"/>
      <c r="AA1089" s="11"/>
    </row>
    <row r="1090">
      <c r="A1090" s="9">
        <f t="shared" si="1"/>
        <v>1087</v>
      </c>
      <c r="B1090" s="47" t="s">
        <v>1224</v>
      </c>
      <c r="C1090" s="48" t="str">
        <f>IFERROR(DIVIDE(VLOOKUP($B1090,Data!$B$3:$AB$1535,9,FALSE),VLOOKUP($B1090,Data!$B$3:$AB$1535,4,FALSE)),"")</f>
        <v/>
      </c>
      <c r="D1090" s="48" t="str">
        <f>IFERROR(DIVIDE(VLOOKUP($B1090,Data!$B$3:$AB$1535,24,FALSE),VLOOKUP($B1090,Data!$B$3:$AB$1535,4,FALSE)),"")</f>
        <v/>
      </c>
      <c r="E1090" s="48" t="str">
        <f>IFERROR(DIVIDE(VLOOKUP($B1090,Data!$B$3:$EZ1530,29,FALSE),VLOOKUP($B1090,Data!$B$3:$EZ1530,4,FALSE)),"")</f>
        <v/>
      </c>
      <c r="F1090" s="48" t="str">
        <f>IFERROR(DIVIDE(VLOOKUP($B1090,Data!$B$3:$EZ1530,34,FALSE),VLOOKUP($B1090,Data!$B$3:$EZ1530,4,FALSE)),"")</f>
        <v/>
      </c>
      <c r="G1090" s="48" t="str">
        <f>IFERROR(DIVIDE(VLOOKUP($B1090,Data!$B$3:$EZ1530,39,FALSE),VLOOKUP($B1090,Data!$B$3:$EZ1530,4,FALSE)),"")</f>
        <v/>
      </c>
      <c r="H1090" s="48" t="str">
        <f>IFERROR(DIVIDE(VLOOKUP($B1090,Data!$B$3:$EZ1530,44,FALSE),VLOOKUP($B1090,Data!$B$3:$EZ1530,4,FALSE)),"")</f>
        <v/>
      </c>
      <c r="I1090" s="48" t="str">
        <f>IFERROR(MINUS(DIVIDE(VLOOKUP($B1090,Data!$B$3:$EZ1530,9,FALSE),VLOOKUP($B1090,Data!$B$3:$EZ1530,10,FALSE)),1),"")</f>
        <v/>
      </c>
      <c r="J1090" s="48">
        <f>IFERROR(MINUS(DIVIDE(VLOOKUP($B1090,Data!$B$3:$EZ1530,24,FALSE),VLOOKUP($B1090,Data!$B$3:$EZ1530,25,FALSE)),1),"")</f>
        <v>195.8984375</v>
      </c>
      <c r="K1090" s="48">
        <f>IFERROR(MINUS(DIVIDE(VLOOKUP($B1090,Data!$B$3:$EZ1530,29,FALSE),VLOOKUP($B1090,Data!$B$3:$EZ1530,30,FALSE)),1),"")</f>
        <v>196.7751938</v>
      </c>
      <c r="L1090" s="48">
        <f>IFERROR(MINUS(DIVIDE(VLOOKUP($B1090,Data!$B$3:$EZ1530,34,FALSE),VLOOKUP($B1090,Data!$B$3:$EZ1530,35,FALSE)),1),"")</f>
        <v>21.20325203</v>
      </c>
      <c r="M1090" s="48">
        <f>IFERROR(MINUS(DIVIDE(VLOOKUP($B1090,Data!$B$3:$EZ1530,39,FALSE),VLOOKUP($B1090,Data!$B$3:$EZ1530,40,FALSE)),1),"")</f>
        <v>196.7751938</v>
      </c>
      <c r="N1090" s="48">
        <f>IFERROR(MINUS(DIVIDE(VLOOKUP($B1090,Data!$B$3:$EZ1530,44,FALSE),VLOOKUP($B1090,Data!$B$3:$EZ1530,45,FALSE)),1),"")</f>
        <v>34.84313725</v>
      </c>
      <c r="O1090" s="50" t="str">
        <f>IFERROR(VLOOKUP($B1090,Data!$B$3:$D1530,2,FALSE),"")</f>
        <v/>
      </c>
      <c r="P1090" s="50" t="str">
        <f>IFERROR(VLOOKUP($B1090,Data!$B$3:$D1530,3,FALSE),"")</f>
        <v/>
      </c>
      <c r="Q1090" s="48" t="str">
        <f t="shared" si="2"/>
        <v/>
      </c>
      <c r="R1090" s="48"/>
      <c r="S1090" s="48"/>
      <c r="T1090" s="48"/>
      <c r="U1090" s="48"/>
      <c r="V1090" s="48"/>
      <c r="W1090" s="50"/>
      <c r="Z1090" s="11"/>
      <c r="AA1090" s="11"/>
    </row>
    <row r="1091">
      <c r="A1091" s="9">
        <f t="shared" si="1"/>
        <v>1088</v>
      </c>
      <c r="B1091" s="47" t="s">
        <v>1225</v>
      </c>
      <c r="C1091" s="48">
        <f>IFERROR(DIVIDE(VLOOKUP($B1091,Data!$B$3:$AB$1535,9,FALSE),VLOOKUP($B1091,Data!$B$3:$AB$1535,4,FALSE)),"")</f>
        <v>0.4640657084</v>
      </c>
      <c r="D1091" s="48">
        <f>IFERROR(DIVIDE(VLOOKUP($B1091,Data!$B$3:$AB$1535,24,FALSE),VLOOKUP($B1091,Data!$B$3:$AB$1535,4,FALSE)),"")</f>
        <v>0.08110882957</v>
      </c>
      <c r="E1091" s="48">
        <f>IFERROR(DIVIDE(VLOOKUP($B1091,Data!$B$3:$EZ1530,29,FALSE),VLOOKUP($B1091,Data!$B$3:$EZ1530,4,FALSE)),"")</f>
        <v>0.07854209446</v>
      </c>
      <c r="F1091" s="48">
        <f>IFERROR(DIVIDE(VLOOKUP($B1091,Data!$B$3:$EZ1530,34,FALSE),VLOOKUP($B1091,Data!$B$3:$EZ1530,4,FALSE)),"")</f>
        <v>0.1760780287</v>
      </c>
      <c r="G1091" s="48">
        <f>IFERROR(DIVIDE(VLOOKUP($B1091,Data!$B$3:$EZ1530,39,FALSE),VLOOKUP($B1091,Data!$B$3:$EZ1530,4,FALSE)),"")</f>
        <v>0.06108829569</v>
      </c>
      <c r="H1091" s="48">
        <f>IFERROR(DIVIDE(VLOOKUP($B1091,Data!$B$3:$EZ1530,44,FALSE),VLOOKUP($B1091,Data!$B$3:$EZ1530,4,FALSE)),"")</f>
        <v>0.1042094456</v>
      </c>
      <c r="I1091" s="48">
        <f>IFERROR(MINUS(DIVIDE(VLOOKUP($B1091,Data!$B$3:$EZ1530,9,FALSE),VLOOKUP($B1091,Data!$B$3:$EZ1530,10,FALSE)),1),"")</f>
        <v>0.08523409364</v>
      </c>
      <c r="J1091" s="48">
        <f>IFERROR(MINUS(DIVIDE(VLOOKUP($B1091,Data!$B$3:$EZ1530,24,FALSE),VLOOKUP($B1091,Data!$B$3:$EZ1530,25,FALSE)),1),"")</f>
        <v>-0.02469135802</v>
      </c>
      <c r="K1091" s="48">
        <f>IFERROR(MINUS(DIVIDE(VLOOKUP($B1091,Data!$B$3:$EZ1530,29,FALSE),VLOOKUP($B1091,Data!$B$3:$EZ1530,30,FALSE)),1),"")</f>
        <v>0.01324503311</v>
      </c>
      <c r="L1091" s="48">
        <f>IFERROR(MINUS(DIVIDE(VLOOKUP($B1091,Data!$B$3:$EZ1530,34,FALSE),VLOOKUP($B1091,Data!$B$3:$EZ1530,35,FALSE)),1),"")</f>
        <v>0.1136363636</v>
      </c>
      <c r="M1091" s="48">
        <f>IFERROR(MINUS(DIVIDE(VLOOKUP($B1091,Data!$B$3:$EZ1530,39,FALSE),VLOOKUP($B1091,Data!$B$3:$EZ1530,40,FALSE)),1),"")</f>
        <v>-0.08461538462</v>
      </c>
      <c r="N1091" s="48">
        <f>IFERROR(MINUS(DIVIDE(VLOOKUP($B1091,Data!$B$3:$EZ1530,44,FALSE),VLOOKUP($B1091,Data!$B$3:$EZ1530,45,FALSE)),1),"")</f>
        <v>0.1404494382</v>
      </c>
      <c r="O1091" s="50" t="str">
        <f>IFERROR(VLOOKUP($B1091,Data!$B$3:$D1530,2,FALSE),"")</f>
        <v/>
      </c>
      <c r="P1091" s="50" t="str">
        <f>IFERROR(VLOOKUP($B1091,Data!$B$3:$D1530,3,FALSE),"")</f>
        <v/>
      </c>
      <c r="Q1091" s="48" t="str">
        <f t="shared" si="2"/>
        <v/>
      </c>
      <c r="R1091" s="48"/>
      <c r="S1091" s="48"/>
      <c r="T1091" s="48"/>
      <c r="U1091" s="48"/>
      <c r="V1091" s="48"/>
      <c r="W1091" s="50"/>
      <c r="Z1091" s="12"/>
      <c r="AA1091" s="12"/>
    </row>
    <row r="1092">
      <c r="A1092" s="9">
        <f t="shared" si="1"/>
        <v>1089</v>
      </c>
      <c r="B1092" s="47" t="s">
        <v>1226</v>
      </c>
      <c r="C1092" s="48">
        <f>IFERROR(DIVIDE(VLOOKUP($B1092,Data!$B$3:$AB$1535,9,FALSE),VLOOKUP($B1092,Data!$B$3:$AB$1535,4,FALSE)),"")</f>
        <v>0.2331047992</v>
      </c>
      <c r="D1092" s="48">
        <f>IFERROR(DIVIDE(VLOOKUP($B1092,Data!$B$3:$AB$1535,24,FALSE),VLOOKUP($B1092,Data!$B$3:$AB$1535,4,FALSE)),"")</f>
        <v>0.1302644466</v>
      </c>
      <c r="E1092" s="48">
        <f>IFERROR(DIVIDE(VLOOKUP($B1092,Data!$B$3:$EZ1530,29,FALSE),VLOOKUP($B1092,Data!$B$3:$EZ1530,4,FALSE)),"")</f>
        <v>0.1312438786</v>
      </c>
      <c r="F1092" s="48">
        <f>IFERROR(DIVIDE(VLOOKUP($B1092,Data!$B$3:$EZ1530,34,FALSE),VLOOKUP($B1092,Data!$B$3:$EZ1530,4,FALSE)),"")</f>
        <v>0.139079334</v>
      </c>
      <c r="G1092" s="48">
        <f>IFERROR(DIVIDE(VLOOKUP($B1092,Data!$B$3:$EZ1530,39,FALSE),VLOOKUP($B1092,Data!$B$3:$EZ1530,4,FALSE)),"")</f>
        <v>0.09892262488</v>
      </c>
      <c r="H1092" s="48">
        <f>IFERROR(DIVIDE(VLOOKUP($B1092,Data!$B$3:$EZ1530,44,FALSE),VLOOKUP($B1092,Data!$B$3:$EZ1530,4,FALSE)),"")</f>
        <v>0.1057786484</v>
      </c>
      <c r="I1092" s="48">
        <f>IFERROR(MINUS(DIVIDE(VLOOKUP($B1092,Data!$B$3:$EZ1530,9,FALSE),VLOOKUP($B1092,Data!$B$3:$EZ1530,10,FALSE)),1),"")</f>
        <v>0.008474576271</v>
      </c>
      <c r="J1092" s="48">
        <f>IFERROR(MINUS(DIVIDE(VLOOKUP($B1092,Data!$B$3:$EZ1530,24,FALSE),VLOOKUP($B1092,Data!$B$3:$EZ1530,25,FALSE)),1),"")</f>
        <v>-0.01481481481</v>
      </c>
      <c r="K1092" s="48">
        <f>IFERROR(MINUS(DIVIDE(VLOOKUP($B1092,Data!$B$3:$EZ1530,29,FALSE),VLOOKUP($B1092,Data!$B$3:$EZ1530,30,FALSE)),1),"")</f>
        <v>-0.007407407407</v>
      </c>
      <c r="L1092" s="48">
        <f>IFERROR(MINUS(DIVIDE(VLOOKUP($B1092,Data!$B$3:$EZ1530,34,FALSE),VLOOKUP($B1092,Data!$B$3:$EZ1530,35,FALSE)),1),"")</f>
        <v>0.01428571429</v>
      </c>
      <c r="M1092" s="48">
        <f>IFERROR(MINUS(DIVIDE(VLOOKUP($B1092,Data!$B$3:$EZ1530,39,FALSE),VLOOKUP($B1092,Data!$B$3:$EZ1530,40,FALSE)),1),"")</f>
        <v>0</v>
      </c>
      <c r="N1092" s="48">
        <f>IFERROR(MINUS(DIVIDE(VLOOKUP($B1092,Data!$B$3:$EZ1530,44,FALSE),VLOOKUP($B1092,Data!$B$3:$EZ1530,45,FALSE)),1),"")</f>
        <v>-0.2551724138</v>
      </c>
      <c r="O1092" s="50">
        <f>IFERROR(VLOOKUP($B1092,Data!$B$3:$D1530,2,FALSE),"")</f>
        <v>11760000</v>
      </c>
      <c r="P1092" s="50">
        <f>IFERROR(VLOOKUP($B1092,Data!$B$3:$D1530,3,FALSE),"")</f>
        <v>10550000</v>
      </c>
      <c r="Q1092" s="48">
        <f t="shared" si="2"/>
        <v>0.1146919431</v>
      </c>
      <c r="R1092" s="48"/>
      <c r="S1092" s="48"/>
      <c r="T1092" s="48"/>
      <c r="U1092" s="48"/>
      <c r="V1092" s="48"/>
      <c r="W1092" s="50"/>
      <c r="Z1092" s="12"/>
      <c r="AA1092" s="12"/>
    </row>
    <row r="1093">
      <c r="A1093" s="9">
        <f t="shared" si="1"/>
        <v>1090</v>
      </c>
      <c r="B1093" s="47" t="s">
        <v>1227</v>
      </c>
      <c r="C1093" s="48">
        <f>IFERROR(DIVIDE(VLOOKUP($B1093,Data!$B$3:$AB$1535,9,FALSE),VLOOKUP($B1093,Data!$B$3:$AB$1535,4,FALSE)),"")</f>
        <v>0.2315634218</v>
      </c>
      <c r="D1093" s="48">
        <f>IFERROR(DIVIDE(VLOOKUP($B1093,Data!$B$3:$AB$1535,24,FALSE),VLOOKUP($B1093,Data!$B$3:$AB$1535,4,FALSE)),"")</f>
        <v>0</v>
      </c>
      <c r="E1093" s="48">
        <f>IFERROR(DIVIDE(VLOOKUP($B1093,Data!$B$3:$EZ1530,29,FALSE),VLOOKUP($B1093,Data!$B$3:$EZ1530,4,FALSE)),"")</f>
        <v>0.06014749263</v>
      </c>
      <c r="F1093" s="48">
        <f>IFERROR(DIVIDE(VLOOKUP($B1093,Data!$B$3:$EZ1530,34,FALSE),VLOOKUP($B1093,Data!$B$3:$EZ1530,4,FALSE)),"")</f>
        <v>0.09386430678</v>
      </c>
      <c r="G1093" s="48">
        <f>IFERROR(DIVIDE(VLOOKUP($B1093,Data!$B$3:$EZ1530,39,FALSE),VLOOKUP($B1093,Data!$B$3:$EZ1530,4,FALSE)),"")</f>
        <v>0.04778171091</v>
      </c>
      <c r="H1093" s="48">
        <f>IFERROR(DIVIDE(VLOOKUP($B1093,Data!$B$3:$EZ1530,44,FALSE),VLOOKUP($B1093,Data!$B$3:$EZ1530,4,FALSE)),"")</f>
        <v>0.1011622419</v>
      </c>
      <c r="I1093" s="48">
        <f>IFERROR(MINUS(DIVIDE(VLOOKUP($B1093,Data!$B$3:$EZ1530,9,FALSE),VLOOKUP($B1093,Data!$B$3:$EZ1530,10,FALSE)),1),"")</f>
        <v>0.0979020979</v>
      </c>
      <c r="J1093" s="48" t="str">
        <f>IFERROR(MINUS(DIVIDE(VLOOKUP($B1093,Data!$B$3:$EZ1530,24,FALSE),VLOOKUP($B1093,Data!$B$3:$EZ1530,25,FALSE)),1),"")</f>
        <v/>
      </c>
      <c r="K1093" s="48">
        <f>IFERROR(MINUS(DIVIDE(VLOOKUP($B1093,Data!$B$3:$EZ1530,29,FALSE),VLOOKUP($B1093,Data!$B$3:$EZ1530,30,FALSE)),1),"")</f>
        <v>-0.04997087944</v>
      </c>
      <c r="L1093" s="48">
        <f>IFERROR(MINUS(DIVIDE(VLOOKUP($B1093,Data!$B$3:$EZ1530,34,FALSE),VLOOKUP($B1093,Data!$B$3:$EZ1530,35,FALSE)),1),"")</f>
        <v>0.04271459702</v>
      </c>
      <c r="M1093" s="48">
        <f>IFERROR(MINUS(DIVIDE(VLOOKUP($B1093,Data!$B$3:$EZ1530,39,FALSE),VLOOKUP($B1093,Data!$B$3:$EZ1530,40,FALSE)),1),"")</f>
        <v>-0.03370518404</v>
      </c>
      <c r="N1093" s="48">
        <f>IFERROR(MINUS(DIVIDE(VLOOKUP($B1093,Data!$B$3:$EZ1530,44,FALSE),VLOOKUP($B1093,Data!$B$3:$EZ1530,45,FALSE)),1),"")</f>
        <v>0.3286068495</v>
      </c>
      <c r="O1093" s="50">
        <f>IFERROR(VLOOKUP($B1093,Data!$B$3:$D1530,2,FALSE),"")</f>
        <v>7030000</v>
      </c>
      <c r="P1093" s="50">
        <f>IFERROR(VLOOKUP($B1093,Data!$B$3:$D1530,3,FALSE),"")</f>
        <v>6760000</v>
      </c>
      <c r="Q1093" s="48">
        <f t="shared" si="2"/>
        <v>0.0399408284</v>
      </c>
      <c r="R1093" s="48"/>
      <c r="S1093" s="48"/>
      <c r="T1093" s="48"/>
      <c r="U1093" s="48"/>
      <c r="V1093" s="48"/>
      <c r="W1093" s="50"/>
      <c r="Z1093" s="15"/>
      <c r="AA1093" s="15"/>
    </row>
    <row r="1094">
      <c r="A1094" s="9">
        <f t="shared" si="1"/>
        <v>1091</v>
      </c>
      <c r="B1094" s="47" t="s">
        <v>1228</v>
      </c>
      <c r="C1094" s="48">
        <f>IFERROR(DIVIDE(VLOOKUP($B1094,Data!$B$3:$AB$1535,9,FALSE),VLOOKUP($B1094,Data!$B$3:$AB$1535,4,FALSE)),"")</f>
        <v>0.6628852459</v>
      </c>
      <c r="D1094" s="48">
        <f>IFERROR(DIVIDE(VLOOKUP($B1094,Data!$B$3:$AB$1535,24,FALSE),VLOOKUP($B1094,Data!$B$3:$AB$1535,4,FALSE)),"")</f>
        <v>0.3020491803</v>
      </c>
      <c r="E1094" s="48">
        <f>IFERROR(DIVIDE(VLOOKUP($B1094,Data!$B$3:$EZ1530,29,FALSE),VLOOKUP($B1094,Data!$B$3:$EZ1530,4,FALSE)),"")</f>
        <v>0.3017540984</v>
      </c>
      <c r="F1094" s="48">
        <f>IFERROR(DIVIDE(VLOOKUP($B1094,Data!$B$3:$EZ1530,34,FALSE),VLOOKUP($B1094,Data!$B$3:$EZ1530,4,FALSE)),"")</f>
        <v>0.4188114754</v>
      </c>
      <c r="G1094" s="48">
        <f>IFERROR(DIVIDE(VLOOKUP($B1094,Data!$B$3:$EZ1530,39,FALSE),VLOOKUP($B1094,Data!$B$3:$EZ1530,4,FALSE)),"")</f>
        <v>0.01287704918</v>
      </c>
      <c r="H1094" s="48">
        <f>IFERROR(DIVIDE(VLOOKUP($B1094,Data!$B$3:$EZ1530,44,FALSE),VLOOKUP($B1094,Data!$B$3:$EZ1530,4,FALSE)),"")</f>
        <v>0.4142131148</v>
      </c>
      <c r="I1094" s="48">
        <f>IFERROR(MINUS(DIVIDE(VLOOKUP($B1094,Data!$B$3:$EZ1530,9,FALSE),VLOOKUP($B1094,Data!$B$3:$EZ1530,10,FALSE)),1),"")</f>
        <v>0.0238776492</v>
      </c>
      <c r="J1094" s="48">
        <f>IFERROR(MINUS(DIVIDE(VLOOKUP($B1094,Data!$B$3:$EZ1530,24,FALSE),VLOOKUP($B1094,Data!$B$3:$EZ1530,25,FALSE)),1),"")</f>
        <v>1.372521246</v>
      </c>
      <c r="K1094" s="48">
        <f>IFERROR(MINUS(DIVIDE(VLOOKUP($B1094,Data!$B$3:$EZ1530,29,FALSE),VLOOKUP($B1094,Data!$B$3:$EZ1530,30,FALSE)),1),"")</f>
        <v>-0.2886595946</v>
      </c>
      <c r="L1094" s="48">
        <f>IFERROR(MINUS(DIVIDE(VLOOKUP($B1094,Data!$B$3:$EZ1530,34,FALSE),VLOOKUP($B1094,Data!$B$3:$EZ1530,35,FALSE)),1),"")</f>
        <v>0.05118604316</v>
      </c>
      <c r="M1094" s="48">
        <f>IFERROR(MINUS(DIVIDE(VLOOKUP($B1094,Data!$B$3:$EZ1530,39,FALSE),VLOOKUP($B1094,Data!$B$3:$EZ1530,40,FALSE)),1),"")</f>
        <v>-0.9177659129</v>
      </c>
      <c r="N1094" s="48">
        <f>IFERROR(MINUS(DIVIDE(VLOOKUP($B1094,Data!$B$3:$EZ1530,44,FALSE),VLOOKUP($B1094,Data!$B$3:$EZ1530,45,FALSE)),1),"")</f>
        <v>-0.004668019145</v>
      </c>
      <c r="O1094" s="50">
        <f>IFERROR(VLOOKUP($B1094,Data!$B$3:$D1530,2,FALSE),"")</f>
        <v>1310000</v>
      </c>
      <c r="P1094" s="50">
        <f>IFERROR(VLOOKUP($B1094,Data!$B$3:$D1530,3,FALSE),"")</f>
        <v>1270000</v>
      </c>
      <c r="Q1094" s="48">
        <f t="shared" si="2"/>
        <v>0.03149606299</v>
      </c>
      <c r="R1094" s="48"/>
      <c r="S1094" s="48"/>
      <c r="T1094" s="48"/>
      <c r="U1094" s="48"/>
      <c r="V1094" s="48"/>
      <c r="W1094" s="50"/>
      <c r="Z1094" s="11"/>
      <c r="AA1094" s="11"/>
    </row>
    <row r="1095">
      <c r="A1095" s="9">
        <f t="shared" si="1"/>
        <v>1092</v>
      </c>
      <c r="B1095" s="47" t="s">
        <v>1229</v>
      </c>
      <c r="C1095" s="48">
        <f>IFERROR(DIVIDE(VLOOKUP($B1095,Data!$B$3:$AB$1535,9,FALSE),VLOOKUP($B1095,Data!$B$3:$AB$1535,4,FALSE)),"")</f>
        <v>0</v>
      </c>
      <c r="D1095" s="48">
        <f>IFERROR(DIVIDE(VLOOKUP($B1095,Data!$B$3:$AB$1535,24,FALSE),VLOOKUP($B1095,Data!$B$3:$AB$1535,4,FALSE)),"")</f>
        <v>0</v>
      </c>
      <c r="E1095" s="48">
        <f>IFERROR(DIVIDE(VLOOKUP($B1095,Data!$B$3:$EZ1530,29,FALSE),VLOOKUP($B1095,Data!$B$3:$EZ1530,4,FALSE)),"")</f>
        <v>-0.5503457217</v>
      </c>
      <c r="F1095" s="48">
        <f>IFERROR(DIVIDE(VLOOKUP($B1095,Data!$B$3:$EZ1530,34,FALSE),VLOOKUP($B1095,Data!$B$3:$EZ1530,4,FALSE)),"")</f>
        <v>-0.5643906655</v>
      </c>
      <c r="G1095" s="48">
        <f>IFERROR(DIVIDE(VLOOKUP($B1095,Data!$B$3:$EZ1530,39,FALSE),VLOOKUP($B1095,Data!$B$3:$EZ1530,4,FALSE)),"")</f>
        <v>-0.5503457217</v>
      </c>
      <c r="H1095" s="48">
        <f>IFERROR(DIVIDE(VLOOKUP($B1095,Data!$B$3:$EZ1530,44,FALSE),VLOOKUP($B1095,Data!$B$3:$EZ1530,4,FALSE)),"")</f>
        <v>-1.13375108</v>
      </c>
      <c r="I1095" s="48" t="str">
        <f>IFERROR(MINUS(DIVIDE(VLOOKUP($B1095,Data!$B$3:$EZ1530,9,FALSE),VLOOKUP($B1095,Data!$B$3:$EZ1530,10,FALSE)),1),"")</f>
        <v/>
      </c>
      <c r="J1095" s="48" t="str">
        <f>IFERROR(MINUS(DIVIDE(VLOOKUP($B1095,Data!$B$3:$EZ1530,24,FALSE),VLOOKUP($B1095,Data!$B$3:$EZ1530,25,FALSE)),1),"")</f>
        <v/>
      </c>
      <c r="K1095" s="48">
        <f>IFERROR(MINUS(DIVIDE(VLOOKUP($B1095,Data!$B$3:$EZ1530,29,FALSE),VLOOKUP($B1095,Data!$B$3:$EZ1530,30,FALSE)),1),"")</f>
        <v>-0.05910602143</v>
      </c>
      <c r="L1095" s="48">
        <f>IFERROR(MINUS(DIVIDE(VLOOKUP($B1095,Data!$B$3:$EZ1530,34,FALSE),VLOOKUP($B1095,Data!$B$3:$EZ1530,35,FALSE)),1),"")</f>
        <v>-0.1368142763</v>
      </c>
      <c r="M1095" s="48">
        <f>IFERROR(MINUS(DIVIDE(VLOOKUP($B1095,Data!$B$3:$EZ1530,39,FALSE),VLOOKUP($B1095,Data!$B$3:$EZ1530,40,FALSE)),1),"")</f>
        <v>-0.04785046729</v>
      </c>
      <c r="N1095" s="48">
        <f>IFERROR(MINUS(DIVIDE(VLOOKUP($B1095,Data!$B$3:$EZ1530,44,FALSE),VLOOKUP($B1095,Data!$B$3:$EZ1530,45,FALSE)),1),"")</f>
        <v>48.03738318</v>
      </c>
      <c r="O1095" s="50">
        <f>IFERROR(VLOOKUP($B1095,Data!$B$3:$D1530,2,FALSE),"")</f>
        <v>33840</v>
      </c>
      <c r="P1095" s="50">
        <f>IFERROR(VLOOKUP($B1095,Data!$B$3:$D1530,3,FALSE),"")</f>
        <v>42420</v>
      </c>
      <c r="Q1095" s="48">
        <f t="shared" si="2"/>
        <v>-0.2022630835</v>
      </c>
      <c r="R1095" s="48"/>
      <c r="S1095" s="48"/>
      <c r="T1095" s="48"/>
      <c r="U1095" s="48"/>
      <c r="V1095" s="48"/>
      <c r="W1095" s="50"/>
      <c r="Z1095" s="15"/>
      <c r="AA1095" s="15"/>
    </row>
    <row r="1096">
      <c r="A1096" s="9">
        <f t="shared" si="1"/>
        <v>1093</v>
      </c>
      <c r="B1096" s="47" t="s">
        <v>1230</v>
      </c>
      <c r="C1096" s="48" t="str">
        <f>IFERROR(DIVIDE(VLOOKUP($B1096,Data!$B$3:$AB$1535,9,FALSE),VLOOKUP($B1096,Data!$B$3:$AB$1535,4,FALSE)),"")</f>
        <v/>
      </c>
      <c r="D1096" s="48" t="str">
        <f>IFERROR(DIVIDE(VLOOKUP($B1096,Data!$B$3:$AB$1535,24,FALSE),VLOOKUP($B1096,Data!$B$3:$AB$1535,4,FALSE)),"")</f>
        <v/>
      </c>
      <c r="E1096" s="48" t="str">
        <f>IFERROR(DIVIDE(VLOOKUP($B1096,Data!$B$3:$EZ1530,29,FALSE),VLOOKUP($B1096,Data!$B$3:$EZ1530,4,FALSE)),"")</f>
        <v/>
      </c>
      <c r="F1096" s="48" t="str">
        <f>IFERROR(DIVIDE(VLOOKUP($B1096,Data!$B$3:$EZ1530,34,FALSE),VLOOKUP($B1096,Data!$B$3:$EZ1530,4,FALSE)),"")</f>
        <v/>
      </c>
      <c r="G1096" s="48" t="str">
        <f>IFERROR(DIVIDE(VLOOKUP($B1096,Data!$B$3:$EZ1530,39,FALSE),VLOOKUP($B1096,Data!$B$3:$EZ1530,4,FALSE)),"")</f>
        <v/>
      </c>
      <c r="H1096" s="48" t="str">
        <f>IFERROR(DIVIDE(VLOOKUP($B1096,Data!$B$3:$EZ1530,44,FALSE),VLOOKUP($B1096,Data!$B$3:$EZ1530,4,FALSE)),"")</f>
        <v/>
      </c>
      <c r="I1096" s="48" t="str">
        <f>IFERROR(MINUS(DIVIDE(VLOOKUP($B1096,Data!$B$3:$EZ1530,9,FALSE),VLOOKUP($B1096,Data!$B$3:$EZ1530,10,FALSE)),1),"")</f>
        <v/>
      </c>
      <c r="J1096" s="48" t="str">
        <f>IFERROR(MINUS(DIVIDE(VLOOKUP($B1096,Data!$B$3:$EZ1530,24,FALSE),VLOOKUP($B1096,Data!$B$3:$EZ1530,25,FALSE)),1),"")</f>
        <v/>
      </c>
      <c r="K1096" s="48" t="str">
        <f>IFERROR(MINUS(DIVIDE(VLOOKUP($B1096,Data!$B$3:$EZ1530,29,FALSE),VLOOKUP($B1096,Data!$B$3:$EZ1530,30,FALSE)),1),"")</f>
        <v/>
      </c>
      <c r="L1096" s="48" t="str">
        <f>IFERROR(MINUS(DIVIDE(VLOOKUP($B1096,Data!$B$3:$EZ1530,34,FALSE),VLOOKUP($B1096,Data!$B$3:$EZ1530,35,FALSE)),1),"")</f>
        <v/>
      </c>
      <c r="M1096" s="48" t="str">
        <f>IFERROR(MINUS(DIVIDE(VLOOKUP($B1096,Data!$B$3:$EZ1530,39,FALSE),VLOOKUP($B1096,Data!$B$3:$EZ1530,40,FALSE)),1),"")</f>
        <v/>
      </c>
      <c r="N1096" s="48" t="str">
        <f>IFERROR(MINUS(DIVIDE(VLOOKUP($B1096,Data!$B$3:$EZ1530,44,FALSE),VLOOKUP($B1096,Data!$B$3:$EZ1530,45,FALSE)),1),"")</f>
        <v/>
      </c>
      <c r="O1096" s="50">
        <f>IFERROR(VLOOKUP($B1096,Data!$B$3:$D1530,2,FALSE),"")</f>
        <v>50840000</v>
      </c>
      <c r="P1096" s="50">
        <f>IFERROR(VLOOKUP($B1096,Data!$B$3:$D1530,3,FALSE),"")</f>
        <v>49220000</v>
      </c>
      <c r="Q1096" s="48">
        <f t="shared" si="2"/>
        <v>0.03291344982</v>
      </c>
      <c r="R1096" s="48"/>
      <c r="S1096" s="48"/>
      <c r="T1096" s="48"/>
      <c r="U1096" s="48"/>
      <c r="V1096" s="48"/>
      <c r="W1096" s="50"/>
      <c r="Z1096" s="11"/>
      <c r="AA1096" s="11"/>
    </row>
    <row r="1097">
      <c r="A1097" s="9">
        <f t="shared" si="1"/>
        <v>1094</v>
      </c>
      <c r="B1097" s="47" t="s">
        <v>1231</v>
      </c>
      <c r="C1097" s="48">
        <f>IFERROR(DIVIDE(VLOOKUP($B1097,Data!$B$3:$AB$1535,9,FALSE),VLOOKUP($B1097,Data!$B$3:$AB$1535,4,FALSE)),"")</f>
        <v>0.219445756</v>
      </c>
      <c r="D1097" s="48">
        <f>IFERROR(DIVIDE(VLOOKUP($B1097,Data!$B$3:$AB$1535,24,FALSE),VLOOKUP($B1097,Data!$B$3:$AB$1535,4,FALSE)),"")</f>
        <v>0</v>
      </c>
      <c r="E1097" s="48">
        <f>IFERROR(DIVIDE(VLOOKUP($B1097,Data!$B$3:$EZ1530,29,FALSE),VLOOKUP($B1097,Data!$B$3:$EZ1530,4,FALSE)),"")</f>
        <v>0.09207133258</v>
      </c>
      <c r="F1097" s="48">
        <f>IFERROR(DIVIDE(VLOOKUP($B1097,Data!$B$3:$EZ1530,34,FALSE),VLOOKUP($B1097,Data!$B$3:$EZ1530,4,FALSE)),"")</f>
        <v>0.2469763556</v>
      </c>
      <c r="G1097" s="48">
        <f>IFERROR(DIVIDE(VLOOKUP($B1097,Data!$B$3:$EZ1530,39,FALSE),VLOOKUP($B1097,Data!$B$3:$EZ1530,4,FALSE)),"")</f>
        <v>0.0540987179</v>
      </c>
      <c r="H1097" s="48">
        <f>IFERROR(DIVIDE(VLOOKUP($B1097,Data!$B$3:$EZ1530,44,FALSE),VLOOKUP($B1097,Data!$B$3:$EZ1530,4,FALSE)),"")</f>
        <v>0.1241964188</v>
      </c>
      <c r="I1097" s="48">
        <f>IFERROR(MINUS(DIVIDE(VLOOKUP($B1097,Data!$B$3:$EZ1530,9,FALSE),VLOOKUP($B1097,Data!$B$3:$EZ1530,10,FALSE)),1),"")</f>
        <v>-0.08141391106</v>
      </c>
      <c r="J1097" s="48" t="str">
        <f>IFERROR(MINUS(DIVIDE(VLOOKUP($B1097,Data!$B$3:$EZ1530,24,FALSE),VLOOKUP($B1097,Data!$B$3:$EZ1530,25,FALSE)),1),"")</f>
        <v/>
      </c>
      <c r="K1097" s="48">
        <f>IFERROR(MINUS(DIVIDE(VLOOKUP($B1097,Data!$B$3:$EZ1530,29,FALSE),VLOOKUP($B1097,Data!$B$3:$EZ1530,30,FALSE)),1),"")</f>
        <v>-0.260609596</v>
      </c>
      <c r="L1097" s="48">
        <f>IFERROR(MINUS(DIVIDE(VLOOKUP($B1097,Data!$B$3:$EZ1530,34,FALSE),VLOOKUP($B1097,Data!$B$3:$EZ1530,35,FALSE)),1),"")</f>
        <v>-0.09339377375</v>
      </c>
      <c r="M1097" s="48">
        <f>IFERROR(MINUS(DIVIDE(VLOOKUP($B1097,Data!$B$3:$EZ1530,39,FALSE),VLOOKUP($B1097,Data!$B$3:$EZ1530,40,FALSE)),1),"")</f>
        <v>-0.2917261056</v>
      </c>
      <c r="N1097" s="48">
        <f>IFERROR(MINUS(DIVIDE(VLOOKUP($B1097,Data!$B$3:$EZ1530,44,FALSE),VLOOKUP($B1097,Data!$B$3:$EZ1530,45,FALSE)),1),"")</f>
        <v>-0.4762196523</v>
      </c>
      <c r="O1097" s="50">
        <f>IFERROR(VLOOKUP($B1097,Data!$B$3:$D1530,2,FALSE),"")</f>
        <v>666000</v>
      </c>
      <c r="P1097" s="50">
        <f>IFERROR(VLOOKUP($B1097,Data!$B$3:$D1530,3,FALSE),"")</f>
        <v>613170</v>
      </c>
      <c r="Q1097" s="48">
        <f t="shared" si="2"/>
        <v>0.08615881403</v>
      </c>
      <c r="R1097" s="48"/>
      <c r="S1097" s="48"/>
      <c r="T1097" s="48"/>
      <c r="U1097" s="48"/>
      <c r="V1097" s="48"/>
      <c r="W1097" s="50"/>
      <c r="Z1097" s="11"/>
      <c r="AA1097" s="11"/>
    </row>
    <row r="1098">
      <c r="A1098" s="9">
        <f t="shared" si="1"/>
        <v>1095</v>
      </c>
      <c r="B1098" s="47" t="s">
        <v>1232</v>
      </c>
      <c r="C1098" s="48">
        <f>IFERROR(DIVIDE(VLOOKUP($B1098,Data!$B$3:$AB$1535,9,FALSE),VLOOKUP($B1098,Data!$B$3:$AB$1535,4,FALSE)),"")</f>
        <v>0.1752</v>
      </c>
      <c r="D1098" s="48">
        <f>IFERROR(DIVIDE(VLOOKUP($B1098,Data!$B$3:$AB$1535,24,FALSE),VLOOKUP($B1098,Data!$B$3:$AB$1535,4,FALSE)),"")</f>
        <v>0</v>
      </c>
      <c r="E1098" s="48">
        <f>IFERROR(DIVIDE(VLOOKUP($B1098,Data!$B$3:$EZ1530,29,FALSE),VLOOKUP($B1098,Data!$B$3:$EZ1530,4,FALSE)),"")</f>
        <v>0.09417777778</v>
      </c>
      <c r="F1098" s="48">
        <f>IFERROR(DIVIDE(VLOOKUP($B1098,Data!$B$3:$EZ1530,34,FALSE),VLOOKUP($B1098,Data!$B$3:$EZ1530,4,FALSE)),"")</f>
        <v>0.2218592593</v>
      </c>
      <c r="G1098" s="48">
        <f>IFERROR(DIVIDE(VLOOKUP($B1098,Data!$B$3:$EZ1530,39,FALSE),VLOOKUP($B1098,Data!$B$3:$EZ1530,4,FALSE)),"")</f>
        <v>0.07426666667</v>
      </c>
      <c r="H1098" s="48">
        <f>IFERROR(DIVIDE(VLOOKUP($B1098,Data!$B$3:$EZ1530,44,FALSE),VLOOKUP($B1098,Data!$B$3:$EZ1530,4,FALSE)),"")</f>
        <v>0.214037037</v>
      </c>
      <c r="I1098" s="48">
        <f>IFERROR(MINUS(DIVIDE(VLOOKUP($B1098,Data!$B$3:$EZ1530,9,FALSE),VLOOKUP($B1098,Data!$B$3:$EZ1530,10,FALSE)),1),"")</f>
        <v>-0.02017482083</v>
      </c>
      <c r="J1098" s="48">
        <f>IFERROR(MINUS(DIVIDE(VLOOKUP($B1098,Data!$B$3:$EZ1530,24,FALSE),VLOOKUP($B1098,Data!$B$3:$EZ1530,25,FALSE)),1),"")</f>
        <v>-1</v>
      </c>
      <c r="K1098" s="48">
        <f>IFERROR(MINUS(DIVIDE(VLOOKUP($B1098,Data!$B$3:$EZ1530,29,FALSE),VLOOKUP($B1098,Data!$B$3:$EZ1530,30,FALSE)),1),"")</f>
        <v>-0.1403069849</v>
      </c>
      <c r="L1098" s="48">
        <f>IFERROR(MINUS(DIVIDE(VLOOKUP($B1098,Data!$B$3:$EZ1530,34,FALSE),VLOOKUP($B1098,Data!$B$3:$EZ1530,35,FALSE)),1),"")</f>
        <v>0.004595156638</v>
      </c>
      <c r="M1098" s="48">
        <f>IFERROR(MINUS(DIVIDE(VLOOKUP($B1098,Data!$B$3:$EZ1530,39,FALSE),VLOOKUP($B1098,Data!$B$3:$EZ1530,40,FALSE)),1),"")</f>
        <v>-0.1446852073</v>
      </c>
      <c r="N1098" s="48">
        <f>IFERROR(MINUS(DIVIDE(VLOOKUP($B1098,Data!$B$3:$EZ1530,44,FALSE),VLOOKUP($B1098,Data!$B$3:$EZ1530,45,FALSE)),1),"")</f>
        <v>-0.1441561519</v>
      </c>
      <c r="O1098" s="50">
        <f>IFERROR(VLOOKUP($B1098,Data!$B$3:$D1530,2,FALSE),"")</f>
        <v>1160000</v>
      </c>
      <c r="P1098" s="50">
        <f>IFERROR(VLOOKUP($B1098,Data!$B$3:$D1530,3,FALSE),"")</f>
        <v>678810</v>
      </c>
      <c r="Q1098" s="48">
        <f t="shared" si="2"/>
        <v>0.7088728805</v>
      </c>
      <c r="R1098" s="48"/>
      <c r="S1098" s="48"/>
      <c r="T1098" s="48"/>
      <c r="U1098" s="48"/>
      <c r="V1098" s="48"/>
      <c r="W1098" s="50"/>
      <c r="Z1098" s="15"/>
      <c r="AA1098" s="15"/>
    </row>
    <row r="1099">
      <c r="A1099" s="9">
        <f t="shared" si="1"/>
        <v>1096</v>
      </c>
      <c r="B1099" s="47" t="s">
        <v>1233</v>
      </c>
      <c r="C1099" s="48">
        <f>IFERROR(DIVIDE(VLOOKUP($B1099,Data!$B$3:$AB$1535,9,FALSE),VLOOKUP($B1099,Data!$B$3:$AB$1535,4,FALSE)),"")</f>
        <v>0.3103850267</v>
      </c>
      <c r="D1099" s="48">
        <f>IFERROR(DIVIDE(VLOOKUP($B1099,Data!$B$3:$AB$1535,24,FALSE),VLOOKUP($B1099,Data!$B$3:$AB$1535,4,FALSE)),"")</f>
        <v>0.05147593583</v>
      </c>
      <c r="E1099" s="48">
        <f>IFERROR(DIVIDE(VLOOKUP($B1099,Data!$B$3:$EZ1530,29,FALSE),VLOOKUP($B1099,Data!$B$3:$EZ1530,4,FALSE)),"")</f>
        <v>0.04728342246</v>
      </c>
      <c r="F1099" s="48">
        <f>IFERROR(DIVIDE(VLOOKUP($B1099,Data!$B$3:$EZ1530,34,FALSE),VLOOKUP($B1099,Data!$B$3:$EZ1530,4,FALSE)),"")</f>
        <v>0.1743796791</v>
      </c>
      <c r="G1099" s="48">
        <f>IFERROR(DIVIDE(VLOOKUP($B1099,Data!$B$3:$EZ1530,39,FALSE),VLOOKUP($B1099,Data!$B$3:$EZ1530,4,FALSE)),"")</f>
        <v>0.03919786096</v>
      </c>
      <c r="H1099" s="48">
        <f>IFERROR(DIVIDE(VLOOKUP($B1099,Data!$B$3:$EZ1530,44,FALSE),VLOOKUP($B1099,Data!$B$3:$EZ1530,4,FALSE)),"")</f>
        <v>0.09513368984</v>
      </c>
      <c r="I1099" s="48">
        <f>IFERROR(MINUS(DIVIDE(VLOOKUP($B1099,Data!$B$3:$EZ1530,9,FALSE),VLOOKUP($B1099,Data!$B$3:$EZ1530,10,FALSE)),1),"")</f>
        <v>-0.05562877272</v>
      </c>
      <c r="J1099" s="48">
        <f>IFERROR(MINUS(DIVIDE(VLOOKUP($B1099,Data!$B$3:$EZ1530,24,FALSE),VLOOKUP($B1099,Data!$B$3:$EZ1530,25,FALSE)),1),"")</f>
        <v>-0.134585993</v>
      </c>
      <c r="K1099" s="48">
        <f>IFERROR(MINUS(DIVIDE(VLOOKUP($B1099,Data!$B$3:$EZ1530,29,FALSE),VLOOKUP($B1099,Data!$B$3:$EZ1530,30,FALSE)),1),"")</f>
        <v>-0.1852193144</v>
      </c>
      <c r="L1099" s="48">
        <f>IFERROR(MINUS(DIVIDE(VLOOKUP($B1099,Data!$B$3:$EZ1530,34,FALSE),VLOOKUP($B1099,Data!$B$3:$EZ1530,35,FALSE)),1),"")</f>
        <v>0.7612206319</v>
      </c>
      <c r="M1099" s="48">
        <f>IFERROR(MINUS(DIVIDE(VLOOKUP($B1099,Data!$B$3:$EZ1530,39,FALSE),VLOOKUP($B1099,Data!$B$3:$EZ1530,40,FALSE)),1),"")</f>
        <v>-0.2739698891</v>
      </c>
      <c r="N1099" s="48">
        <f>IFERROR(MINUS(DIVIDE(VLOOKUP($B1099,Data!$B$3:$EZ1530,44,FALSE),VLOOKUP($B1099,Data!$B$3:$EZ1530,45,FALSE)),1),"")</f>
        <v>0.2715316989</v>
      </c>
      <c r="O1099" s="50">
        <f>IFERROR(VLOOKUP($B1099,Data!$B$3:$D1530,2,FALSE),"")</f>
        <v>1650000</v>
      </c>
      <c r="P1099" s="50">
        <f>IFERROR(VLOOKUP($B1099,Data!$B$3:$D1530,3,FALSE),"")</f>
        <v>1570000</v>
      </c>
      <c r="Q1099" s="48">
        <f t="shared" si="2"/>
        <v>0.05095541401</v>
      </c>
      <c r="R1099" s="48"/>
      <c r="S1099" s="48"/>
      <c r="T1099" s="48"/>
      <c r="U1099" s="48"/>
      <c r="V1099" s="48"/>
      <c r="W1099" s="50"/>
      <c r="Z1099" s="15"/>
      <c r="AA1099" s="15"/>
    </row>
    <row r="1100">
      <c r="A1100" s="9">
        <f t="shared" si="1"/>
        <v>1097</v>
      </c>
      <c r="B1100" s="47" t="s">
        <v>1234</v>
      </c>
      <c r="C1100" s="48">
        <f>IFERROR(DIVIDE(VLOOKUP($B1100,Data!$B$3:$AB$1535,9,FALSE),VLOOKUP($B1100,Data!$B$3:$AB$1535,4,FALSE)),"")</f>
        <v>0.4555023229</v>
      </c>
      <c r="D1100" s="48">
        <f>IFERROR(DIVIDE(VLOOKUP($B1100,Data!$B$3:$AB$1535,24,FALSE),VLOOKUP($B1100,Data!$B$3:$AB$1535,4,FALSE)),"")</f>
        <v>0</v>
      </c>
      <c r="E1100" s="48">
        <f>IFERROR(DIVIDE(VLOOKUP($B1100,Data!$B$3:$EZ1530,29,FALSE),VLOOKUP($B1100,Data!$B$3:$EZ1530,4,FALSE)),"")</f>
        <v>0.2514227642</v>
      </c>
      <c r="F1100" s="48">
        <f>IFERROR(DIVIDE(VLOOKUP($B1100,Data!$B$3:$EZ1530,34,FALSE),VLOOKUP($B1100,Data!$B$3:$EZ1530,4,FALSE)),"")</f>
        <v>0.4031213705</v>
      </c>
      <c r="G1100" s="48">
        <f>IFERROR(DIVIDE(VLOOKUP($B1100,Data!$B$3:$EZ1530,39,FALSE),VLOOKUP($B1100,Data!$B$3:$EZ1530,4,FALSE)),"")</f>
        <v>0.1708768873</v>
      </c>
      <c r="H1100" s="48">
        <f>IFERROR(DIVIDE(VLOOKUP($B1100,Data!$B$3:$EZ1530,44,FALSE),VLOOKUP($B1100,Data!$B$3:$EZ1530,4,FALSE)),"")</f>
        <v>0.2966173055</v>
      </c>
      <c r="I1100" s="48">
        <f>IFERROR(MINUS(DIVIDE(VLOOKUP($B1100,Data!$B$3:$EZ1530,9,FALSE),VLOOKUP($B1100,Data!$B$3:$EZ1530,10,FALSE)),1),"")</f>
        <v>0.2190620507</v>
      </c>
      <c r="J1100" s="48">
        <f>IFERROR(MINUS(DIVIDE(VLOOKUP($B1100,Data!$B$3:$EZ1530,24,FALSE),VLOOKUP($B1100,Data!$B$3:$EZ1530,25,FALSE)),1),"")</f>
        <v>-1</v>
      </c>
      <c r="K1100" s="48">
        <f>IFERROR(MINUS(DIVIDE(VLOOKUP($B1100,Data!$B$3:$EZ1530,29,FALSE),VLOOKUP($B1100,Data!$B$3:$EZ1530,30,FALSE)),1),"")</f>
        <v>0.3139605463</v>
      </c>
      <c r="L1100" s="48">
        <f>IFERROR(MINUS(DIVIDE(VLOOKUP($B1100,Data!$B$3:$EZ1530,34,FALSE),VLOOKUP($B1100,Data!$B$3:$EZ1530,35,FALSE)),1),"")</f>
        <v>0.2605320501</v>
      </c>
      <c r="M1100" s="48">
        <f>IFERROR(MINUS(DIVIDE(VLOOKUP($B1100,Data!$B$3:$EZ1530,39,FALSE),VLOOKUP($B1100,Data!$B$3:$EZ1530,40,FALSE)),1),"")</f>
        <v>0.3371960918</v>
      </c>
      <c r="N1100" s="48">
        <f>IFERROR(MINUS(DIVIDE(VLOOKUP($B1100,Data!$B$3:$EZ1530,44,FALSE),VLOOKUP($B1100,Data!$B$3:$EZ1530,45,FALSE)),1),"")</f>
        <v>0.1079718004</v>
      </c>
      <c r="O1100" s="50">
        <f>IFERROR(VLOOKUP($B1100,Data!$B$3:$D1530,2,FALSE),"")</f>
        <v>736690</v>
      </c>
      <c r="P1100" s="50">
        <f>IFERROR(VLOOKUP($B1100,Data!$B$3:$D1530,3,FALSE),"")</f>
        <v>473550</v>
      </c>
      <c r="Q1100" s="48">
        <f t="shared" si="2"/>
        <v>0.5556752191</v>
      </c>
      <c r="R1100" s="48"/>
      <c r="S1100" s="48"/>
      <c r="T1100" s="48"/>
      <c r="U1100" s="48"/>
      <c r="V1100" s="48"/>
      <c r="W1100" s="50"/>
      <c r="Z1100" s="15"/>
      <c r="AA1100" s="15"/>
    </row>
    <row r="1101">
      <c r="A1101" s="9">
        <f t="shared" si="1"/>
        <v>1098</v>
      </c>
      <c r="B1101" s="47" t="s">
        <v>1235</v>
      </c>
      <c r="C1101" s="48">
        <f>IFERROR(DIVIDE(VLOOKUP($B1101,Data!$B$3:$AB$1535,9,FALSE),VLOOKUP($B1101,Data!$B$3:$AB$1535,4,FALSE)),"")</f>
        <v>0.2761190114</v>
      </c>
      <c r="D1101" s="48">
        <f>IFERROR(DIVIDE(VLOOKUP($B1101,Data!$B$3:$AB$1535,24,FALSE),VLOOKUP($B1101,Data!$B$3:$AB$1535,4,FALSE)),"")</f>
        <v>0.1402109461</v>
      </c>
      <c r="E1101" s="48">
        <f>IFERROR(DIVIDE(VLOOKUP($B1101,Data!$B$3:$EZ1530,29,FALSE),VLOOKUP($B1101,Data!$B$3:$EZ1530,4,FALSE)),"")</f>
        <v>0.109531056</v>
      </c>
      <c r="F1101" s="48">
        <f>IFERROR(DIVIDE(VLOOKUP($B1101,Data!$B$3:$EZ1530,34,FALSE),VLOOKUP($B1101,Data!$B$3:$EZ1530,4,FALSE)),"")</f>
        <v>0.1843067289</v>
      </c>
      <c r="G1101" s="48">
        <f>IFERROR(DIVIDE(VLOOKUP($B1101,Data!$B$3:$EZ1530,39,FALSE),VLOOKUP($B1101,Data!$B$3:$EZ1530,4,FALSE)),"")</f>
        <v>0.0848856938</v>
      </c>
      <c r="H1101" s="48">
        <f>IFERROR(DIVIDE(VLOOKUP($B1101,Data!$B$3:$EZ1530,44,FALSE),VLOOKUP($B1101,Data!$B$3:$EZ1530,4,FALSE)),"")</f>
        <v>0.1352084099</v>
      </c>
      <c r="I1101" s="48">
        <f>IFERROR(MINUS(DIVIDE(VLOOKUP($B1101,Data!$B$3:$EZ1530,9,FALSE),VLOOKUP($B1101,Data!$B$3:$EZ1530,10,FALSE)),1),"")</f>
        <v>0.1006833078</v>
      </c>
      <c r="J1101" s="48">
        <f>IFERROR(MINUS(DIVIDE(VLOOKUP($B1101,Data!$B$3:$EZ1530,24,FALSE),VLOOKUP($B1101,Data!$B$3:$EZ1530,25,FALSE)),1),"")</f>
        <v>0.09120609856</v>
      </c>
      <c r="K1101" s="48">
        <f>IFERROR(MINUS(DIVIDE(VLOOKUP($B1101,Data!$B$3:$EZ1530,29,FALSE),VLOOKUP($B1101,Data!$B$3:$EZ1530,30,FALSE)),1),"")</f>
        <v>0.1230272597</v>
      </c>
      <c r="L1101" s="48">
        <f>IFERROR(MINUS(DIVIDE(VLOOKUP($B1101,Data!$B$3:$EZ1530,34,FALSE),VLOOKUP($B1101,Data!$B$3:$EZ1530,35,FALSE)),1),"")</f>
        <v>0.1496999454</v>
      </c>
      <c r="M1101" s="48">
        <f>IFERROR(MINUS(DIVIDE(VLOOKUP($B1101,Data!$B$3:$EZ1530,39,FALSE),VLOOKUP($B1101,Data!$B$3:$EZ1530,40,FALSE)),1),"")</f>
        <v>0.1202677747</v>
      </c>
      <c r="N1101" s="48">
        <f>IFERROR(MINUS(DIVIDE(VLOOKUP($B1101,Data!$B$3:$EZ1530,44,FALSE),VLOOKUP($B1101,Data!$B$3:$EZ1530,45,FALSE)),1),"")</f>
        <v>0.3286352699</v>
      </c>
      <c r="O1101" s="50">
        <f>IFERROR(VLOOKUP($B1101,Data!$B$3:$D1530,2,FALSE),"")</f>
        <v>531930</v>
      </c>
      <c r="P1101" s="50">
        <f>IFERROR(VLOOKUP($B1101,Data!$B$3:$D1530,3,FALSE),"")</f>
        <v>470330</v>
      </c>
      <c r="Q1101" s="48">
        <f t="shared" si="2"/>
        <v>0.1309718708</v>
      </c>
      <c r="R1101" s="48"/>
      <c r="S1101" s="48"/>
      <c r="T1101" s="48"/>
      <c r="U1101" s="48"/>
      <c r="V1101" s="48"/>
      <c r="W1101" s="50"/>
      <c r="Z1101" s="11"/>
      <c r="AA1101" s="11"/>
    </row>
    <row r="1102">
      <c r="A1102" s="9">
        <f t="shared" si="1"/>
        <v>1099</v>
      </c>
      <c r="B1102" s="47" t="s">
        <v>1236</v>
      </c>
      <c r="C1102" s="48">
        <f>IFERROR(DIVIDE(VLOOKUP($B1102,Data!$B$3:$AB$1535,9,FALSE),VLOOKUP($B1102,Data!$B$3:$AB$1535,4,FALSE)),"")</f>
        <v>0</v>
      </c>
      <c r="D1102" s="48">
        <f>IFERROR(DIVIDE(VLOOKUP($B1102,Data!$B$3:$AB$1535,24,FALSE),VLOOKUP($B1102,Data!$B$3:$AB$1535,4,FALSE)),"")</f>
        <v>0</v>
      </c>
      <c r="E1102" s="48">
        <f>IFERROR(DIVIDE(VLOOKUP($B1102,Data!$B$3:$EZ1530,29,FALSE),VLOOKUP($B1102,Data!$B$3:$EZ1530,4,FALSE)),"")</f>
        <v>-0.01106047327</v>
      </c>
      <c r="F1102" s="48">
        <f>IFERROR(DIVIDE(VLOOKUP($B1102,Data!$B$3:$EZ1530,34,FALSE),VLOOKUP($B1102,Data!$B$3:$EZ1530,4,FALSE)),"")</f>
        <v>-0.002068361087</v>
      </c>
      <c r="G1102" s="48">
        <f>IFERROR(DIVIDE(VLOOKUP($B1102,Data!$B$3:$EZ1530,39,FALSE),VLOOKUP($B1102,Data!$B$3:$EZ1530,4,FALSE)),"")</f>
        <v>-0.01106047327</v>
      </c>
      <c r="H1102" s="48">
        <f>IFERROR(DIVIDE(VLOOKUP($B1102,Data!$B$3:$EZ1530,44,FALSE),VLOOKUP($B1102,Data!$B$3:$EZ1530,4,FALSE)),"")</f>
        <v>-0.04820333041</v>
      </c>
      <c r="I1102" s="48">
        <f>IFERROR(MINUS(DIVIDE(VLOOKUP($B1102,Data!$B$3:$EZ1530,9,FALSE),VLOOKUP($B1102,Data!$B$3:$EZ1530,10,FALSE)),1),"")</f>
        <v>-1</v>
      </c>
      <c r="J1102" s="48" t="str">
        <f>IFERROR(MINUS(DIVIDE(VLOOKUP($B1102,Data!$B$3:$EZ1530,24,FALSE),VLOOKUP($B1102,Data!$B$3:$EZ1530,25,FALSE)),1),"")</f>
        <v/>
      </c>
      <c r="K1102" s="48">
        <f>IFERROR(MINUS(DIVIDE(VLOOKUP($B1102,Data!$B$3:$EZ1530,29,FALSE),VLOOKUP($B1102,Data!$B$3:$EZ1530,30,FALSE)),1),"")</f>
        <v>-0.9791611625</v>
      </c>
      <c r="L1102" s="48">
        <f>IFERROR(MINUS(DIVIDE(VLOOKUP($B1102,Data!$B$3:$EZ1530,34,FALSE),VLOOKUP($B1102,Data!$B$3:$EZ1530,35,FALSE)),1),"")</f>
        <v>-0.9960991736</v>
      </c>
      <c r="M1102" s="48">
        <f>IFERROR(MINUS(DIVIDE(VLOOKUP($B1102,Data!$B$3:$EZ1530,39,FALSE),VLOOKUP($B1102,Data!$B$3:$EZ1530,40,FALSE)),1),"")</f>
        <v>-0.9791611625</v>
      </c>
      <c r="N1102" s="48">
        <f>IFERROR(MINUS(DIVIDE(VLOOKUP($B1102,Data!$B$3:$EZ1530,44,FALSE),VLOOKUP($B1102,Data!$B$3:$EZ1530,45,FALSE)),1),"")</f>
        <v>-0.9029297564</v>
      </c>
      <c r="O1102" s="50">
        <f>IFERROR(VLOOKUP($B1102,Data!$B$3:$D1530,2,FALSE),"")</f>
        <v>1330</v>
      </c>
      <c r="P1102" s="50">
        <f>IFERROR(VLOOKUP($B1102,Data!$B$3:$D1530,3,FALSE),"")</f>
        <v>36400</v>
      </c>
      <c r="Q1102" s="48">
        <f t="shared" si="2"/>
        <v>-0.9634615385</v>
      </c>
      <c r="R1102" s="48"/>
      <c r="S1102" s="48"/>
      <c r="T1102" s="48"/>
      <c r="U1102" s="48"/>
      <c r="V1102" s="48"/>
      <c r="W1102" s="50"/>
      <c r="Z1102" s="15"/>
      <c r="AA1102" s="15"/>
    </row>
    <row r="1103">
      <c r="A1103" s="9">
        <f t="shared" si="1"/>
        <v>1100</v>
      </c>
      <c r="B1103" s="47" t="s">
        <v>1237</v>
      </c>
      <c r="C1103" s="48">
        <f>IFERROR(DIVIDE(VLOOKUP($B1103,Data!$B$3:$AB$1535,9,FALSE),VLOOKUP($B1103,Data!$B$3:$AB$1535,4,FALSE)),"")</f>
        <v>0.25</v>
      </c>
      <c r="D1103" s="48">
        <f>IFERROR(DIVIDE(VLOOKUP($B1103,Data!$B$3:$AB$1535,24,FALSE),VLOOKUP($B1103,Data!$B$3:$AB$1535,4,FALSE)),"")</f>
        <v>0.04694570136</v>
      </c>
      <c r="E1103" s="48">
        <f>IFERROR(DIVIDE(VLOOKUP($B1103,Data!$B$3:$EZ1530,29,FALSE),VLOOKUP($B1103,Data!$B$3:$EZ1530,4,FALSE)),"")</f>
        <v>-0.03390522876</v>
      </c>
      <c r="F1103" s="48">
        <f>IFERROR(DIVIDE(VLOOKUP($B1103,Data!$B$3:$EZ1530,34,FALSE),VLOOKUP($B1103,Data!$B$3:$EZ1530,4,FALSE)),"")</f>
        <v>0.2124654349</v>
      </c>
      <c r="G1103" s="48">
        <f>IFERROR(DIVIDE(VLOOKUP($B1103,Data!$B$3:$EZ1530,39,FALSE),VLOOKUP($B1103,Data!$B$3:$EZ1530,4,FALSE)),"")</f>
        <v>-0.006850175968</v>
      </c>
      <c r="H1103" s="48">
        <f>IFERROR(DIVIDE(VLOOKUP($B1103,Data!$B$3:$EZ1530,44,FALSE),VLOOKUP($B1103,Data!$B$3:$EZ1530,4,FALSE)),"")</f>
        <v>0.1134206888</v>
      </c>
      <c r="I1103" s="48">
        <f>IFERROR(MINUS(DIVIDE(VLOOKUP($B1103,Data!$B$3:$EZ1530,9,FALSE),VLOOKUP($B1103,Data!$B$3:$EZ1530,10,FALSE)),1),"")</f>
        <v>-0.214920071</v>
      </c>
      <c r="J1103" s="48">
        <f>IFERROR(MINUS(DIVIDE(VLOOKUP($B1103,Data!$B$3:$EZ1530,24,FALSE),VLOOKUP($B1103,Data!$B$3:$EZ1530,25,FALSE)),1),"")</f>
        <v>-0.6713594369</v>
      </c>
      <c r="K1103" s="48">
        <f>IFERROR(MINUS(DIVIDE(VLOOKUP($B1103,Data!$B$3:$EZ1530,29,FALSE),VLOOKUP($B1103,Data!$B$3:$EZ1530,30,FALSE)),1),"")</f>
        <v>-1.692110327</v>
      </c>
      <c r="L1103" s="48">
        <f>IFERROR(MINUS(DIVIDE(VLOOKUP($B1103,Data!$B$3:$EZ1530,34,FALSE),VLOOKUP($B1103,Data!$B$3:$EZ1530,35,FALSE)),1),"")</f>
        <v>-0.1547068384</v>
      </c>
      <c r="M1103" s="48">
        <f>IFERROR(MINUS(DIVIDE(VLOOKUP($B1103,Data!$B$3:$EZ1530,39,FALSE),VLOOKUP($B1103,Data!$B$3:$EZ1530,40,FALSE)),1),"")</f>
        <v>-1.22971549</v>
      </c>
      <c r="N1103" s="48">
        <f>IFERROR(MINUS(DIVIDE(VLOOKUP($B1103,Data!$B$3:$EZ1530,44,FALSE),VLOOKUP($B1103,Data!$B$3:$EZ1530,45,FALSE)),1),"")</f>
        <v>-0.3691339684</v>
      </c>
      <c r="O1103" s="50">
        <f>IFERROR(VLOOKUP($B1103,Data!$B$3:$D1530,2,FALSE),"")</f>
        <v>518120</v>
      </c>
      <c r="P1103" s="50">
        <f>IFERROR(VLOOKUP($B1103,Data!$B$3:$D1530,3,FALSE),"")</f>
        <v>275470</v>
      </c>
      <c r="Q1103" s="48">
        <f t="shared" si="2"/>
        <v>0.8808581697</v>
      </c>
      <c r="R1103" s="48"/>
      <c r="S1103" s="48"/>
      <c r="T1103" s="48"/>
      <c r="U1103" s="48"/>
      <c r="V1103" s="48"/>
      <c r="W1103" s="50"/>
      <c r="Z1103" s="11"/>
      <c r="AA1103" s="11"/>
    </row>
    <row r="1104">
      <c r="A1104" s="9">
        <f t="shared" si="1"/>
        <v>1101</v>
      </c>
      <c r="B1104" s="47" t="s">
        <v>1238</v>
      </c>
      <c r="C1104" s="48">
        <f>IFERROR(DIVIDE(VLOOKUP($B1104,Data!$B$3:$AB$1535,9,FALSE),VLOOKUP($B1104,Data!$B$3:$AB$1535,4,FALSE)),"")</f>
        <v>0.6447280054</v>
      </c>
      <c r="D1104" s="48">
        <f>IFERROR(DIVIDE(VLOOKUP($B1104,Data!$B$3:$AB$1535,24,FALSE),VLOOKUP($B1104,Data!$B$3:$AB$1535,4,FALSE)),"")</f>
        <v>0.3670248489</v>
      </c>
      <c r="E1104" s="48">
        <f>IFERROR(DIVIDE(VLOOKUP($B1104,Data!$B$3:$EZ1530,29,FALSE),VLOOKUP($B1104,Data!$B$3:$EZ1530,4,FALSE)),"")</f>
        <v>0.3314304903</v>
      </c>
      <c r="F1104" s="48">
        <f>IFERROR(DIVIDE(VLOOKUP($B1104,Data!$B$3:$EZ1530,34,FALSE),VLOOKUP($B1104,Data!$B$3:$EZ1530,4,FALSE)),"")</f>
        <v>0.4314976494</v>
      </c>
      <c r="G1104" s="48">
        <f>IFERROR(DIVIDE(VLOOKUP($B1104,Data!$B$3:$EZ1530,39,FALSE),VLOOKUP($B1104,Data!$B$3:$EZ1530,4,FALSE)),"")</f>
        <v>0.2407656145</v>
      </c>
      <c r="H1104" s="48">
        <f>IFERROR(DIVIDE(VLOOKUP($B1104,Data!$B$3:$EZ1530,44,FALSE),VLOOKUP($B1104,Data!$B$3:$EZ1530,4,FALSE)),"")</f>
        <v>0.3388179987</v>
      </c>
      <c r="I1104" s="48">
        <f>IFERROR(MINUS(DIVIDE(VLOOKUP($B1104,Data!$B$3:$EZ1530,9,FALSE),VLOOKUP($B1104,Data!$B$3:$EZ1530,10,FALSE)),1),"")</f>
        <v>0.02290889718</v>
      </c>
      <c r="J1104" s="48">
        <f>IFERROR(MINUS(DIVIDE(VLOOKUP($B1104,Data!$B$3:$EZ1530,24,FALSE),VLOOKUP($B1104,Data!$B$3:$EZ1530,25,FALSE)),1),"")</f>
        <v>-0.04458041958</v>
      </c>
      <c r="K1104" s="48">
        <f>IFERROR(MINUS(DIVIDE(VLOOKUP($B1104,Data!$B$3:$EZ1530,29,FALSE),VLOOKUP($B1104,Data!$B$3:$EZ1530,30,FALSE)),1),"")</f>
        <v>-0.07497656982</v>
      </c>
      <c r="L1104" s="48">
        <f>IFERROR(MINUS(DIVIDE(VLOOKUP($B1104,Data!$B$3:$EZ1530,34,FALSE),VLOOKUP($B1104,Data!$B$3:$EZ1530,35,FALSE)),1),"")</f>
        <v>0.03964401294</v>
      </c>
      <c r="M1104" s="48">
        <f>IFERROR(MINUS(DIVIDE(VLOOKUP($B1104,Data!$B$3:$EZ1530,39,FALSE),VLOOKUP($B1104,Data!$B$3:$EZ1530,40,FALSE)),1),"")</f>
        <v>-0.09240506329</v>
      </c>
      <c r="N1104" s="48">
        <f>IFERROR(MINUS(DIVIDE(VLOOKUP($B1104,Data!$B$3:$EZ1530,44,FALSE),VLOOKUP($B1104,Data!$B$3:$EZ1530,45,FALSE)),1),"")</f>
        <v>0.06434599156</v>
      </c>
      <c r="O1104" s="50">
        <f>IFERROR(VLOOKUP($B1104,Data!$B$3:$D1530,2,FALSE),"")</f>
        <v>30590000</v>
      </c>
      <c r="P1104" s="50">
        <f>IFERROR(VLOOKUP($B1104,Data!$B$3:$D1530,3,FALSE),"")</f>
        <v>28470000</v>
      </c>
      <c r="Q1104" s="48">
        <f t="shared" si="2"/>
        <v>0.07446434844</v>
      </c>
      <c r="R1104" s="48"/>
      <c r="S1104" s="48"/>
      <c r="T1104" s="48"/>
      <c r="U1104" s="48"/>
      <c r="V1104" s="48"/>
      <c r="W1104" s="50"/>
      <c r="Z1104" s="11"/>
      <c r="AA1104" s="11"/>
    </row>
    <row r="1105">
      <c r="A1105" s="9">
        <f t="shared" si="1"/>
        <v>1102</v>
      </c>
      <c r="B1105" s="47" t="s">
        <v>1239</v>
      </c>
      <c r="C1105" s="48">
        <f>IFERROR(DIVIDE(VLOOKUP($B1105,Data!$B$3:$AB$1535,9,FALSE),VLOOKUP($B1105,Data!$B$3:$AB$1535,4,FALSE)),"")</f>
        <v>0.2326783868</v>
      </c>
      <c r="D1105" s="48">
        <f>IFERROR(DIVIDE(VLOOKUP($B1105,Data!$B$3:$AB$1535,24,FALSE),VLOOKUP($B1105,Data!$B$3:$AB$1535,4,FALSE)),"")</f>
        <v>0.1613236815</v>
      </c>
      <c r="E1105" s="48">
        <f>IFERROR(DIVIDE(VLOOKUP($B1105,Data!$B$3:$EZ1530,29,FALSE),VLOOKUP($B1105,Data!$B$3:$EZ1530,4,FALSE)),"")</f>
        <v>0.1020682523</v>
      </c>
      <c r="F1105" s="48">
        <f>IFERROR(DIVIDE(VLOOKUP($B1105,Data!$B$3:$EZ1530,34,FALSE),VLOOKUP($B1105,Data!$B$3:$EZ1530,4,FALSE)),"")</f>
        <v>0.3774560496</v>
      </c>
      <c r="G1105" s="48">
        <f>IFERROR(DIVIDE(VLOOKUP($B1105,Data!$B$3:$EZ1530,39,FALSE),VLOOKUP($B1105,Data!$B$3:$EZ1530,4,FALSE)),"")</f>
        <v>0.0778697001</v>
      </c>
      <c r="H1105" s="48">
        <f>IFERROR(DIVIDE(VLOOKUP($B1105,Data!$B$3:$EZ1530,44,FALSE),VLOOKUP($B1105,Data!$B$3:$EZ1530,4,FALSE)),"")</f>
        <v>0.322647363</v>
      </c>
      <c r="I1105" s="48">
        <f>IFERROR(MINUS(DIVIDE(VLOOKUP($B1105,Data!$B$3:$EZ1530,9,FALSE),VLOOKUP($B1105,Data!$B$3:$EZ1530,10,FALSE)),1),"")</f>
        <v>-0.1509433962</v>
      </c>
      <c r="J1105" s="48">
        <f>IFERROR(MINUS(DIVIDE(VLOOKUP($B1105,Data!$B$3:$EZ1530,24,FALSE),VLOOKUP($B1105,Data!$B$3:$EZ1530,25,FALSE)),1),"")</f>
        <v>-0.1136363636</v>
      </c>
      <c r="K1105" s="48">
        <f>IFERROR(MINUS(DIVIDE(VLOOKUP($B1105,Data!$B$3:$EZ1530,29,FALSE),VLOOKUP($B1105,Data!$B$3:$EZ1530,30,FALSE)),1),"")</f>
        <v>-0.2104</v>
      </c>
      <c r="L1105" s="48">
        <f>IFERROR(MINUS(DIVIDE(VLOOKUP($B1105,Data!$B$3:$EZ1530,34,FALSE),VLOOKUP($B1105,Data!$B$3:$EZ1530,35,FALSE)),1),"")</f>
        <v>-0.04947916667</v>
      </c>
      <c r="M1105" s="48">
        <f>IFERROR(MINUS(DIVIDE(VLOOKUP($B1105,Data!$B$3:$EZ1530,39,FALSE),VLOOKUP($B1105,Data!$B$3:$EZ1530,40,FALSE)),1),"")</f>
        <v>-0.2261048304</v>
      </c>
      <c r="N1105" s="48">
        <f>IFERROR(MINUS(DIVIDE(VLOOKUP($B1105,Data!$B$3:$EZ1530,44,FALSE),VLOOKUP($B1105,Data!$B$3:$EZ1530,45,FALSE)),1),"")</f>
        <v>-0.03405572755</v>
      </c>
      <c r="O1105" s="50" t="str">
        <f>IFERROR(VLOOKUP($B1105,Data!$B$3:$D1530,2,FALSE),"")</f>
        <v/>
      </c>
      <c r="P1105" s="50" t="str">
        <f>IFERROR(VLOOKUP($B1105,Data!$B$3:$D1530,3,FALSE),"")</f>
        <v/>
      </c>
      <c r="Q1105" s="48" t="str">
        <f t="shared" si="2"/>
        <v/>
      </c>
      <c r="R1105" s="48"/>
      <c r="S1105" s="48"/>
      <c r="T1105" s="48"/>
      <c r="U1105" s="48"/>
      <c r="V1105" s="48"/>
      <c r="W1105" s="50"/>
      <c r="Z1105" s="15"/>
      <c r="AA1105" s="15"/>
    </row>
    <row r="1106">
      <c r="A1106" s="9">
        <f t="shared" si="1"/>
        <v>1103</v>
      </c>
      <c r="B1106" s="47" t="s">
        <v>1240</v>
      </c>
      <c r="C1106" s="48">
        <f>IFERROR(DIVIDE(VLOOKUP($B1106,Data!$B$3:$AB$1535,9,FALSE),VLOOKUP($B1106,Data!$B$3:$AB$1535,4,FALSE)),"")</f>
        <v>0.4750223015</v>
      </c>
      <c r="D1106" s="48">
        <f>IFERROR(DIVIDE(VLOOKUP($B1106,Data!$B$3:$AB$1535,24,FALSE),VLOOKUP($B1106,Data!$B$3:$AB$1535,4,FALSE)),"")</f>
        <v>0.4190454951</v>
      </c>
      <c r="E1106" s="48">
        <f>IFERROR(DIVIDE(VLOOKUP($B1106,Data!$B$3:$EZ1530,29,FALSE),VLOOKUP($B1106,Data!$B$3:$EZ1530,4,FALSE)),"")</f>
        <v>0.5024531668</v>
      </c>
      <c r="F1106" s="48">
        <f>IFERROR(DIVIDE(VLOOKUP($B1106,Data!$B$3:$EZ1530,34,FALSE),VLOOKUP($B1106,Data!$B$3:$EZ1530,4,FALSE)),"")</f>
        <v>0.5903211418</v>
      </c>
      <c r="G1106" s="48">
        <f>IFERROR(DIVIDE(VLOOKUP($B1106,Data!$B$3:$EZ1530,39,FALSE),VLOOKUP($B1106,Data!$B$3:$EZ1530,4,FALSE)),"")</f>
        <v>0.2961641392</v>
      </c>
      <c r="H1106" s="48">
        <f>IFERROR(DIVIDE(VLOOKUP($B1106,Data!$B$3:$EZ1530,44,FALSE),VLOOKUP($B1106,Data!$B$3:$EZ1530,4,FALSE)),"")</f>
        <v>0.5314451383</v>
      </c>
      <c r="I1106" s="48">
        <f>IFERROR(MINUS(DIVIDE(VLOOKUP($B1106,Data!$B$3:$EZ1530,9,FALSE),VLOOKUP($B1106,Data!$B$3:$EZ1530,10,FALSE)),1),"")</f>
        <v>0.6679718089</v>
      </c>
      <c r="J1106" s="48">
        <f>IFERROR(MINUS(DIVIDE(VLOOKUP($B1106,Data!$B$3:$EZ1530,24,FALSE),VLOOKUP($B1106,Data!$B$3:$EZ1530,25,FALSE)),1),"")</f>
        <v>0.4972111554</v>
      </c>
      <c r="K1106" s="48">
        <f>IFERROR(MINUS(DIVIDE(VLOOKUP($B1106,Data!$B$3:$EZ1530,29,FALSE),VLOOKUP($B1106,Data!$B$3:$EZ1530,30,FALSE)),1),"")</f>
        <v>0.6208633094</v>
      </c>
      <c r="L1106" s="48">
        <f>IFERROR(MINUS(DIVIDE(VLOOKUP($B1106,Data!$B$3:$EZ1530,34,FALSE),VLOOKUP($B1106,Data!$B$3:$EZ1530,35,FALSE)),1),"")</f>
        <v>0.5048322911</v>
      </c>
      <c r="M1106" s="48">
        <f>IFERROR(MINUS(DIVIDE(VLOOKUP($B1106,Data!$B$3:$EZ1530,39,FALSE),VLOOKUP($B1106,Data!$B$3:$EZ1530,40,FALSE)),1),"")</f>
        <v>0.1369863014</v>
      </c>
      <c r="N1106" s="48">
        <f>IFERROR(MINUS(DIVIDE(VLOOKUP($B1106,Data!$B$3:$EZ1530,44,FALSE),VLOOKUP($B1106,Data!$B$3:$EZ1530,45,FALSE)),1),"")</f>
        <v>0.1500965251</v>
      </c>
      <c r="O1106" s="50">
        <f>IFERROR(VLOOKUP($B1106,Data!$B$3:$D1530,2,FALSE),"")</f>
        <v>3690000</v>
      </c>
      <c r="P1106" s="50">
        <f>IFERROR(VLOOKUP($B1106,Data!$B$3:$D1530,3,FALSE),"")</f>
        <v>3050000</v>
      </c>
      <c r="Q1106" s="48">
        <f t="shared" si="2"/>
        <v>0.2098360656</v>
      </c>
      <c r="R1106" s="48"/>
      <c r="S1106" s="48"/>
      <c r="T1106" s="48"/>
      <c r="U1106" s="48"/>
      <c r="V1106" s="48"/>
      <c r="W1106" s="50"/>
      <c r="Z1106" s="15"/>
      <c r="AA1106" s="15"/>
    </row>
    <row r="1107">
      <c r="A1107" s="9">
        <f t="shared" si="1"/>
        <v>1104</v>
      </c>
      <c r="B1107" s="47" t="s">
        <v>1241</v>
      </c>
      <c r="C1107" s="48">
        <f>IFERROR(DIVIDE(VLOOKUP($B1107,Data!$B$3:$AB$1535,9,FALSE),VLOOKUP($B1107,Data!$B$3:$AB$1535,4,FALSE)),"")</f>
        <v>0.289040625</v>
      </c>
      <c r="D1107" s="48">
        <f>IFERROR(DIVIDE(VLOOKUP($B1107,Data!$B$3:$AB$1535,24,FALSE),VLOOKUP($B1107,Data!$B$3:$AB$1535,4,FALSE)),"")</f>
        <v>0.106484375</v>
      </c>
      <c r="E1107" s="48">
        <f>IFERROR(DIVIDE(VLOOKUP($B1107,Data!$B$3:$EZ1530,29,FALSE),VLOOKUP($B1107,Data!$B$3:$EZ1530,4,FALSE)),"")</f>
        <v>0.099209375</v>
      </c>
      <c r="F1107" s="48">
        <f>IFERROR(DIVIDE(VLOOKUP($B1107,Data!$B$3:$EZ1530,34,FALSE),VLOOKUP($B1107,Data!$B$3:$EZ1530,4,FALSE)),"")</f>
        <v>0.1157875</v>
      </c>
      <c r="G1107" s="48">
        <f>IFERROR(DIVIDE(VLOOKUP($B1107,Data!$B$3:$EZ1530,39,FALSE),VLOOKUP($B1107,Data!$B$3:$EZ1530,4,FALSE)),"")</f>
        <v>0.08174375</v>
      </c>
      <c r="H1107" s="48">
        <f>IFERROR(DIVIDE(VLOOKUP($B1107,Data!$B$3:$EZ1530,44,FALSE),VLOOKUP($B1107,Data!$B$3:$EZ1530,4,FALSE)),"")</f>
        <v>0.09336875</v>
      </c>
      <c r="I1107" s="48">
        <f>IFERROR(MINUS(DIVIDE(VLOOKUP($B1107,Data!$B$3:$EZ1530,9,FALSE),VLOOKUP($B1107,Data!$B$3:$EZ1530,10,FALSE)),1),"")</f>
        <v>0.06293023202</v>
      </c>
      <c r="J1107" s="48">
        <f>IFERROR(MINUS(DIVIDE(VLOOKUP($B1107,Data!$B$3:$EZ1530,24,FALSE),VLOOKUP($B1107,Data!$B$3:$EZ1530,25,FALSE)),1),"")</f>
        <v>0.08143704973</v>
      </c>
      <c r="K1107" s="48">
        <f>IFERROR(MINUS(DIVIDE(VLOOKUP($B1107,Data!$B$3:$EZ1530,29,FALSE),VLOOKUP($B1107,Data!$B$3:$EZ1530,30,FALSE)),1),"")</f>
        <v>0.08355233967</v>
      </c>
      <c r="L1107" s="48">
        <f>IFERROR(MINUS(DIVIDE(VLOOKUP($B1107,Data!$B$3:$EZ1530,34,FALSE),VLOOKUP($B1107,Data!$B$3:$EZ1530,35,FALSE)),1),"")</f>
        <v>0.08402574605</v>
      </c>
      <c r="M1107" s="48">
        <f>IFERROR(MINUS(DIVIDE(VLOOKUP($B1107,Data!$B$3:$EZ1530,39,FALSE),VLOOKUP($B1107,Data!$B$3:$EZ1530,40,FALSE)),1),"")</f>
        <v>0.1156700503</v>
      </c>
      <c r="N1107" s="48">
        <f>IFERROR(MINUS(DIVIDE(VLOOKUP($B1107,Data!$B$3:$EZ1530,44,FALSE),VLOOKUP($B1107,Data!$B$3:$EZ1530,45,FALSE)),1),"")</f>
        <v>1.517950447</v>
      </c>
      <c r="O1107" s="50">
        <f>IFERROR(VLOOKUP($B1107,Data!$B$3:$D1530,2,FALSE),"")</f>
        <v>3890000</v>
      </c>
      <c r="P1107" s="50">
        <f>IFERROR(VLOOKUP($B1107,Data!$B$3:$D1530,3,FALSE),"")</f>
        <v>3590000</v>
      </c>
      <c r="Q1107" s="48">
        <f t="shared" si="2"/>
        <v>0.08356545961</v>
      </c>
      <c r="R1107" s="48"/>
      <c r="S1107" s="48"/>
      <c r="T1107" s="48"/>
      <c r="U1107" s="48"/>
      <c r="V1107" s="48"/>
      <c r="W1107" s="50"/>
      <c r="Z1107" s="12"/>
      <c r="AA1107" s="12"/>
    </row>
    <row r="1108">
      <c r="A1108" s="9">
        <f t="shared" si="1"/>
        <v>1105</v>
      </c>
      <c r="B1108" s="47" t="s">
        <v>1242</v>
      </c>
      <c r="C1108" s="48">
        <f>IFERROR(DIVIDE(VLOOKUP($B1108,Data!$B$3:$AB$1535,9,FALSE),VLOOKUP($B1108,Data!$B$3:$AB$1535,4,FALSE)),"")</f>
        <v>0.2904929577</v>
      </c>
      <c r="D1108" s="48">
        <f>IFERROR(DIVIDE(VLOOKUP($B1108,Data!$B$3:$AB$1535,24,FALSE),VLOOKUP($B1108,Data!$B$3:$AB$1535,4,FALSE)),"")</f>
        <v>0.0600528169</v>
      </c>
      <c r="E1108" s="48">
        <f>IFERROR(DIVIDE(VLOOKUP($B1108,Data!$B$3:$EZ1530,29,FALSE),VLOOKUP($B1108,Data!$B$3:$EZ1530,4,FALSE)),"")</f>
        <v>0.02801056338</v>
      </c>
      <c r="F1108" s="48">
        <f>IFERROR(DIVIDE(VLOOKUP($B1108,Data!$B$3:$EZ1530,34,FALSE),VLOOKUP($B1108,Data!$B$3:$EZ1530,4,FALSE)),"")</f>
        <v>0.198943662</v>
      </c>
      <c r="G1108" s="48">
        <f>IFERROR(DIVIDE(VLOOKUP($B1108,Data!$B$3:$EZ1530,39,FALSE),VLOOKUP($B1108,Data!$B$3:$EZ1530,4,FALSE)),"")</f>
        <v>0.02195422535</v>
      </c>
      <c r="H1108" s="48">
        <f>IFERROR(DIVIDE(VLOOKUP($B1108,Data!$B$3:$EZ1530,44,FALSE),VLOOKUP($B1108,Data!$B$3:$EZ1530,4,FALSE)),"")</f>
        <v>0.1211267606</v>
      </c>
      <c r="I1108" s="48">
        <f>IFERROR(MINUS(DIVIDE(VLOOKUP($B1108,Data!$B$3:$EZ1530,9,FALSE),VLOOKUP($B1108,Data!$B$3:$EZ1530,10,FALSE)),1),"")</f>
        <v>-0.01785714286</v>
      </c>
      <c r="J1108" s="48">
        <f>IFERROR(MINUS(DIVIDE(VLOOKUP($B1108,Data!$B$3:$EZ1530,24,FALSE),VLOOKUP($B1108,Data!$B$3:$EZ1530,25,FALSE)),1),"")</f>
        <v>-4.538381743</v>
      </c>
      <c r="K1108" s="48">
        <f>IFERROR(MINUS(DIVIDE(VLOOKUP($B1108,Data!$B$3:$EZ1530,29,FALSE),VLOOKUP($B1108,Data!$B$3:$EZ1530,30,FALSE)),1),"")</f>
        <v>-0.3989421987</v>
      </c>
      <c r="L1108" s="48">
        <f>IFERROR(MINUS(DIVIDE(VLOOKUP($B1108,Data!$B$3:$EZ1530,34,FALSE),VLOOKUP($B1108,Data!$B$3:$EZ1530,35,FALSE)),1),"")</f>
        <v>0</v>
      </c>
      <c r="M1108" s="48">
        <f>IFERROR(MINUS(DIVIDE(VLOOKUP($B1108,Data!$B$3:$EZ1530,39,FALSE),VLOOKUP($B1108,Data!$B$3:$EZ1530,40,FALSE)),1),"")</f>
        <v>-0.7331478707</v>
      </c>
      <c r="N1108" s="48">
        <f>IFERROR(MINUS(DIVIDE(VLOOKUP($B1108,Data!$B$3:$EZ1530,44,FALSE),VLOOKUP($B1108,Data!$B$3:$EZ1530,45,FALSE)),1),"")</f>
        <v>-0.04258279989</v>
      </c>
      <c r="O1108" s="50">
        <f>IFERROR(VLOOKUP($B1108,Data!$B$3:$D1530,2,FALSE),"")</f>
        <v>5930000</v>
      </c>
      <c r="P1108" s="50">
        <f>IFERROR(VLOOKUP($B1108,Data!$B$3:$D1530,3,FALSE),"")</f>
        <v>5770000</v>
      </c>
      <c r="Q1108" s="48">
        <f t="shared" si="2"/>
        <v>0.02772963605</v>
      </c>
      <c r="R1108" s="48"/>
      <c r="S1108" s="48"/>
      <c r="T1108" s="48"/>
      <c r="U1108" s="48"/>
      <c r="V1108" s="48"/>
      <c r="W1108" s="50"/>
      <c r="Z1108" s="15"/>
      <c r="AA1108" s="15"/>
    </row>
    <row r="1109">
      <c r="A1109" s="9">
        <f t="shared" si="1"/>
        <v>1106</v>
      </c>
      <c r="B1109" s="47" t="s">
        <v>1243</v>
      </c>
      <c r="C1109" s="48">
        <f>IFERROR(DIVIDE(VLOOKUP($B1109,Data!$B$3:$AB$1535,9,FALSE),VLOOKUP($B1109,Data!$B$3:$AB$1535,4,FALSE)),"")</f>
        <v>0.5072859961</v>
      </c>
      <c r="D1109" s="48">
        <f>IFERROR(DIVIDE(VLOOKUP($B1109,Data!$B$3:$AB$1535,24,FALSE),VLOOKUP($B1109,Data!$B$3:$AB$1535,4,FALSE)),"")</f>
        <v>0.5158913162</v>
      </c>
      <c r="E1109" s="48">
        <f>IFERROR(DIVIDE(VLOOKUP($B1109,Data!$B$3:$EZ1530,29,FALSE),VLOOKUP($B1109,Data!$B$3:$EZ1530,4,FALSE)),"")</f>
        <v>0.52870421</v>
      </c>
      <c r="F1109" s="48">
        <f>IFERROR(DIVIDE(VLOOKUP($B1109,Data!$B$3:$EZ1530,34,FALSE),VLOOKUP($B1109,Data!$B$3:$EZ1530,4,FALSE)),"")</f>
        <v>0.1722490313</v>
      </c>
      <c r="G1109" s="48">
        <f>IFERROR(DIVIDE(VLOOKUP($B1109,Data!$B$3:$EZ1530,39,FALSE),VLOOKUP($B1109,Data!$B$3:$EZ1530,4,FALSE)),"")</f>
        <v>0.4599091925</v>
      </c>
      <c r="H1109" s="48">
        <f>IFERROR(DIVIDE(VLOOKUP($B1109,Data!$B$3:$EZ1530,44,FALSE),VLOOKUP($B1109,Data!$B$3:$EZ1530,4,FALSE)),"")</f>
        <v>0.5336724749</v>
      </c>
      <c r="I1109" s="48">
        <f>IFERROR(MINUS(DIVIDE(VLOOKUP($B1109,Data!$B$3:$EZ1530,9,FALSE),VLOOKUP($B1109,Data!$B$3:$EZ1530,10,FALSE)),1),"")</f>
        <v>-0.006471437218</v>
      </c>
      <c r="J1109" s="48" t="str">
        <f>IFERROR(MINUS(DIVIDE(VLOOKUP($B1109,Data!$B$3:$EZ1530,24,FALSE),VLOOKUP($B1109,Data!$B$3:$EZ1530,25,FALSE)),1),"")</f>
        <v/>
      </c>
      <c r="K1109" s="48">
        <f>IFERROR(MINUS(DIVIDE(VLOOKUP($B1109,Data!$B$3:$EZ1530,29,FALSE),VLOOKUP($B1109,Data!$B$3:$EZ1530,30,FALSE)),1),"")</f>
        <v>2.721720214</v>
      </c>
      <c r="L1109" s="48">
        <f>IFERROR(MINUS(DIVIDE(VLOOKUP($B1109,Data!$B$3:$EZ1530,34,FALSE),VLOOKUP($B1109,Data!$B$3:$EZ1530,35,FALSE)),1),"")</f>
        <v>-0.09232118251</v>
      </c>
      <c r="M1109" s="48">
        <f>IFERROR(MINUS(DIVIDE(VLOOKUP($B1109,Data!$B$3:$EZ1530,39,FALSE),VLOOKUP($B1109,Data!$B$3:$EZ1530,40,FALSE)),1),"")</f>
        <v>1.764647042</v>
      </c>
      <c r="N1109" s="48">
        <f>IFERROR(MINUS(DIVIDE(VLOOKUP($B1109,Data!$B$3:$EZ1530,44,FALSE),VLOOKUP($B1109,Data!$B$3:$EZ1530,45,FALSE)),1),"")</f>
        <v>1.67389233</v>
      </c>
      <c r="O1109" s="50">
        <f>IFERROR(VLOOKUP($B1109,Data!$B$3:$D1530,2,FALSE),"")</f>
        <v>498740</v>
      </c>
      <c r="P1109" s="50">
        <f>IFERROR(VLOOKUP($B1109,Data!$B$3:$D1530,3,FALSE),"")</f>
        <v>445740</v>
      </c>
      <c r="Q1109" s="48">
        <f t="shared" si="2"/>
        <v>0.1189033966</v>
      </c>
      <c r="R1109" s="48"/>
      <c r="S1109" s="48"/>
      <c r="T1109" s="48"/>
      <c r="U1109" s="48"/>
      <c r="V1109" s="48"/>
      <c r="W1109" s="50"/>
      <c r="Z1109" s="15"/>
      <c r="AA1109" s="15"/>
    </row>
    <row r="1110">
      <c r="A1110" s="9">
        <f t="shared" si="1"/>
        <v>1107</v>
      </c>
      <c r="B1110" s="47" t="s">
        <v>1244</v>
      </c>
      <c r="C1110" s="48">
        <f>IFERROR(DIVIDE(VLOOKUP($B1110,Data!$B$3:$AB$1535,9,FALSE),VLOOKUP($B1110,Data!$B$3:$AB$1535,4,FALSE)),"")</f>
        <v>0.09640666082</v>
      </c>
      <c r="D1110" s="48">
        <f>IFERROR(DIVIDE(VLOOKUP($B1110,Data!$B$3:$AB$1535,24,FALSE),VLOOKUP($B1110,Data!$B$3:$AB$1535,4,FALSE)),"")</f>
        <v>0.06055652936</v>
      </c>
      <c r="E1110" s="48">
        <f>IFERROR(DIVIDE(VLOOKUP($B1110,Data!$B$3:$EZ1530,29,FALSE),VLOOKUP($B1110,Data!$B$3:$EZ1530,4,FALSE)),"")</f>
        <v>0.05412357581</v>
      </c>
      <c r="F1110" s="48">
        <f>IFERROR(DIVIDE(VLOOKUP($B1110,Data!$B$3:$EZ1530,34,FALSE),VLOOKUP($B1110,Data!$B$3:$EZ1530,4,FALSE)),"")</f>
        <v>0.08851884312</v>
      </c>
      <c r="G1110" s="48">
        <f>IFERROR(DIVIDE(VLOOKUP($B1110,Data!$B$3:$EZ1530,39,FALSE),VLOOKUP($B1110,Data!$B$3:$EZ1530,4,FALSE)),"")</f>
        <v>0.03995793164</v>
      </c>
      <c r="H1110" s="48">
        <f>IFERROR(DIVIDE(VLOOKUP($B1110,Data!$B$3:$EZ1530,44,FALSE),VLOOKUP($B1110,Data!$B$3:$EZ1530,4,FALSE)),"")</f>
        <v>0.05841542507</v>
      </c>
      <c r="I1110" s="48">
        <f>IFERROR(MINUS(DIVIDE(VLOOKUP($B1110,Data!$B$3:$EZ1530,9,FALSE),VLOOKUP($B1110,Data!$B$3:$EZ1530,10,FALSE)),1),"")</f>
        <v>0.2630321958</v>
      </c>
      <c r="J1110" s="48">
        <f>IFERROR(MINUS(DIVIDE(VLOOKUP($B1110,Data!$B$3:$EZ1530,24,FALSE),VLOOKUP($B1110,Data!$B$3:$EZ1530,25,FALSE)),1),"")</f>
        <v>0.3929601032</v>
      </c>
      <c r="K1110" s="48">
        <f>IFERROR(MINUS(DIVIDE(VLOOKUP($B1110,Data!$B$3:$EZ1530,29,FALSE),VLOOKUP($B1110,Data!$B$3:$EZ1530,30,FALSE)),1),"")</f>
        <v>0.8588026367</v>
      </c>
      <c r="L1110" s="48">
        <f>IFERROR(MINUS(DIVIDE(VLOOKUP($B1110,Data!$B$3:$EZ1530,34,FALSE),VLOOKUP($B1110,Data!$B$3:$EZ1530,35,FALSE)),1),"")</f>
        <v>0.2594458438</v>
      </c>
      <c r="M1110" s="48">
        <f>IFERROR(MINUS(DIVIDE(VLOOKUP($B1110,Data!$B$3:$EZ1530,39,FALSE),VLOOKUP($B1110,Data!$B$3:$EZ1530,40,FALSE)),1),"")</f>
        <v>0.8387578141</v>
      </c>
      <c r="N1110" s="48">
        <f>IFERROR(MINUS(DIVIDE(VLOOKUP($B1110,Data!$B$3:$EZ1530,44,FALSE),VLOOKUP($B1110,Data!$B$3:$EZ1530,45,FALSE)),1),"")</f>
        <v>0.3556798536</v>
      </c>
      <c r="O1110" s="50">
        <f>IFERROR(VLOOKUP($B1110,Data!$B$3:$D1530,2,FALSE),"")</f>
        <v>12750000</v>
      </c>
      <c r="P1110" s="50">
        <f>IFERROR(VLOOKUP($B1110,Data!$B$3:$D1530,3,FALSE),"")</f>
        <v>12330000</v>
      </c>
      <c r="Q1110" s="48">
        <f t="shared" si="2"/>
        <v>0.03406326034</v>
      </c>
      <c r="R1110" s="48"/>
      <c r="S1110" s="48"/>
      <c r="T1110" s="48"/>
      <c r="U1110" s="48"/>
      <c r="V1110" s="48"/>
      <c r="W1110" s="50"/>
      <c r="Z1110" s="15"/>
      <c r="AA1110" s="15"/>
    </row>
    <row r="1111">
      <c r="A1111" s="9">
        <f t="shared" si="1"/>
        <v>1108</v>
      </c>
      <c r="B1111" s="47" t="s">
        <v>1245</v>
      </c>
      <c r="C1111" s="48">
        <f>IFERROR(DIVIDE(VLOOKUP($B1111,Data!$B$3:$AB$1535,9,FALSE),VLOOKUP($B1111,Data!$B$3:$AB$1535,4,FALSE)),"")</f>
        <v>0.4368707483</v>
      </c>
      <c r="D1111" s="48">
        <f>IFERROR(DIVIDE(VLOOKUP($B1111,Data!$B$3:$AB$1535,24,FALSE),VLOOKUP($B1111,Data!$B$3:$AB$1535,4,FALSE)),"")</f>
        <v>-0.003442176871</v>
      </c>
      <c r="E1111" s="48">
        <f>IFERROR(DIVIDE(VLOOKUP($B1111,Data!$B$3:$EZ1530,29,FALSE),VLOOKUP($B1111,Data!$B$3:$EZ1530,4,FALSE)),"")</f>
        <v>0.1284829932</v>
      </c>
      <c r="F1111" s="48">
        <f>IFERROR(DIVIDE(VLOOKUP($B1111,Data!$B$3:$EZ1530,34,FALSE),VLOOKUP($B1111,Data!$B$3:$EZ1530,4,FALSE)),"")</f>
        <v>0.1725578231</v>
      </c>
      <c r="G1111" s="48">
        <f>IFERROR(DIVIDE(VLOOKUP($B1111,Data!$B$3:$EZ1530,39,FALSE),VLOOKUP($B1111,Data!$B$3:$EZ1530,4,FALSE)),"")</f>
        <v>0.0868707483</v>
      </c>
      <c r="H1111" s="48">
        <f>IFERROR(DIVIDE(VLOOKUP($B1111,Data!$B$3:$EZ1530,44,FALSE),VLOOKUP($B1111,Data!$B$3:$EZ1530,4,FALSE)),"")</f>
        <v>0.168537415</v>
      </c>
      <c r="I1111" s="48">
        <f>IFERROR(MINUS(DIVIDE(VLOOKUP($B1111,Data!$B$3:$EZ1530,9,FALSE),VLOOKUP($B1111,Data!$B$3:$EZ1530,10,FALSE)),1),"")</f>
        <v>0.03405522905</v>
      </c>
      <c r="J1111" s="48">
        <f>IFERROR(MINUS(DIVIDE(VLOOKUP($B1111,Data!$B$3:$EZ1530,24,FALSE),VLOOKUP($B1111,Data!$B$3:$EZ1530,25,FALSE)),1),"")</f>
        <v>-0.6910866911</v>
      </c>
      <c r="K1111" s="48">
        <f>IFERROR(MINUS(DIVIDE(VLOOKUP($B1111,Data!$B$3:$EZ1530,29,FALSE),VLOOKUP($B1111,Data!$B$3:$EZ1530,30,FALSE)),1),"")</f>
        <v>-0.02824655279</v>
      </c>
      <c r="L1111" s="48">
        <f>IFERROR(MINUS(DIVIDE(VLOOKUP($B1111,Data!$B$3:$EZ1530,34,FALSE),VLOOKUP($B1111,Data!$B$3:$EZ1530,35,FALSE)),1),"")</f>
        <v>-0.06838548553</v>
      </c>
      <c r="M1111" s="48">
        <f>IFERROR(MINUS(DIVIDE(VLOOKUP($B1111,Data!$B$3:$EZ1530,39,FALSE),VLOOKUP($B1111,Data!$B$3:$EZ1530,40,FALSE)),1),"")</f>
        <v>-0.08870334689</v>
      </c>
      <c r="N1111" s="48">
        <f>IFERROR(MINUS(DIVIDE(VLOOKUP($B1111,Data!$B$3:$EZ1530,44,FALSE),VLOOKUP($B1111,Data!$B$3:$EZ1530,45,FALSE)),1),"")</f>
        <v>-0.02075098814</v>
      </c>
      <c r="O1111" s="50">
        <f>IFERROR(VLOOKUP($B1111,Data!$B$3:$D1530,2,FALSE),"")</f>
        <v>4740000</v>
      </c>
      <c r="P1111" s="50">
        <f>IFERROR(VLOOKUP($B1111,Data!$B$3:$D1530,3,FALSE),"")</f>
        <v>4270000</v>
      </c>
      <c r="Q1111" s="48">
        <f t="shared" si="2"/>
        <v>0.1100702576</v>
      </c>
      <c r="R1111" s="48"/>
      <c r="S1111" s="48"/>
      <c r="T1111" s="48"/>
      <c r="U1111" s="48"/>
      <c r="V1111" s="48"/>
      <c r="W1111" s="50"/>
      <c r="Z1111" s="15"/>
      <c r="AA1111" s="15"/>
    </row>
    <row r="1112">
      <c r="A1112" s="9">
        <f t="shared" si="1"/>
        <v>1109</v>
      </c>
      <c r="B1112" s="47" t="s">
        <v>1246</v>
      </c>
      <c r="C1112" s="48">
        <f>IFERROR(DIVIDE(VLOOKUP($B1112,Data!$B$3:$AB$1535,9,FALSE),VLOOKUP($B1112,Data!$B$3:$AB$1535,4,FALSE)),"")</f>
        <v>0.3900990099</v>
      </c>
      <c r="D1112" s="48">
        <f>IFERROR(DIVIDE(VLOOKUP($B1112,Data!$B$3:$AB$1535,24,FALSE),VLOOKUP($B1112,Data!$B$3:$AB$1535,4,FALSE)),"")</f>
        <v>0.1115511551</v>
      </c>
      <c r="E1112" s="48">
        <f>IFERROR(DIVIDE(VLOOKUP($B1112,Data!$B$3:$EZ1530,29,FALSE),VLOOKUP($B1112,Data!$B$3:$EZ1530,4,FALSE)),"")</f>
        <v>0.1095709571</v>
      </c>
      <c r="F1112" s="48">
        <f>IFERROR(DIVIDE(VLOOKUP($B1112,Data!$B$3:$EZ1530,34,FALSE),VLOOKUP($B1112,Data!$B$3:$EZ1530,4,FALSE)),"")</f>
        <v>0.1584158416</v>
      </c>
      <c r="G1112" s="48">
        <f>IFERROR(DIVIDE(VLOOKUP($B1112,Data!$B$3:$EZ1530,39,FALSE),VLOOKUP($B1112,Data!$B$3:$EZ1530,4,FALSE)),"")</f>
        <v>0.08184818482</v>
      </c>
      <c r="H1112" s="48">
        <f>IFERROR(DIVIDE(VLOOKUP($B1112,Data!$B$3:$EZ1530,44,FALSE),VLOOKUP($B1112,Data!$B$3:$EZ1530,4,FALSE)),"")</f>
        <v>0.1372937294</v>
      </c>
      <c r="I1112" s="48">
        <f>IFERROR(MINUS(DIVIDE(VLOOKUP($B1112,Data!$B$3:$EZ1530,9,FALSE),VLOOKUP($B1112,Data!$B$3:$EZ1530,10,FALSE)),1),"")</f>
        <v>0.01721170396</v>
      </c>
      <c r="J1112" s="48">
        <f>IFERROR(MINUS(DIVIDE(VLOOKUP($B1112,Data!$B$3:$EZ1530,24,FALSE),VLOOKUP($B1112,Data!$B$3:$EZ1530,25,FALSE)),1),"")</f>
        <v>0</v>
      </c>
      <c r="K1112" s="48">
        <f>IFERROR(MINUS(DIVIDE(VLOOKUP($B1112,Data!$B$3:$EZ1530,29,FALSE),VLOOKUP($B1112,Data!$B$3:$EZ1530,30,FALSE)),1),"")</f>
        <v>-0.01775147929</v>
      </c>
      <c r="L1112" s="48">
        <f>IFERROR(MINUS(DIVIDE(VLOOKUP($B1112,Data!$B$3:$EZ1530,34,FALSE),VLOOKUP($B1112,Data!$B$3:$EZ1530,35,FALSE)),1),"")</f>
        <v>0.06666666667</v>
      </c>
      <c r="M1112" s="48">
        <f>IFERROR(MINUS(DIVIDE(VLOOKUP($B1112,Data!$B$3:$EZ1530,39,FALSE),VLOOKUP($B1112,Data!$B$3:$EZ1530,40,FALSE)),1),"")</f>
        <v>-0.06060606061</v>
      </c>
      <c r="N1112" s="48">
        <f>IFERROR(MINUS(DIVIDE(VLOOKUP($B1112,Data!$B$3:$EZ1530,44,FALSE),VLOOKUP($B1112,Data!$B$3:$EZ1530,45,FALSE)),1),"")</f>
        <v>0.4149659864</v>
      </c>
      <c r="O1112" s="50">
        <f>IFERROR(VLOOKUP($B1112,Data!$B$3:$D1530,2,FALSE),"")</f>
        <v>14340000</v>
      </c>
      <c r="P1112" s="50">
        <f>IFERROR(VLOOKUP($B1112,Data!$B$3:$D1530,3,FALSE),"")</f>
        <v>12960000</v>
      </c>
      <c r="Q1112" s="48">
        <f t="shared" si="2"/>
        <v>0.1064814815</v>
      </c>
      <c r="R1112" s="48"/>
      <c r="S1112" s="48"/>
      <c r="T1112" s="48"/>
      <c r="U1112" s="48"/>
      <c r="V1112" s="48"/>
      <c r="W1112" s="50"/>
      <c r="Z1112" s="15"/>
      <c r="AA1112" s="15"/>
    </row>
    <row r="1113">
      <c r="A1113" s="9">
        <f t="shared" si="1"/>
        <v>1110</v>
      </c>
      <c r="B1113" s="47" t="s">
        <v>1247</v>
      </c>
      <c r="C1113" s="48">
        <f>IFERROR(DIVIDE(VLOOKUP($B1113,Data!$B$3:$AB$1535,9,FALSE),VLOOKUP($B1113,Data!$B$3:$AB$1535,4,FALSE)),"")</f>
        <v>0.2481237785</v>
      </c>
      <c r="D1113" s="48">
        <f>IFERROR(DIVIDE(VLOOKUP($B1113,Data!$B$3:$AB$1535,24,FALSE),VLOOKUP($B1113,Data!$B$3:$AB$1535,4,FALSE)),"")</f>
        <v>0.1176091205</v>
      </c>
      <c r="E1113" s="48">
        <f>IFERROR(DIVIDE(VLOOKUP($B1113,Data!$B$3:$EZ1530,29,FALSE),VLOOKUP($B1113,Data!$B$3:$EZ1530,4,FALSE)),"")</f>
        <v>0.0996514658</v>
      </c>
      <c r="F1113" s="48">
        <f>IFERROR(DIVIDE(VLOOKUP($B1113,Data!$B$3:$EZ1530,34,FALSE),VLOOKUP($B1113,Data!$B$3:$EZ1530,4,FALSE)),"")</f>
        <v>0.1569120521</v>
      </c>
      <c r="G1113" s="48">
        <f>IFERROR(DIVIDE(VLOOKUP($B1113,Data!$B$3:$EZ1530,39,FALSE),VLOOKUP($B1113,Data!$B$3:$EZ1530,4,FALSE)),"")</f>
        <v>0.07915960912</v>
      </c>
      <c r="H1113" s="48">
        <f>IFERROR(DIVIDE(VLOOKUP($B1113,Data!$B$3:$EZ1530,44,FALSE),VLOOKUP($B1113,Data!$B$3:$EZ1530,4,FALSE)),"")</f>
        <v>0.08259609121</v>
      </c>
      <c r="I1113" s="48">
        <f>IFERROR(MINUS(DIVIDE(VLOOKUP($B1113,Data!$B$3:$EZ1530,9,FALSE),VLOOKUP($B1113,Data!$B$3:$EZ1530,10,FALSE)),1),"")</f>
        <v>0.1055091141</v>
      </c>
      <c r="J1113" s="48">
        <f>IFERROR(MINUS(DIVIDE(VLOOKUP($B1113,Data!$B$3:$EZ1530,24,FALSE),VLOOKUP($B1113,Data!$B$3:$EZ1530,25,FALSE)),1),"")</f>
        <v>0.2872932116</v>
      </c>
      <c r="K1113" s="48">
        <f>IFERROR(MINUS(DIVIDE(VLOOKUP($B1113,Data!$B$3:$EZ1530,29,FALSE),VLOOKUP($B1113,Data!$B$3:$EZ1530,30,FALSE)),1),"")</f>
        <v>0.3808621079</v>
      </c>
      <c r="L1113" s="48">
        <f>IFERROR(MINUS(DIVIDE(VLOOKUP($B1113,Data!$B$3:$EZ1530,34,FALSE),VLOOKUP($B1113,Data!$B$3:$EZ1530,35,FALSE)),1),"")</f>
        <v>0.1215832363</v>
      </c>
      <c r="M1113" s="48">
        <f>IFERROR(MINUS(DIVIDE(VLOOKUP($B1113,Data!$B$3:$EZ1530,39,FALSE),VLOOKUP($B1113,Data!$B$3:$EZ1530,40,FALSE)),1),"")</f>
        <v>0.5789747255</v>
      </c>
      <c r="N1113" s="48">
        <f>IFERROR(MINUS(DIVIDE(VLOOKUP($B1113,Data!$B$3:$EZ1530,44,FALSE),VLOOKUP($B1113,Data!$B$3:$EZ1530,45,FALSE)),1),"")</f>
        <v>-0.2311167713</v>
      </c>
      <c r="O1113" s="50">
        <f>IFERROR(VLOOKUP($B1113,Data!$B$3:$D1530,2,FALSE),"")</f>
        <v>3430000</v>
      </c>
      <c r="P1113" s="50">
        <f>IFERROR(VLOOKUP($B1113,Data!$B$3:$D1530,3,FALSE),"")</f>
        <v>3090000</v>
      </c>
      <c r="Q1113" s="48">
        <f t="shared" si="2"/>
        <v>0.1100323625</v>
      </c>
      <c r="R1113" s="48"/>
      <c r="S1113" s="48"/>
      <c r="T1113" s="48"/>
      <c r="U1113" s="48"/>
      <c r="V1113" s="48"/>
      <c r="W1113" s="50"/>
      <c r="Z1113" s="11"/>
      <c r="AA1113" s="11"/>
    </row>
    <row r="1114">
      <c r="A1114" s="9">
        <f t="shared" si="1"/>
        <v>1111</v>
      </c>
      <c r="B1114" s="47" t="s">
        <v>1248</v>
      </c>
      <c r="C1114" s="48">
        <f>IFERROR(DIVIDE(VLOOKUP($B1114,Data!$B$3:$AB$1535,9,FALSE),VLOOKUP($B1114,Data!$B$3:$AB$1535,4,FALSE)),"")</f>
        <v>0.3657024793</v>
      </c>
      <c r="D1114" s="48">
        <f>IFERROR(DIVIDE(VLOOKUP($B1114,Data!$B$3:$AB$1535,24,FALSE),VLOOKUP($B1114,Data!$B$3:$AB$1535,4,FALSE)),"")</f>
        <v>0.03845041322</v>
      </c>
      <c r="E1114" s="48">
        <f>IFERROR(DIVIDE(VLOOKUP($B1114,Data!$B$3:$EZ1530,29,FALSE),VLOOKUP($B1114,Data!$B$3:$EZ1530,4,FALSE)),"")</f>
        <v>0.03533057851</v>
      </c>
      <c r="F1114" s="48">
        <f>IFERROR(DIVIDE(VLOOKUP($B1114,Data!$B$3:$EZ1530,34,FALSE),VLOOKUP($B1114,Data!$B$3:$EZ1530,4,FALSE)),"")</f>
        <v>0.1720867769</v>
      </c>
      <c r="G1114" s="48">
        <f>IFERROR(DIVIDE(VLOOKUP($B1114,Data!$B$3:$EZ1530,39,FALSE),VLOOKUP($B1114,Data!$B$3:$EZ1530,4,FALSE)),"")</f>
        <v>0.03018595041</v>
      </c>
      <c r="H1114" s="48">
        <f>IFERROR(DIVIDE(VLOOKUP($B1114,Data!$B$3:$EZ1530,44,FALSE),VLOOKUP($B1114,Data!$B$3:$EZ1530,4,FALSE)),"")</f>
        <v>0.08012396694</v>
      </c>
      <c r="I1114" s="48">
        <f>IFERROR(MINUS(DIVIDE(VLOOKUP($B1114,Data!$B$3:$EZ1530,9,FALSE),VLOOKUP($B1114,Data!$B$3:$EZ1530,10,FALSE)),1),"")</f>
        <v>-0.03278688525</v>
      </c>
      <c r="J1114" s="48">
        <f>IFERROR(MINUS(DIVIDE(VLOOKUP($B1114,Data!$B$3:$EZ1530,24,FALSE),VLOOKUP($B1114,Data!$B$3:$EZ1530,25,FALSE)),1),"")</f>
        <v>-0.2462535439</v>
      </c>
      <c r="K1114" s="48">
        <f>IFERROR(MINUS(DIVIDE(VLOOKUP($B1114,Data!$B$3:$EZ1530,29,FALSE),VLOOKUP($B1114,Data!$B$3:$EZ1530,30,FALSE)),1),"")</f>
        <v>-0.4115622849</v>
      </c>
      <c r="L1114" s="48">
        <f>IFERROR(MINUS(DIVIDE(VLOOKUP($B1114,Data!$B$3:$EZ1530,34,FALSE),VLOOKUP($B1114,Data!$B$3:$EZ1530,35,FALSE)),1),"")</f>
        <v>-0.08301222063</v>
      </c>
      <c r="M1114" s="48">
        <f>IFERROR(MINUS(DIVIDE(VLOOKUP($B1114,Data!$B$3:$EZ1530,39,FALSE),VLOOKUP($B1114,Data!$B$3:$EZ1530,40,FALSE)),1),"")</f>
        <v>0.1152671756</v>
      </c>
      <c r="N1114" s="48">
        <f>IFERROR(MINUS(DIVIDE(VLOOKUP($B1114,Data!$B$3:$EZ1530,44,FALSE),VLOOKUP($B1114,Data!$B$3:$EZ1530,45,FALSE)),1),"")</f>
        <v>-0.3460370995</v>
      </c>
      <c r="O1114" s="50">
        <f>IFERROR(VLOOKUP($B1114,Data!$B$3:$D1530,2,FALSE),"")</f>
        <v>5280000</v>
      </c>
      <c r="P1114" s="50">
        <f>IFERROR(VLOOKUP($B1114,Data!$B$3:$D1530,3,FALSE),"")</f>
        <v>5200000</v>
      </c>
      <c r="Q1114" s="48">
        <f t="shared" si="2"/>
        <v>0.01538461538</v>
      </c>
      <c r="R1114" s="48"/>
      <c r="S1114" s="48"/>
      <c r="T1114" s="48"/>
      <c r="U1114" s="48"/>
      <c r="V1114" s="48"/>
      <c r="W1114" s="50"/>
      <c r="Z1114" s="15"/>
      <c r="AA1114" s="15"/>
    </row>
    <row r="1115">
      <c r="A1115" s="9">
        <f t="shared" si="1"/>
        <v>1112</v>
      </c>
      <c r="B1115" s="47" t="s">
        <v>1249</v>
      </c>
      <c r="C1115" s="48">
        <f>IFERROR(DIVIDE(VLOOKUP($B1115,Data!$B$3:$AB$1535,9,FALSE),VLOOKUP($B1115,Data!$B$3:$AB$1535,4,FALSE)),"")</f>
        <v>0.1064083601</v>
      </c>
      <c r="D1115" s="48">
        <f>IFERROR(DIVIDE(VLOOKUP($B1115,Data!$B$3:$AB$1535,24,FALSE),VLOOKUP($B1115,Data!$B$3:$AB$1535,4,FALSE)),"")</f>
        <v>0.04381672026</v>
      </c>
      <c r="E1115" s="48">
        <f>IFERROR(DIVIDE(VLOOKUP($B1115,Data!$B$3:$EZ1530,29,FALSE),VLOOKUP($B1115,Data!$B$3:$EZ1530,4,FALSE)),"")</f>
        <v>0.03791318328</v>
      </c>
      <c r="F1115" s="48">
        <f>IFERROR(DIVIDE(VLOOKUP($B1115,Data!$B$3:$EZ1530,34,FALSE),VLOOKUP($B1115,Data!$B$3:$EZ1530,4,FALSE)),"")</f>
        <v>0.07275884244</v>
      </c>
      <c r="G1115" s="48">
        <f>IFERROR(DIVIDE(VLOOKUP($B1115,Data!$B$3:$EZ1530,39,FALSE),VLOOKUP($B1115,Data!$B$3:$EZ1530,4,FALSE)),"")</f>
        <v>0.02647266881</v>
      </c>
      <c r="H1115" s="48">
        <f>IFERROR(DIVIDE(VLOOKUP($B1115,Data!$B$3:$EZ1530,44,FALSE),VLOOKUP($B1115,Data!$B$3:$EZ1530,4,FALSE)),"")</f>
        <v>0.03793569132</v>
      </c>
      <c r="I1115" s="48">
        <f>IFERROR(MINUS(DIVIDE(VLOOKUP($B1115,Data!$B$3:$EZ1530,9,FALSE),VLOOKUP($B1115,Data!$B$3:$EZ1530,10,FALSE)),1),"")</f>
        <v>0.01593295266</v>
      </c>
      <c r="J1115" s="48">
        <f>IFERROR(MINUS(DIVIDE(VLOOKUP($B1115,Data!$B$3:$EZ1530,24,FALSE),VLOOKUP($B1115,Data!$B$3:$EZ1530,25,FALSE)),1),"")</f>
        <v>0.07646733549</v>
      </c>
      <c r="K1115" s="48">
        <f>IFERROR(MINUS(DIVIDE(VLOOKUP($B1115,Data!$B$3:$EZ1530,29,FALSE),VLOOKUP($B1115,Data!$B$3:$EZ1530,30,FALSE)),1),"")</f>
        <v>0.04013761468</v>
      </c>
      <c r="L1115" s="48">
        <f>IFERROR(MINUS(DIVIDE(VLOOKUP($B1115,Data!$B$3:$EZ1530,34,FALSE),VLOOKUP($B1115,Data!$B$3:$EZ1530,35,FALSE)),1),"")</f>
        <v>0.01479953359</v>
      </c>
      <c r="M1115" s="48">
        <f>IFERROR(MINUS(DIVIDE(VLOOKUP($B1115,Data!$B$3:$EZ1530,39,FALSE),VLOOKUP($B1115,Data!$B$3:$EZ1530,40,FALSE)),1),"")</f>
        <v>0.06287115931</v>
      </c>
      <c r="N1115" s="48">
        <f>IFERROR(MINUS(DIVIDE(VLOOKUP($B1115,Data!$B$3:$EZ1530,44,FALSE),VLOOKUP($B1115,Data!$B$3:$EZ1530,45,FALSE)),1),"")</f>
        <v>-0.06970509383</v>
      </c>
      <c r="O1115" s="50">
        <f>IFERROR(VLOOKUP($B1115,Data!$B$3:$D1530,2,FALSE),"")</f>
        <v>3240000</v>
      </c>
      <c r="P1115" s="50">
        <f>IFERROR(VLOOKUP($B1115,Data!$B$3:$D1530,3,FALSE),"")</f>
        <v>3250000</v>
      </c>
      <c r="Q1115" s="48">
        <f t="shared" si="2"/>
        <v>-0.003076923077</v>
      </c>
      <c r="R1115" s="48"/>
      <c r="S1115" s="48"/>
      <c r="T1115" s="48"/>
      <c r="U1115" s="48"/>
      <c r="V1115" s="48"/>
      <c r="W1115" s="50"/>
      <c r="Z1115" s="11"/>
      <c r="AA1115" s="11"/>
    </row>
    <row r="1116">
      <c r="A1116" s="9">
        <f t="shared" si="1"/>
        <v>1113</v>
      </c>
      <c r="B1116" s="47" t="s">
        <v>1250</v>
      </c>
      <c r="C1116" s="48">
        <f>IFERROR(DIVIDE(VLOOKUP($B1116,Data!$B$3:$AB$1535,9,FALSE),VLOOKUP($B1116,Data!$B$3:$AB$1535,4,FALSE)),"")</f>
        <v>0.5157232704</v>
      </c>
      <c r="D1116" s="48">
        <f>IFERROR(DIVIDE(VLOOKUP($B1116,Data!$B$3:$AB$1535,24,FALSE),VLOOKUP($B1116,Data!$B$3:$AB$1535,4,FALSE)),"")</f>
        <v>0.04431446541</v>
      </c>
      <c r="E1116" s="48">
        <f>IFERROR(DIVIDE(VLOOKUP($B1116,Data!$B$3:$EZ1530,29,FALSE),VLOOKUP($B1116,Data!$B$3:$EZ1530,4,FALSE)),"")</f>
        <v>0.003921383648</v>
      </c>
      <c r="F1116" s="48">
        <f>IFERROR(DIVIDE(VLOOKUP($B1116,Data!$B$3:$EZ1530,34,FALSE),VLOOKUP($B1116,Data!$B$3:$EZ1530,4,FALSE)),"")</f>
        <v>0.1316886792</v>
      </c>
      <c r="G1116" s="48">
        <f>IFERROR(DIVIDE(VLOOKUP($B1116,Data!$B$3:$EZ1530,39,FALSE),VLOOKUP($B1116,Data!$B$3:$EZ1530,4,FALSE)),"")</f>
        <v>-0.00004172641509</v>
      </c>
      <c r="H1116" s="48">
        <f>IFERROR(DIVIDE(VLOOKUP($B1116,Data!$B$3:$EZ1530,44,FALSE),VLOOKUP($B1116,Data!$B$3:$EZ1530,4,FALSE)),"")</f>
        <v>0.1029811321</v>
      </c>
      <c r="I1116" s="48">
        <f>IFERROR(MINUS(DIVIDE(VLOOKUP($B1116,Data!$B$3:$EZ1530,9,FALSE),VLOOKUP($B1116,Data!$B$3:$EZ1530,10,FALSE)),1),"")</f>
        <v>0.07189542484</v>
      </c>
      <c r="J1116" s="48">
        <f>IFERROR(MINUS(DIVIDE(VLOOKUP($B1116,Data!$B$3:$EZ1530,24,FALSE),VLOOKUP($B1116,Data!$B$3:$EZ1530,25,FALSE)),1),"")</f>
        <v>0.09819201995</v>
      </c>
      <c r="K1116" s="48">
        <f>IFERROR(MINUS(DIVIDE(VLOOKUP($B1116,Data!$B$3:$EZ1530,29,FALSE),VLOOKUP($B1116,Data!$B$3:$EZ1530,30,FALSE)),1),"")</f>
        <v>-0.6008322663</v>
      </c>
      <c r="L1116" s="48">
        <f>IFERROR(MINUS(DIVIDE(VLOOKUP($B1116,Data!$B$3:$EZ1530,34,FALSE),VLOOKUP($B1116,Data!$B$3:$EZ1530,35,FALSE)),1),"")</f>
        <v>0.1364487503</v>
      </c>
      <c r="M1116" s="48">
        <f>IFERROR(MINUS(DIVIDE(VLOOKUP($B1116,Data!$B$3:$EZ1530,39,FALSE),VLOOKUP($B1116,Data!$B$3:$EZ1530,40,FALSE)),1),"")</f>
        <v>-1.003542178</v>
      </c>
      <c r="N1116" s="48">
        <f>IFERROR(MINUS(DIVIDE(VLOOKUP($B1116,Data!$B$3:$EZ1530,44,FALSE),VLOOKUP($B1116,Data!$B$3:$EZ1530,45,FALSE)),1),"")</f>
        <v>0.03420180009</v>
      </c>
      <c r="O1116" s="50">
        <f>IFERROR(VLOOKUP($B1116,Data!$B$3:$D1530,2,FALSE),"")</f>
        <v>326820</v>
      </c>
      <c r="P1116" s="50">
        <f>IFERROR(VLOOKUP($B1116,Data!$B$3:$D1530,3,FALSE),"")</f>
        <v>312850</v>
      </c>
      <c r="Q1116" s="48">
        <f t="shared" si="2"/>
        <v>0.04465398753</v>
      </c>
      <c r="R1116" s="48"/>
      <c r="S1116" s="48"/>
      <c r="T1116" s="48"/>
      <c r="U1116" s="48"/>
      <c r="V1116" s="48"/>
      <c r="W1116" s="50"/>
      <c r="Z1116" s="11"/>
      <c r="AA1116" s="11"/>
    </row>
    <row r="1117">
      <c r="A1117" s="9">
        <f t="shared" si="1"/>
        <v>1114</v>
      </c>
      <c r="B1117" s="47" t="s">
        <v>1251</v>
      </c>
      <c r="C1117" s="48">
        <f>IFERROR(DIVIDE(VLOOKUP($B1117,Data!$B$3:$AB$1535,9,FALSE),VLOOKUP($B1117,Data!$B$3:$AB$1535,4,FALSE)),"")</f>
        <v>0</v>
      </c>
      <c r="D1117" s="48">
        <f>IFERROR(DIVIDE(VLOOKUP($B1117,Data!$B$3:$AB$1535,24,FALSE),VLOOKUP($B1117,Data!$B$3:$AB$1535,4,FALSE)),"")</f>
        <v>0</v>
      </c>
      <c r="E1117" s="48">
        <f>IFERROR(DIVIDE(VLOOKUP($B1117,Data!$B$3:$EZ1530,29,FALSE),VLOOKUP($B1117,Data!$B$3:$EZ1530,4,FALSE)),"")</f>
        <v>-1.529863481</v>
      </c>
      <c r="F1117" s="48">
        <f>IFERROR(DIVIDE(VLOOKUP($B1117,Data!$B$3:$EZ1530,34,FALSE),VLOOKUP($B1117,Data!$B$3:$EZ1530,4,FALSE)),"")</f>
        <v>-1.619169511</v>
      </c>
      <c r="G1117" s="48">
        <f>IFERROR(DIVIDE(VLOOKUP($B1117,Data!$B$3:$EZ1530,39,FALSE),VLOOKUP($B1117,Data!$B$3:$EZ1530,4,FALSE)),"")</f>
        <v>-1.529863481</v>
      </c>
      <c r="H1117" s="48">
        <f>IFERROR(DIVIDE(VLOOKUP($B1117,Data!$B$3:$EZ1530,44,FALSE),VLOOKUP($B1117,Data!$B$3:$EZ1530,4,FALSE)),"")</f>
        <v>-1.210182025</v>
      </c>
      <c r="I1117" s="48" t="str">
        <f>IFERROR(MINUS(DIVIDE(VLOOKUP($B1117,Data!$B$3:$EZ1530,9,FALSE),VLOOKUP($B1117,Data!$B$3:$EZ1530,10,FALSE)),1),"")</f>
        <v/>
      </c>
      <c r="J1117" s="48" t="str">
        <f>IFERROR(MINUS(DIVIDE(VLOOKUP($B1117,Data!$B$3:$EZ1530,24,FALSE),VLOOKUP($B1117,Data!$B$3:$EZ1530,25,FALSE)),1),"")</f>
        <v/>
      </c>
      <c r="K1117" s="48">
        <f>IFERROR(MINUS(DIVIDE(VLOOKUP($B1117,Data!$B$3:$EZ1530,29,FALSE),VLOOKUP($B1117,Data!$B$3:$EZ1530,30,FALSE)),1),"")</f>
        <v>-3.960374243</v>
      </c>
      <c r="L1117" s="48">
        <f>IFERROR(MINUS(DIVIDE(VLOOKUP($B1117,Data!$B$3:$EZ1530,34,FALSE),VLOOKUP($B1117,Data!$B$3:$EZ1530,35,FALSE)),1),"")</f>
        <v>-4.273720529</v>
      </c>
      <c r="M1117" s="48">
        <f>IFERROR(MINUS(DIVIDE(VLOOKUP($B1117,Data!$B$3:$EZ1530,39,FALSE),VLOOKUP($B1117,Data!$B$3:$EZ1530,40,FALSE)),1),"")</f>
        <v>-11.93292683</v>
      </c>
      <c r="N1117" s="48">
        <f>IFERROR(MINUS(DIVIDE(VLOOKUP($B1117,Data!$B$3:$EZ1530,44,FALSE),VLOOKUP($B1117,Data!$B$3:$EZ1530,45,FALSE)),1),"")</f>
        <v>1.009919698</v>
      </c>
      <c r="O1117" s="50">
        <f>IFERROR(VLOOKUP($B1117,Data!$B$3:$D1530,2,FALSE),"")</f>
        <v>15000</v>
      </c>
      <c r="P1117" s="50">
        <f>IFERROR(VLOOKUP($B1117,Data!$B$3:$D1530,3,FALSE),"")</f>
        <v>50000</v>
      </c>
      <c r="Q1117" s="48">
        <f t="shared" si="2"/>
        <v>-0.7</v>
      </c>
      <c r="R1117" s="48"/>
      <c r="S1117" s="48"/>
      <c r="T1117" s="48"/>
      <c r="U1117" s="48"/>
      <c r="V1117" s="48"/>
      <c r="W1117" s="50"/>
      <c r="Z1117" s="11"/>
      <c r="AA1117" s="11"/>
    </row>
    <row r="1118">
      <c r="A1118" s="9">
        <f t="shared" si="1"/>
        <v>1115</v>
      </c>
      <c r="B1118" s="47" t="s">
        <v>1252</v>
      </c>
      <c r="C1118" s="48">
        <f>IFERROR(DIVIDE(VLOOKUP($B1118,Data!$B$3:$AB$1535,9,FALSE),VLOOKUP($B1118,Data!$B$3:$AB$1535,4,FALSE)),"")</f>
        <v>0.3020348635</v>
      </c>
      <c r="D1118" s="48">
        <f>IFERROR(DIVIDE(VLOOKUP($B1118,Data!$B$3:$AB$1535,24,FALSE),VLOOKUP($B1118,Data!$B$3:$AB$1535,4,FALSE)),"")</f>
        <v>0</v>
      </c>
      <c r="E1118" s="48">
        <f>IFERROR(DIVIDE(VLOOKUP($B1118,Data!$B$3:$EZ1530,29,FALSE),VLOOKUP($B1118,Data!$B$3:$EZ1530,4,FALSE)),"")</f>
        <v>-1.032988402</v>
      </c>
      <c r="F1118" s="48">
        <f>IFERROR(DIVIDE(VLOOKUP($B1118,Data!$B$3:$EZ1530,34,FALSE),VLOOKUP($B1118,Data!$B$3:$EZ1530,4,FALSE)),"")</f>
        <v>-0.9411764706</v>
      </c>
      <c r="G1118" s="48">
        <f>IFERROR(DIVIDE(VLOOKUP($B1118,Data!$B$3:$EZ1530,39,FALSE),VLOOKUP($B1118,Data!$B$3:$EZ1530,4,FALSE)),"")</f>
        <v>-1.028126953</v>
      </c>
      <c r="H1118" s="48">
        <f>IFERROR(DIVIDE(VLOOKUP($B1118,Data!$B$3:$EZ1530,44,FALSE),VLOOKUP($B1118,Data!$B$3:$EZ1530,4,FALSE)),"")</f>
        <v>-0.7382457115</v>
      </c>
      <c r="I1118" s="48">
        <f>IFERROR(MINUS(DIVIDE(VLOOKUP($B1118,Data!$B$3:$EZ1530,9,FALSE),VLOOKUP($B1118,Data!$B$3:$EZ1530,10,FALSE)),1),"")</f>
        <v>0.2114206128</v>
      </c>
      <c r="J1118" s="48" t="str">
        <f>IFERROR(MINUS(DIVIDE(VLOOKUP($B1118,Data!$B$3:$EZ1530,24,FALSE),VLOOKUP($B1118,Data!$B$3:$EZ1530,25,FALSE)),1),"")</f>
        <v/>
      </c>
      <c r="K1118" s="48">
        <f>IFERROR(MINUS(DIVIDE(VLOOKUP($B1118,Data!$B$3:$EZ1530,29,FALSE),VLOOKUP($B1118,Data!$B$3:$EZ1530,30,FALSE)),1),"")</f>
        <v>0.2008719522</v>
      </c>
      <c r="L1118" s="48">
        <f>IFERROR(MINUS(DIVIDE(VLOOKUP($B1118,Data!$B$3:$EZ1530,34,FALSE),VLOOKUP($B1118,Data!$B$3:$EZ1530,35,FALSE)),1),"")</f>
        <v>0.236045239</v>
      </c>
      <c r="M1118" s="48">
        <f>IFERROR(MINUS(DIVIDE(VLOOKUP($B1118,Data!$B$3:$EZ1530,39,FALSE),VLOOKUP($B1118,Data!$B$3:$EZ1530,40,FALSE)),1),"")</f>
        <v>0.146619162</v>
      </c>
      <c r="N1118" s="48">
        <f>IFERROR(MINUS(DIVIDE(VLOOKUP($B1118,Data!$B$3:$EZ1530,44,FALSE),VLOOKUP($B1118,Data!$B$3:$EZ1530,45,FALSE)),1),"")</f>
        <v>0.6321203746</v>
      </c>
      <c r="O1118" s="50">
        <f>IFERROR(VLOOKUP($B1118,Data!$B$3:$D1530,2,FALSE),"")</f>
        <v>190870</v>
      </c>
      <c r="P1118" s="50">
        <f>IFERROR(VLOOKUP($B1118,Data!$B$3:$D1530,3,FALSE),"")</f>
        <v>112510</v>
      </c>
      <c r="Q1118" s="48">
        <f t="shared" si="2"/>
        <v>0.6964714248</v>
      </c>
      <c r="R1118" s="48"/>
      <c r="S1118" s="48"/>
      <c r="T1118" s="48"/>
      <c r="U1118" s="48"/>
      <c r="V1118" s="48"/>
      <c r="W1118" s="50"/>
      <c r="Z1118" s="15"/>
      <c r="AA1118" s="15"/>
    </row>
    <row r="1119">
      <c r="A1119" s="9">
        <f t="shared" si="1"/>
        <v>1116</v>
      </c>
      <c r="B1119" s="47" t="s">
        <v>1253</v>
      </c>
      <c r="C1119" s="48" t="str">
        <f>IFERROR(DIVIDE(VLOOKUP($B1119,Data!$B$3:$AB$1535,9,FALSE),VLOOKUP($B1119,Data!$B$3:$AB$1535,4,FALSE)),"")</f>
        <v/>
      </c>
      <c r="D1119" s="48" t="str">
        <f>IFERROR(DIVIDE(VLOOKUP($B1119,Data!$B$3:$AB$1535,24,FALSE),VLOOKUP($B1119,Data!$B$3:$AB$1535,4,FALSE)),"")</f>
        <v/>
      </c>
      <c r="E1119" s="48" t="str">
        <f>IFERROR(DIVIDE(VLOOKUP($B1119,Data!$B$3:$EZ1530,29,FALSE),VLOOKUP($B1119,Data!$B$3:$EZ1530,4,FALSE)),"")</f>
        <v/>
      </c>
      <c r="F1119" s="48" t="str">
        <f>IFERROR(DIVIDE(VLOOKUP($B1119,Data!$B$3:$EZ1530,34,FALSE),VLOOKUP($B1119,Data!$B$3:$EZ1530,4,FALSE)),"")</f>
        <v/>
      </c>
      <c r="G1119" s="48" t="str">
        <f>IFERROR(DIVIDE(VLOOKUP($B1119,Data!$B$3:$EZ1530,39,FALSE),VLOOKUP($B1119,Data!$B$3:$EZ1530,4,FALSE)),"")</f>
        <v/>
      </c>
      <c r="H1119" s="48" t="str">
        <f>IFERROR(DIVIDE(VLOOKUP($B1119,Data!$B$3:$EZ1530,44,FALSE),VLOOKUP($B1119,Data!$B$3:$EZ1530,4,FALSE)),"")</f>
        <v/>
      </c>
      <c r="I1119" s="48">
        <f>IFERROR(MINUS(DIVIDE(VLOOKUP($B1119,Data!$B$3:$EZ1530,9,FALSE),VLOOKUP($B1119,Data!$B$3:$EZ1530,10,FALSE)),1),"")</f>
        <v>1.053571429</v>
      </c>
      <c r="J1119" s="48" t="str">
        <f>IFERROR(MINUS(DIVIDE(VLOOKUP($B1119,Data!$B$3:$EZ1530,24,FALSE),VLOOKUP($B1119,Data!$B$3:$EZ1530,25,FALSE)),1),"")</f>
        <v/>
      </c>
      <c r="K1119" s="48">
        <f>IFERROR(MINUS(DIVIDE(VLOOKUP($B1119,Data!$B$3:$EZ1530,29,FALSE),VLOOKUP($B1119,Data!$B$3:$EZ1530,30,FALSE)),1),"")</f>
        <v>0.4594285714</v>
      </c>
      <c r="L1119" s="48">
        <f>IFERROR(MINUS(DIVIDE(VLOOKUP($B1119,Data!$B$3:$EZ1530,34,FALSE),VLOOKUP($B1119,Data!$B$3:$EZ1530,35,FALSE)),1),"")</f>
        <v>0.3231594143</v>
      </c>
      <c r="M1119" s="48">
        <f>IFERROR(MINUS(DIVIDE(VLOOKUP($B1119,Data!$B$3:$EZ1530,39,FALSE),VLOOKUP($B1119,Data!$B$3:$EZ1530,40,FALSE)),1),"")</f>
        <v>0.4523317252</v>
      </c>
      <c r="N1119" s="48">
        <f>IFERROR(MINUS(DIVIDE(VLOOKUP($B1119,Data!$B$3:$EZ1530,44,FALSE),VLOOKUP($B1119,Data!$B$3:$EZ1530,45,FALSE)),1),"")</f>
        <v>0.4641475751</v>
      </c>
      <c r="O1119" s="50">
        <f>IFERROR(VLOOKUP($B1119,Data!$B$3:$D1530,2,FALSE),"")</f>
        <v>10020</v>
      </c>
      <c r="P1119" s="50">
        <f>IFERROR(VLOOKUP($B1119,Data!$B$3:$D1530,3,FALSE),"")</f>
        <v>4000</v>
      </c>
      <c r="Q1119" s="48">
        <f t="shared" si="2"/>
        <v>1.505</v>
      </c>
      <c r="R1119" s="48"/>
      <c r="S1119" s="48"/>
      <c r="T1119" s="48"/>
      <c r="U1119" s="48"/>
      <c r="V1119" s="48"/>
      <c r="W1119" s="50"/>
      <c r="Z1119" s="11"/>
      <c r="AA1119" s="11"/>
    </row>
    <row r="1120">
      <c r="A1120" s="9">
        <f t="shared" si="1"/>
        <v>1117</v>
      </c>
      <c r="B1120" s="47" t="s">
        <v>1254</v>
      </c>
      <c r="C1120" s="48">
        <f>IFERROR(DIVIDE(VLOOKUP($B1120,Data!$B$3:$AB$1535,9,FALSE),VLOOKUP($B1120,Data!$B$3:$AB$1535,4,FALSE)),"")</f>
        <v>0</v>
      </c>
      <c r="D1120" s="48">
        <f>IFERROR(DIVIDE(VLOOKUP($B1120,Data!$B$3:$AB$1535,24,FALSE),VLOOKUP($B1120,Data!$B$3:$AB$1535,4,FALSE)),"")</f>
        <v>-105.2825553</v>
      </c>
      <c r="E1120" s="48">
        <f>IFERROR(DIVIDE(VLOOKUP($B1120,Data!$B$3:$EZ1530,29,FALSE),VLOOKUP($B1120,Data!$B$3:$EZ1530,4,FALSE)),"")</f>
        <v>-94.96314496</v>
      </c>
      <c r="F1120" s="48">
        <f>IFERROR(DIVIDE(VLOOKUP($B1120,Data!$B$3:$EZ1530,34,FALSE),VLOOKUP($B1120,Data!$B$3:$EZ1530,4,FALSE)),"")</f>
        <v>-96.97788698</v>
      </c>
      <c r="G1120" s="48">
        <f>IFERROR(DIVIDE(VLOOKUP($B1120,Data!$B$3:$EZ1530,39,FALSE),VLOOKUP($B1120,Data!$B$3:$EZ1530,4,FALSE)),"")</f>
        <v>-95.42997543</v>
      </c>
      <c r="H1120" s="48">
        <f>IFERROR(DIVIDE(VLOOKUP($B1120,Data!$B$3:$EZ1530,44,FALSE),VLOOKUP($B1120,Data!$B$3:$EZ1530,4,FALSE)),"")</f>
        <v>-65.07371007</v>
      </c>
      <c r="I1120" s="48" t="str">
        <f>IFERROR(MINUS(DIVIDE(VLOOKUP($B1120,Data!$B$3:$EZ1530,9,FALSE),VLOOKUP($B1120,Data!$B$3:$EZ1530,10,FALSE)),1),"")</f>
        <v/>
      </c>
      <c r="J1120" s="48">
        <f>IFERROR(MINUS(DIVIDE(VLOOKUP($B1120,Data!$B$3:$EZ1530,24,FALSE),VLOOKUP($B1120,Data!$B$3:$EZ1530,25,FALSE)),1),"")</f>
        <v>-0.4605312854</v>
      </c>
      <c r="K1120" s="48">
        <f>IFERROR(MINUS(DIVIDE(VLOOKUP($B1120,Data!$B$3:$EZ1530,29,FALSE),VLOOKUP($B1120,Data!$B$3:$EZ1530,30,FALSE)),1),"")</f>
        <v>-0.5048680502</v>
      </c>
      <c r="L1120" s="48">
        <f>IFERROR(MINUS(DIVIDE(VLOOKUP($B1120,Data!$B$3:$EZ1530,34,FALSE),VLOOKUP($B1120,Data!$B$3:$EZ1530,35,FALSE)),1),"")</f>
        <v>-0.4340812962</v>
      </c>
      <c r="M1120" s="48">
        <f>IFERROR(MINUS(DIVIDE(VLOOKUP($B1120,Data!$B$3:$EZ1530,39,FALSE),VLOOKUP($B1120,Data!$B$3:$EZ1530,40,FALSE)),1),"")</f>
        <v>-0.5009315773</v>
      </c>
      <c r="N1120" s="48">
        <f>IFERROR(MINUS(DIVIDE(VLOOKUP($B1120,Data!$B$3:$EZ1530,44,FALSE),VLOOKUP($B1120,Data!$B$3:$EZ1530,45,FALSE)),1),"")</f>
        <v>0.8730551627</v>
      </c>
      <c r="O1120" s="50">
        <f>IFERROR(VLOOKUP($B1120,Data!$B$3:$D1530,2,FALSE),"")</f>
        <v>28100</v>
      </c>
      <c r="P1120" s="50">
        <f>IFERROR(VLOOKUP($B1120,Data!$B$3:$D1530,3,FALSE),"")</f>
        <v>5590</v>
      </c>
      <c r="Q1120" s="48">
        <f t="shared" si="2"/>
        <v>4.026833631</v>
      </c>
      <c r="R1120" s="48"/>
      <c r="S1120" s="48"/>
      <c r="T1120" s="48"/>
      <c r="U1120" s="48"/>
      <c r="V1120" s="48"/>
      <c r="W1120" s="50"/>
      <c r="Z1120" s="11"/>
      <c r="AA1120" s="11"/>
    </row>
    <row r="1121">
      <c r="A1121" s="9">
        <f t="shared" si="1"/>
        <v>1118</v>
      </c>
      <c r="B1121" s="47" t="s">
        <v>1255</v>
      </c>
      <c r="C1121" s="48">
        <f>IFERROR(DIVIDE(VLOOKUP($B1121,Data!$B$3:$AB$1535,9,FALSE),VLOOKUP($B1121,Data!$B$3:$AB$1535,4,FALSE)),"")</f>
        <v>0.7587666264</v>
      </c>
      <c r="D1121" s="48">
        <f>IFERROR(DIVIDE(VLOOKUP($B1121,Data!$B$3:$AB$1535,24,FALSE),VLOOKUP($B1121,Data!$B$3:$AB$1535,4,FALSE)),"")</f>
        <v>0</v>
      </c>
      <c r="E1121" s="48">
        <f>IFERROR(DIVIDE(VLOOKUP($B1121,Data!$B$3:$EZ1530,29,FALSE),VLOOKUP($B1121,Data!$B$3:$EZ1530,4,FALSE)),"")</f>
        <v>-7.768440145</v>
      </c>
      <c r="F1121" s="48">
        <f>IFERROR(DIVIDE(VLOOKUP($B1121,Data!$B$3:$EZ1530,34,FALSE),VLOOKUP($B1121,Data!$B$3:$EZ1530,4,FALSE)),"")</f>
        <v>-6.960096735</v>
      </c>
      <c r="G1121" s="48">
        <f>IFERROR(DIVIDE(VLOOKUP($B1121,Data!$B$3:$EZ1530,39,FALSE),VLOOKUP($B1121,Data!$B$3:$EZ1530,4,FALSE)),"")</f>
        <v>-7.786577993</v>
      </c>
      <c r="H1121" s="48">
        <f>IFERROR(DIVIDE(VLOOKUP($B1121,Data!$B$3:$EZ1530,44,FALSE),VLOOKUP($B1121,Data!$B$3:$EZ1530,4,FALSE)),"")</f>
        <v>-8.000604595</v>
      </c>
      <c r="I1121" s="48" t="str">
        <f>IFERROR(MINUS(DIVIDE(VLOOKUP($B1121,Data!$B$3:$EZ1530,9,FALSE),VLOOKUP($B1121,Data!$B$3:$EZ1530,10,FALSE)),1),"")</f>
        <v/>
      </c>
      <c r="J1121" s="48">
        <f>IFERROR(MINUS(DIVIDE(VLOOKUP($B1121,Data!$B$3:$EZ1530,24,FALSE),VLOOKUP($B1121,Data!$B$3:$EZ1530,25,FALSE)),1),"")</f>
        <v>-1</v>
      </c>
      <c r="K1121" s="48">
        <f>IFERROR(MINUS(DIVIDE(VLOOKUP($B1121,Data!$B$3:$EZ1530,29,FALSE),VLOOKUP($B1121,Data!$B$3:$EZ1530,30,FALSE)),1),"")</f>
        <v>0.148770675</v>
      </c>
      <c r="L1121" s="48">
        <f>IFERROR(MINUS(DIVIDE(VLOOKUP($B1121,Data!$B$3:$EZ1530,34,FALSE),VLOOKUP($B1121,Data!$B$3:$EZ1530,35,FALSE)),1),"")</f>
        <v>0.1131309225</v>
      </c>
      <c r="M1121" s="48">
        <f>IFERROR(MINUS(DIVIDE(VLOOKUP($B1121,Data!$B$3:$EZ1530,39,FALSE),VLOOKUP($B1121,Data!$B$3:$EZ1530,40,FALSE)),1),"")</f>
        <v>0.1462264151</v>
      </c>
      <c r="N1121" s="48">
        <f>IFERROR(MINUS(DIVIDE(VLOOKUP($B1121,Data!$B$3:$EZ1530,44,FALSE),VLOOKUP($B1121,Data!$B$3:$EZ1530,45,FALSE)),1),"")</f>
        <v>0.6300813008</v>
      </c>
      <c r="O1121" s="50">
        <f>IFERROR(VLOOKUP($B1121,Data!$B$3:$D1530,2,FALSE),"")</f>
        <v>152400</v>
      </c>
      <c r="P1121" s="50">
        <f>IFERROR(VLOOKUP($B1121,Data!$B$3:$D1530,3,FALSE),"")</f>
        <v>80690</v>
      </c>
      <c r="Q1121" s="48">
        <f t="shared" si="2"/>
        <v>0.8887098773</v>
      </c>
      <c r="R1121" s="48"/>
      <c r="S1121" s="48"/>
      <c r="T1121" s="48"/>
      <c r="U1121" s="48"/>
      <c r="V1121" s="48"/>
      <c r="W1121" s="50"/>
      <c r="Z1121" s="11"/>
      <c r="AA1121" s="11"/>
    </row>
    <row r="1122">
      <c r="A1122" s="9">
        <f t="shared" si="1"/>
        <v>1119</v>
      </c>
      <c r="B1122" s="47" t="s">
        <v>1256</v>
      </c>
      <c r="C1122" s="48">
        <f>IFERROR(DIVIDE(VLOOKUP($B1122,Data!$B$3:$AB$1535,9,FALSE),VLOOKUP($B1122,Data!$B$3:$AB$1535,4,FALSE)),"")</f>
        <v>0.3553191489</v>
      </c>
      <c r="D1122" s="48">
        <f>IFERROR(DIVIDE(VLOOKUP($B1122,Data!$B$3:$AB$1535,24,FALSE),VLOOKUP($B1122,Data!$B$3:$AB$1535,4,FALSE)),"")</f>
        <v>-0.2024723404</v>
      </c>
      <c r="E1122" s="48">
        <f>IFERROR(DIVIDE(VLOOKUP($B1122,Data!$B$3:$EZ1530,29,FALSE),VLOOKUP($B1122,Data!$B$3:$EZ1530,4,FALSE)),"")</f>
        <v>-0.2273021277</v>
      </c>
      <c r="F1122" s="48">
        <f>IFERROR(DIVIDE(VLOOKUP($B1122,Data!$B$3:$EZ1530,34,FALSE),VLOOKUP($B1122,Data!$B$3:$EZ1530,4,FALSE)),"")</f>
        <v>0.08383404255</v>
      </c>
      <c r="G1122" s="48">
        <f>IFERROR(DIVIDE(VLOOKUP($B1122,Data!$B$3:$EZ1530,39,FALSE),VLOOKUP($B1122,Data!$B$3:$EZ1530,4,FALSE)),"")</f>
        <v>-0.2265957447</v>
      </c>
      <c r="H1122" s="48">
        <f>IFERROR(DIVIDE(VLOOKUP($B1122,Data!$B$3:$EZ1530,44,FALSE),VLOOKUP($B1122,Data!$B$3:$EZ1530,4,FALSE)),"")</f>
        <v>0.01859148936</v>
      </c>
      <c r="I1122" s="48">
        <f>IFERROR(MINUS(DIVIDE(VLOOKUP($B1122,Data!$B$3:$EZ1530,9,FALSE),VLOOKUP($B1122,Data!$B$3:$EZ1530,10,FALSE)),1),"")</f>
        <v>-0.1470365906</v>
      </c>
      <c r="J1122" s="48">
        <f>IFERROR(MINUS(DIVIDE(VLOOKUP($B1122,Data!$B$3:$EZ1530,24,FALSE),VLOOKUP($B1122,Data!$B$3:$EZ1530,25,FALSE)),1),"")</f>
        <v>-2.748979967</v>
      </c>
      <c r="K1122" s="48">
        <f>IFERROR(MINUS(DIVIDE(VLOOKUP($B1122,Data!$B$3:$EZ1530,29,FALSE),VLOOKUP($B1122,Data!$B$3:$EZ1530,30,FALSE)),1),"")</f>
        <v>-4.305445545</v>
      </c>
      <c r="L1122" s="48">
        <f>IFERROR(MINUS(DIVIDE(VLOOKUP($B1122,Data!$B$3:$EZ1530,34,FALSE),VLOOKUP($B1122,Data!$B$3:$EZ1530,35,FALSE)),1),"")</f>
        <v>-0.4479347643</v>
      </c>
      <c r="M1122" s="48">
        <f>IFERROR(MINUS(DIVIDE(VLOOKUP($B1122,Data!$B$3:$EZ1530,39,FALSE),VLOOKUP($B1122,Data!$B$3:$EZ1530,40,FALSE)),1),"")</f>
        <v>-5.320136297</v>
      </c>
      <c r="N1122" s="48">
        <f>IFERROR(MINUS(DIVIDE(VLOOKUP($B1122,Data!$B$3:$EZ1530,44,FALSE),VLOOKUP($B1122,Data!$B$3:$EZ1530,45,FALSE)),1),"")</f>
        <v>-0.5710779501</v>
      </c>
      <c r="O1122" s="50">
        <f>IFERROR(VLOOKUP($B1122,Data!$B$3:$D1530,2,FALSE),"")</f>
        <v>2080000</v>
      </c>
      <c r="P1122" s="50">
        <f>IFERROR(VLOOKUP($B1122,Data!$B$3:$D1530,3,FALSE),"")</f>
        <v>1830000</v>
      </c>
      <c r="Q1122" s="48">
        <f t="shared" si="2"/>
        <v>0.1366120219</v>
      </c>
      <c r="R1122" s="48"/>
      <c r="S1122" s="48"/>
      <c r="T1122" s="48"/>
      <c r="U1122" s="48"/>
      <c r="V1122" s="48"/>
      <c r="W1122" s="50"/>
      <c r="Z1122" s="11"/>
      <c r="AA1122" s="11"/>
    </row>
    <row r="1123">
      <c r="A1123" s="9">
        <f t="shared" si="1"/>
        <v>1120</v>
      </c>
      <c r="B1123" s="47" t="s">
        <v>1257</v>
      </c>
      <c r="C1123" s="48" t="str">
        <f>IFERROR(DIVIDE(VLOOKUP($B1123,Data!$B$3:$AB$1535,9,FALSE),VLOOKUP($B1123,Data!$B$3:$AB$1535,4,FALSE)),"")</f>
        <v/>
      </c>
      <c r="D1123" s="48" t="str">
        <f>IFERROR(DIVIDE(VLOOKUP($B1123,Data!$B$3:$AB$1535,24,FALSE),VLOOKUP($B1123,Data!$B$3:$AB$1535,4,FALSE)),"")</f>
        <v/>
      </c>
      <c r="E1123" s="48" t="str">
        <f>IFERROR(DIVIDE(VLOOKUP($B1123,Data!$B$3:$EZ1530,29,FALSE),VLOOKUP($B1123,Data!$B$3:$EZ1530,4,FALSE)),"")</f>
        <v/>
      </c>
      <c r="F1123" s="48" t="str">
        <f>IFERROR(DIVIDE(VLOOKUP($B1123,Data!$B$3:$EZ1530,34,FALSE),VLOOKUP($B1123,Data!$B$3:$EZ1530,4,FALSE)),"")</f>
        <v/>
      </c>
      <c r="G1123" s="48" t="str">
        <f>IFERROR(DIVIDE(VLOOKUP($B1123,Data!$B$3:$EZ1530,39,FALSE),VLOOKUP($B1123,Data!$B$3:$EZ1530,4,FALSE)),"")</f>
        <v/>
      </c>
      <c r="H1123" s="48" t="str">
        <f>IFERROR(DIVIDE(VLOOKUP($B1123,Data!$B$3:$EZ1530,44,FALSE),VLOOKUP($B1123,Data!$B$3:$EZ1530,4,FALSE)),"")</f>
        <v/>
      </c>
      <c r="I1123" s="48" t="str">
        <f>IFERROR(MINUS(DIVIDE(VLOOKUP($B1123,Data!$B$3:$EZ1530,9,FALSE),VLOOKUP($B1123,Data!$B$3:$EZ1530,10,FALSE)),1),"")</f>
        <v/>
      </c>
      <c r="J1123" s="48">
        <f>IFERROR(MINUS(DIVIDE(VLOOKUP($B1123,Data!$B$3:$EZ1530,24,FALSE),VLOOKUP($B1123,Data!$B$3:$EZ1530,25,FALSE)),1),"")</f>
        <v>-1</v>
      </c>
      <c r="K1123" s="48">
        <f>IFERROR(MINUS(DIVIDE(VLOOKUP($B1123,Data!$B$3:$EZ1530,29,FALSE),VLOOKUP($B1123,Data!$B$3:$EZ1530,30,FALSE)),1),"")</f>
        <v>0.6231721035</v>
      </c>
      <c r="L1123" s="48" t="str">
        <f>IFERROR(MINUS(DIVIDE(VLOOKUP($B1123,Data!$B$3:$EZ1530,34,FALSE),VLOOKUP($B1123,Data!$B$3:$EZ1530,35,FALSE)),1),"")</f>
        <v/>
      </c>
      <c r="M1123" s="48">
        <f>IFERROR(MINUS(DIVIDE(VLOOKUP($B1123,Data!$B$3:$EZ1530,39,FALSE),VLOOKUP($B1123,Data!$B$3:$EZ1530,40,FALSE)),1),"")</f>
        <v>0.6348187311</v>
      </c>
      <c r="N1123" s="48">
        <f>IFERROR(MINUS(DIVIDE(VLOOKUP($B1123,Data!$B$3:$EZ1530,44,FALSE),VLOOKUP($B1123,Data!$B$3:$EZ1530,45,FALSE)),1),"")</f>
        <v>0.5931978799</v>
      </c>
      <c r="O1123" s="50">
        <f>IFERROR(VLOOKUP($B1123,Data!$B$3:$D1530,2,FALSE),"")</f>
        <v>16210</v>
      </c>
      <c r="P1123" s="50" t="str">
        <f>IFERROR(VLOOKUP($B1123,Data!$B$3:$D1530,3,FALSE),"")</f>
        <v/>
      </c>
      <c r="Q1123" s="48" t="str">
        <f t="shared" si="2"/>
        <v/>
      </c>
      <c r="R1123" s="48"/>
      <c r="S1123" s="48"/>
      <c r="T1123" s="48"/>
      <c r="U1123" s="48"/>
      <c r="V1123" s="48"/>
      <c r="W1123" s="50"/>
      <c r="Z1123" s="11"/>
      <c r="AA1123" s="11"/>
    </row>
    <row r="1124">
      <c r="A1124" s="9">
        <f t="shared" si="1"/>
        <v>1121</v>
      </c>
      <c r="B1124" s="47" t="s">
        <v>1258</v>
      </c>
      <c r="C1124" s="48" t="str">
        <f>IFERROR(DIVIDE(VLOOKUP($B1124,Data!$B$3:$AB$1535,9,FALSE),VLOOKUP($B1124,Data!$B$3:$AB$1535,4,FALSE)),"")</f>
        <v/>
      </c>
      <c r="D1124" s="48" t="str">
        <f>IFERROR(DIVIDE(VLOOKUP($B1124,Data!$B$3:$AB$1535,24,FALSE),VLOOKUP($B1124,Data!$B$3:$AB$1535,4,FALSE)),"")</f>
        <v/>
      </c>
      <c r="E1124" s="48" t="str">
        <f>IFERROR(DIVIDE(VLOOKUP($B1124,Data!$B$3:$EZ1530,29,FALSE),VLOOKUP($B1124,Data!$B$3:$EZ1530,4,FALSE)),"")</f>
        <v/>
      </c>
      <c r="F1124" s="48" t="str">
        <f>IFERROR(DIVIDE(VLOOKUP($B1124,Data!$B$3:$EZ1530,34,FALSE),VLOOKUP($B1124,Data!$B$3:$EZ1530,4,FALSE)),"")</f>
        <v/>
      </c>
      <c r="G1124" s="48" t="str">
        <f>IFERROR(DIVIDE(VLOOKUP($B1124,Data!$B$3:$EZ1530,39,FALSE),VLOOKUP($B1124,Data!$B$3:$EZ1530,4,FALSE)),"")</f>
        <v/>
      </c>
      <c r="H1124" s="48" t="str">
        <f>IFERROR(DIVIDE(VLOOKUP($B1124,Data!$B$3:$EZ1530,44,FALSE),VLOOKUP($B1124,Data!$B$3:$EZ1530,4,FALSE)),"")</f>
        <v/>
      </c>
      <c r="I1124" s="48">
        <f>IFERROR(MINUS(DIVIDE(VLOOKUP($B1124,Data!$B$3:$EZ1530,9,FALSE),VLOOKUP($B1124,Data!$B$3:$EZ1530,10,FALSE)),1),"")</f>
        <v>33.54545455</v>
      </c>
      <c r="J1124" s="48">
        <f>IFERROR(MINUS(DIVIDE(VLOOKUP($B1124,Data!$B$3:$EZ1530,24,FALSE),VLOOKUP($B1124,Data!$B$3:$EZ1530,25,FALSE)),1),"")</f>
        <v>-1</v>
      </c>
      <c r="K1124" s="48">
        <f>IFERROR(MINUS(DIVIDE(VLOOKUP($B1124,Data!$B$3:$EZ1530,29,FALSE),VLOOKUP($B1124,Data!$B$3:$EZ1530,30,FALSE)),1),"")</f>
        <v>2.310110005</v>
      </c>
      <c r="L1124" s="48">
        <f>IFERROR(MINUS(DIVIDE(VLOOKUP($B1124,Data!$B$3:$EZ1530,34,FALSE),VLOOKUP($B1124,Data!$B$3:$EZ1530,35,FALSE)),1),"")</f>
        <v>2.408</v>
      </c>
      <c r="M1124" s="48">
        <f>IFERROR(MINUS(DIVIDE(VLOOKUP($B1124,Data!$B$3:$EZ1530,39,FALSE),VLOOKUP($B1124,Data!$B$3:$EZ1530,40,FALSE)),1),"")</f>
        <v>2.310110005</v>
      </c>
      <c r="N1124" s="48">
        <f>IFERROR(MINUS(DIVIDE(VLOOKUP($B1124,Data!$B$3:$EZ1530,44,FALSE),VLOOKUP($B1124,Data!$B$3:$EZ1530,45,FALSE)),1),"")</f>
        <v>2.9793005</v>
      </c>
      <c r="O1124" s="50" t="str">
        <f>IFERROR(VLOOKUP($B1124,Data!$B$3:$D1530,2,FALSE),"")</f>
        <v/>
      </c>
      <c r="P1124" s="50" t="str">
        <f>IFERROR(VLOOKUP($B1124,Data!$B$3:$D1530,3,FALSE),"")</f>
        <v/>
      </c>
      <c r="Q1124" s="48" t="str">
        <f t="shared" si="2"/>
        <v/>
      </c>
      <c r="R1124" s="48"/>
      <c r="S1124" s="48"/>
      <c r="T1124" s="48"/>
      <c r="U1124" s="48"/>
      <c r="V1124" s="48"/>
      <c r="W1124" s="50"/>
      <c r="Z1124" s="11"/>
      <c r="AA1124" s="11"/>
    </row>
    <row r="1125">
      <c r="A1125" s="9">
        <f t="shared" si="1"/>
        <v>1122</v>
      </c>
      <c r="B1125" s="47" t="s">
        <v>1259</v>
      </c>
      <c r="C1125" s="48">
        <f>IFERROR(DIVIDE(VLOOKUP($B1125,Data!$B$3:$AB$1535,9,FALSE),VLOOKUP($B1125,Data!$B$3:$AB$1535,4,FALSE)),"")</f>
        <v>0.1640465839</v>
      </c>
      <c r="D1125" s="48">
        <f>IFERROR(DIVIDE(VLOOKUP($B1125,Data!$B$3:$AB$1535,24,FALSE),VLOOKUP($B1125,Data!$B$3:$AB$1535,4,FALSE)),"")</f>
        <v>0</v>
      </c>
      <c r="E1125" s="48">
        <f>IFERROR(DIVIDE(VLOOKUP($B1125,Data!$B$3:$EZ1530,29,FALSE),VLOOKUP($B1125,Data!$B$3:$EZ1530,4,FALSE)),"")</f>
        <v>0.03450621118</v>
      </c>
      <c r="F1125" s="48">
        <f>IFERROR(DIVIDE(VLOOKUP($B1125,Data!$B$3:$EZ1530,34,FALSE),VLOOKUP($B1125,Data!$B$3:$EZ1530,4,FALSE)),"")</f>
        <v>0.05401552795</v>
      </c>
      <c r="G1125" s="48">
        <f>IFERROR(DIVIDE(VLOOKUP($B1125,Data!$B$3:$EZ1530,39,FALSE),VLOOKUP($B1125,Data!$B$3:$EZ1530,4,FALSE)),"")</f>
        <v>0.02250621118</v>
      </c>
      <c r="H1125" s="48">
        <f>IFERROR(DIVIDE(VLOOKUP($B1125,Data!$B$3:$EZ1530,44,FALSE),VLOOKUP($B1125,Data!$B$3:$EZ1530,4,FALSE)),"")</f>
        <v>0.05289751553</v>
      </c>
      <c r="I1125" s="48">
        <f>IFERROR(MINUS(DIVIDE(VLOOKUP($B1125,Data!$B$3:$EZ1530,9,FALSE),VLOOKUP($B1125,Data!$B$3:$EZ1530,10,FALSE)),1),"")</f>
        <v>0.03335420009</v>
      </c>
      <c r="J1125" s="48">
        <f>IFERROR(MINUS(DIVIDE(VLOOKUP($B1125,Data!$B$3:$EZ1530,24,FALSE),VLOOKUP($B1125,Data!$B$3:$EZ1530,25,FALSE)),1),"")</f>
        <v>-1</v>
      </c>
      <c r="K1125" s="48">
        <f>IFERROR(MINUS(DIVIDE(VLOOKUP($B1125,Data!$B$3:$EZ1530,29,FALSE),VLOOKUP($B1125,Data!$B$3:$EZ1530,30,FALSE)),1),"")</f>
        <v>-0.09364548495</v>
      </c>
      <c r="L1125" s="48">
        <f>IFERROR(MINUS(DIVIDE(VLOOKUP($B1125,Data!$B$3:$EZ1530,34,FALSE),VLOOKUP($B1125,Data!$B$3:$EZ1530,35,FALSE)),1),"")</f>
        <v>-0.04935505028</v>
      </c>
      <c r="M1125" s="48">
        <f>IFERROR(MINUS(DIVIDE(VLOOKUP($B1125,Data!$B$3:$EZ1530,39,FALSE),VLOOKUP($B1125,Data!$B$3:$EZ1530,40,FALSE)),1),"")</f>
        <v>-0.01307367561</v>
      </c>
      <c r="N1125" s="48">
        <f>IFERROR(MINUS(DIVIDE(VLOOKUP($B1125,Data!$B$3:$EZ1530,44,FALSE),VLOOKUP($B1125,Data!$B$3:$EZ1530,45,FALSE)),1),"")</f>
        <v>0.4259522813</v>
      </c>
      <c r="O1125" s="50">
        <f>IFERROR(VLOOKUP($B1125,Data!$B$3:$D1530,2,FALSE),"")</f>
        <v>3420000</v>
      </c>
      <c r="P1125" s="50">
        <f>IFERROR(VLOOKUP($B1125,Data!$B$3:$D1530,3,FALSE),"")</f>
        <v>3320000</v>
      </c>
      <c r="Q1125" s="48">
        <f t="shared" si="2"/>
        <v>0.03012048193</v>
      </c>
      <c r="R1125" s="48"/>
      <c r="S1125" s="48"/>
      <c r="T1125" s="48"/>
      <c r="U1125" s="48"/>
      <c r="V1125" s="48"/>
      <c r="W1125" s="50"/>
      <c r="Z1125" s="11"/>
      <c r="AA1125" s="12"/>
    </row>
    <row r="1126">
      <c r="A1126" s="9">
        <f t="shared" si="1"/>
        <v>1123</v>
      </c>
      <c r="B1126" s="47" t="s">
        <v>1260</v>
      </c>
      <c r="C1126" s="48">
        <f>IFERROR(DIVIDE(VLOOKUP($B1126,Data!$B$3:$AB$1535,9,FALSE),VLOOKUP($B1126,Data!$B$3:$AB$1535,4,FALSE)),"")</f>
        <v>0.3385983745</v>
      </c>
      <c r="D1126" s="48">
        <f>IFERROR(DIVIDE(VLOOKUP($B1126,Data!$B$3:$AB$1535,24,FALSE),VLOOKUP($B1126,Data!$B$3:$AB$1535,4,FALSE)),"")</f>
        <v>-0.3915043705</v>
      </c>
      <c r="E1126" s="48">
        <f>IFERROR(DIVIDE(VLOOKUP($B1126,Data!$B$3:$EZ1530,29,FALSE),VLOOKUP($B1126,Data!$B$3:$EZ1530,4,FALSE)),"")</f>
        <v>-0.3846035884</v>
      </c>
      <c r="F1126" s="48">
        <f>IFERROR(DIVIDE(VLOOKUP($B1126,Data!$B$3:$EZ1530,34,FALSE),VLOOKUP($B1126,Data!$B$3:$EZ1530,4,FALSE)),"")</f>
        <v>-0.2559423401</v>
      </c>
      <c r="G1126" s="48">
        <f>IFERROR(DIVIDE(VLOOKUP($B1126,Data!$B$3:$EZ1530,39,FALSE),VLOOKUP($B1126,Data!$B$3:$EZ1530,4,FALSE)),"")</f>
        <v>-0.3846035884</v>
      </c>
      <c r="H1126" s="48">
        <f>IFERROR(DIVIDE(VLOOKUP($B1126,Data!$B$3:$EZ1530,44,FALSE),VLOOKUP($B1126,Data!$B$3:$EZ1530,4,FALSE)),"")</f>
        <v>-0.2771047385</v>
      </c>
      <c r="I1126" s="48">
        <f>IFERROR(MINUS(DIVIDE(VLOOKUP($B1126,Data!$B$3:$EZ1530,9,FALSE),VLOOKUP($B1126,Data!$B$3:$EZ1530,10,FALSE)),1),"")</f>
        <v>0.8696020322</v>
      </c>
      <c r="J1126" s="48">
        <f>IFERROR(MINUS(DIVIDE(VLOOKUP($B1126,Data!$B$3:$EZ1530,24,FALSE),VLOOKUP($B1126,Data!$B$3:$EZ1530,25,FALSE)),1),"")</f>
        <v>0.3989041096</v>
      </c>
      <c r="K1126" s="48">
        <f>IFERROR(MINUS(DIVIDE(VLOOKUP($B1126,Data!$B$3:$EZ1530,29,FALSE),VLOOKUP($B1126,Data!$B$3:$EZ1530,30,FALSE)),1),"")</f>
        <v>0.2615694165</v>
      </c>
      <c r="L1126" s="48">
        <f>IFERROR(MINUS(DIVIDE(VLOOKUP($B1126,Data!$B$3:$EZ1530,34,FALSE),VLOOKUP($B1126,Data!$B$3:$EZ1530,35,FALSE)),1),"")</f>
        <v>0.5598130841</v>
      </c>
      <c r="M1126" s="48">
        <f>IFERROR(MINUS(DIVIDE(VLOOKUP($B1126,Data!$B$3:$EZ1530,39,FALSE),VLOOKUP($B1126,Data!$B$3:$EZ1530,40,FALSE)),1),"")</f>
        <v>0.2609351433</v>
      </c>
      <c r="N1126" s="48">
        <f>IFERROR(MINUS(DIVIDE(VLOOKUP($B1126,Data!$B$3:$EZ1530,44,FALSE),VLOOKUP($B1126,Data!$B$3:$EZ1530,45,FALSE)),1),"")</f>
        <v>-4.244165171</v>
      </c>
      <c r="O1126" s="50">
        <f>IFERROR(VLOOKUP($B1126,Data!$B$3:$D1530,2,FALSE),"")</f>
        <v>91840</v>
      </c>
      <c r="P1126" s="50">
        <f>IFERROR(VLOOKUP($B1126,Data!$B$3:$D1530,3,FALSE),"")</f>
        <v>78490</v>
      </c>
      <c r="Q1126" s="48">
        <f t="shared" si="2"/>
        <v>0.1700853612</v>
      </c>
      <c r="R1126" s="48"/>
      <c r="S1126" s="48"/>
      <c r="T1126" s="48"/>
      <c r="U1126" s="48"/>
      <c r="V1126" s="48"/>
      <c r="W1126" s="50"/>
      <c r="Z1126" s="12"/>
      <c r="AA1126" s="12"/>
    </row>
    <row r="1127">
      <c r="A1127" s="9">
        <f t="shared" si="1"/>
        <v>1124</v>
      </c>
      <c r="B1127" s="47" t="s">
        <v>1261</v>
      </c>
      <c r="C1127" s="48">
        <f>IFERROR(DIVIDE(VLOOKUP($B1127,Data!$B$3:$AB$1535,9,FALSE),VLOOKUP($B1127,Data!$B$3:$AB$1535,4,FALSE)),"")</f>
        <v>-35.37037037</v>
      </c>
      <c r="D1127" s="48">
        <f>IFERROR(DIVIDE(VLOOKUP($B1127,Data!$B$3:$AB$1535,24,FALSE),VLOOKUP($B1127,Data!$B$3:$AB$1535,4,FALSE)),"")</f>
        <v>-660</v>
      </c>
      <c r="E1127" s="48">
        <f>IFERROR(DIVIDE(VLOOKUP($B1127,Data!$B$3:$EZ1530,29,FALSE),VLOOKUP($B1127,Data!$B$3:$EZ1530,4,FALSE)),"")</f>
        <v>-653.8888889</v>
      </c>
      <c r="F1127" s="48">
        <f>IFERROR(DIVIDE(VLOOKUP($B1127,Data!$B$3:$EZ1530,34,FALSE),VLOOKUP($B1127,Data!$B$3:$EZ1530,4,FALSE)),"")</f>
        <v>-621.6666667</v>
      </c>
      <c r="G1127" s="48">
        <f>IFERROR(DIVIDE(VLOOKUP($B1127,Data!$B$3:$EZ1530,39,FALSE),VLOOKUP($B1127,Data!$B$3:$EZ1530,4,FALSE)),"")</f>
        <v>-653.8888889</v>
      </c>
      <c r="H1127" s="48">
        <f>IFERROR(DIVIDE(VLOOKUP($B1127,Data!$B$3:$EZ1530,44,FALSE),VLOOKUP($B1127,Data!$B$3:$EZ1530,4,FALSE)),"")</f>
        <v>-545.3703704</v>
      </c>
      <c r="I1127" s="48">
        <f>IFERROR(MINUS(DIVIDE(VLOOKUP($B1127,Data!$B$3:$EZ1530,9,FALSE),VLOOKUP($B1127,Data!$B$3:$EZ1530,10,FALSE)),1),"")</f>
        <v>-0.03045685279</v>
      </c>
      <c r="J1127" s="48">
        <f>IFERROR(MINUS(DIVIDE(VLOOKUP($B1127,Data!$B$3:$EZ1530,24,FALSE),VLOOKUP($B1127,Data!$B$3:$EZ1530,25,FALSE)),1),"")</f>
        <v>0.0214961307</v>
      </c>
      <c r="K1127" s="48">
        <f>IFERROR(MINUS(DIVIDE(VLOOKUP($B1127,Data!$B$3:$EZ1530,29,FALSE),VLOOKUP($B1127,Data!$B$3:$EZ1530,30,FALSE)),1),"")</f>
        <v>0.3513203215</v>
      </c>
      <c r="L1127" s="48">
        <f>IFERROR(MINUS(DIVIDE(VLOOKUP($B1127,Data!$B$3:$EZ1530,34,FALSE),VLOOKUP($B1127,Data!$B$3:$EZ1530,35,FALSE)),1),"")</f>
        <v>0.05698992443</v>
      </c>
      <c r="M1127" s="48">
        <f>IFERROR(MINUS(DIVIDE(VLOOKUP($B1127,Data!$B$3:$EZ1530,39,FALSE),VLOOKUP($B1127,Data!$B$3:$EZ1530,40,FALSE)),1),"")</f>
        <v>0.3513203215</v>
      </c>
      <c r="N1127" s="48">
        <f>IFERROR(MINUS(DIVIDE(VLOOKUP($B1127,Data!$B$3:$EZ1530,44,FALSE),VLOOKUP($B1127,Data!$B$3:$EZ1530,45,FALSE)),1),"")</f>
        <v>0.3774555659</v>
      </c>
      <c r="O1127" s="50" t="str">
        <f>IFERROR(VLOOKUP($B1127,Data!$B$3:$D1530,2,FALSE),"")</f>
        <v/>
      </c>
      <c r="P1127" s="50" t="str">
        <f>IFERROR(VLOOKUP($B1127,Data!$B$3:$D1530,3,FALSE),"")</f>
        <v/>
      </c>
      <c r="Q1127" s="48" t="str">
        <f t="shared" si="2"/>
        <v/>
      </c>
      <c r="R1127" s="48"/>
      <c r="S1127" s="48"/>
      <c r="T1127" s="48"/>
      <c r="U1127" s="48"/>
      <c r="V1127" s="48"/>
      <c r="W1127" s="50"/>
      <c r="Z1127" s="11"/>
      <c r="AA1127" s="11"/>
    </row>
    <row r="1128">
      <c r="A1128" s="9">
        <f t="shared" si="1"/>
        <v>1125</v>
      </c>
      <c r="B1128" s="47" t="s">
        <v>1262</v>
      </c>
      <c r="C1128" s="48" t="str">
        <f>IFERROR(DIVIDE(VLOOKUP($B1128,Data!$B$3:$AB$1535,9,FALSE),VLOOKUP($B1128,Data!$B$3:$AB$1535,4,FALSE)),"")</f>
        <v/>
      </c>
      <c r="D1128" s="48" t="str">
        <f>IFERROR(DIVIDE(VLOOKUP($B1128,Data!$B$3:$AB$1535,24,FALSE),VLOOKUP($B1128,Data!$B$3:$AB$1535,4,FALSE)),"")</f>
        <v/>
      </c>
      <c r="E1128" s="48" t="str">
        <f>IFERROR(DIVIDE(VLOOKUP($B1128,Data!$B$3:$EZ1530,29,FALSE),VLOOKUP($B1128,Data!$B$3:$EZ1530,4,FALSE)),"")</f>
        <v/>
      </c>
      <c r="F1128" s="48" t="str">
        <f>IFERROR(DIVIDE(VLOOKUP($B1128,Data!$B$3:$EZ1530,34,FALSE),VLOOKUP($B1128,Data!$B$3:$EZ1530,4,FALSE)),"")</f>
        <v/>
      </c>
      <c r="G1128" s="48" t="str">
        <f>IFERROR(DIVIDE(VLOOKUP($B1128,Data!$B$3:$EZ1530,39,FALSE),VLOOKUP($B1128,Data!$B$3:$EZ1530,4,FALSE)),"")</f>
        <v/>
      </c>
      <c r="H1128" s="48" t="str">
        <f>IFERROR(DIVIDE(VLOOKUP($B1128,Data!$B$3:$EZ1530,44,FALSE),VLOOKUP($B1128,Data!$B$3:$EZ1530,4,FALSE)),"")</f>
        <v/>
      </c>
      <c r="I1128" s="48">
        <f>IFERROR(MINUS(DIVIDE(VLOOKUP($B1128,Data!$B$3:$EZ1530,9,FALSE),VLOOKUP($B1128,Data!$B$3:$EZ1530,10,FALSE)),1),"")</f>
        <v>0.7271407837</v>
      </c>
      <c r="J1128" s="48">
        <f>IFERROR(MINUS(DIVIDE(VLOOKUP($B1128,Data!$B$3:$EZ1530,24,FALSE),VLOOKUP($B1128,Data!$B$3:$EZ1530,25,FALSE)),1),"")</f>
        <v>1.121138031</v>
      </c>
      <c r="K1128" s="48">
        <f>IFERROR(MINUS(DIVIDE(VLOOKUP($B1128,Data!$B$3:$EZ1530,29,FALSE),VLOOKUP($B1128,Data!$B$3:$EZ1530,30,FALSE)),1),"")</f>
        <v>1.025414829</v>
      </c>
      <c r="L1128" s="48">
        <f>IFERROR(MINUS(DIVIDE(VLOOKUP($B1128,Data!$B$3:$EZ1530,34,FALSE),VLOOKUP($B1128,Data!$B$3:$EZ1530,35,FALSE)),1),"")</f>
        <v>1.096241322</v>
      </c>
      <c r="M1128" s="48">
        <f>IFERROR(MINUS(DIVIDE(VLOOKUP($B1128,Data!$B$3:$EZ1530,39,FALSE),VLOOKUP($B1128,Data!$B$3:$EZ1530,40,FALSE)),1),"")</f>
        <v>0.9488738739</v>
      </c>
      <c r="N1128" s="48">
        <f>IFERROR(MINUS(DIVIDE(VLOOKUP($B1128,Data!$B$3:$EZ1530,44,FALSE),VLOOKUP($B1128,Data!$B$3:$EZ1530,45,FALSE)),1),"")</f>
        <v>0.6940278874</v>
      </c>
      <c r="O1128" s="50" t="str">
        <f>IFERROR(VLOOKUP($B1128,Data!$B$3:$D1530,2,FALSE),"")</f>
        <v/>
      </c>
      <c r="P1128" s="50" t="str">
        <f>IFERROR(VLOOKUP($B1128,Data!$B$3:$D1530,3,FALSE),"")</f>
        <v/>
      </c>
      <c r="Q1128" s="48" t="str">
        <f t="shared" si="2"/>
        <v/>
      </c>
      <c r="R1128" s="48"/>
      <c r="S1128" s="48"/>
      <c r="T1128" s="48"/>
      <c r="U1128" s="48"/>
      <c r="V1128" s="48"/>
      <c r="W1128" s="50"/>
      <c r="Z1128" s="11"/>
      <c r="AA1128" s="11"/>
    </row>
    <row r="1129">
      <c r="A1129" s="9">
        <f t="shared" si="1"/>
        <v>1126</v>
      </c>
      <c r="B1129" s="47" t="s">
        <v>1263</v>
      </c>
      <c r="C1129" s="48">
        <f>IFERROR(DIVIDE(VLOOKUP($B1129,Data!$B$3:$AB$1535,9,FALSE),VLOOKUP($B1129,Data!$B$3:$AB$1535,4,FALSE)),"")</f>
        <v>0.8704150107</v>
      </c>
      <c r="D1129" s="48">
        <f>IFERROR(DIVIDE(VLOOKUP($B1129,Data!$B$3:$AB$1535,24,FALSE),VLOOKUP($B1129,Data!$B$3:$AB$1535,4,FALSE)),"")</f>
        <v>-0.7855886377</v>
      </c>
      <c r="E1129" s="48">
        <f>IFERROR(DIVIDE(VLOOKUP($B1129,Data!$B$3:$EZ1530,29,FALSE),VLOOKUP($B1129,Data!$B$3:$EZ1530,4,FALSE)),"")</f>
        <v>-0.781581862</v>
      </c>
      <c r="F1129" s="48">
        <f>IFERROR(DIVIDE(VLOOKUP($B1129,Data!$B$3:$EZ1530,34,FALSE),VLOOKUP($B1129,Data!$B$3:$EZ1530,4,FALSE)),"")</f>
        <v>-0.5105870089</v>
      </c>
      <c r="G1129" s="48">
        <f>IFERROR(DIVIDE(VLOOKUP($B1129,Data!$B$3:$EZ1530,39,FALSE),VLOOKUP($B1129,Data!$B$3:$EZ1530,4,FALSE)),"")</f>
        <v>-0.8195322171</v>
      </c>
      <c r="H1129" s="48">
        <f>IFERROR(DIVIDE(VLOOKUP($B1129,Data!$B$3:$EZ1530,44,FALSE),VLOOKUP($B1129,Data!$B$3:$EZ1530,4,FALSE)),"")</f>
        <v>-0.3213238647</v>
      </c>
      <c r="I1129" s="48">
        <f>IFERROR(MINUS(DIVIDE(VLOOKUP($B1129,Data!$B$3:$EZ1530,9,FALSE),VLOOKUP($B1129,Data!$B$3:$EZ1530,10,FALSE)),1),"")</f>
        <v>0.1658449322</v>
      </c>
      <c r="J1129" s="48" t="str">
        <f>IFERROR(MINUS(DIVIDE(VLOOKUP($B1129,Data!$B$3:$EZ1530,24,FALSE),VLOOKUP($B1129,Data!$B$3:$EZ1530,25,FALSE)),1),"")</f>
        <v/>
      </c>
      <c r="K1129" s="48">
        <f>IFERROR(MINUS(DIVIDE(VLOOKUP($B1129,Data!$B$3:$EZ1530,29,FALSE),VLOOKUP($B1129,Data!$B$3:$EZ1530,30,FALSE)),1),"")</f>
        <v>0.87284365</v>
      </c>
      <c r="L1129" s="48">
        <f>IFERROR(MINUS(DIVIDE(VLOOKUP($B1129,Data!$B$3:$EZ1530,34,FALSE),VLOOKUP($B1129,Data!$B$3:$EZ1530,35,FALSE)),1),"")</f>
        <v>0.7493303571</v>
      </c>
      <c r="M1129" s="48">
        <f>IFERROR(MINUS(DIVIDE(VLOOKUP($B1129,Data!$B$3:$EZ1530,39,FALSE),VLOOKUP($B1129,Data!$B$3:$EZ1530,40,FALSE)),1),"")</f>
        <v>0.9642410993</v>
      </c>
      <c r="N1129" s="48">
        <f>IFERROR(MINUS(DIVIDE(VLOOKUP($B1129,Data!$B$3:$EZ1530,44,FALSE),VLOOKUP($B1129,Data!$B$3:$EZ1530,45,FALSE)),1),"")</f>
        <v>2.568740955</v>
      </c>
      <c r="O1129" s="50">
        <f>IFERROR(VLOOKUP($B1129,Data!$B$3:$D1530,2,FALSE),"")</f>
        <v>533000</v>
      </c>
      <c r="P1129" s="50">
        <f>IFERROR(VLOOKUP($B1129,Data!$B$3:$D1530,3,FALSE),"")</f>
        <v>372230</v>
      </c>
      <c r="Q1129" s="48">
        <f t="shared" si="2"/>
        <v>0.431910378</v>
      </c>
      <c r="R1129" s="48"/>
      <c r="S1129" s="48"/>
      <c r="T1129" s="48"/>
      <c r="U1129" s="48"/>
      <c r="V1129" s="48"/>
      <c r="W1129" s="50"/>
      <c r="Z1129" s="12"/>
      <c r="AA1129" s="12"/>
    </row>
    <row r="1130">
      <c r="A1130" s="9">
        <f t="shared" si="1"/>
        <v>1127</v>
      </c>
      <c r="B1130" s="47" t="s">
        <v>1264</v>
      </c>
      <c r="C1130" s="48">
        <f>IFERROR(DIVIDE(VLOOKUP($B1130,Data!$B$3:$AB$1535,9,FALSE),VLOOKUP($B1130,Data!$B$3:$AB$1535,4,FALSE)),"")</f>
        <v>0</v>
      </c>
      <c r="D1130" s="48">
        <f>IFERROR(DIVIDE(VLOOKUP($B1130,Data!$B$3:$AB$1535,24,FALSE),VLOOKUP($B1130,Data!$B$3:$AB$1535,4,FALSE)),"")</f>
        <v>0</v>
      </c>
      <c r="E1130" s="48">
        <f>IFERROR(DIVIDE(VLOOKUP($B1130,Data!$B$3:$EZ1530,29,FALSE),VLOOKUP($B1130,Data!$B$3:$EZ1530,4,FALSE)),"")</f>
        <v>-342.7705628</v>
      </c>
      <c r="F1130" s="48">
        <f>IFERROR(DIVIDE(VLOOKUP($B1130,Data!$B$3:$EZ1530,34,FALSE),VLOOKUP($B1130,Data!$B$3:$EZ1530,4,FALSE)),"")</f>
        <v>-357.2294372</v>
      </c>
      <c r="G1130" s="48">
        <f>IFERROR(DIVIDE(VLOOKUP($B1130,Data!$B$3:$EZ1530,39,FALSE),VLOOKUP($B1130,Data!$B$3:$EZ1530,4,FALSE)),"")</f>
        <v>-334.1558442</v>
      </c>
      <c r="H1130" s="48">
        <f>IFERROR(DIVIDE(VLOOKUP($B1130,Data!$B$3:$EZ1530,44,FALSE),VLOOKUP($B1130,Data!$B$3:$EZ1530,4,FALSE)),"")</f>
        <v>-171.6017316</v>
      </c>
      <c r="I1130" s="48" t="str">
        <f>IFERROR(MINUS(DIVIDE(VLOOKUP($B1130,Data!$B$3:$EZ1530,9,FALSE),VLOOKUP($B1130,Data!$B$3:$EZ1530,10,FALSE)),1),"")</f>
        <v/>
      </c>
      <c r="J1130" s="48" t="str">
        <f>IFERROR(MINUS(DIVIDE(VLOOKUP($B1130,Data!$B$3:$EZ1530,24,FALSE),VLOOKUP($B1130,Data!$B$3:$EZ1530,25,FALSE)),1),"")</f>
        <v/>
      </c>
      <c r="K1130" s="48">
        <f>IFERROR(MINUS(DIVIDE(VLOOKUP($B1130,Data!$B$3:$EZ1530,29,FALSE),VLOOKUP($B1130,Data!$B$3:$EZ1530,30,FALSE)),1),"")</f>
        <v>0.9934541793</v>
      </c>
      <c r="L1130" s="48">
        <f>IFERROR(MINUS(DIVIDE(VLOOKUP($B1130,Data!$B$3:$EZ1530,34,FALSE),VLOOKUP($B1130,Data!$B$3:$EZ1530,35,FALSE)),1),"")</f>
        <v>0.9770004792</v>
      </c>
      <c r="M1130" s="48">
        <f>IFERROR(MINUS(DIVIDE(VLOOKUP($B1130,Data!$B$3:$EZ1530,39,FALSE),VLOOKUP($B1130,Data!$B$3:$EZ1530,40,FALSE)),1),"")</f>
        <v>0.983299075</v>
      </c>
      <c r="N1130" s="48">
        <f>IFERROR(MINUS(DIVIDE(VLOOKUP($B1130,Data!$B$3:$EZ1530,44,FALSE),VLOOKUP($B1130,Data!$B$3:$EZ1530,45,FALSE)),1),"")</f>
        <v>-0.2064064064</v>
      </c>
      <c r="O1130" s="50">
        <f>IFERROR(VLOOKUP($B1130,Data!$B$3:$D1530,2,FALSE),"")</f>
        <v>20000</v>
      </c>
      <c r="P1130" s="50">
        <f>IFERROR(VLOOKUP($B1130,Data!$B$3:$D1530,3,FALSE),"")</f>
        <v>14240</v>
      </c>
      <c r="Q1130" s="48">
        <f t="shared" si="2"/>
        <v>0.404494382</v>
      </c>
      <c r="R1130" s="48"/>
      <c r="S1130" s="48"/>
      <c r="T1130" s="48"/>
      <c r="U1130" s="48"/>
      <c r="V1130" s="48"/>
      <c r="W1130" s="50"/>
      <c r="Z1130" s="12"/>
      <c r="AA1130" s="12"/>
    </row>
    <row r="1131">
      <c r="A1131" s="9">
        <f t="shared" si="1"/>
        <v>1128</v>
      </c>
      <c r="B1131" s="47" t="s">
        <v>1265</v>
      </c>
      <c r="C1131" s="48">
        <f>IFERROR(DIVIDE(VLOOKUP($B1131,Data!$B$3:$AB$1535,9,FALSE),VLOOKUP($B1131,Data!$B$3:$AB$1535,4,FALSE)),"")</f>
        <v>0.05229686102</v>
      </c>
      <c r="D1131" s="48">
        <f>IFERROR(DIVIDE(VLOOKUP($B1131,Data!$B$3:$AB$1535,24,FALSE),VLOOKUP($B1131,Data!$B$3:$AB$1535,4,FALSE)),"")</f>
        <v>0</v>
      </c>
      <c r="E1131" s="48">
        <f>IFERROR(DIVIDE(VLOOKUP($B1131,Data!$B$3:$EZ1530,29,FALSE),VLOOKUP($B1131,Data!$B$3:$EZ1530,4,FALSE)),"")</f>
        <v>0.01968182349</v>
      </c>
      <c r="F1131" s="48">
        <f>IFERROR(DIVIDE(VLOOKUP($B1131,Data!$B$3:$EZ1530,34,FALSE),VLOOKUP($B1131,Data!$B$3:$EZ1530,4,FALSE)),"")</f>
        <v>0.1457466257</v>
      </c>
      <c r="G1131" s="48">
        <f>IFERROR(DIVIDE(VLOOKUP($B1131,Data!$B$3:$EZ1530,39,FALSE),VLOOKUP($B1131,Data!$B$3:$EZ1530,4,FALSE)),"")</f>
        <v>0.01536426932</v>
      </c>
      <c r="H1131" s="48">
        <f>IFERROR(DIVIDE(VLOOKUP($B1131,Data!$B$3:$EZ1530,44,FALSE),VLOOKUP($B1131,Data!$B$3:$EZ1530,4,FALSE)),"")</f>
        <v>0.1639503676</v>
      </c>
      <c r="I1131" s="48">
        <f>IFERROR(MINUS(DIVIDE(VLOOKUP($B1131,Data!$B$3:$EZ1530,9,FALSE),VLOOKUP($B1131,Data!$B$3:$EZ1530,10,FALSE)),1),"")</f>
        <v>-0.4856541699</v>
      </c>
      <c r="J1131" s="48" t="str">
        <f>IFERROR(MINUS(DIVIDE(VLOOKUP($B1131,Data!$B$3:$EZ1530,24,FALSE),VLOOKUP($B1131,Data!$B$3:$EZ1530,25,FALSE)),1),"")</f>
        <v/>
      </c>
      <c r="K1131" s="48">
        <f>IFERROR(MINUS(DIVIDE(VLOOKUP($B1131,Data!$B$3:$EZ1530,29,FALSE),VLOOKUP($B1131,Data!$B$3:$EZ1530,30,FALSE)),1),"")</f>
        <v>-0.6770899809</v>
      </c>
      <c r="L1131" s="48">
        <f>IFERROR(MINUS(DIVIDE(VLOOKUP($B1131,Data!$B$3:$EZ1530,34,FALSE),VLOOKUP($B1131,Data!$B$3:$EZ1530,35,FALSE)),1),"")</f>
        <v>-0.1643621766</v>
      </c>
      <c r="M1131" s="48">
        <f>IFERROR(MINUS(DIVIDE(VLOOKUP($B1131,Data!$B$3:$EZ1530,39,FALSE),VLOOKUP($B1131,Data!$B$3:$EZ1530,40,FALSE)),1),"")</f>
        <v>-0.6706961234</v>
      </c>
      <c r="N1131" s="48">
        <f>IFERROR(MINUS(DIVIDE(VLOOKUP($B1131,Data!$B$3:$EZ1530,44,FALSE),VLOOKUP($B1131,Data!$B$3:$EZ1530,45,FALSE)),1),"")</f>
        <v>0.02367941712</v>
      </c>
      <c r="O1131" s="50">
        <f>IFERROR(VLOOKUP($B1131,Data!$B$3:$D1530,2,FALSE),"")</f>
        <v>464100</v>
      </c>
      <c r="P1131" s="50">
        <f>IFERROR(VLOOKUP($B1131,Data!$B$3:$D1530,3,FALSE),"")</f>
        <v>446600</v>
      </c>
      <c r="Q1131" s="48">
        <f t="shared" si="2"/>
        <v>0.03918495298</v>
      </c>
      <c r="R1131" s="48"/>
      <c r="S1131" s="48"/>
      <c r="T1131" s="48"/>
      <c r="U1131" s="48"/>
      <c r="V1131" s="48"/>
      <c r="W1131" s="50"/>
      <c r="Z1131" s="11"/>
      <c r="AA1131" s="11"/>
    </row>
    <row r="1132">
      <c r="A1132" s="9">
        <f t="shared" si="1"/>
        <v>1129</v>
      </c>
      <c r="B1132" s="47" t="s">
        <v>1266</v>
      </c>
      <c r="C1132" s="48">
        <f>IFERROR(DIVIDE(VLOOKUP($B1132,Data!$B$3:$AB$1535,9,FALSE),VLOOKUP($B1132,Data!$B$3:$AB$1535,4,FALSE)),"")</f>
        <v>0.3005455864</v>
      </c>
      <c r="D1132" s="48">
        <f>IFERROR(DIVIDE(VLOOKUP($B1132,Data!$B$3:$AB$1535,24,FALSE),VLOOKUP($B1132,Data!$B$3:$AB$1535,4,FALSE)),"")</f>
        <v>0.244394336</v>
      </c>
      <c r="E1132" s="48">
        <f>IFERROR(DIVIDE(VLOOKUP($B1132,Data!$B$3:$EZ1530,29,FALSE),VLOOKUP($B1132,Data!$B$3:$EZ1530,4,FALSE)),"")</f>
        <v>0.1721435555</v>
      </c>
      <c r="F1132" s="48">
        <f>IFERROR(DIVIDE(VLOOKUP($B1132,Data!$B$3:$EZ1530,34,FALSE),VLOOKUP($B1132,Data!$B$3:$EZ1530,4,FALSE)),"")</f>
        <v>0.4357753319</v>
      </c>
      <c r="G1132" s="48">
        <f>IFERROR(DIVIDE(VLOOKUP($B1132,Data!$B$3:$EZ1530,39,FALSE),VLOOKUP($B1132,Data!$B$3:$EZ1530,4,FALSE)),"")</f>
        <v>0.08560661011</v>
      </c>
      <c r="H1132" s="48">
        <f>IFERROR(DIVIDE(VLOOKUP($B1132,Data!$B$3:$EZ1530,44,FALSE),VLOOKUP($B1132,Data!$B$3:$EZ1530,4,FALSE)),"")</f>
        <v>0.4159386925</v>
      </c>
      <c r="I1132" s="48">
        <f>IFERROR(MINUS(DIVIDE(VLOOKUP($B1132,Data!$B$3:$EZ1530,9,FALSE),VLOOKUP($B1132,Data!$B$3:$EZ1530,10,FALSE)),1),"")</f>
        <v>-0.03883005547</v>
      </c>
      <c r="J1132" s="48">
        <f>IFERROR(MINUS(DIVIDE(VLOOKUP($B1132,Data!$B$3:$EZ1530,24,FALSE),VLOOKUP($B1132,Data!$B$3:$EZ1530,25,FALSE)),1),"")</f>
        <v>0.02061108916</v>
      </c>
      <c r="K1132" s="48">
        <f>IFERROR(MINUS(DIVIDE(VLOOKUP($B1132,Data!$B$3:$EZ1530,29,FALSE),VLOOKUP($B1132,Data!$B$3:$EZ1530,30,FALSE)),1),"")</f>
        <v>0.5748701673</v>
      </c>
      <c r="L1132" s="48">
        <f>IFERROR(MINUS(DIVIDE(VLOOKUP($B1132,Data!$B$3:$EZ1530,34,FALSE),VLOOKUP($B1132,Data!$B$3:$EZ1530,35,FALSE)),1),"")</f>
        <v>0.0392599278</v>
      </c>
      <c r="M1132" s="48">
        <f>IFERROR(MINUS(DIVIDE(VLOOKUP($B1132,Data!$B$3:$EZ1530,39,FALSE),VLOOKUP($B1132,Data!$B$3:$EZ1530,40,FALSE)),1),"")</f>
        <v>0.1439106616</v>
      </c>
      <c r="N1132" s="48">
        <f>IFERROR(MINUS(DIVIDE(VLOOKUP($B1132,Data!$B$3:$EZ1530,44,FALSE),VLOOKUP($B1132,Data!$B$3:$EZ1530,45,FALSE)),1),"")</f>
        <v>0.6285731926</v>
      </c>
      <c r="O1132" s="50">
        <f>IFERROR(VLOOKUP($B1132,Data!$B$3:$D1530,2,FALSE),"")</f>
        <v>443630</v>
      </c>
      <c r="P1132" s="50">
        <f>IFERROR(VLOOKUP($B1132,Data!$B$3:$D1530,3,FALSE),"")</f>
        <v>157780</v>
      </c>
      <c r="Q1132" s="48">
        <f t="shared" si="2"/>
        <v>1.811699835</v>
      </c>
      <c r="R1132" s="48"/>
      <c r="S1132" s="48"/>
      <c r="T1132" s="48"/>
      <c r="U1132" s="48"/>
      <c r="V1132" s="48"/>
      <c r="W1132" s="50"/>
      <c r="Z1132" s="11"/>
      <c r="AA1132" s="11"/>
    </row>
    <row r="1133">
      <c r="A1133" s="9">
        <f t="shared" si="1"/>
        <v>1130</v>
      </c>
      <c r="B1133" s="47" t="s">
        <v>1267</v>
      </c>
      <c r="C1133" s="48">
        <f>IFERROR(DIVIDE(VLOOKUP($B1133,Data!$B$3:$AB$1535,9,FALSE),VLOOKUP($B1133,Data!$B$3:$AB$1535,4,FALSE)),"")</f>
        <v>0.541876892</v>
      </c>
      <c r="D1133" s="48">
        <f>IFERROR(DIVIDE(VLOOKUP($B1133,Data!$B$3:$AB$1535,24,FALSE),VLOOKUP($B1133,Data!$B$3:$AB$1535,4,FALSE)),"")</f>
        <v>0.05307769929</v>
      </c>
      <c r="E1133" s="48">
        <f>IFERROR(DIVIDE(VLOOKUP($B1133,Data!$B$3:$EZ1530,29,FALSE),VLOOKUP($B1133,Data!$B$3:$EZ1530,4,FALSE)),"")</f>
        <v>0.04480322906</v>
      </c>
      <c r="F1133" s="48">
        <f>IFERROR(DIVIDE(VLOOKUP($B1133,Data!$B$3:$EZ1530,34,FALSE),VLOOKUP($B1133,Data!$B$3:$EZ1530,4,FALSE)),"")</f>
        <v>0.08884964682</v>
      </c>
      <c r="G1133" s="48">
        <f>IFERROR(DIVIDE(VLOOKUP($B1133,Data!$B$3:$EZ1530,39,FALSE),VLOOKUP($B1133,Data!$B$3:$EZ1530,4,FALSE)),"")</f>
        <v>0.04210898083</v>
      </c>
      <c r="H1133" s="48">
        <f>IFERROR(DIVIDE(VLOOKUP($B1133,Data!$B$3:$EZ1530,44,FALSE),VLOOKUP($B1133,Data!$B$3:$EZ1530,4,FALSE)),"")</f>
        <v>0.102926337</v>
      </c>
      <c r="I1133" s="48">
        <f>IFERROR(MINUS(DIVIDE(VLOOKUP($B1133,Data!$B$3:$EZ1530,9,FALSE),VLOOKUP($B1133,Data!$B$3:$EZ1530,10,FALSE)),1),"")</f>
        <v>0.009398496241</v>
      </c>
      <c r="J1133" s="48">
        <f>IFERROR(MINUS(DIVIDE(VLOOKUP($B1133,Data!$B$3:$EZ1530,24,FALSE),VLOOKUP($B1133,Data!$B$3:$EZ1530,25,FALSE)),1),"")</f>
        <v>-0.4151006338</v>
      </c>
      <c r="K1133" s="48">
        <f>IFERROR(MINUS(DIVIDE(VLOOKUP($B1133,Data!$B$3:$EZ1530,29,FALSE),VLOOKUP($B1133,Data!$B$3:$EZ1530,30,FALSE)),1),"")</f>
        <v>-0.4275399691</v>
      </c>
      <c r="L1133" s="48">
        <f>IFERROR(MINUS(DIVIDE(VLOOKUP($B1133,Data!$B$3:$EZ1530,34,FALSE),VLOOKUP($B1133,Data!$B$3:$EZ1530,35,FALSE)),1),"")</f>
        <v>-0.3174418605</v>
      </c>
      <c r="M1133" s="48">
        <f>IFERROR(MINUS(DIVIDE(VLOOKUP($B1133,Data!$B$3:$EZ1530,39,FALSE),VLOOKUP($B1133,Data!$B$3:$EZ1530,40,FALSE)),1),"")</f>
        <v>-0.4409163987</v>
      </c>
      <c r="N1133" s="48">
        <f>IFERROR(MINUS(DIVIDE(VLOOKUP($B1133,Data!$B$3:$EZ1530,44,FALSE),VLOOKUP($B1133,Data!$B$3:$EZ1530,45,FALSE)),1),"")</f>
        <v>0.1964809384</v>
      </c>
      <c r="O1133" s="50">
        <f>IFERROR(VLOOKUP($B1133,Data!$B$3:$D1530,2,FALSE),"")</f>
        <v>8910000</v>
      </c>
      <c r="P1133" s="50">
        <f>IFERROR(VLOOKUP($B1133,Data!$B$3:$D1530,3,FALSE),"")</f>
        <v>7190000</v>
      </c>
      <c r="Q1133" s="48">
        <f t="shared" si="2"/>
        <v>0.2392211405</v>
      </c>
      <c r="R1133" s="48"/>
      <c r="S1133" s="48"/>
      <c r="T1133" s="48"/>
      <c r="U1133" s="48"/>
      <c r="V1133" s="48"/>
      <c r="W1133" s="50"/>
      <c r="Z1133" s="11"/>
      <c r="AA1133" s="11"/>
    </row>
    <row r="1134">
      <c r="A1134" s="9">
        <f t="shared" si="1"/>
        <v>1131</v>
      </c>
      <c r="B1134" s="47" t="s">
        <v>1268</v>
      </c>
      <c r="C1134" s="48">
        <f>IFERROR(DIVIDE(VLOOKUP($B1134,Data!$B$3:$AB$1535,9,FALSE),VLOOKUP($B1134,Data!$B$3:$AB$1535,4,FALSE)),"")</f>
        <v>0.1271676301</v>
      </c>
      <c r="D1134" s="48">
        <f>IFERROR(DIVIDE(VLOOKUP($B1134,Data!$B$3:$AB$1535,24,FALSE),VLOOKUP($B1134,Data!$B$3:$AB$1535,4,FALSE)),"")</f>
        <v>0.04581915772</v>
      </c>
      <c r="E1134" s="48">
        <f>IFERROR(DIVIDE(VLOOKUP($B1134,Data!$B$3:$EZ1530,29,FALSE),VLOOKUP($B1134,Data!$B$3:$EZ1530,4,FALSE)),"")</f>
        <v>0.04725763832</v>
      </c>
      <c r="F1134" s="48">
        <f>IFERROR(DIVIDE(VLOOKUP($B1134,Data!$B$3:$EZ1530,34,FALSE),VLOOKUP($B1134,Data!$B$3:$EZ1530,4,FALSE)),"")</f>
        <v>0.07121139554</v>
      </c>
      <c r="G1134" s="48">
        <f>IFERROR(DIVIDE(VLOOKUP($B1134,Data!$B$3:$EZ1530,39,FALSE),VLOOKUP($B1134,Data!$B$3:$EZ1530,4,FALSE)),"")</f>
        <v>0.03319900908</v>
      </c>
      <c r="H1134" s="48">
        <f>IFERROR(DIVIDE(VLOOKUP($B1134,Data!$B$3:$EZ1530,44,FALSE),VLOOKUP($B1134,Data!$B$3:$EZ1530,4,FALSE)),"")</f>
        <v>0.04348059455</v>
      </c>
      <c r="I1134" s="48">
        <f>IFERROR(MINUS(DIVIDE(VLOOKUP($B1134,Data!$B$3:$EZ1530,9,FALSE),VLOOKUP($B1134,Data!$B$3:$EZ1530,10,FALSE)),1),"")</f>
        <v>0.06944444444</v>
      </c>
      <c r="J1134" s="48">
        <f>IFERROR(MINUS(DIVIDE(VLOOKUP($B1134,Data!$B$3:$EZ1530,24,FALSE),VLOOKUP($B1134,Data!$B$3:$EZ1530,25,FALSE)),1),"")</f>
        <v>0.02702352527</v>
      </c>
      <c r="K1134" s="48">
        <f>IFERROR(MINUS(DIVIDE(VLOOKUP($B1134,Data!$B$3:$EZ1530,29,FALSE),VLOOKUP($B1134,Data!$B$3:$EZ1530,30,FALSE)),1),"")</f>
        <v>0.2504424585</v>
      </c>
      <c r="L1134" s="48">
        <f>IFERROR(MINUS(DIVIDE(VLOOKUP($B1134,Data!$B$3:$EZ1530,34,FALSE),VLOOKUP($B1134,Data!$B$3:$EZ1530,35,FALSE)),1),"")</f>
        <v>0.03536996794</v>
      </c>
      <c r="M1134" s="48">
        <f>IFERROR(MINUS(DIVIDE(VLOOKUP($B1134,Data!$B$3:$EZ1530,39,FALSE),VLOOKUP($B1134,Data!$B$3:$EZ1530,40,FALSE)),1),"")</f>
        <v>0.370513039</v>
      </c>
      <c r="N1134" s="48">
        <f>IFERROR(MINUS(DIVIDE(VLOOKUP($B1134,Data!$B$3:$EZ1530,44,FALSE),VLOOKUP($B1134,Data!$B$3:$EZ1530,45,FALSE)),1),"")</f>
        <v>0.46757156</v>
      </c>
      <c r="O1134" s="50">
        <f>IFERROR(VLOOKUP($B1134,Data!$B$3:$D1530,2,FALSE),"")</f>
        <v>12200000</v>
      </c>
      <c r="P1134" s="50">
        <f>IFERROR(VLOOKUP($B1134,Data!$B$3:$D1530,3,FALSE),"")</f>
        <v>11590000</v>
      </c>
      <c r="Q1134" s="48">
        <f t="shared" si="2"/>
        <v>0.05263157895</v>
      </c>
      <c r="R1134" s="48"/>
      <c r="S1134" s="48"/>
      <c r="T1134" s="48"/>
      <c r="U1134" s="48"/>
      <c r="V1134" s="48"/>
      <c r="W1134" s="50"/>
      <c r="Z1134" s="12"/>
      <c r="AA1134" s="12"/>
    </row>
    <row r="1135">
      <c r="A1135" s="9">
        <f t="shared" si="1"/>
        <v>1132</v>
      </c>
      <c r="B1135" s="47" t="s">
        <v>1269</v>
      </c>
      <c r="C1135" s="48">
        <f>IFERROR(DIVIDE(VLOOKUP($B1135,Data!$B$3:$AB$1535,9,FALSE),VLOOKUP($B1135,Data!$B$3:$AB$1535,4,FALSE)),"")</f>
        <v>0.04566257669</v>
      </c>
      <c r="D1135" s="48">
        <f>IFERROR(DIVIDE(VLOOKUP($B1135,Data!$B$3:$AB$1535,24,FALSE),VLOOKUP($B1135,Data!$B$3:$AB$1535,4,FALSE)),"")</f>
        <v>-0.1496411043</v>
      </c>
      <c r="E1135" s="48">
        <f>IFERROR(DIVIDE(VLOOKUP($B1135,Data!$B$3:$EZ1530,29,FALSE),VLOOKUP($B1135,Data!$B$3:$EZ1530,4,FALSE)),"")</f>
        <v>-0.1357791411</v>
      </c>
      <c r="F1135" s="48">
        <f>IFERROR(DIVIDE(VLOOKUP($B1135,Data!$B$3:$EZ1530,34,FALSE),VLOOKUP($B1135,Data!$B$3:$EZ1530,4,FALSE)),"")</f>
        <v>0.3742331288</v>
      </c>
      <c r="G1135" s="48">
        <f>IFERROR(DIVIDE(VLOOKUP($B1135,Data!$B$3:$EZ1530,39,FALSE),VLOOKUP($B1135,Data!$B$3:$EZ1530,4,FALSE)),"")</f>
        <v>-0.09935276074</v>
      </c>
      <c r="H1135" s="48">
        <f>IFERROR(DIVIDE(VLOOKUP($B1135,Data!$B$3:$EZ1530,44,FALSE),VLOOKUP($B1135,Data!$B$3:$EZ1530,4,FALSE)),"")</f>
        <v>0.1886503067</v>
      </c>
      <c r="I1135" s="48">
        <f>IFERROR(MINUS(DIVIDE(VLOOKUP($B1135,Data!$B$3:$EZ1530,9,FALSE),VLOOKUP($B1135,Data!$B$3:$EZ1530,10,FALSE)),1),"")</f>
        <v>-0.7727328244</v>
      </c>
      <c r="J1135" s="48">
        <f>IFERROR(MINUS(DIVIDE(VLOOKUP($B1135,Data!$B$3:$EZ1530,24,FALSE),VLOOKUP($B1135,Data!$B$3:$EZ1530,25,FALSE)),1),"")</f>
        <v>-2.296144751</v>
      </c>
      <c r="K1135" s="48">
        <f>IFERROR(MINUS(DIVIDE(VLOOKUP($B1135,Data!$B$3:$EZ1530,29,FALSE),VLOOKUP($B1135,Data!$B$3:$EZ1530,30,FALSE)),1),"")</f>
        <v>-2.294136565</v>
      </c>
      <c r="L1135" s="48">
        <f>IFERROR(MINUS(DIVIDE(VLOOKUP($B1135,Data!$B$3:$EZ1530,34,FALSE),VLOOKUP($B1135,Data!$B$3:$EZ1530,35,FALSE)),1),"")</f>
        <v>0</v>
      </c>
      <c r="M1135" s="48">
        <f>IFERROR(MINUS(DIVIDE(VLOOKUP($B1135,Data!$B$3:$EZ1530,39,FALSE),VLOOKUP($B1135,Data!$B$3:$EZ1530,40,FALSE)),1),"")</f>
        <v>-2.064622161</v>
      </c>
      <c r="N1135" s="48">
        <f>IFERROR(MINUS(DIVIDE(VLOOKUP($B1135,Data!$B$3:$EZ1530,44,FALSE),VLOOKUP($B1135,Data!$B$3:$EZ1530,45,FALSE)),1),"")</f>
        <v>-0.6261398176</v>
      </c>
      <c r="O1135" s="50" t="str">
        <f>IFERROR(VLOOKUP($B1135,Data!$B$3:$D1530,2,FALSE),"")</f>
        <v/>
      </c>
      <c r="P1135" s="50" t="str">
        <f>IFERROR(VLOOKUP($B1135,Data!$B$3:$D1530,3,FALSE),"")</f>
        <v/>
      </c>
      <c r="Q1135" s="48" t="str">
        <f t="shared" si="2"/>
        <v/>
      </c>
      <c r="R1135" s="48"/>
      <c r="S1135" s="48"/>
      <c r="T1135" s="48"/>
      <c r="U1135" s="48"/>
      <c r="V1135" s="48"/>
      <c r="W1135" s="50"/>
      <c r="Z1135" s="15"/>
      <c r="AA1135" s="15"/>
    </row>
    <row r="1136">
      <c r="A1136" s="9">
        <f t="shared" si="1"/>
        <v>1133</v>
      </c>
      <c r="B1136" s="47" t="s">
        <v>1270</v>
      </c>
      <c r="C1136" s="48">
        <f>IFERROR(DIVIDE(VLOOKUP($B1136,Data!$B$3:$AB$1535,9,FALSE),VLOOKUP($B1136,Data!$B$3:$AB$1535,4,FALSE)),"")</f>
        <v>0.4970913322</v>
      </c>
      <c r="D1136" s="48">
        <f>IFERROR(DIVIDE(VLOOKUP($B1136,Data!$B$3:$AB$1535,24,FALSE),VLOOKUP($B1136,Data!$B$3:$AB$1535,4,FALSE)),"")</f>
        <v>-0.1908086097</v>
      </c>
      <c r="E1136" s="48">
        <f>IFERROR(DIVIDE(VLOOKUP($B1136,Data!$B$3:$EZ1530,29,FALSE),VLOOKUP($B1136,Data!$B$3:$EZ1530,4,FALSE)),"")</f>
        <v>-0.1253635835</v>
      </c>
      <c r="F1136" s="48">
        <f>IFERROR(DIVIDE(VLOOKUP($B1136,Data!$B$3:$EZ1530,34,FALSE),VLOOKUP($B1136,Data!$B$3:$EZ1530,4,FALSE)),"")</f>
        <v>-0.1073298429</v>
      </c>
      <c r="G1136" s="48">
        <f>IFERROR(DIVIDE(VLOOKUP($B1136,Data!$B$3:$EZ1530,39,FALSE),VLOOKUP($B1136,Data!$B$3:$EZ1530,4,FALSE)),"")</f>
        <v>-0.1320535195</v>
      </c>
      <c r="H1136" s="48">
        <f>IFERROR(DIVIDE(VLOOKUP($B1136,Data!$B$3:$EZ1530,44,FALSE),VLOOKUP($B1136,Data!$B$3:$EZ1530,4,FALSE)),"")</f>
        <v>-0.1509598604</v>
      </c>
      <c r="I1136" s="48">
        <f>IFERROR(MINUS(DIVIDE(VLOOKUP($B1136,Data!$B$3:$EZ1530,9,FALSE),VLOOKUP($B1136,Data!$B$3:$EZ1530,10,FALSE)),1),"")</f>
        <v>-0.1251599693</v>
      </c>
      <c r="J1136" s="48" t="str">
        <f>IFERROR(MINUS(DIVIDE(VLOOKUP($B1136,Data!$B$3:$EZ1530,24,FALSE),VLOOKUP($B1136,Data!$B$3:$EZ1530,25,FALSE)),1),"")</f>
        <v/>
      </c>
      <c r="K1136" s="48">
        <f>IFERROR(MINUS(DIVIDE(VLOOKUP($B1136,Data!$B$3:$EZ1530,29,FALSE),VLOOKUP($B1136,Data!$B$3:$EZ1530,30,FALSE)),1),"")</f>
        <v>1.484149856</v>
      </c>
      <c r="L1136" s="48">
        <f>IFERROR(MINUS(DIVIDE(VLOOKUP($B1136,Data!$B$3:$EZ1530,34,FALSE),VLOOKUP($B1136,Data!$B$3:$EZ1530,35,FALSE)),1),"")</f>
        <v>-5.1</v>
      </c>
      <c r="M1136" s="48">
        <f>IFERROR(MINUS(DIVIDE(VLOOKUP($B1136,Data!$B$3:$EZ1530,39,FALSE),VLOOKUP($B1136,Data!$B$3:$EZ1530,40,FALSE)),1),"")</f>
        <v>1.322250639</v>
      </c>
      <c r="N1136" s="48" t="str">
        <f>IFERROR(MINUS(DIVIDE(VLOOKUP($B1136,Data!$B$3:$EZ1530,44,FALSE),VLOOKUP($B1136,Data!$B$3:$EZ1530,45,FALSE)),1),"")</f>
        <v/>
      </c>
      <c r="O1136" s="50">
        <f>IFERROR(VLOOKUP($B1136,Data!$B$3:$D1530,2,FALSE),"")</f>
        <v>71280</v>
      </c>
      <c r="P1136" s="50">
        <f>IFERROR(VLOOKUP($B1136,Data!$B$3:$D1530,3,FALSE),"")</f>
        <v>50570</v>
      </c>
      <c r="Q1136" s="48">
        <f t="shared" si="2"/>
        <v>0.4095313427</v>
      </c>
      <c r="R1136" s="48"/>
      <c r="S1136" s="48"/>
      <c r="T1136" s="48"/>
      <c r="U1136" s="48"/>
      <c r="V1136" s="48"/>
      <c r="W1136" s="50"/>
      <c r="Z1136" s="11"/>
      <c r="AA1136" s="11"/>
    </row>
    <row r="1137">
      <c r="A1137" s="9">
        <f t="shared" si="1"/>
        <v>1134</v>
      </c>
      <c r="B1137" s="47" t="s">
        <v>1271</v>
      </c>
      <c r="C1137" s="48" t="str">
        <f>IFERROR(DIVIDE(VLOOKUP($B1137,Data!$B$3:$AB$1535,9,FALSE),VLOOKUP($B1137,Data!$B$3:$AB$1535,4,FALSE)),"")</f>
        <v/>
      </c>
      <c r="D1137" s="48" t="str">
        <f>IFERROR(DIVIDE(VLOOKUP($B1137,Data!$B$3:$AB$1535,24,FALSE),VLOOKUP($B1137,Data!$B$3:$AB$1535,4,FALSE)),"")</f>
        <v/>
      </c>
      <c r="E1137" s="48" t="str">
        <f>IFERROR(DIVIDE(VLOOKUP($B1137,Data!$B$3:$EZ1530,29,FALSE),VLOOKUP($B1137,Data!$B$3:$EZ1530,4,FALSE)),"")</f>
        <v/>
      </c>
      <c r="F1137" s="48" t="str">
        <f>IFERROR(DIVIDE(VLOOKUP($B1137,Data!$B$3:$EZ1530,34,FALSE),VLOOKUP($B1137,Data!$B$3:$EZ1530,4,FALSE)),"")</f>
        <v/>
      </c>
      <c r="G1137" s="48" t="str">
        <f>IFERROR(DIVIDE(VLOOKUP($B1137,Data!$B$3:$EZ1530,39,FALSE),VLOOKUP($B1137,Data!$B$3:$EZ1530,4,FALSE)),"")</f>
        <v/>
      </c>
      <c r="H1137" s="48" t="str">
        <f>IFERROR(DIVIDE(VLOOKUP($B1137,Data!$B$3:$EZ1530,44,FALSE),VLOOKUP($B1137,Data!$B$3:$EZ1530,4,FALSE)),"")</f>
        <v/>
      </c>
      <c r="I1137" s="48">
        <f>IFERROR(MINUS(DIVIDE(VLOOKUP($B1137,Data!$B$3:$EZ1530,9,FALSE),VLOOKUP($B1137,Data!$B$3:$EZ1530,10,FALSE)),1),"")</f>
        <v>1.304136253</v>
      </c>
      <c r="J1137" s="48">
        <f>IFERROR(MINUS(DIVIDE(VLOOKUP($B1137,Data!$B$3:$EZ1530,24,FALSE),VLOOKUP($B1137,Data!$B$3:$EZ1530,25,FALSE)),1),"")</f>
        <v>-2.178396072</v>
      </c>
      <c r="K1137" s="48">
        <f>IFERROR(MINUS(DIVIDE(VLOOKUP($B1137,Data!$B$3:$EZ1530,29,FALSE),VLOOKUP($B1137,Data!$B$3:$EZ1530,30,FALSE)),1),"")</f>
        <v>-2.16722973</v>
      </c>
      <c r="L1137" s="48">
        <f>IFERROR(MINUS(DIVIDE(VLOOKUP($B1137,Data!$B$3:$EZ1530,34,FALSE),VLOOKUP($B1137,Data!$B$3:$EZ1530,35,FALSE)),1),"")</f>
        <v>-0.01894150418</v>
      </c>
      <c r="M1137" s="48">
        <f>IFERROR(MINUS(DIVIDE(VLOOKUP($B1137,Data!$B$3:$EZ1530,39,FALSE),VLOOKUP($B1137,Data!$B$3:$EZ1530,40,FALSE)),1),"")</f>
        <v>-2.16722973</v>
      </c>
      <c r="N1137" s="48">
        <f>IFERROR(MINUS(DIVIDE(VLOOKUP($B1137,Data!$B$3:$EZ1530,44,FALSE),VLOOKUP($B1137,Data!$B$3:$EZ1530,45,FALSE)),1),"")</f>
        <v>0.04076738609</v>
      </c>
      <c r="O1137" s="50" t="str">
        <f>IFERROR(VLOOKUP($B1137,Data!$B$3:$D1530,2,FALSE),"")</f>
        <v/>
      </c>
      <c r="P1137" s="50" t="str">
        <f>IFERROR(VLOOKUP($B1137,Data!$B$3:$D1530,3,FALSE),"")</f>
        <v/>
      </c>
      <c r="Q1137" s="48" t="str">
        <f t="shared" si="2"/>
        <v/>
      </c>
      <c r="R1137" s="48"/>
      <c r="S1137" s="48"/>
      <c r="T1137" s="48"/>
      <c r="U1137" s="48"/>
      <c r="V1137" s="48"/>
      <c r="W1137" s="50"/>
      <c r="Z1137" s="15"/>
      <c r="AA1137" s="15"/>
    </row>
    <row r="1138">
      <c r="A1138" s="9">
        <f t="shared" si="1"/>
        <v>1135</v>
      </c>
      <c r="B1138" s="47" t="s">
        <v>1272</v>
      </c>
      <c r="C1138" s="48">
        <f>IFERROR(DIVIDE(VLOOKUP($B1138,Data!$B$3:$AB$1535,9,FALSE),VLOOKUP($B1138,Data!$B$3:$AB$1535,4,FALSE)),"")</f>
        <v>0.1501604938</v>
      </c>
      <c r="D1138" s="48">
        <f>IFERROR(DIVIDE(VLOOKUP($B1138,Data!$B$3:$AB$1535,24,FALSE),VLOOKUP($B1138,Data!$B$3:$AB$1535,4,FALSE)),"")</f>
        <v>0.01291975309</v>
      </c>
      <c r="E1138" s="48">
        <f>IFERROR(DIVIDE(VLOOKUP($B1138,Data!$B$3:$EZ1530,29,FALSE),VLOOKUP($B1138,Data!$B$3:$EZ1530,4,FALSE)),"")</f>
        <v>0.003117283951</v>
      </c>
      <c r="F1138" s="48">
        <f>IFERROR(DIVIDE(VLOOKUP($B1138,Data!$B$3:$EZ1530,34,FALSE),VLOOKUP($B1138,Data!$B$3:$EZ1530,4,FALSE)),"")</f>
        <v>0.04704320988</v>
      </c>
      <c r="G1138" s="48">
        <f>IFERROR(DIVIDE(VLOOKUP($B1138,Data!$B$3:$EZ1530,39,FALSE),VLOOKUP($B1138,Data!$B$3:$EZ1530,4,FALSE)),"")</f>
        <v>0.00300617284</v>
      </c>
      <c r="H1138" s="48">
        <f>IFERROR(DIVIDE(VLOOKUP($B1138,Data!$B$3:$EZ1530,44,FALSE),VLOOKUP($B1138,Data!$B$3:$EZ1530,4,FALSE)),"")</f>
        <v>0.03811728395</v>
      </c>
      <c r="I1138" s="48">
        <f>IFERROR(MINUS(DIVIDE(VLOOKUP($B1138,Data!$B$3:$EZ1530,9,FALSE),VLOOKUP($B1138,Data!$B$3:$EZ1530,10,FALSE)),1),"")</f>
        <v>0.07933268258</v>
      </c>
      <c r="J1138" s="48" t="str">
        <f>IFERROR(MINUS(DIVIDE(VLOOKUP($B1138,Data!$B$3:$EZ1530,24,FALSE),VLOOKUP($B1138,Data!$B$3:$EZ1530,25,FALSE)),1),"")</f>
        <v/>
      </c>
      <c r="K1138" s="48">
        <f>IFERROR(MINUS(DIVIDE(VLOOKUP($B1138,Data!$B$3:$EZ1530,29,FALSE),VLOOKUP($B1138,Data!$B$3:$EZ1530,30,FALSE)),1),"")</f>
        <v>-0.2462686567</v>
      </c>
      <c r="L1138" s="48">
        <f>IFERROR(MINUS(DIVIDE(VLOOKUP($B1138,Data!$B$3:$EZ1530,34,FALSE),VLOOKUP($B1138,Data!$B$3:$EZ1530,35,FALSE)),1),"")</f>
        <v>-0.05305666004</v>
      </c>
      <c r="M1138" s="48">
        <f>IFERROR(MINUS(DIVIDE(VLOOKUP($B1138,Data!$B$3:$EZ1530,39,FALSE),VLOOKUP($B1138,Data!$B$3:$EZ1530,40,FALSE)),1),"")</f>
        <v>0.971659919</v>
      </c>
      <c r="N1138" s="48">
        <f>IFERROR(MINUS(DIVIDE(VLOOKUP($B1138,Data!$B$3:$EZ1530,44,FALSE),VLOOKUP($B1138,Data!$B$3:$EZ1530,45,FALSE)),1),"")</f>
        <v>-0.3320713899</v>
      </c>
      <c r="O1138" s="50">
        <f>IFERROR(VLOOKUP($B1138,Data!$B$3:$D1530,2,FALSE),"")</f>
        <v>1830000</v>
      </c>
      <c r="P1138" s="50">
        <f>IFERROR(VLOOKUP($B1138,Data!$B$3:$D1530,3,FALSE),"")</f>
        <v>1760000</v>
      </c>
      <c r="Q1138" s="48">
        <f t="shared" si="2"/>
        <v>0.03977272727</v>
      </c>
      <c r="R1138" s="48"/>
      <c r="S1138" s="48"/>
      <c r="T1138" s="48"/>
      <c r="U1138" s="48"/>
      <c r="V1138" s="48"/>
      <c r="W1138" s="50"/>
      <c r="Z1138" s="15"/>
      <c r="AA1138" s="15"/>
    </row>
    <row r="1139">
      <c r="A1139" s="9">
        <f t="shared" si="1"/>
        <v>1136</v>
      </c>
      <c r="B1139" s="47" t="s">
        <v>1273</v>
      </c>
      <c r="C1139" s="48">
        <f>IFERROR(DIVIDE(VLOOKUP($B1139,Data!$B$3:$AB$1535,9,FALSE),VLOOKUP($B1139,Data!$B$3:$AB$1535,4,FALSE)),"")</f>
        <v>0.6460651009</v>
      </c>
      <c r="D1139" s="48">
        <f>IFERROR(DIVIDE(VLOOKUP($B1139,Data!$B$3:$AB$1535,24,FALSE),VLOOKUP($B1139,Data!$B$3:$AB$1535,4,FALSE)),"")</f>
        <v>0.3098475484</v>
      </c>
      <c r="E1139" s="48">
        <f>IFERROR(DIVIDE(VLOOKUP($B1139,Data!$B$3:$EZ1530,29,FALSE),VLOOKUP($B1139,Data!$B$3:$EZ1530,4,FALSE)),"")</f>
        <v>0.3081994232</v>
      </c>
      <c r="F1139" s="48">
        <f>IFERROR(DIVIDE(VLOOKUP($B1139,Data!$B$3:$EZ1530,34,FALSE),VLOOKUP($B1139,Data!$B$3:$EZ1530,4,FALSE)),"")</f>
        <v>0.390605686</v>
      </c>
      <c r="G1139" s="48">
        <f>IFERROR(DIVIDE(VLOOKUP($B1139,Data!$B$3:$EZ1530,39,FALSE),VLOOKUP($B1139,Data!$B$3:$EZ1530,4,FALSE)),"")</f>
        <v>0.180881747</v>
      </c>
      <c r="H1139" s="48">
        <f>IFERROR(DIVIDE(VLOOKUP($B1139,Data!$B$3:$EZ1530,44,FALSE),VLOOKUP($B1139,Data!$B$3:$EZ1530,4,FALSE)),"")</f>
        <v>0.3003708282</v>
      </c>
      <c r="I1139" s="48">
        <f>IFERROR(MINUS(DIVIDE(VLOOKUP($B1139,Data!$B$3:$EZ1530,9,FALSE),VLOOKUP($B1139,Data!$B$3:$EZ1530,10,FALSE)),1),"")</f>
        <v>0.2634971797</v>
      </c>
      <c r="J1139" s="48">
        <f>IFERROR(MINUS(DIVIDE(VLOOKUP($B1139,Data!$B$3:$EZ1530,24,FALSE),VLOOKUP($B1139,Data!$B$3:$EZ1530,25,FALSE)),1),"")</f>
        <v>-3.320987654</v>
      </c>
      <c r="K1139" s="48">
        <f>IFERROR(MINUS(DIVIDE(VLOOKUP($B1139,Data!$B$3:$EZ1530,29,FALSE),VLOOKUP($B1139,Data!$B$3:$EZ1530,30,FALSE)),1),"")</f>
        <v>18.08163265</v>
      </c>
      <c r="L1139" s="48">
        <f>IFERROR(MINUS(DIVIDE(VLOOKUP($B1139,Data!$B$3:$EZ1530,34,FALSE),VLOOKUP($B1139,Data!$B$3:$EZ1530,35,FALSE)),1),"")</f>
        <v>0.7819548872</v>
      </c>
      <c r="M1139" s="48">
        <f>IFERROR(MINUS(DIVIDE(VLOOKUP($B1139,Data!$B$3:$EZ1530,39,FALSE),VLOOKUP($B1139,Data!$B$3:$EZ1530,40,FALSE)),1),"")</f>
        <v>-1.885080645</v>
      </c>
      <c r="N1139" s="48">
        <f>IFERROR(MINUS(DIVIDE(VLOOKUP($B1139,Data!$B$3:$EZ1530,44,FALSE),VLOOKUP($B1139,Data!$B$3:$EZ1530,45,FALSE)),1),"")</f>
        <v>0.8644501279</v>
      </c>
      <c r="O1139" s="50">
        <f>IFERROR(VLOOKUP($B1139,Data!$B$3:$D1530,2,FALSE),"")</f>
        <v>26520000</v>
      </c>
      <c r="P1139" s="50">
        <f>IFERROR(VLOOKUP($B1139,Data!$B$3:$D1530,3,FALSE),"")</f>
        <v>20850000</v>
      </c>
      <c r="Q1139" s="48">
        <f t="shared" si="2"/>
        <v>0.271942446</v>
      </c>
      <c r="R1139" s="48"/>
      <c r="S1139" s="48"/>
      <c r="T1139" s="48"/>
      <c r="U1139" s="48"/>
      <c r="V1139" s="48"/>
      <c r="W1139" s="50"/>
      <c r="Z1139" s="12"/>
      <c r="AA1139" s="12"/>
    </row>
    <row r="1140">
      <c r="A1140" s="9">
        <f t="shared" si="1"/>
        <v>1137</v>
      </c>
      <c r="B1140" s="47" t="s">
        <v>1274</v>
      </c>
      <c r="C1140" s="48">
        <f>IFERROR(DIVIDE(VLOOKUP($B1140,Data!$B$3:$AB$1535,9,FALSE),VLOOKUP($B1140,Data!$B$3:$AB$1535,4,FALSE)),"")</f>
        <v>0.5997681766</v>
      </c>
      <c r="D1140" s="48">
        <f>IFERROR(DIVIDE(VLOOKUP($B1140,Data!$B$3:$AB$1535,24,FALSE),VLOOKUP($B1140,Data!$B$3:$AB$1535,4,FALSE)),"")</f>
        <v>0.1719418946</v>
      </c>
      <c r="E1140" s="48">
        <f>IFERROR(DIVIDE(VLOOKUP($B1140,Data!$B$3:$EZ1530,29,FALSE),VLOOKUP($B1140,Data!$B$3:$EZ1530,4,FALSE)),"")</f>
        <v>0.1442913496</v>
      </c>
      <c r="F1140" s="48">
        <f>IFERROR(DIVIDE(VLOOKUP($B1140,Data!$B$3:$EZ1530,34,FALSE),VLOOKUP($B1140,Data!$B$3:$EZ1530,4,FALSE)),"")</f>
        <v>0.2947148012</v>
      </c>
      <c r="G1140" s="48">
        <f>IFERROR(DIVIDE(VLOOKUP($B1140,Data!$B$3:$EZ1530,39,FALSE),VLOOKUP($B1140,Data!$B$3:$EZ1530,4,FALSE)),"")</f>
        <v>0.1363270953</v>
      </c>
      <c r="H1140" s="48">
        <f>IFERROR(DIVIDE(VLOOKUP($B1140,Data!$B$3:$EZ1530,44,FALSE),VLOOKUP($B1140,Data!$B$3:$EZ1530,4,FALSE)),"")</f>
        <v>0.2500514124</v>
      </c>
      <c r="I1140" s="48">
        <f>IFERROR(MINUS(DIVIDE(VLOOKUP($B1140,Data!$B$3:$EZ1530,9,FALSE),VLOOKUP($B1140,Data!$B$3:$EZ1530,10,FALSE)),1),"")</f>
        <v>0.01615406544</v>
      </c>
      <c r="J1140" s="48">
        <f>IFERROR(MINUS(DIVIDE(VLOOKUP($B1140,Data!$B$3:$EZ1530,24,FALSE),VLOOKUP($B1140,Data!$B$3:$EZ1530,25,FALSE)),1),"")</f>
        <v>0.04904756473</v>
      </c>
      <c r="K1140" s="48">
        <f>IFERROR(MINUS(DIVIDE(VLOOKUP($B1140,Data!$B$3:$EZ1530,29,FALSE),VLOOKUP($B1140,Data!$B$3:$EZ1530,30,FALSE)),1),"")</f>
        <v>0.217734301</v>
      </c>
      <c r="L1140" s="48">
        <f>IFERROR(MINUS(DIVIDE(VLOOKUP($B1140,Data!$B$3:$EZ1530,34,FALSE),VLOOKUP($B1140,Data!$B$3:$EZ1530,35,FALSE)),1),"")</f>
        <v>0.0008253444226</v>
      </c>
      <c r="M1140" s="48">
        <f>IFERROR(MINUS(DIVIDE(VLOOKUP($B1140,Data!$B$3:$EZ1530,39,FALSE),VLOOKUP($B1140,Data!$B$3:$EZ1530,40,FALSE)),1),"")</f>
        <v>-0.01698571043</v>
      </c>
      <c r="N1140" s="48">
        <f>IFERROR(MINUS(DIVIDE(VLOOKUP($B1140,Data!$B$3:$EZ1530,44,FALSE),VLOOKUP($B1140,Data!$B$3:$EZ1530,45,FALSE)),1),"")</f>
        <v>-0.01531325922</v>
      </c>
      <c r="O1140" s="50">
        <f>IFERROR(VLOOKUP($B1140,Data!$B$3:$D1530,2,FALSE),"")</f>
        <v>1560000</v>
      </c>
      <c r="P1140" s="50">
        <f>IFERROR(VLOOKUP($B1140,Data!$B$3:$D1530,3,FALSE),"")</f>
        <v>1230000</v>
      </c>
      <c r="Q1140" s="48">
        <f t="shared" si="2"/>
        <v>0.2682926829</v>
      </c>
      <c r="R1140" s="48"/>
      <c r="S1140" s="48"/>
      <c r="T1140" s="48"/>
      <c r="U1140" s="48"/>
      <c r="V1140" s="48"/>
      <c r="W1140" s="50"/>
      <c r="Z1140" s="15"/>
      <c r="AA1140" s="15"/>
    </row>
    <row r="1141">
      <c r="A1141" s="9">
        <f t="shared" si="1"/>
        <v>1138</v>
      </c>
      <c r="B1141" s="47" t="s">
        <v>1275</v>
      </c>
      <c r="C1141" s="48">
        <f>IFERROR(DIVIDE(VLOOKUP($B1141,Data!$B$3:$AB$1535,9,FALSE),VLOOKUP($B1141,Data!$B$3:$AB$1535,4,FALSE)),"")</f>
        <v>0.6374444444</v>
      </c>
      <c r="D1141" s="48">
        <f>IFERROR(DIVIDE(VLOOKUP($B1141,Data!$B$3:$AB$1535,24,FALSE),VLOOKUP($B1141,Data!$B$3:$AB$1535,4,FALSE)),"")</f>
        <v>-0.01874509804</v>
      </c>
      <c r="E1141" s="48">
        <f>IFERROR(DIVIDE(VLOOKUP($B1141,Data!$B$3:$EZ1530,29,FALSE),VLOOKUP($B1141,Data!$B$3:$EZ1530,4,FALSE)),"")</f>
        <v>-0.05083660131</v>
      </c>
      <c r="F1141" s="48">
        <f>IFERROR(DIVIDE(VLOOKUP($B1141,Data!$B$3:$EZ1530,34,FALSE),VLOOKUP($B1141,Data!$B$3:$EZ1530,4,FALSE)),"")</f>
        <v>0.3562941176</v>
      </c>
      <c r="G1141" s="48">
        <f>IFERROR(DIVIDE(VLOOKUP($B1141,Data!$B$3:$EZ1530,39,FALSE),VLOOKUP($B1141,Data!$B$3:$EZ1530,4,FALSE)),"")</f>
        <v>-0.02709803922</v>
      </c>
      <c r="H1141" s="48">
        <f>IFERROR(DIVIDE(VLOOKUP($B1141,Data!$B$3:$EZ1530,44,FALSE),VLOOKUP($B1141,Data!$B$3:$EZ1530,4,FALSE)),"")</f>
        <v>0.2162352941</v>
      </c>
      <c r="I1141" s="48">
        <f>IFERROR(MINUS(DIVIDE(VLOOKUP($B1141,Data!$B$3:$EZ1530,9,FALSE),VLOOKUP($B1141,Data!$B$3:$EZ1530,10,FALSE)),1),"")</f>
        <v>0.009773774396</v>
      </c>
      <c r="J1141" s="48">
        <f>IFERROR(MINUS(DIVIDE(VLOOKUP($B1141,Data!$B$3:$EZ1530,24,FALSE),VLOOKUP($B1141,Data!$B$3:$EZ1530,25,FALSE)),1),"")</f>
        <v>-1.12175242</v>
      </c>
      <c r="K1141" s="48">
        <f>IFERROR(MINUS(DIVIDE(VLOOKUP($B1141,Data!$B$3:$EZ1530,29,FALSE),VLOOKUP($B1141,Data!$B$3:$EZ1530,30,FALSE)),1),"")</f>
        <v>-1.344555684</v>
      </c>
      <c r="L1141" s="48">
        <f>IFERROR(MINUS(DIVIDE(VLOOKUP($B1141,Data!$B$3:$EZ1530,34,FALSE),VLOOKUP($B1141,Data!$B$3:$EZ1530,35,FALSE)),1),"")</f>
        <v>0.07869637486</v>
      </c>
      <c r="M1141" s="48">
        <f>IFERROR(MINUS(DIVIDE(VLOOKUP($B1141,Data!$B$3:$EZ1530,39,FALSE),VLOOKUP($B1141,Data!$B$3:$EZ1530,40,FALSE)),1),"")</f>
        <v>-1.217774976</v>
      </c>
      <c r="N1141" s="48">
        <f>IFERROR(MINUS(DIVIDE(VLOOKUP($B1141,Data!$B$3:$EZ1530,44,FALSE),VLOOKUP($B1141,Data!$B$3:$EZ1530,45,FALSE)),1),"")</f>
        <v>-0.07972183588</v>
      </c>
      <c r="O1141" s="50">
        <f>IFERROR(VLOOKUP($B1141,Data!$B$3:$D1530,2,FALSE),"")</f>
        <v>1980000</v>
      </c>
      <c r="P1141" s="50">
        <f>IFERROR(VLOOKUP($B1141,Data!$B$3:$D1530,3,FALSE),"")</f>
        <v>1780000</v>
      </c>
      <c r="Q1141" s="48">
        <f t="shared" si="2"/>
        <v>0.1123595506</v>
      </c>
      <c r="R1141" s="48"/>
      <c r="S1141" s="48"/>
      <c r="T1141" s="48"/>
      <c r="U1141" s="48"/>
      <c r="V1141" s="48"/>
      <c r="W1141" s="50"/>
      <c r="Z1141" s="15"/>
      <c r="AA1141" s="15"/>
    </row>
    <row r="1142">
      <c r="A1142" s="9">
        <f t="shared" si="1"/>
        <v>1139</v>
      </c>
      <c r="B1142" s="47" t="s">
        <v>1276</v>
      </c>
      <c r="C1142" s="48">
        <f>IFERROR(DIVIDE(VLOOKUP($B1142,Data!$B$3:$AB$1535,9,FALSE),VLOOKUP($B1142,Data!$B$3:$AB$1535,4,FALSE)),"")</f>
        <v>0.2310549777</v>
      </c>
      <c r="D1142" s="48">
        <f>IFERROR(DIVIDE(VLOOKUP($B1142,Data!$B$3:$AB$1535,24,FALSE),VLOOKUP($B1142,Data!$B$3:$AB$1535,4,FALSE)),"")</f>
        <v>-0.004977711738</v>
      </c>
      <c r="E1142" s="48">
        <f>IFERROR(DIVIDE(VLOOKUP($B1142,Data!$B$3:$EZ1530,29,FALSE),VLOOKUP($B1142,Data!$B$3:$EZ1530,4,FALSE)),"")</f>
        <v>-0.04621099554</v>
      </c>
      <c r="F1142" s="48">
        <f>IFERROR(DIVIDE(VLOOKUP($B1142,Data!$B$3:$EZ1530,34,FALSE),VLOOKUP($B1142,Data!$B$3:$EZ1530,4,FALSE)),"")</f>
        <v>0.1456166419</v>
      </c>
      <c r="G1142" s="48">
        <f>IFERROR(DIVIDE(VLOOKUP($B1142,Data!$B$3:$EZ1530,39,FALSE),VLOOKUP($B1142,Data!$B$3:$EZ1530,4,FALSE)),"")</f>
        <v>-0.0338781575</v>
      </c>
      <c r="H1142" s="48">
        <f>IFERROR(DIVIDE(VLOOKUP($B1142,Data!$B$3:$EZ1530,44,FALSE),VLOOKUP($B1142,Data!$B$3:$EZ1530,4,FALSE)),"")</f>
        <v>0.09509658247</v>
      </c>
      <c r="I1142" s="48">
        <f>IFERROR(MINUS(DIVIDE(VLOOKUP($B1142,Data!$B$3:$EZ1530,9,FALSE),VLOOKUP($B1142,Data!$B$3:$EZ1530,10,FALSE)),1),"")</f>
        <v>-0.04307692308</v>
      </c>
      <c r="J1142" s="48">
        <f>IFERROR(MINUS(DIVIDE(VLOOKUP($B1142,Data!$B$3:$EZ1530,24,FALSE),VLOOKUP($B1142,Data!$B$3:$EZ1530,25,FALSE)),1),"")</f>
        <v>-1.047857143</v>
      </c>
      <c r="K1142" s="48">
        <f>IFERROR(MINUS(DIVIDE(VLOOKUP($B1142,Data!$B$3:$EZ1530,29,FALSE),VLOOKUP($B1142,Data!$B$3:$EZ1530,30,FALSE)),1),"")</f>
        <v>-1.704416761</v>
      </c>
      <c r="L1142" s="48">
        <f>IFERROR(MINUS(DIVIDE(VLOOKUP($B1142,Data!$B$3:$EZ1530,34,FALSE),VLOOKUP($B1142,Data!$B$3:$EZ1530,35,FALSE)),1),"")</f>
        <v>-0.01507537688</v>
      </c>
      <c r="M1142" s="48">
        <f>IFERROR(MINUS(DIVIDE(VLOOKUP($B1142,Data!$B$3:$EZ1530,39,FALSE),VLOOKUP($B1142,Data!$B$3:$EZ1530,40,FALSE)),1),"")</f>
        <v>-1.588387097</v>
      </c>
      <c r="N1142" s="48">
        <f>IFERROR(MINUS(DIVIDE(VLOOKUP($B1142,Data!$B$3:$EZ1530,44,FALSE),VLOOKUP($B1142,Data!$B$3:$EZ1530,45,FALSE)),1),"")</f>
        <v>0.007874015748</v>
      </c>
      <c r="O1142" s="50" t="str">
        <f>IFERROR(VLOOKUP($B1142,Data!$B$3:$D1530,2,FALSE),"")</f>
        <v/>
      </c>
      <c r="P1142" s="50" t="str">
        <f>IFERROR(VLOOKUP($B1142,Data!$B$3:$D1530,3,FALSE),"")</f>
        <v/>
      </c>
      <c r="Q1142" s="48" t="str">
        <f t="shared" si="2"/>
        <v/>
      </c>
      <c r="R1142" s="48"/>
      <c r="S1142" s="48"/>
      <c r="T1142" s="48"/>
      <c r="U1142" s="48"/>
      <c r="V1142" s="48"/>
      <c r="W1142" s="50"/>
      <c r="Z1142" s="11"/>
      <c r="AA1142" s="11"/>
    </row>
    <row r="1143">
      <c r="A1143" s="9">
        <f t="shared" si="1"/>
        <v>1140</v>
      </c>
      <c r="B1143" s="47" t="s">
        <v>1277</v>
      </c>
      <c r="C1143" s="48">
        <f>IFERROR(DIVIDE(VLOOKUP($B1143,Data!$B$3:$AB$1535,9,FALSE),VLOOKUP($B1143,Data!$B$3:$AB$1535,4,FALSE)),"")</f>
        <v>0.4197530864</v>
      </c>
      <c r="D1143" s="48">
        <f>IFERROR(DIVIDE(VLOOKUP($B1143,Data!$B$3:$AB$1535,24,FALSE),VLOOKUP($B1143,Data!$B$3:$AB$1535,4,FALSE)),"")</f>
        <v>0.1384660494</v>
      </c>
      <c r="E1143" s="48">
        <f>IFERROR(DIVIDE(VLOOKUP($B1143,Data!$B$3:$EZ1530,29,FALSE),VLOOKUP($B1143,Data!$B$3:$EZ1530,4,FALSE)),"")</f>
        <v>0.121941358</v>
      </c>
      <c r="F1143" s="48">
        <f>IFERROR(DIVIDE(VLOOKUP($B1143,Data!$B$3:$EZ1530,34,FALSE),VLOOKUP($B1143,Data!$B$3:$EZ1530,4,FALSE)),"")</f>
        <v>0.3073549383</v>
      </c>
      <c r="G1143" s="48">
        <f>IFERROR(DIVIDE(VLOOKUP($B1143,Data!$B$3:$EZ1530,39,FALSE),VLOOKUP($B1143,Data!$B$3:$EZ1530,4,FALSE)),"")</f>
        <v>0.1031882716</v>
      </c>
      <c r="H1143" s="48">
        <f>IFERROR(DIVIDE(VLOOKUP($B1143,Data!$B$3:$EZ1530,44,FALSE),VLOOKUP($B1143,Data!$B$3:$EZ1530,4,FALSE)),"")</f>
        <v>0.291867284</v>
      </c>
      <c r="I1143" s="48">
        <f>IFERROR(MINUS(DIVIDE(VLOOKUP($B1143,Data!$B$3:$EZ1530,9,FALSE),VLOOKUP($B1143,Data!$B$3:$EZ1530,10,FALSE)),1),"")</f>
        <v>0.1147540984</v>
      </c>
      <c r="J1143" s="48">
        <f>IFERROR(MINUS(DIVIDE(VLOOKUP($B1143,Data!$B$3:$EZ1530,24,FALSE),VLOOKUP($B1143,Data!$B$3:$EZ1530,25,FALSE)),1),"")</f>
        <v>2.109009009</v>
      </c>
      <c r="K1143" s="48">
        <f>IFERROR(MINUS(DIVIDE(VLOOKUP($B1143,Data!$B$3:$EZ1530,29,FALSE),VLOOKUP($B1143,Data!$B$3:$EZ1530,30,FALSE)),1),"")</f>
        <v>3.304281512</v>
      </c>
      <c r="L1143" s="48">
        <f>IFERROR(MINUS(DIVIDE(VLOOKUP($B1143,Data!$B$3:$EZ1530,34,FALSE),VLOOKUP($B1143,Data!$B$3:$EZ1530,35,FALSE)),1),"")</f>
        <v>0.04075959157</v>
      </c>
      <c r="M1143" s="48">
        <f>IFERROR(MINUS(DIVIDE(VLOOKUP($B1143,Data!$B$3:$EZ1530,39,FALSE),VLOOKUP($B1143,Data!$B$3:$EZ1530,40,FALSE)),1),"")</f>
        <v>1.51130474</v>
      </c>
      <c r="N1143" s="48">
        <f>IFERROR(MINUS(DIVIDE(VLOOKUP($B1143,Data!$B$3:$EZ1530,44,FALSE),VLOOKUP($B1143,Data!$B$3:$EZ1530,45,FALSE)),1),"")</f>
        <v>0.1669504911</v>
      </c>
      <c r="O1143" s="50">
        <f>IFERROR(VLOOKUP($B1143,Data!$B$3:$D1530,2,FALSE),"")</f>
        <v>3580000</v>
      </c>
      <c r="P1143" s="50">
        <f>IFERROR(VLOOKUP($B1143,Data!$B$3:$D1530,3,FALSE),"")</f>
        <v>3180000</v>
      </c>
      <c r="Q1143" s="48">
        <f t="shared" si="2"/>
        <v>0.1257861635</v>
      </c>
      <c r="R1143" s="48"/>
      <c r="S1143" s="48"/>
      <c r="T1143" s="48"/>
      <c r="U1143" s="48"/>
      <c r="V1143" s="48"/>
      <c r="W1143" s="50"/>
      <c r="Z1143" s="11"/>
      <c r="AA1143" s="11"/>
    </row>
    <row r="1144">
      <c r="A1144" s="9">
        <f t="shared" si="1"/>
        <v>1141</v>
      </c>
      <c r="B1144" s="47" t="s">
        <v>1278</v>
      </c>
      <c r="C1144" s="48">
        <f>IFERROR(DIVIDE(VLOOKUP($B1144,Data!$B$3:$AB$1535,9,FALSE),VLOOKUP($B1144,Data!$B$3:$AB$1535,4,FALSE)),"")</f>
        <v>0.5760430686</v>
      </c>
      <c r="D1144" s="48">
        <f>IFERROR(DIVIDE(VLOOKUP($B1144,Data!$B$3:$AB$1535,24,FALSE),VLOOKUP($B1144,Data!$B$3:$AB$1535,4,FALSE)),"")</f>
        <v>0.3606998654</v>
      </c>
      <c r="E1144" s="48">
        <f>IFERROR(DIVIDE(VLOOKUP($B1144,Data!$B$3:$EZ1530,29,FALSE),VLOOKUP($B1144,Data!$B$3:$EZ1530,4,FALSE)),"")</f>
        <v>0.2570659489</v>
      </c>
      <c r="F1144" s="48">
        <f>IFERROR(DIVIDE(VLOOKUP($B1144,Data!$B$3:$EZ1530,34,FALSE),VLOOKUP($B1144,Data!$B$3:$EZ1530,4,FALSE)),"")</f>
        <v>0.3930013459</v>
      </c>
      <c r="G1144" s="48">
        <f>IFERROR(DIVIDE(VLOOKUP($B1144,Data!$B$3:$EZ1530,39,FALSE),VLOOKUP($B1144,Data!$B$3:$EZ1530,4,FALSE)),"")</f>
        <v>0.1148317631</v>
      </c>
      <c r="H1144" s="48">
        <f>IFERROR(DIVIDE(VLOOKUP($B1144,Data!$B$3:$EZ1530,44,FALSE),VLOOKUP($B1144,Data!$B$3:$EZ1530,4,FALSE)),"")</f>
        <v>0.263795424</v>
      </c>
      <c r="I1144" s="48">
        <f>IFERROR(MINUS(DIVIDE(VLOOKUP($B1144,Data!$B$3:$EZ1530,9,FALSE),VLOOKUP($B1144,Data!$B$3:$EZ1530,10,FALSE)),1),"")</f>
        <v>0.06467661692</v>
      </c>
      <c r="J1144" s="48">
        <f>IFERROR(MINUS(DIVIDE(VLOOKUP($B1144,Data!$B$3:$EZ1530,24,FALSE),VLOOKUP($B1144,Data!$B$3:$EZ1530,25,FALSE)),1),"")</f>
        <v>0.06349206349</v>
      </c>
      <c r="K1144" s="48">
        <f>IFERROR(MINUS(DIVIDE(VLOOKUP($B1144,Data!$B$3:$EZ1530,29,FALSE),VLOOKUP($B1144,Data!$B$3:$EZ1530,30,FALSE)),1),"")</f>
        <v>0.08522727273</v>
      </c>
      <c r="L1144" s="48">
        <f>IFERROR(MINUS(DIVIDE(VLOOKUP($B1144,Data!$B$3:$EZ1530,34,FALSE),VLOOKUP($B1144,Data!$B$3:$EZ1530,35,FALSE)),1),"")</f>
        <v>0.05415162455</v>
      </c>
      <c r="M1144" s="48">
        <f>IFERROR(MINUS(DIVIDE(VLOOKUP($B1144,Data!$B$3:$EZ1530,39,FALSE),VLOOKUP($B1144,Data!$B$3:$EZ1530,40,FALSE)),1),"")</f>
        <v>0.07558872472</v>
      </c>
      <c r="N1144" s="48">
        <f>IFERROR(MINUS(DIVIDE(VLOOKUP($B1144,Data!$B$3:$EZ1530,44,FALSE),VLOOKUP($B1144,Data!$B$3:$EZ1530,45,FALSE)),1),"")</f>
        <v>0.298013245</v>
      </c>
      <c r="O1144" s="50">
        <f>IFERROR(VLOOKUP($B1144,Data!$B$3:$D1530,2,FALSE),"")</f>
        <v>5270000</v>
      </c>
      <c r="P1144" s="50">
        <f>IFERROR(VLOOKUP($B1144,Data!$B$3:$D1530,3,FALSE),"")</f>
        <v>5020000</v>
      </c>
      <c r="Q1144" s="48">
        <f t="shared" si="2"/>
        <v>0.04980079681</v>
      </c>
      <c r="R1144" s="48"/>
      <c r="S1144" s="48"/>
      <c r="T1144" s="48"/>
      <c r="U1144" s="48"/>
      <c r="V1144" s="48"/>
      <c r="W1144" s="50"/>
      <c r="Z1144" s="11"/>
      <c r="AA1144" s="11"/>
    </row>
    <row r="1145">
      <c r="A1145" s="9">
        <f t="shared" si="1"/>
        <v>1142</v>
      </c>
      <c r="B1145" s="47" t="s">
        <v>1279</v>
      </c>
      <c r="C1145" s="48">
        <f>IFERROR(DIVIDE(VLOOKUP($B1145,Data!$B$3:$AB$1535,9,FALSE),VLOOKUP($B1145,Data!$B$3:$AB$1535,4,FALSE)),"")</f>
        <v>0.4549908145</v>
      </c>
      <c r="D1145" s="48">
        <f>IFERROR(DIVIDE(VLOOKUP($B1145,Data!$B$3:$AB$1535,24,FALSE),VLOOKUP($B1145,Data!$B$3:$AB$1535,4,FALSE)),"")</f>
        <v>-2.470606246</v>
      </c>
      <c r="E1145" s="48">
        <f>IFERROR(DIVIDE(VLOOKUP($B1145,Data!$B$3:$EZ1530,29,FALSE),VLOOKUP($B1145,Data!$B$3:$EZ1530,4,FALSE)),"")</f>
        <v>-3.126454378</v>
      </c>
      <c r="F1145" s="48">
        <f>IFERROR(DIVIDE(VLOOKUP($B1145,Data!$B$3:$EZ1530,34,FALSE),VLOOKUP($B1145,Data!$B$3:$EZ1530,4,FALSE)),"")</f>
        <v>-2.156154317</v>
      </c>
      <c r="G1145" s="48">
        <f>IFERROR(DIVIDE(VLOOKUP($B1145,Data!$B$3:$EZ1530,39,FALSE),VLOOKUP($B1145,Data!$B$3:$EZ1530,4,FALSE)),"")</f>
        <v>-3.146662584</v>
      </c>
      <c r="H1145" s="48">
        <f>IFERROR(DIVIDE(VLOOKUP($B1145,Data!$B$3:$EZ1530,44,FALSE),VLOOKUP($B1145,Data!$B$3:$EZ1530,4,FALSE)),"")</f>
        <v>-2.469381506</v>
      </c>
      <c r="I1145" s="48">
        <f>IFERROR(MINUS(DIVIDE(VLOOKUP($B1145,Data!$B$3:$EZ1530,9,FALSE),VLOOKUP($B1145,Data!$B$3:$EZ1530,10,FALSE)),1),"")</f>
        <v>0.2487394958</v>
      </c>
      <c r="J1145" s="48" t="str">
        <f>IFERROR(MINUS(DIVIDE(VLOOKUP($B1145,Data!$B$3:$EZ1530,24,FALSE),VLOOKUP($B1145,Data!$B$3:$EZ1530,25,FALSE)),1),"")</f>
        <v/>
      </c>
      <c r="K1145" s="48">
        <f>IFERROR(MINUS(DIVIDE(VLOOKUP($B1145,Data!$B$3:$EZ1530,29,FALSE),VLOOKUP($B1145,Data!$B$3:$EZ1530,30,FALSE)),1),"")</f>
        <v>-0.03387264642</v>
      </c>
      <c r="L1145" s="48">
        <f>IFERROR(MINUS(DIVIDE(VLOOKUP($B1145,Data!$B$3:$EZ1530,34,FALSE),VLOOKUP($B1145,Data!$B$3:$EZ1530,35,FALSE)),1),"")</f>
        <v>0.0583107905</v>
      </c>
      <c r="M1145" s="48">
        <f>IFERROR(MINUS(DIVIDE(VLOOKUP($B1145,Data!$B$3:$EZ1530,39,FALSE),VLOOKUP($B1145,Data!$B$3:$EZ1530,40,FALSE)),1),"")</f>
        <v>-0.02486004365</v>
      </c>
      <c r="N1145" s="48">
        <f>IFERROR(MINUS(DIVIDE(VLOOKUP($B1145,Data!$B$3:$EZ1530,44,FALSE),VLOOKUP($B1145,Data!$B$3:$EZ1530,45,FALSE)),1),"")</f>
        <v>0.0659529474</v>
      </c>
      <c r="O1145" s="50">
        <f>IFERROR(VLOOKUP($B1145,Data!$B$3:$D1530,2,FALSE),"")</f>
        <v>58290</v>
      </c>
      <c r="P1145" s="50">
        <f>IFERROR(VLOOKUP($B1145,Data!$B$3:$D1530,3,FALSE),"")</f>
        <v>34860</v>
      </c>
      <c r="Q1145" s="48">
        <f t="shared" si="2"/>
        <v>0.6721170396</v>
      </c>
      <c r="R1145" s="48"/>
      <c r="S1145" s="48"/>
      <c r="T1145" s="48"/>
      <c r="U1145" s="48"/>
      <c r="V1145" s="48"/>
      <c r="W1145" s="50"/>
      <c r="Z1145" s="15"/>
      <c r="AA1145" s="15"/>
    </row>
    <row r="1146">
      <c r="A1146" s="9">
        <f t="shared" si="1"/>
        <v>1143</v>
      </c>
      <c r="B1146" s="47" t="s">
        <v>1280</v>
      </c>
      <c r="C1146" s="48">
        <f>IFERROR(DIVIDE(VLOOKUP($B1146,Data!$B$3:$AB$1535,9,FALSE),VLOOKUP($B1146,Data!$B$3:$AB$1535,4,FALSE)),"")</f>
        <v>0.4731182796</v>
      </c>
      <c r="D1146" s="48">
        <f>IFERROR(DIVIDE(VLOOKUP($B1146,Data!$B$3:$AB$1535,24,FALSE),VLOOKUP($B1146,Data!$B$3:$AB$1535,4,FALSE)),"")</f>
        <v>-0.7332980786</v>
      </c>
      <c r="E1146" s="48">
        <f>IFERROR(DIVIDE(VLOOKUP($B1146,Data!$B$3:$EZ1530,29,FALSE),VLOOKUP($B1146,Data!$B$3:$EZ1530,4,FALSE)),"")</f>
        <v>-0.7223691169</v>
      </c>
      <c r="F1146" s="48">
        <f>IFERROR(DIVIDE(VLOOKUP($B1146,Data!$B$3:$EZ1530,34,FALSE),VLOOKUP($B1146,Data!$B$3:$EZ1530,4,FALSE)),"")</f>
        <v>-0.6467477525</v>
      </c>
      <c r="G1146" s="48">
        <f>IFERROR(DIVIDE(VLOOKUP($B1146,Data!$B$3:$EZ1530,39,FALSE),VLOOKUP($B1146,Data!$B$3:$EZ1530,4,FALSE)),"")</f>
        <v>-0.7191961925</v>
      </c>
      <c r="H1146" s="48">
        <f>IFERROR(DIVIDE(VLOOKUP($B1146,Data!$B$3:$EZ1530,44,FALSE),VLOOKUP($B1146,Data!$B$3:$EZ1530,4,FALSE)),"")</f>
        <v>-0.4616604971</v>
      </c>
      <c r="I1146" s="48">
        <f>IFERROR(MINUS(DIVIDE(VLOOKUP($B1146,Data!$B$3:$EZ1530,9,FALSE),VLOOKUP($B1146,Data!$B$3:$EZ1530,10,FALSE)),1),"")</f>
        <v>0.5469740634</v>
      </c>
      <c r="J1146" s="48">
        <f>IFERROR(MINUS(DIVIDE(VLOOKUP($B1146,Data!$B$3:$EZ1530,24,FALSE),VLOOKUP($B1146,Data!$B$3:$EZ1530,25,FALSE)),1),"")</f>
        <v>0.3185419968</v>
      </c>
      <c r="K1146" s="48">
        <f>IFERROR(MINUS(DIVIDE(VLOOKUP($B1146,Data!$B$3:$EZ1530,29,FALSE),VLOOKUP($B1146,Data!$B$3:$EZ1530,30,FALSE)),1),"")</f>
        <v>0.3005395113</v>
      </c>
      <c r="L1146" s="48">
        <f>IFERROR(MINUS(DIVIDE(VLOOKUP($B1146,Data!$B$3:$EZ1530,34,FALSE),VLOOKUP($B1146,Data!$B$3:$EZ1530,35,FALSE)),1),"")</f>
        <v>0.2189368771</v>
      </c>
      <c r="M1146" s="48">
        <f>IFERROR(MINUS(DIVIDE(VLOOKUP($B1146,Data!$B$3:$EZ1530,39,FALSE),VLOOKUP($B1146,Data!$B$3:$EZ1530,40,FALSE)),1),"")</f>
        <v>0.2935954344</v>
      </c>
      <c r="N1146" s="48">
        <f>IFERROR(MINUS(DIVIDE(VLOOKUP($B1146,Data!$B$3:$EZ1530,44,FALSE),VLOOKUP($B1146,Data!$B$3:$EZ1530,45,FALSE)),1),"")</f>
        <v>-0.08809192201</v>
      </c>
      <c r="O1146" s="50">
        <f>IFERROR(VLOOKUP($B1146,Data!$B$3:$D1530,2,FALSE),"")</f>
        <v>88020</v>
      </c>
      <c r="P1146" s="50">
        <f>IFERROR(VLOOKUP($B1146,Data!$B$3:$D1530,3,FALSE),"")</f>
        <v>61870</v>
      </c>
      <c r="Q1146" s="48">
        <f t="shared" si="2"/>
        <v>0.422660417</v>
      </c>
      <c r="R1146" s="48"/>
      <c r="S1146" s="48"/>
      <c r="T1146" s="48"/>
      <c r="U1146" s="48"/>
      <c r="V1146" s="48"/>
      <c r="W1146" s="50"/>
      <c r="Z1146" s="15"/>
      <c r="AA1146" s="15"/>
    </row>
    <row r="1147">
      <c r="A1147" s="9">
        <f t="shared" si="1"/>
        <v>1144</v>
      </c>
      <c r="B1147" s="47" t="s">
        <v>1281</v>
      </c>
      <c r="C1147" s="48">
        <f>IFERROR(DIVIDE(VLOOKUP($B1147,Data!$B$3:$AB$1535,9,FALSE),VLOOKUP($B1147,Data!$B$3:$AB$1535,4,FALSE)),"")</f>
        <v>0.5732298739</v>
      </c>
      <c r="D1147" s="48">
        <f>IFERROR(DIVIDE(VLOOKUP($B1147,Data!$B$3:$AB$1535,24,FALSE),VLOOKUP($B1147,Data!$B$3:$AB$1535,4,FALSE)),"")</f>
        <v>-1.489815713</v>
      </c>
      <c r="E1147" s="48">
        <f>IFERROR(DIVIDE(VLOOKUP($B1147,Data!$B$3:$EZ1530,29,FALSE),VLOOKUP($B1147,Data!$B$3:$EZ1530,4,FALSE)),"")</f>
        <v>-1.505334627</v>
      </c>
      <c r="F1147" s="48">
        <f>IFERROR(DIVIDE(VLOOKUP($B1147,Data!$B$3:$EZ1530,34,FALSE),VLOOKUP($B1147,Data!$B$3:$EZ1530,4,FALSE)),"")</f>
        <v>-1.362754607</v>
      </c>
      <c r="G1147" s="48">
        <f>IFERROR(DIVIDE(VLOOKUP($B1147,Data!$B$3:$EZ1530,39,FALSE),VLOOKUP($B1147,Data!$B$3:$EZ1530,4,FALSE)),"")</f>
        <v>-1.49757517</v>
      </c>
      <c r="H1147" s="48">
        <f>IFERROR(DIVIDE(VLOOKUP($B1147,Data!$B$3:$EZ1530,44,FALSE),VLOOKUP($B1147,Data!$B$3:$EZ1530,4,FALSE)),"")</f>
        <v>-1.124151309</v>
      </c>
      <c r="I1147" s="48">
        <f>IFERROR(MINUS(DIVIDE(VLOOKUP($B1147,Data!$B$3:$EZ1530,9,FALSE),VLOOKUP($B1147,Data!$B$3:$EZ1530,10,FALSE)),1),"")</f>
        <v>-0.0663507109</v>
      </c>
      <c r="J1147" s="48" t="str">
        <f>IFERROR(MINUS(DIVIDE(VLOOKUP($B1147,Data!$B$3:$EZ1530,24,FALSE),VLOOKUP($B1147,Data!$B$3:$EZ1530,25,FALSE)),1),"")</f>
        <v/>
      </c>
      <c r="K1147" s="48">
        <f>IFERROR(MINUS(DIVIDE(VLOOKUP($B1147,Data!$B$3:$EZ1530,29,FALSE),VLOOKUP($B1147,Data!$B$3:$EZ1530,30,FALSE)),1),"")</f>
        <v>0.1386647102</v>
      </c>
      <c r="L1147" s="48">
        <f>IFERROR(MINUS(DIVIDE(VLOOKUP($B1147,Data!$B$3:$EZ1530,34,FALSE),VLOOKUP($B1147,Data!$B$3:$EZ1530,35,FALSE)),1),"")</f>
        <v>0.1404220779</v>
      </c>
      <c r="M1147" s="48">
        <f>IFERROR(MINUS(DIVIDE(VLOOKUP($B1147,Data!$B$3:$EZ1530,39,FALSE),VLOOKUP($B1147,Data!$B$3:$EZ1530,40,FALSE)),1),"")</f>
        <v>0.1204644412</v>
      </c>
      <c r="N1147" s="48">
        <f>IFERROR(MINUS(DIVIDE(VLOOKUP($B1147,Data!$B$3:$EZ1530,44,FALSE),VLOOKUP($B1147,Data!$B$3:$EZ1530,45,FALSE)),1),"")</f>
        <v>-0.08306962025</v>
      </c>
      <c r="O1147" s="50">
        <f>IFERROR(VLOOKUP($B1147,Data!$B$3:$D1530,2,FALSE),"")</f>
        <v>23000</v>
      </c>
      <c r="P1147" s="50">
        <f>IFERROR(VLOOKUP($B1147,Data!$B$3:$D1530,3,FALSE),"")</f>
        <v>12770</v>
      </c>
      <c r="Q1147" s="48">
        <f t="shared" si="2"/>
        <v>0.8010963195</v>
      </c>
      <c r="R1147" s="48"/>
      <c r="S1147" s="48"/>
      <c r="T1147" s="48"/>
      <c r="U1147" s="48"/>
      <c r="V1147" s="48"/>
      <c r="W1147" s="50"/>
      <c r="Z1147" s="11"/>
      <c r="AA1147" s="11"/>
    </row>
    <row r="1148">
      <c r="A1148" s="9">
        <f t="shared" si="1"/>
        <v>1145</v>
      </c>
      <c r="B1148" s="47" t="s">
        <v>1282</v>
      </c>
      <c r="C1148" s="48">
        <f>IFERROR(DIVIDE(VLOOKUP($B1148,Data!$B$3:$AB$1535,9,FALSE),VLOOKUP($B1148,Data!$B$3:$AB$1535,4,FALSE)),"")</f>
        <v>0</v>
      </c>
      <c r="D1148" s="48">
        <f>IFERROR(DIVIDE(VLOOKUP($B1148,Data!$B$3:$AB$1535,24,FALSE),VLOOKUP($B1148,Data!$B$3:$AB$1535,4,FALSE)),"")</f>
        <v>-16.98763736</v>
      </c>
      <c r="E1148" s="48">
        <f>IFERROR(DIVIDE(VLOOKUP($B1148,Data!$B$3:$EZ1530,29,FALSE),VLOOKUP($B1148,Data!$B$3:$EZ1530,4,FALSE)),"")</f>
        <v>-17.06043956</v>
      </c>
      <c r="F1148" s="48">
        <f>IFERROR(DIVIDE(VLOOKUP($B1148,Data!$B$3:$EZ1530,34,FALSE),VLOOKUP($B1148,Data!$B$3:$EZ1530,4,FALSE)),"")</f>
        <v>-15.73351648</v>
      </c>
      <c r="G1148" s="48">
        <f>IFERROR(DIVIDE(VLOOKUP($B1148,Data!$B$3:$EZ1530,39,FALSE),VLOOKUP($B1148,Data!$B$3:$EZ1530,4,FALSE)),"")</f>
        <v>-17.06043956</v>
      </c>
      <c r="H1148" s="48">
        <f>IFERROR(DIVIDE(VLOOKUP($B1148,Data!$B$3:$EZ1530,44,FALSE),VLOOKUP($B1148,Data!$B$3:$EZ1530,4,FALSE)),"")</f>
        <v>-13.55494505</v>
      </c>
      <c r="I1148" s="48" t="str">
        <f>IFERROR(MINUS(DIVIDE(VLOOKUP($B1148,Data!$B$3:$EZ1530,9,FALSE),VLOOKUP($B1148,Data!$B$3:$EZ1530,10,FALSE)),1),"")</f>
        <v/>
      </c>
      <c r="J1148" s="48">
        <f>IFERROR(MINUS(DIVIDE(VLOOKUP($B1148,Data!$B$3:$EZ1530,24,FALSE),VLOOKUP($B1148,Data!$B$3:$EZ1530,25,FALSE)),1),"")</f>
        <v>0.405021586</v>
      </c>
      <c r="K1148" s="48">
        <f>IFERROR(MINUS(DIVIDE(VLOOKUP($B1148,Data!$B$3:$EZ1530,29,FALSE),VLOOKUP($B1148,Data!$B$3:$EZ1530,30,FALSE)),1),"")</f>
        <v>0.4951245937</v>
      </c>
      <c r="L1148" s="48">
        <f>IFERROR(MINUS(DIVIDE(VLOOKUP($B1148,Data!$B$3:$EZ1530,34,FALSE),VLOOKUP($B1148,Data!$B$3:$EZ1530,35,FALSE)),1),"")</f>
        <v>0.5084946661</v>
      </c>
      <c r="M1148" s="48">
        <f>IFERROR(MINUS(DIVIDE(VLOOKUP($B1148,Data!$B$3:$EZ1530,39,FALSE),VLOOKUP($B1148,Data!$B$3:$EZ1530,40,FALSE)),1),"")</f>
        <v>0.4909963986</v>
      </c>
      <c r="N1148" s="48">
        <f>IFERROR(MINUS(DIVIDE(VLOOKUP($B1148,Data!$B$3:$EZ1530,44,FALSE),VLOOKUP($B1148,Data!$B$3:$EZ1530,45,FALSE)),1),"")</f>
        <v>0.2977380326</v>
      </c>
      <c r="O1148" s="50">
        <f>IFERROR(VLOOKUP($B1148,Data!$B$3:$D1530,2,FALSE),"")</f>
        <v>84410</v>
      </c>
      <c r="P1148" s="50">
        <f>IFERROR(VLOOKUP($B1148,Data!$B$3:$D1530,3,FALSE),"")</f>
        <v>215380</v>
      </c>
      <c r="Q1148" s="48">
        <f t="shared" si="2"/>
        <v>-0.6080880305</v>
      </c>
      <c r="R1148" s="48"/>
      <c r="S1148" s="48"/>
      <c r="T1148" s="48"/>
      <c r="U1148" s="48"/>
      <c r="V1148" s="48"/>
      <c r="W1148" s="50"/>
      <c r="Z1148" s="11"/>
      <c r="AA1148" s="11"/>
    </row>
    <row r="1149">
      <c r="A1149" s="9">
        <f t="shared" si="1"/>
        <v>1146</v>
      </c>
      <c r="B1149" s="47" t="s">
        <v>1283</v>
      </c>
      <c r="C1149" s="48" t="str">
        <f>IFERROR(DIVIDE(VLOOKUP($B1149,Data!$B$3:$AB$1535,9,FALSE),VLOOKUP($B1149,Data!$B$3:$AB$1535,4,FALSE)),"")</f>
        <v/>
      </c>
      <c r="D1149" s="48" t="str">
        <f>IFERROR(DIVIDE(VLOOKUP($B1149,Data!$B$3:$AB$1535,24,FALSE),VLOOKUP($B1149,Data!$B$3:$AB$1535,4,FALSE)),"")</f>
        <v/>
      </c>
      <c r="E1149" s="48" t="str">
        <f>IFERROR(DIVIDE(VLOOKUP($B1149,Data!$B$3:$EZ1530,29,FALSE),VLOOKUP($B1149,Data!$B$3:$EZ1530,4,FALSE)),"")</f>
        <v/>
      </c>
      <c r="F1149" s="48" t="str">
        <f>IFERROR(DIVIDE(VLOOKUP($B1149,Data!$B$3:$EZ1530,34,FALSE),VLOOKUP($B1149,Data!$B$3:$EZ1530,4,FALSE)),"")</f>
        <v/>
      </c>
      <c r="G1149" s="48" t="str">
        <f>IFERROR(DIVIDE(VLOOKUP($B1149,Data!$B$3:$EZ1530,39,FALSE),VLOOKUP($B1149,Data!$B$3:$EZ1530,4,FALSE)),"")</f>
        <v/>
      </c>
      <c r="H1149" s="48" t="str">
        <f>IFERROR(DIVIDE(VLOOKUP($B1149,Data!$B$3:$EZ1530,44,FALSE),VLOOKUP($B1149,Data!$B$3:$EZ1530,4,FALSE)),"")</f>
        <v/>
      </c>
      <c r="I1149" s="48" t="str">
        <f>IFERROR(MINUS(DIVIDE(VLOOKUP($B1149,Data!$B$3:$EZ1530,9,FALSE),VLOOKUP($B1149,Data!$B$3:$EZ1530,10,FALSE)),1),"")</f>
        <v/>
      </c>
      <c r="J1149" s="48" t="str">
        <f>IFERROR(MINUS(DIVIDE(VLOOKUP($B1149,Data!$B$3:$EZ1530,24,FALSE),VLOOKUP($B1149,Data!$B$3:$EZ1530,25,FALSE)),1),"")</f>
        <v/>
      </c>
      <c r="K1149" s="48" t="str">
        <f>IFERROR(MINUS(DIVIDE(VLOOKUP($B1149,Data!$B$3:$EZ1530,29,FALSE),VLOOKUP($B1149,Data!$B$3:$EZ1530,30,FALSE)),1),"")</f>
        <v/>
      </c>
      <c r="L1149" s="48" t="str">
        <f>IFERROR(MINUS(DIVIDE(VLOOKUP($B1149,Data!$B$3:$EZ1530,34,FALSE),VLOOKUP($B1149,Data!$B$3:$EZ1530,35,FALSE)),1),"")</f>
        <v/>
      </c>
      <c r="M1149" s="48" t="str">
        <f>IFERROR(MINUS(DIVIDE(VLOOKUP($B1149,Data!$B$3:$EZ1530,39,FALSE),VLOOKUP($B1149,Data!$B$3:$EZ1530,40,FALSE)),1),"")</f>
        <v/>
      </c>
      <c r="N1149" s="48" t="str">
        <f>IFERROR(MINUS(DIVIDE(VLOOKUP($B1149,Data!$B$3:$EZ1530,44,FALSE),VLOOKUP($B1149,Data!$B$3:$EZ1530,45,FALSE)),1),"")</f>
        <v/>
      </c>
      <c r="O1149" s="50">
        <f>IFERROR(VLOOKUP($B1149,Data!$B$3:$D1530,2,FALSE),"")</f>
        <v>4920000</v>
      </c>
      <c r="P1149" s="50">
        <f>IFERROR(VLOOKUP($B1149,Data!$B$3:$D1530,3,FALSE),"")</f>
        <v>4090000</v>
      </c>
      <c r="Q1149" s="48">
        <f t="shared" si="2"/>
        <v>0.2029339853</v>
      </c>
      <c r="R1149" s="48"/>
      <c r="S1149" s="48"/>
      <c r="T1149" s="48"/>
      <c r="U1149" s="48"/>
      <c r="V1149" s="48"/>
      <c r="W1149" s="50"/>
      <c r="Z1149" s="15"/>
      <c r="AA1149" s="15"/>
    </row>
    <row r="1150">
      <c r="A1150" s="9">
        <f t="shared" si="1"/>
        <v>1147</v>
      </c>
      <c r="B1150" s="47" t="s">
        <v>1284</v>
      </c>
      <c r="C1150" s="48">
        <f>IFERROR(DIVIDE(VLOOKUP($B1150,Data!$B$3:$AB$1535,9,FALSE),VLOOKUP($B1150,Data!$B$3:$AB$1535,4,FALSE)),"")</f>
        <v>0.2038303694</v>
      </c>
      <c r="D1150" s="48">
        <f>IFERROR(DIVIDE(VLOOKUP($B1150,Data!$B$3:$AB$1535,24,FALSE),VLOOKUP($B1150,Data!$B$3:$AB$1535,4,FALSE)),"")</f>
        <v>0.006943456452</v>
      </c>
      <c r="E1150" s="48">
        <f>IFERROR(DIVIDE(VLOOKUP($B1150,Data!$B$3:$EZ1530,29,FALSE),VLOOKUP($B1150,Data!$B$3:$EZ1530,4,FALSE)),"")</f>
        <v>-0.003721386229</v>
      </c>
      <c r="F1150" s="48">
        <f>IFERROR(DIVIDE(VLOOKUP($B1150,Data!$B$3:$EZ1530,34,FALSE),VLOOKUP($B1150,Data!$B$3:$EZ1530,4,FALSE)),"")</f>
        <v>0.02614409485</v>
      </c>
      <c r="G1150" s="48">
        <f>IFERROR(DIVIDE(VLOOKUP($B1150,Data!$B$3:$EZ1530,39,FALSE),VLOOKUP($B1150,Data!$B$3:$EZ1530,4,FALSE)),"")</f>
        <v>-0.02139626083</v>
      </c>
      <c r="H1150" s="48">
        <f>IFERROR(DIVIDE(VLOOKUP($B1150,Data!$B$3:$EZ1530,44,FALSE),VLOOKUP($B1150,Data!$B$3:$EZ1530,4,FALSE)),"")</f>
        <v>0.02329502964</v>
      </c>
      <c r="I1150" s="48">
        <f>IFERROR(MINUS(DIVIDE(VLOOKUP($B1150,Data!$B$3:$EZ1530,9,FALSE),VLOOKUP($B1150,Data!$B$3:$EZ1530,10,FALSE)),1),"")</f>
        <v>-0.04487179487</v>
      </c>
      <c r="J1150" s="48">
        <f>IFERROR(MINUS(DIVIDE(VLOOKUP($B1150,Data!$B$3:$EZ1530,24,FALSE),VLOOKUP($B1150,Data!$B$3:$EZ1530,25,FALSE)),1),"")</f>
        <v>-1.380903542</v>
      </c>
      <c r="K1150" s="48">
        <f>IFERROR(MINUS(DIVIDE(VLOOKUP($B1150,Data!$B$3:$EZ1530,29,FALSE),VLOOKUP($B1150,Data!$B$3:$EZ1530,30,FALSE)),1),"")</f>
        <v>-0.8615559476</v>
      </c>
      <c r="L1150" s="48">
        <f>IFERROR(MINUS(DIVIDE(VLOOKUP($B1150,Data!$B$3:$EZ1530,34,FALSE),VLOOKUP($B1150,Data!$B$3:$EZ1530,35,FALSE)),1),"")</f>
        <v>0.2975603132</v>
      </c>
      <c r="M1150" s="48">
        <f>IFERROR(MINUS(DIVIDE(VLOOKUP($B1150,Data!$B$3:$EZ1530,39,FALSE),VLOOKUP($B1150,Data!$B$3:$EZ1530,40,FALSE)),1),"")</f>
        <v>-0.2964690007</v>
      </c>
      <c r="N1150" s="48">
        <f>IFERROR(MINUS(DIVIDE(VLOOKUP($B1150,Data!$B$3:$EZ1530,44,FALSE),VLOOKUP($B1150,Data!$B$3:$EZ1530,45,FALSE)),1),"")</f>
        <v>-3.234049066</v>
      </c>
      <c r="O1150" s="50">
        <f>IFERROR(VLOOKUP($B1150,Data!$B$3:$D1530,2,FALSE),"")</f>
        <v>23970000</v>
      </c>
      <c r="P1150" s="50">
        <f>IFERROR(VLOOKUP($B1150,Data!$B$3:$D1530,3,FALSE),"")</f>
        <v>23470000</v>
      </c>
      <c r="Q1150" s="48">
        <f t="shared" si="2"/>
        <v>0.02130379207</v>
      </c>
      <c r="R1150" s="48"/>
      <c r="S1150" s="48"/>
      <c r="T1150" s="48"/>
      <c r="U1150" s="48"/>
      <c r="V1150" s="48"/>
      <c r="W1150" s="50"/>
      <c r="Z1150" s="11"/>
      <c r="AA1150" s="11"/>
    </row>
    <row r="1151">
      <c r="A1151" s="9">
        <f t="shared" si="1"/>
        <v>1148</v>
      </c>
      <c r="B1151" s="47" t="s">
        <v>1285</v>
      </c>
      <c r="C1151" s="48">
        <f>IFERROR(DIVIDE(VLOOKUP($B1151,Data!$B$3:$AB$1535,9,FALSE),VLOOKUP($B1151,Data!$B$3:$AB$1535,4,FALSE)),"")</f>
        <v>0.359575908</v>
      </c>
      <c r="D1151" s="48">
        <f>IFERROR(DIVIDE(VLOOKUP($B1151,Data!$B$3:$AB$1535,24,FALSE),VLOOKUP($B1151,Data!$B$3:$AB$1535,4,FALSE)),"")</f>
        <v>0</v>
      </c>
      <c r="E1151" s="48">
        <f>IFERROR(DIVIDE(VLOOKUP($B1151,Data!$B$3:$EZ1530,29,FALSE),VLOOKUP($B1151,Data!$B$3:$EZ1530,4,FALSE)),"")</f>
        <v>-0.0500789533</v>
      </c>
      <c r="F1151" s="48">
        <f>IFERROR(DIVIDE(VLOOKUP($B1151,Data!$B$3:$EZ1530,34,FALSE),VLOOKUP($B1151,Data!$B$3:$EZ1530,4,FALSE)),"")</f>
        <v>-0.0207759982</v>
      </c>
      <c r="G1151" s="48">
        <f>IFERROR(DIVIDE(VLOOKUP($B1151,Data!$B$3:$EZ1530,39,FALSE),VLOOKUP($B1151,Data!$B$3:$EZ1530,4,FALSE)),"")</f>
        <v>-0.04331152718</v>
      </c>
      <c r="H1151" s="48">
        <f>IFERROR(DIVIDE(VLOOKUP($B1151,Data!$B$3:$EZ1530,44,FALSE),VLOOKUP($B1151,Data!$B$3:$EZ1530,4,FALSE)),"")</f>
        <v>-0.07805098128</v>
      </c>
      <c r="I1151" s="48">
        <f>IFERROR(MINUS(DIVIDE(VLOOKUP($B1151,Data!$B$3:$EZ1530,9,FALSE),VLOOKUP($B1151,Data!$B$3:$EZ1530,10,FALSE)),1),"")</f>
        <v>0.5750988142</v>
      </c>
      <c r="J1151" s="48" t="str">
        <f>IFERROR(MINUS(DIVIDE(VLOOKUP($B1151,Data!$B$3:$EZ1530,24,FALSE),VLOOKUP($B1151,Data!$B$3:$EZ1530,25,FALSE)),1),"")</f>
        <v/>
      </c>
      <c r="K1151" s="48">
        <f>IFERROR(MINUS(DIVIDE(VLOOKUP($B1151,Data!$B$3:$EZ1530,29,FALSE),VLOOKUP($B1151,Data!$B$3:$EZ1530,30,FALSE)),1),"")</f>
        <v>-13.26519337</v>
      </c>
      <c r="L1151" s="48">
        <f>IFERROR(MINUS(DIVIDE(VLOOKUP($B1151,Data!$B$3:$EZ1530,34,FALSE),VLOOKUP($B1151,Data!$B$3:$EZ1530,35,FALSE)),1),"")</f>
        <v>-1.955394191</v>
      </c>
      <c r="M1151" s="48">
        <f>IFERROR(MINUS(DIVIDE(VLOOKUP($B1151,Data!$B$3:$EZ1530,39,FALSE),VLOOKUP($B1151,Data!$B$3:$EZ1530,40,FALSE)),1),"")</f>
        <v>-4.386243386</v>
      </c>
      <c r="N1151" s="48">
        <f>IFERROR(MINUS(DIVIDE(VLOOKUP($B1151,Data!$B$3:$EZ1530,44,FALSE),VLOOKUP($B1151,Data!$B$3:$EZ1530,45,FALSE)),1),"")</f>
        <v>0.2958801498</v>
      </c>
      <c r="O1151" s="50">
        <f>IFERROR(VLOOKUP($B1151,Data!$B$3:$D1530,2,FALSE),"")</f>
        <v>95430</v>
      </c>
      <c r="P1151" s="50">
        <f>IFERROR(VLOOKUP($B1151,Data!$B$3:$D1530,3,FALSE),"")</f>
        <v>66640</v>
      </c>
      <c r="Q1151" s="48">
        <f t="shared" si="2"/>
        <v>0.4320228091</v>
      </c>
      <c r="R1151" s="48"/>
      <c r="S1151" s="48"/>
      <c r="T1151" s="48"/>
      <c r="U1151" s="48"/>
      <c r="V1151" s="48"/>
      <c r="W1151" s="50"/>
      <c r="Z1151" s="15"/>
      <c r="AA1151" s="15"/>
    </row>
    <row r="1152">
      <c r="A1152" s="9">
        <f t="shared" si="1"/>
        <v>1149</v>
      </c>
      <c r="B1152" s="47" t="s">
        <v>1286</v>
      </c>
      <c r="C1152" s="48" t="str">
        <f>IFERROR(DIVIDE(VLOOKUP($B1152,Data!$B$3:$AB$1535,9,FALSE),VLOOKUP($B1152,Data!$B$3:$AB$1535,4,FALSE)),"")</f>
        <v/>
      </c>
      <c r="D1152" s="48" t="str">
        <f>IFERROR(DIVIDE(VLOOKUP($B1152,Data!$B$3:$AB$1535,24,FALSE),VLOOKUP($B1152,Data!$B$3:$AB$1535,4,FALSE)),"")</f>
        <v/>
      </c>
      <c r="E1152" s="48" t="str">
        <f>IFERROR(DIVIDE(VLOOKUP($B1152,Data!$B$3:$EZ1530,29,FALSE),VLOOKUP($B1152,Data!$B$3:$EZ1530,4,FALSE)),"")</f>
        <v/>
      </c>
      <c r="F1152" s="48" t="str">
        <f>IFERROR(DIVIDE(VLOOKUP($B1152,Data!$B$3:$EZ1530,34,FALSE),VLOOKUP($B1152,Data!$B$3:$EZ1530,4,FALSE)),"")</f>
        <v/>
      </c>
      <c r="G1152" s="48" t="str">
        <f>IFERROR(DIVIDE(VLOOKUP($B1152,Data!$B$3:$EZ1530,39,FALSE),VLOOKUP($B1152,Data!$B$3:$EZ1530,4,FALSE)),"")</f>
        <v/>
      </c>
      <c r="H1152" s="48" t="str">
        <f>IFERROR(DIVIDE(VLOOKUP($B1152,Data!$B$3:$EZ1530,44,FALSE),VLOOKUP($B1152,Data!$B$3:$EZ1530,4,FALSE)),"")</f>
        <v/>
      </c>
      <c r="I1152" s="48">
        <f>IFERROR(MINUS(DIVIDE(VLOOKUP($B1152,Data!$B$3:$EZ1530,9,FALSE),VLOOKUP($B1152,Data!$B$3:$EZ1530,10,FALSE)),1),"")</f>
        <v>0.07258064516</v>
      </c>
      <c r="J1152" s="48" t="str">
        <f>IFERROR(MINUS(DIVIDE(VLOOKUP($B1152,Data!$B$3:$EZ1530,24,FALSE),VLOOKUP($B1152,Data!$B$3:$EZ1530,25,FALSE)),1),"")</f>
        <v/>
      </c>
      <c r="K1152" s="48">
        <f>IFERROR(MINUS(DIVIDE(VLOOKUP($B1152,Data!$B$3:$EZ1530,29,FALSE),VLOOKUP($B1152,Data!$B$3:$EZ1530,30,FALSE)),1),"")</f>
        <v>0.171230982</v>
      </c>
      <c r="L1152" s="48">
        <f>IFERROR(MINUS(DIVIDE(VLOOKUP($B1152,Data!$B$3:$EZ1530,34,FALSE),VLOOKUP($B1152,Data!$B$3:$EZ1530,35,FALSE)),1),"")</f>
        <v>0.1845421451</v>
      </c>
      <c r="M1152" s="48">
        <f>IFERROR(MINUS(DIVIDE(VLOOKUP($B1152,Data!$B$3:$EZ1530,39,FALSE),VLOOKUP($B1152,Data!$B$3:$EZ1530,40,FALSE)),1),"")</f>
        <v>0.1894882434</v>
      </c>
      <c r="N1152" s="48">
        <f>IFERROR(MINUS(DIVIDE(VLOOKUP($B1152,Data!$B$3:$EZ1530,44,FALSE),VLOOKUP($B1152,Data!$B$3:$EZ1530,45,FALSE)),1),"")</f>
        <v>0.07647951442</v>
      </c>
      <c r="O1152" s="50">
        <f>IFERROR(VLOOKUP($B1152,Data!$B$3:$D1530,2,FALSE),"")</f>
        <v>1040</v>
      </c>
      <c r="P1152" s="50">
        <f>IFERROR(VLOOKUP($B1152,Data!$B$3:$D1530,3,FALSE),"")</f>
        <v>3130</v>
      </c>
      <c r="Q1152" s="48">
        <f t="shared" si="2"/>
        <v>-0.6677316294</v>
      </c>
      <c r="R1152" s="48"/>
      <c r="S1152" s="48"/>
      <c r="T1152" s="48"/>
      <c r="U1152" s="48"/>
      <c r="V1152" s="48"/>
      <c r="W1152" s="50"/>
      <c r="Z1152" s="11"/>
      <c r="AA1152" s="11"/>
    </row>
    <row r="1153">
      <c r="A1153" s="9">
        <f t="shared" si="1"/>
        <v>1150</v>
      </c>
      <c r="B1153" s="47" t="s">
        <v>1287</v>
      </c>
      <c r="C1153" s="48">
        <f>IFERROR(DIVIDE(VLOOKUP($B1153,Data!$B$3:$AB$1535,9,FALSE),VLOOKUP($B1153,Data!$B$3:$AB$1535,4,FALSE)),"")</f>
        <v>0.830874554</v>
      </c>
      <c r="D1153" s="48">
        <f>IFERROR(DIVIDE(VLOOKUP($B1153,Data!$B$3:$AB$1535,24,FALSE),VLOOKUP($B1153,Data!$B$3:$AB$1535,4,FALSE)),"")</f>
        <v>-3.960659531</v>
      </c>
      <c r="E1153" s="48">
        <f>IFERROR(DIVIDE(VLOOKUP($B1153,Data!$B$3:$EZ1530,29,FALSE),VLOOKUP($B1153,Data!$B$3:$EZ1530,4,FALSE)),"")</f>
        <v>-3.851509016</v>
      </c>
      <c r="F1153" s="48">
        <f>IFERROR(DIVIDE(VLOOKUP($B1153,Data!$B$3:$EZ1530,34,FALSE),VLOOKUP($B1153,Data!$B$3:$EZ1530,4,FALSE)),"")</f>
        <v>-4.007617395</v>
      </c>
      <c r="G1153" s="48">
        <f>IFERROR(DIVIDE(VLOOKUP($B1153,Data!$B$3:$EZ1530,39,FALSE),VLOOKUP($B1153,Data!$B$3:$EZ1530,4,FALSE)),"")</f>
        <v>-3.883232089</v>
      </c>
      <c r="H1153" s="48">
        <f>IFERROR(DIVIDE(VLOOKUP($B1153,Data!$B$3:$EZ1530,44,FALSE),VLOOKUP($B1153,Data!$B$3:$EZ1530,4,FALSE)),"")</f>
        <v>-3.480281554</v>
      </c>
      <c r="I1153" s="48">
        <f>IFERROR(MINUS(DIVIDE(VLOOKUP($B1153,Data!$B$3:$EZ1530,9,FALSE),VLOOKUP($B1153,Data!$B$3:$EZ1530,10,FALSE)),1),"")</f>
        <v>1.796819215</v>
      </c>
      <c r="J1153" s="48" t="str">
        <f>IFERROR(MINUS(DIVIDE(VLOOKUP($B1153,Data!$B$3:$EZ1530,24,FALSE),VLOOKUP($B1153,Data!$B$3:$EZ1530,25,FALSE)),1),"")</f>
        <v/>
      </c>
      <c r="K1153" s="48">
        <f>IFERROR(MINUS(DIVIDE(VLOOKUP($B1153,Data!$B$3:$EZ1530,29,FALSE),VLOOKUP($B1153,Data!$B$3:$EZ1530,30,FALSE)),1),"")</f>
        <v>1.02658549</v>
      </c>
      <c r="L1153" s="48">
        <f>IFERROR(MINUS(DIVIDE(VLOOKUP($B1153,Data!$B$3:$EZ1530,34,FALSE),VLOOKUP($B1153,Data!$B$3:$EZ1530,35,FALSE)),1),"")</f>
        <v>0.1813040018</v>
      </c>
      <c r="M1153" s="48">
        <f>IFERROR(MINUS(DIVIDE(VLOOKUP($B1153,Data!$B$3:$EZ1530,39,FALSE),VLOOKUP($B1153,Data!$B$3:$EZ1530,40,FALSE)),1),"")</f>
        <v>1.03800415</v>
      </c>
      <c r="N1153" s="48">
        <f>IFERROR(MINUS(DIVIDE(VLOOKUP($B1153,Data!$B$3:$EZ1530,44,FALSE),VLOOKUP($B1153,Data!$B$3:$EZ1530,45,FALSE)),1),"")</f>
        <v>0.2421791651</v>
      </c>
      <c r="O1153" s="50">
        <f>IFERROR(VLOOKUP($B1153,Data!$B$3:$D1530,2,FALSE),"")</f>
        <v>335290</v>
      </c>
      <c r="P1153" s="50">
        <f>IFERROR(VLOOKUP($B1153,Data!$B$3:$D1530,3,FALSE),"")</f>
        <v>208410</v>
      </c>
      <c r="Q1153" s="48">
        <f t="shared" si="2"/>
        <v>0.6087999616</v>
      </c>
      <c r="R1153" s="48"/>
      <c r="S1153" s="48"/>
      <c r="T1153" s="48"/>
      <c r="U1153" s="48"/>
      <c r="V1153" s="48"/>
      <c r="W1153" s="50"/>
      <c r="Z1153" s="11"/>
      <c r="AA1153" s="11"/>
    </row>
    <row r="1154">
      <c r="A1154" s="9">
        <f t="shared" si="1"/>
        <v>1151</v>
      </c>
      <c r="B1154" s="47" t="s">
        <v>1288</v>
      </c>
      <c r="C1154" s="48">
        <f>IFERROR(DIVIDE(VLOOKUP($B1154,Data!$B$3:$AB$1535,9,FALSE),VLOOKUP($B1154,Data!$B$3:$AB$1535,4,FALSE)),"")</f>
        <v>0.3059490085</v>
      </c>
      <c r="D1154" s="48">
        <f>IFERROR(DIVIDE(VLOOKUP($B1154,Data!$B$3:$AB$1535,24,FALSE),VLOOKUP($B1154,Data!$B$3:$AB$1535,4,FALSE)),"")</f>
        <v>-0.566572238</v>
      </c>
      <c r="E1154" s="48">
        <f>IFERROR(DIVIDE(VLOOKUP($B1154,Data!$B$3:$EZ1530,29,FALSE),VLOOKUP($B1154,Data!$B$3:$EZ1530,4,FALSE)),"")</f>
        <v>-0.3201133144</v>
      </c>
      <c r="F1154" s="48">
        <f>IFERROR(DIVIDE(VLOOKUP($B1154,Data!$B$3:$EZ1530,34,FALSE),VLOOKUP($B1154,Data!$B$3:$EZ1530,4,FALSE)),"")</f>
        <v>-0.4702549575</v>
      </c>
      <c r="G1154" s="48">
        <f>IFERROR(DIVIDE(VLOOKUP($B1154,Data!$B$3:$EZ1530,39,FALSE),VLOOKUP($B1154,Data!$B$3:$EZ1530,4,FALSE)),"")</f>
        <v>-0.3257790368</v>
      </c>
      <c r="H1154" s="48">
        <f>IFERROR(DIVIDE(VLOOKUP($B1154,Data!$B$3:$EZ1530,44,FALSE),VLOOKUP($B1154,Data!$B$3:$EZ1530,4,FALSE)),"")</f>
        <v>-0.3484419263</v>
      </c>
      <c r="I1154" s="48" t="str">
        <f>IFERROR(MINUS(DIVIDE(VLOOKUP($B1154,Data!$B$3:$EZ1530,9,FALSE),VLOOKUP($B1154,Data!$B$3:$EZ1530,10,FALSE)),1),"")</f>
        <v/>
      </c>
      <c r="J1154" s="48" t="str">
        <f>IFERROR(MINUS(DIVIDE(VLOOKUP($B1154,Data!$B$3:$EZ1530,24,FALSE),VLOOKUP($B1154,Data!$B$3:$EZ1530,25,FALSE)),1),"")</f>
        <v/>
      </c>
      <c r="K1154" s="48" t="str">
        <f>IFERROR(MINUS(DIVIDE(VLOOKUP($B1154,Data!$B$3:$EZ1530,29,FALSE),VLOOKUP($B1154,Data!$B$3:$EZ1530,30,FALSE)),1),"")</f>
        <v/>
      </c>
      <c r="L1154" s="48">
        <f>IFERROR(MINUS(DIVIDE(VLOOKUP($B1154,Data!$B$3:$EZ1530,34,FALSE),VLOOKUP($B1154,Data!$B$3:$EZ1530,35,FALSE)),1),"")</f>
        <v>-0.3025210084</v>
      </c>
      <c r="M1154" s="48" t="str">
        <f>IFERROR(MINUS(DIVIDE(VLOOKUP($B1154,Data!$B$3:$EZ1530,39,FALSE),VLOOKUP($B1154,Data!$B$3:$EZ1530,40,FALSE)),1),"")</f>
        <v/>
      </c>
      <c r="N1154" s="48">
        <f>IFERROR(MINUS(DIVIDE(VLOOKUP($B1154,Data!$B$3:$EZ1530,44,FALSE),VLOOKUP($B1154,Data!$B$3:$EZ1530,45,FALSE)),1),"")</f>
        <v>0.1495327103</v>
      </c>
      <c r="O1154" s="50" t="str">
        <f>IFERROR(VLOOKUP($B1154,Data!$B$3:$D1530,2,FALSE),"")</f>
        <v/>
      </c>
      <c r="P1154" s="50" t="str">
        <f>IFERROR(VLOOKUP($B1154,Data!$B$3:$D1530,3,FALSE),"")</f>
        <v/>
      </c>
      <c r="Q1154" s="48" t="str">
        <f t="shared" si="2"/>
        <v/>
      </c>
      <c r="R1154" s="48"/>
      <c r="S1154" s="48"/>
      <c r="T1154" s="48"/>
      <c r="U1154" s="48"/>
      <c r="V1154" s="48"/>
      <c r="W1154" s="50"/>
      <c r="Z1154" s="11"/>
      <c r="AA1154" s="11"/>
    </row>
    <row r="1155">
      <c r="A1155" s="9">
        <f t="shared" si="1"/>
        <v>1152</v>
      </c>
      <c r="B1155" s="47" t="s">
        <v>1289</v>
      </c>
      <c r="C1155" s="48">
        <f>IFERROR(DIVIDE(VLOOKUP($B1155,Data!$B$3:$AB$1535,9,FALSE),VLOOKUP($B1155,Data!$B$3:$AB$1535,4,FALSE)),"")</f>
        <v>0.3568801498</v>
      </c>
      <c r="D1155" s="48">
        <f>IFERROR(DIVIDE(VLOOKUP($B1155,Data!$B$3:$AB$1535,24,FALSE),VLOOKUP($B1155,Data!$B$3:$AB$1535,4,FALSE)),"")</f>
        <v>0.0942659176</v>
      </c>
      <c r="E1155" s="48">
        <f>IFERROR(DIVIDE(VLOOKUP($B1155,Data!$B$3:$EZ1530,29,FALSE),VLOOKUP($B1155,Data!$B$3:$EZ1530,4,FALSE)),"")</f>
        <v>0.08381273408</v>
      </c>
      <c r="F1155" s="48">
        <f>IFERROR(DIVIDE(VLOOKUP($B1155,Data!$B$3:$EZ1530,34,FALSE),VLOOKUP($B1155,Data!$B$3:$EZ1530,4,FALSE)),"")</f>
        <v>0.3272659176</v>
      </c>
      <c r="G1155" s="48">
        <f>IFERROR(DIVIDE(VLOOKUP($B1155,Data!$B$3:$EZ1530,39,FALSE),VLOOKUP($B1155,Data!$B$3:$EZ1530,4,FALSE)),"")</f>
        <v>0.065</v>
      </c>
      <c r="H1155" s="48">
        <f>IFERROR(DIVIDE(VLOOKUP($B1155,Data!$B$3:$EZ1530,44,FALSE),VLOOKUP($B1155,Data!$B$3:$EZ1530,4,FALSE)),"")</f>
        <v>0.08068164794</v>
      </c>
      <c r="I1155" s="48">
        <f>IFERROR(MINUS(DIVIDE(VLOOKUP($B1155,Data!$B$3:$EZ1530,9,FALSE),VLOOKUP($B1155,Data!$B$3:$EZ1530,10,FALSE)),1),"")</f>
        <v>0.01824107715</v>
      </c>
      <c r="J1155" s="48">
        <f>IFERROR(MINUS(DIVIDE(VLOOKUP($B1155,Data!$B$3:$EZ1530,24,FALSE),VLOOKUP($B1155,Data!$B$3:$EZ1530,25,FALSE)),1),"")</f>
        <v>3.521918793</v>
      </c>
      <c r="K1155" s="48">
        <f>IFERROR(MINUS(DIVIDE(VLOOKUP($B1155,Data!$B$3:$EZ1530,29,FALSE),VLOOKUP($B1155,Data!$B$3:$EZ1530,30,FALSE)),1),"")</f>
        <v>15.16907514</v>
      </c>
      <c r="L1155" s="48">
        <f>IFERROR(MINUS(DIVIDE(VLOOKUP($B1155,Data!$B$3:$EZ1530,34,FALSE),VLOOKUP($B1155,Data!$B$3:$EZ1530,35,FALSE)),1),"")</f>
        <v>0.09081830098</v>
      </c>
      <c r="M1155" s="48">
        <f>IFERROR(MINUS(DIVIDE(VLOOKUP($B1155,Data!$B$3:$EZ1530,39,FALSE),VLOOKUP($B1155,Data!$B$3:$EZ1530,40,FALSE)),1),"")</f>
        <v>19.44169611</v>
      </c>
      <c r="N1155" s="48">
        <f>IFERROR(MINUS(DIVIDE(VLOOKUP($B1155,Data!$B$3:$EZ1530,44,FALSE),VLOOKUP($B1155,Data!$B$3:$EZ1530,45,FALSE)),1),"")</f>
        <v>-0.0531405213</v>
      </c>
      <c r="O1155" s="50">
        <f>IFERROR(VLOOKUP($B1155,Data!$B$3:$D1530,2,FALSE),"")</f>
        <v>2960000</v>
      </c>
      <c r="P1155" s="50">
        <f>IFERROR(VLOOKUP($B1155,Data!$B$3:$D1530,3,FALSE),"")</f>
        <v>2770000</v>
      </c>
      <c r="Q1155" s="48">
        <f t="shared" si="2"/>
        <v>0.06859205776</v>
      </c>
      <c r="R1155" s="48"/>
      <c r="S1155" s="48"/>
      <c r="T1155" s="48"/>
      <c r="U1155" s="48"/>
      <c r="V1155" s="48"/>
      <c r="W1155" s="50"/>
      <c r="Z1155" s="11"/>
      <c r="AA1155" s="11"/>
    </row>
    <row r="1156">
      <c r="A1156" s="9">
        <f t="shared" si="1"/>
        <v>1153</v>
      </c>
      <c r="B1156" s="47" t="s">
        <v>1290</v>
      </c>
      <c r="C1156" s="48" t="str">
        <f>IFERROR(DIVIDE(VLOOKUP($B1156,Data!$B$3:$AB$1535,9,FALSE),VLOOKUP($B1156,Data!$B$3:$AB$1535,4,FALSE)),"")</f>
        <v/>
      </c>
      <c r="D1156" s="48" t="str">
        <f>IFERROR(DIVIDE(VLOOKUP($B1156,Data!$B$3:$AB$1535,24,FALSE),VLOOKUP($B1156,Data!$B$3:$AB$1535,4,FALSE)),"")</f>
        <v/>
      </c>
      <c r="E1156" s="48" t="str">
        <f>IFERROR(DIVIDE(VLOOKUP($B1156,Data!$B$3:$EZ1530,29,FALSE),VLOOKUP($B1156,Data!$B$3:$EZ1530,4,FALSE)),"")</f>
        <v/>
      </c>
      <c r="F1156" s="48" t="str">
        <f>IFERROR(DIVIDE(VLOOKUP($B1156,Data!$B$3:$EZ1530,34,FALSE),VLOOKUP($B1156,Data!$B$3:$EZ1530,4,FALSE)),"")</f>
        <v/>
      </c>
      <c r="G1156" s="48" t="str">
        <f>IFERROR(DIVIDE(VLOOKUP($B1156,Data!$B$3:$EZ1530,39,FALSE),VLOOKUP($B1156,Data!$B$3:$EZ1530,4,FALSE)),"")</f>
        <v/>
      </c>
      <c r="H1156" s="48" t="str">
        <f>IFERROR(DIVIDE(VLOOKUP($B1156,Data!$B$3:$EZ1530,44,FALSE),VLOOKUP($B1156,Data!$B$3:$EZ1530,4,FALSE)),"")</f>
        <v/>
      </c>
      <c r="I1156" s="48">
        <f>IFERROR(MINUS(DIVIDE(VLOOKUP($B1156,Data!$B$3:$EZ1530,9,FALSE),VLOOKUP($B1156,Data!$B$3:$EZ1530,10,FALSE)),1),"")</f>
        <v>0.2909090909</v>
      </c>
      <c r="J1156" s="48">
        <f>IFERROR(MINUS(DIVIDE(VLOOKUP($B1156,Data!$B$3:$EZ1530,24,FALSE),VLOOKUP($B1156,Data!$B$3:$EZ1530,25,FALSE)),1),"")</f>
        <v>-1</v>
      </c>
      <c r="K1156" s="48">
        <f>IFERROR(MINUS(DIVIDE(VLOOKUP($B1156,Data!$B$3:$EZ1530,29,FALSE),VLOOKUP($B1156,Data!$B$3:$EZ1530,30,FALSE)),1),"")</f>
        <v>0.03775100402</v>
      </c>
      <c r="L1156" s="48">
        <f>IFERROR(MINUS(DIVIDE(VLOOKUP($B1156,Data!$B$3:$EZ1530,34,FALSE),VLOOKUP($B1156,Data!$B$3:$EZ1530,35,FALSE)),1),"")</f>
        <v>0.1739661224</v>
      </c>
      <c r="M1156" s="48">
        <f>IFERROR(MINUS(DIVIDE(VLOOKUP($B1156,Data!$B$3:$EZ1530,39,FALSE),VLOOKUP($B1156,Data!$B$3:$EZ1530,40,FALSE)),1),"")</f>
        <v>0.03690284487</v>
      </c>
      <c r="N1156" s="48">
        <f>IFERROR(MINUS(DIVIDE(VLOOKUP($B1156,Data!$B$3:$EZ1530,44,FALSE),VLOOKUP($B1156,Data!$B$3:$EZ1530,45,FALSE)),1),"")</f>
        <v>0.2005949061</v>
      </c>
      <c r="O1156" s="50">
        <f>IFERROR(VLOOKUP($B1156,Data!$B$3:$D1530,2,FALSE),"")</f>
        <v>14550</v>
      </c>
      <c r="P1156" s="50" t="str">
        <f>IFERROR(VLOOKUP($B1156,Data!$B$3:$D1530,3,FALSE),"")</f>
        <v/>
      </c>
      <c r="Q1156" s="48" t="str">
        <f t="shared" si="2"/>
        <v/>
      </c>
      <c r="R1156" s="48"/>
      <c r="S1156" s="48"/>
      <c r="T1156" s="48"/>
      <c r="U1156" s="48"/>
      <c r="V1156" s="48"/>
      <c r="W1156" s="50"/>
      <c r="Z1156" s="12"/>
      <c r="AA1156" s="12"/>
    </row>
    <row r="1157">
      <c r="A1157" s="9">
        <f t="shared" si="1"/>
        <v>1154</v>
      </c>
      <c r="B1157" s="47" t="s">
        <v>1291</v>
      </c>
      <c r="C1157" s="48">
        <f>IFERROR(DIVIDE(VLOOKUP($B1157,Data!$B$3:$AB$1535,9,FALSE),VLOOKUP($B1157,Data!$B$3:$AB$1535,4,FALSE)),"")</f>
        <v>0.3612662254</v>
      </c>
      <c r="D1157" s="48">
        <f>IFERROR(DIVIDE(VLOOKUP($B1157,Data!$B$3:$AB$1535,24,FALSE),VLOOKUP($B1157,Data!$B$3:$AB$1535,4,FALSE)),"")</f>
        <v>0</v>
      </c>
      <c r="E1157" s="48">
        <f>IFERROR(DIVIDE(VLOOKUP($B1157,Data!$B$3:$EZ1530,29,FALSE),VLOOKUP($B1157,Data!$B$3:$EZ1530,4,FALSE)),"")</f>
        <v>0.08220849821</v>
      </c>
      <c r="F1157" s="48">
        <f>IFERROR(DIVIDE(VLOOKUP($B1157,Data!$B$3:$EZ1530,34,FALSE),VLOOKUP($B1157,Data!$B$3:$EZ1530,4,FALSE)),"")</f>
        <v>0.100292149</v>
      </c>
      <c r="G1157" s="48">
        <f>IFERROR(DIVIDE(VLOOKUP($B1157,Data!$B$3:$EZ1530,39,FALSE),VLOOKUP($B1157,Data!$B$3:$EZ1530,4,FALSE)),"")</f>
        <v>0.06456861802</v>
      </c>
      <c r="H1157" s="48">
        <f>IFERROR(DIVIDE(VLOOKUP($B1157,Data!$B$3:$EZ1530,44,FALSE),VLOOKUP($B1157,Data!$B$3:$EZ1530,4,FALSE)),"")</f>
        <v>0.06689841352</v>
      </c>
      <c r="I1157" s="48">
        <f>IFERROR(MINUS(DIVIDE(VLOOKUP($B1157,Data!$B$3:$EZ1530,9,FALSE),VLOOKUP($B1157,Data!$B$3:$EZ1530,10,FALSE)),1),"")</f>
        <v>0.1224864989</v>
      </c>
      <c r="J1157" s="48" t="str">
        <f>IFERROR(MINUS(DIVIDE(VLOOKUP($B1157,Data!$B$3:$EZ1530,24,FALSE),VLOOKUP($B1157,Data!$B$3:$EZ1530,25,FALSE)),1),"")</f>
        <v/>
      </c>
      <c r="K1157" s="48">
        <f>IFERROR(MINUS(DIVIDE(VLOOKUP($B1157,Data!$B$3:$EZ1530,29,FALSE),VLOOKUP($B1157,Data!$B$3:$EZ1530,30,FALSE)),1),"")</f>
        <v>0.2418994413</v>
      </c>
      <c r="L1157" s="48">
        <f>IFERROR(MINUS(DIVIDE(VLOOKUP($B1157,Data!$B$3:$EZ1530,34,FALSE),VLOOKUP($B1157,Data!$B$3:$EZ1530,35,FALSE)),1),"")</f>
        <v>0.156996587</v>
      </c>
      <c r="M1157" s="48">
        <f>IFERROR(MINUS(DIVIDE(VLOOKUP($B1157,Data!$B$3:$EZ1530,39,FALSE),VLOOKUP($B1157,Data!$B$3:$EZ1530,40,FALSE)),1),"")</f>
        <v>0.2</v>
      </c>
      <c r="N1157" s="48">
        <f>IFERROR(MINUS(DIVIDE(VLOOKUP($B1157,Data!$B$3:$EZ1530,44,FALSE),VLOOKUP($B1157,Data!$B$3:$EZ1530,45,FALSE)),1),"")</f>
        <v>0.02959590211</v>
      </c>
      <c r="O1157" s="50">
        <f>IFERROR(VLOOKUP($B1157,Data!$B$3:$D1530,2,FALSE),"")</f>
        <v>266000</v>
      </c>
      <c r="P1157" s="50">
        <f>IFERROR(VLOOKUP($B1157,Data!$B$3:$D1530,3,FALSE),"")</f>
        <v>255100</v>
      </c>
      <c r="Q1157" s="48">
        <f t="shared" si="2"/>
        <v>0.04272834183</v>
      </c>
      <c r="R1157" s="48"/>
      <c r="S1157" s="48"/>
      <c r="T1157" s="48"/>
      <c r="U1157" s="48"/>
      <c r="V1157" s="48"/>
      <c r="W1157" s="50"/>
      <c r="Z1157" s="11"/>
      <c r="AA1157" s="11"/>
    </row>
    <row r="1158">
      <c r="A1158" s="9">
        <f t="shared" si="1"/>
        <v>1155</v>
      </c>
      <c r="B1158" s="47" t="s">
        <v>1292</v>
      </c>
      <c r="C1158" s="48">
        <f>IFERROR(DIVIDE(VLOOKUP($B1158,Data!$B$3:$AB$1535,9,FALSE),VLOOKUP($B1158,Data!$B$3:$AB$1535,4,FALSE)),"")</f>
        <v>0.3315068493</v>
      </c>
      <c r="D1158" s="48">
        <f>IFERROR(DIVIDE(VLOOKUP($B1158,Data!$B$3:$AB$1535,24,FALSE),VLOOKUP($B1158,Data!$B$3:$AB$1535,4,FALSE)),"")</f>
        <v>0.1863013699</v>
      </c>
      <c r="E1158" s="48">
        <f>IFERROR(DIVIDE(VLOOKUP($B1158,Data!$B$3:$EZ1530,29,FALSE),VLOOKUP($B1158,Data!$B$3:$EZ1530,4,FALSE)),"")</f>
        <v>0.1744292237</v>
      </c>
      <c r="F1158" s="48">
        <f>IFERROR(DIVIDE(VLOOKUP($B1158,Data!$B$3:$EZ1530,34,FALSE),VLOOKUP($B1158,Data!$B$3:$EZ1530,4,FALSE)),"")</f>
        <v>0.301369863</v>
      </c>
      <c r="G1158" s="48">
        <f>IFERROR(DIVIDE(VLOOKUP($B1158,Data!$B$3:$EZ1530,39,FALSE),VLOOKUP($B1158,Data!$B$3:$EZ1530,4,FALSE)),"")</f>
        <v>0.1716894977</v>
      </c>
      <c r="H1158" s="48">
        <f>IFERROR(DIVIDE(VLOOKUP($B1158,Data!$B$3:$EZ1530,44,FALSE),VLOOKUP($B1158,Data!$B$3:$EZ1530,4,FALSE)),"")</f>
        <v>0.3397260274</v>
      </c>
      <c r="I1158" s="48">
        <f>IFERROR(MINUS(DIVIDE(VLOOKUP($B1158,Data!$B$3:$EZ1530,9,FALSE),VLOOKUP($B1158,Data!$B$3:$EZ1530,10,FALSE)),1),"")</f>
        <v>0.1308411215</v>
      </c>
      <c r="J1158" s="48">
        <f>IFERROR(MINUS(DIVIDE(VLOOKUP($B1158,Data!$B$3:$EZ1530,24,FALSE),VLOOKUP($B1158,Data!$B$3:$EZ1530,25,FALSE)),1),"")</f>
        <v>0.1208791209</v>
      </c>
      <c r="K1158" s="48">
        <f>IFERROR(MINUS(DIVIDE(VLOOKUP($B1158,Data!$B$3:$EZ1530,29,FALSE),VLOOKUP($B1158,Data!$B$3:$EZ1530,30,FALSE)),1),"")</f>
        <v>0.04945054945</v>
      </c>
      <c r="L1158" s="48">
        <f>IFERROR(MINUS(DIVIDE(VLOOKUP($B1158,Data!$B$3:$EZ1530,34,FALSE),VLOOKUP($B1158,Data!$B$3:$EZ1530,35,FALSE)),1),"")</f>
        <v>0.1262798635</v>
      </c>
      <c r="M1158" s="48">
        <f>IFERROR(MINUS(DIVIDE(VLOOKUP($B1158,Data!$B$3:$EZ1530,39,FALSE),VLOOKUP($B1158,Data!$B$3:$EZ1530,40,FALSE)),1),"")</f>
        <v>0.03867403315</v>
      </c>
      <c r="N1158" s="48">
        <f>IFERROR(MINUS(DIVIDE(VLOOKUP($B1158,Data!$B$3:$EZ1530,44,FALSE),VLOOKUP($B1158,Data!$B$3:$EZ1530,45,FALSE)),1),"")</f>
        <v>0.06896551724</v>
      </c>
      <c r="O1158" s="50">
        <f>IFERROR(VLOOKUP($B1158,Data!$B$3:$D1530,2,FALSE),"")</f>
        <v>8270000</v>
      </c>
      <c r="P1158" s="50">
        <f>IFERROR(VLOOKUP($B1158,Data!$B$3:$D1530,3,FALSE),"")</f>
        <v>3450000</v>
      </c>
      <c r="Q1158" s="48">
        <f t="shared" si="2"/>
        <v>1.397101449</v>
      </c>
      <c r="R1158" s="48"/>
      <c r="S1158" s="48"/>
      <c r="T1158" s="48"/>
      <c r="U1158" s="48"/>
      <c r="V1158" s="48"/>
      <c r="W1158" s="50"/>
      <c r="Z1158" s="11"/>
      <c r="AA1158" s="12"/>
    </row>
    <row r="1159">
      <c r="A1159" s="9">
        <f t="shared" si="1"/>
        <v>1156</v>
      </c>
      <c r="B1159" s="47" t="s">
        <v>1293</v>
      </c>
      <c r="C1159" s="48">
        <f>IFERROR(DIVIDE(VLOOKUP($B1159,Data!$B$3:$AB$1535,9,FALSE),VLOOKUP($B1159,Data!$B$3:$AB$1535,4,FALSE)),"")</f>
        <v>0.1620168067</v>
      </c>
      <c r="D1159" s="48">
        <f>IFERROR(DIVIDE(VLOOKUP($B1159,Data!$B$3:$AB$1535,24,FALSE),VLOOKUP($B1159,Data!$B$3:$AB$1535,4,FALSE)),"")</f>
        <v>0.03142857143</v>
      </c>
      <c r="E1159" s="48">
        <f>IFERROR(DIVIDE(VLOOKUP($B1159,Data!$B$3:$EZ1530,29,FALSE),VLOOKUP($B1159,Data!$B$3:$EZ1530,4,FALSE)),"")</f>
        <v>0.008235294118</v>
      </c>
      <c r="F1159" s="48">
        <f>IFERROR(DIVIDE(VLOOKUP($B1159,Data!$B$3:$EZ1530,34,FALSE),VLOOKUP($B1159,Data!$B$3:$EZ1530,4,FALSE)),"")</f>
        <v>0.1234453782</v>
      </c>
      <c r="G1159" s="48">
        <f>IFERROR(DIVIDE(VLOOKUP($B1159,Data!$B$3:$EZ1530,39,FALSE),VLOOKUP($B1159,Data!$B$3:$EZ1530,4,FALSE)),"")</f>
        <v>0.01008403361</v>
      </c>
      <c r="H1159" s="48">
        <f>IFERROR(DIVIDE(VLOOKUP($B1159,Data!$B$3:$EZ1530,44,FALSE),VLOOKUP($B1159,Data!$B$3:$EZ1530,4,FALSE)),"")</f>
        <v>0.1056302521</v>
      </c>
      <c r="I1159" s="48">
        <f>IFERROR(MINUS(DIVIDE(VLOOKUP($B1159,Data!$B$3:$EZ1530,9,FALSE),VLOOKUP($B1159,Data!$B$3:$EZ1530,10,FALSE)),1),"")</f>
        <v>1.031612223</v>
      </c>
      <c r="J1159" s="48" t="str">
        <f>IFERROR(MINUS(DIVIDE(VLOOKUP($B1159,Data!$B$3:$EZ1530,24,FALSE),VLOOKUP($B1159,Data!$B$3:$EZ1530,25,FALSE)),1),"")</f>
        <v/>
      </c>
      <c r="K1159" s="48" t="str">
        <f>IFERROR(MINUS(DIVIDE(VLOOKUP($B1159,Data!$B$3:$EZ1530,29,FALSE),VLOOKUP($B1159,Data!$B$3:$EZ1530,30,FALSE)),1),"")</f>
        <v/>
      </c>
      <c r="L1159" s="48">
        <f>IFERROR(MINUS(DIVIDE(VLOOKUP($B1159,Data!$B$3:$EZ1530,34,FALSE),VLOOKUP($B1159,Data!$B$3:$EZ1530,35,FALSE)),1),"")</f>
        <v>1.195814649</v>
      </c>
      <c r="M1159" s="48" t="str">
        <f>IFERROR(MINUS(DIVIDE(VLOOKUP($B1159,Data!$B$3:$EZ1530,39,FALSE),VLOOKUP($B1159,Data!$B$3:$EZ1530,40,FALSE)),1),"")</f>
        <v/>
      </c>
      <c r="N1159" s="48">
        <f>IFERROR(MINUS(DIVIDE(VLOOKUP($B1159,Data!$B$3:$EZ1530,44,FALSE),VLOOKUP($B1159,Data!$B$3:$EZ1530,45,FALSE)),1),"")</f>
        <v>5.868852459</v>
      </c>
      <c r="O1159" s="50">
        <f>IFERROR(VLOOKUP($B1159,Data!$B$3:$D1530,2,FALSE),"")</f>
        <v>1440000</v>
      </c>
      <c r="P1159" s="50">
        <f>IFERROR(VLOOKUP($B1159,Data!$B$3:$D1530,3,FALSE),"")</f>
        <v>1210000</v>
      </c>
      <c r="Q1159" s="48">
        <f t="shared" si="2"/>
        <v>0.1900826446</v>
      </c>
      <c r="R1159" s="48"/>
      <c r="S1159" s="48"/>
      <c r="T1159" s="48"/>
      <c r="U1159" s="48"/>
      <c r="V1159" s="48"/>
      <c r="W1159" s="50"/>
      <c r="Z1159" s="15"/>
      <c r="AA1159" s="15"/>
    </row>
    <row r="1160">
      <c r="A1160" s="9">
        <f t="shared" si="1"/>
        <v>1157</v>
      </c>
      <c r="B1160" s="47" t="s">
        <v>1294</v>
      </c>
      <c r="C1160" s="48">
        <f>IFERROR(DIVIDE(VLOOKUP($B1160,Data!$B$3:$AB$1535,9,FALSE),VLOOKUP($B1160,Data!$B$3:$AB$1535,4,FALSE)),"")</f>
        <v>0.6418383518</v>
      </c>
      <c r="D1160" s="48">
        <f>IFERROR(DIVIDE(VLOOKUP($B1160,Data!$B$3:$AB$1535,24,FALSE),VLOOKUP($B1160,Data!$B$3:$AB$1535,4,FALSE)),"")</f>
        <v>-6.738510301</v>
      </c>
      <c r="E1160" s="48">
        <f>IFERROR(DIVIDE(VLOOKUP($B1160,Data!$B$3:$EZ1530,29,FALSE),VLOOKUP($B1160,Data!$B$3:$EZ1530,4,FALSE)),"")</f>
        <v>-6.725832013</v>
      </c>
      <c r="F1160" s="48">
        <f>IFERROR(DIVIDE(VLOOKUP($B1160,Data!$B$3:$EZ1530,34,FALSE),VLOOKUP($B1160,Data!$B$3:$EZ1530,4,FALSE)),"")</f>
        <v>-6.675118859</v>
      </c>
      <c r="G1160" s="48">
        <f>IFERROR(DIVIDE(VLOOKUP($B1160,Data!$B$3:$EZ1530,39,FALSE),VLOOKUP($B1160,Data!$B$3:$EZ1530,4,FALSE)),"")</f>
        <v>-6.725832013</v>
      </c>
      <c r="H1160" s="48">
        <f>IFERROR(DIVIDE(VLOOKUP($B1160,Data!$B$3:$EZ1530,44,FALSE),VLOOKUP($B1160,Data!$B$3:$EZ1530,4,FALSE)),"")</f>
        <v>-6.478605388</v>
      </c>
      <c r="I1160" s="48">
        <f>IFERROR(MINUS(DIVIDE(VLOOKUP($B1160,Data!$B$3:$EZ1530,9,FALSE),VLOOKUP($B1160,Data!$B$3:$EZ1530,10,FALSE)),1),"")</f>
        <v>-0.2649727768</v>
      </c>
      <c r="J1160" s="48">
        <f>IFERROR(MINUS(DIVIDE(VLOOKUP($B1160,Data!$B$3:$EZ1530,24,FALSE),VLOOKUP($B1160,Data!$B$3:$EZ1530,25,FALSE)),1),"")</f>
        <v>0.09559391909</v>
      </c>
      <c r="K1160" s="48">
        <f>IFERROR(MINUS(DIVIDE(VLOOKUP($B1160,Data!$B$3:$EZ1530,29,FALSE),VLOOKUP($B1160,Data!$B$3:$EZ1530,30,FALSE)),1),"")</f>
        <v>0.09692426984</v>
      </c>
      <c r="L1160" s="48">
        <f>IFERROR(MINUS(DIVIDE(VLOOKUP($B1160,Data!$B$3:$EZ1530,34,FALSE),VLOOKUP($B1160,Data!$B$3:$EZ1530,35,FALSE)),1),"")</f>
        <v>0.0769624137</v>
      </c>
      <c r="M1160" s="48">
        <f>IFERROR(MINUS(DIVIDE(VLOOKUP($B1160,Data!$B$3:$EZ1530,39,FALSE),VLOOKUP($B1160,Data!$B$3:$EZ1530,40,FALSE)),1),"")</f>
        <v>0.09692426984</v>
      </c>
      <c r="N1160" s="48">
        <f>IFERROR(MINUS(DIVIDE(VLOOKUP($B1160,Data!$B$3:$EZ1530,44,FALSE),VLOOKUP($B1160,Data!$B$3:$EZ1530,45,FALSE)),1),"")</f>
        <v>0.1901018923</v>
      </c>
      <c r="O1160" s="50">
        <f>IFERROR(VLOOKUP($B1160,Data!$B$3:$D1530,2,FALSE),"")</f>
        <v>150090</v>
      </c>
      <c r="P1160" s="50">
        <f>IFERROR(VLOOKUP($B1160,Data!$B$3:$D1530,3,FALSE),"")</f>
        <v>83480</v>
      </c>
      <c r="Q1160" s="48">
        <f t="shared" si="2"/>
        <v>0.7979156684</v>
      </c>
      <c r="R1160" s="48"/>
      <c r="S1160" s="48"/>
      <c r="T1160" s="48"/>
      <c r="U1160" s="48"/>
      <c r="V1160" s="48"/>
      <c r="W1160" s="50"/>
      <c r="Z1160" s="15"/>
      <c r="AA1160" s="15"/>
    </row>
    <row r="1161">
      <c r="A1161" s="9">
        <f t="shared" si="1"/>
        <v>1158</v>
      </c>
      <c r="B1161" s="47" t="s">
        <v>1295</v>
      </c>
      <c r="C1161" s="48">
        <f>IFERROR(DIVIDE(VLOOKUP($B1161,Data!$B$3:$AB$1535,9,FALSE),VLOOKUP($B1161,Data!$B$3:$AB$1535,4,FALSE)),"")</f>
        <v>0.1247245005</v>
      </c>
      <c r="D1161" s="48">
        <f>IFERROR(DIVIDE(VLOOKUP($B1161,Data!$B$3:$AB$1535,24,FALSE),VLOOKUP($B1161,Data!$B$3:$AB$1535,4,FALSE)),"")</f>
        <v>0</v>
      </c>
      <c r="E1161" s="48">
        <f>IFERROR(DIVIDE(VLOOKUP($B1161,Data!$B$3:$EZ1530,29,FALSE),VLOOKUP($B1161,Data!$B$3:$EZ1530,4,FALSE)),"")</f>
        <v>0.008418542472</v>
      </c>
      <c r="F1161" s="48">
        <f>IFERROR(DIVIDE(VLOOKUP($B1161,Data!$B$3:$EZ1530,34,FALSE),VLOOKUP($B1161,Data!$B$3:$EZ1530,4,FALSE)),"")</f>
        <v>0.1907721213</v>
      </c>
      <c r="G1161" s="48">
        <f>IFERROR(DIVIDE(VLOOKUP($B1161,Data!$B$3:$EZ1530,39,FALSE),VLOOKUP($B1161,Data!$B$3:$EZ1530,4,FALSE)),"")</f>
        <v>-0.09549445388</v>
      </c>
      <c r="H1161" s="48">
        <f>IFERROR(DIVIDE(VLOOKUP($B1161,Data!$B$3:$EZ1530,44,FALSE),VLOOKUP($B1161,Data!$B$3:$EZ1530,4,FALSE)),"")</f>
        <v>0.08891859667</v>
      </c>
      <c r="I1161" s="48">
        <f>IFERROR(MINUS(DIVIDE(VLOOKUP($B1161,Data!$B$3:$EZ1530,9,FALSE),VLOOKUP($B1161,Data!$B$3:$EZ1530,10,FALSE)),1),"")</f>
        <v>-0.3226059655</v>
      </c>
      <c r="J1161" s="48" t="str">
        <f>IFERROR(MINUS(DIVIDE(VLOOKUP($B1161,Data!$B$3:$EZ1530,24,FALSE),VLOOKUP($B1161,Data!$B$3:$EZ1530,25,FALSE)),1),"")</f>
        <v/>
      </c>
      <c r="K1161" s="48">
        <f>IFERROR(MINUS(DIVIDE(VLOOKUP($B1161,Data!$B$3:$EZ1530,29,FALSE),VLOOKUP($B1161,Data!$B$3:$EZ1530,30,FALSE)),1),"")</f>
        <v>-0.8665521191</v>
      </c>
      <c r="L1161" s="48">
        <f>IFERROR(MINUS(DIVIDE(VLOOKUP($B1161,Data!$B$3:$EZ1530,34,FALSE),VLOOKUP($B1161,Data!$B$3:$EZ1530,35,FALSE)),1),"")</f>
        <v>0.1219719507</v>
      </c>
      <c r="M1161" s="48">
        <f>IFERROR(MINUS(DIVIDE(VLOOKUP($B1161,Data!$B$3:$EZ1530,39,FALSE),VLOOKUP($B1161,Data!$B$3:$EZ1530,40,FALSE)),1),"")</f>
        <v>-2.883820385</v>
      </c>
      <c r="N1161" s="48">
        <f>IFERROR(MINUS(DIVIDE(VLOOKUP($B1161,Data!$B$3:$EZ1530,44,FALSE),VLOOKUP($B1161,Data!$B$3:$EZ1530,45,FALSE)),1),"")</f>
        <v>-0.2462480858</v>
      </c>
      <c r="O1161" s="50">
        <f>IFERROR(VLOOKUP($B1161,Data!$B$3:$D1530,2,FALSE),"")</f>
        <v>286560</v>
      </c>
      <c r="P1161" s="50">
        <f>IFERROR(VLOOKUP($B1161,Data!$B$3:$D1530,3,FALSE),"")</f>
        <v>181760</v>
      </c>
      <c r="Q1161" s="48">
        <f t="shared" si="2"/>
        <v>0.576584507</v>
      </c>
      <c r="R1161" s="48"/>
      <c r="S1161" s="48"/>
      <c r="T1161" s="48"/>
      <c r="U1161" s="48"/>
      <c r="V1161" s="48"/>
      <c r="W1161" s="50"/>
      <c r="Z1161" s="11"/>
      <c r="AA1161" s="11"/>
    </row>
    <row r="1162">
      <c r="A1162" s="9">
        <f t="shared" si="1"/>
        <v>1159</v>
      </c>
      <c r="B1162" s="47" t="s">
        <v>1296</v>
      </c>
      <c r="C1162" s="48">
        <f>IFERROR(DIVIDE(VLOOKUP($B1162,Data!$B$3:$AB$1535,9,FALSE),VLOOKUP($B1162,Data!$B$3:$AB$1535,4,FALSE)),"")</f>
        <v>0.8984537272</v>
      </c>
      <c r="D1162" s="48">
        <f>IFERROR(DIVIDE(VLOOKUP($B1162,Data!$B$3:$AB$1535,24,FALSE),VLOOKUP($B1162,Data!$B$3:$AB$1535,4,FALSE)),"")</f>
        <v>0</v>
      </c>
      <c r="E1162" s="48">
        <f>IFERROR(DIVIDE(VLOOKUP($B1162,Data!$B$3:$EZ1530,29,FALSE),VLOOKUP($B1162,Data!$B$3:$EZ1530,4,FALSE)),"")</f>
        <v>-0.7673090238</v>
      </c>
      <c r="F1162" s="48">
        <f>IFERROR(DIVIDE(VLOOKUP($B1162,Data!$B$3:$EZ1530,34,FALSE),VLOOKUP($B1162,Data!$B$3:$EZ1530,4,FALSE)),"")</f>
        <v>-0.634202631</v>
      </c>
      <c r="G1162" s="48">
        <f>IFERROR(DIVIDE(VLOOKUP($B1162,Data!$B$3:$EZ1530,39,FALSE),VLOOKUP($B1162,Data!$B$3:$EZ1530,4,FALSE)),"")</f>
        <v>-0.7673090238</v>
      </c>
      <c r="H1162" s="48">
        <f>IFERROR(DIVIDE(VLOOKUP($B1162,Data!$B$3:$EZ1530,44,FALSE),VLOOKUP($B1162,Data!$B$3:$EZ1530,4,FALSE)),"")</f>
        <v>-0.4622663282</v>
      </c>
      <c r="I1162" s="48">
        <f>IFERROR(MINUS(DIVIDE(VLOOKUP($B1162,Data!$B$3:$EZ1530,9,FALSE),VLOOKUP($B1162,Data!$B$3:$EZ1530,10,FALSE)),1),"")</f>
        <v>0.7344620183</v>
      </c>
      <c r="J1162" s="48" t="str">
        <f>IFERROR(MINUS(DIVIDE(VLOOKUP($B1162,Data!$B$3:$EZ1530,24,FALSE),VLOOKUP($B1162,Data!$B$3:$EZ1530,25,FALSE)),1),"")</f>
        <v/>
      </c>
      <c r="K1162" s="48">
        <f>IFERROR(MINUS(DIVIDE(VLOOKUP($B1162,Data!$B$3:$EZ1530,29,FALSE),VLOOKUP($B1162,Data!$B$3:$EZ1530,30,FALSE)),1),"")</f>
        <v>-0.3991596639</v>
      </c>
      <c r="L1162" s="48">
        <f>IFERROR(MINUS(DIVIDE(VLOOKUP($B1162,Data!$B$3:$EZ1530,34,FALSE),VLOOKUP($B1162,Data!$B$3:$EZ1530,35,FALSE)),1),"")</f>
        <v>-0.4536779324</v>
      </c>
      <c r="M1162" s="48">
        <f>IFERROR(MINUS(DIVIDE(VLOOKUP($B1162,Data!$B$3:$EZ1530,39,FALSE),VLOOKUP($B1162,Data!$B$3:$EZ1530,40,FALSE)),1),"")</f>
        <v>-0.3991596639</v>
      </c>
      <c r="N1162" s="48">
        <f>IFERROR(MINUS(DIVIDE(VLOOKUP($B1162,Data!$B$3:$EZ1530,44,FALSE),VLOOKUP($B1162,Data!$B$3:$EZ1530,45,FALSE)),1),"")</f>
        <v>-0.6086553021</v>
      </c>
      <c r="O1162" s="50">
        <f>IFERROR(VLOOKUP($B1162,Data!$B$3:$D1530,2,FALSE),"")</f>
        <v>265430</v>
      </c>
      <c r="P1162" s="50">
        <f>IFERROR(VLOOKUP($B1162,Data!$B$3:$D1530,3,FALSE),"")</f>
        <v>233780</v>
      </c>
      <c r="Q1162" s="48">
        <f t="shared" si="2"/>
        <v>0.1353836941</v>
      </c>
      <c r="R1162" s="48"/>
      <c r="S1162" s="48"/>
      <c r="T1162" s="48"/>
      <c r="U1162" s="48"/>
      <c r="V1162" s="48"/>
      <c r="W1162" s="50"/>
      <c r="Z1162" s="11"/>
      <c r="AA1162" s="11"/>
    </row>
    <row r="1163">
      <c r="A1163" s="9">
        <f t="shared" si="1"/>
        <v>1160</v>
      </c>
      <c r="B1163" s="47" t="s">
        <v>1297</v>
      </c>
      <c r="C1163" s="48">
        <f>IFERROR(DIVIDE(VLOOKUP($B1163,Data!$B$3:$AB$1535,9,FALSE),VLOOKUP($B1163,Data!$B$3:$AB$1535,4,FALSE)),"")</f>
        <v>0.504467354</v>
      </c>
      <c r="D1163" s="48">
        <f>IFERROR(DIVIDE(VLOOKUP($B1163,Data!$B$3:$AB$1535,24,FALSE),VLOOKUP($B1163,Data!$B$3:$AB$1535,4,FALSE)),"")</f>
        <v>0.08780068729</v>
      </c>
      <c r="E1163" s="48">
        <f>IFERROR(DIVIDE(VLOOKUP($B1163,Data!$B$3:$EZ1530,29,FALSE),VLOOKUP($B1163,Data!$B$3:$EZ1530,4,FALSE)),"")</f>
        <v>0.1000572738</v>
      </c>
      <c r="F1163" s="48">
        <f>IFERROR(DIVIDE(VLOOKUP($B1163,Data!$B$3:$EZ1530,34,FALSE),VLOOKUP($B1163,Data!$B$3:$EZ1530,4,FALSE)),"")</f>
        <v>0.2354524628</v>
      </c>
      <c r="G1163" s="48">
        <f>IFERROR(DIVIDE(VLOOKUP($B1163,Data!$B$3:$EZ1530,39,FALSE),VLOOKUP($B1163,Data!$B$3:$EZ1530,4,FALSE)),"")</f>
        <v>0.1116838488</v>
      </c>
      <c r="H1163" s="48">
        <f>IFERROR(DIVIDE(VLOOKUP($B1163,Data!$B$3:$EZ1530,44,FALSE),VLOOKUP($B1163,Data!$B$3:$EZ1530,4,FALSE)),"")</f>
        <v>0.1675257732</v>
      </c>
      <c r="I1163" s="48">
        <f>IFERROR(MINUS(DIVIDE(VLOOKUP($B1163,Data!$B$3:$EZ1530,9,FALSE),VLOOKUP($B1163,Data!$B$3:$EZ1530,10,FALSE)),1),"")</f>
        <v>0.1290860146</v>
      </c>
      <c r="J1163" s="48">
        <f>IFERROR(MINUS(DIVIDE(VLOOKUP($B1163,Data!$B$3:$EZ1530,24,FALSE),VLOOKUP($B1163,Data!$B$3:$EZ1530,25,FALSE)),1),"")</f>
        <v>-0.2249747219</v>
      </c>
      <c r="K1163" s="48">
        <f>IFERROR(MINUS(DIVIDE(VLOOKUP($B1163,Data!$B$3:$EZ1530,29,FALSE),VLOOKUP($B1163,Data!$B$3:$EZ1530,30,FALSE)),1),"")</f>
        <v>-0.2062698773</v>
      </c>
      <c r="L1163" s="48">
        <f>IFERROR(MINUS(DIVIDE(VLOOKUP($B1163,Data!$B$3:$EZ1530,34,FALSE),VLOOKUP($B1163,Data!$B$3:$EZ1530,35,FALSE)),1),"")</f>
        <v>0.293988039</v>
      </c>
      <c r="M1163" s="48">
        <f>IFERROR(MINUS(DIVIDE(VLOOKUP($B1163,Data!$B$3:$EZ1530,39,FALSE),VLOOKUP($B1163,Data!$B$3:$EZ1530,40,FALSE)),1),"")</f>
        <v>0.03723404255</v>
      </c>
      <c r="N1163" s="48">
        <f>IFERROR(MINUS(DIVIDE(VLOOKUP($B1163,Data!$B$3:$EZ1530,44,FALSE),VLOOKUP($B1163,Data!$B$3:$EZ1530,45,FALSE)),1),"")</f>
        <v>0.04913916786</v>
      </c>
      <c r="O1163" s="50">
        <f>IFERROR(VLOOKUP($B1163,Data!$B$3:$D1530,2,FALSE),"")</f>
        <v>2490000</v>
      </c>
      <c r="P1163" s="50">
        <f>IFERROR(VLOOKUP($B1163,Data!$B$3:$D1530,3,FALSE),"")</f>
        <v>2400000</v>
      </c>
      <c r="Q1163" s="48">
        <f t="shared" si="2"/>
        <v>0.0375</v>
      </c>
      <c r="R1163" s="48"/>
      <c r="S1163" s="48"/>
      <c r="T1163" s="48"/>
      <c r="U1163" s="48"/>
      <c r="V1163" s="48"/>
      <c r="W1163" s="50"/>
      <c r="Z1163" s="15"/>
      <c r="AA1163" s="15"/>
    </row>
    <row r="1164">
      <c r="A1164" s="9">
        <f t="shared" si="1"/>
        <v>1161</v>
      </c>
      <c r="B1164" s="47" t="s">
        <v>1298</v>
      </c>
      <c r="C1164" s="48">
        <f>IFERROR(DIVIDE(VLOOKUP($B1164,Data!$B$3:$AB$1535,9,FALSE),VLOOKUP($B1164,Data!$B$3:$AB$1535,4,FALSE)),"")</f>
        <v>-1.352564103</v>
      </c>
      <c r="D1164" s="48">
        <f>IFERROR(DIVIDE(VLOOKUP($B1164,Data!$B$3:$AB$1535,24,FALSE),VLOOKUP($B1164,Data!$B$3:$AB$1535,4,FALSE)),"")</f>
        <v>-2.467948718</v>
      </c>
      <c r="E1164" s="48">
        <f>IFERROR(DIVIDE(VLOOKUP($B1164,Data!$B$3:$EZ1530,29,FALSE),VLOOKUP($B1164,Data!$B$3:$EZ1530,4,FALSE)),"")</f>
        <v>-2.442307692</v>
      </c>
      <c r="F1164" s="48">
        <f>IFERROR(DIVIDE(VLOOKUP($B1164,Data!$B$3:$EZ1530,34,FALSE),VLOOKUP($B1164,Data!$B$3:$EZ1530,4,FALSE)),"")</f>
        <v>-1.891025641</v>
      </c>
      <c r="G1164" s="48">
        <f>IFERROR(DIVIDE(VLOOKUP($B1164,Data!$B$3:$EZ1530,39,FALSE),VLOOKUP($B1164,Data!$B$3:$EZ1530,4,FALSE)),"")</f>
        <v>-2.442307692</v>
      </c>
      <c r="H1164" s="48">
        <f>IFERROR(DIVIDE(VLOOKUP($B1164,Data!$B$3:$EZ1530,44,FALSE),VLOOKUP($B1164,Data!$B$3:$EZ1530,4,FALSE)),"")</f>
        <v>-1.333333333</v>
      </c>
      <c r="I1164" s="48">
        <f>IFERROR(MINUS(DIVIDE(VLOOKUP($B1164,Data!$B$3:$EZ1530,9,FALSE),VLOOKUP($B1164,Data!$B$3:$EZ1530,10,FALSE)),1),"")</f>
        <v>0.3973509934</v>
      </c>
      <c r="J1164" s="48">
        <f>IFERROR(MINUS(DIVIDE(VLOOKUP($B1164,Data!$B$3:$EZ1530,24,FALSE),VLOOKUP($B1164,Data!$B$3:$EZ1530,25,FALSE)),1),"")</f>
        <v>0.4528301887</v>
      </c>
      <c r="K1164" s="48">
        <f>IFERROR(MINUS(DIVIDE(VLOOKUP($B1164,Data!$B$3:$EZ1530,29,FALSE),VLOOKUP($B1164,Data!$B$3:$EZ1530,30,FALSE)),1),"")</f>
        <v>0.4163568773</v>
      </c>
      <c r="L1164" s="48">
        <f>IFERROR(MINUS(DIVIDE(VLOOKUP($B1164,Data!$B$3:$EZ1530,34,FALSE),VLOOKUP($B1164,Data!$B$3:$EZ1530,35,FALSE)),1),"")</f>
        <v>0.3470319635</v>
      </c>
      <c r="M1164" s="48">
        <f>IFERROR(MINUS(DIVIDE(VLOOKUP($B1164,Data!$B$3:$EZ1530,39,FALSE),VLOOKUP($B1164,Data!$B$3:$EZ1530,40,FALSE)),1),"")</f>
        <v>0.4163568773</v>
      </c>
      <c r="N1164" s="48">
        <f>IFERROR(MINUS(DIVIDE(VLOOKUP($B1164,Data!$B$3:$EZ1530,44,FALSE),VLOOKUP($B1164,Data!$B$3:$EZ1530,45,FALSE)),1),"")</f>
        <v>0.004830917874</v>
      </c>
      <c r="O1164" s="50">
        <f>IFERROR(VLOOKUP($B1164,Data!$B$3:$D1530,2,FALSE),"")</f>
        <v>2430</v>
      </c>
      <c r="P1164" s="50">
        <f>IFERROR(VLOOKUP($B1164,Data!$B$3:$D1530,3,FALSE),"")</f>
        <v>1490</v>
      </c>
      <c r="Q1164" s="48">
        <f t="shared" si="2"/>
        <v>0.6308724832</v>
      </c>
      <c r="R1164" s="48"/>
      <c r="S1164" s="48"/>
      <c r="T1164" s="48"/>
      <c r="U1164" s="48"/>
      <c r="V1164" s="48"/>
      <c r="W1164" s="50"/>
      <c r="Z1164" s="11"/>
      <c r="AA1164" s="11"/>
    </row>
    <row r="1165">
      <c r="A1165" s="9">
        <f t="shared" si="1"/>
        <v>1162</v>
      </c>
      <c r="B1165" s="47" t="s">
        <v>1299</v>
      </c>
      <c r="C1165" s="48">
        <f>IFERROR(DIVIDE(VLOOKUP($B1165,Data!$B$3:$AB$1535,9,FALSE),VLOOKUP($B1165,Data!$B$3:$AB$1535,4,FALSE)),"")</f>
        <v>0.8740458015</v>
      </c>
      <c r="D1165" s="48">
        <f>IFERROR(DIVIDE(VLOOKUP($B1165,Data!$B$3:$AB$1535,24,FALSE),VLOOKUP($B1165,Data!$B$3:$AB$1535,4,FALSE)),"")</f>
        <v>0.296437659</v>
      </c>
      <c r="E1165" s="48">
        <f>IFERROR(DIVIDE(VLOOKUP($B1165,Data!$B$3:$EZ1530,29,FALSE),VLOOKUP($B1165,Data!$B$3:$EZ1530,4,FALSE)),"")</f>
        <v>0.3091603053</v>
      </c>
      <c r="F1165" s="48">
        <f>IFERROR(DIVIDE(VLOOKUP($B1165,Data!$B$3:$EZ1530,34,FALSE),VLOOKUP($B1165,Data!$B$3:$EZ1530,4,FALSE)),"")</f>
        <v>0.3078880407</v>
      </c>
      <c r="G1165" s="48">
        <f>IFERROR(DIVIDE(VLOOKUP($B1165,Data!$B$3:$EZ1530,39,FALSE),VLOOKUP($B1165,Data!$B$3:$EZ1530,4,FALSE)),"")</f>
        <v>0.2697201018</v>
      </c>
      <c r="H1165" s="48">
        <f>IFERROR(DIVIDE(VLOOKUP($B1165,Data!$B$3:$EZ1530,44,FALSE),VLOOKUP($B1165,Data!$B$3:$EZ1530,4,FALSE)),"")</f>
        <v>0.3091603053</v>
      </c>
      <c r="I1165" s="48">
        <f>IFERROR(MINUS(DIVIDE(VLOOKUP($B1165,Data!$B$3:$EZ1530,9,FALSE),VLOOKUP($B1165,Data!$B$3:$EZ1530,10,FALSE)),1),"")</f>
        <v>0.1207177814</v>
      </c>
      <c r="J1165" s="48">
        <f>IFERROR(MINUS(DIVIDE(VLOOKUP($B1165,Data!$B$3:$EZ1530,24,FALSE),VLOOKUP($B1165,Data!$B$3:$EZ1530,25,FALSE)),1),"")</f>
        <v>-0.06425702811</v>
      </c>
      <c r="K1165" s="48">
        <f>IFERROR(MINUS(DIVIDE(VLOOKUP($B1165,Data!$B$3:$EZ1530,29,FALSE),VLOOKUP($B1165,Data!$B$3:$EZ1530,30,FALSE)),1),"")</f>
        <v>-0.04705882353</v>
      </c>
      <c r="L1165" s="48">
        <f>IFERROR(MINUS(DIVIDE(VLOOKUP($B1165,Data!$B$3:$EZ1530,34,FALSE),VLOOKUP($B1165,Data!$B$3:$EZ1530,35,FALSE)),1),"")</f>
        <v>-0.09701492537</v>
      </c>
      <c r="M1165" s="48">
        <f>IFERROR(MINUS(DIVIDE(VLOOKUP($B1165,Data!$B$3:$EZ1530,39,FALSE),VLOOKUP($B1165,Data!$B$3:$EZ1530,40,FALSE)),1),"")</f>
        <v>-0.131147541</v>
      </c>
      <c r="N1165" s="48">
        <f>IFERROR(MINUS(DIVIDE(VLOOKUP($B1165,Data!$B$3:$EZ1530,44,FALSE),VLOOKUP($B1165,Data!$B$3:$EZ1530,45,FALSE)),1),"")</f>
        <v>0.1045454545</v>
      </c>
      <c r="O1165" s="50">
        <f>IFERROR(VLOOKUP($B1165,Data!$B$3:$D1530,2,FALSE),"")</f>
        <v>9320000</v>
      </c>
      <c r="P1165" s="50">
        <f>IFERROR(VLOOKUP($B1165,Data!$B$3:$D1530,3,FALSE),"")</f>
        <v>8170000</v>
      </c>
      <c r="Q1165" s="48">
        <f t="shared" si="2"/>
        <v>0.1407588739</v>
      </c>
      <c r="R1165" s="48"/>
      <c r="S1165" s="48"/>
      <c r="T1165" s="48"/>
      <c r="U1165" s="48"/>
      <c r="V1165" s="48"/>
      <c r="W1165" s="50"/>
      <c r="Z1165" s="11"/>
      <c r="AA1165" s="11"/>
    </row>
    <row r="1166">
      <c r="A1166" s="9">
        <f t="shared" si="1"/>
        <v>1163</v>
      </c>
      <c r="B1166" s="47" t="s">
        <v>1300</v>
      </c>
      <c r="C1166" s="48">
        <f>IFERROR(DIVIDE(VLOOKUP($B1166,Data!$B$3:$AB$1535,9,FALSE),VLOOKUP($B1166,Data!$B$3:$AB$1535,4,FALSE)),"")</f>
        <v>0.4601894779</v>
      </c>
      <c r="D1166" s="48">
        <f>IFERROR(DIVIDE(VLOOKUP($B1166,Data!$B$3:$AB$1535,24,FALSE),VLOOKUP($B1166,Data!$B$3:$AB$1535,4,FALSE)),"")</f>
        <v>0.2381576295</v>
      </c>
      <c r="E1166" s="48">
        <f>IFERROR(DIVIDE(VLOOKUP($B1166,Data!$B$3:$EZ1530,29,FALSE),VLOOKUP($B1166,Data!$B$3:$EZ1530,4,FALSE)),"")</f>
        <v>0.04666397904</v>
      </c>
      <c r="F1166" s="48">
        <f>IFERROR(DIVIDE(VLOOKUP($B1166,Data!$B$3:$EZ1530,34,FALSE),VLOOKUP($B1166,Data!$B$3:$EZ1530,4,FALSE)),"")</f>
        <v>0.3462003628</v>
      </c>
      <c r="G1166" s="48">
        <f>IFERROR(DIVIDE(VLOOKUP($B1166,Data!$B$3:$EZ1530,39,FALSE),VLOOKUP($B1166,Data!$B$3:$EZ1530,4,FALSE)),"")</f>
        <v>0.04666397904</v>
      </c>
      <c r="H1166" s="48">
        <f>IFERROR(DIVIDE(VLOOKUP($B1166,Data!$B$3:$EZ1530,44,FALSE),VLOOKUP($B1166,Data!$B$3:$EZ1530,4,FALSE)),"")</f>
        <v>0</v>
      </c>
      <c r="I1166" s="48">
        <f>IFERROR(MINUS(DIVIDE(VLOOKUP($B1166,Data!$B$3:$EZ1530,9,FALSE),VLOOKUP($B1166,Data!$B$3:$EZ1530,10,FALSE)),1),"")</f>
        <v>0.4449367089</v>
      </c>
      <c r="J1166" s="48">
        <f>IFERROR(MINUS(DIVIDE(VLOOKUP($B1166,Data!$B$3:$EZ1530,24,FALSE),VLOOKUP($B1166,Data!$B$3:$EZ1530,25,FALSE)),1),"")</f>
        <v>-84.20422535</v>
      </c>
      <c r="K1166" s="48">
        <f>IFERROR(MINUS(DIVIDE(VLOOKUP($B1166,Data!$B$3:$EZ1530,29,FALSE),VLOOKUP($B1166,Data!$B$3:$EZ1530,30,FALSE)),1),"")</f>
        <v>0.05949656751</v>
      </c>
      <c r="L1166" s="48">
        <f>IFERROR(MINUS(DIVIDE(VLOOKUP($B1166,Data!$B$3:$EZ1530,34,FALSE),VLOOKUP($B1166,Data!$B$3:$EZ1530,35,FALSE)),1),"")</f>
        <v>0.6988130564</v>
      </c>
      <c r="M1166" s="48" t="str">
        <f>IFERROR(MINUS(DIVIDE(VLOOKUP($B1166,Data!$B$3:$EZ1530,39,FALSE),VLOOKUP($B1166,Data!$B$3:$EZ1530,40,FALSE)),1),"")</f>
        <v/>
      </c>
      <c r="N1166" s="48" t="str">
        <f>IFERROR(MINUS(DIVIDE(VLOOKUP($B1166,Data!$B$3:$EZ1530,44,FALSE),VLOOKUP($B1166,Data!$B$3:$EZ1530,45,FALSE)),1),"")</f>
        <v/>
      </c>
      <c r="O1166" s="50">
        <f>IFERROR(VLOOKUP($B1166,Data!$B$3:$D1530,2,FALSE),"")</f>
        <v>89800</v>
      </c>
      <c r="P1166" s="50">
        <f>IFERROR(VLOOKUP($B1166,Data!$B$3:$D1530,3,FALSE),"")</f>
        <v>81110</v>
      </c>
      <c r="Q1166" s="48">
        <f t="shared" si="2"/>
        <v>0.107138454</v>
      </c>
      <c r="R1166" s="48"/>
      <c r="S1166" s="48"/>
      <c r="T1166" s="48"/>
      <c r="U1166" s="48"/>
      <c r="V1166" s="48"/>
      <c r="W1166" s="50"/>
      <c r="Z1166" s="11"/>
      <c r="AA1166" s="11"/>
    </row>
    <row r="1167">
      <c r="A1167" s="9">
        <f t="shared" si="1"/>
        <v>1164</v>
      </c>
      <c r="B1167" s="47" t="s">
        <v>1301</v>
      </c>
      <c r="C1167" s="48" t="str">
        <f>IFERROR(DIVIDE(VLOOKUP($B1167,Data!$B$3:$AB$1535,9,FALSE),VLOOKUP($B1167,Data!$B$3:$AB$1535,4,FALSE)),"")</f>
        <v/>
      </c>
      <c r="D1167" s="48" t="str">
        <f>IFERROR(DIVIDE(VLOOKUP($B1167,Data!$B$3:$AB$1535,24,FALSE),VLOOKUP($B1167,Data!$B$3:$AB$1535,4,FALSE)),"")</f>
        <v/>
      </c>
      <c r="E1167" s="48" t="str">
        <f>IFERROR(DIVIDE(VLOOKUP($B1167,Data!$B$3:$EZ1530,29,FALSE),VLOOKUP($B1167,Data!$B$3:$EZ1530,4,FALSE)),"")</f>
        <v/>
      </c>
      <c r="F1167" s="48" t="str">
        <f>IFERROR(DIVIDE(VLOOKUP($B1167,Data!$B$3:$EZ1530,34,FALSE),VLOOKUP($B1167,Data!$B$3:$EZ1530,4,FALSE)),"")</f>
        <v/>
      </c>
      <c r="G1167" s="48" t="str">
        <f>IFERROR(DIVIDE(VLOOKUP($B1167,Data!$B$3:$EZ1530,39,FALSE),VLOOKUP($B1167,Data!$B$3:$EZ1530,4,FALSE)),"")</f>
        <v/>
      </c>
      <c r="H1167" s="48" t="str">
        <f>IFERROR(DIVIDE(VLOOKUP($B1167,Data!$B$3:$EZ1530,44,FALSE),VLOOKUP($B1167,Data!$B$3:$EZ1530,4,FALSE)),"")</f>
        <v/>
      </c>
      <c r="I1167" s="48">
        <f>IFERROR(MINUS(DIVIDE(VLOOKUP($B1167,Data!$B$3:$EZ1530,9,FALSE),VLOOKUP($B1167,Data!$B$3:$EZ1530,10,FALSE)),1),"")</f>
        <v>11.22972973</v>
      </c>
      <c r="J1167" s="48">
        <f>IFERROR(MINUS(DIVIDE(VLOOKUP($B1167,Data!$B$3:$EZ1530,24,FALSE),VLOOKUP($B1167,Data!$B$3:$EZ1530,25,FALSE)),1),"")</f>
        <v>-1</v>
      </c>
      <c r="K1167" s="48">
        <f>IFERROR(MINUS(DIVIDE(VLOOKUP($B1167,Data!$B$3:$EZ1530,29,FALSE),VLOOKUP($B1167,Data!$B$3:$EZ1530,30,FALSE)),1),"")</f>
        <v>0.8070061628</v>
      </c>
      <c r="L1167" s="48">
        <f>IFERROR(MINUS(DIVIDE(VLOOKUP($B1167,Data!$B$3:$EZ1530,34,FALSE),VLOOKUP($B1167,Data!$B$3:$EZ1530,35,FALSE)),1),"")</f>
        <v>0.8662337662</v>
      </c>
      <c r="M1167" s="48">
        <f>IFERROR(MINUS(DIVIDE(VLOOKUP($B1167,Data!$B$3:$EZ1530,39,FALSE),VLOOKUP($B1167,Data!$B$3:$EZ1530,40,FALSE)),1),"")</f>
        <v>0.7071034706</v>
      </c>
      <c r="N1167" s="48">
        <f>IFERROR(MINUS(DIVIDE(VLOOKUP($B1167,Data!$B$3:$EZ1530,44,FALSE),VLOOKUP($B1167,Data!$B$3:$EZ1530,45,FALSE)),1),"")</f>
        <v>1.368006304</v>
      </c>
      <c r="O1167" s="50">
        <f>IFERROR(VLOOKUP($B1167,Data!$B$3:$D1530,2,FALSE),"")</f>
        <v>5050</v>
      </c>
      <c r="P1167" s="50" t="str">
        <f>IFERROR(VLOOKUP($B1167,Data!$B$3:$D1530,3,FALSE),"")</f>
        <v/>
      </c>
      <c r="Q1167" s="48" t="str">
        <f t="shared" si="2"/>
        <v/>
      </c>
      <c r="R1167" s="48"/>
      <c r="S1167" s="48"/>
      <c r="T1167" s="48"/>
      <c r="U1167" s="48"/>
      <c r="V1167" s="48"/>
      <c r="W1167" s="50"/>
      <c r="Z1167" s="11"/>
      <c r="AA1167" s="11"/>
    </row>
    <row r="1168">
      <c r="A1168" s="9">
        <f t="shared" si="1"/>
        <v>1165</v>
      </c>
      <c r="B1168" s="47" t="s">
        <v>1302</v>
      </c>
      <c r="C1168" s="48">
        <f>IFERROR(DIVIDE(VLOOKUP($B1168,Data!$B$3:$AB$1535,9,FALSE),VLOOKUP($B1168,Data!$B$3:$AB$1535,4,FALSE)),"")</f>
        <v>0</v>
      </c>
      <c r="D1168" s="48">
        <f>IFERROR(DIVIDE(VLOOKUP($B1168,Data!$B$3:$AB$1535,24,FALSE),VLOOKUP($B1168,Data!$B$3:$AB$1535,4,FALSE)),"")</f>
        <v>0</v>
      </c>
      <c r="E1168" s="48">
        <f>IFERROR(DIVIDE(VLOOKUP($B1168,Data!$B$3:$EZ1530,29,FALSE),VLOOKUP($B1168,Data!$B$3:$EZ1530,4,FALSE)),"")</f>
        <v>-10.94117647</v>
      </c>
      <c r="F1168" s="48">
        <f>IFERROR(DIVIDE(VLOOKUP($B1168,Data!$B$3:$EZ1530,34,FALSE),VLOOKUP($B1168,Data!$B$3:$EZ1530,4,FALSE)),"")</f>
        <v>-10.71983409</v>
      </c>
      <c r="G1168" s="48">
        <f>IFERROR(DIVIDE(VLOOKUP($B1168,Data!$B$3:$EZ1530,39,FALSE),VLOOKUP($B1168,Data!$B$3:$EZ1530,4,FALSE)),"")</f>
        <v>-10.94155354</v>
      </c>
      <c r="H1168" s="48">
        <f>IFERROR(DIVIDE(VLOOKUP($B1168,Data!$B$3:$EZ1530,44,FALSE),VLOOKUP($B1168,Data!$B$3:$EZ1530,4,FALSE)),"")</f>
        <v>-9.470211161</v>
      </c>
      <c r="I1168" s="48" t="str">
        <f>IFERROR(MINUS(DIVIDE(VLOOKUP($B1168,Data!$B$3:$EZ1530,9,FALSE),VLOOKUP($B1168,Data!$B$3:$EZ1530,10,FALSE)),1),"")</f>
        <v/>
      </c>
      <c r="J1168" s="48">
        <f>IFERROR(MINUS(DIVIDE(VLOOKUP($B1168,Data!$B$3:$EZ1530,24,FALSE),VLOOKUP($B1168,Data!$B$3:$EZ1530,25,FALSE)),1),"")</f>
        <v>-1</v>
      </c>
      <c r="K1168" s="48">
        <f>IFERROR(MINUS(DIVIDE(VLOOKUP($B1168,Data!$B$3:$EZ1530,29,FALSE),VLOOKUP($B1168,Data!$B$3:$EZ1530,30,FALSE)),1),"")</f>
        <v>2.603576751</v>
      </c>
      <c r="L1168" s="48">
        <f>IFERROR(MINUS(DIVIDE(VLOOKUP($B1168,Data!$B$3:$EZ1530,34,FALSE),VLOOKUP($B1168,Data!$B$3:$EZ1530,35,FALSE)),1),"")</f>
        <v>2.718639634</v>
      </c>
      <c r="M1168" s="48">
        <f>IFERROR(MINUS(DIVIDE(VLOOKUP($B1168,Data!$B$3:$EZ1530,39,FALSE),VLOOKUP($B1168,Data!$B$3:$EZ1530,40,FALSE)),1),"")</f>
        <v>2.602358783</v>
      </c>
      <c r="N1168" s="48">
        <f>IFERROR(MINUS(DIVIDE(VLOOKUP($B1168,Data!$B$3:$EZ1530,44,FALSE),VLOOKUP($B1168,Data!$B$3:$EZ1530,45,FALSE)),1),"")</f>
        <v>1.997732156</v>
      </c>
      <c r="O1168" s="50">
        <f>IFERROR(VLOOKUP($B1168,Data!$B$3:$D1530,2,FALSE),"")</f>
        <v>14450</v>
      </c>
      <c r="P1168" s="50">
        <f>IFERROR(VLOOKUP($B1168,Data!$B$3:$D1530,3,FALSE),"")</f>
        <v>6960</v>
      </c>
      <c r="Q1168" s="48">
        <f t="shared" si="2"/>
        <v>1.076149425</v>
      </c>
      <c r="R1168" s="48"/>
      <c r="S1168" s="48"/>
      <c r="T1168" s="48"/>
      <c r="U1168" s="48"/>
      <c r="V1168" s="48"/>
      <c r="W1168" s="50"/>
      <c r="Z1168" s="11"/>
      <c r="AA1168" s="11"/>
    </row>
    <row r="1169">
      <c r="A1169" s="9">
        <f t="shared" si="1"/>
        <v>1166</v>
      </c>
      <c r="B1169" s="47" t="s">
        <v>1303</v>
      </c>
      <c r="C1169" s="48">
        <f>IFERROR(DIVIDE(VLOOKUP($B1169,Data!$B$3:$AB$1535,9,FALSE),VLOOKUP($B1169,Data!$B$3:$AB$1535,4,FALSE)),"")</f>
        <v>0.5661157025</v>
      </c>
      <c r="D1169" s="48">
        <f>IFERROR(DIVIDE(VLOOKUP($B1169,Data!$B$3:$AB$1535,24,FALSE),VLOOKUP($B1169,Data!$B$3:$AB$1535,4,FALSE)),"")</f>
        <v>0.01409090909</v>
      </c>
      <c r="E1169" s="48">
        <f>IFERROR(DIVIDE(VLOOKUP($B1169,Data!$B$3:$EZ1530,29,FALSE),VLOOKUP($B1169,Data!$B$3:$EZ1530,4,FALSE)),"")</f>
        <v>-0.06818181818</v>
      </c>
      <c r="F1169" s="48">
        <f>IFERROR(DIVIDE(VLOOKUP($B1169,Data!$B$3:$EZ1530,34,FALSE),VLOOKUP($B1169,Data!$B$3:$EZ1530,4,FALSE)),"")</f>
        <v>0.09611570248</v>
      </c>
      <c r="G1169" s="48">
        <f>IFERROR(DIVIDE(VLOOKUP($B1169,Data!$B$3:$EZ1530,39,FALSE),VLOOKUP($B1169,Data!$B$3:$EZ1530,4,FALSE)),"")</f>
        <v>-0.06826446281</v>
      </c>
      <c r="H1169" s="48">
        <f>IFERROR(DIVIDE(VLOOKUP($B1169,Data!$B$3:$EZ1530,44,FALSE),VLOOKUP($B1169,Data!$B$3:$EZ1530,4,FALSE)),"")</f>
        <v>-0.0282231405</v>
      </c>
      <c r="I1169" s="48">
        <f>IFERROR(MINUS(DIVIDE(VLOOKUP($B1169,Data!$B$3:$EZ1530,9,FALSE),VLOOKUP($B1169,Data!$B$3:$EZ1530,10,FALSE)),1),"")</f>
        <v>-0.05517241379</v>
      </c>
      <c r="J1169" s="48">
        <f>IFERROR(MINUS(DIVIDE(VLOOKUP($B1169,Data!$B$3:$EZ1530,24,FALSE),VLOOKUP($B1169,Data!$B$3:$EZ1530,25,FALSE)),1),"")</f>
        <v>-1.517450683</v>
      </c>
      <c r="K1169" s="48">
        <f>IFERROR(MINUS(DIVIDE(VLOOKUP($B1169,Data!$B$3:$EZ1530,29,FALSE),VLOOKUP($B1169,Data!$B$3:$EZ1530,30,FALSE)),1),"")</f>
        <v>-0.4347379239</v>
      </c>
      <c r="L1169" s="48">
        <f>IFERROR(MINUS(DIVIDE(VLOOKUP($B1169,Data!$B$3:$EZ1530,34,FALSE),VLOOKUP($B1169,Data!$B$3:$EZ1530,35,FALSE)),1),"")</f>
        <v>0.4122647237</v>
      </c>
      <c r="M1169" s="48">
        <f>IFERROR(MINUS(DIVIDE(VLOOKUP($B1169,Data!$B$3:$EZ1530,39,FALSE),VLOOKUP($B1169,Data!$B$3:$EZ1530,40,FALSE)),1),"")</f>
        <v>-0.4382862972</v>
      </c>
      <c r="N1169" s="48">
        <f>IFERROR(MINUS(DIVIDE(VLOOKUP($B1169,Data!$B$3:$EZ1530,44,FALSE),VLOOKUP($B1169,Data!$B$3:$EZ1530,45,FALSE)),1),"")</f>
        <v>-0.600117096</v>
      </c>
      <c r="O1169" s="50">
        <f>IFERROR(VLOOKUP($B1169,Data!$B$3:$D1530,2,FALSE),"")</f>
        <v>2200000</v>
      </c>
      <c r="P1169" s="50">
        <f>IFERROR(VLOOKUP($B1169,Data!$B$3:$D1530,3,FALSE),"")</f>
        <v>2070000</v>
      </c>
      <c r="Q1169" s="48">
        <f t="shared" si="2"/>
        <v>0.06280193237</v>
      </c>
      <c r="R1169" s="48"/>
      <c r="S1169" s="48"/>
      <c r="T1169" s="48"/>
      <c r="U1169" s="48"/>
      <c r="V1169" s="48"/>
      <c r="W1169" s="50"/>
      <c r="Z1169" s="11"/>
      <c r="AA1169" s="12"/>
    </row>
    <row r="1170">
      <c r="A1170" s="9">
        <f t="shared" si="1"/>
        <v>1167</v>
      </c>
      <c r="B1170" s="47" t="s">
        <v>1304</v>
      </c>
      <c r="C1170" s="48">
        <f>IFERROR(DIVIDE(VLOOKUP($B1170,Data!$B$3:$AB$1535,9,FALSE),VLOOKUP($B1170,Data!$B$3:$AB$1535,4,FALSE)),"")</f>
        <v>0.09775</v>
      </c>
      <c r="D1170" s="48">
        <f>IFERROR(DIVIDE(VLOOKUP($B1170,Data!$B$3:$AB$1535,24,FALSE),VLOOKUP($B1170,Data!$B$3:$AB$1535,4,FALSE)),"")</f>
        <v>0.006625</v>
      </c>
      <c r="E1170" s="48">
        <f>IFERROR(DIVIDE(VLOOKUP($B1170,Data!$B$3:$EZ1530,29,FALSE),VLOOKUP($B1170,Data!$B$3:$EZ1530,4,FALSE)),"")</f>
        <v>-0.006916666667</v>
      </c>
      <c r="F1170" s="48">
        <f>IFERROR(DIVIDE(VLOOKUP($B1170,Data!$B$3:$EZ1530,34,FALSE),VLOOKUP($B1170,Data!$B$3:$EZ1530,4,FALSE)),"")</f>
        <v>0.03166666667</v>
      </c>
      <c r="G1170" s="48">
        <f>IFERROR(DIVIDE(VLOOKUP($B1170,Data!$B$3:$EZ1530,39,FALSE),VLOOKUP($B1170,Data!$B$3:$EZ1530,4,FALSE)),"")</f>
        <v>-0.005125</v>
      </c>
      <c r="H1170" s="48">
        <f>IFERROR(DIVIDE(VLOOKUP($B1170,Data!$B$3:$EZ1530,44,FALSE),VLOOKUP($B1170,Data!$B$3:$EZ1530,4,FALSE)),"")</f>
        <v>0.021875</v>
      </c>
      <c r="I1170" s="48">
        <f>IFERROR(MINUS(DIVIDE(VLOOKUP($B1170,Data!$B$3:$EZ1530,9,FALSE),VLOOKUP($B1170,Data!$B$3:$EZ1530,10,FALSE)),1),"")</f>
        <v>-0.09734513274</v>
      </c>
      <c r="J1170" s="48">
        <f>IFERROR(MINUS(DIVIDE(VLOOKUP($B1170,Data!$B$3:$EZ1530,24,FALSE),VLOOKUP($B1170,Data!$B$3:$EZ1530,25,FALSE)),1),"")</f>
        <v>-0.428057554</v>
      </c>
      <c r="K1170" s="48">
        <f>IFERROR(MINUS(DIVIDE(VLOOKUP($B1170,Data!$B$3:$EZ1530,29,FALSE),VLOOKUP($B1170,Data!$B$3:$EZ1530,30,FALSE)),1),"")</f>
        <v>-8.545454545</v>
      </c>
      <c r="L1170" s="48">
        <f>IFERROR(MINUS(DIVIDE(VLOOKUP($B1170,Data!$B$3:$EZ1530,34,FALSE),VLOOKUP($B1170,Data!$B$3:$EZ1530,35,FALSE)),1),"")</f>
        <v>-0.3481989708</v>
      </c>
      <c r="M1170" s="48">
        <f>IFERROR(MINUS(DIVIDE(VLOOKUP($B1170,Data!$B$3:$EZ1530,39,FALSE),VLOOKUP($B1170,Data!$B$3:$EZ1530,40,FALSE)),1),"")</f>
        <v>-1.946153846</v>
      </c>
      <c r="N1170" s="48">
        <f>IFERROR(MINUS(DIVIDE(VLOOKUP($B1170,Data!$B$3:$EZ1530,44,FALSE),VLOOKUP($B1170,Data!$B$3:$EZ1530,45,FALSE)),1),"")</f>
        <v>-3.734375</v>
      </c>
      <c r="O1170" s="50">
        <f>IFERROR(VLOOKUP($B1170,Data!$B$3:$D1530,2,FALSE),"")</f>
        <v>2420000</v>
      </c>
      <c r="P1170" s="50">
        <f>IFERROR(VLOOKUP($B1170,Data!$B$3:$D1530,3,FALSE),"")</f>
        <v>2270000</v>
      </c>
      <c r="Q1170" s="48">
        <f t="shared" si="2"/>
        <v>0.06607929515</v>
      </c>
      <c r="R1170" s="48"/>
      <c r="S1170" s="48"/>
      <c r="T1170" s="48"/>
      <c r="U1170" s="48"/>
      <c r="V1170" s="48"/>
      <c r="W1170" s="50"/>
      <c r="Z1170" s="11"/>
      <c r="AA1170" s="11"/>
    </row>
    <row r="1171">
      <c r="A1171" s="9">
        <f t="shared" si="1"/>
        <v>1168</v>
      </c>
      <c r="B1171" s="47" t="s">
        <v>1305</v>
      </c>
      <c r="C1171" s="48">
        <f>IFERROR(DIVIDE(VLOOKUP($B1171,Data!$B$3:$AB$1535,9,FALSE),VLOOKUP($B1171,Data!$B$3:$AB$1535,4,FALSE)),"")</f>
        <v>0.5114893617</v>
      </c>
      <c r="D1171" s="48">
        <f>IFERROR(DIVIDE(VLOOKUP($B1171,Data!$B$3:$AB$1535,24,FALSE),VLOOKUP($B1171,Data!$B$3:$AB$1535,4,FALSE)),"")</f>
        <v>0.112599445</v>
      </c>
      <c r="E1171" s="48">
        <f>IFERROR(DIVIDE(VLOOKUP($B1171,Data!$B$3:$EZ1530,29,FALSE),VLOOKUP($B1171,Data!$B$3:$EZ1530,4,FALSE)),"")</f>
        <v>0.09676225717</v>
      </c>
      <c r="F1171" s="48">
        <f>IFERROR(DIVIDE(VLOOKUP($B1171,Data!$B$3:$EZ1530,34,FALSE),VLOOKUP($B1171,Data!$B$3:$EZ1530,4,FALSE)),"")</f>
        <v>0.2255319149</v>
      </c>
      <c r="G1171" s="48">
        <f>IFERROR(DIVIDE(VLOOKUP($B1171,Data!$B$3:$EZ1530,39,FALSE),VLOOKUP($B1171,Data!$B$3:$EZ1530,4,FALSE)),"")</f>
        <v>0.07922294172</v>
      </c>
      <c r="H1171" s="48">
        <f>IFERROR(DIVIDE(VLOOKUP($B1171,Data!$B$3:$EZ1530,44,FALSE),VLOOKUP($B1171,Data!$B$3:$EZ1530,4,FALSE)),"")</f>
        <v>0.2285661425</v>
      </c>
      <c r="I1171" s="48">
        <f>IFERROR(MINUS(DIVIDE(VLOOKUP($B1171,Data!$B$3:$EZ1530,9,FALSE),VLOOKUP($B1171,Data!$B$3:$EZ1530,10,FALSE)),1),"")</f>
        <v>0.4262278168</v>
      </c>
      <c r="J1171" s="48">
        <f>IFERROR(MINUS(DIVIDE(VLOOKUP($B1171,Data!$B$3:$EZ1530,24,FALSE),VLOOKUP($B1171,Data!$B$3:$EZ1530,25,FALSE)),1),"")</f>
        <v>0.1708349365</v>
      </c>
      <c r="K1171" s="48">
        <f>IFERROR(MINUS(DIVIDE(VLOOKUP($B1171,Data!$B$3:$EZ1530,29,FALSE),VLOOKUP($B1171,Data!$B$3:$EZ1530,30,FALSE)),1),"")</f>
        <v>0.2196828358</v>
      </c>
      <c r="L1171" s="48">
        <f>IFERROR(MINUS(DIVIDE(VLOOKUP($B1171,Data!$B$3:$EZ1530,34,FALSE),VLOOKUP($B1171,Data!$B$3:$EZ1530,35,FALSE)),1),"")</f>
        <v>0.3644504141</v>
      </c>
      <c r="M1171" s="48">
        <f>IFERROR(MINUS(DIVIDE(VLOOKUP($B1171,Data!$B$3:$EZ1530,39,FALSE),VLOOKUP($B1171,Data!$B$3:$EZ1530,40,FALSE)),1),"")</f>
        <v>0.2882069795</v>
      </c>
      <c r="N1171" s="48">
        <f>IFERROR(MINUS(DIVIDE(VLOOKUP($B1171,Data!$B$3:$EZ1530,44,FALSE),VLOOKUP($B1171,Data!$B$3:$EZ1530,45,FALSE)),1),"")</f>
        <v>0.8849557522</v>
      </c>
      <c r="O1171" s="50">
        <f>IFERROR(VLOOKUP($B1171,Data!$B$3:$D1530,2,FALSE),"")</f>
        <v>393810</v>
      </c>
      <c r="P1171" s="50">
        <f>IFERROR(VLOOKUP($B1171,Data!$B$3:$D1530,3,FALSE),"")</f>
        <v>337350</v>
      </c>
      <c r="Q1171" s="48">
        <f t="shared" si="2"/>
        <v>0.1673632726</v>
      </c>
      <c r="R1171" s="48"/>
      <c r="S1171" s="48"/>
      <c r="T1171" s="48"/>
      <c r="U1171" s="48"/>
      <c r="V1171" s="48"/>
      <c r="W1171" s="50"/>
      <c r="Z1171" s="15"/>
      <c r="AA1171" s="15"/>
    </row>
    <row r="1172">
      <c r="A1172" s="9">
        <f t="shared" si="1"/>
        <v>1169</v>
      </c>
      <c r="B1172" s="47" t="s">
        <v>1306</v>
      </c>
      <c r="C1172" s="48">
        <f>IFERROR(DIVIDE(VLOOKUP($B1172,Data!$B$3:$AB$1535,9,FALSE),VLOOKUP($B1172,Data!$B$3:$AB$1535,4,FALSE)),"")</f>
        <v>0.4046707323</v>
      </c>
      <c r="D1172" s="48">
        <f>IFERROR(DIVIDE(VLOOKUP($B1172,Data!$B$3:$AB$1535,24,FALSE),VLOOKUP($B1172,Data!$B$3:$AB$1535,4,FALSE)),"")</f>
        <v>0.3165272065</v>
      </c>
      <c r="E1172" s="48">
        <f>IFERROR(DIVIDE(VLOOKUP($B1172,Data!$B$3:$EZ1530,29,FALSE),VLOOKUP($B1172,Data!$B$3:$EZ1530,4,FALSE)),"")</f>
        <v>0.2519264407</v>
      </c>
      <c r="F1172" s="48">
        <f>IFERROR(DIVIDE(VLOOKUP($B1172,Data!$B$3:$EZ1530,34,FALSE),VLOOKUP($B1172,Data!$B$3:$EZ1530,4,FALSE)),"")</f>
        <v>0.7180069021</v>
      </c>
      <c r="G1172" s="48">
        <f>IFERROR(DIVIDE(VLOOKUP($B1172,Data!$B$3:$EZ1530,39,FALSE),VLOOKUP($B1172,Data!$B$3:$EZ1530,4,FALSE)),"")</f>
        <v>0.2217888716</v>
      </c>
      <c r="H1172" s="48">
        <f>IFERROR(DIVIDE(VLOOKUP($B1172,Data!$B$3:$EZ1530,44,FALSE),VLOOKUP($B1172,Data!$B$3:$EZ1530,4,FALSE)),"")</f>
        <v>0.5984257552</v>
      </c>
      <c r="I1172" s="48">
        <f>IFERROR(MINUS(DIVIDE(VLOOKUP($B1172,Data!$B$3:$EZ1530,9,FALSE),VLOOKUP($B1172,Data!$B$3:$EZ1530,10,FALSE)),1),"")</f>
        <v>-0.1452394029</v>
      </c>
      <c r="J1172" s="48">
        <f>IFERROR(MINUS(DIVIDE(VLOOKUP($B1172,Data!$B$3:$EZ1530,24,FALSE),VLOOKUP($B1172,Data!$B$3:$EZ1530,25,FALSE)),1),"")</f>
        <v>-2.796485109</v>
      </c>
      <c r="K1172" s="48">
        <f>IFERROR(MINUS(DIVIDE(VLOOKUP($B1172,Data!$B$3:$EZ1530,29,FALSE),VLOOKUP($B1172,Data!$B$3:$EZ1530,30,FALSE)),1),"")</f>
        <v>-2.019124116</v>
      </c>
      <c r="L1172" s="48">
        <f>IFERROR(MINUS(DIVIDE(VLOOKUP($B1172,Data!$B$3:$EZ1530,34,FALSE),VLOOKUP($B1172,Data!$B$3:$EZ1530,35,FALSE)),1),"")</f>
        <v>-0.07539646303</v>
      </c>
      <c r="M1172" s="48">
        <f>IFERROR(MINUS(DIVIDE(VLOOKUP($B1172,Data!$B$3:$EZ1530,39,FALSE),VLOOKUP($B1172,Data!$B$3:$EZ1530,40,FALSE)),1),"")</f>
        <v>-1.829399806</v>
      </c>
      <c r="N1172" s="48">
        <f>IFERROR(MINUS(DIVIDE(VLOOKUP($B1172,Data!$B$3:$EZ1530,44,FALSE),VLOOKUP($B1172,Data!$B$3:$EZ1530,45,FALSE)),1),"")</f>
        <v>-0.2300650812</v>
      </c>
      <c r="O1172" s="50">
        <f>IFERROR(VLOOKUP($B1172,Data!$B$3:$D1530,2,FALSE),"")</f>
        <v>579990</v>
      </c>
      <c r="P1172" s="50">
        <f>IFERROR(VLOOKUP($B1172,Data!$B$3:$D1530,3,FALSE),"")</f>
        <v>501180</v>
      </c>
      <c r="Q1172" s="48">
        <f t="shared" si="2"/>
        <v>0.1572488926</v>
      </c>
      <c r="R1172" s="48"/>
      <c r="S1172" s="48"/>
      <c r="T1172" s="48"/>
      <c r="U1172" s="48"/>
      <c r="V1172" s="48"/>
      <c r="W1172" s="50"/>
      <c r="Z1172" s="15"/>
      <c r="AA1172" s="15"/>
    </row>
    <row r="1173">
      <c r="A1173" s="9">
        <f t="shared" si="1"/>
        <v>1170</v>
      </c>
      <c r="B1173" s="47" t="s">
        <v>1307</v>
      </c>
      <c r="C1173" s="48">
        <f>IFERROR(DIVIDE(VLOOKUP($B1173,Data!$B$3:$AB$1535,9,FALSE),VLOOKUP($B1173,Data!$B$3:$AB$1535,4,FALSE)),"")</f>
        <v>0.5631564008</v>
      </c>
      <c r="D1173" s="48">
        <f>IFERROR(DIVIDE(VLOOKUP($B1173,Data!$B$3:$AB$1535,24,FALSE),VLOOKUP($B1173,Data!$B$3:$AB$1535,4,FALSE)),"")</f>
        <v>-3.326994039</v>
      </c>
      <c r="E1173" s="48">
        <f>IFERROR(DIVIDE(VLOOKUP($B1173,Data!$B$3:$EZ1530,29,FALSE),VLOOKUP($B1173,Data!$B$3:$EZ1530,4,FALSE)),"")</f>
        <v>-2.767243826</v>
      </c>
      <c r="F1173" s="48">
        <f>IFERROR(DIVIDE(VLOOKUP($B1173,Data!$B$3:$EZ1530,34,FALSE),VLOOKUP($B1173,Data!$B$3:$EZ1530,4,FALSE)),"")</f>
        <v>-4.026397956</v>
      </c>
      <c r="G1173" s="48">
        <f>IFERROR(DIVIDE(VLOOKUP($B1173,Data!$B$3:$EZ1530,39,FALSE),VLOOKUP($B1173,Data!$B$3:$EZ1530,4,FALSE)),"")</f>
        <v>-2.688901504</v>
      </c>
      <c r="H1173" s="48">
        <f>IFERROR(DIVIDE(VLOOKUP($B1173,Data!$B$3:$EZ1530,44,FALSE),VLOOKUP($B1173,Data!$B$3:$EZ1530,4,FALSE)),"")</f>
        <v>-2.993187624</v>
      </c>
      <c r="I1173" s="48">
        <f>IFERROR(MINUS(DIVIDE(VLOOKUP($B1173,Data!$B$3:$EZ1530,9,FALSE),VLOOKUP($B1173,Data!$B$3:$EZ1530,10,FALSE)),1),"")</f>
        <v>-0.903162827</v>
      </c>
      <c r="J1173" s="48" t="str">
        <f>IFERROR(MINUS(DIVIDE(VLOOKUP($B1173,Data!$B$3:$EZ1530,24,FALSE),VLOOKUP($B1173,Data!$B$3:$EZ1530,25,FALSE)),1),"")</f>
        <v/>
      </c>
      <c r="K1173" s="48">
        <f>IFERROR(MINUS(DIVIDE(VLOOKUP($B1173,Data!$B$3:$EZ1530,29,FALSE),VLOOKUP($B1173,Data!$B$3:$EZ1530,30,FALSE)),1),"")</f>
        <v>-1.936323473</v>
      </c>
      <c r="L1173" s="48">
        <f>IFERROR(MINUS(DIVIDE(VLOOKUP($B1173,Data!$B$3:$EZ1530,34,FALSE),VLOOKUP($B1173,Data!$B$3:$EZ1530,35,FALSE)),1),"")</f>
        <v>-2.540508254</v>
      </c>
      <c r="M1173" s="48">
        <f>IFERROR(MINUS(DIVIDE(VLOOKUP($B1173,Data!$B$3:$EZ1530,39,FALSE),VLOOKUP($B1173,Data!$B$3:$EZ1530,40,FALSE)),1),"")</f>
        <v>-1.947868721</v>
      </c>
      <c r="N1173" s="48">
        <f>IFERROR(MINUS(DIVIDE(VLOOKUP($B1173,Data!$B$3:$EZ1530,44,FALSE),VLOOKUP($B1173,Data!$B$3:$EZ1530,45,FALSE)),1),"")</f>
        <v>-2.007644529</v>
      </c>
      <c r="O1173" s="50">
        <f>IFERROR(VLOOKUP($B1173,Data!$B$3:$D1530,2,FALSE),"")</f>
        <v>180000</v>
      </c>
      <c r="P1173" s="50">
        <f>IFERROR(VLOOKUP($B1173,Data!$B$3:$D1530,3,FALSE),"")</f>
        <v>114420</v>
      </c>
      <c r="Q1173" s="48">
        <f t="shared" si="2"/>
        <v>0.5731515469</v>
      </c>
      <c r="R1173" s="48"/>
      <c r="S1173" s="48"/>
      <c r="T1173" s="48"/>
      <c r="U1173" s="48"/>
      <c r="V1173" s="48"/>
      <c r="W1173" s="50"/>
      <c r="Z1173" s="11"/>
      <c r="AA1173" s="11"/>
    </row>
    <row r="1174">
      <c r="A1174" s="9">
        <f t="shared" si="1"/>
        <v>1171</v>
      </c>
      <c r="B1174" s="47" t="s">
        <v>1308</v>
      </c>
      <c r="C1174" s="48">
        <f>IFERROR(DIVIDE(VLOOKUP($B1174,Data!$B$3:$AB$1535,9,FALSE),VLOOKUP($B1174,Data!$B$3:$AB$1535,4,FALSE)),"")</f>
        <v>0.2425032277</v>
      </c>
      <c r="D1174" s="48">
        <f>IFERROR(DIVIDE(VLOOKUP($B1174,Data!$B$3:$AB$1535,24,FALSE),VLOOKUP($B1174,Data!$B$3:$AB$1535,4,FALSE)),"")</f>
        <v>0</v>
      </c>
      <c r="E1174" s="48">
        <f>IFERROR(DIVIDE(VLOOKUP($B1174,Data!$B$3:$EZ1530,29,FALSE),VLOOKUP($B1174,Data!$B$3:$EZ1530,4,FALSE)),"")</f>
        <v>0.1048208326</v>
      </c>
      <c r="F1174" s="48">
        <f>IFERROR(DIVIDE(VLOOKUP($B1174,Data!$B$3:$EZ1530,34,FALSE),VLOOKUP($B1174,Data!$B$3:$EZ1530,4,FALSE)),"")</f>
        <v>0.1674989647</v>
      </c>
      <c r="G1174" s="48">
        <f>IFERROR(DIVIDE(VLOOKUP($B1174,Data!$B$3:$EZ1530,39,FALSE),VLOOKUP($B1174,Data!$B$3:$EZ1530,4,FALSE)),"")</f>
        <v>0.07865825437</v>
      </c>
      <c r="H1174" s="48">
        <f>IFERROR(DIVIDE(VLOOKUP($B1174,Data!$B$3:$EZ1530,44,FALSE),VLOOKUP($B1174,Data!$B$3:$EZ1530,4,FALSE)),"")</f>
        <v>0.1208009549</v>
      </c>
      <c r="I1174" s="48">
        <f>IFERROR(MINUS(DIVIDE(VLOOKUP($B1174,Data!$B$3:$EZ1530,9,FALSE),VLOOKUP($B1174,Data!$B$3:$EZ1530,10,FALSE)),1),"")</f>
        <v>-0.2590800834</v>
      </c>
      <c r="J1174" s="48" t="str">
        <f>IFERROR(MINUS(DIVIDE(VLOOKUP($B1174,Data!$B$3:$EZ1530,24,FALSE),VLOOKUP($B1174,Data!$B$3:$EZ1530,25,FALSE)),1),"")</f>
        <v/>
      </c>
      <c r="K1174" s="48">
        <f>IFERROR(MINUS(DIVIDE(VLOOKUP($B1174,Data!$B$3:$EZ1530,29,FALSE),VLOOKUP($B1174,Data!$B$3:$EZ1530,30,FALSE)),1),"")</f>
        <v>-0.3737447242</v>
      </c>
      <c r="L1174" s="48">
        <f>IFERROR(MINUS(DIVIDE(VLOOKUP($B1174,Data!$B$3:$EZ1530,34,FALSE),VLOOKUP($B1174,Data!$B$3:$EZ1530,35,FALSE)),1),"")</f>
        <v>-0.3052440133</v>
      </c>
      <c r="M1174" s="48">
        <f>IFERROR(MINUS(DIVIDE(VLOOKUP($B1174,Data!$B$3:$EZ1530,39,FALSE),VLOOKUP($B1174,Data!$B$3:$EZ1530,40,FALSE)),1),"")</f>
        <v>-0.3659925388</v>
      </c>
      <c r="N1174" s="48">
        <f>IFERROR(MINUS(DIVIDE(VLOOKUP($B1174,Data!$B$3:$EZ1530,44,FALSE),VLOOKUP($B1174,Data!$B$3:$EZ1530,45,FALSE)),1),"")</f>
        <v>-0.5860946499</v>
      </c>
      <c r="O1174" s="50">
        <f>IFERROR(VLOOKUP($B1174,Data!$B$3:$D1530,2,FALSE),"")</f>
        <v>545400</v>
      </c>
      <c r="P1174" s="50">
        <f>IFERROR(VLOOKUP($B1174,Data!$B$3:$D1530,3,FALSE),"")</f>
        <v>532900</v>
      </c>
      <c r="Q1174" s="48">
        <f t="shared" si="2"/>
        <v>0.02345655845</v>
      </c>
      <c r="R1174" s="48"/>
      <c r="S1174" s="48"/>
      <c r="T1174" s="48"/>
      <c r="U1174" s="48"/>
      <c r="V1174" s="48"/>
      <c r="W1174" s="50"/>
      <c r="Z1174" s="15"/>
      <c r="AA1174" s="15"/>
    </row>
    <row r="1175">
      <c r="A1175" s="9">
        <f t="shared" si="1"/>
        <v>1172</v>
      </c>
      <c r="B1175" s="47" t="s">
        <v>1309</v>
      </c>
      <c r="C1175" s="48">
        <f>IFERROR(DIVIDE(VLOOKUP($B1175,Data!$B$3:$AB$1535,9,FALSE),VLOOKUP($B1175,Data!$B$3:$AB$1535,4,FALSE)),"")</f>
        <v>0.4244299065</v>
      </c>
      <c r="D1175" s="48">
        <f>IFERROR(DIVIDE(VLOOKUP($B1175,Data!$B$3:$AB$1535,24,FALSE),VLOOKUP($B1175,Data!$B$3:$AB$1535,4,FALSE)),"")</f>
        <v>-0.0206728972</v>
      </c>
      <c r="E1175" s="48">
        <f>IFERROR(DIVIDE(VLOOKUP($B1175,Data!$B$3:$EZ1530,29,FALSE),VLOOKUP($B1175,Data!$B$3:$EZ1530,4,FALSE)),"")</f>
        <v>-0.02081308411</v>
      </c>
      <c r="F1175" s="48">
        <f>IFERROR(DIVIDE(VLOOKUP($B1175,Data!$B$3:$EZ1530,34,FALSE),VLOOKUP($B1175,Data!$B$3:$EZ1530,4,FALSE)),"")</f>
        <v>0.03509345794</v>
      </c>
      <c r="G1175" s="48">
        <f>IFERROR(DIVIDE(VLOOKUP($B1175,Data!$B$3:$EZ1530,39,FALSE),VLOOKUP($B1175,Data!$B$3:$EZ1530,4,FALSE)),"")</f>
        <v>-0.01880373832</v>
      </c>
      <c r="H1175" s="48">
        <f>IFERROR(DIVIDE(VLOOKUP($B1175,Data!$B$3:$EZ1530,44,FALSE),VLOOKUP($B1175,Data!$B$3:$EZ1530,4,FALSE)),"")</f>
        <v>-0.01637383178</v>
      </c>
      <c r="I1175" s="48">
        <f>IFERROR(MINUS(DIVIDE(VLOOKUP($B1175,Data!$B$3:$EZ1530,9,FALSE),VLOOKUP($B1175,Data!$B$3:$EZ1530,10,FALSE)),1),"")</f>
        <v>-0.121857839</v>
      </c>
      <c r="J1175" s="48">
        <f>IFERROR(MINUS(DIVIDE(VLOOKUP($B1175,Data!$B$3:$EZ1530,24,FALSE),VLOOKUP($B1175,Data!$B$3:$EZ1530,25,FALSE)),1),"")</f>
        <v>4.53</v>
      </c>
      <c r="K1175" s="48">
        <f>IFERROR(MINUS(DIVIDE(VLOOKUP($B1175,Data!$B$3:$EZ1530,29,FALSE),VLOOKUP($B1175,Data!$B$3:$EZ1530,30,FALSE)),1),"")</f>
        <v>1.185475957</v>
      </c>
      <c r="L1175" s="48">
        <f>IFERROR(MINUS(DIVIDE(VLOOKUP($B1175,Data!$B$3:$EZ1530,34,FALSE),VLOOKUP($B1175,Data!$B$3:$EZ1530,35,FALSE)),1),"")</f>
        <v>-0.1833405829</v>
      </c>
      <c r="M1175" s="48">
        <f>IFERROR(MINUS(DIVIDE(VLOOKUP($B1175,Data!$B$3:$EZ1530,39,FALSE),VLOOKUP($B1175,Data!$B$3:$EZ1530,40,FALSE)),1),"")</f>
        <v>-1.337470647</v>
      </c>
      <c r="N1175" s="48">
        <f>IFERROR(MINUS(DIVIDE(VLOOKUP($B1175,Data!$B$3:$EZ1530,44,FALSE),VLOOKUP($B1175,Data!$B$3:$EZ1530,45,FALSE)),1),"")</f>
        <v>-7.764478764</v>
      </c>
      <c r="O1175" s="50">
        <f>IFERROR(VLOOKUP($B1175,Data!$B$3:$D1530,2,FALSE),"")</f>
        <v>508390</v>
      </c>
      <c r="P1175" s="50">
        <f>IFERROR(VLOOKUP($B1175,Data!$B$3:$D1530,3,FALSE),"")</f>
        <v>666880</v>
      </c>
      <c r="Q1175" s="48">
        <f t="shared" si="2"/>
        <v>-0.2376589491</v>
      </c>
      <c r="R1175" s="48"/>
      <c r="S1175" s="48"/>
      <c r="T1175" s="48"/>
      <c r="U1175" s="48"/>
      <c r="V1175" s="48"/>
      <c r="W1175" s="50"/>
      <c r="Z1175" s="11"/>
      <c r="AA1175" s="11"/>
    </row>
    <row r="1176">
      <c r="A1176" s="9">
        <f t="shared" si="1"/>
        <v>1173</v>
      </c>
      <c r="B1176" s="47" t="s">
        <v>1310</v>
      </c>
      <c r="C1176" s="48">
        <f>IFERROR(DIVIDE(VLOOKUP($B1176,Data!$B$3:$AB$1535,9,FALSE),VLOOKUP($B1176,Data!$B$3:$AB$1535,4,FALSE)),"")</f>
        <v>0.4150943396</v>
      </c>
      <c r="D1176" s="48">
        <f>IFERROR(DIVIDE(VLOOKUP($B1176,Data!$B$3:$AB$1535,24,FALSE),VLOOKUP($B1176,Data!$B$3:$AB$1535,4,FALSE)),"")</f>
        <v>0.1302716981</v>
      </c>
      <c r="E1176" s="48">
        <f>IFERROR(DIVIDE(VLOOKUP($B1176,Data!$B$3:$EZ1530,29,FALSE),VLOOKUP($B1176,Data!$B$3:$EZ1530,4,FALSE)),"")</f>
        <v>0.1015773585</v>
      </c>
      <c r="F1176" s="48">
        <f>IFERROR(DIVIDE(VLOOKUP($B1176,Data!$B$3:$EZ1530,34,FALSE),VLOOKUP($B1176,Data!$B$3:$EZ1530,4,FALSE)),"")</f>
        <v>0.2028603774</v>
      </c>
      <c r="G1176" s="48">
        <f>IFERROR(DIVIDE(VLOOKUP($B1176,Data!$B$3:$EZ1530,39,FALSE),VLOOKUP($B1176,Data!$B$3:$EZ1530,4,FALSE)),"")</f>
        <v>0.08316226415</v>
      </c>
      <c r="H1176" s="48">
        <f>IFERROR(DIVIDE(VLOOKUP($B1176,Data!$B$3:$EZ1530,44,FALSE),VLOOKUP($B1176,Data!$B$3:$EZ1530,4,FALSE)),"")</f>
        <v>0.1570528302</v>
      </c>
      <c r="I1176" s="48">
        <f>IFERROR(MINUS(DIVIDE(VLOOKUP($B1176,Data!$B$3:$EZ1530,9,FALSE),VLOOKUP($B1176,Data!$B$3:$EZ1530,10,FALSE)),1),"")</f>
        <v>0.1083905162</v>
      </c>
      <c r="J1176" s="48">
        <f>IFERROR(MINUS(DIVIDE(VLOOKUP($B1176,Data!$B$3:$EZ1530,24,FALSE),VLOOKUP($B1176,Data!$B$3:$EZ1530,25,FALSE)),1),"")</f>
        <v>-8.198081735</v>
      </c>
      <c r="K1176" s="48">
        <f>IFERROR(MINUS(DIVIDE(VLOOKUP($B1176,Data!$B$3:$EZ1530,29,FALSE),VLOOKUP($B1176,Data!$B$3:$EZ1530,30,FALSE)),1),"")</f>
        <v>0.6723409543</v>
      </c>
      <c r="L1176" s="48">
        <f>IFERROR(MINUS(DIVIDE(VLOOKUP($B1176,Data!$B$3:$EZ1530,34,FALSE),VLOOKUP($B1176,Data!$B$3:$EZ1530,35,FALSE)),1),"")</f>
        <v>0.2787953756</v>
      </c>
      <c r="M1176" s="48">
        <f>IFERROR(MINUS(DIVIDE(VLOOKUP($B1176,Data!$B$3:$EZ1530,39,FALSE),VLOOKUP($B1176,Data!$B$3:$EZ1530,40,FALSE)),1),"")</f>
        <v>0.6236646283</v>
      </c>
      <c r="N1176" s="48">
        <f>IFERROR(MINUS(DIVIDE(VLOOKUP($B1176,Data!$B$3:$EZ1530,44,FALSE),VLOOKUP($B1176,Data!$B$3:$EZ1530,45,FALSE)),1),"")</f>
        <v>0.2986457813</v>
      </c>
      <c r="O1176" s="50">
        <f>IFERROR(VLOOKUP($B1176,Data!$B$3:$D1530,2,FALSE),"")</f>
        <v>2830000</v>
      </c>
      <c r="P1176" s="50">
        <f>IFERROR(VLOOKUP($B1176,Data!$B$3:$D1530,3,FALSE),"")</f>
        <v>2570000</v>
      </c>
      <c r="Q1176" s="48">
        <f t="shared" si="2"/>
        <v>0.1011673152</v>
      </c>
      <c r="R1176" s="48"/>
      <c r="S1176" s="48"/>
      <c r="T1176" s="48"/>
      <c r="U1176" s="48"/>
      <c r="V1176" s="48"/>
      <c r="W1176" s="50"/>
      <c r="Z1176" s="15"/>
      <c r="AA1176" s="15"/>
    </row>
    <row r="1177">
      <c r="A1177" s="9">
        <f t="shared" si="1"/>
        <v>1174</v>
      </c>
      <c r="B1177" s="47" t="s">
        <v>1311</v>
      </c>
      <c r="C1177" s="48">
        <f>IFERROR(DIVIDE(VLOOKUP($B1177,Data!$B$3:$AB$1535,9,FALSE),VLOOKUP($B1177,Data!$B$3:$AB$1535,4,FALSE)),"")</f>
        <v>0.05365</v>
      </c>
      <c r="D1177" s="48">
        <f>IFERROR(DIVIDE(VLOOKUP($B1177,Data!$B$3:$AB$1535,24,FALSE),VLOOKUP($B1177,Data!$B$3:$AB$1535,4,FALSE)),"")</f>
        <v>0.02941</v>
      </c>
      <c r="E1177" s="48">
        <f>IFERROR(DIVIDE(VLOOKUP($B1177,Data!$B$3:$EZ1530,29,FALSE),VLOOKUP($B1177,Data!$B$3:$EZ1530,4,FALSE)),"")</f>
        <v>0.03082</v>
      </c>
      <c r="F1177" s="48">
        <f>IFERROR(DIVIDE(VLOOKUP($B1177,Data!$B$3:$EZ1530,34,FALSE),VLOOKUP($B1177,Data!$B$3:$EZ1530,4,FALSE)),"")</f>
        <v>0.0475</v>
      </c>
      <c r="G1177" s="48">
        <f>IFERROR(DIVIDE(VLOOKUP($B1177,Data!$B$3:$EZ1530,39,FALSE),VLOOKUP($B1177,Data!$B$3:$EZ1530,4,FALSE)),"")</f>
        <v>0.02357</v>
      </c>
      <c r="H1177" s="48">
        <f>IFERROR(DIVIDE(VLOOKUP($B1177,Data!$B$3:$EZ1530,44,FALSE),VLOOKUP($B1177,Data!$B$3:$EZ1530,4,FALSE)),"")</f>
        <v>0.03682</v>
      </c>
      <c r="I1177" s="48">
        <f>IFERROR(MINUS(DIVIDE(VLOOKUP($B1177,Data!$B$3:$EZ1530,9,FALSE),VLOOKUP($B1177,Data!$B$3:$EZ1530,10,FALSE)),1),"")</f>
        <v>0.04215229215</v>
      </c>
      <c r="J1177" s="48">
        <f>IFERROR(MINUS(DIVIDE(VLOOKUP($B1177,Data!$B$3:$EZ1530,24,FALSE),VLOOKUP($B1177,Data!$B$3:$EZ1530,25,FALSE)),1),"")</f>
        <v>0.4480551452</v>
      </c>
      <c r="K1177" s="48">
        <f>IFERROR(MINUS(DIVIDE(VLOOKUP($B1177,Data!$B$3:$EZ1530,29,FALSE),VLOOKUP($B1177,Data!$B$3:$EZ1530,30,FALSE)),1),"")</f>
        <v>0.4066636239</v>
      </c>
      <c r="L1177" s="48">
        <f>IFERROR(MINUS(DIVIDE(VLOOKUP($B1177,Data!$B$3:$EZ1530,34,FALSE),VLOOKUP($B1177,Data!$B$3:$EZ1530,35,FALSE)),1),"")</f>
        <v>-0.03514117408</v>
      </c>
      <c r="M1177" s="48">
        <f>IFERROR(MINUS(DIVIDE(VLOOKUP($B1177,Data!$B$3:$EZ1530,39,FALSE),VLOOKUP($B1177,Data!$B$3:$EZ1530,40,FALSE)),1),"")</f>
        <v>0.3538196439</v>
      </c>
      <c r="N1177" s="48">
        <f>IFERROR(MINUS(DIVIDE(VLOOKUP($B1177,Data!$B$3:$EZ1530,44,FALSE),VLOOKUP($B1177,Data!$B$3:$EZ1530,45,FALSE)),1),"")</f>
        <v>-0.2766208251</v>
      </c>
      <c r="O1177" s="50" t="str">
        <f>IFERROR(VLOOKUP($B1177,Data!$B$3:$D1530,2,FALSE),"")</f>
        <v/>
      </c>
      <c r="P1177" s="50" t="str">
        <f>IFERROR(VLOOKUP($B1177,Data!$B$3:$D1530,3,FALSE),"")</f>
        <v/>
      </c>
      <c r="Q1177" s="48" t="str">
        <f t="shared" si="2"/>
        <v/>
      </c>
      <c r="R1177" s="48"/>
      <c r="S1177" s="48"/>
      <c r="T1177" s="48"/>
      <c r="U1177" s="48"/>
      <c r="V1177" s="48"/>
      <c r="W1177" s="50"/>
      <c r="Z1177" s="11"/>
      <c r="AA1177" s="11"/>
    </row>
    <row r="1178">
      <c r="A1178" s="9">
        <f t="shared" si="1"/>
        <v>1175</v>
      </c>
      <c r="B1178" s="47" t="s">
        <v>1312</v>
      </c>
      <c r="C1178" s="48">
        <f>IFERROR(DIVIDE(VLOOKUP($B1178,Data!$B$3:$AB$1535,9,FALSE),VLOOKUP($B1178,Data!$B$3:$AB$1535,4,FALSE)),"")</f>
        <v>0.5369490777</v>
      </c>
      <c r="D1178" s="48">
        <f>IFERROR(DIVIDE(VLOOKUP($B1178,Data!$B$3:$AB$1535,24,FALSE),VLOOKUP($B1178,Data!$B$3:$AB$1535,4,FALSE)),"")</f>
        <v>0.1723737987</v>
      </c>
      <c r="E1178" s="48">
        <f>IFERROR(DIVIDE(VLOOKUP($B1178,Data!$B$3:$EZ1530,29,FALSE),VLOOKUP($B1178,Data!$B$3:$EZ1530,4,FALSE)),"")</f>
        <v>0.1336021208</v>
      </c>
      <c r="F1178" s="48">
        <f>IFERROR(DIVIDE(VLOOKUP($B1178,Data!$B$3:$EZ1530,34,FALSE),VLOOKUP($B1178,Data!$B$3:$EZ1530,4,FALSE)),"")</f>
        <v>0.2571523252</v>
      </c>
      <c r="G1178" s="48">
        <f>IFERROR(DIVIDE(VLOOKUP($B1178,Data!$B$3:$EZ1530,39,FALSE),VLOOKUP($B1178,Data!$B$3:$EZ1530,4,FALSE)),"")</f>
        <v>0.1059317353</v>
      </c>
      <c r="H1178" s="48">
        <f>IFERROR(DIVIDE(VLOOKUP($B1178,Data!$B$3:$EZ1530,44,FALSE),VLOOKUP($B1178,Data!$B$3:$EZ1530,4,FALSE)),"")</f>
        <v>0.2052910637</v>
      </c>
      <c r="I1178" s="48">
        <f>IFERROR(MINUS(DIVIDE(VLOOKUP($B1178,Data!$B$3:$EZ1530,9,FALSE),VLOOKUP($B1178,Data!$B$3:$EZ1530,10,FALSE)),1),"")</f>
        <v>0.07342387104</v>
      </c>
      <c r="J1178" s="48">
        <f>IFERROR(MINUS(DIVIDE(VLOOKUP($B1178,Data!$B$3:$EZ1530,24,FALSE),VLOOKUP($B1178,Data!$B$3:$EZ1530,25,FALSE)),1),"")</f>
        <v>-5.322714681</v>
      </c>
      <c r="K1178" s="48">
        <f>IFERROR(MINUS(DIVIDE(VLOOKUP($B1178,Data!$B$3:$EZ1530,29,FALSE),VLOOKUP($B1178,Data!$B$3:$EZ1530,30,FALSE)),1),"")</f>
        <v>0.355941704</v>
      </c>
      <c r="L1178" s="48">
        <f>IFERROR(MINUS(DIVIDE(VLOOKUP($B1178,Data!$B$3:$EZ1530,34,FALSE),VLOOKUP($B1178,Data!$B$3:$EZ1530,35,FALSE)),1),"")</f>
        <v>0.04699797616</v>
      </c>
      <c r="M1178" s="48">
        <f>IFERROR(MINUS(DIVIDE(VLOOKUP($B1178,Data!$B$3:$EZ1530,39,FALSE),VLOOKUP($B1178,Data!$B$3:$EZ1530,40,FALSE)),1),"")</f>
        <v>-0.08141762452</v>
      </c>
      <c r="N1178" s="48">
        <f>IFERROR(MINUS(DIVIDE(VLOOKUP($B1178,Data!$B$3:$EZ1530,44,FALSE),VLOOKUP($B1178,Data!$B$3:$EZ1530,45,FALSE)),1),"")</f>
        <v>0.4423748545</v>
      </c>
      <c r="O1178" s="50">
        <f>IFERROR(VLOOKUP($B1178,Data!$B$3:$D1530,2,FALSE),"")</f>
        <v>195680</v>
      </c>
      <c r="P1178" s="50">
        <f>IFERROR(VLOOKUP($B1178,Data!$B$3:$D1530,3,FALSE),"")</f>
        <v>162750</v>
      </c>
      <c r="Q1178" s="48">
        <f t="shared" si="2"/>
        <v>0.2023348694</v>
      </c>
      <c r="R1178" s="48"/>
      <c r="S1178" s="48"/>
      <c r="T1178" s="48"/>
      <c r="U1178" s="48"/>
      <c r="V1178" s="48"/>
      <c r="W1178" s="50"/>
      <c r="Z1178" s="11"/>
      <c r="AA1178" s="11"/>
    </row>
    <row r="1179">
      <c r="A1179" s="9">
        <f t="shared" si="1"/>
        <v>1176</v>
      </c>
      <c r="B1179" s="47" t="s">
        <v>1313</v>
      </c>
      <c r="C1179" s="48">
        <f>IFERROR(DIVIDE(VLOOKUP($B1179,Data!$B$3:$AB$1535,9,FALSE),VLOOKUP($B1179,Data!$B$3:$AB$1535,4,FALSE)),"")</f>
        <v>0.9846517119</v>
      </c>
      <c r="D1179" s="48">
        <f>IFERROR(DIVIDE(VLOOKUP($B1179,Data!$B$3:$AB$1535,24,FALSE),VLOOKUP($B1179,Data!$B$3:$AB$1535,4,FALSE)),"")</f>
        <v>0</v>
      </c>
      <c r="E1179" s="48">
        <f>IFERROR(DIVIDE(VLOOKUP($B1179,Data!$B$3:$EZ1530,29,FALSE),VLOOKUP($B1179,Data!$B$3:$EZ1530,4,FALSE)),"")</f>
        <v>-1.128183505</v>
      </c>
      <c r="F1179" s="48">
        <f>IFERROR(DIVIDE(VLOOKUP($B1179,Data!$B$3:$EZ1530,34,FALSE),VLOOKUP($B1179,Data!$B$3:$EZ1530,4,FALSE)),"")</f>
        <v>-1.153820206</v>
      </c>
      <c r="G1179" s="48">
        <f>IFERROR(DIVIDE(VLOOKUP($B1179,Data!$B$3:$EZ1530,39,FALSE),VLOOKUP($B1179,Data!$B$3:$EZ1530,4,FALSE)),"")</f>
        <v>-1.128183505</v>
      </c>
      <c r="H1179" s="48">
        <f>IFERROR(DIVIDE(VLOOKUP($B1179,Data!$B$3:$EZ1530,44,FALSE),VLOOKUP($B1179,Data!$B$3:$EZ1530,4,FALSE)),"")</f>
        <v>-0.5867768595</v>
      </c>
      <c r="I1179" s="48">
        <f>IFERROR(MINUS(DIVIDE(VLOOKUP($B1179,Data!$B$3:$EZ1530,9,FALSE),VLOOKUP($B1179,Data!$B$3:$EZ1530,10,FALSE)),1),"")</f>
        <v>0.3380701352</v>
      </c>
      <c r="J1179" s="48" t="str">
        <f>IFERROR(MINUS(DIVIDE(VLOOKUP($B1179,Data!$B$3:$EZ1530,24,FALSE),VLOOKUP($B1179,Data!$B$3:$EZ1530,25,FALSE)),1),"")</f>
        <v/>
      </c>
      <c r="K1179" s="48">
        <f>IFERROR(MINUS(DIVIDE(VLOOKUP($B1179,Data!$B$3:$EZ1530,29,FALSE),VLOOKUP($B1179,Data!$B$3:$EZ1530,30,FALSE)),1),"")</f>
        <v>-0.05093643587</v>
      </c>
      <c r="L1179" s="48">
        <f>IFERROR(MINUS(DIVIDE(VLOOKUP($B1179,Data!$B$3:$EZ1530,34,FALSE),VLOOKUP($B1179,Data!$B$3:$EZ1530,35,FALSE)),1),"")</f>
        <v>-0.05104730198</v>
      </c>
      <c r="M1179" s="48">
        <f>IFERROR(MINUS(DIVIDE(VLOOKUP($B1179,Data!$B$3:$EZ1530,39,FALSE),VLOOKUP($B1179,Data!$B$3:$EZ1530,40,FALSE)),1),"")</f>
        <v>-0.05093643587</v>
      </c>
      <c r="N1179" s="48">
        <f>IFERROR(MINUS(DIVIDE(VLOOKUP($B1179,Data!$B$3:$EZ1530,44,FALSE),VLOOKUP($B1179,Data!$B$3:$EZ1530,45,FALSE)),1),"")</f>
        <v>-0.4086350501</v>
      </c>
      <c r="O1179" s="50">
        <f>IFERROR(VLOOKUP($B1179,Data!$B$3:$D1530,2,FALSE),"")</f>
        <v>111000</v>
      </c>
      <c r="P1179" s="50">
        <f>IFERROR(VLOOKUP($B1179,Data!$B$3:$D1530,3,FALSE),"")</f>
        <v>108420</v>
      </c>
      <c r="Q1179" s="48">
        <f t="shared" si="2"/>
        <v>0.02379634754</v>
      </c>
      <c r="R1179" s="48"/>
      <c r="S1179" s="48"/>
      <c r="T1179" s="48"/>
      <c r="U1179" s="48"/>
      <c r="V1179" s="48"/>
      <c r="W1179" s="50"/>
      <c r="Z1179" s="12"/>
      <c r="AA1179" s="12"/>
    </row>
    <row r="1180">
      <c r="A1180" s="9">
        <f t="shared" si="1"/>
        <v>1177</v>
      </c>
      <c r="B1180" s="47" t="s">
        <v>1314</v>
      </c>
      <c r="C1180" s="48">
        <f>IFERROR(DIVIDE(VLOOKUP($B1180,Data!$B$3:$AB$1535,9,FALSE),VLOOKUP($B1180,Data!$B$3:$AB$1535,4,FALSE)),"")</f>
        <v>0.3519503546</v>
      </c>
      <c r="D1180" s="48">
        <f>IFERROR(DIVIDE(VLOOKUP($B1180,Data!$B$3:$AB$1535,24,FALSE),VLOOKUP($B1180,Data!$B$3:$AB$1535,4,FALSE)),"")</f>
        <v>0.2432033097</v>
      </c>
      <c r="E1180" s="48">
        <f>IFERROR(DIVIDE(VLOOKUP($B1180,Data!$B$3:$EZ1530,29,FALSE),VLOOKUP($B1180,Data!$B$3:$EZ1530,4,FALSE)),"")</f>
        <v>0.2505910165</v>
      </c>
      <c r="F1180" s="48">
        <f>IFERROR(DIVIDE(VLOOKUP($B1180,Data!$B$3:$EZ1530,34,FALSE),VLOOKUP($B1180,Data!$B$3:$EZ1530,4,FALSE)),"")</f>
        <v>0.4361702128</v>
      </c>
      <c r="G1180" s="48">
        <f>IFERROR(DIVIDE(VLOOKUP($B1180,Data!$B$3:$EZ1530,39,FALSE),VLOOKUP($B1180,Data!$B$3:$EZ1530,4,FALSE)),"")</f>
        <v>0.1855791962</v>
      </c>
      <c r="H1180" s="48">
        <f>IFERROR(DIVIDE(VLOOKUP($B1180,Data!$B$3:$EZ1530,44,FALSE),VLOOKUP($B1180,Data!$B$3:$EZ1530,4,FALSE)),"")</f>
        <v>0.3540189125</v>
      </c>
      <c r="I1180" s="48">
        <f>IFERROR(MINUS(DIVIDE(VLOOKUP($B1180,Data!$B$3:$EZ1530,9,FALSE),VLOOKUP($B1180,Data!$B$3:$EZ1530,10,FALSE)),1),"")</f>
        <v>0.2419186653</v>
      </c>
      <c r="J1180" s="48">
        <f>IFERROR(MINUS(DIVIDE(VLOOKUP($B1180,Data!$B$3:$EZ1530,24,FALSE),VLOOKUP($B1180,Data!$B$3:$EZ1530,25,FALSE)),1),"")</f>
        <v>0.02746566792</v>
      </c>
      <c r="K1180" s="48">
        <f>IFERROR(MINUS(DIVIDE(VLOOKUP($B1180,Data!$B$3:$EZ1530,29,FALSE),VLOOKUP($B1180,Data!$B$3:$EZ1530,30,FALSE)),1),"")</f>
        <v>-0.3595166163</v>
      </c>
      <c r="L1180" s="48">
        <f>IFERROR(MINUS(DIVIDE(VLOOKUP($B1180,Data!$B$3:$EZ1530,34,FALSE),VLOOKUP($B1180,Data!$B$3:$EZ1530,35,FALSE)),1),"")</f>
        <v>0.2834782609</v>
      </c>
      <c r="M1180" s="48">
        <f>IFERROR(MINUS(DIVIDE(VLOOKUP($B1180,Data!$B$3:$EZ1530,39,FALSE),VLOOKUP($B1180,Data!$B$3:$EZ1530,40,FALSE)),1),"")</f>
        <v>-0.3861192571</v>
      </c>
      <c r="N1180" s="48">
        <f>IFERROR(MINUS(DIVIDE(VLOOKUP($B1180,Data!$B$3:$EZ1530,44,FALSE),VLOOKUP($B1180,Data!$B$3:$EZ1530,45,FALSE)),1),"")</f>
        <v>0.3050108932</v>
      </c>
      <c r="O1180" s="50" t="str">
        <f>IFERROR(VLOOKUP($B1180,Data!$B$3:$D1530,2,FALSE),"")</f>
        <v/>
      </c>
      <c r="P1180" s="50" t="str">
        <f>IFERROR(VLOOKUP($B1180,Data!$B$3:$D1530,3,FALSE),"")</f>
        <v/>
      </c>
      <c r="Q1180" s="48" t="str">
        <f t="shared" si="2"/>
        <v/>
      </c>
      <c r="R1180" s="48"/>
      <c r="S1180" s="48"/>
      <c r="T1180" s="48"/>
      <c r="U1180" s="48"/>
      <c r="V1180" s="48"/>
      <c r="W1180" s="50"/>
      <c r="Z1180" s="12"/>
      <c r="AA1180" s="12"/>
    </row>
    <row r="1181">
      <c r="A1181" s="9">
        <f t="shared" si="1"/>
        <v>1178</v>
      </c>
      <c r="B1181" s="47" t="s">
        <v>1315</v>
      </c>
      <c r="C1181" s="48">
        <f>IFERROR(DIVIDE(VLOOKUP($B1181,Data!$B$3:$AB$1535,9,FALSE),VLOOKUP($B1181,Data!$B$3:$AB$1535,4,FALSE)),"")</f>
        <v>0.09078947368</v>
      </c>
      <c r="D1181" s="48">
        <f>IFERROR(DIVIDE(VLOOKUP($B1181,Data!$B$3:$AB$1535,24,FALSE),VLOOKUP($B1181,Data!$B$3:$AB$1535,4,FALSE)),"")</f>
        <v>-2.337719298</v>
      </c>
      <c r="E1181" s="48">
        <f>IFERROR(DIVIDE(VLOOKUP($B1181,Data!$B$3:$EZ1530,29,FALSE),VLOOKUP($B1181,Data!$B$3:$EZ1530,4,FALSE)),"")</f>
        <v>-2.989766082</v>
      </c>
      <c r="F1181" s="48">
        <f>IFERROR(DIVIDE(VLOOKUP($B1181,Data!$B$3:$EZ1530,34,FALSE),VLOOKUP($B1181,Data!$B$3:$EZ1530,4,FALSE)),"")</f>
        <v>-0.8947368421</v>
      </c>
      <c r="G1181" s="48">
        <f>IFERROR(DIVIDE(VLOOKUP($B1181,Data!$B$3:$EZ1530,39,FALSE),VLOOKUP($B1181,Data!$B$3:$EZ1530,4,FALSE)),"")</f>
        <v>-2.929824561</v>
      </c>
      <c r="H1181" s="48">
        <f>IFERROR(DIVIDE(VLOOKUP($B1181,Data!$B$3:$EZ1530,44,FALSE),VLOOKUP($B1181,Data!$B$3:$EZ1530,4,FALSE)),"")</f>
        <v>-2.130116959</v>
      </c>
      <c r="I1181" s="48">
        <f>IFERROR(MINUS(DIVIDE(VLOOKUP($B1181,Data!$B$3:$EZ1530,9,FALSE),VLOOKUP($B1181,Data!$B$3:$EZ1530,10,FALSE)),1),"")</f>
        <v>-1.191666667</v>
      </c>
      <c r="J1181" s="48">
        <f>IFERROR(MINUS(DIVIDE(VLOOKUP($B1181,Data!$B$3:$EZ1530,24,FALSE),VLOOKUP($B1181,Data!$B$3:$EZ1530,25,FALSE)),1),"")</f>
        <v>-0.731846386</v>
      </c>
      <c r="K1181" s="48">
        <f>IFERROR(MINUS(DIVIDE(VLOOKUP($B1181,Data!$B$3:$EZ1530,29,FALSE),VLOOKUP($B1181,Data!$B$3:$EZ1530,30,FALSE)),1),"")</f>
        <v>-0.6648090477</v>
      </c>
      <c r="L1181" s="48">
        <f>IFERROR(MINUS(DIVIDE(VLOOKUP($B1181,Data!$B$3:$EZ1530,34,FALSE),VLOOKUP($B1181,Data!$B$3:$EZ1530,35,FALSE)),1),"")</f>
        <v>-0.6749867233</v>
      </c>
      <c r="M1181" s="48">
        <f>IFERROR(MINUS(DIVIDE(VLOOKUP($B1181,Data!$B$3:$EZ1530,39,FALSE),VLOOKUP($B1181,Data!$B$3:$EZ1530,40,FALSE)),1),"")</f>
        <v>-0.6550774527</v>
      </c>
      <c r="N1181" s="48">
        <f>IFERROR(MINUS(DIVIDE(VLOOKUP($B1181,Data!$B$3:$EZ1530,44,FALSE),VLOOKUP($B1181,Data!$B$3:$EZ1530,45,FALSE)),1),"")</f>
        <v>-0.2351706037</v>
      </c>
      <c r="O1181" s="50" t="str">
        <f>IFERROR(VLOOKUP($B1181,Data!$B$3:$D1530,2,FALSE),"")</f>
        <v/>
      </c>
      <c r="P1181" s="50">
        <f>IFERROR(VLOOKUP($B1181,Data!$B$3:$D1530,3,FALSE),"")</f>
        <v>6600</v>
      </c>
      <c r="Q1181" s="48">
        <f t="shared" si="2"/>
        <v>-1</v>
      </c>
      <c r="R1181" s="48"/>
      <c r="S1181" s="48"/>
      <c r="T1181" s="48"/>
      <c r="U1181" s="48"/>
      <c r="V1181" s="48"/>
      <c r="W1181" s="50"/>
      <c r="Z1181" s="11"/>
      <c r="AA1181" s="11"/>
    </row>
    <row r="1182">
      <c r="A1182" s="9">
        <f t="shared" si="1"/>
        <v>1179</v>
      </c>
      <c r="B1182" s="47" t="s">
        <v>1316</v>
      </c>
      <c r="C1182" s="48">
        <f>IFERROR(DIVIDE(VLOOKUP($B1182,Data!$B$3:$AB$1535,9,FALSE),VLOOKUP($B1182,Data!$B$3:$AB$1535,4,FALSE)),"")</f>
        <v>0.5454545455</v>
      </c>
      <c r="D1182" s="48">
        <f>IFERROR(DIVIDE(VLOOKUP($B1182,Data!$B$3:$AB$1535,24,FALSE),VLOOKUP($B1182,Data!$B$3:$AB$1535,4,FALSE)),"")</f>
        <v>0.05194805195</v>
      </c>
      <c r="E1182" s="48">
        <f>IFERROR(DIVIDE(VLOOKUP($B1182,Data!$B$3:$EZ1530,29,FALSE),VLOOKUP($B1182,Data!$B$3:$EZ1530,4,FALSE)),"")</f>
        <v>0.05298701299</v>
      </c>
      <c r="F1182" s="48">
        <f>IFERROR(DIVIDE(VLOOKUP($B1182,Data!$B$3:$EZ1530,34,FALSE),VLOOKUP($B1182,Data!$B$3:$EZ1530,4,FALSE)),"")</f>
        <v>0.1072077922</v>
      </c>
      <c r="G1182" s="48">
        <f>IFERROR(DIVIDE(VLOOKUP($B1182,Data!$B$3:$EZ1530,39,FALSE),VLOOKUP($B1182,Data!$B$3:$EZ1530,4,FALSE)),"")</f>
        <v>0.06238636364</v>
      </c>
      <c r="H1182" s="48">
        <f>IFERROR(DIVIDE(VLOOKUP($B1182,Data!$B$3:$EZ1530,44,FALSE),VLOOKUP($B1182,Data!$B$3:$EZ1530,4,FALSE)),"")</f>
        <v>0.1225</v>
      </c>
      <c r="I1182" s="48">
        <f>IFERROR(MINUS(DIVIDE(VLOOKUP($B1182,Data!$B$3:$EZ1530,9,FALSE),VLOOKUP($B1182,Data!$B$3:$EZ1530,10,FALSE)),1),"")</f>
        <v>-0.06666666667</v>
      </c>
      <c r="J1182" s="48">
        <f>IFERROR(MINUS(DIVIDE(VLOOKUP($B1182,Data!$B$3:$EZ1530,24,FALSE),VLOOKUP($B1182,Data!$B$3:$EZ1530,25,FALSE)),1),"")</f>
        <v>-0.4472275004</v>
      </c>
      <c r="K1182" s="48">
        <f>IFERROR(MINUS(DIVIDE(VLOOKUP($B1182,Data!$B$3:$EZ1530,29,FALSE),VLOOKUP($B1182,Data!$B$3:$EZ1530,30,FALSE)),1),"")</f>
        <v>-0.4396566524</v>
      </c>
      <c r="L1182" s="48">
        <f>IFERROR(MINUS(DIVIDE(VLOOKUP($B1182,Data!$B$3:$EZ1530,34,FALSE),VLOOKUP($B1182,Data!$B$3:$EZ1530,35,FALSE)),1),"")</f>
        <v>-0.3356136821</v>
      </c>
      <c r="M1182" s="48">
        <f>IFERROR(MINUS(DIVIDE(VLOOKUP($B1182,Data!$B$3:$EZ1530,39,FALSE),VLOOKUP($B1182,Data!$B$3:$EZ1530,40,FALSE)),1),"")</f>
        <v>-0.1081457415</v>
      </c>
      <c r="N1182" s="48">
        <f>IFERROR(MINUS(DIVIDE(VLOOKUP($B1182,Data!$B$3:$EZ1530,44,FALSE),VLOOKUP($B1182,Data!$B$3:$EZ1530,45,FALSE)),1),"")</f>
        <v>-0.03725440163</v>
      </c>
      <c r="O1182" s="50">
        <f>IFERROR(VLOOKUP($B1182,Data!$B$3:$D1530,2,FALSE),"")</f>
        <v>5710000</v>
      </c>
      <c r="P1182" s="50">
        <f>IFERROR(VLOOKUP($B1182,Data!$B$3:$D1530,3,FALSE),"")</f>
        <v>4590000</v>
      </c>
      <c r="Q1182" s="48">
        <f t="shared" si="2"/>
        <v>0.2440087146</v>
      </c>
      <c r="R1182" s="48"/>
      <c r="S1182" s="48"/>
      <c r="T1182" s="48"/>
      <c r="U1182" s="48"/>
      <c r="V1182" s="48"/>
      <c r="W1182" s="50"/>
      <c r="Z1182" s="12"/>
      <c r="AA1182" s="12"/>
    </row>
    <row r="1183">
      <c r="A1183" s="9">
        <f t="shared" si="1"/>
        <v>1180</v>
      </c>
      <c r="B1183" s="47" t="s">
        <v>1317</v>
      </c>
      <c r="C1183" s="48" t="str">
        <f>IFERROR(DIVIDE(VLOOKUP($B1183,Data!$B$3:$AB$1535,9,FALSE),VLOOKUP($B1183,Data!$B$3:$AB$1535,4,FALSE)),"")</f>
        <v/>
      </c>
      <c r="D1183" s="48" t="str">
        <f>IFERROR(DIVIDE(VLOOKUP($B1183,Data!$B$3:$AB$1535,24,FALSE),VLOOKUP($B1183,Data!$B$3:$AB$1535,4,FALSE)),"")</f>
        <v/>
      </c>
      <c r="E1183" s="48" t="str">
        <f>IFERROR(DIVIDE(VLOOKUP($B1183,Data!$B$3:$EZ1530,29,FALSE),VLOOKUP($B1183,Data!$B$3:$EZ1530,4,FALSE)),"")</f>
        <v/>
      </c>
      <c r="F1183" s="48" t="str">
        <f>IFERROR(DIVIDE(VLOOKUP($B1183,Data!$B$3:$EZ1530,34,FALSE),VLOOKUP($B1183,Data!$B$3:$EZ1530,4,FALSE)),"")</f>
        <v/>
      </c>
      <c r="G1183" s="48" t="str">
        <f>IFERROR(DIVIDE(VLOOKUP($B1183,Data!$B$3:$EZ1530,39,FALSE),VLOOKUP($B1183,Data!$B$3:$EZ1530,4,FALSE)),"")</f>
        <v/>
      </c>
      <c r="H1183" s="48" t="str">
        <f>IFERROR(DIVIDE(VLOOKUP($B1183,Data!$B$3:$EZ1530,44,FALSE),VLOOKUP($B1183,Data!$B$3:$EZ1530,4,FALSE)),"")</f>
        <v/>
      </c>
      <c r="I1183" s="48">
        <f>IFERROR(MINUS(DIVIDE(VLOOKUP($B1183,Data!$B$3:$EZ1530,9,FALSE),VLOOKUP($B1183,Data!$B$3:$EZ1530,10,FALSE)),1),"")</f>
        <v>0.3255813953</v>
      </c>
      <c r="J1183" s="48" t="str">
        <f>IFERROR(MINUS(DIVIDE(VLOOKUP($B1183,Data!$B$3:$EZ1530,24,FALSE),VLOOKUP($B1183,Data!$B$3:$EZ1530,25,FALSE)),1),"")</f>
        <v/>
      </c>
      <c r="K1183" s="48">
        <f>IFERROR(MINUS(DIVIDE(VLOOKUP($B1183,Data!$B$3:$EZ1530,29,FALSE),VLOOKUP($B1183,Data!$B$3:$EZ1530,30,FALSE)),1),"")</f>
        <v>0.543554007</v>
      </c>
      <c r="L1183" s="48">
        <f>IFERROR(MINUS(DIVIDE(VLOOKUP($B1183,Data!$B$3:$EZ1530,34,FALSE),VLOOKUP($B1183,Data!$B$3:$EZ1530,35,FALSE)),1),"")</f>
        <v>0.7008797654</v>
      </c>
      <c r="M1183" s="48">
        <f>IFERROR(MINUS(DIVIDE(VLOOKUP($B1183,Data!$B$3:$EZ1530,39,FALSE),VLOOKUP($B1183,Data!$B$3:$EZ1530,40,FALSE)),1),"")</f>
        <v>0.543554007</v>
      </c>
      <c r="N1183" s="48">
        <f>IFERROR(MINUS(DIVIDE(VLOOKUP($B1183,Data!$B$3:$EZ1530,44,FALSE),VLOOKUP($B1183,Data!$B$3:$EZ1530,45,FALSE)),1),"")</f>
        <v>0.498187585</v>
      </c>
      <c r="O1183" s="50" t="str">
        <f>IFERROR(VLOOKUP($B1183,Data!$B$3:$D1530,2,FALSE),"")</f>
        <v/>
      </c>
      <c r="P1183" s="50" t="str">
        <f>IFERROR(VLOOKUP($B1183,Data!$B$3:$D1530,3,FALSE),"")</f>
        <v/>
      </c>
      <c r="Q1183" s="48" t="str">
        <f t="shared" si="2"/>
        <v/>
      </c>
      <c r="R1183" s="48"/>
      <c r="S1183" s="48"/>
      <c r="T1183" s="48"/>
      <c r="U1183" s="48"/>
      <c r="V1183" s="48"/>
      <c r="W1183" s="50"/>
      <c r="Z1183" s="12"/>
      <c r="AA1183" s="11"/>
    </row>
    <row r="1184">
      <c r="A1184" s="9">
        <f t="shared" si="1"/>
        <v>1181</v>
      </c>
      <c r="B1184" s="47" t="s">
        <v>1318</v>
      </c>
      <c r="C1184" s="48">
        <f>IFERROR(DIVIDE(VLOOKUP($B1184,Data!$B$3:$AB$1535,9,FALSE),VLOOKUP($B1184,Data!$B$3:$AB$1535,4,FALSE)),"")</f>
        <v>0.173516597</v>
      </c>
      <c r="D1184" s="48">
        <f>IFERROR(DIVIDE(VLOOKUP($B1184,Data!$B$3:$AB$1535,24,FALSE),VLOOKUP($B1184,Data!$B$3:$AB$1535,4,FALSE)),"")</f>
        <v>0.02775906212</v>
      </c>
      <c r="E1184" s="48">
        <f>IFERROR(DIVIDE(VLOOKUP($B1184,Data!$B$3:$EZ1530,29,FALSE),VLOOKUP($B1184,Data!$B$3:$EZ1530,4,FALSE)),"")</f>
        <v>0.02490679603</v>
      </c>
      <c r="F1184" s="48">
        <f>IFERROR(DIVIDE(VLOOKUP($B1184,Data!$B$3:$EZ1530,34,FALSE),VLOOKUP($B1184,Data!$B$3:$EZ1530,4,FALSE)),"")</f>
        <v>0.04346898441</v>
      </c>
      <c r="G1184" s="48">
        <f>IFERROR(DIVIDE(VLOOKUP($B1184,Data!$B$3:$EZ1530,39,FALSE),VLOOKUP($B1184,Data!$B$3:$EZ1530,4,FALSE)),"")</f>
        <v>0.01836005929</v>
      </c>
      <c r="H1184" s="48">
        <f>IFERROR(DIVIDE(VLOOKUP($B1184,Data!$B$3:$EZ1530,44,FALSE),VLOOKUP($B1184,Data!$B$3:$EZ1530,4,FALSE)),"")</f>
        <v>0.04470421776</v>
      </c>
      <c r="I1184" s="48">
        <f>IFERROR(MINUS(DIVIDE(VLOOKUP($B1184,Data!$B$3:$EZ1530,9,FALSE),VLOOKUP($B1184,Data!$B$3:$EZ1530,10,FALSE)),1),"")</f>
        <v>0.1934811153</v>
      </c>
      <c r="J1184" s="48">
        <f>IFERROR(MINUS(DIVIDE(VLOOKUP($B1184,Data!$B$3:$EZ1530,24,FALSE),VLOOKUP($B1184,Data!$B$3:$EZ1530,25,FALSE)),1),"")</f>
        <v>0.875569044</v>
      </c>
      <c r="K1184" s="48">
        <f>IFERROR(MINUS(DIVIDE(VLOOKUP($B1184,Data!$B$3:$EZ1530,29,FALSE),VLOOKUP($B1184,Data!$B$3:$EZ1530,30,FALSE)),1),"")</f>
        <v>1.110371075</v>
      </c>
      <c r="L1184" s="48">
        <f>IFERROR(MINUS(DIVIDE(VLOOKUP($B1184,Data!$B$3:$EZ1530,34,FALSE),VLOOKUP($B1184,Data!$B$3:$EZ1530,35,FALSE)),1),"")</f>
        <v>0.4569062853</v>
      </c>
      <c r="M1184" s="48">
        <f>IFERROR(MINUS(DIVIDE(VLOOKUP($B1184,Data!$B$3:$EZ1530,39,FALSE),VLOOKUP($B1184,Data!$B$3:$EZ1530,40,FALSE)),1),"")</f>
        <v>0.6045142296</v>
      </c>
      <c r="N1184" s="48">
        <f>IFERROR(MINUS(DIVIDE(VLOOKUP($B1184,Data!$B$3:$EZ1530,44,FALSE),VLOOKUP($B1184,Data!$B$3:$EZ1530,45,FALSE)),1),"")</f>
        <v>7.363445378</v>
      </c>
      <c r="O1184" s="50">
        <f>IFERROR(VLOOKUP($B1184,Data!$B$3:$D1530,2,FALSE),"")</f>
        <v>761800</v>
      </c>
      <c r="P1184" s="50">
        <f>IFERROR(VLOOKUP($B1184,Data!$B$3:$D1530,3,FALSE),"")</f>
        <v>740700</v>
      </c>
      <c r="Q1184" s="48">
        <f t="shared" si="2"/>
        <v>0.02848656676</v>
      </c>
      <c r="R1184" s="48"/>
      <c r="S1184" s="48"/>
      <c r="T1184" s="48"/>
      <c r="U1184" s="48"/>
      <c r="V1184" s="48"/>
      <c r="W1184" s="50"/>
      <c r="Z1184" s="11"/>
      <c r="AA1184" s="11"/>
    </row>
    <row r="1185">
      <c r="A1185" s="9">
        <f t="shared" si="1"/>
        <v>1182</v>
      </c>
      <c r="B1185" s="47" t="s">
        <v>1319</v>
      </c>
      <c r="C1185" s="48">
        <f>IFERROR(DIVIDE(VLOOKUP($B1185,Data!$B$3:$AB$1535,9,FALSE),VLOOKUP($B1185,Data!$B$3:$AB$1535,4,FALSE)),"")</f>
        <v>0.1909178406</v>
      </c>
      <c r="D1185" s="48">
        <f>IFERROR(DIVIDE(VLOOKUP($B1185,Data!$B$3:$AB$1535,24,FALSE),VLOOKUP($B1185,Data!$B$3:$AB$1535,4,FALSE)),"")</f>
        <v>-0.1994050223</v>
      </c>
      <c r="E1185" s="48">
        <f>IFERROR(DIVIDE(VLOOKUP($B1185,Data!$B$3:$EZ1530,29,FALSE),VLOOKUP($B1185,Data!$B$3:$EZ1530,4,FALSE)),"")</f>
        <v>-0.1812932015</v>
      </c>
      <c r="F1185" s="48">
        <f>IFERROR(DIVIDE(VLOOKUP($B1185,Data!$B$3:$EZ1530,34,FALSE),VLOOKUP($B1185,Data!$B$3:$EZ1530,4,FALSE)),"")</f>
        <v>0.07060985213</v>
      </c>
      <c r="G1185" s="48">
        <f>IFERROR(DIVIDE(VLOOKUP($B1185,Data!$B$3:$EZ1530,39,FALSE),VLOOKUP($B1185,Data!$B$3:$EZ1530,4,FALSE)),"")</f>
        <v>-0.166506256</v>
      </c>
      <c r="H1185" s="48">
        <f>IFERROR(DIVIDE(VLOOKUP($B1185,Data!$B$3:$EZ1530,44,FALSE),VLOOKUP($B1185,Data!$B$3:$EZ1530,4,FALSE)),"")</f>
        <v>0.04707323475</v>
      </c>
      <c r="I1185" s="48">
        <f>IFERROR(MINUS(DIVIDE(VLOOKUP($B1185,Data!$B$3:$EZ1530,9,FALSE),VLOOKUP($B1185,Data!$B$3:$EZ1530,10,FALSE)),1),"")</f>
        <v>-0.07542372881</v>
      </c>
      <c r="J1185" s="48">
        <f>IFERROR(MINUS(DIVIDE(VLOOKUP($B1185,Data!$B$3:$EZ1530,24,FALSE),VLOOKUP($B1185,Data!$B$3:$EZ1530,25,FALSE)),1),"")</f>
        <v>0.5092715232</v>
      </c>
      <c r="K1185" s="48">
        <f>IFERROR(MINUS(DIVIDE(VLOOKUP($B1185,Data!$B$3:$EZ1530,29,FALSE),VLOOKUP($B1185,Data!$B$3:$EZ1530,30,FALSE)),1),"")</f>
        <v>-2.438888889</v>
      </c>
      <c r="L1185" s="48">
        <f>IFERROR(MINUS(DIVIDE(VLOOKUP($B1185,Data!$B$3:$EZ1530,34,FALSE),VLOOKUP($B1185,Data!$B$3:$EZ1530,35,FALSE)),1),"")</f>
        <v>-0.2262703739</v>
      </c>
      <c r="M1185" s="48">
        <f>IFERROR(MINUS(DIVIDE(VLOOKUP($B1185,Data!$B$3:$EZ1530,39,FALSE),VLOOKUP($B1185,Data!$B$3:$EZ1530,40,FALSE)),1),"")</f>
        <v>-15.20149254</v>
      </c>
      <c r="N1185" s="48">
        <f>IFERROR(MINUS(DIVIDE(VLOOKUP($B1185,Data!$B$3:$EZ1530,44,FALSE),VLOOKUP($B1185,Data!$B$3:$EZ1530,45,FALSE)),1),"")</f>
        <v>-2.532763533</v>
      </c>
      <c r="O1185" s="50">
        <f>IFERROR(VLOOKUP($B1185,Data!$B$3:$D1530,2,FALSE),"")</f>
        <v>73400</v>
      </c>
      <c r="P1185" s="50">
        <f>IFERROR(VLOOKUP($B1185,Data!$B$3:$D1530,3,FALSE),"")</f>
        <v>69080</v>
      </c>
      <c r="Q1185" s="48">
        <f t="shared" si="2"/>
        <v>0.06253618992</v>
      </c>
      <c r="R1185" s="48"/>
      <c r="S1185" s="48"/>
      <c r="T1185" s="48"/>
      <c r="U1185" s="48"/>
      <c r="V1185" s="48"/>
      <c r="W1185" s="50"/>
      <c r="Z1185" s="12"/>
      <c r="AA1185" s="12"/>
    </row>
    <row r="1186">
      <c r="A1186" s="9">
        <f t="shared" si="1"/>
        <v>1183</v>
      </c>
      <c r="B1186" s="47" t="s">
        <v>1320</v>
      </c>
      <c r="C1186" s="48" t="str">
        <f>IFERROR(DIVIDE(VLOOKUP($B1186,Data!$B$3:$AB$1535,9,FALSE),VLOOKUP($B1186,Data!$B$3:$AB$1535,4,FALSE)),"")</f>
        <v/>
      </c>
      <c r="D1186" s="48" t="str">
        <f>IFERROR(DIVIDE(VLOOKUP($B1186,Data!$B$3:$AB$1535,24,FALSE),VLOOKUP($B1186,Data!$B$3:$AB$1535,4,FALSE)),"")</f>
        <v/>
      </c>
      <c r="E1186" s="48" t="str">
        <f>IFERROR(DIVIDE(VLOOKUP($B1186,Data!$B$3:$EZ1530,29,FALSE),VLOOKUP($B1186,Data!$B$3:$EZ1530,4,FALSE)),"")</f>
        <v/>
      </c>
      <c r="F1186" s="48" t="str">
        <f>IFERROR(DIVIDE(VLOOKUP($B1186,Data!$B$3:$EZ1530,34,FALSE),VLOOKUP($B1186,Data!$B$3:$EZ1530,4,FALSE)),"")</f>
        <v/>
      </c>
      <c r="G1186" s="48" t="str">
        <f>IFERROR(DIVIDE(VLOOKUP($B1186,Data!$B$3:$EZ1530,39,FALSE),VLOOKUP($B1186,Data!$B$3:$EZ1530,4,FALSE)),"")</f>
        <v/>
      </c>
      <c r="H1186" s="48" t="str">
        <f>IFERROR(DIVIDE(VLOOKUP($B1186,Data!$B$3:$EZ1530,44,FALSE),VLOOKUP($B1186,Data!$B$3:$EZ1530,4,FALSE)),"")</f>
        <v/>
      </c>
      <c r="I1186" s="48" t="str">
        <f>IFERROR(MINUS(DIVIDE(VLOOKUP($B1186,Data!$B$3:$EZ1530,9,FALSE),VLOOKUP($B1186,Data!$B$3:$EZ1530,10,FALSE)),1),"")</f>
        <v/>
      </c>
      <c r="J1186" s="48" t="str">
        <f>IFERROR(MINUS(DIVIDE(VLOOKUP($B1186,Data!$B$3:$EZ1530,24,FALSE),VLOOKUP($B1186,Data!$B$3:$EZ1530,25,FALSE)),1),"")</f>
        <v/>
      </c>
      <c r="K1186" s="48" t="str">
        <f>IFERROR(MINUS(DIVIDE(VLOOKUP($B1186,Data!$B$3:$EZ1530,29,FALSE),VLOOKUP($B1186,Data!$B$3:$EZ1530,30,FALSE)),1),"")</f>
        <v/>
      </c>
      <c r="L1186" s="48" t="str">
        <f>IFERROR(MINUS(DIVIDE(VLOOKUP($B1186,Data!$B$3:$EZ1530,34,FALSE),VLOOKUP($B1186,Data!$B$3:$EZ1530,35,FALSE)),1),"")</f>
        <v/>
      </c>
      <c r="M1186" s="48" t="str">
        <f>IFERROR(MINUS(DIVIDE(VLOOKUP($B1186,Data!$B$3:$EZ1530,39,FALSE),VLOOKUP($B1186,Data!$B$3:$EZ1530,40,FALSE)),1),"")</f>
        <v/>
      </c>
      <c r="N1186" s="48" t="str">
        <f>IFERROR(MINUS(DIVIDE(VLOOKUP($B1186,Data!$B$3:$EZ1530,44,FALSE),VLOOKUP($B1186,Data!$B$3:$EZ1530,45,FALSE)),1),"")</f>
        <v/>
      </c>
      <c r="O1186" s="50" t="str">
        <f>IFERROR(VLOOKUP($B1186,Data!$B$3:$D1530,2,FALSE),"")</f>
        <v/>
      </c>
      <c r="P1186" s="50" t="str">
        <f>IFERROR(VLOOKUP($B1186,Data!$B$3:$D1530,3,FALSE),"")</f>
        <v/>
      </c>
      <c r="Q1186" s="48" t="str">
        <f t="shared" si="2"/>
        <v/>
      </c>
      <c r="R1186" s="48"/>
      <c r="S1186" s="48"/>
      <c r="T1186" s="48"/>
      <c r="U1186" s="48"/>
      <c r="V1186" s="48"/>
      <c r="W1186" s="50"/>
      <c r="Z1186" s="11"/>
      <c r="AA1186" s="11"/>
    </row>
    <row r="1187">
      <c r="A1187" s="9">
        <f t="shared" si="1"/>
        <v>1184</v>
      </c>
      <c r="B1187" s="47" t="s">
        <v>1321</v>
      </c>
      <c r="C1187" s="48">
        <f>IFERROR(DIVIDE(VLOOKUP($B1187,Data!$B$3:$AB$1535,9,FALSE),VLOOKUP($B1187,Data!$B$3:$AB$1535,4,FALSE)),"")</f>
        <v>0.6534392715</v>
      </c>
      <c r="D1187" s="48">
        <f>IFERROR(DIVIDE(VLOOKUP($B1187,Data!$B$3:$AB$1535,24,FALSE),VLOOKUP($B1187,Data!$B$3:$AB$1535,4,FALSE)),"")</f>
        <v>-0.466633933</v>
      </c>
      <c r="E1187" s="48">
        <f>IFERROR(DIVIDE(VLOOKUP($B1187,Data!$B$3:$EZ1530,29,FALSE),VLOOKUP($B1187,Data!$B$3:$EZ1530,4,FALSE)),"")</f>
        <v>-0.388430121</v>
      </c>
      <c r="F1187" s="48">
        <f>IFERROR(DIVIDE(VLOOKUP($B1187,Data!$B$3:$EZ1530,34,FALSE),VLOOKUP($B1187,Data!$B$3:$EZ1530,4,FALSE)),"")</f>
        <v>-0.1960005356</v>
      </c>
      <c r="G1187" s="48">
        <f>IFERROR(DIVIDE(VLOOKUP($B1187,Data!$B$3:$EZ1530,39,FALSE),VLOOKUP($B1187,Data!$B$3:$EZ1530,4,FALSE)),"")</f>
        <v>-0.4036066598</v>
      </c>
      <c r="H1187" s="48">
        <f>IFERROR(DIVIDE(VLOOKUP($B1187,Data!$B$3:$EZ1530,44,FALSE),VLOOKUP($B1187,Data!$B$3:$EZ1530,4,FALSE)),"")</f>
        <v>0.6151854662</v>
      </c>
      <c r="I1187" s="48">
        <f>IFERROR(MINUS(DIVIDE(VLOOKUP($B1187,Data!$B$3:$EZ1530,9,FALSE),VLOOKUP($B1187,Data!$B$3:$EZ1530,10,FALSE)),1),"")</f>
        <v>-0.1482020249</v>
      </c>
      <c r="J1187" s="48">
        <f>IFERROR(MINUS(DIVIDE(VLOOKUP($B1187,Data!$B$3:$EZ1530,24,FALSE),VLOOKUP($B1187,Data!$B$3:$EZ1530,25,FALSE)),1),"")</f>
        <v>0.2020236863</v>
      </c>
      <c r="K1187" s="48">
        <f>IFERROR(MINUS(DIVIDE(VLOOKUP($B1187,Data!$B$3:$EZ1530,29,FALSE),VLOOKUP($B1187,Data!$B$3:$EZ1530,30,FALSE)),1),"")</f>
        <v>0.2320543678</v>
      </c>
      <c r="L1187" s="48">
        <f>IFERROR(MINUS(DIVIDE(VLOOKUP($B1187,Data!$B$3:$EZ1530,34,FALSE),VLOOKUP($B1187,Data!$B$3:$EZ1530,35,FALSE)),1),"")</f>
        <v>-0.01679355128</v>
      </c>
      <c r="M1187" s="48">
        <f>IFERROR(MINUS(DIVIDE(VLOOKUP($B1187,Data!$B$3:$EZ1530,39,FALSE),VLOOKUP($B1187,Data!$B$3:$EZ1530,40,FALSE)),1),"")</f>
        <v>-0.4275766017</v>
      </c>
      <c r="N1187" s="48">
        <f>IFERROR(MINUS(DIVIDE(VLOOKUP($B1187,Data!$B$3:$EZ1530,44,FALSE),VLOOKUP($B1187,Data!$B$3:$EZ1530,45,FALSE)),1),"")</f>
        <v>0.5819559229</v>
      </c>
      <c r="O1187" s="50">
        <f>IFERROR(VLOOKUP($B1187,Data!$B$3:$D1530,2,FALSE),"")</f>
        <v>420840</v>
      </c>
      <c r="P1187" s="50">
        <f>IFERROR(VLOOKUP($B1187,Data!$B$3:$D1530,3,FALSE),"")</f>
        <v>399520</v>
      </c>
      <c r="Q1187" s="48">
        <f t="shared" si="2"/>
        <v>0.05336403684</v>
      </c>
      <c r="R1187" s="48"/>
      <c r="S1187" s="48"/>
      <c r="T1187" s="48"/>
      <c r="U1187" s="48"/>
      <c r="V1187" s="48"/>
      <c r="W1187" s="50"/>
      <c r="Z1187" s="12"/>
      <c r="AA1187" s="12"/>
    </row>
    <row r="1188">
      <c r="A1188" s="9">
        <f t="shared" si="1"/>
        <v>1185</v>
      </c>
      <c r="B1188" s="47" t="s">
        <v>1322</v>
      </c>
      <c r="C1188" s="48">
        <f>IFERROR(DIVIDE(VLOOKUP($B1188,Data!$B$3:$AB$1535,9,FALSE),VLOOKUP($B1188,Data!$B$3:$AB$1535,4,FALSE)),"")</f>
        <v>0.04632952692</v>
      </c>
      <c r="D1188" s="48">
        <f>IFERROR(DIVIDE(VLOOKUP($B1188,Data!$B$3:$AB$1535,24,FALSE),VLOOKUP($B1188,Data!$B$3:$AB$1535,4,FALSE)),"")</f>
        <v>-0.5632952692</v>
      </c>
      <c r="E1188" s="48">
        <f>IFERROR(DIVIDE(VLOOKUP($B1188,Data!$B$3:$EZ1530,29,FALSE),VLOOKUP($B1188,Data!$B$3:$EZ1530,4,FALSE)),"")</f>
        <v>-0.5567699837</v>
      </c>
      <c r="F1188" s="48">
        <f>IFERROR(DIVIDE(VLOOKUP($B1188,Data!$B$3:$EZ1530,34,FALSE),VLOOKUP($B1188,Data!$B$3:$EZ1530,4,FALSE)),"")</f>
        <v>-0.5128874388</v>
      </c>
      <c r="G1188" s="48">
        <f>IFERROR(DIVIDE(VLOOKUP($B1188,Data!$B$3:$EZ1530,39,FALSE),VLOOKUP($B1188,Data!$B$3:$EZ1530,4,FALSE)),"")</f>
        <v>-0.5567699837</v>
      </c>
      <c r="H1188" s="48">
        <f>IFERROR(DIVIDE(VLOOKUP($B1188,Data!$B$3:$EZ1530,44,FALSE),VLOOKUP($B1188,Data!$B$3:$EZ1530,4,FALSE)),"")</f>
        <v>-0.4151712887</v>
      </c>
      <c r="I1188" s="48">
        <f>IFERROR(MINUS(DIVIDE(VLOOKUP($B1188,Data!$B$3:$EZ1530,9,FALSE),VLOOKUP($B1188,Data!$B$3:$EZ1530,10,FALSE)),1),"")</f>
        <v>-2.797468354</v>
      </c>
      <c r="J1188" s="48">
        <f>IFERROR(MINUS(DIVIDE(VLOOKUP($B1188,Data!$B$3:$EZ1530,24,FALSE),VLOOKUP($B1188,Data!$B$3:$EZ1530,25,FALSE)),1),"")</f>
        <v>0.06442663379</v>
      </c>
      <c r="K1188" s="48">
        <f>IFERROR(MINUS(DIVIDE(VLOOKUP($B1188,Data!$B$3:$EZ1530,29,FALSE),VLOOKUP($B1188,Data!$B$3:$EZ1530,30,FALSE)),1),"")</f>
        <v>0.06224712107</v>
      </c>
      <c r="L1188" s="48">
        <f>IFERROR(MINUS(DIVIDE(VLOOKUP($B1188,Data!$B$3:$EZ1530,34,FALSE),VLOOKUP($B1188,Data!$B$3:$EZ1530,35,FALSE)),1),"")</f>
        <v>0.02210663199</v>
      </c>
      <c r="M1188" s="48">
        <f>IFERROR(MINUS(DIVIDE(VLOOKUP($B1188,Data!$B$3:$EZ1530,39,FALSE),VLOOKUP($B1188,Data!$B$3:$EZ1530,40,FALSE)),1),"")</f>
        <v>0.06224712107</v>
      </c>
      <c r="N1188" s="48">
        <f>IFERROR(MINUS(DIVIDE(VLOOKUP($B1188,Data!$B$3:$EZ1530,44,FALSE),VLOOKUP($B1188,Data!$B$3:$EZ1530,45,FALSE)),1),"")</f>
        <v>0.2463271303</v>
      </c>
      <c r="O1188" s="50">
        <f>IFERROR(VLOOKUP($B1188,Data!$B$3:$D1530,2,FALSE),"")</f>
        <v>114570</v>
      </c>
      <c r="P1188" s="50">
        <f>IFERROR(VLOOKUP($B1188,Data!$B$3:$D1530,3,FALSE),"")</f>
        <v>67050</v>
      </c>
      <c r="Q1188" s="48">
        <f t="shared" si="2"/>
        <v>0.7087248322</v>
      </c>
      <c r="R1188" s="48"/>
      <c r="S1188" s="48"/>
      <c r="T1188" s="48"/>
      <c r="U1188" s="48"/>
      <c r="V1188" s="48"/>
      <c r="W1188" s="50"/>
      <c r="Z1188" s="12"/>
      <c r="AA1188" s="12"/>
    </row>
    <row r="1189">
      <c r="A1189" s="9">
        <f t="shared" si="1"/>
        <v>1186</v>
      </c>
      <c r="B1189" s="47" t="s">
        <v>1323</v>
      </c>
      <c r="C1189" s="48" t="str">
        <f>IFERROR(DIVIDE(VLOOKUP($B1189,Data!$B$3:$AB$1535,9,FALSE),VLOOKUP($B1189,Data!$B$3:$AB$1535,4,FALSE)),"")</f>
        <v/>
      </c>
      <c r="D1189" s="48" t="str">
        <f>IFERROR(DIVIDE(VLOOKUP($B1189,Data!$B$3:$AB$1535,24,FALSE),VLOOKUP($B1189,Data!$B$3:$AB$1535,4,FALSE)),"")</f>
        <v/>
      </c>
      <c r="E1189" s="48" t="str">
        <f>IFERROR(DIVIDE(VLOOKUP($B1189,Data!$B$3:$EZ1530,29,FALSE),VLOOKUP($B1189,Data!$B$3:$EZ1530,4,FALSE)),"")</f>
        <v/>
      </c>
      <c r="F1189" s="48" t="str">
        <f>IFERROR(DIVIDE(VLOOKUP($B1189,Data!$B$3:$EZ1530,34,FALSE),VLOOKUP($B1189,Data!$B$3:$EZ1530,4,FALSE)),"")</f>
        <v/>
      </c>
      <c r="G1189" s="48" t="str">
        <f>IFERROR(DIVIDE(VLOOKUP($B1189,Data!$B$3:$EZ1530,39,FALSE),VLOOKUP($B1189,Data!$B$3:$EZ1530,4,FALSE)),"")</f>
        <v/>
      </c>
      <c r="H1189" s="48" t="str">
        <f>IFERROR(DIVIDE(VLOOKUP($B1189,Data!$B$3:$EZ1530,44,FALSE),VLOOKUP($B1189,Data!$B$3:$EZ1530,4,FALSE)),"")</f>
        <v/>
      </c>
      <c r="I1189" s="48" t="str">
        <f>IFERROR(MINUS(DIVIDE(VLOOKUP($B1189,Data!$B$3:$EZ1530,9,FALSE),VLOOKUP($B1189,Data!$B$3:$EZ1530,10,FALSE)),1),"")</f>
        <v/>
      </c>
      <c r="J1189" s="48" t="str">
        <f>IFERROR(MINUS(DIVIDE(VLOOKUP($B1189,Data!$B$3:$EZ1530,24,FALSE),VLOOKUP($B1189,Data!$B$3:$EZ1530,25,FALSE)),1),"")</f>
        <v/>
      </c>
      <c r="K1189" s="48" t="str">
        <f>IFERROR(MINUS(DIVIDE(VLOOKUP($B1189,Data!$B$3:$EZ1530,29,FALSE),VLOOKUP($B1189,Data!$B$3:$EZ1530,30,FALSE)),1),"")</f>
        <v/>
      </c>
      <c r="L1189" s="48" t="str">
        <f>IFERROR(MINUS(DIVIDE(VLOOKUP($B1189,Data!$B$3:$EZ1530,34,FALSE),VLOOKUP($B1189,Data!$B$3:$EZ1530,35,FALSE)),1),"")</f>
        <v/>
      </c>
      <c r="M1189" s="48" t="str">
        <f>IFERROR(MINUS(DIVIDE(VLOOKUP($B1189,Data!$B$3:$EZ1530,39,FALSE),VLOOKUP($B1189,Data!$B$3:$EZ1530,40,FALSE)),1),"")</f>
        <v/>
      </c>
      <c r="N1189" s="48" t="str">
        <f>IFERROR(MINUS(DIVIDE(VLOOKUP($B1189,Data!$B$3:$EZ1530,44,FALSE),VLOOKUP($B1189,Data!$B$3:$EZ1530,45,FALSE)),1),"")</f>
        <v/>
      </c>
      <c r="O1189" s="50">
        <f>IFERROR(VLOOKUP($B1189,Data!$B$3:$D1530,2,FALSE),"")</f>
        <v>2600</v>
      </c>
      <c r="P1189" s="50">
        <f>IFERROR(VLOOKUP($B1189,Data!$B$3:$D1530,3,FALSE),"")</f>
        <v>4020</v>
      </c>
      <c r="Q1189" s="48">
        <f t="shared" si="2"/>
        <v>-0.3532338308</v>
      </c>
      <c r="R1189" s="48"/>
      <c r="S1189" s="48"/>
      <c r="T1189" s="48"/>
      <c r="U1189" s="48"/>
      <c r="V1189" s="48"/>
      <c r="W1189" s="50"/>
      <c r="Z1189" s="15"/>
      <c r="AA1189" s="15"/>
    </row>
    <row r="1190">
      <c r="A1190" s="9">
        <f t="shared" si="1"/>
        <v>1187</v>
      </c>
      <c r="B1190" s="47" t="s">
        <v>1324</v>
      </c>
      <c r="C1190" s="48">
        <f>IFERROR(DIVIDE(VLOOKUP($B1190,Data!$B$3:$AB$1535,9,FALSE),VLOOKUP($B1190,Data!$B$3:$AB$1535,4,FALSE)),"")</f>
        <v>0.2376666667</v>
      </c>
      <c r="D1190" s="48">
        <f>IFERROR(DIVIDE(VLOOKUP($B1190,Data!$B$3:$AB$1535,24,FALSE),VLOOKUP($B1190,Data!$B$3:$AB$1535,4,FALSE)),"")</f>
        <v>0.08365714286</v>
      </c>
      <c r="E1190" s="48">
        <f>IFERROR(DIVIDE(VLOOKUP($B1190,Data!$B$3:$EZ1530,29,FALSE),VLOOKUP($B1190,Data!$B$3:$EZ1530,4,FALSE)),"")</f>
        <v>0.08072380952</v>
      </c>
      <c r="F1190" s="48">
        <f>IFERROR(DIVIDE(VLOOKUP($B1190,Data!$B$3:$EZ1530,34,FALSE),VLOOKUP($B1190,Data!$B$3:$EZ1530,4,FALSE)),"")</f>
        <v>0.1145333333</v>
      </c>
      <c r="G1190" s="48">
        <f>IFERROR(DIVIDE(VLOOKUP($B1190,Data!$B$3:$EZ1530,39,FALSE),VLOOKUP($B1190,Data!$B$3:$EZ1530,4,FALSE)),"")</f>
        <v>0.06199047619</v>
      </c>
      <c r="H1190" s="48">
        <f>IFERROR(DIVIDE(VLOOKUP($B1190,Data!$B$3:$EZ1530,44,FALSE),VLOOKUP($B1190,Data!$B$3:$EZ1530,4,FALSE)),"")</f>
        <v>0.1225714286</v>
      </c>
      <c r="I1190" s="48">
        <f>IFERROR(MINUS(DIVIDE(VLOOKUP($B1190,Data!$B$3:$EZ1530,9,FALSE),VLOOKUP($B1190,Data!$B$3:$EZ1530,10,FALSE)),1),"")</f>
        <v>0.02161542555</v>
      </c>
      <c r="J1190" s="48">
        <f>IFERROR(MINUS(DIVIDE(VLOOKUP($B1190,Data!$B$3:$EZ1530,24,FALSE),VLOOKUP($B1190,Data!$B$3:$EZ1530,25,FALSE)),1),"")</f>
        <v>-0.06523358519</v>
      </c>
      <c r="K1190" s="48">
        <f>IFERROR(MINUS(DIVIDE(VLOOKUP($B1190,Data!$B$3:$EZ1530,29,FALSE),VLOOKUP($B1190,Data!$B$3:$EZ1530,30,FALSE)),1),"")</f>
        <v>0.06016260163</v>
      </c>
      <c r="L1190" s="48">
        <f>IFERROR(MINUS(DIVIDE(VLOOKUP($B1190,Data!$B$3:$EZ1530,34,FALSE),VLOOKUP($B1190,Data!$B$3:$EZ1530,35,FALSE)),1),"")</f>
        <v>-0.007837637159</v>
      </c>
      <c r="M1190" s="48">
        <f>IFERROR(MINUS(DIVIDE(VLOOKUP($B1190,Data!$B$3:$EZ1530,39,FALSE),VLOOKUP($B1190,Data!$B$3:$EZ1530,40,FALSE)),1),"")</f>
        <v>0.02005955179</v>
      </c>
      <c r="N1190" s="48">
        <f>IFERROR(MINUS(DIVIDE(VLOOKUP($B1190,Data!$B$3:$EZ1530,44,FALSE),VLOOKUP($B1190,Data!$B$3:$EZ1530,45,FALSE)),1),"")</f>
        <v>0.3193234239</v>
      </c>
      <c r="O1190" s="50">
        <f>IFERROR(VLOOKUP($B1190,Data!$B$3:$D1530,2,FALSE),"")</f>
        <v>1200000</v>
      </c>
      <c r="P1190" s="50">
        <f>IFERROR(VLOOKUP($B1190,Data!$B$3:$D1530,3,FALSE),"")</f>
        <v>1100000</v>
      </c>
      <c r="Q1190" s="48">
        <f t="shared" si="2"/>
        <v>0.09090909091</v>
      </c>
      <c r="R1190" s="48"/>
      <c r="S1190" s="48"/>
      <c r="T1190" s="48"/>
      <c r="U1190" s="48"/>
      <c r="V1190" s="48"/>
      <c r="W1190" s="50"/>
      <c r="Z1190" s="11"/>
      <c r="AA1190" s="11"/>
    </row>
    <row r="1191">
      <c r="A1191" s="9">
        <f t="shared" si="1"/>
        <v>1188</v>
      </c>
      <c r="B1191" s="47" t="s">
        <v>1325</v>
      </c>
      <c r="C1191" s="48">
        <f>IFERROR(DIVIDE(VLOOKUP($B1191,Data!$B$3:$AB$1535,9,FALSE),VLOOKUP($B1191,Data!$B$3:$AB$1535,4,FALSE)),"")</f>
        <v>0.4872944694</v>
      </c>
      <c r="D1191" s="48">
        <f>IFERROR(DIVIDE(VLOOKUP($B1191,Data!$B$3:$AB$1535,24,FALSE),VLOOKUP($B1191,Data!$B$3:$AB$1535,4,FALSE)),"")</f>
        <v>0.1460089686</v>
      </c>
      <c r="E1191" s="48">
        <f>IFERROR(DIVIDE(VLOOKUP($B1191,Data!$B$3:$EZ1530,29,FALSE),VLOOKUP($B1191,Data!$B$3:$EZ1530,4,FALSE)),"")</f>
        <v>0.1346786248</v>
      </c>
      <c r="F1191" s="48">
        <f>IFERROR(DIVIDE(VLOOKUP($B1191,Data!$B$3:$EZ1530,34,FALSE),VLOOKUP($B1191,Data!$B$3:$EZ1530,4,FALSE)),"")</f>
        <v>0.2242152466</v>
      </c>
      <c r="G1191" s="48">
        <f>IFERROR(DIVIDE(VLOOKUP($B1191,Data!$B$3:$EZ1530,39,FALSE),VLOOKUP($B1191,Data!$B$3:$EZ1530,4,FALSE)),"")</f>
        <v>0.1039013453</v>
      </c>
      <c r="H1191" s="48">
        <f>IFERROR(DIVIDE(VLOOKUP($B1191,Data!$B$3:$EZ1530,44,FALSE),VLOOKUP($B1191,Data!$B$3:$EZ1530,4,FALSE)),"")</f>
        <v>0.1763826607</v>
      </c>
      <c r="I1191" s="48">
        <f>IFERROR(MINUS(DIVIDE(VLOOKUP($B1191,Data!$B$3:$EZ1530,9,FALSE),VLOOKUP($B1191,Data!$B$3:$EZ1530,10,FALSE)),1),"")</f>
        <v>-0.003058103976</v>
      </c>
      <c r="J1191" s="48">
        <f>IFERROR(MINUS(DIVIDE(VLOOKUP($B1191,Data!$B$3:$EZ1530,24,FALSE),VLOOKUP($B1191,Data!$B$3:$EZ1530,25,FALSE)),1),"")</f>
        <v>9.745874587</v>
      </c>
      <c r="K1191" s="48">
        <f>IFERROR(MINUS(DIVIDE(VLOOKUP($B1191,Data!$B$3:$EZ1530,29,FALSE),VLOOKUP($B1191,Data!$B$3:$EZ1530,30,FALSE)),1),"")</f>
        <v>-0.322556391</v>
      </c>
      <c r="L1191" s="48">
        <f>IFERROR(MINUS(DIVIDE(VLOOKUP($B1191,Data!$B$3:$EZ1530,34,FALSE),VLOOKUP($B1191,Data!$B$3:$EZ1530,35,FALSE)),1),"")</f>
        <v>0.02040816327</v>
      </c>
      <c r="M1191" s="48">
        <f>IFERROR(MINUS(DIVIDE(VLOOKUP($B1191,Data!$B$3:$EZ1530,39,FALSE),VLOOKUP($B1191,Data!$B$3:$EZ1530,40,FALSE)),1),"")</f>
        <v>0.2992523364</v>
      </c>
      <c r="N1191" s="48">
        <f>IFERROR(MINUS(DIVIDE(VLOOKUP($B1191,Data!$B$3:$EZ1530,44,FALSE),VLOOKUP($B1191,Data!$B$3:$EZ1530,45,FALSE)),1),"")</f>
        <v>-0.09230769231</v>
      </c>
      <c r="O1191" s="50">
        <f>IFERROR(VLOOKUP($B1191,Data!$B$3:$D1530,2,FALSE),"")</f>
        <v>6650000</v>
      </c>
      <c r="P1191" s="50">
        <f>IFERROR(VLOOKUP($B1191,Data!$B$3:$D1530,3,FALSE),"")</f>
        <v>6330000</v>
      </c>
      <c r="Q1191" s="48">
        <f t="shared" si="2"/>
        <v>0.05055292259</v>
      </c>
      <c r="R1191" s="48"/>
      <c r="S1191" s="48"/>
      <c r="T1191" s="48"/>
      <c r="U1191" s="48"/>
      <c r="V1191" s="48"/>
      <c r="W1191" s="50"/>
      <c r="Z1191" s="11"/>
      <c r="AA1191" s="11"/>
    </row>
    <row r="1192">
      <c r="A1192" s="9">
        <f t="shared" si="1"/>
        <v>1189</v>
      </c>
      <c r="B1192" s="47" t="s">
        <v>1326</v>
      </c>
      <c r="C1192" s="48">
        <f>IFERROR(DIVIDE(VLOOKUP($B1192,Data!$B$3:$AB$1535,9,FALSE),VLOOKUP($B1192,Data!$B$3:$AB$1535,4,FALSE)),"")</f>
        <v>0.6387337058</v>
      </c>
      <c r="D1192" s="48">
        <f>IFERROR(DIVIDE(VLOOKUP($B1192,Data!$B$3:$AB$1535,24,FALSE),VLOOKUP($B1192,Data!$B$3:$AB$1535,4,FALSE)),"")</f>
        <v>0</v>
      </c>
      <c r="E1192" s="48">
        <f>IFERROR(DIVIDE(VLOOKUP($B1192,Data!$B$3:$EZ1530,29,FALSE),VLOOKUP($B1192,Data!$B$3:$EZ1530,4,FALSE)),"")</f>
        <v>0.4152700186</v>
      </c>
      <c r="F1192" s="48">
        <f>IFERROR(DIVIDE(VLOOKUP($B1192,Data!$B$3:$EZ1530,34,FALSE),VLOOKUP($B1192,Data!$B$3:$EZ1530,4,FALSE)),"")</f>
        <v>0.355679702</v>
      </c>
      <c r="G1192" s="48">
        <f>IFERROR(DIVIDE(VLOOKUP($B1192,Data!$B$3:$EZ1530,39,FALSE),VLOOKUP($B1192,Data!$B$3:$EZ1530,4,FALSE)),"")</f>
        <v>0.3296089385</v>
      </c>
      <c r="H1192" s="48">
        <f>IFERROR(DIVIDE(VLOOKUP($B1192,Data!$B$3:$EZ1530,44,FALSE),VLOOKUP($B1192,Data!$B$3:$EZ1530,4,FALSE)),"")</f>
        <v>0.2718808194</v>
      </c>
      <c r="I1192" s="48">
        <f>IFERROR(MINUS(DIVIDE(VLOOKUP($B1192,Data!$B$3:$EZ1530,9,FALSE),VLOOKUP($B1192,Data!$B$3:$EZ1530,10,FALSE)),1),"")</f>
        <v>0.04573170732</v>
      </c>
      <c r="J1192" s="48">
        <f>IFERROR(MINUS(DIVIDE(VLOOKUP($B1192,Data!$B$3:$EZ1530,24,FALSE),VLOOKUP($B1192,Data!$B$3:$EZ1530,25,FALSE)),1),"")</f>
        <v>-1</v>
      </c>
      <c r="K1192" s="48">
        <f>IFERROR(MINUS(DIVIDE(VLOOKUP($B1192,Data!$B$3:$EZ1530,29,FALSE),VLOOKUP($B1192,Data!$B$3:$EZ1530,30,FALSE)),1),"")</f>
        <v>0.8583333333</v>
      </c>
      <c r="L1192" s="48">
        <f>IFERROR(MINUS(DIVIDE(VLOOKUP($B1192,Data!$B$3:$EZ1530,34,FALSE),VLOOKUP($B1192,Data!$B$3:$EZ1530,35,FALSE)),1),"")</f>
        <v>0.08522727273</v>
      </c>
      <c r="M1192" s="48">
        <f>IFERROR(MINUS(DIVIDE(VLOOKUP($B1192,Data!$B$3:$EZ1530,39,FALSE),VLOOKUP($B1192,Data!$B$3:$EZ1530,40,FALSE)),1),"")</f>
        <v>0.874205845</v>
      </c>
      <c r="N1192" s="48">
        <f>IFERROR(MINUS(DIVIDE(VLOOKUP($B1192,Data!$B$3:$EZ1530,44,FALSE),VLOOKUP($B1192,Data!$B$3:$EZ1530,45,FALSE)),1),"")</f>
        <v>0.02097902098</v>
      </c>
      <c r="O1192" s="50">
        <f>IFERROR(VLOOKUP($B1192,Data!$B$3:$D1530,2,FALSE),"")</f>
        <v>5960000</v>
      </c>
      <c r="P1192" s="50">
        <f>IFERROR(VLOOKUP($B1192,Data!$B$3:$D1530,3,FALSE),"")</f>
        <v>5460000</v>
      </c>
      <c r="Q1192" s="48">
        <f t="shared" si="2"/>
        <v>0.09157509158</v>
      </c>
      <c r="R1192" s="48"/>
      <c r="S1192" s="48"/>
      <c r="T1192" s="48"/>
      <c r="U1192" s="48"/>
      <c r="V1192" s="48"/>
      <c r="W1192" s="50"/>
      <c r="Z1192" s="11"/>
      <c r="AA1192" s="11"/>
    </row>
    <row r="1193">
      <c r="A1193" s="9">
        <f t="shared" si="1"/>
        <v>1190</v>
      </c>
      <c r="B1193" s="47" t="s">
        <v>1327</v>
      </c>
      <c r="C1193" s="48">
        <f>IFERROR(DIVIDE(VLOOKUP($B1193,Data!$B$3:$AB$1535,9,FALSE),VLOOKUP($B1193,Data!$B$3:$AB$1535,4,FALSE)),"")</f>
        <v>0.2805486284</v>
      </c>
      <c r="D1193" s="48">
        <f>IFERROR(DIVIDE(VLOOKUP($B1193,Data!$B$3:$AB$1535,24,FALSE),VLOOKUP($B1193,Data!$B$3:$AB$1535,4,FALSE)),"")</f>
        <v>0</v>
      </c>
      <c r="E1193" s="48">
        <f>IFERROR(DIVIDE(VLOOKUP($B1193,Data!$B$3:$EZ1530,29,FALSE),VLOOKUP($B1193,Data!$B$3:$EZ1530,4,FALSE)),"")</f>
        <v>0.1346633416</v>
      </c>
      <c r="F1193" s="48">
        <f>IFERROR(DIVIDE(VLOOKUP($B1193,Data!$B$3:$EZ1530,34,FALSE),VLOOKUP($B1193,Data!$B$3:$EZ1530,4,FALSE)),"")</f>
        <v>0.1558603491</v>
      </c>
      <c r="G1193" s="48">
        <f>IFERROR(DIVIDE(VLOOKUP($B1193,Data!$B$3:$EZ1530,39,FALSE),VLOOKUP($B1193,Data!$B$3:$EZ1530,4,FALSE)),"")</f>
        <v>0.1034912718</v>
      </c>
      <c r="H1193" s="48">
        <f>IFERROR(DIVIDE(VLOOKUP($B1193,Data!$B$3:$EZ1530,44,FALSE),VLOOKUP($B1193,Data!$B$3:$EZ1530,4,FALSE)),"")</f>
        <v>0.135286783</v>
      </c>
      <c r="I1193" s="48">
        <f>IFERROR(MINUS(DIVIDE(VLOOKUP($B1193,Data!$B$3:$EZ1530,9,FALSE),VLOOKUP($B1193,Data!$B$3:$EZ1530,10,FALSE)),1),"")</f>
        <v>0.05633802817</v>
      </c>
      <c r="J1193" s="48" t="str">
        <f>IFERROR(MINUS(DIVIDE(VLOOKUP($B1193,Data!$B$3:$EZ1530,24,FALSE),VLOOKUP($B1193,Data!$B$3:$EZ1530,25,FALSE)),1),"")</f>
        <v/>
      </c>
      <c r="K1193" s="48">
        <f>IFERROR(MINUS(DIVIDE(VLOOKUP($B1193,Data!$B$3:$EZ1530,29,FALSE),VLOOKUP($B1193,Data!$B$3:$EZ1530,30,FALSE)),1),"")</f>
        <v>0.05365853659</v>
      </c>
      <c r="L1193" s="48">
        <f>IFERROR(MINUS(DIVIDE(VLOOKUP($B1193,Data!$B$3:$EZ1530,34,FALSE),VLOOKUP($B1193,Data!$B$3:$EZ1530,35,FALSE)),1),"")</f>
        <v>0.05485232068</v>
      </c>
      <c r="M1193" s="48">
        <f>IFERROR(MINUS(DIVIDE(VLOOKUP($B1193,Data!$B$3:$EZ1530,39,FALSE),VLOOKUP($B1193,Data!$B$3:$EZ1530,40,FALSE)),1),"")</f>
        <v>0.04402515723</v>
      </c>
      <c r="N1193" s="48">
        <f>IFERROR(MINUS(DIVIDE(VLOOKUP($B1193,Data!$B$3:$EZ1530,44,FALSE),VLOOKUP($B1193,Data!$B$3:$EZ1530,45,FALSE)),1),"")</f>
        <v>0.04830917874</v>
      </c>
      <c r="O1193" s="50">
        <f>IFERROR(VLOOKUP($B1193,Data!$B$3:$D1530,2,FALSE),"")</f>
        <v>16170000</v>
      </c>
      <c r="P1193" s="50">
        <f>IFERROR(VLOOKUP($B1193,Data!$B$3:$D1530,3,FALSE),"")</f>
        <v>12460000</v>
      </c>
      <c r="Q1193" s="48">
        <f t="shared" si="2"/>
        <v>0.297752809</v>
      </c>
      <c r="R1193" s="48"/>
      <c r="S1193" s="48"/>
      <c r="T1193" s="48"/>
      <c r="U1193" s="48"/>
      <c r="V1193" s="48"/>
      <c r="W1193" s="50"/>
      <c r="Z1193" s="11"/>
      <c r="AA1193" s="11"/>
    </row>
    <row r="1194">
      <c r="A1194" s="9">
        <f t="shared" si="1"/>
        <v>1191</v>
      </c>
      <c r="B1194" s="47" t="s">
        <v>1328</v>
      </c>
      <c r="C1194" s="48">
        <f>IFERROR(DIVIDE(VLOOKUP($B1194,Data!$B$3:$AB$1535,9,FALSE),VLOOKUP($B1194,Data!$B$3:$AB$1535,4,FALSE)),"")</f>
        <v>0.4064748201</v>
      </c>
      <c r="D1194" s="48">
        <f>IFERROR(DIVIDE(VLOOKUP($B1194,Data!$B$3:$AB$1535,24,FALSE),VLOOKUP($B1194,Data!$B$3:$AB$1535,4,FALSE)),"")</f>
        <v>0.07826978417</v>
      </c>
      <c r="E1194" s="48">
        <f>IFERROR(DIVIDE(VLOOKUP($B1194,Data!$B$3:$EZ1530,29,FALSE),VLOOKUP($B1194,Data!$B$3:$EZ1530,4,FALSE)),"")</f>
        <v>0.06112410072</v>
      </c>
      <c r="F1194" s="48">
        <f>IFERROR(DIVIDE(VLOOKUP($B1194,Data!$B$3:$EZ1530,34,FALSE),VLOOKUP($B1194,Data!$B$3:$EZ1530,4,FALSE)),"")</f>
        <v>0.1146528777</v>
      </c>
      <c r="G1194" s="48">
        <f>IFERROR(DIVIDE(VLOOKUP($B1194,Data!$B$3:$EZ1530,39,FALSE),VLOOKUP($B1194,Data!$B$3:$EZ1530,4,FALSE)),"")</f>
        <v>0.04766906475</v>
      </c>
      <c r="H1194" s="48">
        <f>IFERROR(DIVIDE(VLOOKUP($B1194,Data!$B$3:$EZ1530,44,FALSE),VLOOKUP($B1194,Data!$B$3:$EZ1530,4,FALSE)),"")</f>
        <v>0.05268705036</v>
      </c>
      <c r="I1194" s="48">
        <f>IFERROR(MINUS(DIVIDE(VLOOKUP($B1194,Data!$B$3:$EZ1530,9,FALSE),VLOOKUP($B1194,Data!$B$3:$EZ1530,10,FALSE)),1),"")</f>
        <v>0.03669724771</v>
      </c>
      <c r="J1194" s="48">
        <f>IFERROR(MINUS(DIVIDE(VLOOKUP($B1194,Data!$B$3:$EZ1530,24,FALSE),VLOOKUP($B1194,Data!$B$3:$EZ1530,25,FALSE)),1),"")</f>
        <v>-0.1306137126</v>
      </c>
      <c r="K1194" s="48">
        <f>IFERROR(MINUS(DIVIDE(VLOOKUP($B1194,Data!$B$3:$EZ1530,29,FALSE),VLOOKUP($B1194,Data!$B$3:$EZ1530,30,FALSE)),1),"")</f>
        <v>-0.1851096991</v>
      </c>
      <c r="L1194" s="48">
        <f>IFERROR(MINUS(DIVIDE(VLOOKUP($B1194,Data!$B$3:$EZ1530,34,FALSE),VLOOKUP($B1194,Data!$B$3:$EZ1530,35,FALSE)),1),"")</f>
        <v>-0.028646746</v>
      </c>
      <c r="M1194" s="48">
        <f>IFERROR(MINUS(DIVIDE(VLOOKUP($B1194,Data!$B$3:$EZ1530,39,FALSE),VLOOKUP($B1194,Data!$B$3:$EZ1530,40,FALSE)),1),"")</f>
        <v>-0.206253182</v>
      </c>
      <c r="N1194" s="48">
        <f>IFERROR(MINUS(DIVIDE(VLOOKUP($B1194,Data!$B$3:$EZ1530,44,FALSE),VLOOKUP($B1194,Data!$B$3:$EZ1530,45,FALSE)),1),"")</f>
        <v>-0.249602951</v>
      </c>
      <c r="O1194" s="50">
        <f>IFERROR(VLOOKUP($B1194,Data!$B$3:$D1530,2,FALSE),"")</f>
        <v>5480000</v>
      </c>
      <c r="P1194" s="50">
        <f>IFERROR(VLOOKUP($B1194,Data!$B$3:$D1530,3,FALSE),"")</f>
        <v>5450000</v>
      </c>
      <c r="Q1194" s="48">
        <f t="shared" si="2"/>
        <v>0.005504587156</v>
      </c>
      <c r="R1194" s="48"/>
      <c r="S1194" s="48"/>
      <c r="T1194" s="48"/>
      <c r="U1194" s="48"/>
      <c r="V1194" s="48"/>
      <c r="W1194" s="50"/>
      <c r="Z1194" s="11"/>
      <c r="AA1194" s="11"/>
    </row>
    <row r="1195">
      <c r="A1195" s="9">
        <f t="shared" si="1"/>
        <v>1192</v>
      </c>
      <c r="B1195" s="47" t="s">
        <v>1329</v>
      </c>
      <c r="C1195" s="48" t="str">
        <f>IFERROR(DIVIDE(VLOOKUP($B1195,Data!$B$3:$AB$1535,9,FALSE),VLOOKUP($B1195,Data!$B$3:$AB$1535,4,FALSE)),"")</f>
        <v/>
      </c>
      <c r="D1195" s="48" t="str">
        <f>IFERROR(DIVIDE(VLOOKUP($B1195,Data!$B$3:$AB$1535,24,FALSE),VLOOKUP($B1195,Data!$B$3:$AB$1535,4,FALSE)),"")</f>
        <v/>
      </c>
      <c r="E1195" s="48" t="str">
        <f>IFERROR(DIVIDE(VLOOKUP($B1195,Data!$B$3:$EZ1530,29,FALSE),VLOOKUP($B1195,Data!$B$3:$EZ1530,4,FALSE)),"")</f>
        <v/>
      </c>
      <c r="F1195" s="48" t="str">
        <f>IFERROR(DIVIDE(VLOOKUP($B1195,Data!$B$3:$EZ1530,34,FALSE),VLOOKUP($B1195,Data!$B$3:$EZ1530,4,FALSE)),"")</f>
        <v/>
      </c>
      <c r="G1195" s="48" t="str">
        <f>IFERROR(DIVIDE(VLOOKUP($B1195,Data!$B$3:$EZ1530,39,FALSE),VLOOKUP($B1195,Data!$B$3:$EZ1530,4,FALSE)),"")</f>
        <v/>
      </c>
      <c r="H1195" s="48" t="str">
        <f>IFERROR(DIVIDE(VLOOKUP($B1195,Data!$B$3:$EZ1530,44,FALSE),VLOOKUP($B1195,Data!$B$3:$EZ1530,4,FALSE)),"")</f>
        <v/>
      </c>
      <c r="I1195" s="48" t="str">
        <f>IFERROR(MINUS(DIVIDE(VLOOKUP($B1195,Data!$B$3:$EZ1530,9,FALSE),VLOOKUP($B1195,Data!$B$3:$EZ1530,10,FALSE)),1),"")</f>
        <v/>
      </c>
      <c r="J1195" s="48" t="str">
        <f>IFERROR(MINUS(DIVIDE(VLOOKUP($B1195,Data!$B$3:$EZ1530,24,FALSE),VLOOKUP($B1195,Data!$B$3:$EZ1530,25,FALSE)),1),"")</f>
        <v/>
      </c>
      <c r="K1195" s="48" t="str">
        <f>IFERROR(MINUS(DIVIDE(VLOOKUP($B1195,Data!$B$3:$EZ1530,29,FALSE),VLOOKUP($B1195,Data!$B$3:$EZ1530,30,FALSE)),1),"")</f>
        <v/>
      </c>
      <c r="L1195" s="48" t="str">
        <f>IFERROR(MINUS(DIVIDE(VLOOKUP($B1195,Data!$B$3:$EZ1530,34,FALSE),VLOOKUP($B1195,Data!$B$3:$EZ1530,35,FALSE)),1),"")</f>
        <v/>
      </c>
      <c r="M1195" s="48" t="str">
        <f>IFERROR(MINUS(DIVIDE(VLOOKUP($B1195,Data!$B$3:$EZ1530,39,FALSE),VLOOKUP($B1195,Data!$B$3:$EZ1530,40,FALSE)),1),"")</f>
        <v/>
      </c>
      <c r="N1195" s="48" t="str">
        <f>IFERROR(MINUS(DIVIDE(VLOOKUP($B1195,Data!$B$3:$EZ1530,44,FALSE),VLOOKUP($B1195,Data!$B$3:$EZ1530,45,FALSE)),1),"")</f>
        <v/>
      </c>
      <c r="O1195" s="50">
        <f>IFERROR(VLOOKUP($B1195,Data!$B$3:$D1530,2,FALSE),"")</f>
        <v>1980000</v>
      </c>
      <c r="P1195" s="50">
        <f>IFERROR(VLOOKUP($B1195,Data!$B$3:$D1530,3,FALSE),"")</f>
        <v>1820000</v>
      </c>
      <c r="Q1195" s="48">
        <f t="shared" si="2"/>
        <v>0.08791208791</v>
      </c>
      <c r="R1195" s="48"/>
      <c r="S1195" s="48"/>
      <c r="T1195" s="48"/>
      <c r="U1195" s="48"/>
      <c r="V1195" s="48"/>
      <c r="W1195" s="50"/>
      <c r="Z1195" s="11"/>
      <c r="AA1195" s="11"/>
    </row>
    <row r="1196">
      <c r="A1196" s="9">
        <f t="shared" si="1"/>
        <v>1193</v>
      </c>
      <c r="B1196" s="47" t="s">
        <v>1330</v>
      </c>
      <c r="C1196" s="48" t="str">
        <f>IFERROR(DIVIDE(VLOOKUP($B1196,Data!$B$3:$AB$1535,9,FALSE),VLOOKUP($B1196,Data!$B$3:$AB$1535,4,FALSE)),"")</f>
        <v/>
      </c>
      <c r="D1196" s="48" t="str">
        <f>IFERROR(DIVIDE(VLOOKUP($B1196,Data!$B$3:$AB$1535,24,FALSE),VLOOKUP($B1196,Data!$B$3:$AB$1535,4,FALSE)),"")</f>
        <v/>
      </c>
      <c r="E1196" s="48" t="str">
        <f>IFERROR(DIVIDE(VLOOKUP($B1196,Data!$B$3:$EZ1530,29,FALSE),VLOOKUP($B1196,Data!$B$3:$EZ1530,4,FALSE)),"")</f>
        <v/>
      </c>
      <c r="F1196" s="48" t="str">
        <f>IFERROR(DIVIDE(VLOOKUP($B1196,Data!$B$3:$EZ1530,34,FALSE),VLOOKUP($B1196,Data!$B$3:$EZ1530,4,FALSE)),"")</f>
        <v/>
      </c>
      <c r="G1196" s="48" t="str">
        <f>IFERROR(DIVIDE(VLOOKUP($B1196,Data!$B$3:$EZ1530,39,FALSE),VLOOKUP($B1196,Data!$B$3:$EZ1530,4,FALSE)),"")</f>
        <v/>
      </c>
      <c r="H1196" s="48" t="str">
        <f>IFERROR(DIVIDE(VLOOKUP($B1196,Data!$B$3:$EZ1530,44,FALSE),VLOOKUP($B1196,Data!$B$3:$EZ1530,4,FALSE)),"")</f>
        <v/>
      </c>
      <c r="I1196" s="48">
        <f>IFERROR(MINUS(DIVIDE(VLOOKUP($B1196,Data!$B$3:$EZ1530,9,FALSE),VLOOKUP($B1196,Data!$B$3:$EZ1530,10,FALSE)),1),"")</f>
        <v>1.378378378</v>
      </c>
      <c r="J1196" s="48">
        <f>IFERROR(MINUS(DIVIDE(VLOOKUP($B1196,Data!$B$3:$EZ1530,24,FALSE),VLOOKUP($B1196,Data!$B$3:$EZ1530,25,FALSE)),1),"")</f>
        <v>0.9941262849</v>
      </c>
      <c r="K1196" s="48">
        <f>IFERROR(MINUS(DIVIDE(VLOOKUP($B1196,Data!$B$3:$EZ1530,29,FALSE),VLOOKUP($B1196,Data!$B$3:$EZ1530,30,FALSE)),1),"")</f>
        <v>0.900862069</v>
      </c>
      <c r="L1196" s="48">
        <f>IFERROR(MINUS(DIVIDE(VLOOKUP($B1196,Data!$B$3:$EZ1530,34,FALSE),VLOOKUP($B1196,Data!$B$3:$EZ1530,35,FALSE)),1),"")</f>
        <v>1.056291391</v>
      </c>
      <c r="M1196" s="48">
        <f>IFERROR(MINUS(DIVIDE(VLOOKUP($B1196,Data!$B$3:$EZ1530,39,FALSE),VLOOKUP($B1196,Data!$B$3:$EZ1530,40,FALSE)),1),"")</f>
        <v>0.906162465</v>
      </c>
      <c r="N1196" s="48">
        <f>IFERROR(MINUS(DIVIDE(VLOOKUP($B1196,Data!$B$3:$EZ1530,44,FALSE),VLOOKUP($B1196,Data!$B$3:$EZ1530,45,FALSE)),1),"")</f>
        <v>0.4619651347</v>
      </c>
      <c r="O1196" s="50">
        <f>IFERROR(VLOOKUP($B1196,Data!$B$3:$D1530,2,FALSE),"")</f>
        <v>5000</v>
      </c>
      <c r="P1196" s="50">
        <f>IFERROR(VLOOKUP($B1196,Data!$B$3:$D1530,3,FALSE),"")</f>
        <v>3750</v>
      </c>
      <c r="Q1196" s="48">
        <f t="shared" si="2"/>
        <v>0.3333333333</v>
      </c>
      <c r="R1196" s="48"/>
      <c r="S1196" s="48"/>
      <c r="T1196" s="48"/>
      <c r="U1196" s="48"/>
      <c r="V1196" s="48"/>
      <c r="W1196" s="50"/>
      <c r="Z1196" s="15"/>
      <c r="AA1196" s="15"/>
    </row>
    <row r="1197">
      <c r="A1197" s="9">
        <f t="shared" si="1"/>
        <v>1194</v>
      </c>
      <c r="B1197" s="47" t="s">
        <v>1331</v>
      </c>
      <c r="C1197" s="48">
        <f>IFERROR(DIVIDE(VLOOKUP($B1197,Data!$B$3:$AB$1535,9,FALSE),VLOOKUP($B1197,Data!$B$3:$AB$1535,4,FALSE)),"")</f>
        <v>0.1248257576</v>
      </c>
      <c r="D1197" s="48">
        <f>IFERROR(DIVIDE(VLOOKUP($B1197,Data!$B$3:$AB$1535,24,FALSE),VLOOKUP($B1197,Data!$B$3:$AB$1535,4,FALSE)),"")</f>
        <v>-0.009704545455</v>
      </c>
      <c r="E1197" s="48">
        <f>IFERROR(DIVIDE(VLOOKUP($B1197,Data!$B$3:$EZ1530,29,FALSE),VLOOKUP($B1197,Data!$B$3:$EZ1530,4,FALSE)),"")</f>
        <v>-0.01684848485</v>
      </c>
      <c r="F1197" s="48">
        <f>IFERROR(DIVIDE(VLOOKUP($B1197,Data!$B$3:$EZ1530,34,FALSE),VLOOKUP($B1197,Data!$B$3:$EZ1530,4,FALSE)),"")</f>
        <v>0.0761969697</v>
      </c>
      <c r="G1197" s="48">
        <f>IFERROR(DIVIDE(VLOOKUP($B1197,Data!$B$3:$EZ1530,39,FALSE),VLOOKUP($B1197,Data!$B$3:$EZ1530,4,FALSE)),"")</f>
        <v>-0.005984848485</v>
      </c>
      <c r="H1197" s="48">
        <f>IFERROR(DIVIDE(VLOOKUP($B1197,Data!$B$3:$EZ1530,44,FALSE),VLOOKUP($B1197,Data!$B$3:$EZ1530,4,FALSE)),"")</f>
        <v>0.04387878788</v>
      </c>
      <c r="I1197" s="48">
        <f>IFERROR(MINUS(DIVIDE(VLOOKUP($B1197,Data!$B$3:$EZ1530,9,FALSE),VLOOKUP($B1197,Data!$B$3:$EZ1530,10,FALSE)),1),"")</f>
        <v>-0.07014672686</v>
      </c>
      <c r="J1197" s="48">
        <f>IFERROR(MINUS(DIVIDE(VLOOKUP($B1197,Data!$B$3:$EZ1530,24,FALSE),VLOOKUP($B1197,Data!$B$3:$EZ1530,25,FALSE)),1),"")</f>
        <v>1.346153846</v>
      </c>
      <c r="K1197" s="48">
        <f>IFERROR(MINUS(DIVIDE(VLOOKUP($B1197,Data!$B$3:$EZ1530,29,FALSE),VLOOKUP($B1197,Data!$B$3:$EZ1530,30,FALSE)),1),"")</f>
        <v>0.03876693134</v>
      </c>
      <c r="L1197" s="48">
        <f>IFERROR(MINUS(DIVIDE(VLOOKUP($B1197,Data!$B$3:$EZ1530,34,FALSE),VLOOKUP($B1197,Data!$B$3:$EZ1530,35,FALSE)),1),"")</f>
        <v>-0.2024423123</v>
      </c>
      <c r="M1197" s="48">
        <f>IFERROR(MINUS(DIVIDE(VLOOKUP($B1197,Data!$B$3:$EZ1530,39,FALSE),VLOOKUP($B1197,Data!$B$3:$EZ1530,40,FALSE)),1),"")</f>
        <v>0.230529595</v>
      </c>
      <c r="N1197" s="48">
        <f>IFERROR(MINUS(DIVIDE(VLOOKUP($B1197,Data!$B$3:$EZ1530,44,FALSE),VLOOKUP($B1197,Data!$B$3:$EZ1530,45,FALSE)),1),"")</f>
        <v>-0.5414093428</v>
      </c>
      <c r="O1197" s="50">
        <f>IFERROR(VLOOKUP($B1197,Data!$B$3:$D1530,2,FALSE),"")</f>
        <v>1120000</v>
      </c>
      <c r="P1197" s="50">
        <f>IFERROR(VLOOKUP($B1197,Data!$B$3:$D1530,3,FALSE),"")</f>
        <v>948110</v>
      </c>
      <c r="Q1197" s="48">
        <f t="shared" si="2"/>
        <v>0.1812975288</v>
      </c>
      <c r="R1197" s="48"/>
      <c r="S1197" s="48"/>
      <c r="T1197" s="48"/>
      <c r="U1197" s="48"/>
      <c r="V1197" s="48"/>
      <c r="W1197" s="50"/>
      <c r="Z1197" s="11"/>
      <c r="AA1197" s="11"/>
    </row>
    <row r="1198">
      <c r="A1198" s="9">
        <f t="shared" si="1"/>
        <v>1195</v>
      </c>
      <c r="B1198" s="47" t="s">
        <v>1332</v>
      </c>
      <c r="C1198" s="48">
        <f>IFERROR(DIVIDE(VLOOKUP($B1198,Data!$B$3:$AB$1535,9,FALSE),VLOOKUP($B1198,Data!$B$3:$AB$1535,4,FALSE)),"")</f>
        <v>0.3679462366</v>
      </c>
      <c r="D1198" s="48">
        <f>IFERROR(DIVIDE(VLOOKUP($B1198,Data!$B$3:$AB$1535,24,FALSE),VLOOKUP($B1198,Data!$B$3:$AB$1535,4,FALSE)),"")</f>
        <v>0.0788172043</v>
      </c>
      <c r="E1198" s="48">
        <f>IFERROR(DIVIDE(VLOOKUP($B1198,Data!$B$3:$EZ1530,29,FALSE),VLOOKUP($B1198,Data!$B$3:$EZ1530,4,FALSE)),"")</f>
        <v>-0.004553763441</v>
      </c>
      <c r="F1198" s="48">
        <f>IFERROR(DIVIDE(VLOOKUP($B1198,Data!$B$3:$EZ1530,34,FALSE),VLOOKUP($B1198,Data!$B$3:$EZ1530,4,FALSE)),"")</f>
        <v>0.2636236559</v>
      </c>
      <c r="G1198" s="48">
        <f>IFERROR(DIVIDE(VLOOKUP($B1198,Data!$B$3:$EZ1530,39,FALSE),VLOOKUP($B1198,Data!$B$3:$EZ1530,4,FALSE)),"")</f>
        <v>-0.001801075269</v>
      </c>
      <c r="H1198" s="48">
        <f>IFERROR(DIVIDE(VLOOKUP($B1198,Data!$B$3:$EZ1530,44,FALSE),VLOOKUP($B1198,Data!$B$3:$EZ1530,4,FALSE)),"")</f>
        <v>0.1704731183</v>
      </c>
      <c r="I1198" s="48">
        <f>IFERROR(MINUS(DIVIDE(VLOOKUP($B1198,Data!$B$3:$EZ1530,9,FALSE),VLOOKUP($B1198,Data!$B$3:$EZ1530,10,FALSE)),1),"")</f>
        <v>-0.03159711904</v>
      </c>
      <c r="J1198" s="48">
        <f>IFERROR(MINUS(DIVIDE(VLOOKUP($B1198,Data!$B$3:$EZ1530,24,FALSE),VLOOKUP($B1198,Data!$B$3:$EZ1530,25,FALSE)),1),"")</f>
        <v>-0.6188445739</v>
      </c>
      <c r="K1198" s="48">
        <f>IFERROR(MINUS(DIVIDE(VLOOKUP($B1198,Data!$B$3:$EZ1530,29,FALSE),VLOOKUP($B1198,Data!$B$3:$EZ1530,30,FALSE)),1),"")</f>
        <v>-1.034804405</v>
      </c>
      <c r="L1198" s="48">
        <f>IFERROR(MINUS(DIVIDE(VLOOKUP($B1198,Data!$B$3:$EZ1530,34,FALSE),VLOOKUP($B1198,Data!$B$3:$EZ1530,35,FALSE)),1),"")</f>
        <v>-0.1648243089</v>
      </c>
      <c r="M1198" s="48">
        <f>IFERROR(MINUS(DIVIDE(VLOOKUP($B1198,Data!$B$3:$EZ1530,39,FALSE),VLOOKUP($B1198,Data!$B$3:$EZ1530,40,FALSE)),1),"")</f>
        <v>-1.021264441</v>
      </c>
      <c r="N1198" s="48">
        <f>IFERROR(MINUS(DIVIDE(VLOOKUP($B1198,Data!$B$3:$EZ1530,44,FALSE),VLOOKUP($B1198,Data!$B$3:$EZ1530,45,FALSE)),1),"")</f>
        <v>-0.08719808849</v>
      </c>
      <c r="O1198" s="50">
        <f>IFERROR(VLOOKUP($B1198,Data!$B$3:$D1530,2,FALSE),"")</f>
        <v>1400000</v>
      </c>
      <c r="P1198" s="50">
        <f>IFERROR(VLOOKUP($B1198,Data!$B$3:$D1530,3,FALSE),"")</f>
        <v>980000</v>
      </c>
      <c r="Q1198" s="48">
        <f t="shared" si="2"/>
        <v>0.4285714286</v>
      </c>
      <c r="R1198" s="48"/>
      <c r="S1198" s="48"/>
      <c r="T1198" s="48"/>
      <c r="U1198" s="48"/>
      <c r="V1198" s="48"/>
      <c r="W1198" s="50"/>
      <c r="Z1198" s="11"/>
      <c r="AA1198" s="11"/>
    </row>
    <row r="1199">
      <c r="A1199" s="9">
        <f t="shared" si="1"/>
        <v>1196</v>
      </c>
      <c r="B1199" s="47" t="s">
        <v>1333</v>
      </c>
      <c r="C1199" s="48">
        <f>IFERROR(DIVIDE(VLOOKUP($B1199,Data!$B$3:$AB$1535,9,FALSE),VLOOKUP($B1199,Data!$B$3:$AB$1535,4,FALSE)),"")</f>
        <v>0.1236486486</v>
      </c>
      <c r="D1199" s="48">
        <f>IFERROR(DIVIDE(VLOOKUP($B1199,Data!$B$3:$AB$1535,24,FALSE),VLOOKUP($B1199,Data!$B$3:$AB$1535,4,FALSE)),"")</f>
        <v>-0.1953567568</v>
      </c>
      <c r="E1199" s="48">
        <f>IFERROR(DIVIDE(VLOOKUP($B1199,Data!$B$3:$EZ1530,29,FALSE),VLOOKUP($B1199,Data!$B$3:$EZ1530,4,FALSE)),"")</f>
        <v>-0.1862702703</v>
      </c>
      <c r="F1199" s="48">
        <f>IFERROR(DIVIDE(VLOOKUP($B1199,Data!$B$3:$EZ1530,34,FALSE),VLOOKUP($B1199,Data!$B$3:$EZ1530,4,FALSE)),"")</f>
        <v>-0.03716756757</v>
      </c>
      <c r="G1199" s="48">
        <f>IFERROR(DIVIDE(VLOOKUP($B1199,Data!$B$3:$EZ1530,39,FALSE),VLOOKUP($B1199,Data!$B$3:$EZ1530,4,FALSE)),"")</f>
        <v>-0.1842918919</v>
      </c>
      <c r="H1199" s="48">
        <f>IFERROR(DIVIDE(VLOOKUP($B1199,Data!$B$3:$EZ1530,44,FALSE),VLOOKUP($B1199,Data!$B$3:$EZ1530,4,FALSE)),"")</f>
        <v>-0.05247567568</v>
      </c>
      <c r="I1199" s="48">
        <f>IFERROR(MINUS(DIVIDE(VLOOKUP($B1199,Data!$B$3:$EZ1530,9,FALSE),VLOOKUP($B1199,Data!$B$3:$EZ1530,10,FALSE)),1),"")</f>
        <v>-0.3373598679</v>
      </c>
      <c r="J1199" s="48">
        <f>IFERROR(MINUS(DIVIDE(VLOOKUP($B1199,Data!$B$3:$EZ1530,24,FALSE),VLOOKUP($B1199,Data!$B$3:$EZ1530,25,FALSE)),1),"")</f>
        <v>1.216287484</v>
      </c>
      <c r="K1199" s="48">
        <f>IFERROR(MINUS(DIVIDE(VLOOKUP($B1199,Data!$B$3:$EZ1530,29,FALSE),VLOOKUP($B1199,Data!$B$3:$EZ1530,30,FALSE)),1),"")</f>
        <v>0.9645402201</v>
      </c>
      <c r="L1199" s="48">
        <f>IFERROR(MINUS(DIVIDE(VLOOKUP($B1199,Data!$B$3:$EZ1530,34,FALSE),VLOOKUP($B1199,Data!$B$3:$EZ1530,35,FALSE)),1),"")</f>
        <v>-6.409913454</v>
      </c>
      <c r="M1199" s="48">
        <f>IFERROR(MINUS(DIVIDE(VLOOKUP($B1199,Data!$B$3:$EZ1530,39,FALSE),VLOOKUP($B1199,Data!$B$3:$EZ1530,40,FALSE)),1),"")</f>
        <v>1.058816425</v>
      </c>
      <c r="N1199" s="48">
        <f>IFERROR(MINUS(DIVIDE(VLOOKUP($B1199,Data!$B$3:$EZ1530,44,FALSE),VLOOKUP($B1199,Data!$B$3:$EZ1530,45,FALSE)),1),"")</f>
        <v>-18.3667263</v>
      </c>
      <c r="O1199" s="50">
        <f>IFERROR(VLOOKUP($B1199,Data!$B$3:$D1530,2,FALSE),"")</f>
        <v>557100</v>
      </c>
      <c r="P1199" s="50">
        <f>IFERROR(VLOOKUP($B1199,Data!$B$3:$D1530,3,FALSE),"")</f>
        <v>538700</v>
      </c>
      <c r="Q1199" s="48">
        <f t="shared" si="2"/>
        <v>0.03415630221</v>
      </c>
      <c r="R1199" s="48"/>
      <c r="S1199" s="48"/>
      <c r="T1199" s="48"/>
      <c r="U1199" s="48"/>
      <c r="V1199" s="48"/>
      <c r="W1199" s="50"/>
      <c r="Z1199" s="15"/>
      <c r="AA1199" s="15"/>
    </row>
    <row r="1200">
      <c r="A1200" s="9">
        <f t="shared" si="1"/>
        <v>1197</v>
      </c>
      <c r="B1200" s="47" t="s">
        <v>1334</v>
      </c>
      <c r="C1200" s="48">
        <f>IFERROR(DIVIDE(VLOOKUP($B1200,Data!$B$3:$AB$1535,9,FALSE),VLOOKUP($B1200,Data!$B$3:$AB$1535,4,FALSE)),"")</f>
        <v>0.2835004558</v>
      </c>
      <c r="D1200" s="48">
        <f>IFERROR(DIVIDE(VLOOKUP($B1200,Data!$B$3:$AB$1535,24,FALSE),VLOOKUP($B1200,Data!$B$3:$AB$1535,4,FALSE)),"")</f>
        <v>0.09206927985</v>
      </c>
      <c r="E1200" s="48">
        <f>IFERROR(DIVIDE(VLOOKUP($B1200,Data!$B$3:$EZ1530,29,FALSE),VLOOKUP($B1200,Data!$B$3:$EZ1530,4,FALSE)),"")</f>
        <v>0.08471285324</v>
      </c>
      <c r="F1200" s="48">
        <f>IFERROR(DIVIDE(VLOOKUP($B1200,Data!$B$3:$EZ1530,34,FALSE),VLOOKUP($B1200,Data!$B$3:$EZ1530,4,FALSE)),"")</f>
        <v>0.1121239745</v>
      </c>
      <c r="G1200" s="48">
        <f>IFERROR(DIVIDE(VLOOKUP($B1200,Data!$B$3:$EZ1530,39,FALSE),VLOOKUP($B1200,Data!$B$3:$EZ1530,4,FALSE)),"")</f>
        <v>0.06394712853</v>
      </c>
      <c r="H1200" s="48">
        <f>IFERROR(DIVIDE(VLOOKUP($B1200,Data!$B$3:$EZ1530,44,FALSE),VLOOKUP($B1200,Data!$B$3:$EZ1530,4,FALSE)),"")</f>
        <v>0.1185050137</v>
      </c>
      <c r="I1200" s="48">
        <f>IFERROR(MINUS(DIVIDE(VLOOKUP($B1200,Data!$B$3:$EZ1530,9,FALSE),VLOOKUP($B1200,Data!$B$3:$EZ1530,10,FALSE)),1),"")</f>
        <v>0.01302931596</v>
      </c>
      <c r="J1200" s="48">
        <f>IFERROR(MINUS(DIVIDE(VLOOKUP($B1200,Data!$B$3:$EZ1530,24,FALSE),VLOOKUP($B1200,Data!$B$3:$EZ1530,25,FALSE)),1),"")</f>
        <v>0.1459042432</v>
      </c>
      <c r="K1200" s="48">
        <f>IFERROR(MINUS(DIVIDE(VLOOKUP($B1200,Data!$B$3:$EZ1530,29,FALSE),VLOOKUP($B1200,Data!$B$3:$EZ1530,30,FALSE)),1),"")</f>
        <v>0.09252292499</v>
      </c>
      <c r="L1200" s="48">
        <f>IFERROR(MINUS(DIVIDE(VLOOKUP($B1200,Data!$B$3:$EZ1530,34,FALSE),VLOOKUP($B1200,Data!$B$3:$EZ1530,35,FALSE)),1),"")</f>
        <v>0.05128205128</v>
      </c>
      <c r="M1200" s="48">
        <f>IFERROR(MINUS(DIVIDE(VLOOKUP($B1200,Data!$B$3:$EZ1530,39,FALSE),VLOOKUP($B1200,Data!$B$3:$EZ1530,40,FALSE)),1),"")</f>
        <v>0.1069906896</v>
      </c>
      <c r="N1200" s="48">
        <f>IFERROR(MINUS(DIVIDE(VLOOKUP($B1200,Data!$B$3:$EZ1530,44,FALSE),VLOOKUP($B1200,Data!$B$3:$EZ1530,45,FALSE)),1),"")</f>
        <v>0.9560637978</v>
      </c>
      <c r="O1200" s="50">
        <f>IFERROR(VLOOKUP($B1200,Data!$B$3:$D1530,2,FALSE),"")</f>
        <v>9640000</v>
      </c>
      <c r="P1200" s="50">
        <f>IFERROR(VLOOKUP($B1200,Data!$B$3:$D1530,3,FALSE),"")</f>
        <v>8910000</v>
      </c>
      <c r="Q1200" s="48">
        <f t="shared" si="2"/>
        <v>0.08193041526</v>
      </c>
      <c r="R1200" s="48"/>
      <c r="S1200" s="48"/>
      <c r="T1200" s="48"/>
      <c r="U1200" s="48"/>
      <c r="V1200" s="48"/>
      <c r="W1200" s="50"/>
      <c r="Z1200" s="15"/>
      <c r="AA1200" s="15"/>
    </row>
    <row r="1201">
      <c r="A1201" s="9">
        <f t="shared" si="1"/>
        <v>1198</v>
      </c>
      <c r="B1201" s="47" t="s">
        <v>1335</v>
      </c>
      <c r="C1201" s="48">
        <f>IFERROR(DIVIDE(VLOOKUP($B1201,Data!$B$3:$AB$1535,9,FALSE),VLOOKUP($B1201,Data!$B$3:$AB$1535,4,FALSE)),"")</f>
        <v>0.5260359126</v>
      </c>
      <c r="D1201" s="48">
        <f>IFERROR(DIVIDE(VLOOKUP($B1201,Data!$B$3:$AB$1535,24,FALSE),VLOOKUP($B1201,Data!$B$3:$AB$1535,4,FALSE)),"")</f>
        <v>0.01084154551</v>
      </c>
      <c r="E1201" s="48">
        <f>IFERROR(DIVIDE(VLOOKUP($B1201,Data!$B$3:$EZ1530,29,FALSE),VLOOKUP($B1201,Data!$B$3:$EZ1530,4,FALSE)),"")</f>
        <v>0.02826756227</v>
      </c>
      <c r="F1201" s="48">
        <f>IFERROR(DIVIDE(VLOOKUP($B1201,Data!$B$3:$EZ1530,34,FALSE),VLOOKUP($B1201,Data!$B$3:$EZ1530,4,FALSE)),"")</f>
        <v>0.06693475923</v>
      </c>
      <c r="G1201" s="48">
        <f>IFERROR(DIVIDE(VLOOKUP($B1201,Data!$B$3:$EZ1530,39,FALSE),VLOOKUP($B1201,Data!$B$3:$EZ1530,4,FALSE)),"")</f>
        <v>0.06273660642</v>
      </c>
      <c r="H1201" s="48">
        <f>IFERROR(DIVIDE(VLOOKUP($B1201,Data!$B$3:$EZ1530,44,FALSE),VLOOKUP($B1201,Data!$B$3:$EZ1530,4,FALSE)),"")</f>
        <v>0.09290438523</v>
      </c>
      <c r="I1201" s="48">
        <f>IFERROR(MINUS(DIVIDE(VLOOKUP($B1201,Data!$B$3:$EZ1530,9,FALSE),VLOOKUP($B1201,Data!$B$3:$EZ1530,10,FALSE)),1),"")</f>
        <v>0.1293801392</v>
      </c>
      <c r="J1201" s="48" t="str">
        <f>IFERROR(MINUS(DIVIDE(VLOOKUP($B1201,Data!$B$3:$EZ1530,24,FALSE),VLOOKUP($B1201,Data!$B$3:$EZ1530,25,FALSE)),1),"")</f>
        <v/>
      </c>
      <c r="K1201" s="48">
        <f>IFERROR(MINUS(DIVIDE(VLOOKUP($B1201,Data!$B$3:$EZ1530,29,FALSE),VLOOKUP($B1201,Data!$B$3:$EZ1530,30,FALSE)),1),"")</f>
        <v>0.02620320856</v>
      </c>
      <c r="L1201" s="48">
        <f>IFERROR(MINUS(DIVIDE(VLOOKUP($B1201,Data!$B$3:$EZ1530,34,FALSE),VLOOKUP($B1201,Data!$B$3:$EZ1530,35,FALSE)),1),"")</f>
        <v>0.6923649907</v>
      </c>
      <c r="M1201" s="48">
        <f>IFERROR(MINUS(DIVIDE(VLOOKUP($B1201,Data!$B$3:$EZ1530,39,FALSE),VLOOKUP($B1201,Data!$B$3:$EZ1530,40,FALSE)),1),"")</f>
        <v>2.322152886</v>
      </c>
      <c r="N1201" s="48">
        <f>IFERROR(MINUS(DIVIDE(VLOOKUP($B1201,Data!$B$3:$EZ1530,44,FALSE),VLOOKUP($B1201,Data!$B$3:$EZ1530,45,FALSE)),1),"")</f>
        <v>0.6899785638</v>
      </c>
      <c r="O1201" s="50">
        <f>IFERROR(VLOOKUP($B1201,Data!$B$3:$D1530,2,FALSE),"")</f>
        <v>31820000</v>
      </c>
      <c r="P1201" s="50">
        <f>IFERROR(VLOOKUP($B1201,Data!$B$3:$D1530,3,FALSE),"")</f>
        <v>31160000</v>
      </c>
      <c r="Q1201" s="48">
        <f t="shared" si="2"/>
        <v>0.02118100128</v>
      </c>
      <c r="R1201" s="48"/>
      <c r="S1201" s="48"/>
      <c r="T1201" s="48"/>
      <c r="U1201" s="48"/>
      <c r="V1201" s="48"/>
      <c r="W1201" s="50"/>
      <c r="Z1201" s="11"/>
      <c r="AA1201" s="11"/>
    </row>
    <row r="1202">
      <c r="A1202" s="9">
        <f t="shared" si="1"/>
        <v>1199</v>
      </c>
      <c r="B1202" s="47" t="s">
        <v>1336</v>
      </c>
      <c r="C1202" s="48">
        <f>IFERROR(DIVIDE(VLOOKUP($B1202,Data!$B$3:$AB$1535,9,FALSE),VLOOKUP($B1202,Data!$B$3:$AB$1535,4,FALSE)),"")</f>
        <v>0.8537698186</v>
      </c>
      <c r="D1202" s="48">
        <f>IFERROR(DIVIDE(VLOOKUP($B1202,Data!$B$3:$AB$1535,24,FALSE),VLOOKUP($B1202,Data!$B$3:$AB$1535,4,FALSE)),"")</f>
        <v>-0.7833922665</v>
      </c>
      <c r="E1202" s="48">
        <f>IFERROR(DIVIDE(VLOOKUP($B1202,Data!$B$3:$EZ1530,29,FALSE),VLOOKUP($B1202,Data!$B$3:$EZ1530,4,FALSE)),"")</f>
        <v>-0.8352344017</v>
      </c>
      <c r="F1202" s="48">
        <f>IFERROR(DIVIDE(VLOOKUP($B1202,Data!$B$3:$EZ1530,34,FALSE),VLOOKUP($B1202,Data!$B$3:$EZ1530,4,FALSE)),"")</f>
        <v>-0.452834493</v>
      </c>
      <c r="G1202" s="48">
        <f>IFERROR(DIVIDE(VLOOKUP($B1202,Data!$B$3:$EZ1530,39,FALSE),VLOOKUP($B1202,Data!$B$3:$EZ1530,4,FALSE)),"")</f>
        <v>-0.8351203376</v>
      </c>
      <c r="H1202" s="48">
        <f>IFERROR(DIVIDE(VLOOKUP($B1202,Data!$B$3:$EZ1530,44,FALSE),VLOOKUP($B1202,Data!$B$3:$EZ1530,4,FALSE)),"")</f>
        <v>-0.3319835748</v>
      </c>
      <c r="I1202" s="48">
        <f>IFERROR(MINUS(DIVIDE(VLOOKUP($B1202,Data!$B$3:$EZ1530,9,FALSE),VLOOKUP($B1202,Data!$B$3:$EZ1530,10,FALSE)),1),"")</f>
        <v>0.0640415097</v>
      </c>
      <c r="J1202" s="48">
        <f>IFERROR(MINUS(DIVIDE(VLOOKUP($B1202,Data!$B$3:$EZ1530,24,FALSE),VLOOKUP($B1202,Data!$B$3:$EZ1530,25,FALSE)),1),"")</f>
        <v>0.4149155336</v>
      </c>
      <c r="K1202" s="48">
        <f>IFERROR(MINUS(DIVIDE(VLOOKUP($B1202,Data!$B$3:$EZ1530,29,FALSE),VLOOKUP($B1202,Data!$B$3:$EZ1530,30,FALSE)),1),"")</f>
        <v>0.4376165701</v>
      </c>
      <c r="L1202" s="48">
        <f>IFERROR(MINUS(DIVIDE(VLOOKUP($B1202,Data!$B$3:$EZ1530,34,FALSE),VLOOKUP($B1202,Data!$B$3:$EZ1530,35,FALSE)),1),"")</f>
        <v>0.587365054</v>
      </c>
      <c r="M1202" s="48">
        <f>IFERROR(MINUS(DIVIDE(VLOOKUP($B1202,Data!$B$3:$EZ1530,39,FALSE),VLOOKUP($B1202,Data!$B$3:$EZ1530,40,FALSE)),1),"")</f>
        <v>0.4260810284</v>
      </c>
      <c r="N1202" s="48">
        <f>IFERROR(MINUS(DIVIDE(VLOOKUP($B1202,Data!$B$3:$EZ1530,44,FALSE),VLOOKUP($B1202,Data!$B$3:$EZ1530,45,FALSE)),1),"")</f>
        <v>1.33213141</v>
      </c>
      <c r="O1202" s="50">
        <f>IFERROR(VLOOKUP($B1202,Data!$B$3:$D1530,2,FALSE),"")</f>
        <v>203980</v>
      </c>
      <c r="P1202" s="50">
        <f>IFERROR(VLOOKUP($B1202,Data!$B$3:$D1530,3,FALSE),"")</f>
        <v>193770</v>
      </c>
      <c r="Q1202" s="48">
        <f t="shared" si="2"/>
        <v>0.05269133509</v>
      </c>
      <c r="R1202" s="48"/>
      <c r="S1202" s="48"/>
      <c r="T1202" s="48"/>
      <c r="U1202" s="48"/>
      <c r="V1202" s="48"/>
      <c r="W1202" s="50"/>
      <c r="Z1202" s="15"/>
      <c r="AA1202" s="15"/>
    </row>
    <row r="1203">
      <c r="A1203" s="9">
        <f t="shared" si="1"/>
        <v>1200</v>
      </c>
      <c r="B1203" s="47" t="s">
        <v>1337</v>
      </c>
      <c r="C1203" s="48" t="str">
        <f>IFERROR(DIVIDE(VLOOKUP($B1203,Data!$B$3:$AB$1535,9,FALSE),VLOOKUP($B1203,Data!$B$3:$AB$1535,4,FALSE)),"")</f>
        <v/>
      </c>
      <c r="D1203" s="48" t="str">
        <f>IFERROR(DIVIDE(VLOOKUP($B1203,Data!$B$3:$AB$1535,24,FALSE),VLOOKUP($B1203,Data!$B$3:$AB$1535,4,FALSE)),"")</f>
        <v/>
      </c>
      <c r="E1203" s="48" t="str">
        <f>IFERROR(DIVIDE(VLOOKUP($B1203,Data!$B$3:$EZ1530,29,FALSE),VLOOKUP($B1203,Data!$B$3:$EZ1530,4,FALSE)),"")</f>
        <v/>
      </c>
      <c r="F1203" s="48" t="str">
        <f>IFERROR(DIVIDE(VLOOKUP($B1203,Data!$B$3:$EZ1530,34,FALSE),VLOOKUP($B1203,Data!$B$3:$EZ1530,4,FALSE)),"")</f>
        <v/>
      </c>
      <c r="G1203" s="48" t="str">
        <f>IFERROR(DIVIDE(VLOOKUP($B1203,Data!$B$3:$EZ1530,39,FALSE),VLOOKUP($B1203,Data!$B$3:$EZ1530,4,FALSE)),"")</f>
        <v/>
      </c>
      <c r="H1203" s="48" t="str">
        <f>IFERROR(DIVIDE(VLOOKUP($B1203,Data!$B$3:$EZ1530,44,FALSE),VLOOKUP($B1203,Data!$B$3:$EZ1530,4,FALSE)),"")</f>
        <v/>
      </c>
      <c r="I1203" s="48" t="str">
        <f>IFERROR(MINUS(DIVIDE(VLOOKUP($B1203,Data!$B$3:$EZ1530,9,FALSE),VLOOKUP($B1203,Data!$B$3:$EZ1530,10,FALSE)),1),"")</f>
        <v/>
      </c>
      <c r="J1203" s="48" t="str">
        <f>IFERROR(MINUS(DIVIDE(VLOOKUP($B1203,Data!$B$3:$EZ1530,24,FALSE),VLOOKUP($B1203,Data!$B$3:$EZ1530,25,FALSE)),1),"")</f>
        <v/>
      </c>
      <c r="K1203" s="48" t="str">
        <f>IFERROR(MINUS(DIVIDE(VLOOKUP($B1203,Data!$B$3:$EZ1530,29,FALSE),VLOOKUP($B1203,Data!$B$3:$EZ1530,30,FALSE)),1),"")</f>
        <v/>
      </c>
      <c r="L1203" s="48" t="str">
        <f>IFERROR(MINUS(DIVIDE(VLOOKUP($B1203,Data!$B$3:$EZ1530,34,FALSE),VLOOKUP($B1203,Data!$B$3:$EZ1530,35,FALSE)),1),"")</f>
        <v/>
      </c>
      <c r="M1203" s="48" t="str">
        <f>IFERROR(MINUS(DIVIDE(VLOOKUP($B1203,Data!$B$3:$EZ1530,39,FALSE),VLOOKUP($B1203,Data!$B$3:$EZ1530,40,FALSE)),1),"")</f>
        <v/>
      </c>
      <c r="N1203" s="48" t="str">
        <f>IFERROR(MINUS(DIVIDE(VLOOKUP($B1203,Data!$B$3:$EZ1530,44,FALSE),VLOOKUP($B1203,Data!$B$3:$EZ1530,45,FALSE)),1),"")</f>
        <v/>
      </c>
      <c r="O1203" s="50">
        <f>IFERROR(VLOOKUP($B1203,Data!$B$3:$D1530,2,FALSE),"")</f>
        <v>68530000</v>
      </c>
      <c r="P1203" s="50">
        <f>IFERROR(VLOOKUP($B1203,Data!$B$3:$D1530,3,FALSE),"")</f>
        <v>63180000</v>
      </c>
      <c r="Q1203" s="48">
        <f t="shared" si="2"/>
        <v>0.08467869579</v>
      </c>
      <c r="R1203" s="48"/>
      <c r="S1203" s="48"/>
      <c r="T1203" s="48"/>
      <c r="U1203" s="48"/>
      <c r="V1203" s="48"/>
      <c r="W1203" s="50"/>
      <c r="Z1203" s="11"/>
      <c r="AA1203" s="11"/>
    </row>
    <row r="1204">
      <c r="A1204" s="9">
        <f t="shared" si="1"/>
        <v>1201</v>
      </c>
      <c r="B1204" s="47" t="s">
        <v>1338</v>
      </c>
      <c r="C1204" s="48" t="str">
        <f>IFERROR(DIVIDE(VLOOKUP($B1204,Data!$B$3:$AB$1535,9,FALSE),VLOOKUP($B1204,Data!$B$3:$AB$1535,4,FALSE)),"")</f>
        <v/>
      </c>
      <c r="D1204" s="48" t="str">
        <f>IFERROR(DIVIDE(VLOOKUP($B1204,Data!$B$3:$AB$1535,24,FALSE),VLOOKUP($B1204,Data!$B$3:$AB$1535,4,FALSE)),"")</f>
        <v/>
      </c>
      <c r="E1204" s="48" t="str">
        <f>IFERROR(DIVIDE(VLOOKUP($B1204,Data!$B$3:$EZ1530,29,FALSE),VLOOKUP($B1204,Data!$B$3:$EZ1530,4,FALSE)),"")</f>
        <v/>
      </c>
      <c r="F1204" s="48" t="str">
        <f>IFERROR(DIVIDE(VLOOKUP($B1204,Data!$B$3:$EZ1530,34,FALSE),VLOOKUP($B1204,Data!$B$3:$EZ1530,4,FALSE)),"")</f>
        <v/>
      </c>
      <c r="G1204" s="48" t="str">
        <f>IFERROR(DIVIDE(VLOOKUP($B1204,Data!$B$3:$EZ1530,39,FALSE),VLOOKUP($B1204,Data!$B$3:$EZ1530,4,FALSE)),"")</f>
        <v/>
      </c>
      <c r="H1204" s="48" t="str">
        <f>IFERROR(DIVIDE(VLOOKUP($B1204,Data!$B$3:$EZ1530,44,FALSE),VLOOKUP($B1204,Data!$B$3:$EZ1530,4,FALSE)),"")</f>
        <v/>
      </c>
      <c r="I1204" s="48">
        <f>IFERROR(MINUS(DIVIDE(VLOOKUP($B1204,Data!$B$3:$EZ1530,9,FALSE),VLOOKUP($B1204,Data!$B$3:$EZ1530,10,FALSE)),1),"")</f>
        <v>1.380952381</v>
      </c>
      <c r="J1204" s="48">
        <f>IFERROR(MINUS(DIVIDE(VLOOKUP($B1204,Data!$B$3:$EZ1530,24,FALSE),VLOOKUP($B1204,Data!$B$3:$EZ1530,25,FALSE)),1),"")</f>
        <v>-1</v>
      </c>
      <c r="K1204" s="48">
        <f>IFERROR(MINUS(DIVIDE(VLOOKUP($B1204,Data!$B$3:$EZ1530,29,FALSE),VLOOKUP($B1204,Data!$B$3:$EZ1530,30,FALSE)),1),"")</f>
        <v>0.8325112108</v>
      </c>
      <c r="L1204" s="48">
        <f>IFERROR(MINUS(DIVIDE(VLOOKUP($B1204,Data!$B$3:$EZ1530,34,FALSE),VLOOKUP($B1204,Data!$B$3:$EZ1530,35,FALSE)),1),"")</f>
        <v>0.8430309735</v>
      </c>
      <c r="M1204" s="48">
        <f>IFERROR(MINUS(DIVIDE(VLOOKUP($B1204,Data!$B$3:$EZ1530,39,FALSE),VLOOKUP($B1204,Data!$B$3:$EZ1530,40,FALSE)),1),"")</f>
        <v>0.8325112108</v>
      </c>
      <c r="N1204" s="48">
        <f>IFERROR(MINUS(DIVIDE(VLOOKUP($B1204,Data!$B$3:$EZ1530,44,FALSE),VLOOKUP($B1204,Data!$B$3:$EZ1530,45,FALSE)),1),"")</f>
        <v>0.8472745972</v>
      </c>
      <c r="O1204" s="50" t="str">
        <f>IFERROR(VLOOKUP($B1204,Data!$B$3:$D1530,2,FALSE),"")</f>
        <v/>
      </c>
      <c r="P1204" s="50" t="str">
        <f>IFERROR(VLOOKUP($B1204,Data!$B$3:$D1530,3,FALSE),"")</f>
        <v/>
      </c>
      <c r="Q1204" s="48" t="str">
        <f t="shared" si="2"/>
        <v/>
      </c>
      <c r="R1204" s="48"/>
      <c r="S1204" s="48"/>
      <c r="T1204" s="48"/>
      <c r="U1204" s="48"/>
      <c r="V1204" s="48"/>
      <c r="W1204" s="50"/>
      <c r="Z1204" s="11"/>
      <c r="AA1204" s="11"/>
    </row>
    <row r="1205">
      <c r="A1205" s="9">
        <f t="shared" si="1"/>
        <v>1202</v>
      </c>
      <c r="B1205" s="47" t="s">
        <v>1339</v>
      </c>
      <c r="C1205" s="48">
        <f>IFERROR(DIVIDE(VLOOKUP($B1205,Data!$B$3:$AB$1535,9,FALSE),VLOOKUP($B1205,Data!$B$3:$AB$1535,4,FALSE)),"")</f>
        <v>0.495049505</v>
      </c>
      <c r="D1205" s="48">
        <f>IFERROR(DIVIDE(VLOOKUP($B1205,Data!$B$3:$AB$1535,24,FALSE),VLOOKUP($B1205,Data!$B$3:$AB$1535,4,FALSE)),"")</f>
        <v>0</v>
      </c>
      <c r="E1205" s="48">
        <f>IFERROR(DIVIDE(VLOOKUP($B1205,Data!$B$3:$EZ1530,29,FALSE),VLOOKUP($B1205,Data!$B$3:$EZ1530,4,FALSE)),"")</f>
        <v>0.07227722772</v>
      </c>
      <c r="F1205" s="48">
        <f>IFERROR(DIVIDE(VLOOKUP($B1205,Data!$B$3:$EZ1530,34,FALSE),VLOOKUP($B1205,Data!$B$3:$EZ1530,4,FALSE)),"")</f>
        <v>0.5222772277</v>
      </c>
      <c r="G1205" s="48">
        <f>IFERROR(DIVIDE(VLOOKUP($B1205,Data!$B$3:$EZ1530,39,FALSE),VLOOKUP($B1205,Data!$B$3:$EZ1530,4,FALSE)),"")</f>
        <v>0.0698019802</v>
      </c>
      <c r="H1205" s="48">
        <f>IFERROR(DIVIDE(VLOOKUP($B1205,Data!$B$3:$EZ1530,44,FALSE),VLOOKUP($B1205,Data!$B$3:$EZ1530,4,FALSE)),"")</f>
        <v>0.009405940594</v>
      </c>
      <c r="I1205" s="48" t="str">
        <f>IFERROR(MINUS(DIVIDE(VLOOKUP($B1205,Data!$B$3:$EZ1530,9,FALSE),VLOOKUP($B1205,Data!$B$3:$EZ1530,10,FALSE)),1),"")</f>
        <v/>
      </c>
      <c r="J1205" s="48" t="str">
        <f>IFERROR(MINUS(DIVIDE(VLOOKUP($B1205,Data!$B$3:$EZ1530,24,FALSE),VLOOKUP($B1205,Data!$B$3:$EZ1530,25,FALSE)),1),"")</f>
        <v/>
      </c>
      <c r="K1205" s="48" t="str">
        <f>IFERROR(MINUS(DIVIDE(VLOOKUP($B1205,Data!$B$3:$EZ1530,29,FALSE),VLOOKUP($B1205,Data!$B$3:$EZ1530,30,FALSE)),1),"")</f>
        <v/>
      </c>
      <c r="L1205" s="48" t="str">
        <f>IFERROR(MINUS(DIVIDE(VLOOKUP($B1205,Data!$B$3:$EZ1530,34,FALSE),VLOOKUP($B1205,Data!$B$3:$EZ1530,35,FALSE)),1),"")</f>
        <v/>
      </c>
      <c r="M1205" s="48" t="str">
        <f>IFERROR(MINUS(DIVIDE(VLOOKUP($B1205,Data!$B$3:$EZ1530,39,FALSE),VLOOKUP($B1205,Data!$B$3:$EZ1530,40,FALSE)),1),"")</f>
        <v/>
      </c>
      <c r="N1205" s="48" t="str">
        <f>IFERROR(MINUS(DIVIDE(VLOOKUP($B1205,Data!$B$3:$EZ1530,44,FALSE),VLOOKUP($B1205,Data!$B$3:$EZ1530,45,FALSE)),1),"")</f>
        <v/>
      </c>
      <c r="O1205" s="50" t="str">
        <f>IFERROR(VLOOKUP($B1205,Data!$B$3:$D1530,2,FALSE),"")</f>
        <v/>
      </c>
      <c r="P1205" s="50" t="str">
        <f>IFERROR(VLOOKUP($B1205,Data!$B$3:$D1530,3,FALSE),"")</f>
        <v/>
      </c>
      <c r="Q1205" s="48" t="str">
        <f t="shared" si="2"/>
        <v/>
      </c>
      <c r="R1205" s="48"/>
      <c r="S1205" s="48"/>
      <c r="T1205" s="48"/>
      <c r="U1205" s="48"/>
      <c r="V1205" s="48"/>
      <c r="W1205" s="50"/>
      <c r="Z1205" s="15"/>
      <c r="AA1205" s="15"/>
    </row>
    <row r="1206">
      <c r="A1206" s="9">
        <f t="shared" si="1"/>
        <v>1203</v>
      </c>
      <c r="B1206" s="47" t="s">
        <v>1340</v>
      </c>
      <c r="C1206" s="48">
        <f>IFERROR(DIVIDE(VLOOKUP($B1206,Data!$B$3:$AB$1535,9,FALSE),VLOOKUP($B1206,Data!$B$3:$AB$1535,4,FALSE)),"")</f>
        <v>0.2229771596</v>
      </c>
      <c r="D1206" s="48">
        <f>IFERROR(DIVIDE(VLOOKUP($B1206,Data!$B$3:$AB$1535,24,FALSE),VLOOKUP($B1206,Data!$B$3:$AB$1535,4,FALSE)),"")</f>
        <v>0.1159968378</v>
      </c>
      <c r="E1206" s="48">
        <f>IFERROR(DIVIDE(VLOOKUP($B1206,Data!$B$3:$EZ1530,29,FALSE),VLOOKUP($B1206,Data!$B$3:$EZ1530,4,FALSE)),"")</f>
        <v>0.1076426725</v>
      </c>
      <c r="F1206" s="48">
        <f>IFERROR(DIVIDE(VLOOKUP($B1206,Data!$B$3:$EZ1530,34,FALSE),VLOOKUP($B1206,Data!$B$3:$EZ1530,4,FALSE)),"")</f>
        <v>0.162767344</v>
      </c>
      <c r="G1206" s="48">
        <f>IFERROR(DIVIDE(VLOOKUP($B1206,Data!$B$3:$EZ1530,39,FALSE),VLOOKUP($B1206,Data!$B$3:$EZ1530,4,FALSE)),"")</f>
        <v>0.0901865265</v>
      </c>
      <c r="H1206" s="48">
        <f>IFERROR(DIVIDE(VLOOKUP($B1206,Data!$B$3:$EZ1530,44,FALSE),VLOOKUP($B1206,Data!$B$3:$EZ1530,4,FALSE)),"")</f>
        <v>0.1557806124</v>
      </c>
      <c r="I1206" s="48">
        <f>IFERROR(MINUS(DIVIDE(VLOOKUP($B1206,Data!$B$3:$EZ1530,9,FALSE),VLOOKUP($B1206,Data!$B$3:$EZ1530,10,FALSE)),1),"")</f>
        <v>-0.02857674765</v>
      </c>
      <c r="J1206" s="48">
        <f>IFERROR(MINUS(DIVIDE(VLOOKUP($B1206,Data!$B$3:$EZ1530,24,FALSE),VLOOKUP($B1206,Data!$B$3:$EZ1530,25,FALSE)),1),"")</f>
        <v>0.01419764618</v>
      </c>
      <c r="K1206" s="48">
        <f>IFERROR(MINUS(DIVIDE(VLOOKUP($B1206,Data!$B$3:$EZ1530,29,FALSE),VLOOKUP($B1206,Data!$B$3:$EZ1530,30,FALSE)),1),"")</f>
        <v>0.01063189569</v>
      </c>
      <c r="L1206" s="48">
        <f>IFERROR(MINUS(DIVIDE(VLOOKUP($B1206,Data!$B$3:$EZ1530,34,FALSE),VLOOKUP($B1206,Data!$B$3:$EZ1530,35,FALSE)),1),"")</f>
        <v>0.03547641702</v>
      </c>
      <c r="M1206" s="48">
        <f>IFERROR(MINUS(DIVIDE(VLOOKUP($B1206,Data!$B$3:$EZ1530,39,FALSE),VLOOKUP($B1206,Data!$B$3:$EZ1530,40,FALSE)),1),"")</f>
        <v>0.01466346154</v>
      </c>
      <c r="N1206" s="48">
        <f>IFERROR(MINUS(DIVIDE(VLOOKUP($B1206,Data!$B$3:$EZ1530,44,FALSE),VLOOKUP($B1206,Data!$B$3:$EZ1530,45,FALSE)),1),"")</f>
        <v>-0.06871886576</v>
      </c>
      <c r="O1206" s="50">
        <f>IFERROR(VLOOKUP($B1206,Data!$B$3:$D1530,2,FALSE),"")</f>
        <v>390710</v>
      </c>
      <c r="P1206" s="50">
        <f>IFERROR(VLOOKUP($B1206,Data!$B$3:$D1530,3,FALSE),"")</f>
        <v>277770</v>
      </c>
      <c r="Q1206" s="48">
        <f t="shared" si="2"/>
        <v>0.4065953847</v>
      </c>
      <c r="R1206" s="48"/>
      <c r="S1206" s="48"/>
      <c r="T1206" s="48"/>
      <c r="U1206" s="48"/>
      <c r="V1206" s="48"/>
      <c r="W1206" s="50"/>
      <c r="Z1206" s="12"/>
      <c r="AA1206" s="12"/>
    </row>
    <row r="1207">
      <c r="A1207" s="9">
        <f t="shared" si="1"/>
        <v>1204</v>
      </c>
      <c r="B1207" s="47" t="s">
        <v>1341</v>
      </c>
      <c r="C1207" s="48">
        <f>IFERROR(DIVIDE(VLOOKUP($B1207,Data!$B$3:$AB$1535,9,FALSE),VLOOKUP($B1207,Data!$B$3:$AB$1535,4,FALSE)),"")</f>
        <v>0</v>
      </c>
      <c r="D1207" s="48">
        <f>IFERROR(DIVIDE(VLOOKUP($B1207,Data!$B$3:$AB$1535,24,FALSE),VLOOKUP($B1207,Data!$B$3:$AB$1535,4,FALSE)),"")</f>
        <v>0</v>
      </c>
      <c r="E1207" s="48">
        <f>IFERROR(DIVIDE(VLOOKUP($B1207,Data!$B$3:$EZ1530,29,FALSE),VLOOKUP($B1207,Data!$B$3:$EZ1530,4,FALSE)),"")</f>
        <v>-1.039968026</v>
      </c>
      <c r="F1207" s="48">
        <f>IFERROR(DIVIDE(VLOOKUP($B1207,Data!$B$3:$EZ1530,34,FALSE),VLOOKUP($B1207,Data!$B$3:$EZ1530,4,FALSE)),"")</f>
        <v>-1.002797762</v>
      </c>
      <c r="G1207" s="48">
        <f>IFERROR(DIVIDE(VLOOKUP($B1207,Data!$B$3:$EZ1530,39,FALSE),VLOOKUP($B1207,Data!$B$3:$EZ1530,4,FALSE)),"")</f>
        <v>-0.9524380496</v>
      </c>
      <c r="H1207" s="48">
        <f>IFERROR(DIVIDE(VLOOKUP($B1207,Data!$B$3:$EZ1530,44,FALSE),VLOOKUP($B1207,Data!$B$3:$EZ1530,4,FALSE)),"")</f>
        <v>-0.9916067146</v>
      </c>
      <c r="I1207" s="48" t="str">
        <f>IFERROR(MINUS(DIVIDE(VLOOKUP($B1207,Data!$B$3:$EZ1530,9,FALSE),VLOOKUP($B1207,Data!$B$3:$EZ1530,10,FALSE)),1),"")</f>
        <v/>
      </c>
      <c r="J1207" s="48">
        <f>IFERROR(MINUS(DIVIDE(VLOOKUP($B1207,Data!$B$3:$EZ1530,24,FALSE),VLOOKUP($B1207,Data!$B$3:$EZ1530,25,FALSE)),1),"")</f>
        <v>-1</v>
      </c>
      <c r="K1207" s="48">
        <f>IFERROR(MINUS(DIVIDE(VLOOKUP($B1207,Data!$B$3:$EZ1530,29,FALSE),VLOOKUP($B1207,Data!$B$3:$EZ1530,30,FALSE)),1),"")</f>
        <v>0.245273989</v>
      </c>
      <c r="L1207" s="48">
        <f>IFERROR(MINUS(DIVIDE(VLOOKUP($B1207,Data!$B$3:$EZ1530,34,FALSE),VLOOKUP($B1207,Data!$B$3:$EZ1530,35,FALSE)),1),"")</f>
        <v>0.3146450092</v>
      </c>
      <c r="M1207" s="48">
        <f>IFERROR(MINUS(DIVIDE(VLOOKUP($B1207,Data!$B$3:$EZ1530,39,FALSE),VLOOKUP($B1207,Data!$B$3:$EZ1530,40,FALSE)),1),"")</f>
        <v>0.1404642259</v>
      </c>
      <c r="N1207" s="48">
        <f>IFERROR(MINUS(DIVIDE(VLOOKUP($B1207,Data!$B$3:$EZ1530,44,FALSE),VLOOKUP($B1207,Data!$B$3:$EZ1530,45,FALSE)),1),"")</f>
        <v>-42.00826446</v>
      </c>
      <c r="O1207" s="50">
        <f>IFERROR(VLOOKUP($B1207,Data!$B$3:$D1530,2,FALSE),"")</f>
        <v>47360</v>
      </c>
      <c r="P1207" s="50">
        <f>IFERROR(VLOOKUP($B1207,Data!$B$3:$D1530,3,FALSE),"")</f>
        <v>52670</v>
      </c>
      <c r="Q1207" s="48">
        <f t="shared" si="2"/>
        <v>-0.100816404</v>
      </c>
      <c r="R1207" s="48"/>
      <c r="S1207" s="48"/>
      <c r="T1207" s="48"/>
      <c r="U1207" s="48"/>
      <c r="V1207" s="48"/>
      <c r="W1207" s="50"/>
      <c r="Z1207" s="12"/>
      <c r="AA1207" s="12"/>
    </row>
    <row r="1208">
      <c r="A1208" s="9">
        <f t="shared" si="1"/>
        <v>1205</v>
      </c>
      <c r="B1208" s="47" t="s">
        <v>1342</v>
      </c>
      <c r="C1208" s="48">
        <f>IFERROR(DIVIDE(VLOOKUP($B1208,Data!$B$3:$AB$1535,9,FALSE),VLOOKUP($B1208,Data!$B$3:$AB$1535,4,FALSE)),"")</f>
        <v>0</v>
      </c>
      <c r="D1208" s="48">
        <f>IFERROR(DIVIDE(VLOOKUP($B1208,Data!$B$3:$AB$1535,24,FALSE),VLOOKUP($B1208,Data!$B$3:$AB$1535,4,FALSE)),"")</f>
        <v>-398.6924939</v>
      </c>
      <c r="E1208" s="48">
        <f>IFERROR(DIVIDE(VLOOKUP($B1208,Data!$B$3:$EZ1530,29,FALSE),VLOOKUP($B1208,Data!$B$3:$EZ1530,4,FALSE)),"")</f>
        <v>-386.0290557</v>
      </c>
      <c r="F1208" s="48">
        <f>IFERROR(DIVIDE(VLOOKUP($B1208,Data!$B$3:$EZ1530,34,FALSE),VLOOKUP($B1208,Data!$B$3:$EZ1530,4,FALSE)),"")</f>
        <v>-391.1622276</v>
      </c>
      <c r="G1208" s="48">
        <f>IFERROR(DIVIDE(VLOOKUP($B1208,Data!$B$3:$EZ1530,39,FALSE),VLOOKUP($B1208,Data!$B$3:$EZ1530,4,FALSE)),"")</f>
        <v>-386.0290557</v>
      </c>
      <c r="H1208" s="48">
        <f>IFERROR(DIVIDE(VLOOKUP($B1208,Data!$B$3:$EZ1530,44,FALSE),VLOOKUP($B1208,Data!$B$3:$EZ1530,4,FALSE)),"")</f>
        <v>-257.0460048</v>
      </c>
      <c r="I1208" s="48" t="str">
        <f>IFERROR(MINUS(DIVIDE(VLOOKUP($B1208,Data!$B$3:$EZ1530,9,FALSE),VLOOKUP($B1208,Data!$B$3:$EZ1530,10,FALSE)),1),"")</f>
        <v/>
      </c>
      <c r="J1208" s="48">
        <f>IFERROR(MINUS(DIVIDE(VLOOKUP($B1208,Data!$B$3:$EZ1530,24,FALSE),VLOOKUP($B1208,Data!$B$3:$EZ1530,25,FALSE)),1),"")</f>
        <v>0.1533235274</v>
      </c>
      <c r="K1208" s="48">
        <f>IFERROR(MINUS(DIVIDE(VLOOKUP($B1208,Data!$B$3:$EZ1530,29,FALSE),VLOOKUP($B1208,Data!$B$3:$EZ1530,30,FALSE)),1),"")</f>
        <v>0.1422941893</v>
      </c>
      <c r="L1208" s="48">
        <f>IFERROR(MINUS(DIVIDE(VLOOKUP($B1208,Data!$B$3:$EZ1530,34,FALSE),VLOOKUP($B1208,Data!$B$3:$EZ1530,35,FALSE)),1),"")</f>
        <v>0.1464764743</v>
      </c>
      <c r="M1208" s="48">
        <f>IFERROR(MINUS(DIVIDE(VLOOKUP($B1208,Data!$B$3:$EZ1530,39,FALSE),VLOOKUP($B1208,Data!$B$3:$EZ1530,40,FALSE)),1),"")</f>
        <v>0.118257698</v>
      </c>
      <c r="N1208" s="48">
        <f>IFERROR(MINUS(DIVIDE(VLOOKUP($B1208,Data!$B$3:$EZ1530,44,FALSE),VLOOKUP($B1208,Data!$B$3:$EZ1530,45,FALSE)),1),"")</f>
        <v>0.01832134293</v>
      </c>
      <c r="O1208" s="50">
        <f>IFERROR(VLOOKUP($B1208,Data!$B$3:$D1530,2,FALSE),"")</f>
        <v>95760</v>
      </c>
      <c r="P1208" s="50">
        <f>IFERROR(VLOOKUP($B1208,Data!$B$3:$D1530,3,FALSE),"")</f>
        <v>6200</v>
      </c>
      <c r="Q1208" s="48">
        <f t="shared" si="2"/>
        <v>14.44516129</v>
      </c>
      <c r="R1208" s="48"/>
      <c r="S1208" s="48"/>
      <c r="T1208" s="48"/>
      <c r="U1208" s="48"/>
      <c r="V1208" s="48"/>
      <c r="W1208" s="50"/>
      <c r="Z1208" s="15"/>
      <c r="AA1208" s="15"/>
    </row>
    <row r="1209">
      <c r="A1209" s="9">
        <f t="shared" si="1"/>
        <v>1206</v>
      </c>
      <c r="B1209" s="47" t="s">
        <v>1343</v>
      </c>
      <c r="C1209" s="48">
        <f>IFERROR(DIVIDE(VLOOKUP($B1209,Data!$B$3:$AB$1535,9,FALSE),VLOOKUP($B1209,Data!$B$3:$AB$1535,4,FALSE)),"")</f>
        <v>0.2014134276</v>
      </c>
      <c r="D1209" s="48">
        <f>IFERROR(DIVIDE(VLOOKUP($B1209,Data!$B$3:$AB$1535,24,FALSE),VLOOKUP($B1209,Data!$B$3:$AB$1535,4,FALSE)),"")</f>
        <v>0.08482921084</v>
      </c>
      <c r="E1209" s="48">
        <f>IFERROR(DIVIDE(VLOOKUP($B1209,Data!$B$3:$EZ1530,29,FALSE),VLOOKUP($B1209,Data!$B$3:$EZ1530,4,FALSE)),"")</f>
        <v>0.07895170789</v>
      </c>
      <c r="F1209" s="48">
        <f>IFERROR(DIVIDE(VLOOKUP($B1209,Data!$B$3:$EZ1530,34,FALSE),VLOOKUP($B1209,Data!$B$3:$EZ1530,4,FALSE)),"")</f>
        <v>0.2214369847</v>
      </c>
      <c r="G1209" s="48">
        <f>IFERROR(DIVIDE(VLOOKUP($B1209,Data!$B$3:$EZ1530,39,FALSE),VLOOKUP($B1209,Data!$B$3:$EZ1530,4,FALSE)),"")</f>
        <v>0.07640753828</v>
      </c>
      <c r="H1209" s="48">
        <f>IFERROR(DIVIDE(VLOOKUP($B1209,Data!$B$3:$EZ1530,44,FALSE),VLOOKUP($B1209,Data!$B$3:$EZ1530,4,FALSE)),"")</f>
        <v>0.2285041225</v>
      </c>
      <c r="I1209" s="48">
        <f>IFERROR(MINUS(DIVIDE(VLOOKUP($B1209,Data!$B$3:$EZ1530,9,FALSE),VLOOKUP($B1209,Data!$B$3:$EZ1530,10,FALSE)),1),"")</f>
        <v>0.09615384615</v>
      </c>
      <c r="J1209" s="48" t="str">
        <f>IFERROR(MINUS(DIVIDE(VLOOKUP($B1209,Data!$B$3:$EZ1530,24,FALSE),VLOOKUP($B1209,Data!$B$3:$EZ1530,25,FALSE)),1),"")</f>
        <v/>
      </c>
      <c r="K1209" s="48">
        <f>IFERROR(MINUS(DIVIDE(VLOOKUP($B1209,Data!$B$3:$EZ1530,29,FALSE),VLOOKUP($B1209,Data!$B$3:$EZ1530,30,FALSE)),1),"")</f>
        <v>-0.3045959124</v>
      </c>
      <c r="L1209" s="48">
        <f>IFERROR(MINUS(DIVIDE(VLOOKUP($B1209,Data!$B$3:$EZ1530,34,FALSE),VLOOKUP($B1209,Data!$B$3:$EZ1530,35,FALSE)),1),"")</f>
        <v>0.1325301205</v>
      </c>
      <c r="M1209" s="48">
        <f>IFERROR(MINUS(DIVIDE(VLOOKUP($B1209,Data!$B$3:$EZ1530,39,FALSE),VLOOKUP($B1209,Data!$B$3:$EZ1530,40,FALSE)),1),"")</f>
        <v>-0.2670056497</v>
      </c>
      <c r="N1209" s="48">
        <f>IFERROR(MINUS(DIVIDE(VLOOKUP($B1209,Data!$B$3:$EZ1530,44,FALSE),VLOOKUP($B1209,Data!$B$3:$EZ1530,45,FALSE)),1),"")</f>
        <v>-0.0396039604</v>
      </c>
      <c r="O1209" s="50">
        <f>IFERROR(VLOOKUP($B1209,Data!$B$3:$D1530,2,FALSE),"")</f>
        <v>9080000</v>
      </c>
      <c r="P1209" s="50">
        <f>IFERROR(VLOOKUP($B1209,Data!$B$3:$D1530,3,FALSE),"")</f>
        <v>4520000</v>
      </c>
      <c r="Q1209" s="48">
        <f t="shared" si="2"/>
        <v>1.008849558</v>
      </c>
      <c r="R1209" s="48"/>
      <c r="S1209" s="48"/>
      <c r="T1209" s="48"/>
      <c r="U1209" s="48"/>
      <c r="V1209" s="48"/>
      <c r="W1209" s="50"/>
      <c r="Z1209" s="11"/>
      <c r="AA1209" s="11"/>
    </row>
    <row r="1210">
      <c r="A1210" s="9">
        <f t="shared" si="1"/>
        <v>1207</v>
      </c>
      <c r="B1210" s="47" t="s">
        <v>1344</v>
      </c>
      <c r="C1210" s="48">
        <f>IFERROR(DIVIDE(VLOOKUP($B1210,Data!$B$3:$AB$1535,9,FALSE),VLOOKUP($B1210,Data!$B$3:$AB$1535,4,FALSE)),"")</f>
        <v>0.02690449438</v>
      </c>
      <c r="D1210" s="48">
        <f>IFERROR(DIVIDE(VLOOKUP($B1210,Data!$B$3:$AB$1535,24,FALSE),VLOOKUP($B1210,Data!$B$3:$AB$1535,4,FALSE)),"")</f>
        <v>-0.03616853933</v>
      </c>
      <c r="E1210" s="48">
        <f>IFERROR(DIVIDE(VLOOKUP($B1210,Data!$B$3:$EZ1530,29,FALSE),VLOOKUP($B1210,Data!$B$3:$EZ1530,4,FALSE)),"")</f>
        <v>-0.08330337079</v>
      </c>
      <c r="F1210" s="48">
        <f>IFERROR(DIVIDE(VLOOKUP($B1210,Data!$B$3:$EZ1530,34,FALSE),VLOOKUP($B1210,Data!$B$3:$EZ1530,4,FALSE)),"")</f>
        <v>0.04717977528</v>
      </c>
      <c r="G1210" s="48">
        <f>IFERROR(DIVIDE(VLOOKUP($B1210,Data!$B$3:$EZ1530,39,FALSE),VLOOKUP($B1210,Data!$B$3:$EZ1530,4,FALSE)),"")</f>
        <v>-0.06663483146</v>
      </c>
      <c r="H1210" s="48">
        <f>IFERROR(DIVIDE(VLOOKUP($B1210,Data!$B$3:$EZ1530,44,FALSE),VLOOKUP($B1210,Data!$B$3:$EZ1530,4,FALSE)),"")</f>
        <v>0.02353932584</v>
      </c>
      <c r="I1210" s="48">
        <f>IFERROR(MINUS(DIVIDE(VLOOKUP($B1210,Data!$B$3:$EZ1530,9,FALSE),VLOOKUP($B1210,Data!$B$3:$EZ1530,10,FALSE)),1),"")</f>
        <v>-0.8313910502</v>
      </c>
      <c r="J1210" s="48">
        <f>IFERROR(MINUS(DIVIDE(VLOOKUP($B1210,Data!$B$3:$EZ1530,24,FALSE),VLOOKUP($B1210,Data!$B$3:$EZ1530,25,FALSE)),1),"")</f>
        <v>28</v>
      </c>
      <c r="K1210" s="48">
        <f>IFERROR(MINUS(DIVIDE(VLOOKUP($B1210,Data!$B$3:$EZ1530,29,FALSE),VLOOKUP($B1210,Data!$B$3:$EZ1530,30,FALSE)),1),"")</f>
        <v>-2.172266582</v>
      </c>
      <c r="L1210" s="48">
        <f>IFERROR(MINUS(DIVIDE(VLOOKUP($B1210,Data!$B$3:$EZ1530,34,FALSE),VLOOKUP($B1210,Data!$B$3:$EZ1530,35,FALSE)),1),"")</f>
        <v>-0.7258243552</v>
      </c>
      <c r="M1210" s="48">
        <f>IFERROR(MINUS(DIVIDE(VLOOKUP($B1210,Data!$B$3:$EZ1530,39,FALSE),VLOOKUP($B1210,Data!$B$3:$EZ1530,40,FALSE)),1),"")</f>
        <v>-2.192659628</v>
      </c>
      <c r="N1210" s="48">
        <f>IFERROR(MINUS(DIVIDE(VLOOKUP($B1210,Data!$B$3:$EZ1530,44,FALSE),VLOOKUP($B1210,Data!$B$3:$EZ1530,45,FALSE)),1),"")</f>
        <v>-0.8303231554</v>
      </c>
      <c r="O1210" s="50">
        <f>IFERROR(VLOOKUP($B1210,Data!$B$3:$D1530,2,FALSE),"")</f>
        <v>1750000</v>
      </c>
      <c r="P1210" s="50">
        <f>IFERROR(VLOOKUP($B1210,Data!$B$3:$D1530,3,FALSE),"")</f>
        <v>1670000</v>
      </c>
      <c r="Q1210" s="48">
        <f t="shared" si="2"/>
        <v>0.04790419162</v>
      </c>
      <c r="R1210" s="48"/>
      <c r="S1210" s="48"/>
      <c r="T1210" s="48"/>
      <c r="U1210" s="48"/>
      <c r="V1210" s="48"/>
      <c r="W1210" s="50"/>
      <c r="Z1210" s="11"/>
      <c r="AA1210" s="11"/>
    </row>
    <row r="1211">
      <c r="A1211" s="9">
        <f t="shared" si="1"/>
        <v>1208</v>
      </c>
      <c r="B1211" s="47" t="s">
        <v>1345</v>
      </c>
      <c r="C1211" s="48">
        <f>IFERROR(DIVIDE(VLOOKUP($B1211,Data!$B$3:$AB$1535,9,FALSE),VLOOKUP($B1211,Data!$B$3:$AB$1535,4,FALSE)),"")</f>
        <v>0.186</v>
      </c>
      <c r="D1211" s="48">
        <f>IFERROR(DIVIDE(VLOOKUP($B1211,Data!$B$3:$AB$1535,24,FALSE),VLOOKUP($B1211,Data!$B$3:$AB$1535,4,FALSE)),"")</f>
        <v>0.0422</v>
      </c>
      <c r="E1211" s="48">
        <f>IFERROR(DIVIDE(VLOOKUP($B1211,Data!$B$3:$EZ1530,29,FALSE),VLOOKUP($B1211,Data!$B$3:$EZ1530,4,FALSE)),"")</f>
        <v>0.0256</v>
      </c>
      <c r="F1211" s="48">
        <f>IFERROR(DIVIDE(VLOOKUP($B1211,Data!$B$3:$EZ1530,34,FALSE),VLOOKUP($B1211,Data!$B$3:$EZ1530,4,FALSE)),"")</f>
        <v>0.05731111111</v>
      </c>
      <c r="G1211" s="48">
        <f>IFERROR(DIVIDE(VLOOKUP($B1211,Data!$B$3:$EZ1530,39,FALSE),VLOOKUP($B1211,Data!$B$3:$EZ1530,4,FALSE)),"")</f>
        <v>0.01831111111</v>
      </c>
      <c r="H1211" s="48">
        <f>IFERROR(DIVIDE(VLOOKUP($B1211,Data!$B$3:$EZ1530,44,FALSE),VLOOKUP($B1211,Data!$B$3:$EZ1530,4,FALSE)),"")</f>
        <v>0.04291111111</v>
      </c>
      <c r="I1211" s="48">
        <f>IFERROR(MINUS(DIVIDE(VLOOKUP($B1211,Data!$B$3:$EZ1530,9,FALSE),VLOOKUP($B1211,Data!$B$3:$EZ1530,10,FALSE)),1),"")</f>
        <v>0.09957961114</v>
      </c>
      <c r="J1211" s="48">
        <f>IFERROR(MINUS(DIVIDE(VLOOKUP($B1211,Data!$B$3:$EZ1530,24,FALSE),VLOOKUP($B1211,Data!$B$3:$EZ1530,25,FALSE)),1),"")</f>
        <v>0.362266858</v>
      </c>
      <c r="K1211" s="48">
        <f>IFERROR(MINUS(DIVIDE(VLOOKUP($B1211,Data!$B$3:$EZ1530,29,FALSE),VLOOKUP($B1211,Data!$B$3:$EZ1530,30,FALSE)),1),"")</f>
        <v>-0.01285347044</v>
      </c>
      <c r="L1211" s="48">
        <f>IFERROR(MINUS(DIVIDE(VLOOKUP($B1211,Data!$B$3:$EZ1530,34,FALSE),VLOOKUP($B1211,Data!$B$3:$EZ1530,35,FALSE)),1),"")</f>
        <v>0.2830845771</v>
      </c>
      <c r="M1211" s="48">
        <f>IFERROR(MINUS(DIVIDE(VLOOKUP($B1211,Data!$B$3:$EZ1530,39,FALSE),VLOOKUP($B1211,Data!$B$3:$EZ1530,40,FALSE)),1),"")</f>
        <v>-0.2226415094</v>
      </c>
      <c r="N1211" s="48">
        <f>IFERROR(MINUS(DIVIDE(VLOOKUP($B1211,Data!$B$3:$EZ1530,44,FALSE),VLOOKUP($B1211,Data!$B$3:$EZ1530,45,FALSE)),1),"")</f>
        <v>2.364111498</v>
      </c>
      <c r="O1211" s="50">
        <f>IFERROR(VLOOKUP($B1211,Data!$B$3:$D1530,2,FALSE),"")</f>
        <v>3950000</v>
      </c>
      <c r="P1211" s="50">
        <f>IFERROR(VLOOKUP($B1211,Data!$B$3:$D1530,3,FALSE),"")</f>
        <v>3500000</v>
      </c>
      <c r="Q1211" s="48">
        <f t="shared" si="2"/>
        <v>0.1285714286</v>
      </c>
      <c r="R1211" s="48"/>
      <c r="S1211" s="48"/>
      <c r="T1211" s="48"/>
      <c r="U1211" s="48"/>
      <c r="V1211" s="48"/>
      <c r="W1211" s="50"/>
      <c r="Z1211" s="15"/>
      <c r="AA1211" s="15"/>
    </row>
    <row r="1212">
      <c r="A1212" s="9">
        <f t="shared" si="1"/>
        <v>1209</v>
      </c>
      <c r="B1212" s="47" t="s">
        <v>1346</v>
      </c>
      <c r="C1212" s="48" t="str">
        <f>IFERROR(DIVIDE(VLOOKUP($B1212,Data!$B$3:$AB$1535,9,FALSE),VLOOKUP($B1212,Data!$B$3:$AB$1535,4,FALSE)),"")</f>
        <v/>
      </c>
      <c r="D1212" s="48" t="str">
        <f>IFERROR(DIVIDE(VLOOKUP($B1212,Data!$B$3:$AB$1535,24,FALSE),VLOOKUP($B1212,Data!$B$3:$AB$1535,4,FALSE)),"")</f>
        <v/>
      </c>
      <c r="E1212" s="48" t="str">
        <f>IFERROR(DIVIDE(VLOOKUP($B1212,Data!$B$3:$EZ1530,29,FALSE),VLOOKUP($B1212,Data!$B$3:$EZ1530,4,FALSE)),"")</f>
        <v/>
      </c>
      <c r="F1212" s="48" t="str">
        <f>IFERROR(DIVIDE(VLOOKUP($B1212,Data!$B$3:$EZ1530,34,FALSE),VLOOKUP($B1212,Data!$B$3:$EZ1530,4,FALSE)),"")</f>
        <v/>
      </c>
      <c r="G1212" s="48" t="str">
        <f>IFERROR(DIVIDE(VLOOKUP($B1212,Data!$B$3:$EZ1530,39,FALSE),VLOOKUP($B1212,Data!$B$3:$EZ1530,4,FALSE)),"")</f>
        <v/>
      </c>
      <c r="H1212" s="48" t="str">
        <f>IFERROR(DIVIDE(VLOOKUP($B1212,Data!$B$3:$EZ1530,44,FALSE),VLOOKUP($B1212,Data!$B$3:$EZ1530,4,FALSE)),"")</f>
        <v/>
      </c>
      <c r="I1212" s="48">
        <f>IFERROR(MINUS(DIVIDE(VLOOKUP($B1212,Data!$B$3:$EZ1530,9,FALSE),VLOOKUP($B1212,Data!$B$3:$EZ1530,10,FALSE)),1),"")</f>
        <v>0.8868778281</v>
      </c>
      <c r="J1212" s="48" t="str">
        <f>IFERROR(MINUS(DIVIDE(VLOOKUP($B1212,Data!$B$3:$EZ1530,24,FALSE),VLOOKUP($B1212,Data!$B$3:$EZ1530,25,FALSE)),1),"")</f>
        <v/>
      </c>
      <c r="K1212" s="48">
        <f>IFERROR(MINUS(DIVIDE(VLOOKUP($B1212,Data!$B$3:$EZ1530,29,FALSE),VLOOKUP($B1212,Data!$B$3:$EZ1530,30,FALSE)),1),"")</f>
        <v>0.900216041</v>
      </c>
      <c r="L1212" s="48">
        <f>IFERROR(MINUS(DIVIDE(VLOOKUP($B1212,Data!$B$3:$EZ1530,34,FALSE),VLOOKUP($B1212,Data!$B$3:$EZ1530,35,FALSE)),1),"")</f>
        <v>0.8616311875</v>
      </c>
      <c r="M1212" s="48">
        <f>IFERROR(MINUS(DIVIDE(VLOOKUP($B1212,Data!$B$3:$EZ1530,39,FALSE),VLOOKUP($B1212,Data!$B$3:$EZ1530,40,FALSE)),1),"")</f>
        <v>0.900216041</v>
      </c>
      <c r="N1212" s="48">
        <f>IFERROR(MINUS(DIVIDE(VLOOKUP($B1212,Data!$B$3:$EZ1530,44,FALSE),VLOOKUP($B1212,Data!$B$3:$EZ1530,45,FALSE)),1),"")</f>
        <v>0.9779245891</v>
      </c>
      <c r="O1212" s="50">
        <f>IFERROR(VLOOKUP($B1212,Data!$B$3:$D1530,2,FALSE),"")</f>
        <v>55420</v>
      </c>
      <c r="P1212" s="50">
        <f>IFERROR(VLOOKUP($B1212,Data!$B$3:$D1530,3,FALSE),"")</f>
        <v>2160</v>
      </c>
      <c r="Q1212" s="48">
        <f t="shared" si="2"/>
        <v>24.65740741</v>
      </c>
      <c r="R1212" s="48"/>
      <c r="S1212" s="48"/>
      <c r="T1212" s="48"/>
      <c r="U1212" s="48"/>
      <c r="V1212" s="48"/>
      <c r="W1212" s="50"/>
      <c r="Z1212" s="15"/>
      <c r="AA1212" s="15"/>
    </row>
    <row r="1213">
      <c r="A1213" s="9">
        <f t="shared" si="1"/>
        <v>1210</v>
      </c>
      <c r="B1213" s="47" t="s">
        <v>1347</v>
      </c>
      <c r="C1213" s="48" t="str">
        <f>IFERROR(DIVIDE(VLOOKUP($B1213,Data!$B$3:$AB$1535,9,FALSE),VLOOKUP($B1213,Data!$B$3:$AB$1535,4,FALSE)),"")</f>
        <v/>
      </c>
      <c r="D1213" s="48" t="str">
        <f>IFERROR(DIVIDE(VLOOKUP($B1213,Data!$B$3:$AB$1535,24,FALSE),VLOOKUP($B1213,Data!$B$3:$AB$1535,4,FALSE)),"")</f>
        <v/>
      </c>
      <c r="E1213" s="48" t="str">
        <f>IFERROR(DIVIDE(VLOOKUP($B1213,Data!$B$3:$EZ1530,29,FALSE),VLOOKUP($B1213,Data!$B$3:$EZ1530,4,FALSE)),"")</f>
        <v/>
      </c>
      <c r="F1213" s="48" t="str">
        <f>IFERROR(DIVIDE(VLOOKUP($B1213,Data!$B$3:$EZ1530,34,FALSE),VLOOKUP($B1213,Data!$B$3:$EZ1530,4,FALSE)),"")</f>
        <v/>
      </c>
      <c r="G1213" s="48" t="str">
        <f>IFERROR(DIVIDE(VLOOKUP($B1213,Data!$B$3:$EZ1530,39,FALSE),VLOOKUP($B1213,Data!$B$3:$EZ1530,4,FALSE)),"")</f>
        <v/>
      </c>
      <c r="H1213" s="48" t="str">
        <f>IFERROR(DIVIDE(VLOOKUP($B1213,Data!$B$3:$EZ1530,44,FALSE),VLOOKUP($B1213,Data!$B$3:$EZ1530,4,FALSE)),"")</f>
        <v/>
      </c>
      <c r="I1213" s="48">
        <f>IFERROR(MINUS(DIVIDE(VLOOKUP($B1213,Data!$B$3:$EZ1530,9,FALSE),VLOOKUP($B1213,Data!$B$3:$EZ1530,10,FALSE)),1),"")</f>
        <v>-1</v>
      </c>
      <c r="J1213" s="48">
        <f>IFERROR(MINUS(DIVIDE(VLOOKUP($B1213,Data!$B$3:$EZ1530,24,FALSE),VLOOKUP($B1213,Data!$B$3:$EZ1530,25,FALSE)),1),"")</f>
        <v>-1</v>
      </c>
      <c r="K1213" s="48">
        <f>IFERROR(MINUS(DIVIDE(VLOOKUP($B1213,Data!$B$3:$EZ1530,29,FALSE),VLOOKUP($B1213,Data!$B$3:$EZ1530,30,FALSE)),1),"")</f>
        <v>-0.1823092505</v>
      </c>
      <c r="L1213" s="48">
        <f>IFERROR(MINUS(DIVIDE(VLOOKUP($B1213,Data!$B$3:$EZ1530,34,FALSE),VLOOKUP($B1213,Data!$B$3:$EZ1530,35,FALSE)),1),"")</f>
        <v>0.07518189167</v>
      </c>
      <c r="M1213" s="48">
        <f>IFERROR(MINUS(DIVIDE(VLOOKUP($B1213,Data!$B$3:$EZ1530,39,FALSE),VLOOKUP($B1213,Data!$B$3:$EZ1530,40,FALSE)),1),"")</f>
        <v>-0.4177532598</v>
      </c>
      <c r="N1213" s="48">
        <f>IFERROR(MINUS(DIVIDE(VLOOKUP($B1213,Data!$B$3:$EZ1530,44,FALSE),VLOOKUP($B1213,Data!$B$3:$EZ1530,45,FALSE)),1),"")</f>
        <v>0.1583421892</v>
      </c>
      <c r="O1213" s="50" t="str">
        <f>IFERROR(VLOOKUP($B1213,Data!$B$3:$D1530,2,FALSE),"")</f>
        <v/>
      </c>
      <c r="P1213" s="50" t="str">
        <f>IFERROR(VLOOKUP($B1213,Data!$B$3:$D1530,3,FALSE),"")</f>
        <v/>
      </c>
      <c r="Q1213" s="48" t="str">
        <f t="shared" si="2"/>
        <v/>
      </c>
      <c r="R1213" s="48"/>
      <c r="S1213" s="48"/>
      <c r="T1213" s="48"/>
      <c r="U1213" s="48"/>
      <c r="V1213" s="48"/>
      <c r="W1213" s="50"/>
      <c r="Z1213" s="12"/>
      <c r="AA1213" s="12"/>
    </row>
    <row r="1214">
      <c r="A1214" s="9">
        <f t="shared" si="1"/>
        <v>1211</v>
      </c>
      <c r="B1214" s="47" t="s">
        <v>1348</v>
      </c>
      <c r="C1214" s="48">
        <f>IFERROR(DIVIDE(VLOOKUP($B1214,Data!$B$3:$AB$1535,9,FALSE),VLOOKUP($B1214,Data!$B$3:$AB$1535,4,FALSE)),"")</f>
        <v>0.07909011628</v>
      </c>
      <c r="D1214" s="48">
        <f>IFERROR(DIVIDE(VLOOKUP($B1214,Data!$B$3:$AB$1535,24,FALSE),VLOOKUP($B1214,Data!$B$3:$AB$1535,4,FALSE)),"")</f>
        <v>0</v>
      </c>
      <c r="E1214" s="48">
        <f>IFERROR(DIVIDE(VLOOKUP($B1214,Data!$B$3:$EZ1530,29,FALSE),VLOOKUP($B1214,Data!$B$3:$EZ1530,4,FALSE)),"")</f>
        <v>0.01856104651</v>
      </c>
      <c r="F1214" s="48">
        <f>IFERROR(DIVIDE(VLOOKUP($B1214,Data!$B$3:$EZ1530,34,FALSE),VLOOKUP($B1214,Data!$B$3:$EZ1530,4,FALSE)),"")</f>
        <v>0.06185465116</v>
      </c>
      <c r="G1214" s="48">
        <f>IFERROR(DIVIDE(VLOOKUP($B1214,Data!$B$3:$EZ1530,39,FALSE),VLOOKUP($B1214,Data!$B$3:$EZ1530,4,FALSE)),"")</f>
        <v>0.01526744186</v>
      </c>
      <c r="H1214" s="48">
        <f>IFERROR(DIVIDE(VLOOKUP($B1214,Data!$B$3:$EZ1530,44,FALSE),VLOOKUP($B1214,Data!$B$3:$EZ1530,4,FALSE)),"")</f>
        <v>0.06011627907</v>
      </c>
      <c r="I1214" s="48">
        <f>IFERROR(MINUS(DIVIDE(VLOOKUP($B1214,Data!$B$3:$EZ1530,9,FALSE),VLOOKUP($B1214,Data!$B$3:$EZ1530,10,FALSE)),1),"")</f>
        <v>0.1066053852</v>
      </c>
      <c r="J1214" s="48" t="str">
        <f>IFERROR(MINUS(DIVIDE(VLOOKUP($B1214,Data!$B$3:$EZ1530,24,FALSE),VLOOKUP($B1214,Data!$B$3:$EZ1530,25,FALSE)),1),"")</f>
        <v/>
      </c>
      <c r="K1214" s="48">
        <f>IFERROR(MINUS(DIVIDE(VLOOKUP($B1214,Data!$B$3:$EZ1530,29,FALSE),VLOOKUP($B1214,Data!$B$3:$EZ1530,30,FALSE)),1),"")</f>
        <v>1.089332461</v>
      </c>
      <c r="L1214" s="48">
        <f>IFERROR(MINUS(DIVIDE(VLOOKUP($B1214,Data!$B$3:$EZ1530,34,FALSE),VLOOKUP($B1214,Data!$B$3:$EZ1530,35,FALSE)),1),"")</f>
        <v>0.3817780375</v>
      </c>
      <c r="M1214" s="48">
        <f>IFERROR(MINUS(DIVIDE(VLOOKUP($B1214,Data!$B$3:$EZ1530,39,FALSE),VLOOKUP($B1214,Data!$B$3:$EZ1530,40,FALSE)),1),"")</f>
        <v>-0.1326176713</v>
      </c>
      <c r="N1214" s="48">
        <f>IFERROR(MINUS(DIVIDE(VLOOKUP($B1214,Data!$B$3:$EZ1530,44,FALSE),VLOOKUP($B1214,Data!$B$3:$EZ1530,45,FALSE)),1),"")</f>
        <v>0.5737006316</v>
      </c>
      <c r="O1214" s="50">
        <f>IFERROR(VLOOKUP($B1214,Data!$B$3:$D1530,2,FALSE),"")</f>
        <v>3840000</v>
      </c>
      <c r="P1214" s="50">
        <f>IFERROR(VLOOKUP($B1214,Data!$B$3:$D1530,3,FALSE),"")</f>
        <v>3540000</v>
      </c>
      <c r="Q1214" s="48">
        <f t="shared" si="2"/>
        <v>0.08474576271</v>
      </c>
      <c r="R1214" s="48"/>
      <c r="S1214" s="48"/>
      <c r="T1214" s="48"/>
      <c r="U1214" s="48"/>
      <c r="V1214" s="48"/>
      <c r="W1214" s="50"/>
      <c r="Z1214" s="11"/>
      <c r="AA1214" s="11"/>
    </row>
    <row r="1215">
      <c r="A1215" s="9">
        <f t="shared" si="1"/>
        <v>1212</v>
      </c>
      <c r="B1215" s="47" t="s">
        <v>1349</v>
      </c>
      <c r="C1215" s="48">
        <f>IFERROR(DIVIDE(VLOOKUP($B1215,Data!$B$3:$AB$1535,9,FALSE),VLOOKUP($B1215,Data!$B$3:$AB$1535,4,FALSE)),"")</f>
        <v>0.6098981077</v>
      </c>
      <c r="D1215" s="48">
        <f>IFERROR(DIVIDE(VLOOKUP($B1215,Data!$B$3:$AB$1535,24,FALSE),VLOOKUP($B1215,Data!$B$3:$AB$1535,4,FALSE)),"")</f>
        <v>0</v>
      </c>
      <c r="E1215" s="48">
        <f>IFERROR(DIVIDE(VLOOKUP($B1215,Data!$B$3:$EZ1530,29,FALSE),VLOOKUP($B1215,Data!$B$3:$EZ1530,4,FALSE)),"")</f>
        <v>-99.01601164</v>
      </c>
      <c r="F1215" s="48">
        <f>IFERROR(DIVIDE(VLOOKUP($B1215,Data!$B$3:$EZ1530,34,FALSE),VLOOKUP($B1215,Data!$B$3:$EZ1530,4,FALSE)),"")</f>
        <v>-102.7423581</v>
      </c>
      <c r="G1215" s="48">
        <f>IFERROR(DIVIDE(VLOOKUP($B1215,Data!$B$3:$EZ1530,39,FALSE),VLOOKUP($B1215,Data!$B$3:$EZ1530,4,FALSE)),"")</f>
        <v>-99.01601164</v>
      </c>
      <c r="H1215" s="48">
        <f>IFERROR(DIVIDE(VLOOKUP($B1215,Data!$B$3:$EZ1530,44,FALSE),VLOOKUP($B1215,Data!$B$3:$EZ1530,4,FALSE)),"")</f>
        <v>-77.36681223</v>
      </c>
      <c r="I1215" s="48" t="str">
        <f>IFERROR(MINUS(DIVIDE(VLOOKUP($B1215,Data!$B$3:$EZ1530,9,FALSE),VLOOKUP($B1215,Data!$B$3:$EZ1530,10,FALSE)),1),"")</f>
        <v/>
      </c>
      <c r="J1215" s="48" t="str">
        <f>IFERROR(MINUS(DIVIDE(VLOOKUP($B1215,Data!$B$3:$EZ1530,24,FALSE),VLOOKUP($B1215,Data!$B$3:$EZ1530,25,FALSE)),1),"")</f>
        <v/>
      </c>
      <c r="K1215" s="48">
        <f>IFERROR(MINUS(DIVIDE(VLOOKUP($B1215,Data!$B$3:$EZ1530,29,FALSE),VLOOKUP($B1215,Data!$B$3:$EZ1530,30,FALSE)),1),"")</f>
        <v>0.8242866338</v>
      </c>
      <c r="L1215" s="48">
        <f>IFERROR(MINUS(DIVIDE(VLOOKUP($B1215,Data!$B$3:$EZ1530,34,FALSE),VLOOKUP($B1215,Data!$B$3:$EZ1530,35,FALSE)),1),"")</f>
        <v>0.7999693987</v>
      </c>
      <c r="M1215" s="48">
        <f>IFERROR(MINUS(DIVIDE(VLOOKUP($B1215,Data!$B$3:$EZ1530,39,FALSE),VLOOKUP($B1215,Data!$B$3:$EZ1530,40,FALSE)),1),"")</f>
        <v>0.8242866338</v>
      </c>
      <c r="N1215" s="48">
        <f>IFERROR(MINUS(DIVIDE(VLOOKUP($B1215,Data!$B$3:$EZ1530,44,FALSE),VLOOKUP($B1215,Data!$B$3:$EZ1530,45,FALSE)),1),"")</f>
        <v>1.039014846</v>
      </c>
      <c r="O1215" s="50">
        <f>IFERROR(VLOOKUP($B1215,Data!$B$3:$D1530,2,FALSE),"")</f>
        <v>18020</v>
      </c>
      <c r="P1215" s="50">
        <f>IFERROR(VLOOKUP($B1215,Data!$B$3:$D1530,3,FALSE),"")</f>
        <v>8180</v>
      </c>
      <c r="Q1215" s="48">
        <f t="shared" si="2"/>
        <v>1.202933985</v>
      </c>
      <c r="R1215" s="48"/>
      <c r="S1215" s="48"/>
      <c r="T1215" s="48"/>
      <c r="U1215" s="48"/>
      <c r="V1215" s="48"/>
      <c r="W1215" s="50"/>
      <c r="Z1215" s="12"/>
      <c r="AA1215" s="12"/>
    </row>
    <row r="1216">
      <c r="A1216" s="9">
        <f t="shared" si="1"/>
        <v>1213</v>
      </c>
      <c r="B1216" s="47" t="s">
        <v>1350</v>
      </c>
      <c r="C1216" s="48">
        <f>IFERROR(DIVIDE(VLOOKUP($B1216,Data!$B$3:$AB$1535,9,FALSE),VLOOKUP($B1216,Data!$B$3:$AB$1535,4,FALSE)),"")</f>
        <v>0.1368421053</v>
      </c>
      <c r="D1216" s="48">
        <f>IFERROR(DIVIDE(VLOOKUP($B1216,Data!$B$3:$AB$1535,24,FALSE),VLOOKUP($B1216,Data!$B$3:$AB$1535,4,FALSE)),"")</f>
        <v>0.02176267943</v>
      </c>
      <c r="E1216" s="48">
        <f>IFERROR(DIVIDE(VLOOKUP($B1216,Data!$B$3:$EZ1530,29,FALSE),VLOOKUP($B1216,Data!$B$3:$EZ1530,4,FALSE)),"")</f>
        <v>0.01910526316</v>
      </c>
      <c r="F1216" s="48">
        <f>IFERROR(DIVIDE(VLOOKUP($B1216,Data!$B$3:$EZ1530,34,FALSE),VLOOKUP($B1216,Data!$B$3:$EZ1530,4,FALSE)),"")</f>
        <v>0.0336354067</v>
      </c>
      <c r="G1216" s="48">
        <f>IFERROR(DIVIDE(VLOOKUP($B1216,Data!$B$3:$EZ1530,39,FALSE),VLOOKUP($B1216,Data!$B$3:$EZ1530,4,FALSE)),"")</f>
        <v>0.01383157895</v>
      </c>
      <c r="H1216" s="48">
        <f>IFERROR(DIVIDE(VLOOKUP($B1216,Data!$B$3:$EZ1530,44,FALSE),VLOOKUP($B1216,Data!$B$3:$EZ1530,4,FALSE)),"")</f>
        <v>0.01254736842</v>
      </c>
      <c r="I1216" s="48">
        <f>IFERROR(MINUS(DIVIDE(VLOOKUP($B1216,Data!$B$3:$EZ1530,9,FALSE),VLOOKUP($B1216,Data!$B$3:$EZ1530,10,FALSE)),1),"")</f>
        <v>0.05925925926</v>
      </c>
      <c r="J1216" s="48">
        <f>IFERROR(MINUS(DIVIDE(VLOOKUP($B1216,Data!$B$3:$EZ1530,24,FALSE),VLOOKUP($B1216,Data!$B$3:$EZ1530,25,FALSE)),1),"")</f>
        <v>0.2868217054</v>
      </c>
      <c r="K1216" s="48">
        <f>IFERROR(MINUS(DIVIDE(VLOOKUP($B1216,Data!$B$3:$EZ1530,29,FALSE),VLOOKUP($B1216,Data!$B$3:$EZ1530,30,FALSE)),1),"")</f>
        <v>1.651042358</v>
      </c>
      <c r="L1216" s="48">
        <f>IFERROR(MINUS(DIVIDE(VLOOKUP($B1216,Data!$B$3:$EZ1530,34,FALSE),VLOOKUP($B1216,Data!$B$3:$EZ1530,35,FALSE)),1),"")</f>
        <v>0.1653404947</v>
      </c>
      <c r="M1216" s="48">
        <f>IFERROR(MINUS(DIVIDE(VLOOKUP($B1216,Data!$B$3:$EZ1530,39,FALSE),VLOOKUP($B1216,Data!$B$3:$EZ1530,40,FALSE)),1),"")</f>
        <v>1.761559037</v>
      </c>
      <c r="N1216" s="48">
        <f>IFERROR(MINUS(DIVIDE(VLOOKUP($B1216,Data!$B$3:$EZ1530,44,FALSE),VLOOKUP($B1216,Data!$B$3:$EZ1530,45,FALSE)),1),"")</f>
        <v>0.03374329864</v>
      </c>
      <c r="O1216" s="50">
        <f>IFERROR(VLOOKUP($B1216,Data!$B$3:$D1530,2,FALSE),"")</f>
        <v>11280000</v>
      </c>
      <c r="P1216" s="50">
        <f>IFERROR(VLOOKUP($B1216,Data!$B$3:$D1530,3,FALSE),"")</f>
        <v>9770000</v>
      </c>
      <c r="Q1216" s="48">
        <f t="shared" si="2"/>
        <v>0.1545547595</v>
      </c>
      <c r="R1216" s="48"/>
      <c r="S1216" s="48"/>
      <c r="T1216" s="48"/>
      <c r="U1216" s="48"/>
      <c r="V1216" s="48"/>
      <c r="W1216" s="50"/>
      <c r="Z1216" s="15"/>
      <c r="AA1216" s="15"/>
    </row>
    <row r="1217">
      <c r="A1217" s="9">
        <f t="shared" si="1"/>
        <v>1214</v>
      </c>
      <c r="B1217" s="47" t="s">
        <v>1351</v>
      </c>
      <c r="C1217" s="48">
        <f>IFERROR(DIVIDE(VLOOKUP($B1217,Data!$B$3:$AB$1535,9,FALSE),VLOOKUP($B1217,Data!$B$3:$AB$1535,4,FALSE)),"")</f>
        <v>0.08501675978</v>
      </c>
      <c r="D1217" s="48">
        <f>IFERROR(DIVIDE(VLOOKUP($B1217,Data!$B$3:$AB$1535,24,FALSE),VLOOKUP($B1217,Data!$B$3:$AB$1535,4,FALSE)),"")</f>
        <v>0</v>
      </c>
      <c r="E1217" s="48">
        <f>IFERROR(DIVIDE(VLOOKUP($B1217,Data!$B$3:$EZ1530,29,FALSE),VLOOKUP($B1217,Data!$B$3:$EZ1530,4,FALSE)),"")</f>
        <v>0.0819273743</v>
      </c>
      <c r="F1217" s="48">
        <f>IFERROR(DIVIDE(VLOOKUP($B1217,Data!$B$3:$EZ1530,34,FALSE),VLOOKUP($B1217,Data!$B$3:$EZ1530,4,FALSE)),"")</f>
        <v>0.151575419</v>
      </c>
      <c r="G1217" s="48">
        <f>IFERROR(DIVIDE(VLOOKUP($B1217,Data!$B$3:$EZ1530,39,FALSE),VLOOKUP($B1217,Data!$B$3:$EZ1530,4,FALSE)),"")</f>
        <v>0.06353072626</v>
      </c>
      <c r="H1217" s="48">
        <f>IFERROR(DIVIDE(VLOOKUP($B1217,Data!$B$3:$EZ1530,44,FALSE),VLOOKUP($B1217,Data!$B$3:$EZ1530,4,FALSE)),"")</f>
        <v>0.1524469274</v>
      </c>
      <c r="I1217" s="48">
        <f>IFERROR(MINUS(DIVIDE(VLOOKUP($B1217,Data!$B$3:$EZ1530,9,FALSE),VLOOKUP($B1217,Data!$B$3:$EZ1530,10,FALSE)),1),"")</f>
        <v>0.07502119243</v>
      </c>
      <c r="J1217" s="48" t="str">
        <f>IFERROR(MINUS(DIVIDE(VLOOKUP($B1217,Data!$B$3:$EZ1530,24,FALSE),VLOOKUP($B1217,Data!$B$3:$EZ1530,25,FALSE)),1),"")</f>
        <v/>
      </c>
      <c r="K1217" s="48">
        <f>IFERROR(MINUS(DIVIDE(VLOOKUP($B1217,Data!$B$3:$EZ1530,29,FALSE),VLOOKUP($B1217,Data!$B$3:$EZ1530,30,FALSE)),1),"")</f>
        <v>0.07965839653</v>
      </c>
      <c r="L1217" s="48">
        <f>IFERROR(MINUS(DIVIDE(VLOOKUP($B1217,Data!$B$3:$EZ1530,34,FALSE),VLOOKUP($B1217,Data!$B$3:$EZ1530,35,FALSE)),1),"")</f>
        <v>0.1132903861</v>
      </c>
      <c r="M1217" s="48">
        <f>IFERROR(MINUS(DIVIDE(VLOOKUP($B1217,Data!$B$3:$EZ1530,39,FALSE),VLOOKUP($B1217,Data!$B$3:$EZ1530,40,FALSE)),1),"")</f>
        <v>0.08325395313</v>
      </c>
      <c r="N1217" s="48">
        <f>IFERROR(MINUS(DIVIDE(VLOOKUP($B1217,Data!$B$3:$EZ1530,44,FALSE),VLOOKUP($B1217,Data!$B$3:$EZ1530,45,FALSE)),1),"")</f>
        <v>0.06410856341</v>
      </c>
      <c r="O1217" s="50">
        <f>IFERROR(VLOOKUP($B1217,Data!$B$3:$D1530,2,FALSE),"")</f>
        <v>1960000</v>
      </c>
      <c r="P1217" s="50">
        <f>IFERROR(VLOOKUP($B1217,Data!$B$3:$D1530,3,FALSE),"")</f>
        <v>1780000</v>
      </c>
      <c r="Q1217" s="48">
        <f t="shared" si="2"/>
        <v>0.1011235955</v>
      </c>
      <c r="R1217" s="48"/>
      <c r="S1217" s="48"/>
      <c r="T1217" s="48"/>
      <c r="U1217" s="48"/>
      <c r="V1217" s="48"/>
      <c r="W1217" s="50"/>
      <c r="Z1217" s="11"/>
      <c r="AA1217" s="11"/>
    </row>
    <row r="1218">
      <c r="A1218" s="9">
        <f t="shared" si="1"/>
        <v>1215</v>
      </c>
      <c r="B1218" s="47" t="s">
        <v>1352</v>
      </c>
      <c r="C1218" s="48">
        <f>IFERROR(DIVIDE(VLOOKUP($B1218,Data!$B$3:$AB$1535,9,FALSE),VLOOKUP($B1218,Data!$B$3:$AB$1535,4,FALSE)),"")</f>
        <v>0.09576802508</v>
      </c>
      <c r="D1218" s="48">
        <f>IFERROR(DIVIDE(VLOOKUP($B1218,Data!$B$3:$AB$1535,24,FALSE),VLOOKUP($B1218,Data!$B$3:$AB$1535,4,FALSE)),"")</f>
        <v>0.05626959248</v>
      </c>
      <c r="E1218" s="48">
        <f>IFERROR(DIVIDE(VLOOKUP($B1218,Data!$B$3:$EZ1530,29,FALSE),VLOOKUP($B1218,Data!$B$3:$EZ1530,4,FALSE)),"")</f>
        <v>0.04310344828</v>
      </c>
      <c r="F1218" s="48">
        <f>IFERROR(DIVIDE(VLOOKUP($B1218,Data!$B$3:$EZ1530,34,FALSE),VLOOKUP($B1218,Data!$B$3:$EZ1530,4,FALSE)),"")</f>
        <v>0.08432601881</v>
      </c>
      <c r="G1218" s="48">
        <f>IFERROR(DIVIDE(VLOOKUP($B1218,Data!$B$3:$EZ1530,39,FALSE),VLOOKUP($B1218,Data!$B$3:$EZ1530,4,FALSE)),"")</f>
        <v>0.03542319749</v>
      </c>
      <c r="H1218" s="48">
        <f>IFERROR(DIVIDE(VLOOKUP($B1218,Data!$B$3:$EZ1530,44,FALSE),VLOOKUP($B1218,Data!$B$3:$EZ1530,4,FALSE)),"")</f>
        <v>0.07178683386</v>
      </c>
      <c r="I1218" s="48">
        <f>IFERROR(MINUS(DIVIDE(VLOOKUP($B1218,Data!$B$3:$EZ1530,9,FALSE),VLOOKUP($B1218,Data!$B$3:$EZ1530,10,FALSE)),1),"")</f>
        <v>0.3168103448</v>
      </c>
      <c r="J1218" s="48">
        <f>IFERROR(MINUS(DIVIDE(VLOOKUP($B1218,Data!$B$3:$EZ1530,24,FALSE),VLOOKUP($B1218,Data!$B$3:$EZ1530,25,FALSE)),1),"")</f>
        <v>0.6318181818</v>
      </c>
      <c r="K1218" s="48">
        <f>IFERROR(MINUS(DIVIDE(VLOOKUP($B1218,Data!$B$3:$EZ1530,29,FALSE),VLOOKUP($B1218,Data!$B$3:$EZ1530,30,FALSE)),1),"")</f>
        <v>0.6176470588</v>
      </c>
      <c r="L1218" s="48">
        <f>IFERROR(MINUS(DIVIDE(VLOOKUP($B1218,Data!$B$3:$EZ1530,34,FALSE),VLOOKUP($B1218,Data!$B$3:$EZ1530,35,FALSE)),1),"")</f>
        <v>0.5504322767</v>
      </c>
      <c r="M1218" s="48">
        <f>IFERROR(MINUS(DIVIDE(VLOOKUP($B1218,Data!$B$3:$EZ1530,39,FALSE),VLOOKUP($B1218,Data!$B$3:$EZ1530,40,FALSE)),1),"")</f>
        <v>0.6496350365</v>
      </c>
      <c r="N1218" s="48">
        <f>IFERROR(MINUS(DIVIDE(VLOOKUP($B1218,Data!$B$3:$EZ1530,44,FALSE),VLOOKUP($B1218,Data!$B$3:$EZ1530,45,FALSE)),1),"")</f>
        <v>1.489130435</v>
      </c>
      <c r="O1218" s="50">
        <f>IFERROR(VLOOKUP($B1218,Data!$B$3:$D1530,2,FALSE),"")</f>
        <v>7700000</v>
      </c>
      <c r="P1218" s="50">
        <f>IFERROR(VLOOKUP($B1218,Data!$B$3:$D1530,3,FALSE),"")</f>
        <v>7240000</v>
      </c>
      <c r="Q1218" s="48">
        <f t="shared" si="2"/>
        <v>0.0635359116</v>
      </c>
      <c r="R1218" s="48"/>
      <c r="S1218" s="48"/>
      <c r="T1218" s="48"/>
      <c r="U1218" s="48"/>
      <c r="V1218" s="48"/>
      <c r="W1218" s="50"/>
      <c r="Z1218" s="15"/>
      <c r="AA1218" s="15"/>
    </row>
    <row r="1219">
      <c r="A1219" s="9">
        <f t="shared" si="1"/>
        <v>1216</v>
      </c>
      <c r="B1219" s="47" t="s">
        <v>1353</v>
      </c>
      <c r="C1219" s="48">
        <f>IFERROR(DIVIDE(VLOOKUP($B1219,Data!$B$3:$AB$1535,9,FALSE),VLOOKUP($B1219,Data!$B$3:$AB$1535,4,FALSE)),"")</f>
        <v>0.2128862766</v>
      </c>
      <c r="D1219" s="48">
        <f>IFERROR(DIVIDE(VLOOKUP($B1219,Data!$B$3:$AB$1535,24,FALSE),VLOOKUP($B1219,Data!$B$3:$AB$1535,4,FALSE)),"")</f>
        <v>0.06652417847</v>
      </c>
      <c r="E1219" s="48">
        <f>IFERROR(DIVIDE(VLOOKUP($B1219,Data!$B$3:$EZ1530,29,FALSE),VLOOKUP($B1219,Data!$B$3:$EZ1530,4,FALSE)),"")</f>
        <v>-0.3218006946</v>
      </c>
      <c r="F1219" s="48">
        <f>IFERROR(DIVIDE(VLOOKUP($B1219,Data!$B$3:$EZ1530,34,FALSE),VLOOKUP($B1219,Data!$B$3:$EZ1530,4,FALSE)),"")</f>
        <v>0.3119601033</v>
      </c>
      <c r="G1219" s="48">
        <f>IFERROR(DIVIDE(VLOOKUP($B1219,Data!$B$3:$EZ1530,39,FALSE),VLOOKUP($B1219,Data!$B$3:$EZ1530,4,FALSE)),"")</f>
        <v>0.1988155668</v>
      </c>
      <c r="H1219" s="48">
        <f>IFERROR(DIVIDE(VLOOKUP($B1219,Data!$B$3:$EZ1530,44,FALSE),VLOOKUP($B1219,Data!$B$3:$EZ1530,4,FALSE)),"")</f>
        <v>0.1604773355</v>
      </c>
      <c r="I1219" s="48">
        <f>IFERROR(MINUS(DIVIDE(VLOOKUP($B1219,Data!$B$3:$EZ1530,9,FALSE),VLOOKUP($B1219,Data!$B$3:$EZ1530,10,FALSE)),1),"")</f>
        <v>-0.3684280053</v>
      </c>
      <c r="J1219" s="48">
        <f>IFERROR(MINUS(DIVIDE(VLOOKUP($B1219,Data!$B$3:$EZ1530,24,FALSE),VLOOKUP($B1219,Data!$B$3:$EZ1530,25,FALSE)),1),"")</f>
        <v>-0.6552838025</v>
      </c>
      <c r="K1219" s="48">
        <f>IFERROR(MINUS(DIVIDE(VLOOKUP($B1219,Data!$B$3:$EZ1530,29,FALSE),VLOOKUP($B1219,Data!$B$3:$EZ1530,30,FALSE)),1),"")</f>
        <v>4.690551181</v>
      </c>
      <c r="L1219" s="48">
        <f>IFERROR(MINUS(DIVIDE(VLOOKUP($B1219,Data!$B$3:$EZ1530,34,FALSE),VLOOKUP($B1219,Data!$B$3:$EZ1530,35,FALSE)),1),"")</f>
        <v>-0.2988390713</v>
      </c>
      <c r="M1219" s="48">
        <f>IFERROR(MINUS(DIVIDE(VLOOKUP($B1219,Data!$B$3:$EZ1530,39,FALSE),VLOOKUP($B1219,Data!$B$3:$EZ1530,40,FALSE)),1),"")</f>
        <v>-4.515748031</v>
      </c>
      <c r="N1219" s="48">
        <f>IFERROR(MINUS(DIVIDE(VLOOKUP($B1219,Data!$B$3:$EZ1530,44,FALSE),VLOOKUP($B1219,Data!$B$3:$EZ1530,45,FALSE)),1),"")</f>
        <v>-0.4923228624</v>
      </c>
      <c r="O1219" s="50">
        <f>IFERROR(VLOOKUP($B1219,Data!$B$3:$D1530,2,FALSE),"")</f>
        <v>224230</v>
      </c>
      <c r="P1219" s="50">
        <f>IFERROR(VLOOKUP($B1219,Data!$B$3:$D1530,3,FALSE),"")</f>
        <v>162550</v>
      </c>
      <c r="Q1219" s="48">
        <f t="shared" si="2"/>
        <v>0.3794524762</v>
      </c>
      <c r="R1219" s="48"/>
      <c r="S1219" s="48"/>
      <c r="T1219" s="48"/>
      <c r="U1219" s="48"/>
      <c r="V1219" s="48"/>
      <c r="W1219" s="50"/>
      <c r="Z1219" s="11"/>
      <c r="AA1219" s="11"/>
    </row>
    <row r="1220">
      <c r="A1220" s="9">
        <f t="shared" si="1"/>
        <v>1217</v>
      </c>
      <c r="B1220" s="47" t="s">
        <v>1354</v>
      </c>
      <c r="C1220" s="48">
        <f>IFERROR(DIVIDE(VLOOKUP($B1220,Data!$B$3:$AB$1535,9,FALSE),VLOOKUP($B1220,Data!$B$3:$AB$1535,4,FALSE)),"")</f>
        <v>0.36740541</v>
      </c>
      <c r="D1220" s="48">
        <f>IFERROR(DIVIDE(VLOOKUP($B1220,Data!$B$3:$AB$1535,24,FALSE),VLOOKUP($B1220,Data!$B$3:$AB$1535,4,FALSE)),"")</f>
        <v>0.2897952305</v>
      </c>
      <c r="E1220" s="48">
        <f>IFERROR(DIVIDE(VLOOKUP($B1220,Data!$B$3:$EZ1530,29,FALSE),VLOOKUP($B1220,Data!$B$3:$EZ1530,4,FALSE)),"")</f>
        <v>0.2572680543</v>
      </c>
      <c r="F1220" s="48">
        <f>IFERROR(DIVIDE(VLOOKUP($B1220,Data!$B$3:$EZ1530,34,FALSE),VLOOKUP($B1220,Data!$B$3:$EZ1530,4,FALSE)),"")</f>
        <v>0.6419482599</v>
      </c>
      <c r="G1220" s="48">
        <f>IFERROR(DIVIDE(VLOOKUP($B1220,Data!$B$3:$EZ1530,39,FALSE),VLOOKUP($B1220,Data!$B$3:$EZ1530,4,FALSE)),"")</f>
        <v>0.1833656358</v>
      </c>
      <c r="H1220" s="48">
        <f>IFERROR(DIVIDE(VLOOKUP($B1220,Data!$B$3:$EZ1530,44,FALSE),VLOOKUP($B1220,Data!$B$3:$EZ1530,4,FALSE)),"")</f>
        <v>0.610937895</v>
      </c>
      <c r="I1220" s="48">
        <f>IFERROR(MINUS(DIVIDE(VLOOKUP($B1220,Data!$B$3:$EZ1530,9,FALSE),VLOOKUP($B1220,Data!$B$3:$EZ1530,10,FALSE)),1),"")</f>
        <v>0.2432278301</v>
      </c>
      <c r="J1220" s="48">
        <f>IFERROR(MINUS(DIVIDE(VLOOKUP($B1220,Data!$B$3:$EZ1530,24,FALSE),VLOOKUP($B1220,Data!$B$3:$EZ1530,25,FALSE)),1),"")</f>
        <v>1.136024845</v>
      </c>
      <c r="K1220" s="48">
        <f>IFERROR(MINUS(DIVIDE(VLOOKUP($B1220,Data!$B$3:$EZ1530,29,FALSE),VLOOKUP($B1220,Data!$B$3:$EZ1530,30,FALSE)),1),"")</f>
        <v>1.706560284</v>
      </c>
      <c r="L1220" s="48">
        <f>IFERROR(MINUS(DIVIDE(VLOOKUP($B1220,Data!$B$3:$EZ1530,34,FALSE),VLOOKUP($B1220,Data!$B$3:$EZ1530,35,FALSE)),1),"")</f>
        <v>0.2517252711</v>
      </c>
      <c r="M1220" s="48">
        <f>IFERROR(MINUS(DIVIDE(VLOOKUP($B1220,Data!$B$3:$EZ1530,39,FALSE),VLOOKUP($B1220,Data!$B$3:$EZ1530,40,FALSE)),1),"")</f>
        <v>1.859395532</v>
      </c>
      <c r="N1220" s="48">
        <f>IFERROR(MINUS(DIVIDE(VLOOKUP($B1220,Data!$B$3:$EZ1530,44,FALSE),VLOOKUP($B1220,Data!$B$3:$EZ1530,45,FALSE)),1),"")</f>
        <v>0.2007287181</v>
      </c>
      <c r="O1220" s="50">
        <f>IFERROR(VLOOKUP($B1220,Data!$B$3:$D1530,2,FALSE),"")</f>
        <v>70930</v>
      </c>
      <c r="P1220" s="50">
        <f>IFERROR(VLOOKUP($B1220,Data!$B$3:$D1530,3,FALSE),"")</f>
        <v>65230</v>
      </c>
      <c r="Q1220" s="48">
        <f t="shared" si="2"/>
        <v>0.08738310593</v>
      </c>
      <c r="R1220" s="48"/>
      <c r="S1220" s="48"/>
      <c r="T1220" s="48"/>
      <c r="U1220" s="48"/>
      <c r="V1220" s="48"/>
      <c r="W1220" s="50"/>
      <c r="Z1220" s="15"/>
      <c r="AA1220" s="15"/>
    </row>
    <row r="1221">
      <c r="A1221" s="9">
        <f t="shared" si="1"/>
        <v>1218</v>
      </c>
      <c r="B1221" s="52" t="s">
        <v>1355</v>
      </c>
      <c r="C1221" s="48">
        <f>IFERROR(DIVIDE(VLOOKUP($B1221,Data!$B$3:$AB$1535,9,FALSE),VLOOKUP($B1221,Data!$B$3:$AB$1535,4,FALSE)),"")</f>
        <v>0.1756866841</v>
      </c>
      <c r="D1221" s="48">
        <f>IFERROR(DIVIDE(VLOOKUP($B1221,Data!$B$3:$AB$1535,24,FALSE),VLOOKUP($B1221,Data!$B$3:$AB$1535,4,FALSE)),"")</f>
        <v>0.1353524804</v>
      </c>
      <c r="E1221" s="48">
        <f>IFERROR(DIVIDE(VLOOKUP($B1221,Data!$B$3:$EZ1530,29,FALSE),VLOOKUP($B1221,Data!$B$3:$EZ1530,4,FALSE)),"")</f>
        <v>0.1139503916</v>
      </c>
      <c r="F1221" s="48">
        <f>IFERROR(DIVIDE(VLOOKUP($B1221,Data!$B$3:$EZ1530,34,FALSE),VLOOKUP($B1221,Data!$B$3:$EZ1530,4,FALSE)),"")</f>
        <v>0.1943550914</v>
      </c>
      <c r="G1221" s="48">
        <f>IFERROR(DIVIDE(VLOOKUP($B1221,Data!$B$3:$EZ1530,39,FALSE),VLOOKUP($B1221,Data!$B$3:$EZ1530,4,FALSE)),"")</f>
        <v>0.08753524804</v>
      </c>
      <c r="H1221" s="48">
        <f>IFERROR(DIVIDE(VLOOKUP($B1221,Data!$B$3:$EZ1530,44,FALSE),VLOOKUP($B1221,Data!$B$3:$EZ1530,4,FALSE)),"")</f>
        <v>0.1040339426</v>
      </c>
      <c r="I1221" s="48">
        <f>IFERROR(MINUS(DIVIDE(VLOOKUP($B1221,Data!$B$3:$EZ1530,9,FALSE),VLOOKUP($B1221,Data!$B$3:$EZ1530,10,FALSE)),1),"")</f>
        <v>0.1474369906</v>
      </c>
      <c r="J1221" s="48">
        <f>IFERROR(MINUS(DIVIDE(VLOOKUP($B1221,Data!$B$3:$EZ1530,24,FALSE),VLOOKUP($B1221,Data!$B$3:$EZ1530,25,FALSE)),1),"")</f>
        <v>0.9190049604</v>
      </c>
      <c r="K1221" s="48">
        <f>IFERROR(MINUS(DIVIDE(VLOOKUP($B1221,Data!$B$3:$EZ1530,29,FALSE),VLOOKUP($B1221,Data!$B$3:$EZ1530,30,FALSE)),1),"")</f>
        <v>1.12913455</v>
      </c>
      <c r="L1221" s="48">
        <f>IFERROR(MINUS(DIVIDE(VLOOKUP($B1221,Data!$B$3:$EZ1530,34,FALSE),VLOOKUP($B1221,Data!$B$3:$EZ1530,35,FALSE)),1),"")</f>
        <v>0.1888395566</v>
      </c>
      <c r="M1221" s="48">
        <f>IFERROR(MINUS(DIVIDE(VLOOKUP($B1221,Data!$B$3:$EZ1530,39,FALSE),VLOOKUP($B1221,Data!$B$3:$EZ1530,40,FALSE)),1),"")</f>
        <v>1.152552167</v>
      </c>
      <c r="N1221" s="48">
        <f>IFERROR(MINUS(DIVIDE(VLOOKUP($B1221,Data!$B$3:$EZ1530,44,FALSE),VLOOKUP($B1221,Data!$B$3:$EZ1530,45,FALSE)),1),"")</f>
        <v>-0.2132646211</v>
      </c>
      <c r="O1221" s="50">
        <f>IFERROR(VLOOKUP($B1221,Data!$B$3:$D1530,2,FALSE),"")</f>
        <v>3140000</v>
      </c>
      <c r="P1221" s="50">
        <f>IFERROR(VLOOKUP($B1221,Data!$B$3:$D1530,3,FALSE),"")</f>
        <v>1820000</v>
      </c>
      <c r="Q1221" s="48">
        <f t="shared" si="2"/>
        <v>0.7252747253</v>
      </c>
      <c r="R1221" s="48"/>
      <c r="S1221" s="48"/>
      <c r="T1221" s="48"/>
      <c r="U1221" s="48"/>
      <c r="V1221" s="48"/>
      <c r="W1221" s="50"/>
      <c r="Z1221" s="11"/>
      <c r="AA1221" s="11"/>
    </row>
    <row r="1222">
      <c r="A1222" s="9">
        <f t="shared" si="1"/>
        <v>1219</v>
      </c>
      <c r="B1222" s="47" t="s">
        <v>1356</v>
      </c>
      <c r="C1222" s="48">
        <f>IFERROR(DIVIDE(VLOOKUP($B1222,Data!$B$3:$AB$1535,9,FALSE),VLOOKUP($B1222,Data!$B$3:$AB$1535,4,FALSE)),"")</f>
        <v>0.3295408576</v>
      </c>
      <c r="D1222" s="48">
        <f>IFERROR(DIVIDE(VLOOKUP($B1222,Data!$B$3:$AB$1535,24,FALSE),VLOOKUP($B1222,Data!$B$3:$AB$1535,4,FALSE)),"")</f>
        <v>0.224211165</v>
      </c>
      <c r="E1222" s="48">
        <f>IFERROR(DIVIDE(VLOOKUP($B1222,Data!$B$3:$EZ1530,29,FALSE),VLOOKUP($B1222,Data!$B$3:$EZ1530,4,FALSE)),"")</f>
        <v>0.08110841424</v>
      </c>
      <c r="F1222" s="48">
        <f>IFERROR(DIVIDE(VLOOKUP($B1222,Data!$B$3:$EZ1530,34,FALSE),VLOOKUP($B1222,Data!$B$3:$EZ1530,4,FALSE)),"")</f>
        <v>0.4795711974</v>
      </c>
      <c r="G1222" s="48">
        <f>IFERROR(DIVIDE(VLOOKUP($B1222,Data!$B$3:$EZ1530,39,FALSE),VLOOKUP($B1222,Data!$B$3:$EZ1530,4,FALSE)),"")</f>
        <v>0.08110841424</v>
      </c>
      <c r="H1222" s="48">
        <f>IFERROR(DIVIDE(VLOOKUP($B1222,Data!$B$3:$EZ1530,44,FALSE),VLOOKUP($B1222,Data!$B$3:$EZ1530,4,FALSE)),"")</f>
        <v>0.2947006472</v>
      </c>
      <c r="I1222" s="48">
        <f>IFERROR(MINUS(DIVIDE(VLOOKUP($B1222,Data!$B$3:$EZ1530,9,FALSE),VLOOKUP($B1222,Data!$B$3:$EZ1530,10,FALSE)),1),"")</f>
        <v>-0.1337232487</v>
      </c>
      <c r="J1222" s="48">
        <f>IFERROR(MINUS(DIVIDE(VLOOKUP($B1222,Data!$B$3:$EZ1530,24,FALSE),VLOOKUP($B1222,Data!$B$3:$EZ1530,25,FALSE)),1),"")</f>
        <v>-0.2069397246</v>
      </c>
      <c r="K1222" s="48">
        <f>IFERROR(MINUS(DIVIDE(VLOOKUP($B1222,Data!$B$3:$EZ1530,29,FALSE),VLOOKUP($B1222,Data!$B$3:$EZ1530,30,FALSE)),1),"")</f>
        <v>-0.4205202312</v>
      </c>
      <c r="L1222" s="48">
        <f>IFERROR(MINUS(DIVIDE(VLOOKUP($B1222,Data!$B$3:$EZ1530,34,FALSE),VLOOKUP($B1222,Data!$B$3:$EZ1530,35,FALSE)),1),"")</f>
        <v>-0.08860272919</v>
      </c>
      <c r="M1222" s="48">
        <f>IFERROR(MINUS(DIVIDE(VLOOKUP($B1222,Data!$B$3:$EZ1530,39,FALSE),VLOOKUP($B1222,Data!$B$3:$EZ1530,40,FALSE)),1),"")</f>
        <v>-0.4205202312</v>
      </c>
      <c r="N1222" s="48">
        <f>IFERROR(MINUS(DIVIDE(VLOOKUP($B1222,Data!$B$3:$EZ1530,44,FALSE),VLOOKUP($B1222,Data!$B$3:$EZ1530,45,FALSE)),1),"")</f>
        <v>-0.3179637215</v>
      </c>
      <c r="O1222" s="50">
        <f>IFERROR(VLOOKUP($B1222,Data!$B$3:$D1530,2,FALSE),"")</f>
        <v>210600</v>
      </c>
      <c r="P1222" s="50">
        <f>IFERROR(VLOOKUP($B1222,Data!$B$3:$D1530,3,FALSE),"")</f>
        <v>176970</v>
      </c>
      <c r="Q1222" s="48">
        <f t="shared" si="2"/>
        <v>0.1900322088</v>
      </c>
      <c r="R1222" s="48"/>
      <c r="S1222" s="48"/>
      <c r="T1222" s="48"/>
      <c r="U1222" s="48"/>
      <c r="V1222" s="48"/>
      <c r="W1222" s="50"/>
      <c r="Z1222" s="12"/>
      <c r="AA1222" s="12"/>
    </row>
    <row r="1223">
      <c r="A1223" s="9">
        <f t="shared" si="1"/>
        <v>1220</v>
      </c>
      <c r="B1223" s="47" t="s">
        <v>1357</v>
      </c>
      <c r="C1223" s="48">
        <f>IFERROR(DIVIDE(VLOOKUP($B1223,Data!$B$3:$AB$1535,9,FALSE),VLOOKUP($B1223,Data!$B$3:$AB$1535,4,FALSE)),"")</f>
        <v>0.5885608856</v>
      </c>
      <c r="D1223" s="48">
        <f>IFERROR(DIVIDE(VLOOKUP($B1223,Data!$B$3:$AB$1535,24,FALSE),VLOOKUP($B1223,Data!$B$3:$AB$1535,4,FALSE)),"")</f>
        <v>-2.57103321</v>
      </c>
      <c r="E1223" s="48">
        <f>IFERROR(DIVIDE(VLOOKUP($B1223,Data!$B$3:$EZ1530,29,FALSE),VLOOKUP($B1223,Data!$B$3:$EZ1530,4,FALSE)),"")</f>
        <v>-2.199261993</v>
      </c>
      <c r="F1223" s="48">
        <f>IFERROR(DIVIDE(VLOOKUP($B1223,Data!$B$3:$EZ1530,34,FALSE),VLOOKUP($B1223,Data!$B$3:$EZ1530,4,FALSE)),"")</f>
        <v>-2.684501845</v>
      </c>
      <c r="G1223" s="48">
        <f>IFERROR(DIVIDE(VLOOKUP($B1223,Data!$B$3:$EZ1530,39,FALSE),VLOOKUP($B1223,Data!$B$3:$EZ1530,4,FALSE)),"")</f>
        <v>-2.280904059</v>
      </c>
      <c r="H1223" s="48">
        <f>IFERROR(DIVIDE(VLOOKUP($B1223,Data!$B$3:$EZ1530,44,FALSE),VLOOKUP($B1223,Data!$B$3:$EZ1530,4,FALSE)),"")</f>
        <v>-2.065498155</v>
      </c>
      <c r="I1223" s="48">
        <f>IFERROR(MINUS(DIVIDE(VLOOKUP($B1223,Data!$B$3:$EZ1530,9,FALSE),VLOOKUP($B1223,Data!$B$3:$EZ1530,10,FALSE)),1),"")</f>
        <v>0.8737151248</v>
      </c>
      <c r="J1223" s="48">
        <f>IFERROR(MINUS(DIVIDE(VLOOKUP($B1223,Data!$B$3:$EZ1530,24,FALSE),VLOOKUP($B1223,Data!$B$3:$EZ1530,25,FALSE)),1),"")</f>
        <v>-0.3603396833</v>
      </c>
      <c r="K1223" s="48">
        <f>IFERROR(MINUS(DIVIDE(VLOOKUP($B1223,Data!$B$3:$EZ1530,29,FALSE),VLOOKUP($B1223,Data!$B$3:$EZ1530,30,FALSE)),1),"")</f>
        <v>-2.472059278</v>
      </c>
      <c r="L1223" s="48">
        <f>IFERROR(MINUS(DIVIDE(VLOOKUP($B1223,Data!$B$3:$EZ1530,34,FALSE),VLOOKUP($B1223,Data!$B$3:$EZ1530,35,FALSE)),1),"")</f>
        <v>-0.2207792208</v>
      </c>
      <c r="M1223" s="48">
        <f>IFERROR(MINUS(DIVIDE(VLOOKUP($B1223,Data!$B$3:$EZ1530,39,FALSE),VLOOKUP($B1223,Data!$B$3:$EZ1530,40,FALSE)),1),"")</f>
        <v>-2.552590267</v>
      </c>
      <c r="N1223" s="48">
        <f>IFERROR(MINUS(DIVIDE(VLOOKUP($B1223,Data!$B$3:$EZ1530,44,FALSE),VLOOKUP($B1223,Data!$B$3:$EZ1530,45,FALSE)),1),"")</f>
        <v>-0.4705604162</v>
      </c>
      <c r="O1223" s="50">
        <f>IFERROR(VLOOKUP($B1223,Data!$B$3:$D1530,2,FALSE),"")</f>
        <v>35560</v>
      </c>
      <c r="P1223" s="50">
        <f>IFERROR(VLOOKUP($B1223,Data!$B$3:$D1530,3,FALSE),"")</f>
        <v>27680</v>
      </c>
      <c r="Q1223" s="48">
        <f t="shared" si="2"/>
        <v>0.2846820809</v>
      </c>
      <c r="R1223" s="48"/>
      <c r="S1223" s="48"/>
      <c r="T1223" s="48"/>
      <c r="U1223" s="48"/>
      <c r="V1223" s="48"/>
      <c r="W1223" s="50"/>
      <c r="Z1223" s="19"/>
      <c r="AA1223" s="19"/>
    </row>
    <row r="1224">
      <c r="A1224" s="9">
        <f t="shared" si="1"/>
        <v>1221</v>
      </c>
      <c r="B1224" s="47" t="s">
        <v>1358</v>
      </c>
      <c r="C1224" s="48">
        <f>IFERROR(DIVIDE(VLOOKUP($B1224,Data!$B$3:$AB$1535,9,FALSE),VLOOKUP($B1224,Data!$B$3:$AB$1535,4,FALSE)),"")</f>
        <v>0.4639175258</v>
      </c>
      <c r="D1224" s="48">
        <f>IFERROR(DIVIDE(VLOOKUP($B1224,Data!$B$3:$AB$1535,24,FALSE),VLOOKUP($B1224,Data!$B$3:$AB$1535,4,FALSE)),"")</f>
        <v>0.1183479381</v>
      </c>
      <c r="E1224" s="48">
        <f>IFERROR(DIVIDE(VLOOKUP($B1224,Data!$B$3:$EZ1530,29,FALSE),VLOOKUP($B1224,Data!$B$3:$EZ1530,4,FALSE)),"")</f>
        <v>0.09334020619</v>
      </c>
      <c r="F1224" s="48">
        <f>IFERROR(DIVIDE(VLOOKUP($B1224,Data!$B$3:$EZ1530,34,FALSE),VLOOKUP($B1224,Data!$B$3:$EZ1530,4,FALSE)),"")</f>
        <v>0.1459175258</v>
      </c>
      <c r="G1224" s="48">
        <f>IFERROR(DIVIDE(VLOOKUP($B1224,Data!$B$3:$EZ1530,39,FALSE),VLOOKUP($B1224,Data!$B$3:$EZ1530,4,FALSE)),"")</f>
        <v>0.07000515464</v>
      </c>
      <c r="H1224" s="48">
        <f>IFERROR(DIVIDE(VLOOKUP($B1224,Data!$B$3:$EZ1530,44,FALSE),VLOOKUP($B1224,Data!$B$3:$EZ1530,4,FALSE)),"")</f>
        <v>0.08258247423</v>
      </c>
      <c r="I1224" s="48">
        <f>IFERROR(MINUS(DIVIDE(VLOOKUP($B1224,Data!$B$3:$EZ1530,9,FALSE),VLOOKUP($B1224,Data!$B$3:$EZ1530,10,FALSE)),1),"")</f>
        <v>-0.02173913043</v>
      </c>
      <c r="J1224" s="48">
        <f>IFERROR(MINUS(DIVIDE(VLOOKUP($B1224,Data!$B$3:$EZ1530,24,FALSE),VLOOKUP($B1224,Data!$B$3:$EZ1530,25,FALSE)),1),"")</f>
        <v>0.07869576452</v>
      </c>
      <c r="K1224" s="48">
        <f>IFERROR(MINUS(DIVIDE(VLOOKUP($B1224,Data!$B$3:$EZ1530,29,FALSE),VLOOKUP($B1224,Data!$B$3:$EZ1530,30,FALSE)),1),"")</f>
        <v>0.1027007277</v>
      </c>
      <c r="L1224" s="48">
        <f>IFERROR(MINUS(DIVIDE(VLOOKUP($B1224,Data!$B$3:$EZ1530,34,FALSE),VLOOKUP($B1224,Data!$B$3:$EZ1530,35,FALSE)),1),"")</f>
        <v>-0.002308492079</v>
      </c>
      <c r="M1224" s="48">
        <f>IFERROR(MINUS(DIVIDE(VLOOKUP($B1224,Data!$B$3:$EZ1530,39,FALSE),VLOOKUP($B1224,Data!$B$3:$EZ1530,40,FALSE)),1),"")</f>
        <v>0.052586708</v>
      </c>
      <c r="N1224" s="48">
        <f>IFERROR(MINUS(DIVIDE(VLOOKUP($B1224,Data!$B$3:$EZ1530,44,FALSE),VLOOKUP($B1224,Data!$B$3:$EZ1530,45,FALSE)),1),"")</f>
        <v>-0.1401813986</v>
      </c>
      <c r="O1224" s="50">
        <f>IFERROR(VLOOKUP($B1224,Data!$B$3:$D1530,2,FALSE),"")</f>
        <v>3860000</v>
      </c>
      <c r="P1224" s="50">
        <f>IFERROR(VLOOKUP($B1224,Data!$B$3:$D1530,3,FALSE),"")</f>
        <v>3540000</v>
      </c>
      <c r="Q1224" s="48">
        <f t="shared" si="2"/>
        <v>0.09039548023</v>
      </c>
      <c r="R1224" s="48"/>
      <c r="S1224" s="48"/>
      <c r="T1224" s="48"/>
      <c r="U1224" s="48"/>
      <c r="V1224" s="48"/>
      <c r="W1224" s="50"/>
      <c r="Z1224" s="11"/>
      <c r="AA1224" s="11"/>
    </row>
    <row r="1225">
      <c r="A1225" s="9">
        <f t="shared" si="1"/>
        <v>1222</v>
      </c>
      <c r="B1225" s="47" t="s">
        <v>1359</v>
      </c>
      <c r="C1225" s="48">
        <f>IFERROR(DIVIDE(VLOOKUP($B1225,Data!$B$3:$AB$1535,9,FALSE),VLOOKUP($B1225,Data!$B$3:$AB$1535,4,FALSE)),"")</f>
        <v>0.1584182584</v>
      </c>
      <c r="D1225" s="48">
        <f>IFERROR(DIVIDE(VLOOKUP($B1225,Data!$B$3:$AB$1535,24,FALSE),VLOOKUP($B1225,Data!$B$3:$AB$1535,4,FALSE)),"")</f>
        <v>0.08952218222</v>
      </c>
      <c r="E1225" s="48">
        <f>IFERROR(DIVIDE(VLOOKUP($B1225,Data!$B$3:$EZ1530,29,FALSE),VLOOKUP($B1225,Data!$B$3:$EZ1530,4,FALSE)),"")</f>
        <v>-0.01971074632</v>
      </c>
      <c r="F1225" s="48">
        <f>IFERROR(DIVIDE(VLOOKUP($B1225,Data!$B$3:$EZ1530,34,FALSE),VLOOKUP($B1225,Data!$B$3:$EZ1530,4,FALSE)),"")</f>
        <v>0.2418380424</v>
      </c>
      <c r="G1225" s="48">
        <f>IFERROR(DIVIDE(VLOOKUP($B1225,Data!$B$3:$EZ1530,39,FALSE),VLOOKUP($B1225,Data!$B$3:$EZ1530,4,FALSE)),"")</f>
        <v>-0.01977177031</v>
      </c>
      <c r="H1225" s="48">
        <f>IFERROR(DIVIDE(VLOOKUP($B1225,Data!$B$3:$EZ1530,44,FALSE),VLOOKUP($B1225,Data!$B$3:$EZ1530,4,FALSE)),"")</f>
        <v>0.08929029108</v>
      </c>
      <c r="I1225" s="48">
        <f>IFERROR(MINUS(DIVIDE(VLOOKUP($B1225,Data!$B$3:$EZ1530,9,FALSE),VLOOKUP($B1225,Data!$B$3:$EZ1530,10,FALSE)),1),"")</f>
        <v>-0.2985679546</v>
      </c>
      <c r="J1225" s="48">
        <f>IFERROR(MINUS(DIVIDE(VLOOKUP($B1225,Data!$B$3:$EZ1530,24,FALSE),VLOOKUP($B1225,Data!$B$3:$EZ1530,25,FALSE)),1),"")</f>
        <v>-0.4346385078</v>
      </c>
      <c r="K1225" s="48">
        <f>IFERROR(MINUS(DIVIDE(VLOOKUP($B1225,Data!$B$3:$EZ1530,29,FALSE),VLOOKUP($B1225,Data!$B$3:$EZ1530,30,FALSE)),1),"")</f>
        <v>-1.276493751</v>
      </c>
      <c r="L1225" s="48">
        <f>IFERROR(MINUS(DIVIDE(VLOOKUP($B1225,Data!$B$3:$EZ1530,34,FALSE),VLOOKUP($B1225,Data!$B$3:$EZ1530,35,FALSE)),1),"")</f>
        <v>-0.2117824894</v>
      </c>
      <c r="M1225" s="48">
        <f>IFERROR(MINUS(DIVIDE(VLOOKUP($B1225,Data!$B$3:$EZ1530,39,FALSE),VLOOKUP($B1225,Data!$B$3:$EZ1530,40,FALSE)),1),"")</f>
        <v>-1.27739726</v>
      </c>
      <c r="N1225" s="48">
        <f>IFERROR(MINUS(DIVIDE(VLOOKUP($B1225,Data!$B$3:$EZ1530,44,FALSE),VLOOKUP($B1225,Data!$B$3:$EZ1530,45,FALSE)),1),"")</f>
        <v>-0.5323446689</v>
      </c>
      <c r="O1225" s="50">
        <f>IFERROR(VLOOKUP($B1225,Data!$B$3:$D1530,2,FALSE),"")</f>
        <v>672700</v>
      </c>
      <c r="P1225" s="50">
        <f>IFERROR(VLOOKUP($B1225,Data!$B$3:$D1530,3,FALSE),"")</f>
        <v>491750</v>
      </c>
      <c r="Q1225" s="48">
        <f t="shared" si="2"/>
        <v>0.3679715302</v>
      </c>
      <c r="R1225" s="48"/>
      <c r="S1225" s="48"/>
      <c r="T1225" s="48"/>
      <c r="U1225" s="48"/>
      <c r="V1225" s="48"/>
      <c r="W1225" s="50"/>
      <c r="Z1225" s="11"/>
      <c r="AA1225" s="11"/>
    </row>
    <row r="1226">
      <c r="A1226" s="9">
        <f t="shared" si="1"/>
        <v>1223</v>
      </c>
      <c r="B1226" s="47" t="s">
        <v>1360</v>
      </c>
      <c r="C1226" s="48">
        <f>IFERROR(DIVIDE(VLOOKUP($B1226,Data!$B$3:$AB$1535,9,FALSE),VLOOKUP($B1226,Data!$B$3:$AB$1535,4,FALSE)),"")</f>
        <v>0.2162264151</v>
      </c>
      <c r="D1226" s="48">
        <f>IFERROR(DIVIDE(VLOOKUP($B1226,Data!$B$3:$AB$1535,24,FALSE),VLOOKUP($B1226,Data!$B$3:$AB$1535,4,FALSE)),"")</f>
        <v>0.1418867925</v>
      </c>
      <c r="E1226" s="48">
        <f>IFERROR(DIVIDE(VLOOKUP($B1226,Data!$B$3:$EZ1530,29,FALSE),VLOOKUP($B1226,Data!$B$3:$EZ1530,4,FALSE)),"")</f>
        <v>0.1686792453</v>
      </c>
      <c r="F1226" s="48">
        <f>IFERROR(DIVIDE(VLOOKUP($B1226,Data!$B$3:$EZ1530,34,FALSE),VLOOKUP($B1226,Data!$B$3:$EZ1530,4,FALSE)),"")</f>
        <v>0.2018867925</v>
      </c>
      <c r="G1226" s="48">
        <f>IFERROR(DIVIDE(VLOOKUP($B1226,Data!$B$3:$EZ1530,39,FALSE),VLOOKUP($B1226,Data!$B$3:$EZ1530,4,FALSE)),"")</f>
        <v>0.1358490566</v>
      </c>
      <c r="H1226" s="48">
        <f>IFERROR(DIVIDE(VLOOKUP($B1226,Data!$B$3:$EZ1530,44,FALSE),VLOOKUP($B1226,Data!$B$3:$EZ1530,4,FALSE)),"")</f>
        <v>0.1905660377</v>
      </c>
      <c r="I1226" s="48">
        <f>IFERROR(MINUS(DIVIDE(VLOOKUP($B1226,Data!$B$3:$EZ1530,9,FALSE),VLOOKUP($B1226,Data!$B$3:$EZ1530,10,FALSE)),1),"")</f>
        <v>0.01957295374</v>
      </c>
      <c r="J1226" s="48">
        <f>IFERROR(MINUS(DIVIDE(VLOOKUP($B1226,Data!$B$3:$EZ1530,24,FALSE),VLOOKUP($B1226,Data!$B$3:$EZ1530,25,FALSE)),1),"")</f>
        <v>-0.2373225152</v>
      </c>
      <c r="K1226" s="48">
        <f>IFERROR(MINUS(DIVIDE(VLOOKUP($B1226,Data!$B$3:$EZ1530,29,FALSE),VLOOKUP($B1226,Data!$B$3:$EZ1530,30,FALSE)),1),"")</f>
        <v>-0.2266435986</v>
      </c>
      <c r="L1226" s="48">
        <f>IFERROR(MINUS(DIVIDE(VLOOKUP($B1226,Data!$B$3:$EZ1530,34,FALSE),VLOOKUP($B1226,Data!$B$3:$EZ1530,35,FALSE)),1),"")</f>
        <v>0.03481624758</v>
      </c>
      <c r="M1226" s="48">
        <f>IFERROR(MINUS(DIVIDE(VLOOKUP($B1226,Data!$B$3:$EZ1530,39,FALSE),VLOOKUP($B1226,Data!$B$3:$EZ1530,40,FALSE)),1),"")</f>
        <v>-0.203539823</v>
      </c>
      <c r="N1226" s="48">
        <f>IFERROR(MINUS(DIVIDE(VLOOKUP($B1226,Data!$B$3:$EZ1530,44,FALSE),VLOOKUP($B1226,Data!$B$3:$EZ1530,45,FALSE)),1),"")</f>
        <v>-0.5770519263</v>
      </c>
      <c r="O1226" s="50">
        <f>IFERROR(VLOOKUP($B1226,Data!$B$3:$D1530,2,FALSE),"")</f>
        <v>27710000</v>
      </c>
      <c r="P1226" s="50">
        <f>IFERROR(VLOOKUP($B1226,Data!$B$3:$D1530,3,FALSE),"")</f>
        <v>23310000</v>
      </c>
      <c r="Q1226" s="48">
        <f t="shared" si="2"/>
        <v>0.1887601888</v>
      </c>
      <c r="R1226" s="48"/>
      <c r="S1226" s="48"/>
      <c r="T1226" s="48"/>
      <c r="U1226" s="48"/>
      <c r="V1226" s="48"/>
      <c r="W1226" s="50"/>
      <c r="Z1226" s="15"/>
      <c r="AA1226" s="15"/>
    </row>
    <row r="1227">
      <c r="A1227" s="9">
        <f t="shared" si="1"/>
        <v>1224</v>
      </c>
      <c r="B1227" s="47" t="s">
        <v>1361</v>
      </c>
      <c r="C1227" s="48">
        <f>IFERROR(DIVIDE(VLOOKUP($B1227,Data!$B$3:$AB$1535,9,FALSE),VLOOKUP($B1227,Data!$B$3:$AB$1535,4,FALSE)),"")</f>
        <v>0.3950617284</v>
      </c>
      <c r="D1227" s="48">
        <f>IFERROR(DIVIDE(VLOOKUP($B1227,Data!$B$3:$AB$1535,24,FALSE),VLOOKUP($B1227,Data!$B$3:$AB$1535,4,FALSE)),"")</f>
        <v>0</v>
      </c>
      <c r="E1227" s="48">
        <f>IFERROR(DIVIDE(VLOOKUP($B1227,Data!$B$3:$EZ1530,29,FALSE),VLOOKUP($B1227,Data!$B$3:$EZ1530,4,FALSE)),"")</f>
        <v>0.3333333333</v>
      </c>
      <c r="F1227" s="48">
        <f>IFERROR(DIVIDE(VLOOKUP($B1227,Data!$B$3:$EZ1530,34,FALSE),VLOOKUP($B1227,Data!$B$3:$EZ1530,4,FALSE)),"")</f>
        <v>0.4828532236</v>
      </c>
      <c r="G1227" s="48">
        <f>IFERROR(DIVIDE(VLOOKUP($B1227,Data!$B$3:$EZ1530,39,FALSE),VLOOKUP($B1227,Data!$B$3:$EZ1530,4,FALSE)),"")</f>
        <v>0.2043895748</v>
      </c>
      <c r="H1227" s="48">
        <f>IFERROR(DIVIDE(VLOOKUP($B1227,Data!$B$3:$EZ1530,44,FALSE),VLOOKUP($B1227,Data!$B$3:$EZ1530,4,FALSE)),"")</f>
        <v>0.2620027435</v>
      </c>
      <c r="I1227" s="48">
        <f>IFERROR(MINUS(DIVIDE(VLOOKUP($B1227,Data!$B$3:$EZ1530,9,FALSE),VLOOKUP($B1227,Data!$B$3:$EZ1530,10,FALSE)),1),"")</f>
        <v>-0.03355704698</v>
      </c>
      <c r="J1227" s="48" t="str">
        <f>IFERROR(MINUS(DIVIDE(VLOOKUP($B1227,Data!$B$3:$EZ1530,24,FALSE),VLOOKUP($B1227,Data!$B$3:$EZ1530,25,FALSE)),1),"")</f>
        <v/>
      </c>
      <c r="K1227" s="48">
        <f>IFERROR(MINUS(DIVIDE(VLOOKUP($B1227,Data!$B$3:$EZ1530,29,FALSE),VLOOKUP($B1227,Data!$B$3:$EZ1530,30,FALSE)),1),"")</f>
        <v>-0.06177606178</v>
      </c>
      <c r="L1227" s="48">
        <f>IFERROR(MINUS(DIVIDE(VLOOKUP($B1227,Data!$B$3:$EZ1530,34,FALSE),VLOOKUP($B1227,Data!$B$3:$EZ1530,35,FALSE)),1),"")</f>
        <v>-0.01123595506</v>
      </c>
      <c r="M1227" s="48">
        <f>IFERROR(MINUS(DIVIDE(VLOOKUP($B1227,Data!$B$3:$EZ1530,39,FALSE),VLOOKUP($B1227,Data!$B$3:$EZ1530,40,FALSE)),1),"")</f>
        <v>-0.03246753247</v>
      </c>
      <c r="N1227" s="48">
        <f>IFERROR(MINUS(DIVIDE(VLOOKUP($B1227,Data!$B$3:$EZ1530,44,FALSE),VLOOKUP($B1227,Data!$B$3:$EZ1530,45,FALSE)),1),"")</f>
        <v>-0.1473214286</v>
      </c>
      <c r="O1227" s="50">
        <f>IFERROR(VLOOKUP($B1227,Data!$B$3:$D1530,2,FALSE),"")</f>
        <v>7270000</v>
      </c>
      <c r="P1227" s="50">
        <f>IFERROR(VLOOKUP($B1227,Data!$B$3:$D1530,3,FALSE),"")</f>
        <v>6420000</v>
      </c>
      <c r="Q1227" s="48">
        <f t="shared" si="2"/>
        <v>0.1323987539</v>
      </c>
      <c r="R1227" s="48"/>
      <c r="S1227" s="48"/>
      <c r="T1227" s="48"/>
      <c r="U1227" s="48"/>
      <c r="V1227" s="48"/>
      <c r="W1227" s="50"/>
      <c r="Z1227" s="11"/>
      <c r="AA1227" s="11"/>
    </row>
    <row r="1228">
      <c r="A1228" s="9">
        <f t="shared" si="1"/>
        <v>1225</v>
      </c>
      <c r="B1228" s="47" t="s">
        <v>1362</v>
      </c>
      <c r="C1228" s="48">
        <f>IFERROR(DIVIDE(VLOOKUP($B1228,Data!$B$3:$AB$1535,9,FALSE),VLOOKUP($B1228,Data!$B$3:$AB$1535,4,FALSE)),"")</f>
        <v>0.1826397849</v>
      </c>
      <c r="D1228" s="48">
        <f>IFERROR(DIVIDE(VLOOKUP($B1228,Data!$B$3:$AB$1535,24,FALSE),VLOOKUP($B1228,Data!$B$3:$AB$1535,4,FALSE)),"")</f>
        <v>0.06841397849</v>
      </c>
      <c r="E1228" s="48">
        <f>IFERROR(DIVIDE(VLOOKUP($B1228,Data!$B$3:$EZ1530,29,FALSE),VLOOKUP($B1228,Data!$B$3:$EZ1530,4,FALSE)),"")</f>
        <v>0.06768817204</v>
      </c>
      <c r="F1228" s="48">
        <f>IFERROR(DIVIDE(VLOOKUP($B1228,Data!$B$3:$EZ1530,34,FALSE),VLOOKUP($B1228,Data!$B$3:$EZ1530,4,FALSE)),"")</f>
        <v>0.1122043011</v>
      </c>
      <c r="G1228" s="48">
        <f>IFERROR(DIVIDE(VLOOKUP($B1228,Data!$B$3:$EZ1530,39,FALSE),VLOOKUP($B1228,Data!$B$3:$EZ1530,4,FALSE)),"")</f>
        <v>0.05544623656</v>
      </c>
      <c r="H1228" s="48">
        <f>IFERROR(DIVIDE(VLOOKUP($B1228,Data!$B$3:$EZ1530,44,FALSE),VLOOKUP($B1228,Data!$B$3:$EZ1530,4,FALSE)),"")</f>
        <v>0.1174354839</v>
      </c>
      <c r="I1228" s="48">
        <f>IFERROR(MINUS(DIVIDE(VLOOKUP($B1228,Data!$B$3:$EZ1530,9,FALSE),VLOOKUP($B1228,Data!$B$3:$EZ1530,10,FALSE)),1),"")</f>
        <v>0.001090351859</v>
      </c>
      <c r="J1228" s="48">
        <f>IFERROR(MINUS(DIVIDE(VLOOKUP($B1228,Data!$B$3:$EZ1530,24,FALSE),VLOOKUP($B1228,Data!$B$3:$EZ1530,25,FALSE)),1),"")</f>
        <v>-50.13127413</v>
      </c>
      <c r="K1228" s="48">
        <f>IFERROR(MINUS(DIVIDE(VLOOKUP($B1228,Data!$B$3:$EZ1530,29,FALSE),VLOOKUP($B1228,Data!$B$3:$EZ1530,30,FALSE)),1),"")</f>
        <v>-0.08615808957</v>
      </c>
      <c r="L1228" s="48">
        <f>IFERROR(MINUS(DIVIDE(VLOOKUP($B1228,Data!$B$3:$EZ1530,34,FALSE),VLOOKUP($B1228,Data!$B$3:$EZ1530,35,FALSE)),1),"")</f>
        <v>-0.1041380495</v>
      </c>
      <c r="M1228" s="48">
        <f>IFERROR(MINUS(DIVIDE(VLOOKUP($B1228,Data!$B$3:$EZ1530,39,FALSE),VLOOKUP($B1228,Data!$B$3:$EZ1530,40,FALSE)),1),"")</f>
        <v>-0.07190424766</v>
      </c>
      <c r="N1228" s="48">
        <f>IFERROR(MINUS(DIVIDE(VLOOKUP($B1228,Data!$B$3:$EZ1530,44,FALSE),VLOOKUP($B1228,Data!$B$3:$EZ1530,45,FALSE)),1),"")</f>
        <v>0.27639806</v>
      </c>
      <c r="O1228" s="50">
        <f>IFERROR(VLOOKUP($B1228,Data!$B$3:$D1530,2,FALSE),"")</f>
        <v>1910000</v>
      </c>
      <c r="P1228" s="50">
        <f>IFERROR(VLOOKUP($B1228,Data!$B$3:$D1530,3,FALSE),"")</f>
        <v>1800000</v>
      </c>
      <c r="Q1228" s="48">
        <f t="shared" si="2"/>
        <v>0.06111111111</v>
      </c>
      <c r="R1228" s="48"/>
      <c r="S1228" s="48"/>
      <c r="T1228" s="48"/>
      <c r="U1228" s="48"/>
      <c r="V1228" s="48"/>
      <c r="W1228" s="50"/>
      <c r="Z1228" s="15"/>
      <c r="AA1228" s="15"/>
    </row>
    <row r="1229">
      <c r="A1229" s="9">
        <f t="shared" si="1"/>
        <v>1226</v>
      </c>
      <c r="B1229" s="47" t="s">
        <v>1363</v>
      </c>
      <c r="C1229" s="48" t="str">
        <f>IFERROR(DIVIDE(VLOOKUP($B1229,Data!$B$3:$AB$1535,9,FALSE),VLOOKUP($B1229,Data!$B$3:$AB$1535,4,FALSE)),"")</f>
        <v/>
      </c>
      <c r="D1229" s="48" t="str">
        <f>IFERROR(DIVIDE(VLOOKUP($B1229,Data!$B$3:$AB$1535,24,FALSE),VLOOKUP($B1229,Data!$B$3:$AB$1535,4,FALSE)),"")</f>
        <v/>
      </c>
      <c r="E1229" s="48" t="str">
        <f>IFERROR(DIVIDE(VLOOKUP($B1229,Data!$B$3:$EZ1530,29,FALSE),VLOOKUP($B1229,Data!$B$3:$EZ1530,4,FALSE)),"")</f>
        <v/>
      </c>
      <c r="F1229" s="48" t="str">
        <f>IFERROR(DIVIDE(VLOOKUP($B1229,Data!$B$3:$EZ1530,34,FALSE),VLOOKUP($B1229,Data!$B$3:$EZ1530,4,FALSE)),"")</f>
        <v/>
      </c>
      <c r="G1229" s="48" t="str">
        <f>IFERROR(DIVIDE(VLOOKUP($B1229,Data!$B$3:$EZ1530,39,FALSE),VLOOKUP($B1229,Data!$B$3:$EZ1530,4,FALSE)),"")</f>
        <v/>
      </c>
      <c r="H1229" s="48" t="str">
        <f>IFERROR(DIVIDE(VLOOKUP($B1229,Data!$B$3:$EZ1530,44,FALSE),VLOOKUP($B1229,Data!$B$3:$EZ1530,4,FALSE)),"")</f>
        <v/>
      </c>
      <c r="I1229" s="48">
        <f>IFERROR(MINUS(DIVIDE(VLOOKUP($B1229,Data!$B$3:$EZ1530,9,FALSE),VLOOKUP($B1229,Data!$B$3:$EZ1530,10,FALSE)),1),"")</f>
        <v>0.09638554217</v>
      </c>
      <c r="J1229" s="48" t="str">
        <f>IFERROR(MINUS(DIVIDE(VLOOKUP($B1229,Data!$B$3:$EZ1530,24,FALSE),VLOOKUP($B1229,Data!$B$3:$EZ1530,25,FALSE)),1),"")</f>
        <v/>
      </c>
      <c r="K1229" s="48">
        <f>IFERROR(MINUS(DIVIDE(VLOOKUP($B1229,Data!$B$3:$EZ1530,29,FALSE),VLOOKUP($B1229,Data!$B$3:$EZ1530,30,FALSE)),1),"")</f>
        <v>0.120923913</v>
      </c>
      <c r="L1229" s="48">
        <f>IFERROR(MINUS(DIVIDE(VLOOKUP($B1229,Data!$B$3:$EZ1530,34,FALSE),VLOOKUP($B1229,Data!$B$3:$EZ1530,35,FALSE)),1),"")</f>
        <v>0.1090661213</v>
      </c>
      <c r="M1229" s="48">
        <f>IFERROR(MINUS(DIVIDE(VLOOKUP($B1229,Data!$B$3:$EZ1530,39,FALSE),VLOOKUP($B1229,Data!$B$3:$EZ1530,40,FALSE)),1),"")</f>
        <v>0.120923913</v>
      </c>
      <c r="N1229" s="48">
        <f>IFERROR(MINUS(DIVIDE(VLOOKUP($B1229,Data!$B$3:$EZ1530,44,FALSE),VLOOKUP($B1229,Data!$B$3:$EZ1530,45,FALSE)),1),"")</f>
        <v>0.05657757723</v>
      </c>
      <c r="O1229" s="50">
        <f>IFERROR(VLOOKUP($B1229,Data!$B$3:$D1530,2,FALSE),"")</f>
        <v>8080</v>
      </c>
      <c r="P1229" s="50" t="str">
        <f>IFERROR(VLOOKUP($B1229,Data!$B$3:$D1530,3,FALSE),"")</f>
        <v/>
      </c>
      <c r="Q1229" s="48" t="str">
        <f t="shared" si="2"/>
        <v/>
      </c>
      <c r="R1229" s="48"/>
      <c r="S1229" s="48"/>
      <c r="T1229" s="48"/>
      <c r="U1229" s="48"/>
      <c r="V1229" s="48"/>
      <c r="W1229" s="50"/>
      <c r="Z1229" s="15"/>
      <c r="AA1229" s="15"/>
    </row>
    <row r="1230">
      <c r="A1230" s="9">
        <f t="shared" si="1"/>
        <v>1227</v>
      </c>
      <c r="B1230" s="47" t="s">
        <v>1364</v>
      </c>
      <c r="C1230" s="48">
        <f>IFERROR(DIVIDE(VLOOKUP($B1230,Data!$B$3:$AB$1535,9,FALSE),VLOOKUP($B1230,Data!$B$3:$AB$1535,4,FALSE)),"")</f>
        <v>0.299875</v>
      </c>
      <c r="D1230" s="48">
        <f>IFERROR(DIVIDE(VLOOKUP($B1230,Data!$B$3:$AB$1535,24,FALSE),VLOOKUP($B1230,Data!$B$3:$AB$1535,4,FALSE)),"")</f>
        <v>0.052125</v>
      </c>
      <c r="E1230" s="48">
        <f>IFERROR(DIVIDE(VLOOKUP($B1230,Data!$B$3:$EZ1530,29,FALSE),VLOOKUP($B1230,Data!$B$3:$EZ1530,4,FALSE)),"")</f>
        <v>0.05264423077</v>
      </c>
      <c r="F1230" s="48">
        <f>IFERROR(DIVIDE(VLOOKUP($B1230,Data!$B$3:$EZ1530,34,FALSE),VLOOKUP($B1230,Data!$B$3:$EZ1530,4,FALSE)),"")</f>
        <v>0.11075</v>
      </c>
      <c r="G1230" s="48">
        <f>IFERROR(DIVIDE(VLOOKUP($B1230,Data!$B$3:$EZ1530,39,FALSE),VLOOKUP($B1230,Data!$B$3:$EZ1530,4,FALSE)),"")</f>
        <v>0.04120192308</v>
      </c>
      <c r="H1230" s="48">
        <f>IFERROR(DIVIDE(VLOOKUP($B1230,Data!$B$3:$EZ1530,44,FALSE),VLOOKUP($B1230,Data!$B$3:$EZ1530,4,FALSE)),"")</f>
        <v>0.1085384615</v>
      </c>
      <c r="I1230" s="48">
        <f>IFERROR(MINUS(DIVIDE(VLOOKUP($B1230,Data!$B$3:$EZ1530,9,FALSE),VLOOKUP($B1230,Data!$B$3:$EZ1530,10,FALSE)),1),"")</f>
        <v>0.00932068999</v>
      </c>
      <c r="J1230" s="48">
        <f>IFERROR(MINUS(DIVIDE(VLOOKUP($B1230,Data!$B$3:$EZ1530,24,FALSE),VLOOKUP($B1230,Data!$B$3:$EZ1530,25,FALSE)),1),"")</f>
        <v>0.08485091055</v>
      </c>
      <c r="K1230" s="48">
        <f>IFERROR(MINUS(DIVIDE(VLOOKUP($B1230,Data!$B$3:$EZ1530,29,FALSE),VLOOKUP($B1230,Data!$B$3:$EZ1530,30,FALSE)),1),"")</f>
        <v>0.08717235902</v>
      </c>
      <c r="L1230" s="48">
        <f>IFERROR(MINUS(DIVIDE(VLOOKUP($B1230,Data!$B$3:$EZ1530,34,FALSE),VLOOKUP($B1230,Data!$B$3:$EZ1530,35,FALSE)),1),"")</f>
        <v>0.54376089</v>
      </c>
      <c r="M1230" s="48">
        <f>IFERROR(MINUS(DIVIDE(VLOOKUP($B1230,Data!$B$3:$EZ1530,39,FALSE),VLOOKUP($B1230,Data!$B$3:$EZ1530,40,FALSE)),1),"")</f>
        <v>0.1282253818</v>
      </c>
      <c r="N1230" s="48">
        <f>IFERROR(MINUS(DIVIDE(VLOOKUP($B1230,Data!$B$3:$EZ1530,44,FALSE),VLOOKUP($B1230,Data!$B$3:$EZ1530,45,FALSE)),1),"")</f>
        <v>0.5225249528</v>
      </c>
      <c r="O1230" s="50">
        <f>IFERROR(VLOOKUP($B1230,Data!$B$3:$D1530,2,FALSE),"")</f>
        <v>1100000</v>
      </c>
      <c r="P1230" s="50">
        <f>IFERROR(VLOOKUP($B1230,Data!$B$3:$D1530,3,FALSE),"")</f>
        <v>985190</v>
      </c>
      <c r="Q1230" s="48">
        <f t="shared" si="2"/>
        <v>0.1165358966</v>
      </c>
      <c r="R1230" s="48"/>
      <c r="S1230" s="48"/>
      <c r="T1230" s="48"/>
      <c r="U1230" s="48"/>
      <c r="V1230" s="48"/>
      <c r="W1230" s="50"/>
      <c r="Z1230" s="15"/>
      <c r="AA1230" s="15"/>
    </row>
    <row r="1231">
      <c r="A1231" s="9">
        <f t="shared" si="1"/>
        <v>1228</v>
      </c>
      <c r="B1231" s="47" t="s">
        <v>1365</v>
      </c>
      <c r="C1231" s="48">
        <f>IFERROR(DIVIDE(VLOOKUP($B1231,Data!$B$3:$AB$1535,9,FALSE),VLOOKUP($B1231,Data!$B$3:$AB$1535,4,FALSE)),"")</f>
        <v>0.7407619631</v>
      </c>
      <c r="D1231" s="48">
        <f>IFERROR(DIVIDE(VLOOKUP($B1231,Data!$B$3:$AB$1535,24,FALSE),VLOOKUP($B1231,Data!$B$3:$AB$1535,4,FALSE)),"")</f>
        <v>-0.6928694215</v>
      </c>
      <c r="E1231" s="48">
        <f>IFERROR(DIVIDE(VLOOKUP($B1231,Data!$B$3:$EZ1530,29,FALSE),VLOOKUP($B1231,Data!$B$3:$EZ1530,4,FALSE)),"")</f>
        <v>-0.7136441773</v>
      </c>
      <c r="F1231" s="48">
        <f>IFERROR(DIVIDE(VLOOKUP($B1231,Data!$B$3:$EZ1530,34,FALSE),VLOOKUP($B1231,Data!$B$3:$EZ1530,4,FALSE)),"")</f>
        <v>-0.6168996442</v>
      </c>
      <c r="G1231" s="48">
        <f>IFERROR(DIVIDE(VLOOKUP($B1231,Data!$B$3:$EZ1530,39,FALSE),VLOOKUP($B1231,Data!$B$3:$EZ1530,4,FALSE)),"")</f>
        <v>-0.1525925136</v>
      </c>
      <c r="H1231" s="48">
        <f>IFERROR(DIVIDE(VLOOKUP($B1231,Data!$B$3:$EZ1530,44,FALSE),VLOOKUP($B1231,Data!$B$3:$EZ1530,4,FALSE)),"")</f>
        <v>-0.4169476167</v>
      </c>
      <c r="I1231" s="48">
        <f>IFERROR(MINUS(DIVIDE(VLOOKUP($B1231,Data!$B$3:$EZ1530,9,FALSE),VLOOKUP($B1231,Data!$B$3:$EZ1530,10,FALSE)),1),"")</f>
        <v>0.9496703143</v>
      </c>
      <c r="J1231" s="48" t="str">
        <f>IFERROR(MINUS(DIVIDE(VLOOKUP($B1231,Data!$B$3:$EZ1530,24,FALSE),VLOOKUP($B1231,Data!$B$3:$EZ1530,25,FALSE)),1),"")</f>
        <v/>
      </c>
      <c r="K1231" s="48">
        <f>IFERROR(MINUS(DIVIDE(VLOOKUP($B1231,Data!$B$3:$EZ1530,29,FALSE),VLOOKUP($B1231,Data!$B$3:$EZ1530,30,FALSE)),1),"")</f>
        <v>6.197150921</v>
      </c>
      <c r="L1231" s="48">
        <f>IFERROR(MINUS(DIVIDE(VLOOKUP($B1231,Data!$B$3:$EZ1530,34,FALSE),VLOOKUP($B1231,Data!$B$3:$EZ1530,35,FALSE)),1),"")</f>
        <v>11.61416894</v>
      </c>
      <c r="M1231" s="48">
        <f>IFERROR(MINUS(DIVIDE(VLOOKUP($B1231,Data!$B$3:$EZ1530,39,FALSE),VLOOKUP($B1231,Data!$B$3:$EZ1530,40,FALSE)),1),"")</f>
        <v>0.5314965895</v>
      </c>
      <c r="N1231" s="48">
        <f>IFERROR(MINUS(DIVIDE(VLOOKUP($B1231,Data!$B$3:$EZ1530,44,FALSE),VLOOKUP($B1231,Data!$B$3:$EZ1530,45,FALSE)),1),"")</f>
        <v>1.599401844</v>
      </c>
      <c r="O1231" s="50">
        <f>IFERROR(VLOOKUP($B1231,Data!$B$3:$D1530,2,FALSE),"")</f>
        <v>888640</v>
      </c>
      <c r="P1231" s="50">
        <f>IFERROR(VLOOKUP($B1231,Data!$B$3:$D1530,3,FALSE),"")</f>
        <v>629750</v>
      </c>
      <c r="Q1231" s="48">
        <f t="shared" si="2"/>
        <v>0.4110996427</v>
      </c>
      <c r="R1231" s="48"/>
      <c r="S1231" s="48"/>
      <c r="T1231" s="48"/>
      <c r="U1231" s="48"/>
      <c r="V1231" s="48"/>
      <c r="W1231" s="50"/>
      <c r="Z1231" s="11"/>
      <c r="AA1231" s="12"/>
    </row>
    <row r="1232">
      <c r="A1232" s="9">
        <f t="shared" si="1"/>
        <v>1229</v>
      </c>
      <c r="B1232" s="47" t="s">
        <v>1366</v>
      </c>
      <c r="C1232" s="48">
        <f>IFERROR(DIVIDE(VLOOKUP($B1232,Data!$B$3:$AB$1535,9,FALSE),VLOOKUP($B1232,Data!$B$3:$AB$1535,4,FALSE)),"")</f>
        <v>0.5419686696</v>
      </c>
      <c r="D1232" s="48">
        <f>IFERROR(DIVIDE(VLOOKUP($B1232,Data!$B$3:$AB$1535,24,FALSE),VLOOKUP($B1232,Data!$B$3:$AB$1535,4,FALSE)),"")</f>
        <v>-0.3365676876</v>
      </c>
      <c r="E1232" s="48">
        <f>IFERROR(DIVIDE(VLOOKUP($B1232,Data!$B$3:$EZ1530,29,FALSE),VLOOKUP($B1232,Data!$B$3:$EZ1530,4,FALSE)),"")</f>
        <v>-0.3036006547</v>
      </c>
      <c r="F1232" s="48">
        <f>IFERROR(DIVIDE(VLOOKUP($B1232,Data!$B$3:$EZ1530,34,FALSE),VLOOKUP($B1232,Data!$B$3:$EZ1530,4,FALSE)),"")</f>
        <v>-0.4101005378</v>
      </c>
      <c r="G1232" s="48">
        <f>IFERROR(DIVIDE(VLOOKUP($B1232,Data!$B$3:$EZ1530,39,FALSE),VLOOKUP($B1232,Data!$B$3:$EZ1530,4,FALSE)),"")</f>
        <v>-0.2872340426</v>
      </c>
      <c r="H1232" s="48">
        <f>IFERROR(DIVIDE(VLOOKUP($B1232,Data!$B$3:$EZ1530,44,FALSE),VLOOKUP($B1232,Data!$B$3:$EZ1530,4,FALSE)),"")</f>
        <v>-0.257540332</v>
      </c>
      <c r="I1232" s="48">
        <f>IFERROR(MINUS(DIVIDE(VLOOKUP($B1232,Data!$B$3:$EZ1530,9,FALSE),VLOOKUP($B1232,Data!$B$3:$EZ1530,10,FALSE)),1),"")</f>
        <v>0.08065268065</v>
      </c>
      <c r="J1232" s="48">
        <f>IFERROR(MINUS(DIVIDE(VLOOKUP($B1232,Data!$B$3:$EZ1530,24,FALSE),VLOOKUP($B1232,Data!$B$3:$EZ1530,25,FALSE)),1),"")</f>
        <v>0.0003474635163</v>
      </c>
      <c r="K1232" s="48">
        <f>IFERROR(MINUS(DIVIDE(VLOOKUP($B1232,Data!$B$3:$EZ1530,29,FALSE),VLOOKUP($B1232,Data!$B$3:$EZ1530,30,FALSE)),1),"")</f>
        <v>-0.08395061728</v>
      </c>
      <c r="L1232" s="48">
        <f>IFERROR(MINUS(DIVIDE(VLOOKUP($B1232,Data!$B$3:$EZ1530,34,FALSE),VLOOKUP($B1232,Data!$B$3:$EZ1530,35,FALSE)),1),"")</f>
        <v>0.3987240829</v>
      </c>
      <c r="M1232" s="48">
        <f>IFERROR(MINUS(DIVIDE(VLOOKUP($B1232,Data!$B$3:$EZ1530,39,FALSE),VLOOKUP($B1232,Data!$B$3:$EZ1530,40,FALSE)),1),"")</f>
        <v>-0.1357720718</v>
      </c>
      <c r="N1232" s="48">
        <f>IFERROR(MINUS(DIVIDE(VLOOKUP($B1232,Data!$B$3:$EZ1530,44,FALSE),VLOOKUP($B1232,Data!$B$3:$EZ1530,45,FALSE)),1),"")</f>
        <v>-0.07085617883</v>
      </c>
      <c r="O1232" s="50">
        <f>IFERROR(VLOOKUP($B1232,Data!$B$3:$D1530,2,FALSE),"")</f>
        <v>162010</v>
      </c>
      <c r="P1232" s="50">
        <f>IFERROR(VLOOKUP($B1232,Data!$B$3:$D1530,3,FALSE),"")</f>
        <v>110420</v>
      </c>
      <c r="Q1232" s="48">
        <f t="shared" si="2"/>
        <v>0.467216084</v>
      </c>
      <c r="R1232" s="48"/>
      <c r="S1232" s="48"/>
      <c r="T1232" s="48"/>
      <c r="U1232" s="48"/>
      <c r="V1232" s="48"/>
      <c r="W1232" s="50"/>
      <c r="Z1232" s="15"/>
      <c r="AA1232" s="15"/>
    </row>
    <row r="1233">
      <c r="A1233" s="9">
        <f t="shared" si="1"/>
        <v>1230</v>
      </c>
      <c r="B1233" s="47" t="s">
        <v>1367</v>
      </c>
      <c r="C1233" s="48">
        <f>IFERROR(DIVIDE(VLOOKUP($B1233,Data!$B$3:$AB$1535,9,FALSE),VLOOKUP($B1233,Data!$B$3:$AB$1535,4,FALSE)),"")</f>
        <v>0.3441285714</v>
      </c>
      <c r="D1233" s="48">
        <f>IFERROR(DIVIDE(VLOOKUP($B1233,Data!$B$3:$AB$1535,24,FALSE),VLOOKUP($B1233,Data!$B$3:$AB$1535,4,FALSE)),"")</f>
        <v>0.1522857143</v>
      </c>
      <c r="E1233" s="48">
        <f>IFERROR(DIVIDE(VLOOKUP($B1233,Data!$B$3:$EZ1530,29,FALSE),VLOOKUP($B1233,Data!$B$3:$EZ1530,4,FALSE)),"")</f>
        <v>0.09214285714</v>
      </c>
      <c r="F1233" s="48">
        <f>IFERROR(DIVIDE(VLOOKUP($B1233,Data!$B$3:$EZ1530,34,FALSE),VLOOKUP($B1233,Data!$B$3:$EZ1530,4,FALSE)),"")</f>
        <v>0.2948071429</v>
      </c>
      <c r="G1233" s="48">
        <f>IFERROR(DIVIDE(VLOOKUP($B1233,Data!$B$3:$EZ1530,39,FALSE),VLOOKUP($B1233,Data!$B$3:$EZ1530,4,FALSE)),"")</f>
        <v>0.06391428571</v>
      </c>
      <c r="H1233" s="48">
        <f>IFERROR(DIVIDE(VLOOKUP($B1233,Data!$B$3:$EZ1530,44,FALSE),VLOOKUP($B1233,Data!$B$3:$EZ1530,4,FALSE)),"")</f>
        <v>0.2488714286</v>
      </c>
      <c r="I1233" s="48">
        <f>IFERROR(MINUS(DIVIDE(VLOOKUP($B1233,Data!$B$3:$EZ1530,9,FALSE),VLOOKUP($B1233,Data!$B$3:$EZ1530,10,FALSE)),1),"")</f>
        <v>0.2081348112</v>
      </c>
      <c r="J1233" s="48">
        <f>IFERROR(MINUS(DIVIDE(VLOOKUP($B1233,Data!$B$3:$EZ1530,24,FALSE),VLOOKUP($B1233,Data!$B$3:$EZ1530,25,FALSE)),1),"")</f>
        <v>0.4855072464</v>
      </c>
      <c r="K1233" s="48">
        <f>IFERROR(MINUS(DIVIDE(VLOOKUP($B1233,Data!$B$3:$EZ1530,29,FALSE),VLOOKUP($B1233,Data!$B$3:$EZ1530,30,FALSE)),1),"")</f>
        <v>1.057416268</v>
      </c>
      <c r="L1233" s="48">
        <f>IFERROR(MINUS(DIVIDE(VLOOKUP($B1233,Data!$B$3:$EZ1530,34,FALSE),VLOOKUP($B1233,Data!$B$3:$EZ1530,35,FALSE)),1),"")</f>
        <v>0.2064248341</v>
      </c>
      <c r="M1233" s="48">
        <f>IFERROR(MINUS(DIVIDE(VLOOKUP($B1233,Data!$B$3:$EZ1530,39,FALSE),VLOOKUP($B1233,Data!$B$3:$EZ1530,40,FALSE)),1),"")</f>
        <v>0.9977673588</v>
      </c>
      <c r="N1233" s="48">
        <f>IFERROR(MINUS(DIVIDE(VLOOKUP($B1233,Data!$B$3:$EZ1530,44,FALSE),VLOOKUP($B1233,Data!$B$3:$EZ1530,45,FALSE)),1),"")</f>
        <v>0.1853439477</v>
      </c>
      <c r="O1233" s="50">
        <f>IFERROR(VLOOKUP($B1233,Data!$B$3:$D1530,2,FALSE),"")</f>
        <v>1130000</v>
      </c>
      <c r="P1233" s="50">
        <f>IFERROR(VLOOKUP($B1233,Data!$B$3:$D1530,3,FALSE),"")</f>
        <v>662780</v>
      </c>
      <c r="Q1233" s="48">
        <f t="shared" si="2"/>
        <v>0.704939799</v>
      </c>
      <c r="R1233" s="48"/>
      <c r="S1233" s="48"/>
      <c r="T1233" s="48"/>
      <c r="U1233" s="48"/>
      <c r="V1233" s="48"/>
      <c r="W1233" s="50"/>
      <c r="Z1233" s="11"/>
      <c r="AA1233" s="11"/>
    </row>
    <row r="1234">
      <c r="A1234" s="9">
        <f t="shared" si="1"/>
        <v>1231</v>
      </c>
      <c r="B1234" s="47" t="s">
        <v>1368</v>
      </c>
      <c r="C1234" s="48">
        <f>IFERROR(DIVIDE(VLOOKUP($B1234,Data!$B$3:$AB$1535,9,FALSE),VLOOKUP($B1234,Data!$B$3:$AB$1535,4,FALSE)),"")</f>
        <v>0.07178362573</v>
      </c>
      <c r="D1234" s="48">
        <f>IFERROR(DIVIDE(VLOOKUP($B1234,Data!$B$3:$AB$1535,24,FALSE),VLOOKUP($B1234,Data!$B$3:$AB$1535,4,FALSE)),"")</f>
        <v>0.04020467836</v>
      </c>
      <c r="E1234" s="48">
        <f>IFERROR(DIVIDE(VLOOKUP($B1234,Data!$B$3:$EZ1530,29,FALSE),VLOOKUP($B1234,Data!$B$3:$EZ1530,4,FALSE)),"")</f>
        <v>0.04152046784</v>
      </c>
      <c r="F1234" s="48">
        <f>IFERROR(DIVIDE(VLOOKUP($B1234,Data!$B$3:$EZ1530,34,FALSE),VLOOKUP($B1234,Data!$B$3:$EZ1530,4,FALSE)),"")</f>
        <v>0.04283625731</v>
      </c>
      <c r="G1234" s="48">
        <f>IFERROR(DIVIDE(VLOOKUP($B1234,Data!$B$3:$EZ1530,39,FALSE),VLOOKUP($B1234,Data!$B$3:$EZ1530,4,FALSE)),"")</f>
        <v>0.04137426901</v>
      </c>
      <c r="H1234" s="48">
        <f>IFERROR(DIVIDE(VLOOKUP($B1234,Data!$B$3:$EZ1530,44,FALSE),VLOOKUP($B1234,Data!$B$3:$EZ1530,4,FALSE)),"")</f>
        <v>0.025</v>
      </c>
      <c r="I1234" s="48">
        <f>IFERROR(MINUS(DIVIDE(VLOOKUP($B1234,Data!$B$3:$EZ1530,9,FALSE),VLOOKUP($B1234,Data!$B$3:$EZ1530,10,FALSE)),1),"")</f>
        <v>-0.07879924953</v>
      </c>
      <c r="J1234" s="48">
        <f>IFERROR(MINUS(DIVIDE(VLOOKUP($B1234,Data!$B$3:$EZ1530,24,FALSE),VLOOKUP($B1234,Data!$B$3:$EZ1530,25,FALSE)),1),"")</f>
        <v>1.925531915</v>
      </c>
      <c r="K1234" s="48">
        <f>IFERROR(MINUS(DIVIDE(VLOOKUP($B1234,Data!$B$3:$EZ1530,29,FALSE),VLOOKUP($B1234,Data!$B$3:$EZ1530,30,FALSE)),1),"")</f>
        <v>-18.75</v>
      </c>
      <c r="L1234" s="48">
        <f>IFERROR(MINUS(DIVIDE(VLOOKUP($B1234,Data!$B$3:$EZ1530,34,FALSE),VLOOKUP($B1234,Data!$B$3:$EZ1530,35,FALSE)),1),"")</f>
        <v>-0.1723163842</v>
      </c>
      <c r="M1234" s="48">
        <f>IFERROR(MINUS(DIVIDE(VLOOKUP($B1234,Data!$B$3:$EZ1530,39,FALSE),VLOOKUP($B1234,Data!$B$3:$EZ1530,40,FALSE)),1),"")</f>
        <v>-17.64705882</v>
      </c>
      <c r="N1234" s="48">
        <f>IFERROR(MINUS(DIVIDE(VLOOKUP($B1234,Data!$B$3:$EZ1530,44,FALSE),VLOOKUP($B1234,Data!$B$3:$EZ1530,45,FALSE)),1),"")</f>
        <v>-0.281512605</v>
      </c>
      <c r="O1234" s="50">
        <f>IFERROR(VLOOKUP($B1234,Data!$B$3:$D1530,2,FALSE),"")</f>
        <v>6810000</v>
      </c>
      <c r="P1234" s="50" t="str">
        <f>IFERROR(VLOOKUP($B1234,Data!$B$3:$D1530,3,FALSE),"")</f>
        <v/>
      </c>
      <c r="Q1234" s="48" t="str">
        <f t="shared" si="2"/>
        <v/>
      </c>
      <c r="R1234" s="48"/>
      <c r="S1234" s="48"/>
      <c r="T1234" s="48"/>
      <c r="U1234" s="48"/>
      <c r="V1234" s="48"/>
      <c r="W1234" s="50"/>
      <c r="Z1234" s="11"/>
      <c r="AA1234" s="11"/>
    </row>
    <row r="1235">
      <c r="A1235" s="9">
        <f t="shared" si="1"/>
        <v>1232</v>
      </c>
      <c r="B1235" s="47" t="s">
        <v>1369</v>
      </c>
      <c r="C1235" s="48">
        <f>IFERROR(DIVIDE(VLOOKUP($B1235,Data!$B$3:$AB$1535,9,FALSE),VLOOKUP($B1235,Data!$B$3:$AB$1535,4,FALSE)),"")</f>
        <v>0</v>
      </c>
      <c r="D1235" s="48">
        <f>IFERROR(DIVIDE(VLOOKUP($B1235,Data!$B$3:$AB$1535,24,FALSE),VLOOKUP($B1235,Data!$B$3:$AB$1535,4,FALSE)),"")</f>
        <v>-7.980538922</v>
      </c>
      <c r="E1235" s="48">
        <f>IFERROR(DIVIDE(VLOOKUP($B1235,Data!$B$3:$EZ1530,29,FALSE),VLOOKUP($B1235,Data!$B$3:$EZ1530,4,FALSE)),"")</f>
        <v>-8.285928144</v>
      </c>
      <c r="F1235" s="48">
        <f>IFERROR(DIVIDE(VLOOKUP($B1235,Data!$B$3:$EZ1530,34,FALSE),VLOOKUP($B1235,Data!$B$3:$EZ1530,4,FALSE)),"")</f>
        <v>-7.549401198</v>
      </c>
      <c r="G1235" s="48">
        <f>IFERROR(DIVIDE(VLOOKUP($B1235,Data!$B$3:$EZ1530,39,FALSE),VLOOKUP($B1235,Data!$B$3:$EZ1530,4,FALSE)),"")</f>
        <v>-8.285928144</v>
      </c>
      <c r="H1235" s="48">
        <f>IFERROR(DIVIDE(VLOOKUP($B1235,Data!$B$3:$EZ1530,44,FALSE),VLOOKUP($B1235,Data!$B$3:$EZ1530,4,FALSE)),"")</f>
        <v>-7.700598802</v>
      </c>
      <c r="I1235" s="48" t="str">
        <f>IFERROR(MINUS(DIVIDE(VLOOKUP($B1235,Data!$B$3:$EZ1530,9,FALSE),VLOOKUP($B1235,Data!$B$3:$EZ1530,10,FALSE)),1),"")</f>
        <v/>
      </c>
      <c r="J1235" s="48" t="str">
        <f>IFERROR(MINUS(DIVIDE(VLOOKUP($B1235,Data!$B$3:$EZ1530,24,FALSE),VLOOKUP($B1235,Data!$B$3:$EZ1530,25,FALSE)),1),"")</f>
        <v/>
      </c>
      <c r="K1235" s="48">
        <f>IFERROR(MINUS(DIVIDE(VLOOKUP($B1235,Data!$B$3:$EZ1530,29,FALSE),VLOOKUP($B1235,Data!$B$3:$EZ1530,30,FALSE)),1),"")</f>
        <v>-0.152892562</v>
      </c>
      <c r="L1235" s="48">
        <f>IFERROR(MINUS(DIVIDE(VLOOKUP($B1235,Data!$B$3:$EZ1530,34,FALSE),VLOOKUP($B1235,Data!$B$3:$EZ1530,35,FALSE)),1),"")</f>
        <v>-0.21264637</v>
      </c>
      <c r="M1235" s="48">
        <f>IFERROR(MINUS(DIVIDE(VLOOKUP($B1235,Data!$B$3:$EZ1530,39,FALSE),VLOOKUP($B1235,Data!$B$3:$EZ1530,40,FALSE)),1),"")</f>
        <v>-0.152892562</v>
      </c>
      <c r="N1235" s="48">
        <f>IFERROR(MINUS(DIVIDE(VLOOKUP($B1235,Data!$B$3:$EZ1530,44,FALSE),VLOOKUP($B1235,Data!$B$3:$EZ1530,45,FALSE)),1),"")</f>
        <v>-0.1304935767</v>
      </c>
      <c r="O1235" s="50">
        <f>IFERROR(VLOOKUP($B1235,Data!$B$3:$D1530,2,FALSE),"")</f>
        <v>21550</v>
      </c>
      <c r="P1235" s="50">
        <f>IFERROR(VLOOKUP($B1235,Data!$B$3:$D1530,3,FALSE),"")</f>
        <v>27310</v>
      </c>
      <c r="Q1235" s="48">
        <f t="shared" si="2"/>
        <v>-0.2109117539</v>
      </c>
      <c r="R1235" s="48"/>
      <c r="S1235" s="48"/>
      <c r="T1235" s="48"/>
      <c r="U1235" s="48"/>
      <c r="V1235" s="48"/>
      <c r="W1235" s="50"/>
      <c r="Z1235" s="15"/>
      <c r="AA1235" s="15"/>
    </row>
    <row r="1236">
      <c r="A1236" s="9">
        <f t="shared" si="1"/>
        <v>1233</v>
      </c>
      <c r="B1236" s="47" t="s">
        <v>1370</v>
      </c>
      <c r="C1236" s="48" t="str">
        <f>IFERROR(DIVIDE(VLOOKUP($B1236,Data!$B$3:$AB$1535,9,FALSE),VLOOKUP($B1236,Data!$B$3:$AB$1535,4,FALSE)),"")</f>
        <v/>
      </c>
      <c r="D1236" s="48" t="str">
        <f>IFERROR(DIVIDE(VLOOKUP($B1236,Data!$B$3:$AB$1535,24,FALSE),VLOOKUP($B1236,Data!$B$3:$AB$1535,4,FALSE)),"")</f>
        <v/>
      </c>
      <c r="E1236" s="48" t="str">
        <f>IFERROR(DIVIDE(VLOOKUP($B1236,Data!$B$3:$EZ1530,29,FALSE),VLOOKUP($B1236,Data!$B$3:$EZ1530,4,FALSE)),"")</f>
        <v/>
      </c>
      <c r="F1236" s="48" t="str">
        <f>IFERROR(DIVIDE(VLOOKUP($B1236,Data!$B$3:$EZ1530,34,FALSE),VLOOKUP($B1236,Data!$B$3:$EZ1530,4,FALSE)),"")</f>
        <v/>
      </c>
      <c r="G1236" s="48" t="str">
        <f>IFERROR(DIVIDE(VLOOKUP($B1236,Data!$B$3:$EZ1530,39,FALSE),VLOOKUP($B1236,Data!$B$3:$EZ1530,4,FALSE)),"")</f>
        <v/>
      </c>
      <c r="H1236" s="48" t="str">
        <f>IFERROR(DIVIDE(VLOOKUP($B1236,Data!$B$3:$EZ1530,44,FALSE),VLOOKUP($B1236,Data!$B$3:$EZ1530,4,FALSE)),"")</f>
        <v/>
      </c>
      <c r="I1236" s="48">
        <f>IFERROR(MINUS(DIVIDE(VLOOKUP($B1236,Data!$B$3:$EZ1530,9,FALSE),VLOOKUP($B1236,Data!$B$3:$EZ1530,10,FALSE)),1),"")</f>
        <v>0.05288461538</v>
      </c>
      <c r="J1236" s="48">
        <f>IFERROR(MINUS(DIVIDE(VLOOKUP($B1236,Data!$B$3:$EZ1530,24,FALSE),VLOOKUP($B1236,Data!$B$3:$EZ1530,25,FALSE)),1),"")</f>
        <v>2.144637681</v>
      </c>
      <c r="K1236" s="48">
        <f>IFERROR(MINUS(DIVIDE(VLOOKUP($B1236,Data!$B$3:$EZ1530,29,FALSE),VLOOKUP($B1236,Data!$B$3:$EZ1530,30,FALSE)),1),"")</f>
        <v>2.190857821</v>
      </c>
      <c r="L1236" s="48">
        <f>IFERROR(MINUS(DIVIDE(VLOOKUP($B1236,Data!$B$3:$EZ1530,34,FALSE),VLOOKUP($B1236,Data!$B$3:$EZ1530,35,FALSE)),1),"")</f>
        <v>0.4378187525</v>
      </c>
      <c r="M1236" s="48">
        <f>IFERROR(MINUS(DIVIDE(VLOOKUP($B1236,Data!$B$3:$EZ1530,39,FALSE),VLOOKUP($B1236,Data!$B$3:$EZ1530,40,FALSE)),1),"")</f>
        <v>2.190857821</v>
      </c>
      <c r="N1236" s="48">
        <f>IFERROR(MINUS(DIVIDE(VLOOKUP($B1236,Data!$B$3:$EZ1530,44,FALSE),VLOOKUP($B1236,Data!$B$3:$EZ1530,45,FALSE)),1),"")</f>
        <v>0.6434515988</v>
      </c>
      <c r="O1236" s="50">
        <f>IFERROR(VLOOKUP($B1236,Data!$B$3:$D1530,2,FALSE),"")</f>
        <v>15230</v>
      </c>
      <c r="P1236" s="50" t="str">
        <f>IFERROR(VLOOKUP($B1236,Data!$B$3:$D1530,3,FALSE),"")</f>
        <v/>
      </c>
      <c r="Q1236" s="48" t="str">
        <f t="shared" si="2"/>
        <v/>
      </c>
      <c r="R1236" s="48"/>
      <c r="S1236" s="48"/>
      <c r="T1236" s="48"/>
      <c r="U1236" s="48"/>
      <c r="V1236" s="48"/>
      <c r="W1236" s="50"/>
      <c r="Z1236" s="15"/>
      <c r="AA1236" s="15"/>
    </row>
    <row r="1237">
      <c r="A1237" s="9">
        <f t="shared" si="1"/>
        <v>1234</v>
      </c>
      <c r="B1237" s="47" t="s">
        <v>1371</v>
      </c>
      <c r="C1237" s="48">
        <f>IFERROR(DIVIDE(VLOOKUP($B1237,Data!$B$3:$AB$1535,9,FALSE),VLOOKUP($B1237,Data!$B$3:$AB$1535,4,FALSE)),"")</f>
        <v>0.4533725618</v>
      </c>
      <c r="D1237" s="48">
        <f>IFERROR(DIVIDE(VLOOKUP($B1237,Data!$B$3:$AB$1535,24,FALSE),VLOOKUP($B1237,Data!$B$3:$AB$1535,4,FALSE)),"")</f>
        <v>0.426849733</v>
      </c>
      <c r="E1237" s="48">
        <f>IFERROR(DIVIDE(VLOOKUP($B1237,Data!$B$3:$EZ1530,29,FALSE),VLOOKUP($B1237,Data!$B$3:$EZ1530,4,FALSE)),"")</f>
        <v>0.1571755476</v>
      </c>
      <c r="F1237" s="48">
        <f>IFERROR(DIVIDE(VLOOKUP($B1237,Data!$B$3:$EZ1530,34,FALSE),VLOOKUP($B1237,Data!$B$3:$EZ1530,4,FALSE)),"")</f>
        <v>0.6847771603</v>
      </c>
      <c r="G1237" s="48">
        <f>IFERROR(DIVIDE(VLOOKUP($B1237,Data!$B$3:$EZ1530,39,FALSE),VLOOKUP($B1237,Data!$B$3:$EZ1530,4,FALSE)),"")</f>
        <v>0.1943554539</v>
      </c>
      <c r="H1237" s="48">
        <f>IFERROR(DIVIDE(VLOOKUP($B1237,Data!$B$3:$EZ1530,44,FALSE),VLOOKUP($B1237,Data!$B$3:$EZ1530,4,FALSE)),"")</f>
        <v>0.544208347</v>
      </c>
      <c r="I1237" s="48">
        <f>IFERROR(MINUS(DIVIDE(VLOOKUP($B1237,Data!$B$3:$EZ1530,9,FALSE),VLOOKUP($B1237,Data!$B$3:$EZ1530,10,FALSE)),1),"")</f>
        <v>0.1178999409</v>
      </c>
      <c r="J1237" s="48">
        <f>IFERROR(MINUS(DIVIDE(VLOOKUP($B1237,Data!$B$3:$EZ1530,24,FALSE),VLOOKUP($B1237,Data!$B$3:$EZ1530,25,FALSE)),1),"")</f>
        <v>0.4072424199</v>
      </c>
      <c r="K1237" s="48">
        <f>IFERROR(MINUS(DIVIDE(VLOOKUP($B1237,Data!$B$3:$EZ1530,29,FALSE),VLOOKUP($B1237,Data!$B$3:$EZ1530,30,FALSE)),1),"")</f>
        <v>0.2225800983</v>
      </c>
      <c r="L1237" s="48">
        <f>IFERROR(MINUS(DIVIDE(VLOOKUP($B1237,Data!$B$3:$EZ1530,34,FALSE),VLOOKUP($B1237,Data!$B$3:$EZ1530,35,FALSE)),1),"")</f>
        <v>0.1181850534</v>
      </c>
      <c r="M1237" s="48">
        <f>IFERROR(MINUS(DIVIDE(VLOOKUP($B1237,Data!$B$3:$EZ1530,39,FALSE),VLOOKUP($B1237,Data!$B$3:$EZ1530,40,FALSE)),1),"")</f>
        <v>0.2113556099</v>
      </c>
      <c r="N1237" s="48">
        <f>IFERROR(MINUS(DIVIDE(VLOOKUP($B1237,Data!$B$3:$EZ1530,44,FALSE),VLOOKUP($B1237,Data!$B$3:$EZ1530,45,FALSE)),1),"")</f>
        <v>0.2424619365</v>
      </c>
      <c r="O1237" s="50">
        <f>IFERROR(VLOOKUP($B1237,Data!$B$3:$D1530,2,FALSE),"")</f>
        <v>468200</v>
      </c>
      <c r="P1237" s="50">
        <f>IFERROR(VLOOKUP($B1237,Data!$B$3:$D1530,3,FALSE),"")</f>
        <v>481830</v>
      </c>
      <c r="Q1237" s="48">
        <f t="shared" si="2"/>
        <v>-0.02828798539</v>
      </c>
      <c r="R1237" s="48"/>
      <c r="S1237" s="48"/>
      <c r="T1237" s="48"/>
      <c r="U1237" s="48"/>
      <c r="V1237" s="48"/>
      <c r="W1237" s="50"/>
      <c r="Z1237" s="11"/>
      <c r="AA1237" s="11"/>
    </row>
    <row r="1238">
      <c r="A1238" s="9">
        <f t="shared" si="1"/>
        <v>1235</v>
      </c>
      <c r="B1238" s="47" t="s">
        <v>1372</v>
      </c>
      <c r="C1238" s="48">
        <f>IFERROR(DIVIDE(VLOOKUP($B1238,Data!$B$3:$AB$1535,9,FALSE),VLOOKUP($B1238,Data!$B$3:$AB$1535,4,FALSE)),"")</f>
        <v>0.3143872114</v>
      </c>
      <c r="D1238" s="48">
        <f>IFERROR(DIVIDE(VLOOKUP($B1238,Data!$B$3:$AB$1535,24,FALSE),VLOOKUP($B1238,Data!$B$3:$AB$1535,4,FALSE)),"")</f>
        <v>0.03860746004</v>
      </c>
      <c r="E1238" s="48">
        <f>IFERROR(DIVIDE(VLOOKUP($B1238,Data!$B$3:$EZ1530,29,FALSE),VLOOKUP($B1238,Data!$B$3:$EZ1530,4,FALSE)),"")</f>
        <v>0.03484369449</v>
      </c>
      <c r="F1238" s="48">
        <f>IFERROR(DIVIDE(VLOOKUP($B1238,Data!$B$3:$EZ1530,34,FALSE),VLOOKUP($B1238,Data!$B$3:$EZ1530,4,FALSE)),"")</f>
        <v>0.07624689165</v>
      </c>
      <c r="G1238" s="48">
        <f>IFERROR(DIVIDE(VLOOKUP($B1238,Data!$B$3:$EZ1530,39,FALSE),VLOOKUP($B1238,Data!$B$3:$EZ1530,4,FALSE)),"")</f>
        <v>0.02657726465</v>
      </c>
      <c r="H1238" s="48">
        <f>IFERROR(DIVIDE(VLOOKUP($B1238,Data!$B$3:$EZ1530,44,FALSE),VLOOKUP($B1238,Data!$B$3:$EZ1530,4,FALSE)),"")</f>
        <v>0.07872291297</v>
      </c>
      <c r="I1238" s="48">
        <f>IFERROR(MINUS(DIVIDE(VLOOKUP($B1238,Data!$B$3:$EZ1530,9,FALSE),VLOOKUP($B1238,Data!$B$3:$EZ1530,10,FALSE)),1),"")</f>
        <v>0.07926829268</v>
      </c>
      <c r="J1238" s="48">
        <f>IFERROR(MINUS(DIVIDE(VLOOKUP($B1238,Data!$B$3:$EZ1530,24,FALSE),VLOOKUP($B1238,Data!$B$3:$EZ1530,25,FALSE)),1),"")</f>
        <v>-0.02489794087</v>
      </c>
      <c r="K1238" s="48">
        <f>IFERROR(MINUS(DIVIDE(VLOOKUP($B1238,Data!$B$3:$EZ1530,29,FALSE),VLOOKUP($B1238,Data!$B$3:$EZ1530,30,FALSE)),1),"")</f>
        <v>0.00188968335</v>
      </c>
      <c r="L1238" s="48">
        <f>IFERROR(MINUS(DIVIDE(VLOOKUP($B1238,Data!$B$3:$EZ1530,34,FALSE),VLOOKUP($B1238,Data!$B$3:$EZ1530,35,FALSE)),1),"")</f>
        <v>0.2381955061</v>
      </c>
      <c r="M1238" s="48">
        <f>IFERROR(MINUS(DIVIDE(VLOOKUP($B1238,Data!$B$3:$EZ1530,39,FALSE),VLOOKUP($B1238,Data!$B$3:$EZ1530,40,FALSE)),1),"")</f>
        <v>-0.05620032799</v>
      </c>
      <c r="N1238" s="48">
        <f>IFERROR(MINUS(DIVIDE(VLOOKUP($B1238,Data!$B$3:$EZ1530,44,FALSE),VLOOKUP($B1238,Data!$B$3:$EZ1530,45,FALSE)),1),"")</f>
        <v>0.5055710306</v>
      </c>
      <c r="O1238" s="50">
        <f>IFERROR(VLOOKUP($B1238,Data!$B$3:$D1530,2,FALSE),"")</f>
        <v>6560000</v>
      </c>
      <c r="P1238" s="50">
        <f>IFERROR(VLOOKUP($B1238,Data!$B$3:$D1530,3,FALSE),"")</f>
        <v>6470000</v>
      </c>
      <c r="Q1238" s="48">
        <f t="shared" si="2"/>
        <v>0.01391035549</v>
      </c>
      <c r="R1238" s="48"/>
      <c r="S1238" s="48"/>
      <c r="T1238" s="48"/>
      <c r="U1238" s="48"/>
      <c r="V1238" s="48"/>
      <c r="W1238" s="50"/>
      <c r="Z1238" s="11"/>
      <c r="AA1238" s="12"/>
    </row>
    <row r="1239">
      <c r="A1239" s="9">
        <f t="shared" si="1"/>
        <v>1236</v>
      </c>
      <c r="B1239" s="47" t="s">
        <v>1373</v>
      </c>
      <c r="C1239" s="48">
        <f>IFERROR(DIVIDE(VLOOKUP($B1239,Data!$B$3:$AB$1535,9,FALSE),VLOOKUP($B1239,Data!$B$3:$AB$1535,4,FALSE)),"")</f>
        <v>0.9520568119</v>
      </c>
      <c r="D1239" s="48">
        <f>IFERROR(DIVIDE(VLOOKUP($B1239,Data!$B$3:$AB$1535,24,FALSE),VLOOKUP($B1239,Data!$B$3:$AB$1535,4,FALSE)),"")</f>
        <v>0</v>
      </c>
      <c r="E1239" s="48">
        <f>IFERROR(DIVIDE(VLOOKUP($B1239,Data!$B$3:$EZ1530,29,FALSE),VLOOKUP($B1239,Data!$B$3:$EZ1530,4,FALSE)),"")</f>
        <v>-0.173064546</v>
      </c>
      <c r="F1239" s="48">
        <f>IFERROR(DIVIDE(VLOOKUP($B1239,Data!$B$3:$EZ1530,34,FALSE),VLOOKUP($B1239,Data!$B$3:$EZ1530,4,FALSE)),"")</f>
        <v>-0.2040230825</v>
      </c>
      <c r="G1239" s="48">
        <f>IFERROR(DIVIDE(VLOOKUP($B1239,Data!$B$3:$EZ1530,39,FALSE),VLOOKUP($B1239,Data!$B$3:$EZ1530,4,FALSE)),"")</f>
        <v>-0.173064546</v>
      </c>
      <c r="H1239" s="48">
        <f>IFERROR(DIVIDE(VLOOKUP($B1239,Data!$B$3:$EZ1530,44,FALSE),VLOOKUP($B1239,Data!$B$3:$EZ1530,4,FALSE)),"")</f>
        <v>-0.1713518997</v>
      </c>
      <c r="I1239" s="48">
        <f>IFERROR(MINUS(DIVIDE(VLOOKUP($B1239,Data!$B$3:$EZ1530,9,FALSE),VLOOKUP($B1239,Data!$B$3:$EZ1530,10,FALSE)),1),"")</f>
        <v>0.540862626</v>
      </c>
      <c r="J1239" s="48">
        <f>IFERROR(MINUS(DIVIDE(VLOOKUP($B1239,Data!$B$3:$EZ1530,24,FALSE),VLOOKUP($B1239,Data!$B$3:$EZ1530,25,FALSE)),1),"")</f>
        <v>-1</v>
      </c>
      <c r="K1239" s="48">
        <f>IFERROR(MINUS(DIVIDE(VLOOKUP($B1239,Data!$B$3:$EZ1530,29,FALSE),VLOOKUP($B1239,Data!$B$3:$EZ1530,30,FALSE)),1),"")</f>
        <v>-0.3559975644</v>
      </c>
      <c r="L1239" s="48">
        <f>IFERROR(MINUS(DIVIDE(VLOOKUP($B1239,Data!$B$3:$EZ1530,34,FALSE),VLOOKUP($B1239,Data!$B$3:$EZ1530,35,FALSE)),1),"")</f>
        <v>-0.1704883133</v>
      </c>
      <c r="M1239" s="48">
        <f>IFERROR(MINUS(DIVIDE(VLOOKUP($B1239,Data!$B$3:$EZ1530,39,FALSE),VLOOKUP($B1239,Data!$B$3:$EZ1530,40,FALSE)),1),"")</f>
        <v>-0.2875746554</v>
      </c>
      <c r="N1239" s="48">
        <f>IFERROR(MINUS(DIVIDE(VLOOKUP($B1239,Data!$B$3:$EZ1530,44,FALSE),VLOOKUP($B1239,Data!$B$3:$EZ1530,45,FALSE)),1),"")</f>
        <v>-0.2282598015</v>
      </c>
      <c r="O1239" s="50">
        <f>IFERROR(VLOOKUP($B1239,Data!$B$3:$D1530,2,FALSE),"")</f>
        <v>1720000</v>
      </c>
      <c r="P1239" s="50">
        <f>IFERROR(VLOOKUP($B1239,Data!$B$3:$D1530,3,FALSE),"")</f>
        <v>1160000</v>
      </c>
      <c r="Q1239" s="48">
        <f t="shared" si="2"/>
        <v>0.4827586207</v>
      </c>
      <c r="R1239" s="48"/>
      <c r="S1239" s="48"/>
      <c r="T1239" s="48"/>
      <c r="U1239" s="48"/>
      <c r="V1239" s="48"/>
      <c r="W1239" s="50"/>
      <c r="Z1239" s="11"/>
      <c r="AA1239" s="11"/>
    </row>
    <row r="1240">
      <c r="A1240" s="9">
        <f t="shared" si="1"/>
        <v>1237</v>
      </c>
      <c r="B1240" s="47" t="s">
        <v>1374</v>
      </c>
      <c r="C1240" s="48">
        <f>IFERROR(DIVIDE(VLOOKUP($B1240,Data!$B$3:$AB$1535,9,FALSE),VLOOKUP($B1240,Data!$B$3:$AB$1535,4,FALSE)),"")</f>
        <v>0</v>
      </c>
      <c r="D1240" s="48">
        <f>IFERROR(DIVIDE(VLOOKUP($B1240,Data!$B$3:$AB$1535,24,FALSE),VLOOKUP($B1240,Data!$B$3:$AB$1535,4,FALSE)),"")</f>
        <v>0</v>
      </c>
      <c r="E1240" s="48">
        <f>IFERROR(DIVIDE(VLOOKUP($B1240,Data!$B$3:$EZ1530,29,FALSE),VLOOKUP($B1240,Data!$B$3:$EZ1530,4,FALSE)),"")</f>
        <v>-0.9315630186</v>
      </c>
      <c r="F1240" s="48">
        <f>IFERROR(DIVIDE(VLOOKUP($B1240,Data!$B$3:$EZ1530,34,FALSE),VLOOKUP($B1240,Data!$B$3:$EZ1530,4,FALSE)),"")</f>
        <v>-0.9884799375</v>
      </c>
      <c r="G1240" s="48">
        <f>IFERROR(DIVIDE(VLOOKUP($B1240,Data!$B$3:$EZ1530,39,FALSE),VLOOKUP($B1240,Data!$B$3:$EZ1530,4,FALSE)),"")</f>
        <v>-0.9293175827</v>
      </c>
      <c r="H1240" s="48">
        <f>IFERROR(DIVIDE(VLOOKUP($B1240,Data!$B$3:$EZ1530,44,FALSE),VLOOKUP($B1240,Data!$B$3:$EZ1530,4,FALSE)),"")</f>
        <v>-1.409743239</v>
      </c>
      <c r="I1240" s="48" t="str">
        <f>IFERROR(MINUS(DIVIDE(VLOOKUP($B1240,Data!$B$3:$EZ1530,9,FALSE),VLOOKUP($B1240,Data!$B$3:$EZ1530,10,FALSE)),1),"")</f>
        <v/>
      </c>
      <c r="J1240" s="48">
        <f>IFERROR(MINUS(DIVIDE(VLOOKUP($B1240,Data!$B$3:$EZ1530,24,FALSE),VLOOKUP($B1240,Data!$B$3:$EZ1530,25,FALSE)),1),"")</f>
        <v>-1</v>
      </c>
      <c r="K1240" s="48">
        <f>IFERROR(MINUS(DIVIDE(VLOOKUP($B1240,Data!$B$3:$EZ1530,29,FALSE),VLOOKUP($B1240,Data!$B$3:$EZ1530,30,FALSE)),1),"")</f>
        <v>0.3851066918</v>
      </c>
      <c r="L1240" s="48">
        <f>IFERROR(MINUS(DIVIDE(VLOOKUP($B1240,Data!$B$3:$EZ1530,34,FALSE),VLOOKUP($B1240,Data!$B$3:$EZ1530,35,FALSE)),1),"")</f>
        <v>0.3929013619</v>
      </c>
      <c r="M1240" s="48">
        <f>IFERROR(MINUS(DIVIDE(VLOOKUP($B1240,Data!$B$3:$EZ1530,39,FALSE),VLOOKUP($B1240,Data!$B$3:$EZ1530,40,FALSE)),1),"")</f>
        <v>0.393092346</v>
      </c>
      <c r="N1240" s="48">
        <f>IFERROR(MINUS(DIVIDE(VLOOKUP($B1240,Data!$B$3:$EZ1530,44,FALSE),VLOOKUP($B1240,Data!$B$3:$EZ1530,45,FALSE)),1),"")</f>
        <v>-4.886944818</v>
      </c>
      <c r="O1240" s="50">
        <f>IFERROR(VLOOKUP($B1240,Data!$B$3:$D1530,2,FALSE),"")</f>
        <v>120840</v>
      </c>
      <c r="P1240" s="50">
        <f>IFERROR(VLOOKUP($B1240,Data!$B$3:$D1530,3,FALSE),"")</f>
        <v>91910</v>
      </c>
      <c r="Q1240" s="48">
        <f t="shared" si="2"/>
        <v>0.3147644435</v>
      </c>
      <c r="R1240" s="48"/>
      <c r="S1240" s="48"/>
      <c r="T1240" s="48"/>
      <c r="U1240" s="48"/>
      <c r="V1240" s="48"/>
      <c r="W1240" s="50"/>
      <c r="Z1240" s="15"/>
      <c r="AA1240" s="15"/>
    </row>
    <row r="1241">
      <c r="A1241" s="9">
        <f t="shared" si="1"/>
        <v>1238</v>
      </c>
      <c r="B1241" s="47" t="s">
        <v>1375</v>
      </c>
      <c r="C1241" s="48">
        <f>IFERROR(DIVIDE(VLOOKUP($B1241,Data!$B$3:$AB$1535,9,FALSE),VLOOKUP($B1241,Data!$B$3:$AB$1535,4,FALSE)),"")</f>
        <v>0.1803303505</v>
      </c>
      <c r="D1241" s="48">
        <f>IFERROR(DIVIDE(VLOOKUP($B1241,Data!$B$3:$AB$1535,24,FALSE),VLOOKUP($B1241,Data!$B$3:$AB$1535,4,FALSE)),"")</f>
        <v>0.07076296845</v>
      </c>
      <c r="E1241" s="48">
        <f>IFERROR(DIVIDE(VLOOKUP($B1241,Data!$B$3:$EZ1530,29,FALSE),VLOOKUP($B1241,Data!$B$3:$EZ1530,4,FALSE)),"")</f>
        <v>0.04627262329</v>
      </c>
      <c r="F1241" s="48">
        <f>IFERROR(DIVIDE(VLOOKUP($B1241,Data!$B$3:$EZ1530,34,FALSE),VLOOKUP($B1241,Data!$B$3:$EZ1530,4,FALSE)),"")</f>
        <v>0.1389019713</v>
      </c>
      <c r="G1241" s="48">
        <f>IFERROR(DIVIDE(VLOOKUP($B1241,Data!$B$3:$EZ1530,39,FALSE),VLOOKUP($B1241,Data!$B$3:$EZ1530,4,FALSE)),"")</f>
        <v>0.03335463904</v>
      </c>
      <c r="H1241" s="48">
        <f>IFERROR(DIVIDE(VLOOKUP($B1241,Data!$B$3:$EZ1530,44,FALSE),VLOOKUP($B1241,Data!$B$3:$EZ1530,4,FALSE)),"")</f>
        <v>0.2134158649</v>
      </c>
      <c r="I1241" s="48">
        <f>IFERROR(MINUS(DIVIDE(VLOOKUP($B1241,Data!$B$3:$EZ1530,9,FALSE),VLOOKUP($B1241,Data!$B$3:$EZ1530,10,FALSE)),1),"")</f>
        <v>0.09812557615</v>
      </c>
      <c r="J1241" s="48">
        <f>IFERROR(MINUS(DIVIDE(VLOOKUP($B1241,Data!$B$3:$EZ1530,24,FALSE),VLOOKUP($B1241,Data!$B$3:$EZ1530,25,FALSE)),1),"")</f>
        <v>-0.06198439242</v>
      </c>
      <c r="K1241" s="48">
        <f>IFERROR(MINUS(DIVIDE(VLOOKUP($B1241,Data!$B$3:$EZ1530,29,FALSE),VLOOKUP($B1241,Data!$B$3:$EZ1530,30,FALSE)),1),"")</f>
        <v>-0.1071080818</v>
      </c>
      <c r="L1241" s="48">
        <f>IFERROR(MINUS(DIVIDE(VLOOKUP($B1241,Data!$B$3:$EZ1530,34,FALSE),VLOOKUP($B1241,Data!$B$3:$EZ1530,35,FALSE)),1),"")</f>
        <v>0.1173048302</v>
      </c>
      <c r="M1241" s="48">
        <f>IFERROR(MINUS(DIVIDE(VLOOKUP($B1241,Data!$B$3:$EZ1530,39,FALSE),VLOOKUP($B1241,Data!$B$3:$EZ1530,40,FALSE)),1),"")</f>
        <v>0.3063241107</v>
      </c>
      <c r="N1241" s="48">
        <f>IFERROR(MINUS(DIVIDE(VLOOKUP($B1241,Data!$B$3:$EZ1530,44,FALSE),VLOOKUP($B1241,Data!$B$3:$EZ1530,45,FALSE)),1),"")</f>
        <v>0.4857142857</v>
      </c>
      <c r="O1241" s="50">
        <f>IFERROR(VLOOKUP($B1241,Data!$B$3:$D1530,2,FALSE),"")</f>
        <v>702190</v>
      </c>
      <c r="P1241" s="50">
        <f>IFERROR(VLOOKUP($B1241,Data!$B$3:$D1530,3,FALSE),"")</f>
        <v>526250</v>
      </c>
      <c r="Q1241" s="48">
        <f t="shared" si="2"/>
        <v>0.334327791</v>
      </c>
      <c r="R1241" s="48"/>
      <c r="S1241" s="48"/>
      <c r="T1241" s="48"/>
      <c r="U1241" s="48"/>
      <c r="V1241" s="48"/>
      <c r="W1241" s="50"/>
      <c r="Z1241" s="11"/>
      <c r="AA1241" s="11"/>
    </row>
    <row r="1242">
      <c r="A1242" s="9">
        <f t="shared" si="1"/>
        <v>1239</v>
      </c>
      <c r="B1242" s="47" t="s">
        <v>1376</v>
      </c>
      <c r="C1242" s="48">
        <f>IFERROR(DIVIDE(VLOOKUP($B1242,Data!$B$3:$AB$1535,9,FALSE),VLOOKUP($B1242,Data!$B$3:$AB$1535,4,FALSE)),"")</f>
        <v>0.3708268156</v>
      </c>
      <c r="D1242" s="48">
        <f>IFERROR(DIVIDE(VLOOKUP($B1242,Data!$B$3:$AB$1535,24,FALSE),VLOOKUP($B1242,Data!$B$3:$AB$1535,4,FALSE)),"")</f>
        <v>0.09878212291</v>
      </c>
      <c r="E1242" s="48">
        <f>IFERROR(DIVIDE(VLOOKUP($B1242,Data!$B$3:$EZ1530,29,FALSE),VLOOKUP($B1242,Data!$B$3:$EZ1530,4,FALSE)),"")</f>
        <v>0.1012458101</v>
      </c>
      <c r="F1242" s="48">
        <f>IFERROR(DIVIDE(VLOOKUP($B1242,Data!$B$3:$EZ1530,34,FALSE),VLOOKUP($B1242,Data!$B$3:$EZ1530,4,FALSE)),"")</f>
        <v>0.1184860335</v>
      </c>
      <c r="G1242" s="48">
        <f>IFERROR(DIVIDE(VLOOKUP($B1242,Data!$B$3:$EZ1530,39,FALSE),VLOOKUP($B1242,Data!$B$3:$EZ1530,4,FALSE)),"")</f>
        <v>0.07894413408</v>
      </c>
      <c r="H1242" s="48">
        <f>IFERROR(DIVIDE(VLOOKUP($B1242,Data!$B$3:$EZ1530,44,FALSE),VLOOKUP($B1242,Data!$B$3:$EZ1530,4,FALSE)),"")</f>
        <v>0.130603352</v>
      </c>
      <c r="I1242" s="48">
        <f>IFERROR(MINUS(DIVIDE(VLOOKUP($B1242,Data!$B$3:$EZ1530,9,FALSE),VLOOKUP($B1242,Data!$B$3:$EZ1530,10,FALSE)),1),"")</f>
        <v>0.07329614358</v>
      </c>
      <c r="J1242" s="48">
        <f>IFERROR(MINUS(DIVIDE(VLOOKUP($B1242,Data!$B$3:$EZ1530,24,FALSE),VLOOKUP($B1242,Data!$B$3:$EZ1530,25,FALSE)),1),"")</f>
        <v>-48.02659574</v>
      </c>
      <c r="K1242" s="48">
        <f>IFERROR(MINUS(DIVIDE(VLOOKUP($B1242,Data!$B$3:$EZ1530,29,FALSE),VLOOKUP($B1242,Data!$B$3:$EZ1530,30,FALSE)),1),"")</f>
        <v>0.02193526559</v>
      </c>
      <c r="L1242" s="48">
        <f>IFERROR(MINUS(DIVIDE(VLOOKUP($B1242,Data!$B$3:$EZ1530,34,FALSE),VLOOKUP($B1242,Data!$B$3:$EZ1530,35,FALSE)),1),"")</f>
        <v>0.06615392349</v>
      </c>
      <c r="M1242" s="48">
        <f>IFERROR(MINUS(DIVIDE(VLOOKUP($B1242,Data!$B$3:$EZ1530,39,FALSE),VLOOKUP($B1242,Data!$B$3:$EZ1530,40,FALSE)),1),"")</f>
        <v>0.09423881059</v>
      </c>
      <c r="N1242" s="48">
        <f>IFERROR(MINUS(DIVIDE(VLOOKUP($B1242,Data!$B$3:$EZ1530,44,FALSE),VLOOKUP($B1242,Data!$B$3:$EZ1530,45,FALSE)),1),"")</f>
        <v>0.5143153258</v>
      </c>
      <c r="O1242" s="50">
        <f>IFERROR(VLOOKUP($B1242,Data!$B$3:$D1530,2,FALSE),"")</f>
        <v>1590000</v>
      </c>
      <c r="P1242" s="50">
        <f>IFERROR(VLOOKUP($B1242,Data!$B$3:$D1530,3,FALSE),"")</f>
        <v>1160000</v>
      </c>
      <c r="Q1242" s="48">
        <f t="shared" si="2"/>
        <v>0.3706896552</v>
      </c>
      <c r="R1242" s="48"/>
      <c r="S1242" s="48"/>
      <c r="T1242" s="48"/>
      <c r="U1242" s="48"/>
      <c r="V1242" s="48"/>
      <c r="W1242" s="50"/>
      <c r="Z1242" s="11"/>
      <c r="AA1242" s="11"/>
    </row>
    <row r="1243">
      <c r="A1243" s="9">
        <f t="shared" si="1"/>
        <v>1240</v>
      </c>
      <c r="B1243" s="47" t="s">
        <v>1377</v>
      </c>
      <c r="C1243" s="48">
        <f>IFERROR(DIVIDE(VLOOKUP($B1243,Data!$B$3:$AB$1535,9,FALSE),VLOOKUP($B1243,Data!$B$3:$AB$1535,4,FALSE)),"")</f>
        <v>0.4424581006</v>
      </c>
      <c r="D1243" s="48">
        <f>IFERROR(DIVIDE(VLOOKUP($B1243,Data!$B$3:$AB$1535,24,FALSE),VLOOKUP($B1243,Data!$B$3:$AB$1535,4,FALSE)),"")</f>
        <v>0.1296089385</v>
      </c>
      <c r="E1243" s="48">
        <f>IFERROR(DIVIDE(VLOOKUP($B1243,Data!$B$3:$EZ1530,29,FALSE),VLOOKUP($B1243,Data!$B$3:$EZ1530,4,FALSE)),"")</f>
        <v>0.1106145251</v>
      </c>
      <c r="F1243" s="48">
        <f>IFERROR(DIVIDE(VLOOKUP($B1243,Data!$B$3:$EZ1530,34,FALSE),VLOOKUP($B1243,Data!$B$3:$EZ1530,4,FALSE)),"")</f>
        <v>0.1899441341</v>
      </c>
      <c r="G1243" s="48">
        <f>IFERROR(DIVIDE(VLOOKUP($B1243,Data!$B$3:$EZ1530,39,FALSE),VLOOKUP($B1243,Data!$B$3:$EZ1530,4,FALSE)),"")</f>
        <v>0.08603351955</v>
      </c>
      <c r="H1243" s="48">
        <f>IFERROR(DIVIDE(VLOOKUP($B1243,Data!$B$3:$EZ1530,44,FALSE),VLOOKUP($B1243,Data!$B$3:$EZ1530,4,FALSE)),"")</f>
        <v>0.1502793296</v>
      </c>
      <c r="I1243" s="48">
        <f>IFERROR(MINUS(DIVIDE(VLOOKUP($B1243,Data!$B$3:$EZ1530,9,FALSE),VLOOKUP($B1243,Data!$B$3:$EZ1530,10,FALSE)),1),"")</f>
        <v>0.1186440678</v>
      </c>
      <c r="J1243" s="48">
        <f>IFERROR(MINUS(DIVIDE(VLOOKUP($B1243,Data!$B$3:$EZ1530,24,FALSE),VLOOKUP($B1243,Data!$B$3:$EZ1530,25,FALSE)),1),"")</f>
        <v>0.3257142857</v>
      </c>
      <c r="K1243" s="48">
        <f>IFERROR(MINUS(DIVIDE(VLOOKUP($B1243,Data!$B$3:$EZ1530,29,FALSE),VLOOKUP($B1243,Data!$B$3:$EZ1530,30,FALSE)),1),"")</f>
        <v>0.4558823529</v>
      </c>
      <c r="L1243" s="48">
        <f>IFERROR(MINUS(DIVIDE(VLOOKUP($B1243,Data!$B$3:$EZ1530,34,FALSE),VLOOKUP($B1243,Data!$B$3:$EZ1530,35,FALSE)),1),"")</f>
        <v>0.2781954887</v>
      </c>
      <c r="M1243" s="48">
        <f>IFERROR(MINUS(DIVIDE(VLOOKUP($B1243,Data!$B$3:$EZ1530,39,FALSE),VLOOKUP($B1243,Data!$B$3:$EZ1530,40,FALSE)),1),"")</f>
        <v>0.3873873874</v>
      </c>
      <c r="N1243" s="48">
        <f>IFERROR(MINUS(DIVIDE(VLOOKUP($B1243,Data!$B$3:$EZ1530,44,FALSE),VLOOKUP($B1243,Data!$B$3:$EZ1530,45,FALSE)),1),"")</f>
        <v>0.3865979381</v>
      </c>
      <c r="O1243" s="50">
        <f>IFERROR(VLOOKUP($B1243,Data!$B$3:$D1530,2,FALSE),"")</f>
        <v>18330000</v>
      </c>
      <c r="P1243" s="50">
        <f>IFERROR(VLOOKUP($B1243,Data!$B$3:$D1530,3,FALSE),"")</f>
        <v>17440000</v>
      </c>
      <c r="Q1243" s="48">
        <f t="shared" si="2"/>
        <v>0.05103211009</v>
      </c>
      <c r="R1243" s="48"/>
      <c r="S1243" s="48"/>
      <c r="T1243" s="48"/>
      <c r="U1243" s="48"/>
      <c r="V1243" s="48"/>
      <c r="W1243" s="50"/>
      <c r="Z1243" s="15"/>
      <c r="AA1243" s="15"/>
    </row>
    <row r="1244">
      <c r="A1244" s="9">
        <f t="shared" si="1"/>
        <v>1241</v>
      </c>
      <c r="B1244" s="47" t="s">
        <v>1378</v>
      </c>
      <c r="C1244" s="48">
        <f>IFERROR(DIVIDE(VLOOKUP($B1244,Data!$B$3:$AB$1535,9,FALSE),VLOOKUP($B1244,Data!$B$3:$AB$1535,4,FALSE)),"")</f>
        <v>0.3128930818</v>
      </c>
      <c r="D1244" s="48">
        <f>IFERROR(DIVIDE(VLOOKUP($B1244,Data!$B$3:$AB$1535,24,FALSE),VLOOKUP($B1244,Data!$B$3:$AB$1535,4,FALSE)),"")</f>
        <v>0.1686320755</v>
      </c>
      <c r="E1244" s="48">
        <f>IFERROR(DIVIDE(VLOOKUP($B1244,Data!$B$3:$EZ1530,29,FALSE),VLOOKUP($B1244,Data!$B$3:$EZ1530,4,FALSE)),"")</f>
        <v>0.05070754717</v>
      </c>
      <c r="F1244" s="48">
        <f>IFERROR(DIVIDE(VLOOKUP($B1244,Data!$B$3:$EZ1530,34,FALSE),VLOOKUP($B1244,Data!$B$3:$EZ1530,4,FALSE)),"")</f>
        <v>0.233490566</v>
      </c>
      <c r="G1244" s="48">
        <f>IFERROR(DIVIDE(VLOOKUP($B1244,Data!$B$3:$EZ1530,39,FALSE),VLOOKUP($B1244,Data!$B$3:$EZ1530,4,FALSE)),"")</f>
        <v>0.07036163522</v>
      </c>
      <c r="H1244" s="48">
        <f>IFERROR(DIVIDE(VLOOKUP($B1244,Data!$B$3:$EZ1530,44,FALSE),VLOOKUP($B1244,Data!$B$3:$EZ1530,4,FALSE)),"")</f>
        <v>0.1914308176</v>
      </c>
      <c r="I1244" s="48">
        <f>IFERROR(MINUS(DIVIDE(VLOOKUP($B1244,Data!$B$3:$EZ1530,9,FALSE),VLOOKUP($B1244,Data!$B$3:$EZ1530,10,FALSE)),1),"")</f>
        <v>0.1916167665</v>
      </c>
      <c r="J1244" s="48">
        <f>IFERROR(MINUS(DIVIDE(VLOOKUP($B1244,Data!$B$3:$EZ1530,24,FALSE),VLOOKUP($B1244,Data!$B$3:$EZ1530,25,FALSE)),1),"")</f>
        <v>0.2580645161</v>
      </c>
      <c r="K1244" s="48">
        <f>IFERROR(MINUS(DIVIDE(VLOOKUP($B1244,Data!$B$3:$EZ1530,29,FALSE),VLOOKUP($B1244,Data!$B$3:$EZ1530,30,FALSE)),1),"")</f>
        <v>-0.757518797</v>
      </c>
      <c r="L1244" s="48">
        <f>IFERROR(MINUS(DIVIDE(VLOOKUP($B1244,Data!$B$3:$EZ1530,34,FALSE),VLOOKUP($B1244,Data!$B$3:$EZ1530,35,FALSE)),1),"")</f>
        <v>0.212244898</v>
      </c>
      <c r="M1244" s="48">
        <f>IFERROR(MINUS(DIVIDE(VLOOKUP($B1244,Data!$B$3:$EZ1530,39,FALSE),VLOOKUP($B1244,Data!$B$3:$EZ1530,40,FALSE)),1),"")</f>
        <v>-0.6469428008</v>
      </c>
      <c r="N1244" s="48">
        <f>IFERROR(MINUS(DIVIDE(VLOOKUP($B1244,Data!$B$3:$EZ1530,44,FALSE),VLOOKUP($B1244,Data!$B$3:$EZ1530,45,FALSE)),1),"")</f>
        <v>1.20361991</v>
      </c>
      <c r="O1244" s="50">
        <f>IFERROR(VLOOKUP($B1244,Data!$B$3:$D1530,2,FALSE),"")</f>
        <v>26080000</v>
      </c>
      <c r="P1244" s="50">
        <f>IFERROR(VLOOKUP($B1244,Data!$B$3:$D1530,3,FALSE),"")</f>
        <v>23870000</v>
      </c>
      <c r="Q1244" s="48">
        <f t="shared" si="2"/>
        <v>0.09258483452</v>
      </c>
      <c r="R1244" s="48"/>
      <c r="S1244" s="48"/>
      <c r="T1244" s="48"/>
      <c r="U1244" s="48"/>
      <c r="V1244" s="48"/>
      <c r="W1244" s="50"/>
      <c r="Z1244" s="15"/>
      <c r="AA1244" s="15"/>
    </row>
    <row r="1245">
      <c r="A1245" s="9">
        <f t="shared" si="1"/>
        <v>1242</v>
      </c>
      <c r="B1245" s="47" t="s">
        <v>1379</v>
      </c>
      <c r="C1245" s="48">
        <f>IFERROR(DIVIDE(VLOOKUP($B1245,Data!$B$3:$AB$1535,9,FALSE),VLOOKUP($B1245,Data!$B$3:$AB$1535,4,FALSE)),"")</f>
        <v>0.2985607369</v>
      </c>
      <c r="D1245" s="48">
        <f>IFERROR(DIVIDE(VLOOKUP($B1245,Data!$B$3:$AB$1535,24,FALSE),VLOOKUP($B1245,Data!$B$3:$AB$1535,4,FALSE)),"")</f>
        <v>0</v>
      </c>
      <c r="E1245" s="48">
        <f>IFERROR(DIVIDE(VLOOKUP($B1245,Data!$B$3:$EZ1530,29,FALSE),VLOOKUP($B1245,Data!$B$3:$EZ1530,4,FALSE)),"")</f>
        <v>0.08428324698</v>
      </c>
      <c r="F1245" s="48">
        <f>IFERROR(DIVIDE(VLOOKUP($B1245,Data!$B$3:$EZ1530,34,FALSE),VLOOKUP($B1245,Data!$B$3:$EZ1530,4,FALSE)),"")</f>
        <v>0.1198618307</v>
      </c>
      <c r="G1245" s="48">
        <f>IFERROR(DIVIDE(VLOOKUP($B1245,Data!$B$3:$EZ1530,39,FALSE),VLOOKUP($B1245,Data!$B$3:$EZ1530,4,FALSE)),"")</f>
        <v>0.0595279217</v>
      </c>
      <c r="H1245" s="48">
        <f>IFERROR(DIVIDE(VLOOKUP($B1245,Data!$B$3:$EZ1530,44,FALSE),VLOOKUP($B1245,Data!$B$3:$EZ1530,4,FALSE)),"")</f>
        <v>0.08439838803</v>
      </c>
      <c r="I1245" s="48">
        <f>IFERROR(MINUS(DIVIDE(VLOOKUP($B1245,Data!$B$3:$EZ1530,9,FALSE),VLOOKUP($B1245,Data!$B$3:$EZ1530,10,FALSE)),1),"")</f>
        <v>0.04304102977</v>
      </c>
      <c r="J1245" s="48" t="str">
        <f>IFERROR(MINUS(DIVIDE(VLOOKUP($B1245,Data!$B$3:$EZ1530,24,FALSE),VLOOKUP($B1245,Data!$B$3:$EZ1530,25,FALSE)),1),"")</f>
        <v/>
      </c>
      <c r="K1245" s="48">
        <f>IFERROR(MINUS(DIVIDE(VLOOKUP($B1245,Data!$B$3:$EZ1530,29,FALSE),VLOOKUP($B1245,Data!$B$3:$EZ1530,30,FALSE)),1),"")</f>
        <v>-0.09068322981</v>
      </c>
      <c r="L1245" s="48">
        <f>IFERROR(MINUS(DIVIDE(VLOOKUP($B1245,Data!$B$3:$EZ1530,34,FALSE),VLOOKUP($B1245,Data!$B$3:$EZ1530,35,FALSE)),1),"")</f>
        <v>0.06441717791</v>
      </c>
      <c r="M1245" s="48">
        <f>IFERROR(MINUS(DIVIDE(VLOOKUP($B1245,Data!$B$3:$EZ1530,39,FALSE),VLOOKUP($B1245,Data!$B$3:$EZ1530,40,FALSE)),1),"")</f>
        <v>-0.08978873239</v>
      </c>
      <c r="N1245" s="48">
        <f>IFERROR(MINUS(DIVIDE(VLOOKUP($B1245,Data!$B$3:$EZ1530,44,FALSE),VLOOKUP($B1245,Data!$B$3:$EZ1530,45,FALSE)),1),"")</f>
        <v>-0.01212938005</v>
      </c>
      <c r="O1245" s="50">
        <f>IFERROR(VLOOKUP($B1245,Data!$B$3:$D1530,2,FALSE),"")</f>
        <v>91860000</v>
      </c>
      <c r="P1245" s="50">
        <f>IFERROR(VLOOKUP($B1245,Data!$B$3:$D1530,3,FALSE),"")</f>
        <v>86880000</v>
      </c>
      <c r="Q1245" s="48">
        <f t="shared" si="2"/>
        <v>0.05732044199</v>
      </c>
      <c r="R1245" s="48"/>
      <c r="S1245" s="48"/>
      <c r="T1245" s="48"/>
      <c r="U1245" s="48"/>
      <c r="V1245" s="48"/>
      <c r="W1245" s="50"/>
      <c r="Z1245" s="15"/>
      <c r="AA1245" s="15"/>
    </row>
    <row r="1246">
      <c r="A1246" s="9">
        <f t="shared" si="1"/>
        <v>1243</v>
      </c>
      <c r="B1246" s="47" t="s">
        <v>1380</v>
      </c>
      <c r="C1246" s="48">
        <f>IFERROR(DIVIDE(VLOOKUP($B1246,Data!$B$3:$AB$1535,9,FALSE),VLOOKUP($B1246,Data!$B$3:$AB$1535,4,FALSE)),"")</f>
        <v>0.3631921824</v>
      </c>
      <c r="D1246" s="48">
        <f>IFERROR(DIVIDE(VLOOKUP($B1246,Data!$B$3:$AB$1535,24,FALSE),VLOOKUP($B1246,Data!$B$3:$AB$1535,4,FALSE)),"")</f>
        <v>0.02964169381</v>
      </c>
      <c r="E1246" s="48">
        <f>IFERROR(DIVIDE(VLOOKUP($B1246,Data!$B$3:$EZ1530,29,FALSE),VLOOKUP($B1246,Data!$B$3:$EZ1530,4,FALSE)),"")</f>
        <v>0.0211237785</v>
      </c>
      <c r="F1246" s="48">
        <f>IFERROR(DIVIDE(VLOOKUP($B1246,Data!$B$3:$EZ1530,34,FALSE),VLOOKUP($B1246,Data!$B$3:$EZ1530,4,FALSE)),"")</f>
        <v>0.07978827362</v>
      </c>
      <c r="G1246" s="48">
        <f>IFERROR(DIVIDE(VLOOKUP($B1246,Data!$B$3:$EZ1530,39,FALSE),VLOOKUP($B1246,Data!$B$3:$EZ1530,4,FALSE)),"")</f>
        <v>0.01718241042</v>
      </c>
      <c r="H1246" s="48">
        <f>IFERROR(DIVIDE(VLOOKUP($B1246,Data!$B$3:$EZ1530,44,FALSE),VLOOKUP($B1246,Data!$B$3:$EZ1530,4,FALSE)),"")</f>
        <v>0.09050488599</v>
      </c>
      <c r="I1246" s="48">
        <f>IFERROR(MINUS(DIVIDE(VLOOKUP($B1246,Data!$B$3:$EZ1530,9,FALSE),VLOOKUP($B1246,Data!$B$3:$EZ1530,10,FALSE)),1),"")</f>
        <v>0.004504504505</v>
      </c>
      <c r="J1246" s="48">
        <f>IFERROR(MINUS(DIVIDE(VLOOKUP($B1246,Data!$B$3:$EZ1530,24,FALSE),VLOOKUP($B1246,Data!$B$3:$EZ1530,25,FALSE)),1),"")</f>
        <v>-1.225722436</v>
      </c>
      <c r="K1246" s="48">
        <f>IFERROR(MINUS(DIVIDE(VLOOKUP($B1246,Data!$B$3:$EZ1530,29,FALSE),VLOOKUP($B1246,Data!$B$3:$EZ1530,30,FALSE)),1),"")</f>
        <v>-1.161599801</v>
      </c>
      <c r="L1246" s="48">
        <f>IFERROR(MINUS(DIVIDE(VLOOKUP($B1246,Data!$B$3:$EZ1530,34,FALSE),VLOOKUP($B1246,Data!$B$3:$EZ1530,35,FALSE)),1),"")</f>
        <v>0.1850507983</v>
      </c>
      <c r="M1246" s="48">
        <f>IFERROR(MINUS(DIVIDE(VLOOKUP($B1246,Data!$B$3:$EZ1530,39,FALSE),VLOOKUP($B1246,Data!$B$3:$EZ1530,40,FALSE)),1),"")</f>
        <v>-1.160480681</v>
      </c>
      <c r="N1246" s="48">
        <f>IFERROR(MINUS(DIVIDE(VLOOKUP($B1246,Data!$B$3:$EZ1530,44,FALSE),VLOOKUP($B1246,Data!$B$3:$EZ1530,45,FALSE)),1),"")</f>
        <v>-0.2035258707</v>
      </c>
      <c r="O1246" s="50">
        <f>IFERROR(VLOOKUP($B1246,Data!$B$3:$D1530,2,FALSE),"")</f>
        <v>5200000</v>
      </c>
      <c r="P1246" s="50">
        <f>IFERROR(VLOOKUP($B1246,Data!$B$3:$D1530,3,FALSE),"")</f>
        <v>4620000</v>
      </c>
      <c r="Q1246" s="48">
        <f t="shared" si="2"/>
        <v>0.1255411255</v>
      </c>
      <c r="R1246" s="48"/>
      <c r="S1246" s="48"/>
      <c r="T1246" s="48"/>
      <c r="U1246" s="48"/>
      <c r="V1246" s="48"/>
      <c r="W1246" s="50"/>
      <c r="Z1246" s="15"/>
      <c r="AA1246" s="15"/>
    </row>
    <row r="1247">
      <c r="A1247" s="9">
        <f t="shared" si="1"/>
        <v>1244</v>
      </c>
      <c r="B1247" s="47" t="s">
        <v>1381</v>
      </c>
      <c r="C1247" s="48">
        <f>IFERROR(DIVIDE(VLOOKUP($B1247,Data!$B$3:$AB$1535,9,FALSE),VLOOKUP($B1247,Data!$B$3:$AB$1535,4,FALSE)),"")</f>
        <v>0.9334330591</v>
      </c>
      <c r="D1247" s="48">
        <f>IFERROR(DIVIDE(VLOOKUP($B1247,Data!$B$3:$AB$1535,24,FALSE),VLOOKUP($B1247,Data!$B$3:$AB$1535,4,FALSE)),"")</f>
        <v>0.1035901272</v>
      </c>
      <c r="E1247" s="48">
        <f>IFERROR(DIVIDE(VLOOKUP($B1247,Data!$B$3:$EZ1530,29,FALSE),VLOOKUP($B1247,Data!$B$3:$EZ1530,4,FALSE)),"")</f>
        <v>-0.3807030666</v>
      </c>
      <c r="F1247" s="48">
        <f>IFERROR(DIVIDE(VLOOKUP($B1247,Data!$B$3:$EZ1530,34,FALSE),VLOOKUP($B1247,Data!$B$3:$EZ1530,4,FALSE)),"")</f>
        <v>-0.06544502618</v>
      </c>
      <c r="G1247" s="48">
        <f>IFERROR(DIVIDE(VLOOKUP($B1247,Data!$B$3:$EZ1530,39,FALSE),VLOOKUP($B1247,Data!$B$3:$EZ1530,4,FALSE)),"")</f>
        <v>-0.2707554226</v>
      </c>
      <c r="H1247" s="48">
        <f>IFERROR(DIVIDE(VLOOKUP($B1247,Data!$B$3:$EZ1530,44,FALSE),VLOOKUP($B1247,Data!$B$3:$EZ1530,4,FALSE)),"")</f>
        <v>-0.6806282723</v>
      </c>
      <c r="I1247" s="48">
        <f>IFERROR(MINUS(DIVIDE(VLOOKUP($B1247,Data!$B$3:$EZ1530,9,FALSE),VLOOKUP($B1247,Data!$B$3:$EZ1530,10,FALSE)),1),"")</f>
        <v>-0.9346220336</v>
      </c>
      <c r="J1247" s="48">
        <f>IFERROR(MINUS(DIVIDE(VLOOKUP($B1247,Data!$B$3:$EZ1530,24,FALSE),VLOOKUP($B1247,Data!$B$3:$EZ1530,25,FALSE)),1),"")</f>
        <v>-0.9920443449</v>
      </c>
      <c r="K1247" s="48">
        <f>IFERROR(MINUS(DIVIDE(VLOOKUP($B1247,Data!$B$3:$EZ1530,29,FALSE),VLOOKUP($B1247,Data!$B$3:$EZ1530,30,FALSE)),1),"")</f>
        <v>-1.024730347</v>
      </c>
      <c r="L1247" s="48">
        <f>IFERROR(MINUS(DIVIDE(VLOOKUP($B1247,Data!$B$3:$EZ1530,34,FALSE),VLOOKUP($B1247,Data!$B$3:$EZ1530,35,FALSE)),1),"")</f>
        <v>-1.004926802</v>
      </c>
      <c r="M1247" s="48">
        <f>IFERROR(MINUS(DIVIDE(VLOOKUP($B1247,Data!$B$3:$EZ1530,39,FALSE),VLOOKUP($B1247,Data!$B$3:$EZ1530,40,FALSE)),1),"")</f>
        <v>-1.017164126</v>
      </c>
      <c r="N1247" s="48">
        <f>IFERROR(MINUS(DIVIDE(VLOOKUP($B1247,Data!$B$3:$EZ1530,44,FALSE),VLOOKUP($B1247,Data!$B$3:$EZ1530,45,FALSE)),1),"")</f>
        <v>-1.264266008</v>
      </c>
      <c r="O1247" s="50" t="str">
        <f>IFERROR(VLOOKUP($B1247,Data!$B$3:$D1530,2,FALSE),"")</f>
        <v/>
      </c>
      <c r="P1247" s="50" t="str">
        <f>IFERROR(VLOOKUP($B1247,Data!$B$3:$D1530,3,FALSE),"")</f>
        <v/>
      </c>
      <c r="Q1247" s="48" t="str">
        <f t="shared" si="2"/>
        <v/>
      </c>
      <c r="R1247" s="48"/>
      <c r="S1247" s="48"/>
      <c r="T1247" s="48"/>
      <c r="U1247" s="48"/>
      <c r="V1247" s="48"/>
      <c r="W1247" s="50"/>
      <c r="Z1247" s="11"/>
      <c r="AA1247" s="11"/>
    </row>
    <row r="1248">
      <c r="A1248" s="9">
        <f t="shared" si="1"/>
        <v>1245</v>
      </c>
      <c r="B1248" s="47" t="s">
        <v>1382</v>
      </c>
      <c r="C1248" s="48">
        <f>IFERROR(DIVIDE(VLOOKUP($B1248,Data!$B$3:$AB$1535,9,FALSE),VLOOKUP($B1248,Data!$B$3:$AB$1535,4,FALSE)),"")</f>
        <v>0.2467000455</v>
      </c>
      <c r="D1248" s="48">
        <f>IFERROR(DIVIDE(VLOOKUP($B1248,Data!$B$3:$AB$1535,24,FALSE),VLOOKUP($B1248,Data!$B$3:$AB$1535,4,FALSE)),"")</f>
        <v>-1.780458201</v>
      </c>
      <c r="E1248" s="48">
        <f>IFERROR(DIVIDE(VLOOKUP($B1248,Data!$B$3:$EZ1530,29,FALSE),VLOOKUP($B1248,Data!$B$3:$EZ1530,4,FALSE)),"")</f>
        <v>-1.817933546</v>
      </c>
      <c r="F1248" s="48">
        <f>IFERROR(DIVIDE(VLOOKUP($B1248,Data!$B$3:$EZ1530,34,FALSE),VLOOKUP($B1248,Data!$B$3:$EZ1530,4,FALSE)),"")</f>
        <v>-1.456531634</v>
      </c>
      <c r="G1248" s="48">
        <f>IFERROR(DIVIDE(VLOOKUP($B1248,Data!$B$3:$EZ1530,39,FALSE),VLOOKUP($B1248,Data!$B$3:$EZ1530,4,FALSE)),"")</f>
        <v>-1.807009558</v>
      </c>
      <c r="H1248" s="48">
        <f>IFERROR(DIVIDE(VLOOKUP($B1248,Data!$B$3:$EZ1530,44,FALSE),VLOOKUP($B1248,Data!$B$3:$EZ1530,4,FALSE)),"")</f>
        <v>-0.3093612502</v>
      </c>
      <c r="I1248" s="48">
        <f>IFERROR(MINUS(DIVIDE(VLOOKUP($B1248,Data!$B$3:$EZ1530,9,FALSE),VLOOKUP($B1248,Data!$B$3:$EZ1530,10,FALSE)),1),"")</f>
        <v>-0.6351806148</v>
      </c>
      <c r="J1248" s="48">
        <f>IFERROR(MINUS(DIVIDE(VLOOKUP($B1248,Data!$B$3:$EZ1530,24,FALSE),VLOOKUP($B1248,Data!$B$3:$EZ1530,25,FALSE)),1),"")</f>
        <v>56.80788177</v>
      </c>
      <c r="K1248" s="48">
        <f>IFERROR(MINUS(DIVIDE(VLOOKUP($B1248,Data!$B$3:$EZ1530,29,FALSE),VLOOKUP($B1248,Data!$B$3:$EZ1530,30,FALSE)),1),"")</f>
        <v>3.325631769</v>
      </c>
      <c r="L1248" s="48">
        <f>IFERROR(MINUS(DIVIDE(VLOOKUP($B1248,Data!$B$3:$EZ1530,34,FALSE),VLOOKUP($B1248,Data!$B$3:$EZ1530,35,FALSE)),1),"")</f>
        <v>8.448818898</v>
      </c>
      <c r="M1248" s="48">
        <f>IFERROR(MINUS(DIVIDE(VLOOKUP($B1248,Data!$B$3:$EZ1530,39,FALSE),VLOOKUP($B1248,Data!$B$3:$EZ1530,40,FALSE)),1),"")</f>
        <v>2.560538117</v>
      </c>
      <c r="N1248" s="48">
        <f>IFERROR(MINUS(DIVIDE(VLOOKUP($B1248,Data!$B$3:$EZ1530,44,FALSE),VLOOKUP($B1248,Data!$B$3:$EZ1530,45,FALSE)),1),"")</f>
        <v>-2.739761092</v>
      </c>
      <c r="O1248" s="50" t="str">
        <f>IFERROR(VLOOKUP($B1248,Data!$B$3:$D1530,2,FALSE),"")</f>
        <v/>
      </c>
      <c r="P1248" s="50">
        <f>IFERROR(VLOOKUP($B1248,Data!$B$3:$D1530,3,FALSE),"")</f>
        <v>140000</v>
      </c>
      <c r="Q1248" s="48">
        <f t="shared" si="2"/>
        <v>-1</v>
      </c>
      <c r="R1248" s="48"/>
      <c r="S1248" s="48"/>
      <c r="T1248" s="48"/>
      <c r="U1248" s="48"/>
      <c r="V1248" s="48"/>
      <c r="W1248" s="50"/>
      <c r="Z1248" s="15"/>
      <c r="AA1248" s="15"/>
    </row>
    <row r="1249">
      <c r="A1249" s="9">
        <f t="shared" si="1"/>
        <v>1246</v>
      </c>
      <c r="B1249" s="47" t="s">
        <v>1383</v>
      </c>
      <c r="C1249" s="48">
        <f>IFERROR(DIVIDE(VLOOKUP($B1249,Data!$B$3:$AB$1535,9,FALSE),VLOOKUP($B1249,Data!$B$3:$AB$1535,4,FALSE)),"")</f>
        <v>0.7486977111</v>
      </c>
      <c r="D1249" s="48">
        <f>IFERROR(DIVIDE(VLOOKUP($B1249,Data!$B$3:$AB$1535,24,FALSE),VLOOKUP($B1249,Data!$B$3:$AB$1535,4,FALSE)),"")</f>
        <v>-0.7750591949</v>
      </c>
      <c r="E1249" s="48">
        <f>IFERROR(DIVIDE(VLOOKUP($B1249,Data!$B$3:$EZ1530,29,FALSE),VLOOKUP($B1249,Data!$B$3:$EZ1530,4,FALSE)),"")</f>
        <v>-0.8274664562</v>
      </c>
      <c r="F1249" s="48">
        <f>IFERROR(DIVIDE(VLOOKUP($B1249,Data!$B$3:$EZ1530,34,FALSE),VLOOKUP($B1249,Data!$B$3:$EZ1530,4,FALSE)),"")</f>
        <v>-0.4225730071</v>
      </c>
      <c r="G1249" s="48">
        <f>IFERROR(DIVIDE(VLOOKUP($B1249,Data!$B$3:$EZ1530,39,FALSE),VLOOKUP($B1249,Data!$B$3:$EZ1530,4,FALSE)),"")</f>
        <v>-0.8274664562</v>
      </c>
      <c r="H1249" s="48">
        <f>IFERROR(DIVIDE(VLOOKUP($B1249,Data!$B$3:$EZ1530,44,FALSE),VLOOKUP($B1249,Data!$B$3:$EZ1530,4,FALSE)),"")</f>
        <v>-0.4674033149</v>
      </c>
      <c r="I1249" s="48">
        <f>IFERROR(MINUS(DIVIDE(VLOOKUP($B1249,Data!$B$3:$EZ1530,9,FALSE),VLOOKUP($B1249,Data!$B$3:$EZ1530,10,FALSE)),1),"")</f>
        <v>1.002956081</v>
      </c>
      <c r="J1249" s="48">
        <f>IFERROR(MINUS(DIVIDE(VLOOKUP($B1249,Data!$B$3:$EZ1530,24,FALSE),VLOOKUP($B1249,Data!$B$3:$EZ1530,25,FALSE)),1),"")</f>
        <v>-5.122586062</v>
      </c>
      <c r="K1249" s="48">
        <f>IFERROR(MINUS(DIVIDE(VLOOKUP($B1249,Data!$B$3:$EZ1530,29,FALSE),VLOOKUP($B1249,Data!$B$3:$EZ1530,30,FALSE)),1),"")</f>
        <v>0.3930374701</v>
      </c>
      <c r="L1249" s="48">
        <f>IFERROR(MINUS(DIVIDE(VLOOKUP($B1249,Data!$B$3:$EZ1530,34,FALSE),VLOOKUP($B1249,Data!$B$3:$EZ1530,35,FALSE)),1),"")</f>
        <v>0.2820881226</v>
      </c>
      <c r="M1249" s="48">
        <f>IFERROR(MINUS(DIVIDE(VLOOKUP($B1249,Data!$B$3:$EZ1530,39,FALSE),VLOOKUP($B1249,Data!$B$3:$EZ1530,40,FALSE)),1),"")</f>
        <v>0.3930374701</v>
      </c>
      <c r="N1249" s="48">
        <f>IFERROR(MINUS(DIVIDE(VLOOKUP($B1249,Data!$B$3:$EZ1530,44,FALSE),VLOOKUP($B1249,Data!$B$3:$EZ1530,45,FALSE)),1),"")</f>
        <v>0.364516129</v>
      </c>
      <c r="O1249" s="50">
        <f>IFERROR(VLOOKUP($B1249,Data!$B$3:$D1530,2,FALSE),"")</f>
        <v>117040</v>
      </c>
      <c r="P1249" s="50">
        <f>IFERROR(VLOOKUP($B1249,Data!$B$3:$D1530,3,FALSE),"")</f>
        <v>76930</v>
      </c>
      <c r="Q1249" s="48">
        <f t="shared" si="2"/>
        <v>0.5213830755</v>
      </c>
      <c r="R1249" s="48"/>
      <c r="S1249" s="48"/>
      <c r="T1249" s="48"/>
      <c r="U1249" s="48"/>
      <c r="V1249" s="48"/>
      <c r="W1249" s="50"/>
      <c r="Z1249" s="12"/>
      <c r="AA1249" s="12"/>
    </row>
    <row r="1250">
      <c r="A1250" s="9">
        <f t="shared" si="1"/>
        <v>1247</v>
      </c>
      <c r="B1250" s="47" t="s">
        <v>1384</v>
      </c>
      <c r="C1250" s="48">
        <f>IFERROR(DIVIDE(VLOOKUP($B1250,Data!$B$3:$AB$1535,9,FALSE),VLOOKUP($B1250,Data!$B$3:$AB$1535,4,FALSE)),"")</f>
        <v>0.1199882938</v>
      </c>
      <c r="D1250" s="48">
        <f>IFERROR(DIVIDE(VLOOKUP($B1250,Data!$B$3:$AB$1535,24,FALSE),VLOOKUP($B1250,Data!$B$3:$AB$1535,4,FALSE)),"")</f>
        <v>0.07228563067</v>
      </c>
      <c r="E1250" s="48">
        <f>IFERROR(DIVIDE(VLOOKUP($B1250,Data!$B$3:$EZ1530,29,FALSE),VLOOKUP($B1250,Data!$B$3:$EZ1530,4,FALSE)),"")</f>
        <v>0.04799531753</v>
      </c>
      <c r="F1250" s="48">
        <f>IFERROR(DIVIDE(VLOOKUP($B1250,Data!$B$3:$EZ1530,34,FALSE),VLOOKUP($B1250,Data!$B$3:$EZ1530,4,FALSE)),"")</f>
        <v>0.1044776119</v>
      </c>
      <c r="G1250" s="48">
        <f>IFERROR(DIVIDE(VLOOKUP($B1250,Data!$B$3:$EZ1530,39,FALSE),VLOOKUP($B1250,Data!$B$3:$EZ1530,4,FALSE)),"")</f>
        <v>-0.04799531753</v>
      </c>
      <c r="H1250" s="48">
        <f>IFERROR(DIVIDE(VLOOKUP($B1250,Data!$B$3:$EZ1530,44,FALSE),VLOOKUP($B1250,Data!$B$3:$EZ1530,4,FALSE)),"")</f>
        <v>0.0330699444</v>
      </c>
      <c r="I1250" s="48">
        <f>IFERROR(MINUS(DIVIDE(VLOOKUP($B1250,Data!$B$3:$EZ1530,9,FALSE),VLOOKUP($B1250,Data!$B$3:$EZ1530,10,FALSE)),1),"")</f>
        <v>-0.1976516634</v>
      </c>
      <c r="J1250" s="48">
        <f>IFERROR(MINUS(DIVIDE(VLOOKUP($B1250,Data!$B$3:$EZ1530,24,FALSE),VLOOKUP($B1250,Data!$B$3:$EZ1530,25,FALSE)),1),"")</f>
        <v>384.3354134</v>
      </c>
      <c r="K1250" s="48">
        <f>IFERROR(MINUS(DIVIDE(VLOOKUP($B1250,Data!$B$3:$EZ1530,29,FALSE),VLOOKUP($B1250,Data!$B$3:$EZ1530,30,FALSE)),1),"")</f>
        <v>-0.6095238095</v>
      </c>
      <c r="L1250" s="48">
        <f>IFERROR(MINUS(DIVIDE(VLOOKUP($B1250,Data!$B$3:$EZ1530,34,FALSE),VLOOKUP($B1250,Data!$B$3:$EZ1530,35,FALSE)),1),"")</f>
        <v>-0.3081395349</v>
      </c>
      <c r="M1250" s="48">
        <f>IFERROR(MINUS(DIVIDE(VLOOKUP($B1250,Data!$B$3:$EZ1530,39,FALSE),VLOOKUP($B1250,Data!$B$3:$EZ1530,40,FALSE)),1),"")</f>
        <v>-1.449315068</v>
      </c>
      <c r="N1250" s="48">
        <f>IFERROR(MINUS(DIVIDE(VLOOKUP($B1250,Data!$B$3:$EZ1530,44,FALSE),VLOOKUP($B1250,Data!$B$3:$EZ1530,45,FALSE)),1),"")</f>
        <v>-0.6586102719</v>
      </c>
      <c r="O1250" s="50">
        <f>IFERROR(VLOOKUP($B1250,Data!$B$3:$D1530,2,FALSE),"")</f>
        <v>2080000</v>
      </c>
      <c r="P1250" s="50" t="str">
        <f>IFERROR(VLOOKUP($B1250,Data!$B$3:$D1530,3,FALSE),"")</f>
        <v/>
      </c>
      <c r="Q1250" s="48" t="str">
        <f t="shared" si="2"/>
        <v/>
      </c>
      <c r="R1250" s="48"/>
      <c r="S1250" s="48"/>
      <c r="T1250" s="48"/>
      <c r="U1250" s="48"/>
      <c r="V1250" s="48"/>
      <c r="W1250" s="50"/>
      <c r="Z1250" s="12"/>
      <c r="AA1250" s="15"/>
    </row>
    <row r="1251">
      <c r="A1251" s="9">
        <f t="shared" si="1"/>
        <v>1248</v>
      </c>
      <c r="B1251" s="47" t="s">
        <v>1385</v>
      </c>
      <c r="C1251" s="48">
        <f>IFERROR(DIVIDE(VLOOKUP($B1251,Data!$B$3:$AB$1535,9,FALSE),VLOOKUP($B1251,Data!$B$3:$AB$1535,4,FALSE)),"")</f>
        <v>0.4858876689</v>
      </c>
      <c r="D1251" s="48">
        <f>IFERROR(DIVIDE(VLOOKUP($B1251,Data!$B$3:$AB$1535,24,FALSE),VLOOKUP($B1251,Data!$B$3:$AB$1535,4,FALSE)),"")</f>
        <v>0.114797756</v>
      </c>
      <c r="E1251" s="48">
        <f>IFERROR(DIVIDE(VLOOKUP($B1251,Data!$B$3:$EZ1530,29,FALSE),VLOOKUP($B1251,Data!$B$3:$EZ1530,4,FALSE)),"")</f>
        <v>0.1576258977</v>
      </c>
      <c r="F1251" s="48">
        <f>IFERROR(DIVIDE(VLOOKUP($B1251,Data!$B$3:$EZ1530,34,FALSE),VLOOKUP($B1251,Data!$B$3:$EZ1530,4,FALSE)),"")</f>
        <v>0.1782759599</v>
      </c>
      <c r="G1251" s="48">
        <f>IFERROR(DIVIDE(VLOOKUP($B1251,Data!$B$3:$EZ1530,39,FALSE),VLOOKUP($B1251,Data!$B$3:$EZ1530,4,FALSE)),"")</f>
        <v>0.1408395364</v>
      </c>
      <c r="H1251" s="48">
        <f>IFERROR(DIVIDE(VLOOKUP($B1251,Data!$B$3:$EZ1530,44,FALSE),VLOOKUP($B1251,Data!$B$3:$EZ1530,4,FALSE)),"")</f>
        <v>0.168409334</v>
      </c>
      <c r="I1251" s="48">
        <f>IFERROR(MINUS(DIVIDE(VLOOKUP($B1251,Data!$B$3:$EZ1530,9,FALSE),VLOOKUP($B1251,Data!$B$3:$EZ1530,10,FALSE)),1),"")</f>
        <v>-0.1371811768</v>
      </c>
      <c r="J1251" s="48">
        <f>IFERROR(MINUS(DIVIDE(VLOOKUP($B1251,Data!$B$3:$EZ1530,24,FALSE),VLOOKUP($B1251,Data!$B$3:$EZ1530,25,FALSE)),1),"")</f>
        <v>-0.4986175994</v>
      </c>
      <c r="K1251" s="48">
        <f>IFERROR(MINUS(DIVIDE(VLOOKUP($B1251,Data!$B$3:$EZ1530,29,FALSE),VLOOKUP($B1251,Data!$B$3:$EZ1530,30,FALSE)),1),"")</f>
        <v>-0.3458646617</v>
      </c>
      <c r="L1251" s="48">
        <f>IFERROR(MINUS(DIVIDE(VLOOKUP($B1251,Data!$B$3:$EZ1530,34,FALSE),VLOOKUP($B1251,Data!$B$3:$EZ1530,35,FALSE)),1),"")</f>
        <v>-0.3400937298</v>
      </c>
      <c r="M1251" s="48">
        <f>IFERROR(MINUS(DIVIDE(VLOOKUP($B1251,Data!$B$3:$EZ1530,39,FALSE),VLOOKUP($B1251,Data!$B$3:$EZ1530,40,FALSE)),1),"")</f>
        <v>-0.3424378312</v>
      </c>
      <c r="N1251" s="48">
        <f>IFERROR(MINUS(DIVIDE(VLOOKUP($B1251,Data!$B$3:$EZ1530,44,FALSE),VLOOKUP($B1251,Data!$B$3:$EZ1530,45,FALSE)),1),"")</f>
        <v>-0.2656577194</v>
      </c>
      <c r="O1251" s="50">
        <f>IFERROR(VLOOKUP($B1251,Data!$B$3:$D1530,2,FALSE),"")</f>
        <v>593620</v>
      </c>
      <c r="P1251" s="50">
        <f>IFERROR(VLOOKUP($B1251,Data!$B$3:$D1530,3,FALSE),"")</f>
        <v>546340</v>
      </c>
      <c r="Q1251" s="48">
        <f t="shared" si="2"/>
        <v>0.08653951752</v>
      </c>
      <c r="R1251" s="48"/>
      <c r="S1251" s="48"/>
      <c r="T1251" s="48"/>
      <c r="U1251" s="48"/>
      <c r="V1251" s="48"/>
      <c r="W1251" s="50"/>
      <c r="Z1251" s="11"/>
      <c r="AA1251" s="11"/>
    </row>
    <row r="1252">
      <c r="A1252" s="9">
        <f t="shared" si="1"/>
        <v>1249</v>
      </c>
      <c r="B1252" s="47" t="s">
        <v>1386</v>
      </c>
      <c r="C1252" s="48">
        <f>IFERROR(DIVIDE(VLOOKUP($B1252,Data!$B$3:$AB$1535,9,FALSE),VLOOKUP($B1252,Data!$B$3:$AB$1535,4,FALSE)),"")</f>
        <v>0.4236644295</v>
      </c>
      <c r="D1252" s="48">
        <f>IFERROR(DIVIDE(VLOOKUP($B1252,Data!$B$3:$AB$1535,24,FALSE),VLOOKUP($B1252,Data!$B$3:$AB$1535,4,FALSE)),"")</f>
        <v>0.2856241611</v>
      </c>
      <c r="E1252" s="48">
        <f>IFERROR(DIVIDE(VLOOKUP($B1252,Data!$B$3:$EZ1530,29,FALSE),VLOOKUP($B1252,Data!$B$3:$EZ1530,4,FALSE)),"")</f>
        <v>0.2092348993</v>
      </c>
      <c r="F1252" s="48">
        <f>IFERROR(DIVIDE(VLOOKUP($B1252,Data!$B$3:$EZ1530,34,FALSE),VLOOKUP($B1252,Data!$B$3:$EZ1530,4,FALSE)),"")</f>
        <v>0.3693221477</v>
      </c>
      <c r="G1252" s="48">
        <f>IFERROR(DIVIDE(VLOOKUP($B1252,Data!$B$3:$EZ1530,39,FALSE),VLOOKUP($B1252,Data!$B$3:$EZ1530,4,FALSE)),"")</f>
        <v>0.1201812081</v>
      </c>
      <c r="H1252" s="48">
        <f>IFERROR(DIVIDE(VLOOKUP($B1252,Data!$B$3:$EZ1530,44,FALSE),VLOOKUP($B1252,Data!$B$3:$EZ1530,4,FALSE)),"")</f>
        <v>0.2808657718</v>
      </c>
      <c r="I1252" s="48">
        <f>IFERROR(MINUS(DIVIDE(VLOOKUP($B1252,Data!$B$3:$EZ1530,9,FALSE),VLOOKUP($B1252,Data!$B$3:$EZ1530,10,FALSE)),1),"")</f>
        <v>-0.03105189642</v>
      </c>
      <c r="J1252" s="48" t="str">
        <f>IFERROR(MINUS(DIVIDE(VLOOKUP($B1252,Data!$B$3:$EZ1530,24,FALSE),VLOOKUP($B1252,Data!$B$3:$EZ1530,25,FALSE)),1),"")</f>
        <v/>
      </c>
      <c r="K1252" s="48">
        <f>IFERROR(MINUS(DIVIDE(VLOOKUP($B1252,Data!$B$3:$EZ1530,29,FALSE),VLOOKUP($B1252,Data!$B$3:$EZ1530,30,FALSE)),1),"")</f>
        <v>-0.2430437527</v>
      </c>
      <c r="L1252" s="48">
        <f>IFERROR(MINUS(DIVIDE(VLOOKUP($B1252,Data!$B$3:$EZ1530,34,FALSE),VLOOKUP($B1252,Data!$B$3:$EZ1530,35,FALSE)),1),"")</f>
        <v>-0.1334152218</v>
      </c>
      <c r="M1252" s="48">
        <f>IFERROR(MINUS(DIVIDE(VLOOKUP($B1252,Data!$B$3:$EZ1530,39,FALSE),VLOOKUP($B1252,Data!$B$3:$EZ1530,40,FALSE)),1),"")</f>
        <v>-0.3511956522</v>
      </c>
      <c r="N1252" s="48">
        <f>IFERROR(MINUS(DIVIDE(VLOOKUP($B1252,Data!$B$3:$EZ1530,44,FALSE),VLOOKUP($B1252,Data!$B$3:$EZ1530,45,FALSE)),1),"")</f>
        <v>0.01297412437</v>
      </c>
      <c r="O1252" s="50">
        <f>IFERROR(VLOOKUP($B1252,Data!$B$3:$D1530,2,FALSE),"")</f>
        <v>1210000</v>
      </c>
      <c r="P1252" s="50">
        <f>IFERROR(VLOOKUP($B1252,Data!$B$3:$D1530,3,FALSE),"")</f>
        <v>681070</v>
      </c>
      <c r="Q1252" s="48">
        <f t="shared" si="2"/>
        <v>0.7766162069</v>
      </c>
      <c r="R1252" s="48"/>
      <c r="S1252" s="48"/>
      <c r="T1252" s="48"/>
      <c r="U1252" s="48"/>
      <c r="V1252" s="48"/>
      <c r="W1252" s="50"/>
      <c r="Z1252" s="15"/>
      <c r="AA1252" s="12"/>
    </row>
    <row r="1253">
      <c r="A1253" s="9">
        <f t="shared" si="1"/>
        <v>1250</v>
      </c>
      <c r="B1253" s="47" t="s">
        <v>1387</v>
      </c>
      <c r="C1253" s="48" t="str">
        <f>IFERROR(DIVIDE(VLOOKUP($B1253,Data!$B$3:$AB$1535,9,FALSE),VLOOKUP($B1253,Data!$B$3:$AB$1535,4,FALSE)),"")</f>
        <v/>
      </c>
      <c r="D1253" s="48" t="str">
        <f>IFERROR(DIVIDE(VLOOKUP($B1253,Data!$B$3:$AB$1535,24,FALSE),VLOOKUP($B1253,Data!$B$3:$AB$1535,4,FALSE)),"")</f>
        <v/>
      </c>
      <c r="E1253" s="48" t="str">
        <f>IFERROR(DIVIDE(VLOOKUP($B1253,Data!$B$3:$EZ1530,29,FALSE),VLOOKUP($B1253,Data!$B$3:$EZ1530,4,FALSE)),"")</f>
        <v/>
      </c>
      <c r="F1253" s="48" t="str">
        <f>IFERROR(DIVIDE(VLOOKUP($B1253,Data!$B$3:$EZ1530,34,FALSE),VLOOKUP($B1253,Data!$B$3:$EZ1530,4,FALSE)),"")</f>
        <v/>
      </c>
      <c r="G1253" s="48" t="str">
        <f>IFERROR(DIVIDE(VLOOKUP($B1253,Data!$B$3:$EZ1530,39,FALSE),VLOOKUP($B1253,Data!$B$3:$EZ1530,4,FALSE)),"")</f>
        <v/>
      </c>
      <c r="H1253" s="48" t="str">
        <f>IFERROR(DIVIDE(VLOOKUP($B1253,Data!$B$3:$EZ1530,44,FALSE),VLOOKUP($B1253,Data!$B$3:$EZ1530,4,FALSE)),"")</f>
        <v/>
      </c>
      <c r="I1253" s="48" t="str">
        <f>IFERROR(MINUS(DIVIDE(VLOOKUP($B1253,Data!$B$3:$EZ1530,9,FALSE),VLOOKUP($B1253,Data!$B$3:$EZ1530,10,FALSE)),1),"")</f>
        <v/>
      </c>
      <c r="J1253" s="48" t="str">
        <f>IFERROR(MINUS(DIVIDE(VLOOKUP($B1253,Data!$B$3:$EZ1530,24,FALSE),VLOOKUP($B1253,Data!$B$3:$EZ1530,25,FALSE)),1),"")</f>
        <v/>
      </c>
      <c r="K1253" s="48" t="str">
        <f>IFERROR(MINUS(DIVIDE(VLOOKUP($B1253,Data!$B$3:$EZ1530,29,FALSE),VLOOKUP($B1253,Data!$B$3:$EZ1530,30,FALSE)),1),"")</f>
        <v/>
      </c>
      <c r="L1253" s="48" t="str">
        <f>IFERROR(MINUS(DIVIDE(VLOOKUP($B1253,Data!$B$3:$EZ1530,34,FALSE),VLOOKUP($B1253,Data!$B$3:$EZ1530,35,FALSE)),1),"")</f>
        <v/>
      </c>
      <c r="M1253" s="48" t="str">
        <f>IFERROR(MINUS(DIVIDE(VLOOKUP($B1253,Data!$B$3:$EZ1530,39,FALSE),VLOOKUP($B1253,Data!$B$3:$EZ1530,40,FALSE)),1),"")</f>
        <v/>
      </c>
      <c r="N1253" s="48" t="str">
        <f>IFERROR(MINUS(DIVIDE(VLOOKUP($B1253,Data!$B$3:$EZ1530,44,FALSE),VLOOKUP($B1253,Data!$B$3:$EZ1530,45,FALSE)),1),"")</f>
        <v/>
      </c>
      <c r="O1253" s="50" t="str">
        <f>IFERROR(VLOOKUP($B1253,Data!$B$3:$D1530,2,FALSE),"")</f>
        <v/>
      </c>
      <c r="P1253" s="50" t="str">
        <f>IFERROR(VLOOKUP($B1253,Data!$B$3:$D1530,3,FALSE),"")</f>
        <v/>
      </c>
      <c r="Q1253" s="48" t="str">
        <f t="shared" si="2"/>
        <v/>
      </c>
      <c r="R1253" s="48"/>
      <c r="S1253" s="48"/>
      <c r="T1253" s="48"/>
      <c r="U1253" s="48"/>
      <c r="V1253" s="48"/>
      <c r="W1253" s="50"/>
      <c r="Z1253" s="15"/>
      <c r="AA1253" s="15"/>
    </row>
    <row r="1254">
      <c r="A1254" s="9">
        <f t="shared" si="1"/>
        <v>1251</v>
      </c>
      <c r="B1254" s="47" t="s">
        <v>1388</v>
      </c>
      <c r="C1254" s="48">
        <f>IFERROR(DIVIDE(VLOOKUP($B1254,Data!$B$3:$AB$1535,9,FALSE),VLOOKUP($B1254,Data!$B$3:$AB$1535,4,FALSE)),"")</f>
        <v>0.4559386973</v>
      </c>
      <c r="D1254" s="48">
        <f>IFERROR(DIVIDE(VLOOKUP($B1254,Data!$B$3:$AB$1535,24,FALSE),VLOOKUP($B1254,Data!$B$3:$AB$1535,4,FALSE)),"")</f>
        <v>0</v>
      </c>
      <c r="E1254" s="48">
        <f>IFERROR(DIVIDE(VLOOKUP($B1254,Data!$B$3:$EZ1530,29,FALSE),VLOOKUP($B1254,Data!$B$3:$EZ1530,4,FALSE)),"")</f>
        <v>0.09885249042</v>
      </c>
      <c r="F1254" s="48">
        <f>IFERROR(DIVIDE(VLOOKUP($B1254,Data!$B$3:$EZ1530,34,FALSE),VLOOKUP($B1254,Data!$B$3:$EZ1530,4,FALSE)),"")</f>
        <v>0.1163735632</v>
      </c>
      <c r="G1254" s="48">
        <f>IFERROR(DIVIDE(VLOOKUP($B1254,Data!$B$3:$EZ1530,39,FALSE),VLOOKUP($B1254,Data!$B$3:$EZ1530,4,FALSE)),"")</f>
        <v>0.0663908046</v>
      </c>
      <c r="H1254" s="48">
        <f>IFERROR(DIVIDE(VLOOKUP($B1254,Data!$B$3:$EZ1530,44,FALSE),VLOOKUP($B1254,Data!$B$3:$EZ1530,4,FALSE)),"")</f>
        <v>0.08171455939</v>
      </c>
      <c r="I1254" s="48">
        <f>IFERROR(MINUS(DIVIDE(VLOOKUP($B1254,Data!$B$3:$EZ1530,9,FALSE),VLOOKUP($B1254,Data!$B$3:$EZ1530,10,FALSE)),1),"")</f>
        <v>0.1279620853</v>
      </c>
      <c r="J1254" s="48" t="str">
        <f>IFERROR(MINUS(DIVIDE(VLOOKUP($B1254,Data!$B$3:$EZ1530,24,FALSE),VLOOKUP($B1254,Data!$B$3:$EZ1530,25,FALSE)),1),"")</f>
        <v/>
      </c>
      <c r="K1254" s="48">
        <f>IFERROR(MINUS(DIVIDE(VLOOKUP($B1254,Data!$B$3:$EZ1530,29,FALSE),VLOOKUP($B1254,Data!$B$3:$EZ1530,30,FALSE)),1),"")</f>
        <v>0.1947994813</v>
      </c>
      <c r="L1254" s="48">
        <f>IFERROR(MINUS(DIVIDE(VLOOKUP($B1254,Data!$B$3:$EZ1530,34,FALSE),VLOOKUP($B1254,Data!$B$3:$EZ1530,35,FALSE)),1),"")</f>
        <v>0.1530007972</v>
      </c>
      <c r="M1254" s="48">
        <f>IFERROR(MINUS(DIVIDE(VLOOKUP($B1254,Data!$B$3:$EZ1530,39,FALSE),VLOOKUP($B1254,Data!$B$3:$EZ1530,40,FALSE)),1),"")</f>
        <v>0.1512091416</v>
      </c>
      <c r="N1254" s="48">
        <f>IFERROR(MINUS(DIVIDE(VLOOKUP($B1254,Data!$B$3:$EZ1530,44,FALSE),VLOOKUP($B1254,Data!$B$3:$EZ1530,45,FALSE)),1),"")</f>
        <v>-0.2497581567</v>
      </c>
      <c r="O1254" s="50">
        <f>IFERROR(VLOOKUP($B1254,Data!$B$3:$D1530,2,FALSE),"")</f>
        <v>5610000</v>
      </c>
      <c r="P1254" s="50">
        <f>IFERROR(VLOOKUP($B1254,Data!$B$3:$D1530,3,FALSE),"")</f>
        <v>4530000</v>
      </c>
      <c r="Q1254" s="48">
        <f t="shared" si="2"/>
        <v>0.238410596</v>
      </c>
      <c r="R1254" s="48"/>
      <c r="S1254" s="48"/>
      <c r="T1254" s="48"/>
      <c r="U1254" s="48"/>
      <c r="V1254" s="48"/>
      <c r="W1254" s="50"/>
      <c r="Z1254" s="15"/>
      <c r="AA1254" s="15"/>
    </row>
    <row r="1255">
      <c r="A1255" s="9">
        <f t="shared" si="1"/>
        <v>1252</v>
      </c>
      <c r="B1255" s="47" t="s">
        <v>1389</v>
      </c>
      <c r="C1255" s="48">
        <f>IFERROR(DIVIDE(VLOOKUP($B1255,Data!$B$3:$AB$1535,9,FALSE),VLOOKUP($B1255,Data!$B$3:$AB$1535,4,FALSE)),"")</f>
        <v>0.1996715328</v>
      </c>
      <c r="D1255" s="48">
        <f>IFERROR(DIVIDE(VLOOKUP($B1255,Data!$B$3:$AB$1535,24,FALSE),VLOOKUP($B1255,Data!$B$3:$AB$1535,4,FALSE)),"")</f>
        <v>0.064</v>
      </c>
      <c r="E1255" s="48">
        <f>IFERROR(DIVIDE(VLOOKUP($B1255,Data!$B$3:$EZ1530,29,FALSE),VLOOKUP($B1255,Data!$B$3:$EZ1530,4,FALSE)),"")</f>
        <v>0.06208029197</v>
      </c>
      <c r="F1255" s="48">
        <f>IFERROR(DIVIDE(VLOOKUP($B1255,Data!$B$3:$EZ1530,34,FALSE),VLOOKUP($B1255,Data!$B$3:$EZ1530,4,FALSE)),"")</f>
        <v>0.08015328467</v>
      </c>
      <c r="G1255" s="48">
        <f>IFERROR(DIVIDE(VLOOKUP($B1255,Data!$B$3:$EZ1530,39,FALSE),VLOOKUP($B1255,Data!$B$3:$EZ1530,4,FALSE)),"")</f>
        <v>0.04232846715</v>
      </c>
      <c r="H1255" s="48">
        <f>IFERROR(DIVIDE(VLOOKUP($B1255,Data!$B$3:$EZ1530,44,FALSE),VLOOKUP($B1255,Data!$B$3:$EZ1530,4,FALSE)),"")</f>
        <v>0.05601459854</v>
      </c>
      <c r="I1255" s="48">
        <f>IFERROR(MINUS(DIVIDE(VLOOKUP($B1255,Data!$B$3:$EZ1530,9,FALSE),VLOOKUP($B1255,Data!$B$3:$EZ1530,10,FALSE)),1),"")</f>
        <v>0.1372328927</v>
      </c>
      <c r="J1255" s="48">
        <f>IFERROR(MINUS(DIVIDE(VLOOKUP($B1255,Data!$B$3:$EZ1530,24,FALSE),VLOOKUP($B1255,Data!$B$3:$EZ1530,25,FALSE)),1),"")</f>
        <v>-3.400876232</v>
      </c>
      <c r="K1255" s="48">
        <f>IFERROR(MINUS(DIVIDE(VLOOKUP($B1255,Data!$B$3:$EZ1530,29,FALSE),VLOOKUP($B1255,Data!$B$3:$EZ1530,30,FALSE)),1),"")</f>
        <v>-3.059322034</v>
      </c>
      <c r="L1255" s="48">
        <f>IFERROR(MINUS(DIVIDE(VLOOKUP($B1255,Data!$B$3:$EZ1530,34,FALSE),VLOOKUP($B1255,Data!$B$3:$EZ1530,35,FALSE)),1),"")</f>
        <v>-26.30184332</v>
      </c>
      <c r="M1255" s="48">
        <f>IFERROR(MINUS(DIVIDE(VLOOKUP($B1255,Data!$B$3:$EZ1530,39,FALSE),VLOOKUP($B1255,Data!$B$3:$EZ1530,40,FALSE)),1),"")</f>
        <v>-1.996220581</v>
      </c>
      <c r="N1255" s="48">
        <f>IFERROR(MINUS(DIVIDE(VLOOKUP($B1255,Data!$B$3:$EZ1530,44,FALSE),VLOOKUP($B1255,Data!$B$3:$EZ1530,45,FALSE)),1),"")</f>
        <v>0.1764525525</v>
      </c>
      <c r="O1255" s="50">
        <f>IFERROR(VLOOKUP($B1255,Data!$B$3:$D1530,2,FALSE),"")</f>
        <v>1320000</v>
      </c>
      <c r="P1255" s="50">
        <f>IFERROR(VLOOKUP($B1255,Data!$B$3:$D1530,3,FALSE),"")</f>
        <v>1150000</v>
      </c>
      <c r="Q1255" s="48">
        <f t="shared" si="2"/>
        <v>0.147826087</v>
      </c>
      <c r="R1255" s="48"/>
      <c r="S1255" s="48"/>
      <c r="T1255" s="48"/>
      <c r="U1255" s="48"/>
      <c r="V1255" s="48"/>
      <c r="W1255" s="50"/>
      <c r="Z1255" s="12"/>
      <c r="AA1255" s="12"/>
    </row>
    <row r="1256">
      <c r="A1256" s="9">
        <f t="shared" si="1"/>
        <v>1253</v>
      </c>
      <c r="B1256" s="52" t="s">
        <v>1390</v>
      </c>
      <c r="C1256" s="48">
        <f>IFERROR(DIVIDE(VLOOKUP($B1256,Data!$B$3:$AB$1535,9,FALSE),VLOOKUP($B1256,Data!$B$3:$AB$1535,4,FALSE)),"")</f>
        <v>0.2619057239</v>
      </c>
      <c r="D1256" s="48">
        <f>IFERROR(DIVIDE(VLOOKUP($B1256,Data!$B$3:$AB$1535,24,FALSE),VLOOKUP($B1256,Data!$B$3:$AB$1535,4,FALSE)),"")</f>
        <v>0.1724781145</v>
      </c>
      <c r="E1256" s="48">
        <f>IFERROR(DIVIDE(VLOOKUP($B1256,Data!$B$3:$EZ1530,29,FALSE),VLOOKUP($B1256,Data!$B$3:$EZ1530,4,FALSE)),"")</f>
        <v>0.1502727273</v>
      </c>
      <c r="F1256" s="48">
        <f>IFERROR(DIVIDE(VLOOKUP($B1256,Data!$B$3:$EZ1530,34,FALSE),VLOOKUP($B1256,Data!$B$3:$EZ1530,4,FALSE)),"")</f>
        <v>0.3037811448</v>
      </c>
      <c r="G1256" s="48">
        <f>IFERROR(DIVIDE(VLOOKUP($B1256,Data!$B$3:$EZ1530,39,FALSE),VLOOKUP($B1256,Data!$B$3:$EZ1530,4,FALSE)),"")</f>
        <v>0.1145117845</v>
      </c>
      <c r="H1256" s="48">
        <f>IFERROR(DIVIDE(VLOOKUP($B1256,Data!$B$3:$EZ1530,44,FALSE),VLOOKUP($B1256,Data!$B$3:$EZ1530,4,FALSE)),"")</f>
        <v>0.2427710438</v>
      </c>
      <c r="I1256" s="48">
        <f>IFERROR(MINUS(DIVIDE(VLOOKUP($B1256,Data!$B$3:$EZ1530,9,FALSE),VLOOKUP($B1256,Data!$B$3:$EZ1530,10,FALSE)),1),"")</f>
        <v>0.0411585978</v>
      </c>
      <c r="J1256" s="48" t="str">
        <f>IFERROR(MINUS(DIVIDE(VLOOKUP($B1256,Data!$B$3:$EZ1530,24,FALSE),VLOOKUP($B1256,Data!$B$3:$EZ1530,25,FALSE)),1),"")</f>
        <v/>
      </c>
      <c r="K1256" s="48">
        <f>IFERROR(MINUS(DIVIDE(VLOOKUP($B1256,Data!$B$3:$EZ1530,29,FALSE),VLOOKUP($B1256,Data!$B$3:$EZ1530,30,FALSE)),1),"")</f>
        <v>0.2183942562</v>
      </c>
      <c r="L1256" s="48">
        <f>IFERROR(MINUS(DIVIDE(VLOOKUP($B1256,Data!$B$3:$EZ1530,34,FALSE),VLOOKUP($B1256,Data!$B$3:$EZ1530,35,FALSE)),1),"")</f>
        <v>0.1154202777</v>
      </c>
      <c r="M1256" s="48">
        <f>IFERROR(MINUS(DIVIDE(VLOOKUP($B1256,Data!$B$3:$EZ1530,39,FALSE),VLOOKUP($B1256,Data!$B$3:$EZ1530,40,FALSE)),1),"")</f>
        <v>0.2130399115</v>
      </c>
      <c r="N1256" s="48">
        <f>IFERROR(MINUS(DIVIDE(VLOOKUP($B1256,Data!$B$3:$EZ1530,44,FALSE),VLOOKUP($B1256,Data!$B$3:$EZ1530,45,FALSE)),1),"")</f>
        <v>-0.101553836</v>
      </c>
      <c r="O1256" s="50">
        <f>IFERROR(VLOOKUP($B1256,Data!$B$3:$D1530,2,FALSE),"")</f>
        <v>2520000</v>
      </c>
      <c r="P1256" s="50">
        <f>IFERROR(VLOOKUP($B1256,Data!$B$3:$D1530,3,FALSE),"")</f>
        <v>2080000</v>
      </c>
      <c r="Q1256" s="48">
        <f t="shared" si="2"/>
        <v>0.2115384615</v>
      </c>
      <c r="R1256" s="48"/>
      <c r="S1256" s="48"/>
      <c r="T1256" s="48"/>
      <c r="U1256" s="48"/>
      <c r="V1256" s="48"/>
      <c r="W1256" s="50"/>
      <c r="Z1256" s="15"/>
      <c r="AA1256" s="15"/>
    </row>
    <row r="1257">
      <c r="A1257" s="9">
        <f t="shared" si="1"/>
        <v>1254</v>
      </c>
      <c r="B1257" s="47" t="s">
        <v>1391</v>
      </c>
      <c r="C1257" s="48">
        <f>IFERROR(DIVIDE(VLOOKUP($B1257,Data!$B$3:$AB$1535,9,FALSE),VLOOKUP($B1257,Data!$B$3:$AB$1535,4,FALSE)),"")</f>
        <v>0.6092531789</v>
      </c>
      <c r="D1257" s="48">
        <f>IFERROR(DIVIDE(VLOOKUP($B1257,Data!$B$3:$AB$1535,24,FALSE),VLOOKUP($B1257,Data!$B$3:$AB$1535,4,FALSE)),"")</f>
        <v>0</v>
      </c>
      <c r="E1257" s="48">
        <f>IFERROR(DIVIDE(VLOOKUP($B1257,Data!$B$3:$EZ1530,29,FALSE),VLOOKUP($B1257,Data!$B$3:$EZ1530,4,FALSE)),"")</f>
        <v>0.05928004298</v>
      </c>
      <c r="F1257" s="48">
        <f>IFERROR(DIVIDE(VLOOKUP($B1257,Data!$B$3:$EZ1530,34,FALSE),VLOOKUP($B1257,Data!$B$3:$EZ1530,4,FALSE)),"")</f>
        <v>0.1359441227</v>
      </c>
      <c r="G1257" s="48">
        <f>IFERROR(DIVIDE(VLOOKUP($B1257,Data!$B$3:$EZ1530,39,FALSE),VLOOKUP($B1257,Data!$B$3:$EZ1530,4,FALSE)),"")</f>
        <v>0.02300758164</v>
      </c>
      <c r="H1257" s="48">
        <f>IFERROR(DIVIDE(VLOOKUP($B1257,Data!$B$3:$EZ1530,44,FALSE),VLOOKUP($B1257,Data!$B$3:$EZ1530,4,FALSE)),"")</f>
        <v>0.1974688078</v>
      </c>
      <c r="I1257" s="48">
        <f>IFERROR(MINUS(DIVIDE(VLOOKUP($B1257,Data!$B$3:$EZ1530,9,FALSE),VLOOKUP($B1257,Data!$B$3:$EZ1530,10,FALSE)),1),"")</f>
        <v>-0.02132719601</v>
      </c>
      <c r="J1257" s="48">
        <f>IFERROR(MINUS(DIVIDE(VLOOKUP($B1257,Data!$B$3:$EZ1530,24,FALSE),VLOOKUP($B1257,Data!$B$3:$EZ1530,25,FALSE)),1),"")</f>
        <v>-1</v>
      </c>
      <c r="K1257" s="48">
        <f>IFERROR(MINUS(DIVIDE(VLOOKUP($B1257,Data!$B$3:$EZ1530,29,FALSE),VLOOKUP($B1257,Data!$B$3:$EZ1530,30,FALSE)),1),"")</f>
        <v>-0.3119456763</v>
      </c>
      <c r="L1257" s="48">
        <f>IFERROR(MINUS(DIVIDE(VLOOKUP($B1257,Data!$B$3:$EZ1530,34,FALSE),VLOOKUP($B1257,Data!$B$3:$EZ1530,35,FALSE)),1),"")</f>
        <v>-0.209415359</v>
      </c>
      <c r="M1257" s="48">
        <f>IFERROR(MINUS(DIVIDE(VLOOKUP($B1257,Data!$B$3:$EZ1530,39,FALSE),VLOOKUP($B1257,Data!$B$3:$EZ1530,40,FALSE)),1),"")</f>
        <v>-0.7694700323</v>
      </c>
      <c r="N1257" s="48">
        <f>IFERROR(MINUS(DIVIDE(VLOOKUP($B1257,Data!$B$3:$EZ1530,44,FALSE),VLOOKUP($B1257,Data!$B$3:$EZ1530,45,FALSE)),1),"")</f>
        <v>-0.04696323614</v>
      </c>
      <c r="O1257" s="50">
        <f>IFERROR(VLOOKUP($B1257,Data!$B$3:$D1530,2,FALSE),"")</f>
        <v>922610</v>
      </c>
      <c r="P1257" s="50">
        <f>IFERROR(VLOOKUP($B1257,Data!$B$3:$D1530,3,FALSE),"")</f>
        <v>835080</v>
      </c>
      <c r="Q1257" s="48">
        <f t="shared" si="2"/>
        <v>0.104816305</v>
      </c>
      <c r="R1257" s="48"/>
      <c r="S1257" s="48"/>
      <c r="T1257" s="48"/>
      <c r="U1257" s="48"/>
      <c r="V1257" s="48"/>
      <c r="W1257" s="50"/>
      <c r="Z1257" s="11"/>
      <c r="AA1257" s="11"/>
    </row>
    <row r="1258">
      <c r="A1258" s="9">
        <f t="shared" si="1"/>
        <v>1255</v>
      </c>
      <c r="B1258" s="47" t="s">
        <v>1392</v>
      </c>
      <c r="C1258" s="48">
        <f>IFERROR(DIVIDE(VLOOKUP($B1258,Data!$B$3:$AB$1535,9,FALSE),VLOOKUP($B1258,Data!$B$3:$AB$1535,4,FALSE)),"")</f>
        <v>0.1100272109</v>
      </c>
      <c r="D1258" s="48">
        <f>IFERROR(DIVIDE(VLOOKUP($B1258,Data!$B$3:$AB$1535,24,FALSE),VLOOKUP($B1258,Data!$B$3:$AB$1535,4,FALSE)),"")</f>
        <v>-0.2285442177</v>
      </c>
      <c r="E1258" s="48">
        <f>IFERROR(DIVIDE(VLOOKUP($B1258,Data!$B$3:$EZ1530,29,FALSE),VLOOKUP($B1258,Data!$B$3:$EZ1530,4,FALSE)),"")</f>
        <v>-0.2917755102</v>
      </c>
      <c r="F1258" s="48">
        <f>IFERROR(DIVIDE(VLOOKUP($B1258,Data!$B$3:$EZ1530,34,FALSE),VLOOKUP($B1258,Data!$B$3:$EZ1530,4,FALSE)),"")</f>
        <v>0.1356734694</v>
      </c>
      <c r="G1258" s="48">
        <f>IFERROR(DIVIDE(VLOOKUP($B1258,Data!$B$3:$EZ1530,39,FALSE),VLOOKUP($B1258,Data!$B$3:$EZ1530,4,FALSE)),"")</f>
        <v>-0.2238639456</v>
      </c>
      <c r="H1258" s="48">
        <f>IFERROR(DIVIDE(VLOOKUP($B1258,Data!$B$3:$EZ1530,44,FALSE),VLOOKUP($B1258,Data!$B$3:$EZ1530,4,FALSE)),"")</f>
        <v>0.09799319728</v>
      </c>
      <c r="I1258" s="48">
        <f>IFERROR(MINUS(DIVIDE(VLOOKUP($B1258,Data!$B$3:$EZ1530,9,FALSE),VLOOKUP($B1258,Data!$B$3:$EZ1530,10,FALSE)),1),"")</f>
        <v>-0.3904424512</v>
      </c>
      <c r="J1258" s="48">
        <f>IFERROR(MINUS(DIVIDE(VLOOKUP($B1258,Data!$B$3:$EZ1530,24,FALSE),VLOOKUP($B1258,Data!$B$3:$EZ1530,25,FALSE)),1),"")</f>
        <v>0.9994048682</v>
      </c>
      <c r="K1258" s="48">
        <f>IFERROR(MINUS(DIVIDE(VLOOKUP($B1258,Data!$B$3:$EZ1530,29,FALSE),VLOOKUP($B1258,Data!$B$3:$EZ1530,30,FALSE)),1),"")</f>
        <v>0.8652315721</v>
      </c>
      <c r="L1258" s="48">
        <f>IFERROR(MINUS(DIVIDE(VLOOKUP($B1258,Data!$B$3:$EZ1530,34,FALSE),VLOOKUP($B1258,Data!$B$3:$EZ1530,35,FALSE)),1),"")</f>
        <v>-0.2915097691</v>
      </c>
      <c r="M1258" s="48">
        <f>IFERROR(MINUS(DIVIDE(VLOOKUP($B1258,Data!$B$3:$EZ1530,39,FALSE),VLOOKUP($B1258,Data!$B$3:$EZ1530,40,FALSE)),1),"")</f>
        <v>0.6387630098</v>
      </c>
      <c r="N1258" s="48">
        <f>IFERROR(MINUS(DIVIDE(VLOOKUP($B1258,Data!$B$3:$EZ1530,44,FALSE),VLOOKUP($B1258,Data!$B$3:$EZ1530,45,FALSE)),1),"")</f>
        <v>-0.5363844099</v>
      </c>
      <c r="O1258" s="50">
        <f>IFERROR(VLOOKUP($B1258,Data!$B$3:$D1530,2,FALSE),"")</f>
        <v>719210</v>
      </c>
      <c r="P1258" s="50">
        <f>IFERROR(VLOOKUP($B1258,Data!$B$3:$D1530,3,FALSE),"")</f>
        <v>697060</v>
      </c>
      <c r="Q1258" s="48">
        <f t="shared" si="2"/>
        <v>0.03177631768</v>
      </c>
      <c r="R1258" s="48"/>
      <c r="S1258" s="48"/>
      <c r="T1258" s="48"/>
      <c r="U1258" s="48"/>
      <c r="V1258" s="48"/>
      <c r="W1258" s="50"/>
      <c r="Z1258" s="19"/>
      <c r="AA1258" s="19"/>
    </row>
    <row r="1259">
      <c r="A1259" s="9">
        <f t="shared" si="1"/>
        <v>1256</v>
      </c>
      <c r="B1259" s="47" t="s">
        <v>1393</v>
      </c>
      <c r="C1259" s="48" t="str">
        <f>IFERROR(DIVIDE(VLOOKUP($B1259,Data!$B$3:$AB$1535,9,FALSE),VLOOKUP($B1259,Data!$B$3:$AB$1535,4,FALSE)),"")</f>
        <v/>
      </c>
      <c r="D1259" s="48" t="str">
        <f>IFERROR(DIVIDE(VLOOKUP($B1259,Data!$B$3:$AB$1535,24,FALSE),VLOOKUP($B1259,Data!$B$3:$AB$1535,4,FALSE)),"")</f>
        <v/>
      </c>
      <c r="E1259" s="48" t="str">
        <f>IFERROR(DIVIDE(VLOOKUP($B1259,Data!$B$3:$EZ1530,29,FALSE),VLOOKUP($B1259,Data!$B$3:$EZ1530,4,FALSE)),"")</f>
        <v/>
      </c>
      <c r="F1259" s="48" t="str">
        <f>IFERROR(DIVIDE(VLOOKUP($B1259,Data!$B$3:$EZ1530,34,FALSE),VLOOKUP($B1259,Data!$B$3:$EZ1530,4,FALSE)),"")</f>
        <v/>
      </c>
      <c r="G1259" s="48" t="str">
        <f>IFERROR(DIVIDE(VLOOKUP($B1259,Data!$B$3:$EZ1530,39,FALSE),VLOOKUP($B1259,Data!$B$3:$EZ1530,4,FALSE)),"")</f>
        <v/>
      </c>
      <c r="H1259" s="48" t="str">
        <f>IFERROR(DIVIDE(VLOOKUP($B1259,Data!$B$3:$EZ1530,44,FALSE),VLOOKUP($B1259,Data!$B$3:$EZ1530,4,FALSE)),"")</f>
        <v/>
      </c>
      <c r="I1259" s="48">
        <f>IFERROR(MINUS(DIVIDE(VLOOKUP($B1259,Data!$B$3:$EZ1530,9,FALSE),VLOOKUP($B1259,Data!$B$3:$EZ1530,10,FALSE)),1),"")</f>
        <v>0.7961783439</v>
      </c>
      <c r="J1259" s="48" t="str">
        <f>IFERROR(MINUS(DIVIDE(VLOOKUP($B1259,Data!$B$3:$EZ1530,24,FALSE),VLOOKUP($B1259,Data!$B$3:$EZ1530,25,FALSE)),1),"")</f>
        <v/>
      </c>
      <c r="K1259" s="48">
        <f>IFERROR(MINUS(DIVIDE(VLOOKUP($B1259,Data!$B$3:$EZ1530,29,FALSE),VLOOKUP($B1259,Data!$B$3:$EZ1530,30,FALSE)),1),"")</f>
        <v>0.5671122995</v>
      </c>
      <c r="L1259" s="48">
        <f>IFERROR(MINUS(DIVIDE(VLOOKUP($B1259,Data!$B$3:$EZ1530,34,FALSE),VLOOKUP($B1259,Data!$B$3:$EZ1530,35,FALSE)),1),"")</f>
        <v>0.5716405828</v>
      </c>
      <c r="M1259" s="48">
        <f>IFERROR(MINUS(DIVIDE(VLOOKUP($B1259,Data!$B$3:$EZ1530,39,FALSE),VLOOKUP($B1259,Data!$B$3:$EZ1530,40,FALSE)),1),"")</f>
        <v>0.5671122995</v>
      </c>
      <c r="N1259" s="48">
        <f>IFERROR(MINUS(DIVIDE(VLOOKUP($B1259,Data!$B$3:$EZ1530,44,FALSE),VLOOKUP($B1259,Data!$B$3:$EZ1530,45,FALSE)),1),"")</f>
        <v>0.3206552707</v>
      </c>
      <c r="O1259" s="50" t="str">
        <f>IFERROR(VLOOKUP($B1259,Data!$B$3:$D1530,2,FALSE),"")</f>
        <v/>
      </c>
      <c r="P1259" s="50" t="str">
        <f>IFERROR(VLOOKUP($B1259,Data!$B$3:$D1530,3,FALSE),"")</f>
        <v/>
      </c>
      <c r="Q1259" s="48" t="str">
        <f t="shared" si="2"/>
        <v/>
      </c>
      <c r="R1259" s="48"/>
      <c r="S1259" s="48"/>
      <c r="T1259" s="48"/>
      <c r="U1259" s="48"/>
      <c r="V1259" s="48"/>
      <c r="W1259" s="50"/>
      <c r="Z1259" s="15"/>
      <c r="AA1259" s="15"/>
    </row>
    <row r="1260">
      <c r="A1260" s="9">
        <f t="shared" si="1"/>
        <v>1257</v>
      </c>
      <c r="B1260" s="47" t="s">
        <v>1394</v>
      </c>
      <c r="C1260" s="48">
        <f>IFERROR(DIVIDE(VLOOKUP($B1260,Data!$B$3:$AB$1535,9,FALSE),VLOOKUP($B1260,Data!$B$3:$AB$1535,4,FALSE)),"")</f>
        <v>0</v>
      </c>
      <c r="D1260" s="48">
        <f>IFERROR(DIVIDE(VLOOKUP($B1260,Data!$B$3:$AB$1535,24,FALSE),VLOOKUP($B1260,Data!$B$3:$AB$1535,4,FALSE)),"")</f>
        <v>0</v>
      </c>
      <c r="E1260" s="48">
        <f>IFERROR(DIVIDE(VLOOKUP($B1260,Data!$B$3:$EZ1530,29,FALSE),VLOOKUP($B1260,Data!$B$3:$EZ1530,4,FALSE)),"")</f>
        <v>-1.073362445</v>
      </c>
      <c r="F1260" s="48">
        <f>IFERROR(DIVIDE(VLOOKUP($B1260,Data!$B$3:$EZ1530,34,FALSE),VLOOKUP($B1260,Data!$B$3:$EZ1530,4,FALSE)),"")</f>
        <v>-1.094323144</v>
      </c>
      <c r="G1260" s="48">
        <f>IFERROR(DIVIDE(VLOOKUP($B1260,Data!$B$3:$EZ1530,39,FALSE),VLOOKUP($B1260,Data!$B$3:$EZ1530,4,FALSE)),"")</f>
        <v>-1.074672489</v>
      </c>
      <c r="H1260" s="48">
        <f>IFERROR(DIVIDE(VLOOKUP($B1260,Data!$B$3:$EZ1530,44,FALSE),VLOOKUP($B1260,Data!$B$3:$EZ1530,4,FALSE)),"")</f>
        <v>-0.9825327511</v>
      </c>
      <c r="I1260" s="48" t="str">
        <f>IFERROR(MINUS(DIVIDE(VLOOKUP($B1260,Data!$B$3:$EZ1530,9,FALSE),VLOOKUP($B1260,Data!$B$3:$EZ1530,10,FALSE)),1),"")</f>
        <v/>
      </c>
      <c r="J1260" s="48" t="str">
        <f>IFERROR(MINUS(DIVIDE(VLOOKUP($B1260,Data!$B$3:$EZ1530,24,FALSE),VLOOKUP($B1260,Data!$B$3:$EZ1530,25,FALSE)),1),"")</f>
        <v/>
      </c>
      <c r="K1260" s="48">
        <f>IFERROR(MINUS(DIVIDE(VLOOKUP($B1260,Data!$B$3:$EZ1530,29,FALSE),VLOOKUP($B1260,Data!$B$3:$EZ1530,30,FALSE)),1),"")</f>
        <v>-0.2366459627</v>
      </c>
      <c r="L1260" s="48">
        <f>IFERROR(MINUS(DIVIDE(VLOOKUP($B1260,Data!$B$3:$EZ1530,34,FALSE),VLOOKUP($B1260,Data!$B$3:$EZ1530,35,FALSE)),1),"")</f>
        <v>-0.235042735</v>
      </c>
      <c r="M1260" s="48">
        <f>IFERROR(MINUS(DIVIDE(VLOOKUP($B1260,Data!$B$3:$EZ1530,39,FALSE),VLOOKUP($B1260,Data!$B$3:$EZ1530,40,FALSE)),1),"")</f>
        <v>-0.2357142857</v>
      </c>
      <c r="N1260" s="48">
        <f>IFERROR(MINUS(DIVIDE(VLOOKUP($B1260,Data!$B$3:$EZ1530,44,FALSE),VLOOKUP($B1260,Data!$B$3:$EZ1530,45,FALSE)),1),"")</f>
        <v>-0.04132935663</v>
      </c>
      <c r="O1260" s="50">
        <f>IFERROR(VLOOKUP($B1260,Data!$B$3:$D1530,2,FALSE),"")</f>
        <v>32010</v>
      </c>
      <c r="P1260" s="50">
        <f>IFERROR(VLOOKUP($B1260,Data!$B$3:$D1530,3,FALSE),"")</f>
        <v>8690</v>
      </c>
      <c r="Q1260" s="48">
        <f t="shared" si="2"/>
        <v>2.683544304</v>
      </c>
      <c r="R1260" s="48"/>
      <c r="S1260" s="48"/>
      <c r="T1260" s="48"/>
      <c r="U1260" s="48"/>
      <c r="V1260" s="48"/>
      <c r="W1260" s="50"/>
      <c r="Z1260" s="15"/>
      <c r="AA1260" s="15"/>
    </row>
    <row r="1261">
      <c r="A1261" s="9">
        <f t="shared" si="1"/>
        <v>1258</v>
      </c>
      <c r="B1261" s="47" t="s">
        <v>1395</v>
      </c>
      <c r="C1261" s="48" t="str">
        <f>IFERROR(DIVIDE(VLOOKUP($B1261,Data!$B$3:$AB$1535,9,FALSE),VLOOKUP($B1261,Data!$B$3:$AB$1535,4,FALSE)),"")</f>
        <v/>
      </c>
      <c r="D1261" s="48" t="str">
        <f>IFERROR(DIVIDE(VLOOKUP($B1261,Data!$B$3:$AB$1535,24,FALSE),VLOOKUP($B1261,Data!$B$3:$AB$1535,4,FALSE)),"")</f>
        <v/>
      </c>
      <c r="E1261" s="48" t="str">
        <f>IFERROR(DIVIDE(VLOOKUP($B1261,Data!$B$3:$EZ1530,29,FALSE),VLOOKUP($B1261,Data!$B$3:$EZ1530,4,FALSE)),"")</f>
        <v/>
      </c>
      <c r="F1261" s="48" t="str">
        <f>IFERROR(DIVIDE(VLOOKUP($B1261,Data!$B$3:$EZ1530,34,FALSE),VLOOKUP($B1261,Data!$B$3:$EZ1530,4,FALSE)),"")</f>
        <v/>
      </c>
      <c r="G1261" s="48" t="str">
        <f>IFERROR(DIVIDE(VLOOKUP($B1261,Data!$B$3:$EZ1530,39,FALSE),VLOOKUP($B1261,Data!$B$3:$EZ1530,4,FALSE)),"")</f>
        <v/>
      </c>
      <c r="H1261" s="48" t="str">
        <f>IFERROR(DIVIDE(VLOOKUP($B1261,Data!$B$3:$EZ1530,44,FALSE),VLOOKUP($B1261,Data!$B$3:$EZ1530,4,FALSE)),"")</f>
        <v/>
      </c>
      <c r="I1261" s="48">
        <f>IFERROR(MINUS(DIVIDE(VLOOKUP($B1261,Data!$B$3:$EZ1530,9,FALSE),VLOOKUP($B1261,Data!$B$3:$EZ1530,10,FALSE)),1),"")</f>
        <v>0.1979166667</v>
      </c>
      <c r="J1261" s="48">
        <f>IFERROR(MINUS(DIVIDE(VLOOKUP($B1261,Data!$B$3:$EZ1530,24,FALSE),VLOOKUP($B1261,Data!$B$3:$EZ1530,25,FALSE)),1),"")</f>
        <v>1.582697201</v>
      </c>
      <c r="K1261" s="48">
        <f>IFERROR(MINUS(DIVIDE(VLOOKUP($B1261,Data!$B$3:$EZ1530,29,FALSE),VLOOKUP($B1261,Data!$B$3:$EZ1530,30,FALSE)),1),"")</f>
        <v>1.598817568</v>
      </c>
      <c r="L1261" s="48">
        <f>IFERROR(MINUS(DIVIDE(VLOOKUP($B1261,Data!$B$3:$EZ1530,34,FALSE),VLOOKUP($B1261,Data!$B$3:$EZ1530,35,FALSE)),1),"")</f>
        <v>0.7681895093</v>
      </c>
      <c r="M1261" s="48">
        <f>IFERROR(MINUS(DIVIDE(VLOOKUP($B1261,Data!$B$3:$EZ1530,39,FALSE),VLOOKUP($B1261,Data!$B$3:$EZ1530,40,FALSE)),1),"")</f>
        <v>1.598817568</v>
      </c>
      <c r="N1261" s="48">
        <f>IFERROR(MINUS(DIVIDE(VLOOKUP($B1261,Data!$B$3:$EZ1530,44,FALSE),VLOOKUP($B1261,Data!$B$3:$EZ1530,45,FALSE)),1),"")</f>
        <v>0.4571917808</v>
      </c>
      <c r="O1261" s="50" t="str">
        <f>IFERROR(VLOOKUP($B1261,Data!$B$3:$D1530,2,FALSE),"")</f>
        <v/>
      </c>
      <c r="P1261" s="50" t="str">
        <f>IFERROR(VLOOKUP($B1261,Data!$B$3:$D1530,3,FALSE),"")</f>
        <v/>
      </c>
      <c r="Q1261" s="48" t="str">
        <f t="shared" si="2"/>
        <v/>
      </c>
      <c r="R1261" s="48"/>
      <c r="S1261" s="48"/>
      <c r="T1261" s="48"/>
      <c r="U1261" s="48"/>
      <c r="V1261" s="48"/>
      <c r="W1261" s="50"/>
      <c r="Z1261" s="12"/>
      <c r="AA1261" s="12"/>
    </row>
    <row r="1262">
      <c r="A1262" s="9">
        <f t="shared" si="1"/>
        <v>1259</v>
      </c>
      <c r="B1262" s="47" t="s">
        <v>1396</v>
      </c>
      <c r="C1262" s="48">
        <f>IFERROR(DIVIDE(VLOOKUP($B1262,Data!$B$3:$AB$1535,9,FALSE),VLOOKUP($B1262,Data!$B$3:$AB$1535,4,FALSE)),"")</f>
        <v>0.3144303797</v>
      </c>
      <c r="D1262" s="48">
        <f>IFERROR(DIVIDE(VLOOKUP($B1262,Data!$B$3:$AB$1535,24,FALSE),VLOOKUP($B1262,Data!$B$3:$AB$1535,4,FALSE)),"")</f>
        <v>0.1323101266</v>
      </c>
      <c r="E1262" s="48">
        <f>IFERROR(DIVIDE(VLOOKUP($B1262,Data!$B$3:$EZ1530,29,FALSE),VLOOKUP($B1262,Data!$B$3:$EZ1530,4,FALSE)),"")</f>
        <v>0.1840506329</v>
      </c>
      <c r="F1262" s="48">
        <f>IFERROR(DIVIDE(VLOOKUP($B1262,Data!$B$3:$EZ1530,34,FALSE),VLOOKUP($B1262,Data!$B$3:$EZ1530,4,FALSE)),"")</f>
        <v>0.1628164557</v>
      </c>
      <c r="G1262" s="48">
        <f>IFERROR(DIVIDE(VLOOKUP($B1262,Data!$B$3:$EZ1530,39,FALSE),VLOOKUP($B1262,Data!$B$3:$EZ1530,4,FALSE)),"")</f>
        <v>0.1383544304</v>
      </c>
      <c r="H1262" s="48">
        <f>IFERROR(DIVIDE(VLOOKUP($B1262,Data!$B$3:$EZ1530,44,FALSE),VLOOKUP($B1262,Data!$B$3:$EZ1530,4,FALSE)),"")</f>
        <v>0.0717721519</v>
      </c>
      <c r="I1262" s="48">
        <f>IFERROR(MINUS(DIVIDE(VLOOKUP($B1262,Data!$B$3:$EZ1530,9,FALSE),VLOOKUP($B1262,Data!$B$3:$EZ1530,10,FALSE)),1),"")</f>
        <v>0.167842031</v>
      </c>
      <c r="J1262" s="48">
        <f>IFERROR(MINUS(DIVIDE(VLOOKUP($B1262,Data!$B$3:$EZ1530,24,FALSE),VLOOKUP($B1262,Data!$B$3:$EZ1530,25,FALSE)),1),"")</f>
        <v>1.072880516</v>
      </c>
      <c r="K1262" s="48">
        <f>IFERROR(MINUS(DIVIDE(VLOOKUP($B1262,Data!$B$3:$EZ1530,29,FALSE),VLOOKUP($B1262,Data!$B$3:$EZ1530,30,FALSE)),1),"")</f>
        <v>4.026793431</v>
      </c>
      <c r="L1262" s="48">
        <f>IFERROR(MINUS(DIVIDE(VLOOKUP($B1262,Data!$B$3:$EZ1530,34,FALSE),VLOOKUP($B1262,Data!$B$3:$EZ1530,35,FALSE)),1),"")</f>
        <v>0.2163120567</v>
      </c>
      <c r="M1262" s="48">
        <f>IFERROR(MINUS(DIVIDE(VLOOKUP($B1262,Data!$B$3:$EZ1530,39,FALSE),VLOOKUP($B1262,Data!$B$3:$EZ1530,40,FALSE)),1),"")</f>
        <v>2.426332288</v>
      </c>
      <c r="N1262" s="48">
        <f>IFERROR(MINUS(DIVIDE(VLOOKUP($B1262,Data!$B$3:$EZ1530,44,FALSE),VLOOKUP($B1262,Data!$B$3:$EZ1530,45,FALSE)),1),"")</f>
        <v>-0.337810219</v>
      </c>
      <c r="O1262" s="50">
        <f>IFERROR(VLOOKUP($B1262,Data!$B$3:$D1530,2,FALSE),"")</f>
        <v>3780000</v>
      </c>
      <c r="P1262" s="50">
        <f>IFERROR(VLOOKUP($B1262,Data!$B$3:$D1530,3,FALSE),"")</f>
        <v>3660000</v>
      </c>
      <c r="Q1262" s="48">
        <f t="shared" si="2"/>
        <v>0.03278688525</v>
      </c>
      <c r="R1262" s="48"/>
      <c r="S1262" s="48"/>
      <c r="T1262" s="48"/>
      <c r="U1262" s="48"/>
      <c r="V1262" s="48"/>
      <c r="W1262" s="50"/>
      <c r="Z1262" s="11"/>
      <c r="AA1262" s="11"/>
    </row>
    <row r="1263">
      <c r="A1263" s="9">
        <f t="shared" si="1"/>
        <v>1260</v>
      </c>
      <c r="B1263" s="47" t="s">
        <v>1397</v>
      </c>
      <c r="C1263" s="48">
        <f>IFERROR(DIVIDE(VLOOKUP($B1263,Data!$B$3:$AB$1535,9,FALSE),VLOOKUP($B1263,Data!$B$3:$AB$1535,4,FALSE)),"")</f>
        <v>0.2705080645</v>
      </c>
      <c r="D1263" s="48">
        <f>IFERROR(DIVIDE(VLOOKUP($B1263,Data!$B$3:$AB$1535,24,FALSE),VLOOKUP($B1263,Data!$B$3:$AB$1535,4,FALSE)),"")</f>
        <v>-0.0005677419355</v>
      </c>
      <c r="E1263" s="48">
        <f>IFERROR(DIVIDE(VLOOKUP($B1263,Data!$B$3:$EZ1530,29,FALSE),VLOOKUP($B1263,Data!$B$3:$EZ1530,4,FALSE)),"")</f>
        <v>-0.007919354839</v>
      </c>
      <c r="F1263" s="48">
        <f>IFERROR(DIVIDE(VLOOKUP($B1263,Data!$B$3:$EZ1530,34,FALSE),VLOOKUP($B1263,Data!$B$3:$EZ1530,4,FALSE)),"")</f>
        <v>0.02536290323</v>
      </c>
      <c r="G1263" s="48">
        <f>IFERROR(DIVIDE(VLOOKUP($B1263,Data!$B$3:$EZ1530,39,FALSE),VLOOKUP($B1263,Data!$B$3:$EZ1530,4,FALSE)),"")</f>
        <v>-0.008435483871</v>
      </c>
      <c r="H1263" s="48">
        <f>IFERROR(DIVIDE(VLOOKUP($B1263,Data!$B$3:$EZ1530,44,FALSE),VLOOKUP($B1263,Data!$B$3:$EZ1530,4,FALSE)),"")</f>
        <v>0.01346774194</v>
      </c>
      <c r="I1263" s="48">
        <f>IFERROR(MINUS(DIVIDE(VLOOKUP($B1263,Data!$B$3:$EZ1530,9,FALSE),VLOOKUP($B1263,Data!$B$3:$EZ1530,10,FALSE)),1),"")</f>
        <v>-0.04955797348</v>
      </c>
      <c r="J1263" s="48">
        <f>IFERROR(MINUS(DIVIDE(VLOOKUP($B1263,Data!$B$3:$EZ1530,24,FALSE),VLOOKUP($B1263,Data!$B$3:$EZ1530,25,FALSE)),1),"")</f>
        <v>-0.8603174603</v>
      </c>
      <c r="K1263" s="48">
        <f>IFERROR(MINUS(DIVIDE(VLOOKUP($B1263,Data!$B$3:$EZ1530,29,FALSE),VLOOKUP($B1263,Data!$B$3:$EZ1530,30,FALSE)),1),"")</f>
        <v>0.5838709677</v>
      </c>
      <c r="L1263" s="48">
        <f>IFERROR(MINUS(DIVIDE(VLOOKUP($B1263,Data!$B$3:$EZ1530,34,FALSE),VLOOKUP($B1263,Data!$B$3:$EZ1530,35,FALSE)),1),"")</f>
        <v>-0.2368357195</v>
      </c>
      <c r="M1263" s="48">
        <f>IFERROR(MINUS(DIVIDE(VLOOKUP($B1263,Data!$B$3:$EZ1530,39,FALSE),VLOOKUP($B1263,Data!$B$3:$EZ1530,40,FALSE)),1),"")</f>
        <v>0.6952998379</v>
      </c>
      <c r="N1263" s="48">
        <f>IFERROR(MINUS(DIVIDE(VLOOKUP($B1263,Data!$B$3:$EZ1530,44,FALSE),VLOOKUP($B1263,Data!$B$3:$EZ1530,45,FALSE)),1),"")</f>
        <v>0.8764044944</v>
      </c>
      <c r="O1263" s="50" t="str">
        <f>IFERROR(VLOOKUP($B1263,Data!$B$3:$D1530,2,FALSE),"")</f>
        <v/>
      </c>
      <c r="P1263" s="50" t="str">
        <f>IFERROR(VLOOKUP($B1263,Data!$B$3:$D1530,3,FALSE),"")</f>
        <v/>
      </c>
      <c r="Q1263" s="48" t="str">
        <f t="shared" si="2"/>
        <v/>
      </c>
      <c r="R1263" s="48"/>
      <c r="S1263" s="48"/>
      <c r="T1263" s="48"/>
      <c r="U1263" s="48"/>
      <c r="V1263" s="48"/>
      <c r="W1263" s="50"/>
      <c r="Z1263" s="12"/>
      <c r="AA1263" s="12"/>
    </row>
    <row r="1264">
      <c r="A1264" s="9">
        <f t="shared" si="1"/>
        <v>1261</v>
      </c>
      <c r="B1264" s="47" t="s">
        <v>1398</v>
      </c>
      <c r="C1264" s="48">
        <f>IFERROR(DIVIDE(VLOOKUP($B1264,Data!$B$3:$AB$1535,9,FALSE),VLOOKUP($B1264,Data!$B$3:$AB$1535,4,FALSE)),"")</f>
        <v>0.5847199138</v>
      </c>
      <c r="D1264" s="48">
        <f>IFERROR(DIVIDE(VLOOKUP($B1264,Data!$B$3:$AB$1535,24,FALSE),VLOOKUP($B1264,Data!$B$3:$AB$1535,4,FALSE)),"")</f>
        <v>0.09278369345</v>
      </c>
      <c r="E1264" s="48">
        <f>IFERROR(DIVIDE(VLOOKUP($B1264,Data!$B$3:$EZ1530,29,FALSE),VLOOKUP($B1264,Data!$B$3:$EZ1530,4,FALSE)),"")</f>
        <v>0.08144143486</v>
      </c>
      <c r="F1264" s="48">
        <f>IFERROR(DIVIDE(VLOOKUP($B1264,Data!$B$3:$EZ1530,34,FALSE),VLOOKUP($B1264,Data!$B$3:$EZ1530,4,FALSE)),"")</f>
        <v>0.165129404</v>
      </c>
      <c r="G1264" s="48">
        <f>IFERROR(DIVIDE(VLOOKUP($B1264,Data!$B$3:$EZ1530,39,FALSE),VLOOKUP($B1264,Data!$B$3:$EZ1530,4,FALSE)),"")</f>
        <v>0.05820898248</v>
      </c>
      <c r="H1264" s="48">
        <f>IFERROR(DIVIDE(VLOOKUP($B1264,Data!$B$3:$EZ1530,44,FALSE),VLOOKUP($B1264,Data!$B$3:$EZ1530,4,FALSE)),"")</f>
        <v>0.2166535771</v>
      </c>
      <c r="I1264" s="48">
        <f>IFERROR(MINUS(DIVIDE(VLOOKUP($B1264,Data!$B$3:$EZ1530,9,FALSE),VLOOKUP($B1264,Data!$B$3:$EZ1530,10,FALSE)),1),"")</f>
        <v>-0.08628021806</v>
      </c>
      <c r="J1264" s="48">
        <f>IFERROR(MINUS(DIVIDE(VLOOKUP($B1264,Data!$B$3:$EZ1530,24,FALSE),VLOOKUP($B1264,Data!$B$3:$EZ1530,25,FALSE)),1),"")</f>
        <v>-4.825301205</v>
      </c>
      <c r="K1264" s="48">
        <f>IFERROR(MINUS(DIVIDE(VLOOKUP($B1264,Data!$B$3:$EZ1530,29,FALSE),VLOOKUP($B1264,Data!$B$3:$EZ1530,30,FALSE)),1),"")</f>
        <v>-0.3640901312</v>
      </c>
      <c r="L1264" s="48">
        <f>IFERROR(MINUS(DIVIDE(VLOOKUP($B1264,Data!$B$3:$EZ1530,34,FALSE),VLOOKUP($B1264,Data!$B$3:$EZ1530,35,FALSE)),1),"")</f>
        <v>-0.3467957518</v>
      </c>
      <c r="M1264" s="48">
        <f>IFERROR(MINUS(DIVIDE(VLOOKUP($B1264,Data!$B$3:$EZ1530,39,FALSE),VLOOKUP($B1264,Data!$B$3:$EZ1530,40,FALSE)),1),"")</f>
        <v>-0.5423607122</v>
      </c>
      <c r="N1264" s="48">
        <f>IFERROR(MINUS(DIVIDE(VLOOKUP($B1264,Data!$B$3:$EZ1530,44,FALSE),VLOOKUP($B1264,Data!$B$3:$EZ1530,45,FALSE)),1),"")</f>
        <v>-0.3537807801</v>
      </c>
      <c r="O1264" s="50">
        <f>IFERROR(VLOOKUP($B1264,Data!$B$3:$D1530,2,FALSE),"")</f>
        <v>632620</v>
      </c>
      <c r="P1264" s="50">
        <f>IFERROR(VLOOKUP($B1264,Data!$B$3:$D1530,3,FALSE),"")</f>
        <v>568430</v>
      </c>
      <c r="Q1264" s="48">
        <f t="shared" si="2"/>
        <v>0.1129250743</v>
      </c>
      <c r="R1264" s="48"/>
      <c r="S1264" s="48"/>
      <c r="T1264" s="48"/>
      <c r="U1264" s="48"/>
      <c r="V1264" s="48"/>
      <c r="W1264" s="50"/>
      <c r="Z1264" s="15"/>
      <c r="AA1264" s="15"/>
    </row>
    <row r="1265">
      <c r="A1265" s="9">
        <f t="shared" si="1"/>
        <v>1262</v>
      </c>
      <c r="B1265" s="47" t="s">
        <v>1399</v>
      </c>
      <c r="C1265" s="48">
        <f>IFERROR(DIVIDE(VLOOKUP($B1265,Data!$B$3:$AB$1535,9,FALSE),VLOOKUP($B1265,Data!$B$3:$AB$1535,4,FALSE)),"")</f>
        <v>0.6176470588</v>
      </c>
      <c r="D1265" s="48">
        <f>IFERROR(DIVIDE(VLOOKUP($B1265,Data!$B$3:$AB$1535,24,FALSE),VLOOKUP($B1265,Data!$B$3:$AB$1535,4,FALSE)),"")</f>
        <v>0</v>
      </c>
      <c r="E1265" s="48">
        <f>IFERROR(DIVIDE(VLOOKUP($B1265,Data!$B$3:$EZ1530,29,FALSE),VLOOKUP($B1265,Data!$B$3:$EZ1530,4,FALSE)),"")</f>
        <v>0.05912352941</v>
      </c>
      <c r="F1265" s="48">
        <f>IFERROR(DIVIDE(VLOOKUP($B1265,Data!$B$3:$EZ1530,34,FALSE),VLOOKUP($B1265,Data!$B$3:$EZ1530,4,FALSE)),"")</f>
        <v>0.1023294118</v>
      </c>
      <c r="G1265" s="48">
        <f>IFERROR(DIVIDE(VLOOKUP($B1265,Data!$B$3:$EZ1530,39,FALSE),VLOOKUP($B1265,Data!$B$3:$EZ1530,4,FALSE)),"")</f>
        <v>0.04814705882</v>
      </c>
      <c r="H1265" s="48">
        <f>IFERROR(DIVIDE(VLOOKUP($B1265,Data!$B$3:$EZ1530,44,FALSE),VLOOKUP($B1265,Data!$B$3:$EZ1530,4,FALSE)),"")</f>
        <v>0.1112705882</v>
      </c>
      <c r="I1265" s="48">
        <f>IFERROR(MINUS(DIVIDE(VLOOKUP($B1265,Data!$B$3:$EZ1530,9,FALSE),VLOOKUP($B1265,Data!$B$3:$EZ1530,10,FALSE)),1),"")</f>
        <v>0.1315142894</v>
      </c>
      <c r="J1265" s="48" t="str">
        <f>IFERROR(MINUS(DIVIDE(VLOOKUP($B1265,Data!$B$3:$EZ1530,24,FALSE),VLOOKUP($B1265,Data!$B$3:$EZ1530,25,FALSE)),1),"")</f>
        <v/>
      </c>
      <c r="K1265" s="48">
        <f>IFERROR(MINUS(DIVIDE(VLOOKUP($B1265,Data!$B$3:$EZ1530,29,FALSE),VLOOKUP($B1265,Data!$B$3:$EZ1530,30,FALSE)),1),"")</f>
        <v>0.1616967175</v>
      </c>
      <c r="L1265" s="48">
        <f>IFERROR(MINUS(DIVIDE(VLOOKUP($B1265,Data!$B$3:$EZ1530,34,FALSE),VLOOKUP($B1265,Data!$B$3:$EZ1530,35,FALSE)),1),"")</f>
        <v>0.1267569143</v>
      </c>
      <c r="M1265" s="48">
        <f>IFERROR(MINUS(DIVIDE(VLOOKUP($B1265,Data!$B$3:$EZ1530,39,FALSE),VLOOKUP($B1265,Data!$B$3:$EZ1530,40,FALSE)),1),"")</f>
        <v>0.1770204199</v>
      </c>
      <c r="N1265" s="48">
        <f>IFERROR(MINUS(DIVIDE(VLOOKUP($B1265,Data!$B$3:$EZ1530,44,FALSE),VLOOKUP($B1265,Data!$B$3:$EZ1530,45,FALSE)),1),"")</f>
        <v>0.4380416603</v>
      </c>
      <c r="O1265" s="50">
        <f>IFERROR(VLOOKUP($B1265,Data!$B$3:$D1530,2,FALSE),"")</f>
        <v>1810000</v>
      </c>
      <c r="P1265" s="50">
        <f>IFERROR(VLOOKUP($B1265,Data!$B$3:$D1530,3,FALSE),"")</f>
        <v>1730000</v>
      </c>
      <c r="Q1265" s="48">
        <f t="shared" si="2"/>
        <v>0.04624277457</v>
      </c>
      <c r="R1265" s="48"/>
      <c r="S1265" s="48"/>
      <c r="T1265" s="48"/>
      <c r="U1265" s="48"/>
      <c r="V1265" s="48"/>
      <c r="W1265" s="50"/>
      <c r="Z1265" s="12"/>
      <c r="AA1265" s="12"/>
    </row>
    <row r="1266">
      <c r="A1266" s="9">
        <f t="shared" si="1"/>
        <v>1263</v>
      </c>
      <c r="B1266" s="47" t="s">
        <v>1400</v>
      </c>
      <c r="C1266" s="48">
        <f>IFERROR(DIVIDE(VLOOKUP($B1266,Data!$B$3:$AB$1535,9,FALSE),VLOOKUP($B1266,Data!$B$3:$AB$1535,4,FALSE)),"")</f>
        <v>0.287810529</v>
      </c>
      <c r="D1266" s="48">
        <f>IFERROR(DIVIDE(VLOOKUP($B1266,Data!$B$3:$AB$1535,24,FALSE),VLOOKUP($B1266,Data!$B$3:$AB$1535,4,FALSE)),"")</f>
        <v>0.1841506843</v>
      </c>
      <c r="E1266" s="48">
        <f>IFERROR(DIVIDE(VLOOKUP($B1266,Data!$B$3:$EZ1530,29,FALSE),VLOOKUP($B1266,Data!$B$3:$EZ1530,4,FALSE)),"")</f>
        <v>0.1691766422</v>
      </c>
      <c r="F1266" s="48">
        <f>IFERROR(DIVIDE(VLOOKUP($B1266,Data!$B$3:$EZ1530,34,FALSE),VLOOKUP($B1266,Data!$B$3:$EZ1530,4,FALSE)),"")</f>
        <v>0.358604711</v>
      </c>
      <c r="G1266" s="48">
        <f>IFERROR(DIVIDE(VLOOKUP($B1266,Data!$B$3:$EZ1530,39,FALSE),VLOOKUP($B1266,Data!$B$3:$EZ1530,4,FALSE)),"")</f>
        <v>0.1356673961</v>
      </c>
      <c r="H1266" s="48">
        <f>IFERROR(DIVIDE(VLOOKUP($B1266,Data!$B$3:$EZ1530,44,FALSE),VLOOKUP($B1266,Data!$B$3:$EZ1530,4,FALSE)),"")</f>
        <v>0.1914875359</v>
      </c>
      <c r="I1266" s="48">
        <f>IFERROR(MINUS(DIVIDE(VLOOKUP($B1266,Data!$B$3:$EZ1530,9,FALSE),VLOOKUP($B1266,Data!$B$3:$EZ1530,10,FALSE)),1),"")</f>
        <v>0.2267739576</v>
      </c>
      <c r="J1266" s="48">
        <f>IFERROR(MINUS(DIVIDE(VLOOKUP($B1266,Data!$B$3:$EZ1530,24,FALSE),VLOOKUP($B1266,Data!$B$3:$EZ1530,25,FALSE)),1),"")</f>
        <v>0.658423493</v>
      </c>
      <c r="K1266" s="48">
        <f>IFERROR(MINUS(DIVIDE(VLOOKUP($B1266,Data!$B$3:$EZ1530,29,FALSE),VLOOKUP($B1266,Data!$B$3:$EZ1530,30,FALSE)),1),"")</f>
        <v>0.6560268795</v>
      </c>
      <c r="L1266" s="48">
        <f>IFERROR(MINUS(DIVIDE(VLOOKUP($B1266,Data!$B$3:$EZ1530,34,FALSE),VLOOKUP($B1266,Data!$B$3:$EZ1530,35,FALSE)),1),"")</f>
        <v>0.3654631596</v>
      </c>
      <c r="M1266" s="48">
        <f>IFERROR(MINUS(DIVIDE(VLOOKUP($B1266,Data!$B$3:$EZ1530,39,FALSE),VLOOKUP($B1266,Data!$B$3:$EZ1530,40,FALSE)),1),"")</f>
        <v>0.6918138042</v>
      </c>
      <c r="N1266" s="48">
        <f>IFERROR(MINUS(DIVIDE(VLOOKUP($B1266,Data!$B$3:$EZ1530,44,FALSE),VLOOKUP($B1266,Data!$B$3:$EZ1530,45,FALSE)),1),"")</f>
        <v>-0.1233549401</v>
      </c>
      <c r="O1266" s="50">
        <f>IFERROR(VLOOKUP($B1266,Data!$B$3:$D1530,2,FALSE),"")</f>
        <v>121810</v>
      </c>
      <c r="P1266" s="50">
        <f>IFERROR(VLOOKUP($B1266,Data!$B$3:$D1530,3,FALSE),"")</f>
        <v>124790</v>
      </c>
      <c r="Q1266" s="48">
        <f t="shared" si="2"/>
        <v>-0.0238801186</v>
      </c>
      <c r="R1266" s="48"/>
      <c r="S1266" s="48"/>
      <c r="T1266" s="48"/>
      <c r="U1266" s="48"/>
      <c r="V1266" s="48"/>
      <c r="W1266" s="50"/>
      <c r="Z1266" s="15"/>
      <c r="AA1266" s="15"/>
    </row>
    <row r="1267">
      <c r="A1267" s="9">
        <f t="shared" si="1"/>
        <v>1264</v>
      </c>
      <c r="B1267" s="47" t="s">
        <v>1401</v>
      </c>
      <c r="C1267" s="48">
        <f>IFERROR(DIVIDE(VLOOKUP($B1267,Data!$B$3:$AB$1535,9,FALSE),VLOOKUP($B1267,Data!$B$3:$AB$1535,4,FALSE)),"")</f>
        <v>0.09189473684</v>
      </c>
      <c r="D1267" s="48">
        <f>IFERROR(DIVIDE(VLOOKUP($B1267,Data!$B$3:$AB$1535,24,FALSE),VLOOKUP($B1267,Data!$B$3:$AB$1535,4,FALSE)),"")</f>
        <v>0.04374736842</v>
      </c>
      <c r="E1267" s="48">
        <f>IFERROR(DIVIDE(VLOOKUP($B1267,Data!$B$3:$EZ1530,29,FALSE),VLOOKUP($B1267,Data!$B$3:$EZ1530,4,FALSE)),"")</f>
        <v>0.04170526316</v>
      </c>
      <c r="F1267" s="48">
        <f>IFERROR(DIVIDE(VLOOKUP($B1267,Data!$B$3:$EZ1530,34,FALSE),VLOOKUP($B1267,Data!$B$3:$EZ1530,4,FALSE)),"")</f>
        <v>0.1291157895</v>
      </c>
      <c r="G1267" s="48">
        <f>IFERROR(DIVIDE(VLOOKUP($B1267,Data!$B$3:$EZ1530,39,FALSE),VLOOKUP($B1267,Data!$B$3:$EZ1530,4,FALSE)),"")</f>
        <v>0.03094736842</v>
      </c>
      <c r="H1267" s="48">
        <f>IFERROR(DIVIDE(VLOOKUP($B1267,Data!$B$3:$EZ1530,44,FALSE),VLOOKUP($B1267,Data!$B$3:$EZ1530,4,FALSE)),"")</f>
        <v>0.1339578947</v>
      </c>
      <c r="I1267" s="48">
        <f>IFERROR(MINUS(DIVIDE(VLOOKUP($B1267,Data!$B$3:$EZ1530,9,FALSE),VLOOKUP($B1267,Data!$B$3:$EZ1530,10,FALSE)),1),"")</f>
        <v>-0.1639532657</v>
      </c>
      <c r="J1267" s="48">
        <f>IFERROR(MINUS(DIVIDE(VLOOKUP($B1267,Data!$B$3:$EZ1530,24,FALSE),VLOOKUP($B1267,Data!$B$3:$EZ1530,25,FALSE)),1),"")</f>
        <v>-0.4470463012</v>
      </c>
      <c r="K1267" s="48">
        <f>IFERROR(MINUS(DIVIDE(VLOOKUP($B1267,Data!$B$3:$EZ1530,29,FALSE),VLOOKUP($B1267,Data!$B$3:$EZ1530,30,FALSE)),1),"")</f>
        <v>-0.4566648382</v>
      </c>
      <c r="L1267" s="48">
        <f>IFERROR(MINUS(DIVIDE(VLOOKUP($B1267,Data!$B$3:$EZ1530,34,FALSE),VLOOKUP($B1267,Data!$B$3:$EZ1530,35,FALSE)),1),"")</f>
        <v>-0.09127278115</v>
      </c>
      <c r="M1267" s="48">
        <f>IFERROR(MINUS(DIVIDE(VLOOKUP($B1267,Data!$B$3:$EZ1530,39,FALSE),VLOOKUP($B1267,Data!$B$3:$EZ1530,40,FALSE)),1),"")</f>
        <v>-0.4533283749</v>
      </c>
      <c r="N1267" s="48">
        <f>IFERROR(MINUS(DIVIDE(VLOOKUP($B1267,Data!$B$3:$EZ1530,44,FALSE),VLOOKUP($B1267,Data!$B$3:$EZ1530,45,FALSE)),1),"")</f>
        <v>0.1232127096</v>
      </c>
      <c r="O1267" s="50">
        <f>IFERROR(VLOOKUP($B1267,Data!$B$3:$D1530,2,FALSE),"")</f>
        <v>4730000</v>
      </c>
      <c r="P1267" s="50">
        <f>IFERROR(VLOOKUP($B1267,Data!$B$3:$D1530,3,FALSE),"")</f>
        <v>4420000</v>
      </c>
      <c r="Q1267" s="48">
        <f t="shared" si="2"/>
        <v>0.07013574661</v>
      </c>
      <c r="R1267" s="48"/>
      <c r="S1267" s="48"/>
      <c r="T1267" s="48"/>
      <c r="U1267" s="48"/>
      <c r="V1267" s="48"/>
      <c r="W1267" s="50"/>
      <c r="Z1267" s="15"/>
      <c r="AA1267" s="15"/>
    </row>
    <row r="1268">
      <c r="A1268" s="9">
        <f t="shared" si="1"/>
        <v>1265</v>
      </c>
      <c r="B1268" s="47" t="s">
        <v>1402</v>
      </c>
      <c r="C1268" s="48">
        <f>IFERROR(DIVIDE(VLOOKUP($B1268,Data!$B$3:$AB$1535,9,FALSE),VLOOKUP($B1268,Data!$B$3:$AB$1535,4,FALSE)),"")</f>
        <v>0</v>
      </c>
      <c r="D1268" s="48">
        <f>IFERROR(DIVIDE(VLOOKUP($B1268,Data!$B$3:$AB$1535,24,FALSE),VLOOKUP($B1268,Data!$B$3:$AB$1535,4,FALSE)),"")</f>
        <v>0</v>
      </c>
      <c r="E1268" s="48">
        <f>IFERROR(DIVIDE(VLOOKUP($B1268,Data!$B$3:$EZ1530,29,FALSE),VLOOKUP($B1268,Data!$B$3:$EZ1530,4,FALSE)),"")</f>
        <v>-36.875</v>
      </c>
      <c r="F1268" s="48">
        <f>IFERROR(DIVIDE(VLOOKUP($B1268,Data!$B$3:$EZ1530,34,FALSE),VLOOKUP($B1268,Data!$B$3:$EZ1530,4,FALSE)),"")</f>
        <v>-37.55921053</v>
      </c>
      <c r="G1268" s="48">
        <f>IFERROR(DIVIDE(VLOOKUP($B1268,Data!$B$3:$EZ1530,39,FALSE),VLOOKUP($B1268,Data!$B$3:$EZ1530,4,FALSE)),"")</f>
        <v>-36.875</v>
      </c>
      <c r="H1268" s="48">
        <f>IFERROR(DIVIDE(VLOOKUP($B1268,Data!$B$3:$EZ1530,44,FALSE),VLOOKUP($B1268,Data!$B$3:$EZ1530,4,FALSE)),"")</f>
        <v>-33.29605263</v>
      </c>
      <c r="I1268" s="48" t="str">
        <f>IFERROR(MINUS(DIVIDE(VLOOKUP($B1268,Data!$B$3:$EZ1530,9,FALSE),VLOOKUP($B1268,Data!$B$3:$EZ1530,10,FALSE)),1),"")</f>
        <v/>
      </c>
      <c r="J1268" s="48" t="str">
        <f>IFERROR(MINUS(DIVIDE(VLOOKUP($B1268,Data!$B$3:$EZ1530,24,FALSE),VLOOKUP($B1268,Data!$B$3:$EZ1530,25,FALSE)),1),"")</f>
        <v/>
      </c>
      <c r="K1268" s="48">
        <f>IFERROR(MINUS(DIVIDE(VLOOKUP($B1268,Data!$B$3:$EZ1530,29,FALSE),VLOOKUP($B1268,Data!$B$3:$EZ1530,30,FALSE)),1),"")</f>
        <v>-0.2421579232</v>
      </c>
      <c r="L1268" s="48">
        <f>IFERROR(MINUS(DIVIDE(VLOOKUP($B1268,Data!$B$3:$EZ1530,34,FALSE),VLOOKUP($B1268,Data!$B$3:$EZ1530,35,FALSE)),1),"")</f>
        <v>-0.2468337731</v>
      </c>
      <c r="M1268" s="48">
        <f>IFERROR(MINUS(DIVIDE(VLOOKUP($B1268,Data!$B$3:$EZ1530,39,FALSE),VLOOKUP($B1268,Data!$B$3:$EZ1530,40,FALSE)),1),"")</f>
        <v>-0.2421579232</v>
      </c>
      <c r="N1268" s="48">
        <f>IFERROR(MINUS(DIVIDE(VLOOKUP($B1268,Data!$B$3:$EZ1530,44,FALSE),VLOOKUP($B1268,Data!$B$3:$EZ1530,45,FALSE)),1),"")</f>
        <v>-0.2614913177</v>
      </c>
      <c r="O1268" s="50" t="str">
        <f>IFERROR(VLOOKUP($B1268,Data!$B$3:$D1530,2,FALSE),"")</f>
        <v/>
      </c>
      <c r="P1268" s="50">
        <f>IFERROR(VLOOKUP($B1268,Data!$B$3:$D1530,3,FALSE),"")</f>
        <v>1500</v>
      </c>
      <c r="Q1268" s="48">
        <f t="shared" si="2"/>
        <v>-1</v>
      </c>
      <c r="R1268" s="48"/>
      <c r="S1268" s="48"/>
      <c r="T1268" s="48"/>
      <c r="U1268" s="48"/>
      <c r="V1268" s="48"/>
      <c r="W1268" s="50"/>
      <c r="Z1268" s="12"/>
      <c r="AA1268" s="12"/>
    </row>
    <row r="1269">
      <c r="A1269" s="9">
        <f t="shared" si="1"/>
        <v>1266</v>
      </c>
      <c r="B1269" s="47" t="s">
        <v>1403</v>
      </c>
      <c r="C1269" s="48" t="str">
        <f>IFERROR(DIVIDE(VLOOKUP($B1269,Data!$B$3:$AB$1535,9,FALSE),VLOOKUP($B1269,Data!$B$3:$AB$1535,4,FALSE)),"")</f>
        <v/>
      </c>
      <c r="D1269" s="48" t="str">
        <f>IFERROR(DIVIDE(VLOOKUP($B1269,Data!$B$3:$AB$1535,24,FALSE),VLOOKUP($B1269,Data!$B$3:$AB$1535,4,FALSE)),"")</f>
        <v/>
      </c>
      <c r="E1269" s="48" t="str">
        <f>IFERROR(DIVIDE(VLOOKUP($B1269,Data!$B$3:$EZ1530,29,FALSE),VLOOKUP($B1269,Data!$B$3:$EZ1530,4,FALSE)),"")</f>
        <v/>
      </c>
      <c r="F1269" s="48" t="str">
        <f>IFERROR(DIVIDE(VLOOKUP($B1269,Data!$B$3:$EZ1530,34,FALSE),VLOOKUP($B1269,Data!$B$3:$EZ1530,4,FALSE)),"")</f>
        <v/>
      </c>
      <c r="G1269" s="48" t="str">
        <f>IFERROR(DIVIDE(VLOOKUP($B1269,Data!$B$3:$EZ1530,39,FALSE),VLOOKUP($B1269,Data!$B$3:$EZ1530,4,FALSE)),"")</f>
        <v/>
      </c>
      <c r="H1269" s="48" t="str">
        <f>IFERROR(DIVIDE(VLOOKUP($B1269,Data!$B$3:$EZ1530,44,FALSE),VLOOKUP($B1269,Data!$B$3:$EZ1530,4,FALSE)),"")</f>
        <v/>
      </c>
      <c r="I1269" s="48" t="str">
        <f>IFERROR(MINUS(DIVIDE(VLOOKUP($B1269,Data!$B$3:$EZ1530,9,FALSE),VLOOKUP($B1269,Data!$B$3:$EZ1530,10,FALSE)),1),"")</f>
        <v/>
      </c>
      <c r="J1269" s="48">
        <f>IFERROR(MINUS(DIVIDE(VLOOKUP($B1269,Data!$B$3:$EZ1530,24,FALSE),VLOOKUP($B1269,Data!$B$3:$EZ1530,25,FALSE)),1),"")</f>
        <v>-0.07410128872</v>
      </c>
      <c r="K1269" s="48" t="str">
        <f>IFERROR(MINUS(DIVIDE(VLOOKUP($B1269,Data!$B$3:$EZ1530,29,FALSE),VLOOKUP($B1269,Data!$B$3:$EZ1530,30,FALSE)),1),"")</f>
        <v/>
      </c>
      <c r="L1269" s="48" t="str">
        <f>IFERROR(MINUS(DIVIDE(VLOOKUP($B1269,Data!$B$3:$EZ1530,34,FALSE),VLOOKUP($B1269,Data!$B$3:$EZ1530,35,FALSE)),1),"")</f>
        <v/>
      </c>
      <c r="M1269" s="48">
        <f>IFERROR(MINUS(DIVIDE(VLOOKUP($B1269,Data!$B$3:$EZ1530,39,FALSE),VLOOKUP($B1269,Data!$B$3:$EZ1530,40,FALSE)),1),"")</f>
        <v>-0.3646086852</v>
      </c>
      <c r="N1269" s="48" t="str">
        <f>IFERROR(MINUS(DIVIDE(VLOOKUP($B1269,Data!$B$3:$EZ1530,44,FALSE),VLOOKUP($B1269,Data!$B$3:$EZ1530,45,FALSE)),1),"")</f>
        <v/>
      </c>
      <c r="O1269" s="50">
        <f>IFERROR(VLOOKUP($B1269,Data!$B$3:$D1530,2,FALSE),"")</f>
        <v>85920000</v>
      </c>
      <c r="P1269" s="50">
        <f>IFERROR(VLOOKUP($B1269,Data!$B$3:$D1530,3,FALSE),"")</f>
        <v>79250000</v>
      </c>
      <c r="Q1269" s="48">
        <f t="shared" si="2"/>
        <v>0.08416403785</v>
      </c>
      <c r="R1269" s="48"/>
      <c r="S1269" s="48"/>
      <c r="T1269" s="48"/>
      <c r="U1269" s="48"/>
      <c r="V1269" s="48"/>
      <c r="W1269" s="50"/>
      <c r="Z1269" s="11"/>
      <c r="AA1269" s="11"/>
    </row>
    <row r="1270">
      <c r="A1270" s="9">
        <f t="shared" si="1"/>
        <v>1267</v>
      </c>
      <c r="B1270" s="47" t="s">
        <v>1404</v>
      </c>
      <c r="C1270" s="48">
        <f>IFERROR(DIVIDE(VLOOKUP($B1270,Data!$B$3:$AB$1535,9,FALSE),VLOOKUP($B1270,Data!$B$3:$AB$1535,4,FALSE)),"")</f>
        <v>0.3671083398</v>
      </c>
      <c r="D1270" s="48">
        <f>IFERROR(DIVIDE(VLOOKUP($B1270,Data!$B$3:$AB$1535,24,FALSE),VLOOKUP($B1270,Data!$B$3:$AB$1535,4,FALSE)),"")</f>
        <v>0</v>
      </c>
      <c r="E1270" s="48">
        <f>IFERROR(DIVIDE(VLOOKUP($B1270,Data!$B$3:$EZ1530,29,FALSE),VLOOKUP($B1270,Data!$B$3:$EZ1530,4,FALSE)),"")</f>
        <v>0</v>
      </c>
      <c r="F1270" s="48">
        <f>IFERROR(DIVIDE(VLOOKUP($B1270,Data!$B$3:$EZ1530,34,FALSE),VLOOKUP($B1270,Data!$B$3:$EZ1530,4,FALSE)),"")</f>
        <v>0.03172252533</v>
      </c>
      <c r="G1270" s="48">
        <f>IFERROR(DIVIDE(VLOOKUP($B1270,Data!$B$3:$EZ1530,39,FALSE),VLOOKUP($B1270,Data!$B$3:$EZ1530,4,FALSE)),"")</f>
        <v>0</v>
      </c>
      <c r="H1270" s="48">
        <f>IFERROR(DIVIDE(VLOOKUP($B1270,Data!$B$3:$EZ1530,44,FALSE),VLOOKUP($B1270,Data!$B$3:$EZ1530,4,FALSE)),"")</f>
        <v>0</v>
      </c>
      <c r="I1270" s="48">
        <f>IFERROR(MINUS(DIVIDE(VLOOKUP($B1270,Data!$B$3:$EZ1530,9,FALSE),VLOOKUP($B1270,Data!$B$3:$EZ1530,10,FALSE)),1),"")</f>
        <v>0.01290322581</v>
      </c>
      <c r="J1270" s="48" t="str">
        <f>IFERROR(MINUS(DIVIDE(VLOOKUP($B1270,Data!$B$3:$EZ1530,24,FALSE),VLOOKUP($B1270,Data!$B$3:$EZ1530,25,FALSE)),1),"")</f>
        <v/>
      </c>
      <c r="K1270" s="48" t="str">
        <f>IFERROR(MINUS(DIVIDE(VLOOKUP($B1270,Data!$B$3:$EZ1530,29,FALSE),VLOOKUP($B1270,Data!$B$3:$EZ1530,30,FALSE)),1),"")</f>
        <v/>
      </c>
      <c r="L1270" s="48">
        <f>IFERROR(MINUS(DIVIDE(VLOOKUP($B1270,Data!$B$3:$EZ1530,34,FALSE),VLOOKUP($B1270,Data!$B$3:$EZ1530,35,FALSE)),1),"")</f>
        <v>-0.1485355649</v>
      </c>
      <c r="M1270" s="48" t="str">
        <f>IFERROR(MINUS(DIVIDE(VLOOKUP($B1270,Data!$B$3:$EZ1530,39,FALSE),VLOOKUP($B1270,Data!$B$3:$EZ1530,40,FALSE)),1),"")</f>
        <v/>
      </c>
      <c r="N1270" s="48" t="str">
        <f>IFERROR(MINUS(DIVIDE(VLOOKUP($B1270,Data!$B$3:$EZ1530,44,FALSE),VLOOKUP($B1270,Data!$B$3:$EZ1530,45,FALSE)),1),"")</f>
        <v/>
      </c>
      <c r="O1270" s="50" t="str">
        <f>IFERROR(VLOOKUP($B1270,Data!$B$3:$D1530,2,FALSE),"")</f>
        <v/>
      </c>
      <c r="P1270" s="50" t="str">
        <f>IFERROR(VLOOKUP($B1270,Data!$B$3:$D1530,3,FALSE),"")</f>
        <v/>
      </c>
      <c r="Q1270" s="48" t="str">
        <f t="shared" si="2"/>
        <v/>
      </c>
      <c r="R1270" s="48"/>
      <c r="S1270" s="48"/>
      <c r="T1270" s="48"/>
      <c r="U1270" s="48"/>
      <c r="V1270" s="48"/>
      <c r="W1270" s="50"/>
      <c r="Z1270" s="12"/>
      <c r="AA1270" s="11"/>
    </row>
    <row r="1271">
      <c r="A1271" s="9">
        <f t="shared" si="1"/>
        <v>1268</v>
      </c>
      <c r="B1271" s="47" t="s">
        <v>1405</v>
      </c>
      <c r="C1271" s="48">
        <f>IFERROR(DIVIDE(VLOOKUP($B1271,Data!$B$3:$AB$1535,9,FALSE),VLOOKUP($B1271,Data!$B$3:$AB$1535,4,FALSE)),"")</f>
        <v>0.7022332506</v>
      </c>
      <c r="D1271" s="48">
        <f>IFERROR(DIVIDE(VLOOKUP($B1271,Data!$B$3:$AB$1535,24,FALSE),VLOOKUP($B1271,Data!$B$3:$AB$1535,4,FALSE)),"")</f>
        <v>0.1616352357</v>
      </c>
      <c r="E1271" s="48">
        <f>IFERROR(DIVIDE(VLOOKUP($B1271,Data!$B$3:$EZ1530,29,FALSE),VLOOKUP($B1271,Data!$B$3:$EZ1530,4,FALSE)),"")</f>
        <v>0.1443225806</v>
      </c>
      <c r="F1271" s="48">
        <f>IFERROR(DIVIDE(VLOOKUP($B1271,Data!$B$3:$EZ1530,34,FALSE),VLOOKUP($B1271,Data!$B$3:$EZ1530,4,FALSE)),"")</f>
        <v>0.2952853598</v>
      </c>
      <c r="G1271" s="48">
        <f>IFERROR(DIVIDE(VLOOKUP($B1271,Data!$B$3:$EZ1530,39,FALSE),VLOOKUP($B1271,Data!$B$3:$EZ1530,4,FALSE)),"")</f>
        <v>0.1167047146</v>
      </c>
      <c r="H1271" s="48">
        <f>IFERROR(DIVIDE(VLOOKUP($B1271,Data!$B$3:$EZ1530,44,FALSE),VLOOKUP($B1271,Data!$B$3:$EZ1530,4,FALSE)),"")</f>
        <v>0.2277667494</v>
      </c>
      <c r="I1271" s="48">
        <f>IFERROR(MINUS(DIVIDE(VLOOKUP($B1271,Data!$B$3:$EZ1530,9,FALSE),VLOOKUP($B1271,Data!$B$3:$EZ1530,10,FALSE)),1),"")</f>
        <v>0.09689922481</v>
      </c>
      <c r="J1271" s="48">
        <f>IFERROR(MINUS(DIVIDE(VLOOKUP($B1271,Data!$B$3:$EZ1530,24,FALSE),VLOOKUP($B1271,Data!$B$3:$EZ1530,25,FALSE)),1),"")</f>
        <v>-0.01522389865</v>
      </c>
      <c r="K1271" s="48">
        <f>IFERROR(MINUS(DIVIDE(VLOOKUP($B1271,Data!$B$3:$EZ1530,29,FALSE),VLOOKUP($B1271,Data!$B$3:$EZ1530,30,FALSE)),1),"")</f>
        <v>-0.02079229591</v>
      </c>
      <c r="L1271" s="48">
        <f>IFERROR(MINUS(DIVIDE(VLOOKUP($B1271,Data!$B$3:$EZ1530,34,FALSE),VLOOKUP($B1271,Data!$B$3:$EZ1530,35,FALSE)),1),"")</f>
        <v>0.08181818182</v>
      </c>
      <c r="M1271" s="48">
        <f>IFERROR(MINUS(DIVIDE(VLOOKUP($B1271,Data!$B$3:$EZ1530,39,FALSE),VLOOKUP($B1271,Data!$B$3:$EZ1530,40,FALSE)),1),"")</f>
        <v>-0.05410080045</v>
      </c>
      <c r="N1271" s="48">
        <f>IFERROR(MINUS(DIVIDE(VLOOKUP($B1271,Data!$B$3:$EZ1530,44,FALSE),VLOOKUP($B1271,Data!$B$3:$EZ1530,45,FALSE)),1),"")</f>
        <v>0.3118291864</v>
      </c>
      <c r="O1271" s="50" t="str">
        <f>IFERROR(VLOOKUP($B1271,Data!$B$3:$D1530,2,FALSE),"")</f>
        <v/>
      </c>
      <c r="P1271" s="50" t="str">
        <f>IFERROR(VLOOKUP($B1271,Data!$B$3:$D1530,3,FALSE),"")</f>
        <v/>
      </c>
      <c r="Q1271" s="48" t="str">
        <f t="shared" si="2"/>
        <v/>
      </c>
      <c r="R1271" s="48"/>
      <c r="S1271" s="48"/>
      <c r="T1271" s="48"/>
      <c r="U1271" s="48"/>
      <c r="V1271" s="48"/>
      <c r="W1271" s="50"/>
      <c r="Z1271" s="15"/>
      <c r="AA1271" s="15"/>
    </row>
    <row r="1272">
      <c r="A1272" s="9">
        <f t="shared" si="1"/>
        <v>1269</v>
      </c>
      <c r="B1272" s="47" t="s">
        <v>1406</v>
      </c>
      <c r="C1272" s="48">
        <f>IFERROR(DIVIDE(VLOOKUP($B1272,Data!$B$3:$AB$1535,9,FALSE),VLOOKUP($B1272,Data!$B$3:$AB$1535,4,FALSE)),"")</f>
        <v>0.7648809524</v>
      </c>
      <c r="D1272" s="48">
        <f>IFERROR(DIVIDE(VLOOKUP($B1272,Data!$B$3:$AB$1535,24,FALSE),VLOOKUP($B1272,Data!$B$3:$AB$1535,4,FALSE)),"")</f>
        <v>0.1610208333</v>
      </c>
      <c r="E1272" s="48">
        <f>IFERROR(DIVIDE(VLOOKUP($B1272,Data!$B$3:$EZ1530,29,FALSE),VLOOKUP($B1272,Data!$B$3:$EZ1530,4,FALSE)),"")</f>
        <v>0.1623541667</v>
      </c>
      <c r="F1272" s="48">
        <f>IFERROR(DIVIDE(VLOOKUP($B1272,Data!$B$3:$EZ1530,34,FALSE),VLOOKUP($B1272,Data!$B$3:$EZ1530,4,FALSE)),"")</f>
        <v>0.234</v>
      </c>
      <c r="G1272" s="48">
        <f>IFERROR(DIVIDE(VLOOKUP($B1272,Data!$B$3:$EZ1530,39,FALSE),VLOOKUP($B1272,Data!$B$3:$EZ1530,4,FALSE)),"")</f>
        <v>0.1584434524</v>
      </c>
      <c r="H1272" s="48">
        <f>IFERROR(DIVIDE(VLOOKUP($B1272,Data!$B$3:$EZ1530,44,FALSE),VLOOKUP($B1272,Data!$B$3:$EZ1530,4,FALSE)),"")</f>
        <v>0.2382470238</v>
      </c>
      <c r="I1272" s="48">
        <f>IFERROR(MINUS(DIVIDE(VLOOKUP($B1272,Data!$B$3:$EZ1530,9,FALSE),VLOOKUP($B1272,Data!$B$3:$EZ1530,10,FALSE)),1),"")</f>
        <v>0.09829059829</v>
      </c>
      <c r="J1272" s="48">
        <f>IFERROR(MINUS(DIVIDE(VLOOKUP($B1272,Data!$B$3:$EZ1530,24,FALSE),VLOOKUP($B1272,Data!$B$3:$EZ1530,25,FALSE)),1),"")</f>
        <v>0.5197045027</v>
      </c>
      <c r="K1272" s="48">
        <f>IFERROR(MINUS(DIVIDE(VLOOKUP($B1272,Data!$B$3:$EZ1530,29,FALSE),VLOOKUP($B1272,Data!$B$3:$EZ1530,30,FALSE)),1),"")</f>
        <v>0.5005501458</v>
      </c>
      <c r="L1272" s="48">
        <f>IFERROR(MINUS(DIVIDE(VLOOKUP($B1272,Data!$B$3:$EZ1530,34,FALSE),VLOOKUP($B1272,Data!$B$3:$EZ1530,35,FALSE)),1),"")</f>
        <v>0.2896580005</v>
      </c>
      <c r="M1272" s="48">
        <f>IFERROR(MINUS(DIVIDE(VLOOKUP($B1272,Data!$B$3:$EZ1530,39,FALSE),VLOOKUP($B1272,Data!$B$3:$EZ1530,40,FALSE)),1),"")</f>
        <v>0.2308563766</v>
      </c>
      <c r="N1272" s="48">
        <f>IFERROR(MINUS(DIVIDE(VLOOKUP($B1272,Data!$B$3:$EZ1530,44,FALSE),VLOOKUP($B1272,Data!$B$3:$EZ1530,45,FALSE)),1),"")</f>
        <v>0.8869716899</v>
      </c>
      <c r="O1272" s="50">
        <f>IFERROR(VLOOKUP($B1272,Data!$B$3:$D1530,2,FALSE),"")</f>
        <v>3930000</v>
      </c>
      <c r="P1272" s="50">
        <f>IFERROR(VLOOKUP($B1272,Data!$B$3:$D1530,3,FALSE),"")</f>
        <v>3630000</v>
      </c>
      <c r="Q1272" s="48">
        <f t="shared" si="2"/>
        <v>0.0826446281</v>
      </c>
      <c r="R1272" s="48"/>
      <c r="S1272" s="48"/>
      <c r="T1272" s="48"/>
      <c r="U1272" s="48"/>
      <c r="V1272" s="48"/>
      <c r="W1272" s="50"/>
      <c r="Z1272" s="12"/>
      <c r="AA1272" s="12"/>
    </row>
    <row r="1273">
      <c r="A1273" s="9">
        <f t="shared" si="1"/>
        <v>1270</v>
      </c>
      <c r="B1273" s="47" t="s">
        <v>1407</v>
      </c>
      <c r="C1273" s="48">
        <f>IFERROR(DIVIDE(VLOOKUP($B1273,Data!$B$3:$AB$1535,9,FALSE),VLOOKUP($B1273,Data!$B$3:$AB$1535,4,FALSE)),"")</f>
        <v>0.6050373651</v>
      </c>
      <c r="D1273" s="48">
        <f>IFERROR(DIVIDE(VLOOKUP($B1273,Data!$B$3:$AB$1535,24,FALSE),VLOOKUP($B1273,Data!$B$3:$AB$1535,4,FALSE)),"")</f>
        <v>0.05231109881</v>
      </c>
      <c r="E1273" s="48">
        <f>IFERROR(DIVIDE(VLOOKUP($B1273,Data!$B$3:$EZ1530,29,FALSE),VLOOKUP($B1273,Data!$B$3:$EZ1530,4,FALSE)),"")</f>
        <v>0.07805148076</v>
      </c>
      <c r="F1273" s="48">
        <f>IFERROR(DIVIDE(VLOOKUP($B1273,Data!$B$3:$EZ1530,34,FALSE),VLOOKUP($B1273,Data!$B$3:$EZ1530,4,FALSE)),"")</f>
        <v>0.2717962912</v>
      </c>
      <c r="G1273" s="48">
        <f>IFERROR(DIVIDE(VLOOKUP($B1273,Data!$B$3:$EZ1530,39,FALSE),VLOOKUP($B1273,Data!$B$3:$EZ1530,4,FALSE)),"")</f>
        <v>0.08054248547</v>
      </c>
      <c r="H1273" s="48">
        <f>IFERROR(DIVIDE(VLOOKUP($B1273,Data!$B$3:$EZ1530,44,FALSE),VLOOKUP($B1273,Data!$B$3:$EZ1530,4,FALSE)),"")</f>
        <v>0.2142264046</v>
      </c>
      <c r="I1273" s="48">
        <f>IFERROR(MINUS(DIVIDE(VLOOKUP($B1273,Data!$B$3:$EZ1530,9,FALSE),VLOOKUP($B1273,Data!$B$3:$EZ1530,10,FALSE)),1),"")</f>
        <v>0.05400192864</v>
      </c>
      <c r="J1273" s="48">
        <f>IFERROR(MINUS(DIVIDE(VLOOKUP($B1273,Data!$B$3:$EZ1530,24,FALSE),VLOOKUP($B1273,Data!$B$3:$EZ1530,25,FALSE)),1),"")</f>
        <v>-0.3368421053</v>
      </c>
      <c r="K1273" s="48">
        <f>IFERROR(MINUS(DIVIDE(VLOOKUP($B1273,Data!$B$3:$EZ1530,29,FALSE),VLOOKUP($B1273,Data!$B$3:$EZ1530,30,FALSE)),1),"")</f>
        <v>-0.3605442177</v>
      </c>
      <c r="L1273" s="48">
        <f>IFERROR(MINUS(DIVIDE(VLOOKUP($B1273,Data!$B$3:$EZ1530,34,FALSE),VLOOKUP($B1273,Data!$B$3:$EZ1530,35,FALSE)),1),"")</f>
        <v>0.1485380117</v>
      </c>
      <c r="M1273" s="48">
        <f>IFERROR(MINUS(DIVIDE(VLOOKUP($B1273,Data!$B$3:$EZ1530,39,FALSE),VLOOKUP($B1273,Data!$B$3:$EZ1530,40,FALSE)),1),"")</f>
        <v>-0.3263888889</v>
      </c>
      <c r="N1273" s="48">
        <f>IFERROR(MINUS(DIVIDE(VLOOKUP($B1273,Data!$B$3:$EZ1530,44,FALSE),VLOOKUP($B1273,Data!$B$3:$EZ1530,45,FALSE)),1),"")</f>
        <v>0.3945945946</v>
      </c>
      <c r="O1273" s="50">
        <f>IFERROR(VLOOKUP($B1273,Data!$B$3:$D1530,2,FALSE),"")</f>
        <v>45510000</v>
      </c>
      <c r="P1273" s="50">
        <f>IFERROR(VLOOKUP($B1273,Data!$B$3:$D1530,3,FALSE),"")</f>
        <v>43430000</v>
      </c>
      <c r="Q1273" s="48">
        <f t="shared" si="2"/>
        <v>0.04789316141</v>
      </c>
      <c r="R1273" s="48"/>
      <c r="S1273" s="48"/>
      <c r="T1273" s="48"/>
      <c r="U1273" s="48"/>
      <c r="V1273" s="48"/>
      <c r="W1273" s="50"/>
      <c r="Z1273" s="12"/>
      <c r="AA1273" s="12"/>
    </row>
    <row r="1274">
      <c r="A1274" s="9">
        <f t="shared" si="1"/>
        <v>1271</v>
      </c>
      <c r="B1274" s="47" t="s">
        <v>1408</v>
      </c>
      <c r="C1274" s="48">
        <f>IFERROR(DIVIDE(VLOOKUP($B1274,Data!$B$3:$AB$1535,9,FALSE),VLOOKUP($B1274,Data!$B$3:$AB$1535,4,FALSE)),"")</f>
        <v>0.3397129187</v>
      </c>
      <c r="D1274" s="48">
        <f>IFERROR(DIVIDE(VLOOKUP($B1274,Data!$B$3:$AB$1535,24,FALSE),VLOOKUP($B1274,Data!$B$3:$AB$1535,4,FALSE)),"")</f>
        <v>0.231138756</v>
      </c>
      <c r="E1274" s="48">
        <f>IFERROR(DIVIDE(VLOOKUP($B1274,Data!$B$3:$EZ1530,29,FALSE),VLOOKUP($B1274,Data!$B$3:$EZ1530,4,FALSE)),"")</f>
        <v>0.2392344498</v>
      </c>
      <c r="F1274" s="48">
        <f>IFERROR(DIVIDE(VLOOKUP($B1274,Data!$B$3:$EZ1530,34,FALSE),VLOOKUP($B1274,Data!$B$3:$EZ1530,4,FALSE)),"")</f>
        <v>0.2440191388</v>
      </c>
      <c r="G1274" s="48">
        <f>IFERROR(DIVIDE(VLOOKUP($B1274,Data!$B$3:$EZ1530,39,FALSE),VLOOKUP($B1274,Data!$B$3:$EZ1530,4,FALSE)),"")</f>
        <v>0.2655502392</v>
      </c>
      <c r="H1274" s="48">
        <f>IFERROR(DIVIDE(VLOOKUP($B1274,Data!$B$3:$EZ1530,44,FALSE),VLOOKUP($B1274,Data!$B$3:$EZ1530,4,FALSE)),"")</f>
        <v>0.2093708134</v>
      </c>
      <c r="I1274" s="48">
        <f>IFERROR(MINUS(DIVIDE(VLOOKUP($B1274,Data!$B$3:$EZ1530,9,FALSE),VLOOKUP($B1274,Data!$B$3:$EZ1530,10,FALSE)),1),"")</f>
        <v>0.08396946565</v>
      </c>
      <c r="J1274" s="48">
        <f>IFERROR(MINUS(DIVIDE(VLOOKUP($B1274,Data!$B$3:$EZ1530,24,FALSE),VLOOKUP($B1274,Data!$B$3:$EZ1530,25,FALSE)),1),"")</f>
        <v>-0.071</v>
      </c>
      <c r="K1274" s="48">
        <f>IFERROR(MINUS(DIVIDE(VLOOKUP($B1274,Data!$B$3:$EZ1530,29,FALSE),VLOOKUP($B1274,Data!$B$3:$EZ1530,30,FALSE)),1),"")</f>
        <v>-0.2753623188</v>
      </c>
      <c r="L1274" s="48">
        <f>IFERROR(MINUS(DIVIDE(VLOOKUP($B1274,Data!$B$3:$EZ1530,34,FALSE),VLOOKUP($B1274,Data!$B$3:$EZ1530,35,FALSE)),1),"")</f>
        <v>0.0539585443</v>
      </c>
      <c r="M1274" s="48">
        <f>IFERROR(MINUS(DIVIDE(VLOOKUP($B1274,Data!$B$3:$EZ1530,39,FALSE),VLOOKUP($B1274,Data!$B$3:$EZ1530,40,FALSE)),1),"")</f>
        <v>-0.2884615385</v>
      </c>
      <c r="N1274" s="48">
        <f>IFERROR(MINUS(DIVIDE(VLOOKUP($B1274,Data!$B$3:$EZ1530,44,FALSE),VLOOKUP($B1274,Data!$B$3:$EZ1530,45,FALSE)),1),"")</f>
        <v>-0.1199810958</v>
      </c>
      <c r="O1274" s="50" t="str">
        <f>IFERROR(VLOOKUP($B1274,Data!$B$3:$D1530,2,FALSE),"")</f>
        <v/>
      </c>
      <c r="P1274" s="50" t="str">
        <f>IFERROR(VLOOKUP($B1274,Data!$B$3:$D1530,3,FALSE),"")</f>
        <v/>
      </c>
      <c r="Q1274" s="48" t="str">
        <f t="shared" si="2"/>
        <v/>
      </c>
      <c r="R1274" s="48"/>
      <c r="S1274" s="48"/>
      <c r="T1274" s="48"/>
      <c r="U1274" s="48"/>
      <c r="V1274" s="48"/>
      <c r="W1274" s="50"/>
      <c r="Z1274" s="15"/>
      <c r="AA1274" s="15"/>
    </row>
    <row r="1275">
      <c r="A1275" s="9">
        <f t="shared" si="1"/>
        <v>1272</v>
      </c>
      <c r="B1275" s="47" t="s">
        <v>1409</v>
      </c>
      <c r="C1275" s="48">
        <f>IFERROR(DIVIDE(VLOOKUP($B1275,Data!$B$3:$AB$1535,9,FALSE),VLOOKUP($B1275,Data!$B$3:$AB$1535,4,FALSE)),"")</f>
        <v>0.2872946698</v>
      </c>
      <c r="D1275" s="48">
        <f>IFERROR(DIVIDE(VLOOKUP($B1275,Data!$B$3:$AB$1535,24,FALSE),VLOOKUP($B1275,Data!$B$3:$AB$1535,4,FALSE)),"")</f>
        <v>0.09101575595</v>
      </c>
      <c r="E1275" s="48">
        <f>IFERROR(DIVIDE(VLOOKUP($B1275,Data!$B$3:$EZ1530,29,FALSE),VLOOKUP($B1275,Data!$B$3:$EZ1530,4,FALSE)),"")</f>
        <v>-0.08875293329</v>
      </c>
      <c r="F1275" s="48">
        <f>IFERROR(DIVIDE(VLOOKUP($B1275,Data!$B$3:$EZ1530,34,FALSE),VLOOKUP($B1275,Data!$B$3:$EZ1530,4,FALSE)),"")</f>
        <v>0</v>
      </c>
      <c r="G1275" s="48">
        <f>IFERROR(DIVIDE(VLOOKUP($B1275,Data!$B$3:$EZ1530,39,FALSE),VLOOKUP($B1275,Data!$B$3:$EZ1530,4,FALSE)),"")</f>
        <v>-0.07417029836</v>
      </c>
      <c r="H1275" s="48">
        <f>IFERROR(DIVIDE(VLOOKUP($B1275,Data!$B$3:$EZ1530,44,FALSE),VLOOKUP($B1275,Data!$B$3:$EZ1530,4,FALSE)),"")</f>
        <v>0.4694099899</v>
      </c>
      <c r="I1275" s="48">
        <f>IFERROR(MINUS(DIVIDE(VLOOKUP($B1275,Data!$B$3:$EZ1530,9,FALSE),VLOOKUP($B1275,Data!$B$3:$EZ1530,10,FALSE)),1),"")</f>
        <v>0.2225392297</v>
      </c>
      <c r="J1275" s="48" t="str">
        <f>IFERROR(MINUS(DIVIDE(VLOOKUP($B1275,Data!$B$3:$EZ1530,24,FALSE),VLOOKUP($B1275,Data!$B$3:$EZ1530,25,FALSE)),1),"")</f>
        <v/>
      </c>
      <c r="K1275" s="48">
        <f>IFERROR(MINUS(DIVIDE(VLOOKUP($B1275,Data!$B$3:$EZ1530,29,FALSE),VLOOKUP($B1275,Data!$B$3:$EZ1530,30,FALSE)),1),"")</f>
        <v>-3.16122449</v>
      </c>
      <c r="L1275" s="48">
        <f>IFERROR(MINUS(DIVIDE(VLOOKUP($B1275,Data!$B$3:$EZ1530,34,FALSE),VLOOKUP($B1275,Data!$B$3:$EZ1530,35,FALSE)),1),"")</f>
        <v>-1</v>
      </c>
      <c r="M1275" s="48">
        <f>IFERROR(MINUS(DIVIDE(VLOOKUP($B1275,Data!$B$3:$EZ1530,39,FALSE),VLOOKUP($B1275,Data!$B$3:$EZ1530,40,FALSE)),1),"")</f>
        <v>-6.028409091</v>
      </c>
      <c r="N1275" s="48">
        <f>IFERROR(MINUS(DIVIDE(VLOOKUP($B1275,Data!$B$3:$EZ1530,44,FALSE),VLOOKUP($B1275,Data!$B$3:$EZ1530,45,FALSE)),1),"")</f>
        <v>-2.097374608</v>
      </c>
      <c r="O1275" s="50">
        <f>IFERROR(VLOOKUP($B1275,Data!$B$3:$D1530,2,FALSE),"")</f>
        <v>100500</v>
      </c>
      <c r="P1275" s="50">
        <f>IFERROR(VLOOKUP($B1275,Data!$B$3:$D1530,3,FALSE),"")</f>
        <v>85100</v>
      </c>
      <c r="Q1275" s="48">
        <f t="shared" si="2"/>
        <v>0.1809635723</v>
      </c>
      <c r="R1275" s="48"/>
      <c r="S1275" s="48"/>
      <c r="T1275" s="48"/>
      <c r="U1275" s="48"/>
      <c r="V1275" s="48"/>
      <c r="W1275" s="50"/>
      <c r="Z1275" s="11"/>
      <c r="AA1275" s="11"/>
    </row>
    <row r="1276">
      <c r="A1276" s="9">
        <f t="shared" si="1"/>
        <v>1273</v>
      </c>
      <c r="B1276" s="47" t="s">
        <v>1410</v>
      </c>
      <c r="C1276" s="48">
        <f>IFERROR(DIVIDE(VLOOKUP($B1276,Data!$B$3:$AB$1535,9,FALSE),VLOOKUP($B1276,Data!$B$3:$AB$1535,4,FALSE)),"")</f>
        <v>0.1335558679</v>
      </c>
      <c r="D1276" s="48">
        <f>IFERROR(DIVIDE(VLOOKUP($B1276,Data!$B$3:$AB$1535,24,FALSE),VLOOKUP($B1276,Data!$B$3:$AB$1535,4,FALSE)),"")</f>
        <v>0</v>
      </c>
      <c r="E1276" s="48">
        <f>IFERROR(DIVIDE(VLOOKUP($B1276,Data!$B$3:$EZ1530,29,FALSE),VLOOKUP($B1276,Data!$B$3:$EZ1530,4,FALSE)),"")</f>
        <v>-0.04181307098</v>
      </c>
      <c r="F1276" s="48">
        <f>IFERROR(DIVIDE(VLOOKUP($B1276,Data!$B$3:$EZ1530,34,FALSE),VLOOKUP($B1276,Data!$B$3:$EZ1530,4,FALSE)),"")</f>
        <v>0.1117709065</v>
      </c>
      <c r="G1276" s="48">
        <f>IFERROR(DIVIDE(VLOOKUP($B1276,Data!$B$3:$EZ1530,39,FALSE),VLOOKUP($B1276,Data!$B$3:$EZ1530,4,FALSE)),"")</f>
        <v>-0.04880534083</v>
      </c>
      <c r="H1276" s="48">
        <f>IFERROR(DIVIDE(VLOOKUP($B1276,Data!$B$3:$EZ1530,44,FALSE),VLOOKUP($B1276,Data!$B$3:$EZ1530,4,FALSE)),"")</f>
        <v>0.05179198876</v>
      </c>
      <c r="I1276" s="48">
        <f>IFERROR(MINUS(DIVIDE(VLOOKUP($B1276,Data!$B$3:$EZ1530,9,FALSE),VLOOKUP($B1276,Data!$B$3:$EZ1530,10,FALSE)),1),"")</f>
        <v>-0.02713079089</v>
      </c>
      <c r="J1276" s="48">
        <f>IFERROR(MINUS(DIVIDE(VLOOKUP($B1276,Data!$B$3:$EZ1530,24,FALSE),VLOOKUP($B1276,Data!$B$3:$EZ1530,25,FALSE)),1),"")</f>
        <v>-1</v>
      </c>
      <c r="K1276" s="48">
        <f>IFERROR(MINUS(DIVIDE(VLOOKUP($B1276,Data!$B$3:$EZ1530,29,FALSE),VLOOKUP($B1276,Data!$B$3:$EZ1530,30,FALSE)),1),"")</f>
        <v>-21.98872782</v>
      </c>
      <c r="L1276" s="48">
        <f>IFERROR(MINUS(DIVIDE(VLOOKUP($B1276,Data!$B$3:$EZ1530,34,FALSE),VLOOKUP($B1276,Data!$B$3:$EZ1530,35,FALSE)),1),"")</f>
        <v>0.4239033124</v>
      </c>
      <c r="M1276" s="48">
        <f>IFERROR(MINUS(DIVIDE(VLOOKUP($B1276,Data!$B$3:$EZ1530,39,FALSE),VLOOKUP($B1276,Data!$B$3:$EZ1530,40,FALSE)),1),"")</f>
        <v>34.2476343</v>
      </c>
      <c r="N1276" s="48">
        <f>IFERROR(MINUS(DIVIDE(VLOOKUP($B1276,Data!$B$3:$EZ1530,44,FALSE),VLOOKUP($B1276,Data!$B$3:$EZ1530,45,FALSE)),1),"")</f>
        <v>-0.6253177428</v>
      </c>
      <c r="O1276" s="50" t="str">
        <f>IFERROR(VLOOKUP($B1276,Data!$B$3:$D1530,2,FALSE),"")</f>
        <v/>
      </c>
      <c r="P1276" s="50" t="str">
        <f>IFERROR(VLOOKUP($B1276,Data!$B$3:$D1530,3,FALSE),"")</f>
        <v/>
      </c>
      <c r="Q1276" s="48" t="str">
        <f t="shared" si="2"/>
        <v/>
      </c>
      <c r="R1276" s="48"/>
      <c r="S1276" s="48"/>
      <c r="T1276" s="48"/>
      <c r="U1276" s="48"/>
      <c r="V1276" s="48"/>
      <c r="W1276" s="50"/>
      <c r="Z1276" s="15"/>
      <c r="AA1276" s="15"/>
    </row>
    <row r="1277">
      <c r="A1277" s="9">
        <f t="shared" si="1"/>
        <v>1274</v>
      </c>
      <c r="B1277" s="47" t="s">
        <v>1411</v>
      </c>
      <c r="C1277" s="48">
        <f>IFERROR(DIVIDE(VLOOKUP($B1277,Data!$B$3:$AB$1535,9,FALSE),VLOOKUP($B1277,Data!$B$3:$AB$1535,4,FALSE)),"")</f>
        <v>0.3421052632</v>
      </c>
      <c r="D1277" s="48">
        <f>IFERROR(DIVIDE(VLOOKUP($B1277,Data!$B$3:$AB$1535,24,FALSE),VLOOKUP($B1277,Data!$B$3:$AB$1535,4,FALSE)),"")</f>
        <v>0.02852631579</v>
      </c>
      <c r="E1277" s="48">
        <f>IFERROR(DIVIDE(VLOOKUP($B1277,Data!$B$3:$EZ1530,29,FALSE),VLOOKUP($B1277,Data!$B$3:$EZ1530,4,FALSE)),"")</f>
        <v>-0.051</v>
      </c>
      <c r="F1277" s="48">
        <f>IFERROR(DIVIDE(VLOOKUP($B1277,Data!$B$3:$EZ1530,34,FALSE),VLOOKUP($B1277,Data!$B$3:$EZ1530,4,FALSE)),"")</f>
        <v>0.1265263158</v>
      </c>
      <c r="G1277" s="48">
        <f>IFERROR(DIVIDE(VLOOKUP($B1277,Data!$B$3:$EZ1530,39,FALSE),VLOOKUP($B1277,Data!$B$3:$EZ1530,4,FALSE)),"")</f>
        <v>-0.04947368421</v>
      </c>
      <c r="H1277" s="48">
        <f>IFERROR(DIVIDE(VLOOKUP($B1277,Data!$B$3:$EZ1530,44,FALSE),VLOOKUP($B1277,Data!$B$3:$EZ1530,4,FALSE)),"")</f>
        <v>0.0002894736842</v>
      </c>
      <c r="I1277" s="48">
        <f>IFERROR(MINUS(DIVIDE(VLOOKUP($B1277,Data!$B$3:$EZ1530,9,FALSE),VLOOKUP($B1277,Data!$B$3:$EZ1530,10,FALSE)),1),"")</f>
        <v>-0.03703703704</v>
      </c>
      <c r="J1277" s="48">
        <f>IFERROR(MINUS(DIVIDE(VLOOKUP($B1277,Data!$B$3:$EZ1530,24,FALSE),VLOOKUP($B1277,Data!$B$3:$EZ1530,25,FALSE)),1),"")</f>
        <v>-1.621916236</v>
      </c>
      <c r="K1277" s="48">
        <f>IFERROR(MINUS(DIVIDE(VLOOKUP($B1277,Data!$B$3:$EZ1530,29,FALSE),VLOOKUP($B1277,Data!$B$3:$EZ1530,30,FALSE)),1),"")</f>
        <v>4.428571429</v>
      </c>
      <c r="L1277" s="48">
        <f>IFERROR(MINUS(DIVIDE(VLOOKUP($B1277,Data!$B$3:$EZ1530,34,FALSE),VLOOKUP($B1277,Data!$B$3:$EZ1530,35,FALSE)),1),"")</f>
        <v>-0.09283018868</v>
      </c>
      <c r="M1277" s="48">
        <f>IFERROR(MINUS(DIVIDE(VLOOKUP($B1277,Data!$B$3:$EZ1530,39,FALSE),VLOOKUP($B1277,Data!$B$3:$EZ1530,40,FALSE)),1),"")</f>
        <v>-1.527349229</v>
      </c>
      <c r="N1277" s="48">
        <f>IFERROR(MINUS(DIVIDE(VLOOKUP($B1277,Data!$B$3:$EZ1530,44,FALSE),VLOOKUP($B1277,Data!$B$3:$EZ1530,45,FALSE)),1),"")</f>
        <v>-0.9967958054</v>
      </c>
      <c r="O1277" s="50">
        <f>IFERROR(VLOOKUP($B1277,Data!$B$3:$D1530,2,FALSE),"")</f>
        <v>3880000</v>
      </c>
      <c r="P1277" s="50">
        <f>IFERROR(VLOOKUP($B1277,Data!$B$3:$D1530,3,FALSE),"")</f>
        <v>3810000</v>
      </c>
      <c r="Q1277" s="48">
        <f t="shared" si="2"/>
        <v>0.01837270341</v>
      </c>
      <c r="R1277" s="48"/>
      <c r="S1277" s="48"/>
      <c r="T1277" s="48"/>
      <c r="U1277" s="48"/>
      <c r="V1277" s="48"/>
      <c r="W1277" s="50"/>
      <c r="Z1277" s="15"/>
      <c r="AA1277" s="15"/>
    </row>
    <row r="1278">
      <c r="A1278" s="9">
        <f t="shared" si="1"/>
        <v>1275</v>
      </c>
      <c r="B1278" s="47" t="s">
        <v>1412</v>
      </c>
      <c r="C1278" s="48" t="str">
        <f>IFERROR(DIVIDE(VLOOKUP($B1278,Data!$B$3:$AB$1535,9,FALSE),VLOOKUP($B1278,Data!$B$3:$AB$1535,4,FALSE)),"")</f>
        <v/>
      </c>
      <c r="D1278" s="48" t="str">
        <f>IFERROR(DIVIDE(VLOOKUP($B1278,Data!$B$3:$AB$1535,24,FALSE),VLOOKUP($B1278,Data!$B$3:$AB$1535,4,FALSE)),"")</f>
        <v/>
      </c>
      <c r="E1278" s="48" t="str">
        <f>IFERROR(DIVIDE(VLOOKUP($B1278,Data!$B$3:$EZ1530,29,FALSE),VLOOKUP($B1278,Data!$B$3:$EZ1530,4,FALSE)),"")</f>
        <v/>
      </c>
      <c r="F1278" s="48" t="str">
        <f>IFERROR(DIVIDE(VLOOKUP($B1278,Data!$B$3:$EZ1530,34,FALSE),VLOOKUP($B1278,Data!$B$3:$EZ1530,4,FALSE)),"")</f>
        <v/>
      </c>
      <c r="G1278" s="48" t="str">
        <f>IFERROR(DIVIDE(VLOOKUP($B1278,Data!$B$3:$EZ1530,39,FALSE),VLOOKUP($B1278,Data!$B$3:$EZ1530,4,FALSE)),"")</f>
        <v/>
      </c>
      <c r="H1278" s="48" t="str">
        <f>IFERROR(DIVIDE(VLOOKUP($B1278,Data!$B$3:$EZ1530,44,FALSE),VLOOKUP($B1278,Data!$B$3:$EZ1530,4,FALSE)),"")</f>
        <v/>
      </c>
      <c r="I1278" s="48" t="str">
        <f>IFERROR(MINUS(DIVIDE(VLOOKUP($B1278,Data!$B$3:$EZ1530,9,FALSE),VLOOKUP($B1278,Data!$B$3:$EZ1530,10,FALSE)),1),"")</f>
        <v/>
      </c>
      <c r="J1278" s="48" t="str">
        <f>IFERROR(MINUS(DIVIDE(VLOOKUP($B1278,Data!$B$3:$EZ1530,24,FALSE),VLOOKUP($B1278,Data!$B$3:$EZ1530,25,FALSE)),1),"")</f>
        <v/>
      </c>
      <c r="K1278" s="48" t="str">
        <f>IFERROR(MINUS(DIVIDE(VLOOKUP($B1278,Data!$B$3:$EZ1530,29,FALSE),VLOOKUP($B1278,Data!$B$3:$EZ1530,30,FALSE)),1),"")</f>
        <v/>
      </c>
      <c r="L1278" s="48" t="str">
        <f>IFERROR(MINUS(DIVIDE(VLOOKUP($B1278,Data!$B$3:$EZ1530,34,FALSE),VLOOKUP($B1278,Data!$B$3:$EZ1530,35,FALSE)),1),"")</f>
        <v/>
      </c>
      <c r="M1278" s="48" t="str">
        <f>IFERROR(MINUS(DIVIDE(VLOOKUP($B1278,Data!$B$3:$EZ1530,39,FALSE),VLOOKUP($B1278,Data!$B$3:$EZ1530,40,FALSE)),1),"")</f>
        <v/>
      </c>
      <c r="N1278" s="48" t="str">
        <f>IFERROR(MINUS(DIVIDE(VLOOKUP($B1278,Data!$B$3:$EZ1530,44,FALSE),VLOOKUP($B1278,Data!$B$3:$EZ1530,45,FALSE)),1),"")</f>
        <v/>
      </c>
      <c r="O1278" s="50">
        <f>IFERROR(VLOOKUP($B1278,Data!$B$3:$D1530,2,FALSE),"")</f>
        <v>23000</v>
      </c>
      <c r="P1278" s="50">
        <f>IFERROR(VLOOKUP($B1278,Data!$B$3:$D1530,3,FALSE),"")</f>
        <v>21880</v>
      </c>
      <c r="Q1278" s="48">
        <f t="shared" si="2"/>
        <v>0.05118829982</v>
      </c>
      <c r="R1278" s="48"/>
      <c r="S1278" s="48"/>
      <c r="T1278" s="48"/>
      <c r="U1278" s="48"/>
      <c r="V1278" s="48"/>
      <c r="W1278" s="50"/>
      <c r="Z1278" s="15"/>
      <c r="AA1278" s="15"/>
    </row>
    <row r="1279">
      <c r="A1279" s="9">
        <f t="shared" si="1"/>
        <v>1276</v>
      </c>
      <c r="B1279" s="47" t="s">
        <v>1413</v>
      </c>
      <c r="C1279" s="48" t="str">
        <f>IFERROR(DIVIDE(VLOOKUP($B1279,Data!$B$3:$AB$1535,9,FALSE),VLOOKUP($B1279,Data!$B$3:$AB$1535,4,FALSE)),"")</f>
        <v/>
      </c>
      <c r="D1279" s="48" t="str">
        <f>IFERROR(DIVIDE(VLOOKUP($B1279,Data!$B$3:$AB$1535,24,FALSE),VLOOKUP($B1279,Data!$B$3:$AB$1535,4,FALSE)),"")</f>
        <v/>
      </c>
      <c r="E1279" s="48" t="str">
        <f>IFERROR(DIVIDE(VLOOKUP($B1279,Data!$B$3:$EZ1530,29,FALSE),VLOOKUP($B1279,Data!$B$3:$EZ1530,4,FALSE)),"")</f>
        <v/>
      </c>
      <c r="F1279" s="48" t="str">
        <f>IFERROR(DIVIDE(VLOOKUP($B1279,Data!$B$3:$EZ1530,34,FALSE),VLOOKUP($B1279,Data!$B$3:$EZ1530,4,FALSE)),"")</f>
        <v/>
      </c>
      <c r="G1279" s="48" t="str">
        <f>IFERROR(DIVIDE(VLOOKUP($B1279,Data!$B$3:$EZ1530,39,FALSE),VLOOKUP($B1279,Data!$B$3:$EZ1530,4,FALSE)),"")</f>
        <v/>
      </c>
      <c r="H1279" s="48" t="str">
        <f>IFERROR(DIVIDE(VLOOKUP($B1279,Data!$B$3:$EZ1530,44,FALSE),VLOOKUP($B1279,Data!$B$3:$EZ1530,4,FALSE)),"")</f>
        <v/>
      </c>
      <c r="I1279" s="48">
        <f>IFERROR(MINUS(DIVIDE(VLOOKUP($B1279,Data!$B$3:$EZ1530,9,FALSE),VLOOKUP($B1279,Data!$B$3:$EZ1530,10,FALSE)),1),"")</f>
        <v>9.6</v>
      </c>
      <c r="J1279" s="48">
        <f>IFERROR(MINUS(DIVIDE(VLOOKUP($B1279,Data!$B$3:$EZ1530,24,FALSE),VLOOKUP($B1279,Data!$B$3:$EZ1530,25,FALSE)),1),"")</f>
        <v>-15.72848948</v>
      </c>
      <c r="K1279" s="48">
        <f>IFERROR(MINUS(DIVIDE(VLOOKUP($B1279,Data!$B$3:$EZ1530,29,FALSE),VLOOKUP($B1279,Data!$B$3:$EZ1530,30,FALSE)),1),"")</f>
        <v>0.1242516134</v>
      </c>
      <c r="L1279" s="48">
        <f>IFERROR(MINUS(DIVIDE(VLOOKUP($B1279,Data!$B$3:$EZ1530,34,FALSE),VLOOKUP($B1279,Data!$B$3:$EZ1530,35,FALSE)),1),"")</f>
        <v>-0.005593897566</v>
      </c>
      <c r="M1279" s="48">
        <f>IFERROR(MINUS(DIVIDE(VLOOKUP($B1279,Data!$B$3:$EZ1530,39,FALSE),VLOOKUP($B1279,Data!$B$3:$EZ1530,40,FALSE)),1),"")</f>
        <v>0.06850288059</v>
      </c>
      <c r="N1279" s="48">
        <f>IFERROR(MINUS(DIVIDE(VLOOKUP($B1279,Data!$B$3:$EZ1530,44,FALSE),VLOOKUP($B1279,Data!$B$3:$EZ1530,45,FALSE)),1),"")</f>
        <v>1.157532051</v>
      </c>
      <c r="O1279" s="50">
        <f>IFERROR(VLOOKUP($B1279,Data!$B$3:$D1530,2,FALSE),"")</f>
        <v>70760</v>
      </c>
      <c r="P1279" s="50">
        <f>IFERROR(VLOOKUP($B1279,Data!$B$3:$D1530,3,FALSE),"")</f>
        <v>4020</v>
      </c>
      <c r="Q1279" s="48">
        <f t="shared" si="2"/>
        <v>16.60199005</v>
      </c>
      <c r="R1279" s="48"/>
      <c r="S1279" s="48"/>
      <c r="T1279" s="48"/>
      <c r="U1279" s="48"/>
      <c r="V1279" s="48"/>
      <c r="W1279" s="50"/>
      <c r="Z1279" s="15"/>
      <c r="AA1279" s="15"/>
    </row>
    <row r="1280">
      <c r="A1280" s="9">
        <f t="shared" si="1"/>
        <v>1277</v>
      </c>
      <c r="B1280" s="47" t="s">
        <v>1414</v>
      </c>
      <c r="C1280" s="48">
        <f>IFERROR(DIVIDE(VLOOKUP($B1280,Data!$B$3:$AB$1535,9,FALSE),VLOOKUP($B1280,Data!$B$3:$AB$1535,4,FALSE)),"")</f>
        <v>0.1374045802</v>
      </c>
      <c r="D1280" s="48">
        <f>IFERROR(DIVIDE(VLOOKUP($B1280,Data!$B$3:$AB$1535,24,FALSE),VLOOKUP($B1280,Data!$B$3:$AB$1535,4,FALSE)),"")</f>
        <v>0.09851145038</v>
      </c>
      <c r="E1280" s="48">
        <f>IFERROR(DIVIDE(VLOOKUP($B1280,Data!$B$3:$EZ1530,29,FALSE),VLOOKUP($B1280,Data!$B$3:$EZ1530,4,FALSE)),"")</f>
        <v>0.08436386768</v>
      </c>
      <c r="F1280" s="48">
        <f>IFERROR(DIVIDE(VLOOKUP($B1280,Data!$B$3:$EZ1530,34,FALSE),VLOOKUP($B1280,Data!$B$3:$EZ1530,4,FALSE)),"")</f>
        <v>0.1323155216</v>
      </c>
      <c r="G1280" s="48">
        <f>IFERROR(DIVIDE(VLOOKUP($B1280,Data!$B$3:$EZ1530,39,FALSE),VLOOKUP($B1280,Data!$B$3:$EZ1530,4,FALSE)),"")</f>
        <v>0.06739185751</v>
      </c>
      <c r="H1280" s="48">
        <f>IFERROR(DIVIDE(VLOOKUP($B1280,Data!$B$3:$EZ1530,44,FALSE),VLOOKUP($B1280,Data!$B$3:$EZ1530,4,FALSE)),"")</f>
        <v>0.1173918575</v>
      </c>
      <c r="I1280" s="48">
        <f>IFERROR(MINUS(DIVIDE(VLOOKUP($B1280,Data!$B$3:$EZ1530,9,FALSE),VLOOKUP($B1280,Data!$B$3:$EZ1530,10,FALSE)),1),"")</f>
        <v>-0.009174311927</v>
      </c>
      <c r="J1280" s="48">
        <f>IFERROR(MINUS(DIVIDE(VLOOKUP($B1280,Data!$B$3:$EZ1530,24,FALSE),VLOOKUP($B1280,Data!$B$3:$EZ1530,25,FALSE)),1),"")</f>
        <v>-0.04158930561</v>
      </c>
      <c r="K1280" s="48">
        <f>IFERROR(MINUS(DIVIDE(VLOOKUP($B1280,Data!$B$3:$EZ1530,29,FALSE),VLOOKUP($B1280,Data!$B$3:$EZ1530,30,FALSE)),1),"")</f>
        <v>-0.1231155779</v>
      </c>
      <c r="L1280" s="48">
        <f>IFERROR(MINUS(DIVIDE(VLOOKUP($B1280,Data!$B$3:$EZ1530,34,FALSE),VLOOKUP($B1280,Data!$B$3:$EZ1530,35,FALSE)),1),"")</f>
        <v>-0.04587155963</v>
      </c>
      <c r="M1280" s="48">
        <f>IFERROR(MINUS(DIVIDE(VLOOKUP($B1280,Data!$B$3:$EZ1530,39,FALSE),VLOOKUP($B1280,Data!$B$3:$EZ1530,40,FALSE)),1),"")</f>
        <v>-0.1407948094</v>
      </c>
      <c r="N1280" s="48">
        <f>IFERROR(MINUS(DIVIDE(VLOOKUP($B1280,Data!$B$3:$EZ1530,44,FALSE),VLOOKUP($B1280,Data!$B$3:$EZ1530,45,FALSE)),1),"")</f>
        <v>0.1984673334</v>
      </c>
      <c r="O1280" s="50">
        <f>IFERROR(VLOOKUP($B1280,Data!$B$3:$D1530,2,FALSE),"")</f>
        <v>4470000</v>
      </c>
      <c r="P1280" s="50">
        <f>IFERROR(VLOOKUP($B1280,Data!$B$3:$D1530,3,FALSE),"")</f>
        <v>3790000</v>
      </c>
      <c r="Q1280" s="48">
        <f t="shared" si="2"/>
        <v>0.1794195251</v>
      </c>
      <c r="R1280" s="48"/>
      <c r="S1280" s="48"/>
      <c r="T1280" s="48"/>
      <c r="U1280" s="48"/>
      <c r="V1280" s="48"/>
      <c r="W1280" s="50"/>
      <c r="Z1280" s="15"/>
      <c r="AA1280" s="15"/>
    </row>
    <row r="1281">
      <c r="A1281" s="9">
        <f t="shared" si="1"/>
        <v>1278</v>
      </c>
      <c r="B1281" s="47" t="s">
        <v>1415</v>
      </c>
      <c r="C1281" s="48">
        <f>IFERROR(DIVIDE(VLOOKUP($B1281,Data!$B$3:$AB$1535,9,FALSE),VLOOKUP($B1281,Data!$B$3:$AB$1535,4,FALSE)),"")</f>
        <v>0</v>
      </c>
      <c r="D1281" s="48">
        <f>IFERROR(DIVIDE(VLOOKUP($B1281,Data!$B$3:$AB$1535,24,FALSE),VLOOKUP($B1281,Data!$B$3:$AB$1535,4,FALSE)),"")</f>
        <v>-3.470523416</v>
      </c>
      <c r="E1281" s="48">
        <f>IFERROR(DIVIDE(VLOOKUP($B1281,Data!$B$3:$EZ1530,29,FALSE),VLOOKUP($B1281,Data!$B$3:$EZ1530,4,FALSE)),"")</f>
        <v>-3.357024793</v>
      </c>
      <c r="F1281" s="48">
        <f>IFERROR(DIVIDE(VLOOKUP($B1281,Data!$B$3:$EZ1530,34,FALSE),VLOOKUP($B1281,Data!$B$3:$EZ1530,4,FALSE)),"")</f>
        <v>-3.419283747</v>
      </c>
      <c r="G1281" s="48">
        <f>IFERROR(DIVIDE(VLOOKUP($B1281,Data!$B$3:$EZ1530,39,FALSE),VLOOKUP($B1281,Data!$B$3:$EZ1530,4,FALSE)),"")</f>
        <v>-3.357024793</v>
      </c>
      <c r="H1281" s="48">
        <f>IFERROR(DIVIDE(VLOOKUP($B1281,Data!$B$3:$EZ1530,44,FALSE),VLOOKUP($B1281,Data!$B$3:$EZ1530,4,FALSE)),"")</f>
        <v>-2.755922865</v>
      </c>
      <c r="I1281" s="48" t="str">
        <f>IFERROR(MINUS(DIVIDE(VLOOKUP($B1281,Data!$B$3:$EZ1530,9,FALSE),VLOOKUP($B1281,Data!$B$3:$EZ1530,10,FALSE)),1),"")</f>
        <v/>
      </c>
      <c r="J1281" s="48" t="str">
        <f>IFERROR(MINUS(DIVIDE(VLOOKUP($B1281,Data!$B$3:$EZ1530,24,FALSE),VLOOKUP($B1281,Data!$B$3:$EZ1530,25,FALSE)),1),"")</f>
        <v/>
      </c>
      <c r="K1281" s="48">
        <f>IFERROR(MINUS(DIVIDE(VLOOKUP($B1281,Data!$B$3:$EZ1530,29,FALSE),VLOOKUP($B1281,Data!$B$3:$EZ1530,30,FALSE)),1),"")</f>
        <v>0.4625540086</v>
      </c>
      <c r="L1281" s="48">
        <f>IFERROR(MINUS(DIVIDE(VLOOKUP($B1281,Data!$B$3:$EZ1530,34,FALSE),VLOOKUP($B1281,Data!$B$3:$EZ1530,35,FALSE)),1),"")</f>
        <v>0.4636792453</v>
      </c>
      <c r="M1281" s="48">
        <f>IFERROR(MINUS(DIVIDE(VLOOKUP($B1281,Data!$B$3:$EZ1530,39,FALSE),VLOOKUP($B1281,Data!$B$3:$EZ1530,40,FALSE)),1),"")</f>
        <v>0.4625540086</v>
      </c>
      <c r="N1281" s="48">
        <f>IFERROR(MINUS(DIVIDE(VLOOKUP($B1281,Data!$B$3:$EZ1530,44,FALSE),VLOOKUP($B1281,Data!$B$3:$EZ1530,45,FALSE)),1),"")</f>
        <v>0.2621751199</v>
      </c>
      <c r="O1281" s="50">
        <f>IFERROR(VLOOKUP($B1281,Data!$B$3:$D1530,2,FALSE),"")</f>
        <v>15000</v>
      </c>
      <c r="P1281" s="50">
        <f>IFERROR(VLOOKUP($B1281,Data!$B$3:$D1530,3,FALSE),"")</f>
        <v>10480</v>
      </c>
      <c r="Q1281" s="48">
        <f t="shared" si="2"/>
        <v>0.4312977099</v>
      </c>
      <c r="R1281" s="48"/>
      <c r="S1281" s="48"/>
      <c r="T1281" s="48"/>
      <c r="U1281" s="48"/>
      <c r="V1281" s="48"/>
      <c r="W1281" s="50"/>
      <c r="Z1281" s="11"/>
      <c r="AA1281" s="11"/>
    </row>
    <row r="1282">
      <c r="A1282" s="9">
        <f t="shared" si="1"/>
        <v>1279</v>
      </c>
      <c r="B1282" s="47" t="s">
        <v>1416</v>
      </c>
      <c r="C1282" s="48">
        <f>IFERROR(DIVIDE(VLOOKUP($B1282,Data!$B$3:$AB$1535,9,FALSE),VLOOKUP($B1282,Data!$B$3:$AB$1535,4,FALSE)),"")</f>
        <v>0.1451990632</v>
      </c>
      <c r="D1282" s="48">
        <f>IFERROR(DIVIDE(VLOOKUP($B1282,Data!$B$3:$AB$1535,24,FALSE),VLOOKUP($B1282,Data!$B$3:$AB$1535,4,FALSE)),"")</f>
        <v>0.00431030445</v>
      </c>
      <c r="E1282" s="48">
        <f>IFERROR(DIVIDE(VLOOKUP($B1282,Data!$B$3:$EZ1530,29,FALSE),VLOOKUP($B1282,Data!$B$3:$EZ1530,4,FALSE)),"")</f>
        <v>0.0004192037471</v>
      </c>
      <c r="F1282" s="48">
        <f>IFERROR(DIVIDE(VLOOKUP($B1282,Data!$B$3:$EZ1530,34,FALSE),VLOOKUP($B1282,Data!$B$3:$EZ1530,4,FALSE)),"")</f>
        <v>0.01897306792</v>
      </c>
      <c r="G1282" s="48">
        <f>IFERROR(DIVIDE(VLOOKUP($B1282,Data!$B$3:$EZ1530,39,FALSE),VLOOKUP($B1282,Data!$B$3:$EZ1530,4,FALSE)),"")</f>
        <v>0.0006756440281</v>
      </c>
      <c r="H1282" s="48">
        <f>IFERROR(DIVIDE(VLOOKUP($B1282,Data!$B$3:$EZ1530,44,FALSE),VLOOKUP($B1282,Data!$B$3:$EZ1530,4,FALSE)),"")</f>
        <v>0.02109953162</v>
      </c>
      <c r="I1282" s="48">
        <f>IFERROR(MINUS(DIVIDE(VLOOKUP($B1282,Data!$B$3:$EZ1530,9,FALSE),VLOOKUP($B1282,Data!$B$3:$EZ1530,10,FALSE)),1),"")</f>
        <v>0.1171171171</v>
      </c>
      <c r="J1282" s="48">
        <f>IFERROR(MINUS(DIVIDE(VLOOKUP($B1282,Data!$B$3:$EZ1530,24,FALSE),VLOOKUP($B1282,Data!$B$3:$EZ1530,25,FALSE)),1),"")</f>
        <v>-0.4779463906</v>
      </c>
      <c r="K1282" s="48">
        <f>IFERROR(MINUS(DIVIDE(VLOOKUP($B1282,Data!$B$3:$EZ1530,29,FALSE),VLOOKUP($B1282,Data!$B$3:$EZ1530,30,FALSE)),1),"")</f>
        <v>-0.912039312</v>
      </c>
      <c r="L1282" s="48">
        <f>IFERROR(MINUS(DIVIDE(VLOOKUP($B1282,Data!$B$3:$EZ1530,34,FALSE),VLOOKUP($B1282,Data!$B$3:$EZ1530,35,FALSE)),1),"")</f>
        <v>-0.1783051879</v>
      </c>
      <c r="M1282" s="48">
        <f>IFERROR(MINUS(DIVIDE(VLOOKUP($B1282,Data!$B$3:$EZ1530,39,FALSE),VLOOKUP($B1282,Data!$B$3:$EZ1530,40,FALSE)),1),"")</f>
        <v>-0.8254160363</v>
      </c>
      <c r="N1282" s="48">
        <f>IFERROR(MINUS(DIVIDE(VLOOKUP($B1282,Data!$B$3:$EZ1530,44,FALSE),VLOOKUP($B1282,Data!$B$3:$EZ1530,45,FALSE)),1),"")</f>
        <v>0.05146758476</v>
      </c>
      <c r="O1282" s="50">
        <f>IFERROR(VLOOKUP($B1282,Data!$B$3:$D1530,2,FALSE),"")</f>
        <v>8840000</v>
      </c>
      <c r="P1282" s="50">
        <f>IFERROR(VLOOKUP($B1282,Data!$B$3:$D1530,3,FALSE),"")</f>
        <v>9450000</v>
      </c>
      <c r="Q1282" s="48">
        <f t="shared" si="2"/>
        <v>-0.06455026455</v>
      </c>
      <c r="R1282" s="48"/>
      <c r="S1282" s="48"/>
      <c r="T1282" s="48"/>
      <c r="U1282" s="48"/>
      <c r="V1282" s="48"/>
      <c r="W1282" s="50"/>
      <c r="Z1282" s="11"/>
      <c r="AA1282" s="11"/>
    </row>
    <row r="1283">
      <c r="A1283" s="9">
        <f t="shared" si="1"/>
        <v>1280</v>
      </c>
      <c r="B1283" s="47" t="s">
        <v>1417</v>
      </c>
      <c r="C1283" s="48">
        <f>IFERROR(DIVIDE(VLOOKUP($B1283,Data!$B$3:$AB$1535,9,FALSE),VLOOKUP($B1283,Data!$B$3:$AB$1535,4,FALSE)),"")</f>
        <v>0.3128497292</v>
      </c>
      <c r="D1283" s="48">
        <f>IFERROR(DIVIDE(VLOOKUP($B1283,Data!$B$3:$AB$1535,24,FALSE),VLOOKUP($B1283,Data!$B$3:$AB$1535,4,FALSE)),"")</f>
        <v>0.03774819495</v>
      </c>
      <c r="E1283" s="48">
        <f>IFERROR(DIVIDE(VLOOKUP($B1283,Data!$B$3:$EZ1530,29,FALSE),VLOOKUP($B1283,Data!$B$3:$EZ1530,4,FALSE)),"")</f>
        <v>0.02873420578</v>
      </c>
      <c r="F1283" s="48">
        <f>IFERROR(DIVIDE(VLOOKUP($B1283,Data!$B$3:$EZ1530,34,FALSE),VLOOKUP($B1283,Data!$B$3:$EZ1530,4,FALSE)),"")</f>
        <v>0.09077166065</v>
      </c>
      <c r="G1283" s="48">
        <f>IFERROR(DIVIDE(VLOOKUP($B1283,Data!$B$3:$EZ1530,39,FALSE),VLOOKUP($B1283,Data!$B$3:$EZ1530,4,FALSE)),"")</f>
        <v>0.02281137184</v>
      </c>
      <c r="H1283" s="48">
        <f>IFERROR(DIVIDE(VLOOKUP($B1283,Data!$B$3:$EZ1530,44,FALSE),VLOOKUP($B1283,Data!$B$3:$EZ1530,4,FALSE)),"")</f>
        <v>0.1198555957</v>
      </c>
      <c r="I1283" s="48">
        <f>IFERROR(MINUS(DIVIDE(VLOOKUP($B1283,Data!$B$3:$EZ1530,9,FALSE),VLOOKUP($B1283,Data!$B$3:$EZ1530,10,FALSE)),1),"")</f>
        <v>0.03986050697</v>
      </c>
      <c r="J1283" s="48" t="str">
        <f>IFERROR(MINUS(DIVIDE(VLOOKUP($B1283,Data!$B$3:$EZ1530,24,FALSE),VLOOKUP($B1283,Data!$B$3:$EZ1530,25,FALSE)),1),"")</f>
        <v/>
      </c>
      <c r="K1283" s="48">
        <f>IFERROR(MINUS(DIVIDE(VLOOKUP($B1283,Data!$B$3:$EZ1530,29,FALSE),VLOOKUP($B1283,Data!$B$3:$EZ1530,30,FALSE)),1),"")</f>
        <v>-0.1733203505</v>
      </c>
      <c r="L1283" s="48">
        <f>IFERROR(MINUS(DIVIDE(VLOOKUP($B1283,Data!$B$3:$EZ1530,34,FALSE),VLOOKUP($B1283,Data!$B$3:$EZ1530,35,FALSE)),1),"")</f>
        <v>0.2921149831</v>
      </c>
      <c r="M1283" s="48">
        <f>IFERROR(MINUS(DIVIDE(VLOOKUP($B1283,Data!$B$3:$EZ1530,39,FALSE),VLOOKUP($B1283,Data!$B$3:$EZ1530,40,FALSE)),1),"")</f>
        <v>-0.1486315789</v>
      </c>
      <c r="N1283" s="48">
        <f>IFERROR(MINUS(DIVIDE(VLOOKUP($B1283,Data!$B$3:$EZ1530,44,FALSE),VLOOKUP($B1283,Data!$B$3:$EZ1530,45,FALSE)),1),"")</f>
        <v>2.302455704</v>
      </c>
      <c r="O1283" s="50">
        <f>IFERROR(VLOOKUP($B1283,Data!$B$3:$D1530,2,FALSE),"")</f>
        <v>1090000</v>
      </c>
      <c r="P1283" s="50">
        <f>IFERROR(VLOOKUP($B1283,Data!$B$3:$D1530,3,FALSE),"")</f>
        <v>1090000</v>
      </c>
      <c r="Q1283" s="48">
        <f t="shared" si="2"/>
        <v>0</v>
      </c>
      <c r="R1283" s="48"/>
      <c r="S1283" s="48"/>
      <c r="T1283" s="48"/>
      <c r="U1283" s="48"/>
      <c r="V1283" s="48"/>
      <c r="W1283" s="50"/>
      <c r="Z1283" s="11"/>
      <c r="AA1283" s="11"/>
    </row>
    <row r="1284">
      <c r="A1284" s="9">
        <f t="shared" si="1"/>
        <v>1281</v>
      </c>
      <c r="B1284" s="47" t="s">
        <v>1418</v>
      </c>
      <c r="C1284" s="48">
        <f>IFERROR(DIVIDE(VLOOKUP($B1284,Data!$B$3:$AB$1535,9,FALSE),VLOOKUP($B1284,Data!$B$3:$AB$1535,4,FALSE)),"")</f>
        <v>0.05315591398</v>
      </c>
      <c r="D1284" s="48">
        <f>IFERROR(DIVIDE(VLOOKUP($B1284,Data!$B$3:$AB$1535,24,FALSE),VLOOKUP($B1284,Data!$B$3:$AB$1535,4,FALSE)),"")</f>
        <v>-0.04541397849</v>
      </c>
      <c r="E1284" s="48">
        <f>IFERROR(DIVIDE(VLOOKUP($B1284,Data!$B$3:$EZ1530,29,FALSE),VLOOKUP($B1284,Data!$B$3:$EZ1530,4,FALSE)),"")</f>
        <v>0.01396236559</v>
      </c>
      <c r="F1284" s="48">
        <f>IFERROR(DIVIDE(VLOOKUP($B1284,Data!$B$3:$EZ1530,34,FALSE),VLOOKUP($B1284,Data!$B$3:$EZ1530,4,FALSE)),"")</f>
        <v>-0.08011290323</v>
      </c>
      <c r="G1284" s="48">
        <f>IFERROR(DIVIDE(VLOOKUP($B1284,Data!$B$3:$EZ1530,39,FALSE),VLOOKUP($B1284,Data!$B$3:$EZ1530,4,FALSE)),"")</f>
        <v>0.01191397849</v>
      </c>
      <c r="H1284" s="48">
        <f>IFERROR(DIVIDE(VLOOKUP($B1284,Data!$B$3:$EZ1530,44,FALSE),VLOOKUP($B1284,Data!$B$3:$EZ1530,4,FALSE)),"")</f>
        <v>-0.1395215054</v>
      </c>
      <c r="I1284" s="48">
        <f>IFERROR(MINUS(DIVIDE(VLOOKUP($B1284,Data!$B$3:$EZ1530,9,FALSE),VLOOKUP($B1284,Data!$B$3:$EZ1530,10,FALSE)),1),"")</f>
        <v>0.7040675629</v>
      </c>
      <c r="J1284" s="48">
        <f>IFERROR(MINUS(DIVIDE(VLOOKUP($B1284,Data!$B$3:$EZ1530,24,FALSE),VLOOKUP($B1284,Data!$B$3:$EZ1530,25,FALSE)),1),"")</f>
        <v>-0.9012508768</v>
      </c>
      <c r="K1284" s="48">
        <f>IFERROR(MINUS(DIVIDE(VLOOKUP($B1284,Data!$B$3:$EZ1530,29,FALSE),VLOOKUP($B1284,Data!$B$3:$EZ1530,30,FALSE)),1),"")</f>
        <v>-1.028898261</v>
      </c>
      <c r="L1284" s="48">
        <f>IFERROR(MINUS(DIVIDE(VLOOKUP($B1284,Data!$B$3:$EZ1530,34,FALSE),VLOOKUP($B1284,Data!$B$3:$EZ1530,35,FALSE)),1),"")</f>
        <v>0.04502419525</v>
      </c>
      <c r="M1284" s="48">
        <f>IFERROR(MINUS(DIVIDE(VLOOKUP($B1284,Data!$B$3:$EZ1530,39,FALSE),VLOOKUP($B1284,Data!$B$3:$EZ1530,40,FALSE)),1),"")</f>
        <v>-1.027321259</v>
      </c>
      <c r="N1284" s="48">
        <f>IFERROR(MINUS(DIVIDE(VLOOKUP($B1284,Data!$B$3:$EZ1530,44,FALSE),VLOOKUP($B1284,Data!$B$3:$EZ1530,45,FALSE)),1),"")</f>
        <v>-0.5107646482</v>
      </c>
      <c r="O1284" s="50">
        <f>IFERROR(VLOOKUP($B1284,Data!$B$3:$D1530,2,FALSE),"")</f>
        <v>2180000</v>
      </c>
      <c r="P1284" s="50">
        <f>IFERROR(VLOOKUP($B1284,Data!$B$3:$D1530,3,FALSE),"")</f>
        <v>1890000</v>
      </c>
      <c r="Q1284" s="48">
        <f t="shared" si="2"/>
        <v>0.1534391534</v>
      </c>
      <c r="R1284" s="48"/>
      <c r="S1284" s="48"/>
      <c r="T1284" s="48"/>
      <c r="U1284" s="48"/>
      <c r="V1284" s="48"/>
      <c r="W1284" s="50"/>
      <c r="Z1284" s="15"/>
      <c r="AA1284" s="15"/>
    </row>
    <row r="1285">
      <c r="A1285" s="9">
        <f t="shared" si="1"/>
        <v>1282</v>
      </c>
      <c r="B1285" s="47" t="s">
        <v>1419</v>
      </c>
      <c r="C1285" s="48" t="str">
        <f>IFERROR(DIVIDE(VLOOKUP($B1285,Data!$B$3:$AB$1535,9,FALSE),VLOOKUP($B1285,Data!$B$3:$AB$1535,4,FALSE)),"")</f>
        <v/>
      </c>
      <c r="D1285" s="48" t="str">
        <f>IFERROR(DIVIDE(VLOOKUP($B1285,Data!$B$3:$AB$1535,24,FALSE),VLOOKUP($B1285,Data!$B$3:$AB$1535,4,FALSE)),"")</f>
        <v/>
      </c>
      <c r="E1285" s="48" t="str">
        <f>IFERROR(DIVIDE(VLOOKUP($B1285,Data!$B$3:$EZ1530,29,FALSE),VLOOKUP($B1285,Data!$B$3:$EZ1530,4,FALSE)),"")</f>
        <v/>
      </c>
      <c r="F1285" s="48" t="str">
        <f>IFERROR(DIVIDE(VLOOKUP($B1285,Data!$B$3:$EZ1530,34,FALSE),VLOOKUP($B1285,Data!$B$3:$EZ1530,4,FALSE)),"")</f>
        <v/>
      </c>
      <c r="G1285" s="48" t="str">
        <f>IFERROR(DIVIDE(VLOOKUP($B1285,Data!$B$3:$EZ1530,39,FALSE),VLOOKUP($B1285,Data!$B$3:$EZ1530,4,FALSE)),"")</f>
        <v/>
      </c>
      <c r="H1285" s="48" t="str">
        <f>IFERROR(DIVIDE(VLOOKUP($B1285,Data!$B$3:$EZ1530,44,FALSE),VLOOKUP($B1285,Data!$B$3:$EZ1530,4,FALSE)),"")</f>
        <v/>
      </c>
      <c r="I1285" s="48">
        <f>IFERROR(MINUS(DIVIDE(VLOOKUP($B1285,Data!$B$3:$EZ1530,9,FALSE),VLOOKUP($B1285,Data!$B$3:$EZ1530,10,FALSE)),1),"")</f>
        <v>-0.2336212387</v>
      </c>
      <c r="J1285" s="48">
        <f>IFERROR(MINUS(DIVIDE(VLOOKUP($B1285,Data!$B$3:$EZ1530,24,FALSE),VLOOKUP($B1285,Data!$B$3:$EZ1530,25,FALSE)),1),"")</f>
        <v>-0.2742671165</v>
      </c>
      <c r="K1285" s="48">
        <f>IFERROR(MINUS(DIVIDE(VLOOKUP($B1285,Data!$B$3:$EZ1530,29,FALSE),VLOOKUP($B1285,Data!$B$3:$EZ1530,30,FALSE)),1),"")</f>
        <v>-0.3211959965</v>
      </c>
      <c r="L1285" s="48">
        <f>IFERROR(MINUS(DIVIDE(VLOOKUP($B1285,Data!$B$3:$EZ1530,34,FALSE),VLOOKUP($B1285,Data!$B$3:$EZ1530,35,FALSE)),1),"")</f>
        <v>-0.1928949548</v>
      </c>
      <c r="M1285" s="48">
        <f>IFERROR(MINUS(DIVIDE(VLOOKUP($B1285,Data!$B$3:$EZ1530,39,FALSE),VLOOKUP($B1285,Data!$B$3:$EZ1530,40,FALSE)),1),"")</f>
        <v>-0.3072346754</v>
      </c>
      <c r="N1285" s="48">
        <f>IFERROR(MINUS(DIVIDE(VLOOKUP($B1285,Data!$B$3:$EZ1530,44,FALSE),VLOOKUP($B1285,Data!$B$3:$EZ1530,45,FALSE)),1),"")</f>
        <v>-0.1087040389</v>
      </c>
      <c r="O1285" s="50">
        <f>IFERROR(VLOOKUP($B1285,Data!$B$3:$D1530,2,FALSE),"")</f>
        <v>2360000</v>
      </c>
      <c r="P1285" s="50">
        <f>IFERROR(VLOOKUP($B1285,Data!$B$3:$D1530,3,FALSE),"")</f>
        <v>2020000</v>
      </c>
      <c r="Q1285" s="48">
        <f t="shared" si="2"/>
        <v>0.1683168317</v>
      </c>
      <c r="R1285" s="48"/>
      <c r="S1285" s="48"/>
      <c r="T1285" s="48"/>
      <c r="U1285" s="48"/>
      <c r="V1285" s="48"/>
      <c r="W1285" s="50"/>
      <c r="Z1285" s="15"/>
      <c r="AA1285" s="15"/>
    </row>
    <row r="1286">
      <c r="A1286" s="9">
        <f t="shared" si="1"/>
        <v>1283</v>
      </c>
      <c r="B1286" s="47" t="s">
        <v>1420</v>
      </c>
      <c r="C1286" s="48">
        <f>IFERROR(DIVIDE(VLOOKUP($B1286,Data!$B$3:$AB$1535,9,FALSE),VLOOKUP($B1286,Data!$B$3:$AB$1535,4,FALSE)),"")</f>
        <v>0.1649384316</v>
      </c>
      <c r="D1286" s="48">
        <f>IFERROR(DIVIDE(VLOOKUP($B1286,Data!$B$3:$AB$1535,24,FALSE),VLOOKUP($B1286,Data!$B$3:$AB$1535,4,FALSE)),"")</f>
        <v>-1.014906027</v>
      </c>
      <c r="E1286" s="48">
        <f>IFERROR(DIVIDE(VLOOKUP($B1286,Data!$B$3:$EZ1530,29,FALSE),VLOOKUP($B1286,Data!$B$3:$EZ1530,4,FALSE)),"")</f>
        <v>-1.315618924</v>
      </c>
      <c r="F1286" s="48">
        <f>IFERROR(DIVIDE(VLOOKUP($B1286,Data!$B$3:$EZ1530,34,FALSE),VLOOKUP($B1286,Data!$B$3:$EZ1530,4,FALSE)),"")</f>
        <v>-0.7427090084</v>
      </c>
      <c r="G1286" s="48">
        <f>IFERROR(DIVIDE(VLOOKUP($B1286,Data!$B$3:$EZ1530,39,FALSE),VLOOKUP($B1286,Data!$B$3:$EZ1530,4,FALSE)),"")</f>
        <v>-1.188917693</v>
      </c>
      <c r="H1286" s="48">
        <f>IFERROR(DIVIDE(VLOOKUP($B1286,Data!$B$3:$EZ1530,44,FALSE),VLOOKUP($B1286,Data!$B$3:$EZ1530,4,FALSE)),"")</f>
        <v>0.08878807518</v>
      </c>
      <c r="I1286" s="48">
        <f>IFERROR(MINUS(DIVIDE(VLOOKUP($B1286,Data!$B$3:$EZ1530,9,FALSE),VLOOKUP($B1286,Data!$B$3:$EZ1530,10,FALSE)),1),"")</f>
        <v>-0.5355839416</v>
      </c>
      <c r="J1286" s="48">
        <f>IFERROR(MINUS(DIVIDE(VLOOKUP($B1286,Data!$B$3:$EZ1530,24,FALSE),VLOOKUP($B1286,Data!$B$3:$EZ1530,25,FALSE)),1),"")</f>
        <v>-0.1268469473</v>
      </c>
      <c r="K1286" s="48">
        <f>IFERROR(MINUS(DIVIDE(VLOOKUP($B1286,Data!$B$3:$EZ1530,29,FALSE),VLOOKUP($B1286,Data!$B$3:$EZ1530,30,FALSE)),1),"")</f>
        <v>0.01045296167</v>
      </c>
      <c r="L1286" s="48">
        <f>IFERROR(MINUS(DIVIDE(VLOOKUP($B1286,Data!$B$3:$EZ1530,34,FALSE),VLOOKUP($B1286,Data!$B$3:$EZ1530,35,FALSE)),1),"")</f>
        <v>-0.2217317487</v>
      </c>
      <c r="M1286" s="48">
        <f>IFERROR(MINUS(DIVIDE(VLOOKUP($B1286,Data!$B$3:$EZ1530,39,FALSE),VLOOKUP($B1286,Data!$B$3:$EZ1530,40,FALSE)),1),"")</f>
        <v>0.01381597126</v>
      </c>
      <c r="N1286" s="48">
        <f>IFERROR(MINUS(DIVIDE(VLOOKUP($B1286,Data!$B$3:$EZ1530,44,FALSE),VLOOKUP($B1286,Data!$B$3:$EZ1530,45,FALSE)),1),"")</f>
        <v>-1.116447089</v>
      </c>
      <c r="O1286" s="50">
        <f>IFERROR(VLOOKUP($B1286,Data!$B$3:$D1530,2,FALSE),"")</f>
        <v>78000</v>
      </c>
      <c r="P1286" s="50">
        <f>IFERROR(VLOOKUP($B1286,Data!$B$3:$D1530,3,FALSE),"")</f>
        <v>50610</v>
      </c>
      <c r="Q1286" s="48">
        <f t="shared" si="2"/>
        <v>0.5411973918</v>
      </c>
      <c r="R1286" s="48"/>
      <c r="S1286" s="48"/>
      <c r="T1286" s="48"/>
      <c r="U1286" s="48"/>
      <c r="V1286" s="48"/>
      <c r="W1286" s="50"/>
      <c r="Z1286" s="15"/>
      <c r="AA1286" s="15"/>
    </row>
    <row r="1287">
      <c r="A1287" s="9">
        <f t="shared" si="1"/>
        <v>1284</v>
      </c>
      <c r="B1287" s="54" t="s">
        <v>1421</v>
      </c>
      <c r="C1287" s="48">
        <f>IFERROR(DIVIDE(VLOOKUP($B1287,Data!$B$3:$AB$1535,9,FALSE),VLOOKUP($B1287,Data!$B$3:$AB$1535,4,FALSE)),"")</f>
        <v>0.4852052179</v>
      </c>
      <c r="D1287" s="48">
        <f>IFERROR(DIVIDE(VLOOKUP($B1287,Data!$B$3:$AB$1535,24,FALSE),VLOOKUP($B1287,Data!$B$3:$AB$1535,4,FALSE)),"")</f>
        <v>-10.30862234</v>
      </c>
      <c r="E1287" s="48">
        <f>IFERROR(DIVIDE(VLOOKUP($B1287,Data!$B$3:$EZ1530,29,FALSE),VLOOKUP($B1287,Data!$B$3:$EZ1530,4,FALSE)),"")</f>
        <v>-11.44066179</v>
      </c>
      <c r="F1287" s="48">
        <f>IFERROR(DIVIDE(VLOOKUP($B1287,Data!$B$3:$EZ1530,34,FALSE),VLOOKUP($B1287,Data!$B$3:$EZ1530,4,FALSE)),"")</f>
        <v>-5.731466752</v>
      </c>
      <c r="G1287" s="48">
        <f>IFERROR(DIVIDE(VLOOKUP($B1287,Data!$B$3:$EZ1530,39,FALSE),VLOOKUP($B1287,Data!$B$3:$EZ1530,4,FALSE)),"")</f>
        <v>-9.292713968</v>
      </c>
      <c r="H1287" s="48">
        <f>IFERROR(DIVIDE(VLOOKUP($B1287,Data!$B$3:$EZ1530,44,FALSE),VLOOKUP($B1287,Data!$B$3:$EZ1530,4,FALSE)),"")</f>
        <v>-5.504295259</v>
      </c>
      <c r="I1287" s="48">
        <f>IFERROR(MINUS(DIVIDE(VLOOKUP($B1287,Data!$B$3:$EZ1530,9,FALSE),VLOOKUP($B1287,Data!$B$3:$EZ1530,10,FALSE)),1),"")</f>
        <v>0.3714028777</v>
      </c>
      <c r="J1287" s="48">
        <f>IFERROR(MINUS(DIVIDE(VLOOKUP($B1287,Data!$B$3:$EZ1530,24,FALSE),VLOOKUP($B1287,Data!$B$3:$EZ1530,25,FALSE)),1),"")</f>
        <v>1.081192189</v>
      </c>
      <c r="K1287" s="48">
        <f>IFERROR(MINUS(DIVIDE(VLOOKUP($B1287,Data!$B$3:$EZ1530,29,FALSE),VLOOKUP($B1287,Data!$B$3:$EZ1530,30,FALSE)),1),"")</f>
        <v>0.6820095425</v>
      </c>
      <c r="L1287" s="48">
        <f>IFERROR(MINUS(DIVIDE(VLOOKUP($B1287,Data!$B$3:$EZ1530,34,FALSE),VLOOKUP($B1287,Data!$B$3:$EZ1530,35,FALSE)),1),"")</f>
        <v>0.4959309085</v>
      </c>
      <c r="M1287" s="48">
        <f>IFERROR(MINUS(DIVIDE(VLOOKUP($B1287,Data!$B$3:$EZ1530,39,FALSE),VLOOKUP($B1287,Data!$B$3:$EZ1530,40,FALSE)),1),"")</f>
        <v>0.4349513609</v>
      </c>
      <c r="N1287" s="48">
        <f>IFERROR(MINUS(DIVIDE(VLOOKUP($B1287,Data!$B$3:$EZ1530,44,FALSE),VLOOKUP($B1287,Data!$B$3:$EZ1530,45,FALSE)),1),"")</f>
        <v>0.547821419</v>
      </c>
      <c r="O1287" s="50">
        <f>IFERROR(VLOOKUP($B1287,Data!$B$3:$D1530,2,FALSE),"")</f>
        <v>344530</v>
      </c>
      <c r="P1287" s="50">
        <f>IFERROR(VLOOKUP($B1287,Data!$B$3:$D1530,3,FALSE),"")</f>
        <v>58660</v>
      </c>
      <c r="Q1287" s="48">
        <f t="shared" si="2"/>
        <v>4.873337879</v>
      </c>
      <c r="R1287" s="48"/>
      <c r="S1287" s="48"/>
      <c r="T1287" s="48"/>
      <c r="U1287" s="48"/>
      <c r="V1287" s="48"/>
      <c r="W1287" s="50"/>
      <c r="Z1287" s="15"/>
      <c r="AA1287" s="15"/>
    </row>
    <row r="1288">
      <c r="A1288" s="9">
        <f t="shared" si="1"/>
        <v>1285</v>
      </c>
      <c r="B1288" s="54" t="s">
        <v>1422</v>
      </c>
      <c r="C1288" s="48">
        <f>IFERROR(DIVIDE(VLOOKUP($B1288,Data!$B$3:$AB$1535,9,FALSE),VLOOKUP($B1288,Data!$B$3:$AB$1535,4,FALSE)),"")</f>
        <v>0.8491978048</v>
      </c>
      <c r="D1288" s="48">
        <f>IFERROR(DIVIDE(VLOOKUP($B1288,Data!$B$3:$AB$1535,24,FALSE),VLOOKUP($B1288,Data!$B$3:$AB$1535,4,FALSE)),"")</f>
        <v>-1.852690177</v>
      </c>
      <c r="E1288" s="48">
        <f>IFERROR(DIVIDE(VLOOKUP($B1288,Data!$B$3:$EZ1530,29,FALSE),VLOOKUP($B1288,Data!$B$3:$EZ1530,4,FALSE)),"")</f>
        <v>-1.874537195</v>
      </c>
      <c r="F1288" s="48">
        <f>IFERROR(DIVIDE(VLOOKUP($B1288,Data!$B$3:$EZ1530,34,FALSE),VLOOKUP($B1288,Data!$B$3:$EZ1530,4,FALSE)),"")</f>
        <v>-1.290812173</v>
      </c>
      <c r="G1288" s="48">
        <f>IFERROR(DIVIDE(VLOOKUP($B1288,Data!$B$3:$EZ1530,39,FALSE),VLOOKUP($B1288,Data!$B$3:$EZ1530,4,FALSE)),"")</f>
        <v>-1.877688207</v>
      </c>
      <c r="H1288" s="48">
        <f>IFERROR(DIVIDE(VLOOKUP($B1288,Data!$B$3:$EZ1530,44,FALSE),VLOOKUP($B1288,Data!$B$3:$EZ1530,4,FALSE)),"")</f>
        <v>-1.209988709</v>
      </c>
      <c r="I1288" s="48">
        <f>IFERROR(MINUS(DIVIDE(VLOOKUP($B1288,Data!$B$3:$EZ1530,9,FALSE),VLOOKUP($B1288,Data!$B$3:$EZ1530,10,FALSE)),1),"")</f>
        <v>0.2158808933</v>
      </c>
      <c r="J1288" s="48">
        <f>IFERROR(MINUS(DIVIDE(VLOOKUP($B1288,Data!$B$3:$EZ1530,24,FALSE),VLOOKUP($B1288,Data!$B$3:$EZ1530,25,FALSE)),1),"")</f>
        <v>1.039485475</v>
      </c>
      <c r="K1288" s="48">
        <f>IFERROR(MINUS(DIVIDE(VLOOKUP($B1288,Data!$B$3:$EZ1530,29,FALSE),VLOOKUP($B1288,Data!$B$3:$EZ1530,30,FALSE)),1),"")</f>
        <v>0.9687267312</v>
      </c>
      <c r="L1288" s="48">
        <f>IFERROR(MINUS(DIVIDE(VLOOKUP($B1288,Data!$B$3:$EZ1530,34,FALSE),VLOOKUP($B1288,Data!$B$3:$EZ1530,35,FALSE)),1),"")</f>
        <v>0.4909465894</v>
      </c>
      <c r="M1288" s="48">
        <f>IFERROR(MINUS(DIVIDE(VLOOKUP($B1288,Data!$B$3:$EZ1530,39,FALSE),VLOOKUP($B1288,Data!$B$3:$EZ1530,40,FALSE)),1),"")</f>
        <v>0.975795756</v>
      </c>
      <c r="N1288" s="48">
        <f>IFERROR(MINUS(DIVIDE(VLOOKUP($B1288,Data!$B$3:$EZ1530,44,FALSE),VLOOKUP($B1288,Data!$B$3:$EZ1530,45,FALSE)),1),"")</f>
        <v>0.1856121031</v>
      </c>
      <c r="O1288" s="50">
        <f>IFERROR(VLOOKUP($B1288,Data!$B$3:$D1530,2,FALSE),"")</f>
        <v>879460</v>
      </c>
      <c r="P1288" s="50">
        <f>IFERROR(VLOOKUP($B1288,Data!$B$3:$D1530,3,FALSE),"")</f>
        <v>566210</v>
      </c>
      <c r="Q1288" s="48">
        <f t="shared" si="2"/>
        <v>0.553239964</v>
      </c>
      <c r="R1288" s="48"/>
      <c r="S1288" s="48"/>
      <c r="T1288" s="48"/>
      <c r="U1288" s="48"/>
      <c r="V1288" s="48"/>
      <c r="W1288" s="50"/>
      <c r="Z1288" s="15"/>
      <c r="AA1288" s="15"/>
    </row>
    <row r="1289">
      <c r="A1289" s="9">
        <f t="shared" si="1"/>
        <v>1286</v>
      </c>
      <c r="B1289" s="47" t="s">
        <v>1423</v>
      </c>
      <c r="C1289" s="48" t="str">
        <f>IFERROR(DIVIDE(VLOOKUP($B1289,Data!$B$3:$AB$1535,9,FALSE),VLOOKUP($B1289,Data!$B$3:$AB$1535,4,FALSE)),"")</f>
        <v/>
      </c>
      <c r="D1289" s="48" t="str">
        <f>IFERROR(DIVIDE(VLOOKUP($B1289,Data!$B$3:$AB$1535,24,FALSE),VLOOKUP($B1289,Data!$B$3:$AB$1535,4,FALSE)),"")</f>
        <v/>
      </c>
      <c r="E1289" s="48" t="str">
        <f>IFERROR(DIVIDE(VLOOKUP($B1289,Data!$B$3:$EZ1530,29,FALSE),VLOOKUP($B1289,Data!$B$3:$EZ1530,4,FALSE)),"")</f>
        <v/>
      </c>
      <c r="F1289" s="48" t="str">
        <f>IFERROR(DIVIDE(VLOOKUP($B1289,Data!$B$3:$EZ1530,34,FALSE),VLOOKUP($B1289,Data!$B$3:$EZ1530,4,FALSE)),"")</f>
        <v/>
      </c>
      <c r="G1289" s="48" t="str">
        <f>IFERROR(DIVIDE(VLOOKUP($B1289,Data!$B$3:$EZ1530,39,FALSE),VLOOKUP($B1289,Data!$B$3:$EZ1530,4,FALSE)),"")</f>
        <v/>
      </c>
      <c r="H1289" s="48" t="str">
        <f>IFERROR(DIVIDE(VLOOKUP($B1289,Data!$B$3:$EZ1530,44,FALSE),VLOOKUP($B1289,Data!$B$3:$EZ1530,4,FALSE)),"")</f>
        <v/>
      </c>
      <c r="I1289" s="48">
        <f>IFERROR(MINUS(DIVIDE(VLOOKUP($B1289,Data!$B$3:$EZ1530,9,FALSE),VLOOKUP($B1289,Data!$B$3:$EZ1530,10,FALSE)),1),"")</f>
        <v>-0.2522522523</v>
      </c>
      <c r="J1289" s="48">
        <f>IFERROR(MINUS(DIVIDE(VLOOKUP($B1289,Data!$B$3:$EZ1530,24,FALSE),VLOOKUP($B1289,Data!$B$3:$EZ1530,25,FALSE)),1),"")</f>
        <v>0.5864308914</v>
      </c>
      <c r="K1289" s="48">
        <f>IFERROR(MINUS(DIVIDE(VLOOKUP($B1289,Data!$B$3:$EZ1530,29,FALSE),VLOOKUP($B1289,Data!$B$3:$EZ1530,30,FALSE)),1),"")</f>
        <v>0.6487695749</v>
      </c>
      <c r="L1289" s="48">
        <f>IFERROR(MINUS(DIVIDE(VLOOKUP($B1289,Data!$B$3:$EZ1530,34,FALSE),VLOOKUP($B1289,Data!$B$3:$EZ1530,35,FALSE)),1),"")</f>
        <v>0.2119181308</v>
      </c>
      <c r="M1289" s="48">
        <f>IFERROR(MINUS(DIVIDE(VLOOKUP($B1289,Data!$B$3:$EZ1530,39,FALSE),VLOOKUP($B1289,Data!$B$3:$EZ1530,40,FALSE)),1),"")</f>
        <v>0.6550431196</v>
      </c>
      <c r="N1289" s="48">
        <f>IFERROR(MINUS(DIVIDE(VLOOKUP($B1289,Data!$B$3:$EZ1530,44,FALSE),VLOOKUP($B1289,Data!$B$3:$EZ1530,45,FALSE)),1),"")</f>
        <v>0.1343085106</v>
      </c>
      <c r="O1289" s="50" t="str">
        <f>IFERROR(VLOOKUP($B1289,Data!$B$3:$D1530,2,FALSE),"")</f>
        <v/>
      </c>
      <c r="P1289" s="50" t="str">
        <f>IFERROR(VLOOKUP($B1289,Data!$B$3:$D1530,3,FALSE),"")</f>
        <v/>
      </c>
      <c r="Q1289" s="48" t="str">
        <f t="shared" si="2"/>
        <v/>
      </c>
      <c r="R1289" s="48"/>
      <c r="S1289" s="48"/>
      <c r="T1289" s="48"/>
      <c r="U1289" s="48"/>
      <c r="V1289" s="48"/>
      <c r="W1289" s="50"/>
      <c r="Z1289" s="11"/>
      <c r="AA1289" s="11"/>
    </row>
    <row r="1290">
      <c r="A1290" s="9">
        <f t="shared" si="1"/>
        <v>1287</v>
      </c>
      <c r="B1290" s="47" t="s">
        <v>1424</v>
      </c>
      <c r="C1290" s="48">
        <f>IFERROR(DIVIDE(VLOOKUP($B1290,Data!$B$3:$AB$1535,9,FALSE),VLOOKUP($B1290,Data!$B$3:$AB$1535,4,FALSE)),"")</f>
        <v>0</v>
      </c>
      <c r="D1290" s="48">
        <f>IFERROR(DIVIDE(VLOOKUP($B1290,Data!$B$3:$AB$1535,24,FALSE),VLOOKUP($B1290,Data!$B$3:$AB$1535,4,FALSE)),"")</f>
        <v>0</v>
      </c>
      <c r="E1290" s="48">
        <f>IFERROR(DIVIDE(VLOOKUP($B1290,Data!$B$3:$EZ1530,29,FALSE),VLOOKUP($B1290,Data!$B$3:$EZ1530,4,FALSE)),"")</f>
        <v>-2.489019034</v>
      </c>
      <c r="F1290" s="48">
        <f>IFERROR(DIVIDE(VLOOKUP($B1290,Data!$B$3:$EZ1530,34,FALSE),VLOOKUP($B1290,Data!$B$3:$EZ1530,4,FALSE)),"")</f>
        <v>-2.549536359</v>
      </c>
      <c r="G1290" s="48">
        <f>IFERROR(DIVIDE(VLOOKUP($B1290,Data!$B$3:$EZ1530,39,FALSE),VLOOKUP($B1290,Data!$B$3:$EZ1530,4,FALSE)),"")</f>
        <v>-2.489019034</v>
      </c>
      <c r="H1290" s="48">
        <f>IFERROR(DIVIDE(VLOOKUP($B1290,Data!$B$3:$EZ1530,44,FALSE),VLOOKUP($B1290,Data!$B$3:$EZ1530,4,FALSE)),"")</f>
        <v>-3.037091264</v>
      </c>
      <c r="I1290" s="48">
        <f>IFERROR(MINUS(DIVIDE(VLOOKUP($B1290,Data!$B$3:$EZ1530,9,FALSE),VLOOKUP($B1290,Data!$B$3:$EZ1530,10,FALSE)),1),"")</f>
        <v>-1</v>
      </c>
      <c r="J1290" s="48">
        <f>IFERROR(MINUS(DIVIDE(VLOOKUP($B1290,Data!$B$3:$EZ1530,24,FALSE),VLOOKUP($B1290,Data!$B$3:$EZ1530,25,FALSE)),1),"")</f>
        <v>-1</v>
      </c>
      <c r="K1290" s="48">
        <f>IFERROR(MINUS(DIVIDE(VLOOKUP($B1290,Data!$B$3:$EZ1530,29,FALSE),VLOOKUP($B1290,Data!$B$3:$EZ1530,30,FALSE)),1),"")</f>
        <v>0.03385363876</v>
      </c>
      <c r="L1290" s="48">
        <f>IFERROR(MINUS(DIVIDE(VLOOKUP($B1290,Data!$B$3:$EZ1530,34,FALSE),VLOOKUP($B1290,Data!$B$3:$EZ1530,35,FALSE)),1),"")</f>
        <v>0.04710362798</v>
      </c>
      <c r="M1290" s="48">
        <f>IFERROR(MINUS(DIVIDE(VLOOKUP($B1290,Data!$B$3:$EZ1530,39,FALSE),VLOOKUP($B1290,Data!$B$3:$EZ1530,40,FALSE)),1),"")</f>
        <v>0.03385363876</v>
      </c>
      <c r="N1290" s="48">
        <f>IFERROR(MINUS(DIVIDE(VLOOKUP($B1290,Data!$B$3:$EZ1530,44,FALSE),VLOOKUP($B1290,Data!$B$3:$EZ1530,45,FALSE)),1),"")</f>
        <v>-3.532763533</v>
      </c>
      <c r="O1290" s="50">
        <f>IFERROR(VLOOKUP($B1290,Data!$B$3:$D1530,2,FALSE),"")</f>
        <v>28980</v>
      </c>
      <c r="P1290" s="50">
        <f>IFERROR(VLOOKUP($B1290,Data!$B$3:$D1530,3,FALSE),"")</f>
        <v>23670</v>
      </c>
      <c r="Q1290" s="48">
        <f t="shared" si="2"/>
        <v>0.2243346008</v>
      </c>
      <c r="R1290" s="48"/>
      <c r="S1290" s="48"/>
      <c r="T1290" s="48"/>
      <c r="U1290" s="48"/>
      <c r="V1290" s="48"/>
      <c r="W1290" s="50"/>
      <c r="Z1290" s="11"/>
      <c r="AA1290" s="11"/>
    </row>
    <row r="1291">
      <c r="A1291" s="9">
        <f t="shared" si="1"/>
        <v>1288</v>
      </c>
      <c r="B1291" s="47" t="s">
        <v>1425</v>
      </c>
      <c r="C1291" s="48">
        <f>IFERROR(DIVIDE(VLOOKUP($B1291,Data!$B$3:$AB$1535,9,FALSE),VLOOKUP($B1291,Data!$B$3:$AB$1535,4,FALSE)),"")</f>
        <v>0.4309298246</v>
      </c>
      <c r="D1291" s="48">
        <f>IFERROR(DIVIDE(VLOOKUP($B1291,Data!$B$3:$AB$1535,24,FALSE),VLOOKUP($B1291,Data!$B$3:$AB$1535,4,FALSE)),"")</f>
        <v>0</v>
      </c>
      <c r="E1291" s="48">
        <f>IFERROR(DIVIDE(VLOOKUP($B1291,Data!$B$3:$EZ1530,29,FALSE),VLOOKUP($B1291,Data!$B$3:$EZ1530,4,FALSE)),"")</f>
        <v>0.1564561404</v>
      </c>
      <c r="F1291" s="48">
        <f>IFERROR(DIVIDE(VLOOKUP($B1291,Data!$B$3:$EZ1530,34,FALSE),VLOOKUP($B1291,Data!$B$3:$EZ1530,4,FALSE)),"")</f>
        <v>0.1873947368</v>
      </c>
      <c r="G1291" s="48">
        <f>IFERROR(DIVIDE(VLOOKUP($B1291,Data!$B$3:$EZ1530,39,FALSE),VLOOKUP($B1291,Data!$B$3:$EZ1530,4,FALSE)),"")</f>
        <v>0.1175263158</v>
      </c>
      <c r="H1291" s="48">
        <f>IFERROR(DIVIDE(VLOOKUP($B1291,Data!$B$3:$EZ1530,44,FALSE),VLOOKUP($B1291,Data!$B$3:$EZ1530,4,FALSE)),"")</f>
        <v>0.1804035088</v>
      </c>
      <c r="I1291" s="48">
        <f>IFERROR(MINUS(DIVIDE(VLOOKUP($B1291,Data!$B$3:$EZ1530,9,FALSE),VLOOKUP($B1291,Data!$B$3:$EZ1530,10,FALSE)),1),"")</f>
        <v>0.02235078665</v>
      </c>
      <c r="J1291" s="48">
        <f>IFERROR(MINUS(DIVIDE(VLOOKUP($B1291,Data!$B$3:$EZ1530,24,FALSE),VLOOKUP($B1291,Data!$B$3:$EZ1530,25,FALSE)),1),"")</f>
        <v>-1</v>
      </c>
      <c r="K1291" s="48">
        <f>IFERROR(MINUS(DIVIDE(VLOOKUP($B1291,Data!$B$3:$EZ1530,29,FALSE),VLOOKUP($B1291,Data!$B$3:$EZ1530,30,FALSE)),1),"")</f>
        <v>0.03619357462</v>
      </c>
      <c r="L1291" s="48">
        <f>IFERROR(MINUS(DIVIDE(VLOOKUP($B1291,Data!$B$3:$EZ1530,34,FALSE),VLOOKUP($B1291,Data!$B$3:$EZ1530,35,FALSE)),1),"")</f>
        <v>0.02790742434</v>
      </c>
      <c r="M1291" s="48">
        <f>IFERROR(MINUS(DIVIDE(VLOOKUP($B1291,Data!$B$3:$EZ1530,39,FALSE),VLOOKUP($B1291,Data!$B$3:$EZ1530,40,FALSE)),1),"")</f>
        <v>0.05804311774</v>
      </c>
      <c r="N1291" s="48">
        <f>IFERROR(MINUS(DIVIDE(VLOOKUP($B1291,Data!$B$3:$EZ1530,44,FALSE),VLOOKUP($B1291,Data!$B$3:$EZ1530,45,FALSE)),1),"")</f>
        <v>0.2847326337</v>
      </c>
      <c r="O1291" s="50">
        <f>IFERROR(VLOOKUP($B1291,Data!$B$3:$D1530,2,FALSE),"")</f>
        <v>1240000</v>
      </c>
      <c r="P1291" s="50">
        <f>IFERROR(VLOOKUP($B1291,Data!$B$3:$D1530,3,FALSE),"")</f>
        <v>1180000</v>
      </c>
      <c r="Q1291" s="48">
        <f t="shared" si="2"/>
        <v>0.05084745763</v>
      </c>
      <c r="R1291" s="48"/>
      <c r="S1291" s="48"/>
      <c r="T1291" s="48"/>
      <c r="U1291" s="48"/>
      <c r="V1291" s="48"/>
      <c r="W1291" s="50"/>
      <c r="Z1291" s="12"/>
      <c r="AA1291" s="12"/>
    </row>
    <row r="1292">
      <c r="A1292" s="9">
        <f t="shared" si="1"/>
        <v>1289</v>
      </c>
      <c r="B1292" s="47" t="s">
        <v>1426</v>
      </c>
      <c r="C1292" s="48">
        <f>IFERROR(DIVIDE(VLOOKUP($B1292,Data!$B$3:$AB$1535,9,FALSE),VLOOKUP($B1292,Data!$B$3:$AB$1535,4,FALSE)),"")</f>
        <v>0.3571747877</v>
      </c>
      <c r="D1292" s="48">
        <f>IFERROR(DIVIDE(VLOOKUP($B1292,Data!$B$3:$AB$1535,24,FALSE),VLOOKUP($B1292,Data!$B$3:$AB$1535,4,FALSE)),"")</f>
        <v>0</v>
      </c>
      <c r="E1292" s="48">
        <f>IFERROR(DIVIDE(VLOOKUP($B1292,Data!$B$3:$EZ1530,29,FALSE),VLOOKUP($B1292,Data!$B$3:$EZ1530,4,FALSE)),"")</f>
        <v>0.05051408136</v>
      </c>
      <c r="F1292" s="48">
        <f>IFERROR(DIVIDE(VLOOKUP($B1292,Data!$B$3:$EZ1530,34,FALSE),VLOOKUP($B1292,Data!$B$3:$EZ1530,4,FALSE)),"")</f>
        <v>0.1645060349</v>
      </c>
      <c r="G1292" s="48">
        <f>IFERROR(DIVIDE(VLOOKUP($B1292,Data!$B$3:$EZ1530,39,FALSE),VLOOKUP($B1292,Data!$B$3:$EZ1530,4,FALSE)),"")</f>
        <v>0.03645462673</v>
      </c>
      <c r="H1292" s="48">
        <f>IFERROR(DIVIDE(VLOOKUP($B1292,Data!$B$3:$EZ1530,44,FALSE),VLOOKUP($B1292,Data!$B$3:$EZ1530,4,FALSE)),"")</f>
        <v>0.1443898078</v>
      </c>
      <c r="I1292" s="48">
        <f>IFERROR(MINUS(DIVIDE(VLOOKUP($B1292,Data!$B$3:$EZ1530,9,FALSE),VLOOKUP($B1292,Data!$B$3:$EZ1530,10,FALSE)),1),"")</f>
        <v>0.04172099087</v>
      </c>
      <c r="J1292" s="48" t="str">
        <f>IFERROR(MINUS(DIVIDE(VLOOKUP($B1292,Data!$B$3:$EZ1530,24,FALSE),VLOOKUP($B1292,Data!$B$3:$EZ1530,25,FALSE)),1),"")</f>
        <v/>
      </c>
      <c r="K1292" s="48">
        <f>IFERROR(MINUS(DIVIDE(VLOOKUP($B1292,Data!$B$3:$EZ1530,29,FALSE),VLOOKUP($B1292,Data!$B$3:$EZ1530,30,FALSE)),1),"")</f>
        <v>0.241458109</v>
      </c>
      <c r="L1292" s="48">
        <f>IFERROR(MINUS(DIVIDE(VLOOKUP($B1292,Data!$B$3:$EZ1530,34,FALSE),VLOOKUP($B1292,Data!$B$3:$EZ1530,35,FALSE)),1),"")</f>
        <v>0.7951219512</v>
      </c>
      <c r="M1292" s="48">
        <f>IFERROR(MINUS(DIVIDE(VLOOKUP($B1292,Data!$B$3:$EZ1530,39,FALSE),VLOOKUP($B1292,Data!$B$3:$EZ1530,40,FALSE)),1),"")</f>
        <v>0.3403185247</v>
      </c>
      <c r="N1292" s="48">
        <f>IFERROR(MINUS(DIVIDE(VLOOKUP($B1292,Data!$B$3:$EZ1530,44,FALSE),VLOOKUP($B1292,Data!$B$3:$EZ1530,45,FALSE)),1),"")</f>
        <v>0.7272727273</v>
      </c>
      <c r="O1292" s="50" t="str">
        <f>IFERROR(VLOOKUP($B1292,Data!$B$3:$D1530,2,FALSE),"")</f>
        <v/>
      </c>
      <c r="P1292" s="50" t="str">
        <f>IFERROR(VLOOKUP($B1292,Data!$B$3:$D1530,3,FALSE),"")</f>
        <v/>
      </c>
      <c r="Q1292" s="48" t="str">
        <f t="shared" si="2"/>
        <v/>
      </c>
      <c r="R1292" s="48"/>
      <c r="S1292" s="48"/>
      <c r="T1292" s="48"/>
      <c r="U1292" s="48"/>
      <c r="V1292" s="48"/>
      <c r="W1292" s="50"/>
      <c r="Z1292" s="11"/>
      <c r="AA1292" s="11"/>
    </row>
    <row r="1293">
      <c r="A1293" s="9">
        <f t="shared" si="1"/>
        <v>1290</v>
      </c>
      <c r="B1293" s="47" t="s">
        <v>1427</v>
      </c>
      <c r="C1293" s="48">
        <f>IFERROR(DIVIDE(VLOOKUP($B1293,Data!$B$3:$AB$1535,9,FALSE),VLOOKUP($B1293,Data!$B$3:$AB$1535,4,FALSE)),"")</f>
        <v>0.2456316829</v>
      </c>
      <c r="D1293" s="48">
        <f>IFERROR(DIVIDE(VLOOKUP($B1293,Data!$B$3:$AB$1535,24,FALSE),VLOOKUP($B1293,Data!$B$3:$AB$1535,4,FALSE)),"")</f>
        <v>0.184121307</v>
      </c>
      <c r="E1293" s="48">
        <f>IFERROR(DIVIDE(VLOOKUP($B1293,Data!$B$3:$EZ1530,29,FALSE),VLOOKUP($B1293,Data!$B$3:$EZ1530,4,FALSE)),"")</f>
        <v>0.1419221837</v>
      </c>
      <c r="F1293" s="48">
        <f>IFERROR(DIVIDE(VLOOKUP($B1293,Data!$B$3:$EZ1530,34,FALSE),VLOOKUP($B1293,Data!$B$3:$EZ1530,4,FALSE)),"")</f>
        <v>0.3772835091</v>
      </c>
      <c r="G1293" s="48">
        <f>IFERROR(DIVIDE(VLOOKUP($B1293,Data!$B$3:$EZ1530,39,FALSE),VLOOKUP($B1293,Data!$B$3:$EZ1530,4,FALSE)),"")</f>
        <v>0.09444506539</v>
      </c>
      <c r="H1293" s="48">
        <f>IFERROR(DIVIDE(VLOOKUP($B1293,Data!$B$3:$EZ1530,44,FALSE),VLOOKUP($B1293,Data!$B$3:$EZ1530,4,FALSE)),"")</f>
        <v>0.2371123778</v>
      </c>
      <c r="I1293" s="48">
        <f>IFERROR(MINUS(DIVIDE(VLOOKUP($B1293,Data!$B$3:$EZ1530,9,FALSE),VLOOKUP($B1293,Data!$B$3:$EZ1530,10,FALSE)),1),"")</f>
        <v>1.578412202</v>
      </c>
      <c r="J1293" s="48" t="str">
        <f>IFERROR(MINUS(DIVIDE(VLOOKUP($B1293,Data!$B$3:$EZ1530,24,FALSE),VLOOKUP($B1293,Data!$B$3:$EZ1530,25,FALSE)),1),"")</f>
        <v/>
      </c>
      <c r="K1293" s="48">
        <f>IFERROR(MINUS(DIVIDE(VLOOKUP($B1293,Data!$B$3:$EZ1530,29,FALSE),VLOOKUP($B1293,Data!$B$3:$EZ1530,30,FALSE)),1),"")</f>
        <v>9.894184938</v>
      </c>
      <c r="L1293" s="48">
        <f>IFERROR(MINUS(DIVIDE(VLOOKUP($B1293,Data!$B$3:$EZ1530,34,FALSE),VLOOKUP($B1293,Data!$B$3:$EZ1530,35,FALSE)),1),"")</f>
        <v>0.819706499</v>
      </c>
      <c r="M1293" s="48">
        <f>IFERROR(MINUS(DIVIDE(VLOOKUP($B1293,Data!$B$3:$EZ1530,39,FALSE),VLOOKUP($B1293,Data!$B$3:$EZ1530,40,FALSE)),1),"")</f>
        <v>8.195888755</v>
      </c>
      <c r="N1293" s="48">
        <f>IFERROR(MINUS(DIVIDE(VLOOKUP($B1293,Data!$B$3:$EZ1530,44,FALSE),VLOOKUP($B1293,Data!$B$3:$EZ1530,45,FALSE)),1),"")</f>
        <v>1.135204652</v>
      </c>
      <c r="O1293" s="50">
        <f>IFERROR(VLOOKUP($B1293,Data!$B$3:$D1530,2,FALSE),"")</f>
        <v>541740</v>
      </c>
      <c r="P1293" s="50">
        <f>IFERROR(VLOOKUP($B1293,Data!$B$3:$D1530,3,FALSE),"")</f>
        <v>442740</v>
      </c>
      <c r="Q1293" s="48">
        <f t="shared" si="2"/>
        <v>0.2236075349</v>
      </c>
      <c r="R1293" s="48"/>
      <c r="S1293" s="48"/>
      <c r="T1293" s="48"/>
      <c r="U1293" s="48"/>
      <c r="V1293" s="48"/>
      <c r="W1293" s="50"/>
      <c r="Z1293" s="12"/>
      <c r="AA1293" s="12"/>
    </row>
    <row r="1294">
      <c r="A1294" s="9">
        <f t="shared" si="1"/>
        <v>1291</v>
      </c>
      <c r="B1294" s="47" t="s">
        <v>1428</v>
      </c>
      <c r="C1294" s="48">
        <f>IFERROR(DIVIDE(VLOOKUP($B1294,Data!$B$3:$AB$1535,9,FALSE),VLOOKUP($B1294,Data!$B$3:$AB$1535,4,FALSE)),"")</f>
        <v>0.2132867133</v>
      </c>
      <c r="D1294" s="48">
        <f>IFERROR(DIVIDE(VLOOKUP($B1294,Data!$B$3:$AB$1535,24,FALSE),VLOOKUP($B1294,Data!$B$3:$AB$1535,4,FALSE)),"")</f>
        <v>-0.1081835664</v>
      </c>
      <c r="E1294" s="48">
        <f>IFERROR(DIVIDE(VLOOKUP($B1294,Data!$B$3:$EZ1530,29,FALSE),VLOOKUP($B1294,Data!$B$3:$EZ1530,4,FALSE)),"")</f>
        <v>-0.09825174825</v>
      </c>
      <c r="F1294" s="48">
        <f>IFERROR(DIVIDE(VLOOKUP($B1294,Data!$B$3:$EZ1530,34,FALSE),VLOOKUP($B1294,Data!$B$3:$EZ1530,4,FALSE)),"")</f>
        <v>0.08714160839</v>
      </c>
      <c r="G1294" s="48">
        <f>IFERROR(DIVIDE(VLOOKUP($B1294,Data!$B$3:$EZ1530,39,FALSE),VLOOKUP($B1294,Data!$B$3:$EZ1530,4,FALSE)),"")</f>
        <v>-0.08305594406</v>
      </c>
      <c r="H1294" s="48">
        <f>IFERROR(DIVIDE(VLOOKUP($B1294,Data!$B$3:$EZ1530,44,FALSE),VLOOKUP($B1294,Data!$B$3:$EZ1530,4,FALSE)),"")</f>
        <v>0.1162797203</v>
      </c>
      <c r="I1294" s="48">
        <f>IFERROR(MINUS(DIVIDE(VLOOKUP($B1294,Data!$B$3:$EZ1530,9,FALSE),VLOOKUP($B1294,Data!$B$3:$EZ1530,10,FALSE)),1),"")</f>
        <v>-0.6199376947</v>
      </c>
      <c r="J1294" s="48">
        <f>IFERROR(MINUS(DIVIDE(VLOOKUP($B1294,Data!$B$3:$EZ1530,24,FALSE),VLOOKUP($B1294,Data!$B$3:$EZ1530,25,FALSE)),1),"")</f>
        <v>87.90948276</v>
      </c>
      <c r="K1294" s="48">
        <f>IFERROR(MINUS(DIVIDE(VLOOKUP($B1294,Data!$B$3:$EZ1530,29,FALSE),VLOOKUP($B1294,Data!$B$3:$EZ1530,30,FALSE)),1),"")</f>
        <v>-1.965138245</v>
      </c>
      <c r="L1294" s="48">
        <f>IFERROR(MINUS(DIVIDE(VLOOKUP($B1294,Data!$B$3:$EZ1530,34,FALSE),VLOOKUP($B1294,Data!$B$3:$EZ1530,35,FALSE)),1),"")</f>
        <v>-0.1308328102</v>
      </c>
      <c r="M1294" s="48">
        <f>IFERROR(MINUS(DIVIDE(VLOOKUP($B1294,Data!$B$3:$EZ1530,39,FALSE),VLOOKUP($B1294,Data!$B$3:$EZ1530,40,FALSE)),1),"")</f>
        <v>-1.96773405</v>
      </c>
      <c r="N1294" s="48">
        <f>IFERROR(MINUS(DIVIDE(VLOOKUP($B1294,Data!$B$3:$EZ1530,44,FALSE),VLOOKUP($B1294,Data!$B$3:$EZ1530,45,FALSE)),1),"")</f>
        <v>0.8251968936</v>
      </c>
      <c r="O1294" s="50" t="str">
        <f>IFERROR(VLOOKUP($B1294,Data!$B$3:$D1530,2,FALSE),"")</f>
        <v/>
      </c>
      <c r="P1294" s="50" t="str">
        <f>IFERROR(VLOOKUP($B1294,Data!$B$3:$D1530,3,FALSE),"")</f>
        <v/>
      </c>
      <c r="Q1294" s="48" t="str">
        <f t="shared" si="2"/>
        <v/>
      </c>
      <c r="R1294" s="48"/>
      <c r="S1294" s="48"/>
      <c r="T1294" s="48"/>
      <c r="U1294" s="48"/>
      <c r="V1294" s="48"/>
      <c r="W1294" s="50"/>
      <c r="Z1294" s="12"/>
      <c r="AA1294" s="12"/>
    </row>
    <row r="1295">
      <c r="A1295" s="9">
        <f t="shared" si="1"/>
        <v>1292</v>
      </c>
      <c r="B1295" s="47" t="s">
        <v>1429</v>
      </c>
      <c r="C1295" s="48">
        <f>IFERROR(DIVIDE(VLOOKUP($B1295,Data!$B$3:$AB$1535,9,FALSE),VLOOKUP($B1295,Data!$B$3:$AB$1535,4,FALSE)),"")</f>
        <v>0.3489344262</v>
      </c>
      <c r="D1295" s="48">
        <f>IFERROR(DIVIDE(VLOOKUP($B1295,Data!$B$3:$AB$1535,24,FALSE),VLOOKUP($B1295,Data!$B$3:$AB$1535,4,FALSE)),"")</f>
        <v>0.2710737705</v>
      </c>
      <c r="E1295" s="48">
        <f>IFERROR(DIVIDE(VLOOKUP($B1295,Data!$B$3:$EZ1530,29,FALSE),VLOOKUP($B1295,Data!$B$3:$EZ1530,4,FALSE)),"")</f>
        <v>0.1593852459</v>
      </c>
      <c r="F1295" s="48">
        <f>IFERROR(DIVIDE(VLOOKUP($B1295,Data!$B$3:$EZ1530,34,FALSE),VLOOKUP($B1295,Data!$B$3:$EZ1530,4,FALSE)),"")</f>
        <v>0.4327459016</v>
      </c>
      <c r="G1295" s="48">
        <f>IFERROR(DIVIDE(VLOOKUP($B1295,Data!$B$3:$EZ1530,39,FALSE),VLOOKUP($B1295,Data!$B$3:$EZ1530,4,FALSE)),"")</f>
        <v>0.05710655738</v>
      </c>
      <c r="H1295" s="48">
        <f>IFERROR(DIVIDE(VLOOKUP($B1295,Data!$B$3:$EZ1530,44,FALSE),VLOOKUP($B1295,Data!$B$3:$EZ1530,4,FALSE)),"")</f>
        <v>0.3278278689</v>
      </c>
      <c r="I1295" s="48">
        <f>IFERROR(MINUS(DIVIDE(VLOOKUP($B1295,Data!$B$3:$EZ1530,9,FALSE),VLOOKUP($B1295,Data!$B$3:$EZ1530,10,FALSE)),1),"")</f>
        <v>-0.09325210872</v>
      </c>
      <c r="J1295" s="48">
        <f>IFERROR(MINUS(DIVIDE(VLOOKUP($B1295,Data!$B$3:$EZ1530,24,FALSE),VLOOKUP($B1295,Data!$B$3:$EZ1530,25,FALSE)),1),"")</f>
        <v>-0.02029268871</v>
      </c>
      <c r="K1295" s="48">
        <f>IFERROR(MINUS(DIVIDE(VLOOKUP($B1295,Data!$B$3:$EZ1530,29,FALSE),VLOOKUP($B1295,Data!$B$3:$EZ1530,30,FALSE)),1),"")</f>
        <v>-0.233936099</v>
      </c>
      <c r="L1295" s="48">
        <f>IFERROR(MINUS(DIVIDE(VLOOKUP($B1295,Data!$B$3:$EZ1530,34,FALSE),VLOOKUP($B1295,Data!$B$3:$EZ1530,35,FALSE)),1),"")</f>
        <v>-0.1016980875</v>
      </c>
      <c r="M1295" s="48">
        <f>IFERROR(MINUS(DIVIDE(VLOOKUP($B1295,Data!$B$3:$EZ1530,39,FALSE),VLOOKUP($B1295,Data!$B$3:$EZ1530,40,FALSE)),1),"")</f>
        <v>-0.3826865143</v>
      </c>
      <c r="N1295" s="48">
        <f>IFERROR(MINUS(DIVIDE(VLOOKUP($B1295,Data!$B$3:$EZ1530,44,FALSE),VLOOKUP($B1295,Data!$B$3:$EZ1530,45,FALSE)),1),"")</f>
        <v>-0.1109258642</v>
      </c>
      <c r="O1295" s="50">
        <f>IFERROR(VLOOKUP($B1295,Data!$B$3:$D1530,2,FALSE),"")</f>
        <v>1150000</v>
      </c>
      <c r="P1295" s="50">
        <f>IFERROR(VLOOKUP($B1295,Data!$B$3:$D1530,3,FALSE),"")</f>
        <v>1000000</v>
      </c>
      <c r="Q1295" s="48">
        <f t="shared" si="2"/>
        <v>0.15</v>
      </c>
      <c r="R1295" s="48"/>
      <c r="S1295" s="48"/>
      <c r="T1295" s="48"/>
      <c r="U1295" s="48"/>
      <c r="V1295" s="48"/>
      <c r="W1295" s="50"/>
      <c r="Z1295" s="12"/>
      <c r="AA1295" s="12"/>
    </row>
    <row r="1296">
      <c r="A1296" s="9">
        <f t="shared" si="1"/>
        <v>1293</v>
      </c>
      <c r="B1296" s="47" t="s">
        <v>1430</v>
      </c>
      <c r="C1296" s="48">
        <f>IFERROR(DIVIDE(VLOOKUP($B1296,Data!$B$3:$AB$1535,9,FALSE),VLOOKUP($B1296,Data!$B$3:$AB$1535,4,FALSE)),"")</f>
        <v>0.08724050633</v>
      </c>
      <c r="D1296" s="48">
        <f>IFERROR(DIVIDE(VLOOKUP($B1296,Data!$B$3:$AB$1535,24,FALSE),VLOOKUP($B1296,Data!$B$3:$AB$1535,4,FALSE)),"")</f>
        <v>-0.006170886076</v>
      </c>
      <c r="E1296" s="48">
        <f>IFERROR(DIVIDE(VLOOKUP($B1296,Data!$B$3:$EZ1530,29,FALSE),VLOOKUP($B1296,Data!$B$3:$EZ1530,4,FALSE)),"")</f>
        <v>0.002196202532</v>
      </c>
      <c r="F1296" s="48">
        <f>IFERROR(DIVIDE(VLOOKUP($B1296,Data!$B$3:$EZ1530,34,FALSE),VLOOKUP($B1296,Data!$B$3:$EZ1530,4,FALSE)),"")</f>
        <v>0.02775316456</v>
      </c>
      <c r="G1296" s="48">
        <f>IFERROR(DIVIDE(VLOOKUP($B1296,Data!$B$3:$EZ1530,39,FALSE),VLOOKUP($B1296,Data!$B$3:$EZ1530,4,FALSE)),"")</f>
        <v>-0.0006392405063</v>
      </c>
      <c r="H1296" s="48">
        <f>IFERROR(DIVIDE(VLOOKUP($B1296,Data!$B$3:$EZ1530,44,FALSE),VLOOKUP($B1296,Data!$B$3:$EZ1530,4,FALSE)),"")</f>
        <v>0.008240506329</v>
      </c>
      <c r="I1296" s="48">
        <f>IFERROR(MINUS(DIVIDE(VLOOKUP($B1296,Data!$B$3:$EZ1530,9,FALSE),VLOOKUP($B1296,Data!$B$3:$EZ1530,10,FALSE)),1),"")</f>
        <v>-0.05834130346</v>
      </c>
      <c r="J1296" s="48">
        <f>IFERROR(MINUS(DIVIDE(VLOOKUP($B1296,Data!$B$3:$EZ1530,24,FALSE),VLOOKUP($B1296,Data!$B$3:$EZ1530,25,FALSE)),1),"")</f>
        <v>-0.9039314218</v>
      </c>
      <c r="K1296" s="48">
        <f>IFERROR(MINUS(DIVIDE(VLOOKUP($B1296,Data!$B$3:$EZ1530,29,FALSE),VLOOKUP($B1296,Data!$B$3:$EZ1530,30,FALSE)),1),"")</f>
        <v>-1.023376448</v>
      </c>
      <c r="L1296" s="48">
        <f>IFERROR(MINUS(DIVIDE(VLOOKUP($B1296,Data!$B$3:$EZ1530,34,FALSE),VLOOKUP($B1296,Data!$B$3:$EZ1530,35,FALSE)),1),"")</f>
        <v>-0.05638046051</v>
      </c>
      <c r="M1296" s="48">
        <f>IFERROR(MINUS(DIVIDE(VLOOKUP($B1296,Data!$B$3:$EZ1530,39,FALSE),VLOOKUP($B1296,Data!$B$3:$EZ1530,40,FALSE)),1),"")</f>
        <v>-0.9928647121</v>
      </c>
      <c r="N1296" s="48">
        <f>IFERROR(MINUS(DIVIDE(VLOOKUP($B1296,Data!$B$3:$EZ1530,44,FALSE),VLOOKUP($B1296,Data!$B$3:$EZ1530,45,FALSE)),1),"")</f>
        <v>-1.90166205</v>
      </c>
      <c r="O1296" s="50">
        <f>IFERROR(VLOOKUP($B1296,Data!$B$3:$D1530,2,FALSE),"")</f>
        <v>1300000</v>
      </c>
      <c r="P1296" s="50">
        <f>IFERROR(VLOOKUP($B1296,Data!$B$3:$D1530,3,FALSE),"")</f>
        <v>1250000</v>
      </c>
      <c r="Q1296" s="48">
        <f t="shared" si="2"/>
        <v>0.04</v>
      </c>
      <c r="R1296" s="48"/>
      <c r="S1296" s="48"/>
      <c r="T1296" s="48"/>
      <c r="U1296" s="48"/>
      <c r="V1296" s="48"/>
      <c r="W1296" s="50"/>
      <c r="Z1296" s="12"/>
      <c r="AA1296" s="12"/>
    </row>
    <row r="1297">
      <c r="A1297" s="9">
        <f t="shared" si="1"/>
        <v>1294</v>
      </c>
      <c r="B1297" s="47" t="s">
        <v>1431</v>
      </c>
      <c r="C1297" s="48">
        <f>IFERROR(DIVIDE(VLOOKUP($B1297,Data!$B$3:$AB$1535,9,FALSE),VLOOKUP($B1297,Data!$B$3:$AB$1535,4,FALSE)),"")</f>
        <v>0.1357552581</v>
      </c>
      <c r="D1297" s="48">
        <f>IFERROR(DIVIDE(VLOOKUP($B1297,Data!$B$3:$AB$1535,24,FALSE),VLOOKUP($B1297,Data!$B$3:$AB$1535,4,FALSE)),"")</f>
        <v>0.09434799235</v>
      </c>
      <c r="E1297" s="48">
        <f>IFERROR(DIVIDE(VLOOKUP($B1297,Data!$B$3:$EZ1530,29,FALSE),VLOOKUP($B1297,Data!$B$3:$EZ1530,4,FALSE)),"")</f>
        <v>0.08368451243</v>
      </c>
      <c r="F1297" s="48">
        <f>IFERROR(DIVIDE(VLOOKUP($B1297,Data!$B$3:$EZ1530,34,FALSE),VLOOKUP($B1297,Data!$B$3:$EZ1530,4,FALSE)),"")</f>
        <v>0.1252390057</v>
      </c>
      <c r="G1297" s="48">
        <f>IFERROR(DIVIDE(VLOOKUP($B1297,Data!$B$3:$EZ1530,39,FALSE),VLOOKUP($B1297,Data!$B$3:$EZ1530,4,FALSE)),"")</f>
        <v>0.06415869981</v>
      </c>
      <c r="H1297" s="48">
        <f>IFERROR(DIVIDE(VLOOKUP($B1297,Data!$B$3:$EZ1530,44,FALSE),VLOOKUP($B1297,Data!$B$3:$EZ1530,4,FALSE)),"")</f>
        <v>0.1338432122</v>
      </c>
      <c r="I1297" s="48">
        <f>IFERROR(MINUS(DIVIDE(VLOOKUP($B1297,Data!$B$3:$EZ1530,9,FALSE),VLOOKUP($B1297,Data!$B$3:$EZ1530,10,FALSE)),1),"")</f>
        <v>-0.3301886792</v>
      </c>
      <c r="J1297" s="48">
        <f>IFERROR(MINUS(DIVIDE(VLOOKUP($B1297,Data!$B$3:$EZ1530,24,FALSE),VLOOKUP($B1297,Data!$B$3:$EZ1530,25,FALSE)),1),"")</f>
        <v>-0.4262325581</v>
      </c>
      <c r="K1297" s="48">
        <f>IFERROR(MINUS(DIVIDE(VLOOKUP($B1297,Data!$B$3:$EZ1530,29,FALSE),VLOOKUP($B1297,Data!$B$3:$EZ1530,30,FALSE)),1),"")</f>
        <v>-0.4596666667</v>
      </c>
      <c r="L1297" s="48">
        <f>IFERROR(MINUS(DIVIDE(VLOOKUP($B1297,Data!$B$3:$EZ1530,34,FALSE),VLOOKUP($B1297,Data!$B$3:$EZ1530,35,FALSE)),1),"")</f>
        <v>-0.3514851485</v>
      </c>
      <c r="M1297" s="48">
        <f>IFERROR(MINUS(DIVIDE(VLOOKUP($B1297,Data!$B$3:$EZ1530,39,FALSE),VLOOKUP($B1297,Data!$B$3:$EZ1530,40,FALSE)),1),"")</f>
        <v>-0.4673809524</v>
      </c>
      <c r="N1297" s="48">
        <f>IFERROR(MINUS(DIVIDE(VLOOKUP($B1297,Data!$B$3:$EZ1530,44,FALSE),VLOOKUP($B1297,Data!$B$3:$EZ1530,45,FALSE)),1),"")</f>
        <v>-0.01408450704</v>
      </c>
      <c r="O1297" s="50">
        <f>IFERROR(VLOOKUP($B1297,Data!$B$3:$D1530,2,FALSE),"")</f>
        <v>9780000</v>
      </c>
      <c r="P1297" s="50">
        <f>IFERROR(VLOOKUP($B1297,Data!$B$3:$D1530,3,FALSE),"")</f>
        <v>8940000</v>
      </c>
      <c r="Q1297" s="48">
        <f t="shared" si="2"/>
        <v>0.09395973154</v>
      </c>
      <c r="R1297" s="48"/>
      <c r="S1297" s="48"/>
      <c r="T1297" s="48"/>
      <c r="U1297" s="48"/>
      <c r="V1297" s="48"/>
      <c r="W1297" s="50"/>
      <c r="Z1297" s="15"/>
      <c r="AA1297" s="15"/>
    </row>
    <row r="1298">
      <c r="A1298" s="9">
        <f t="shared" si="1"/>
        <v>1295</v>
      </c>
      <c r="B1298" s="47" t="s">
        <v>1432</v>
      </c>
      <c r="C1298" s="48">
        <f>IFERROR(DIVIDE(VLOOKUP($B1298,Data!$B$3:$AB$1535,9,FALSE),VLOOKUP($B1298,Data!$B$3:$AB$1535,4,FALSE)),"")</f>
        <v>0.3922716628</v>
      </c>
      <c r="D1298" s="48">
        <f>IFERROR(DIVIDE(VLOOKUP($B1298,Data!$B$3:$AB$1535,24,FALSE),VLOOKUP($B1298,Data!$B$3:$AB$1535,4,FALSE)),"")</f>
        <v>0.1096416862</v>
      </c>
      <c r="E1298" s="48">
        <f>IFERROR(DIVIDE(VLOOKUP($B1298,Data!$B$3:$EZ1530,29,FALSE),VLOOKUP($B1298,Data!$B$3:$EZ1530,4,FALSE)),"")</f>
        <v>0.1111065574</v>
      </c>
      <c r="F1298" s="48">
        <f>IFERROR(DIVIDE(VLOOKUP($B1298,Data!$B$3:$EZ1530,34,FALSE),VLOOKUP($B1298,Data!$B$3:$EZ1530,4,FALSE)),"")</f>
        <v>0.200234192</v>
      </c>
      <c r="G1298" s="48">
        <f>IFERROR(DIVIDE(VLOOKUP($B1298,Data!$B$3:$EZ1530,39,FALSE),VLOOKUP($B1298,Data!$B$3:$EZ1530,4,FALSE)),"")</f>
        <v>0.1079683841</v>
      </c>
      <c r="H1298" s="48">
        <f>IFERROR(DIVIDE(VLOOKUP($B1298,Data!$B$3:$EZ1530,44,FALSE),VLOOKUP($B1298,Data!$B$3:$EZ1530,4,FALSE)),"")</f>
        <v>0.1955503513</v>
      </c>
      <c r="I1298" s="48">
        <f>IFERROR(MINUS(DIVIDE(VLOOKUP($B1298,Data!$B$3:$EZ1530,9,FALSE),VLOOKUP($B1298,Data!$B$3:$EZ1530,10,FALSE)),1),"")</f>
        <v>0.0244648318</v>
      </c>
      <c r="J1298" s="48">
        <f>IFERROR(MINUS(DIVIDE(VLOOKUP($B1298,Data!$B$3:$EZ1530,24,FALSE),VLOOKUP($B1298,Data!$B$3:$EZ1530,25,FALSE)),1),"")</f>
        <v>-39.09357201</v>
      </c>
      <c r="K1298" s="48">
        <f>IFERROR(MINUS(DIVIDE(VLOOKUP($B1298,Data!$B$3:$EZ1530,29,FALSE),VLOOKUP($B1298,Data!$B$3:$EZ1530,30,FALSE)),1),"")</f>
        <v>-0.09633333333</v>
      </c>
      <c r="L1298" s="48">
        <f>IFERROR(MINUS(DIVIDE(VLOOKUP($B1298,Data!$B$3:$EZ1530,34,FALSE),VLOOKUP($B1298,Data!$B$3:$EZ1530,35,FALSE)),1),"")</f>
        <v>0</v>
      </c>
      <c r="M1298" s="48">
        <f>IFERROR(MINUS(DIVIDE(VLOOKUP($B1298,Data!$B$3:$EZ1530,39,FALSE),VLOOKUP($B1298,Data!$B$3:$EZ1530,40,FALSE)),1),"")</f>
        <v>-0.1540825688</v>
      </c>
      <c r="N1298" s="48">
        <f>IFERROR(MINUS(DIVIDE(VLOOKUP($B1298,Data!$B$3:$EZ1530,44,FALSE),VLOOKUP($B1298,Data!$B$3:$EZ1530,45,FALSE)),1),"")</f>
        <v>0.07051282051</v>
      </c>
      <c r="O1298" s="50">
        <f>IFERROR(VLOOKUP($B1298,Data!$B$3:$D1530,2,FALSE),"")</f>
        <v>10310000</v>
      </c>
      <c r="P1298" s="50">
        <f>IFERROR(VLOOKUP($B1298,Data!$B$3:$D1530,3,FALSE),"")</f>
        <v>9050000</v>
      </c>
      <c r="Q1298" s="48">
        <f t="shared" si="2"/>
        <v>0.1392265193</v>
      </c>
      <c r="R1298" s="48"/>
      <c r="S1298" s="48"/>
      <c r="T1298" s="48"/>
      <c r="U1298" s="48"/>
      <c r="V1298" s="48"/>
      <c r="W1298" s="50"/>
      <c r="Z1298" s="15"/>
      <c r="AA1298" s="15"/>
    </row>
    <row r="1299">
      <c r="A1299" s="9">
        <f t="shared" si="1"/>
        <v>1296</v>
      </c>
      <c r="B1299" s="47" t="s">
        <v>1433</v>
      </c>
      <c r="C1299" s="48">
        <f>IFERROR(DIVIDE(VLOOKUP($B1299,Data!$B$3:$AB$1535,9,FALSE),VLOOKUP($B1299,Data!$B$3:$AB$1535,4,FALSE)),"")</f>
        <v>0.3664596273</v>
      </c>
      <c r="D1299" s="48">
        <f>IFERROR(DIVIDE(VLOOKUP($B1299,Data!$B$3:$AB$1535,24,FALSE),VLOOKUP($B1299,Data!$B$3:$AB$1535,4,FALSE)),"")</f>
        <v>0.06741200828</v>
      </c>
      <c r="E1299" s="48">
        <f>IFERROR(DIVIDE(VLOOKUP($B1299,Data!$B$3:$EZ1530,29,FALSE),VLOOKUP($B1299,Data!$B$3:$EZ1530,4,FALSE)),"")</f>
        <v>0.05242236025</v>
      </c>
      <c r="F1299" s="48">
        <f>IFERROR(DIVIDE(VLOOKUP($B1299,Data!$B$3:$EZ1530,34,FALSE),VLOOKUP($B1299,Data!$B$3:$EZ1530,4,FALSE)),"")</f>
        <v>0.116873706</v>
      </c>
      <c r="G1299" s="48">
        <f>IFERROR(DIVIDE(VLOOKUP($B1299,Data!$B$3:$EZ1530,39,FALSE),VLOOKUP($B1299,Data!$B$3:$EZ1530,4,FALSE)),"")</f>
        <v>0.0402484472</v>
      </c>
      <c r="H1299" s="48">
        <f>IFERROR(DIVIDE(VLOOKUP($B1299,Data!$B$3:$EZ1530,44,FALSE),VLOOKUP($B1299,Data!$B$3:$EZ1530,4,FALSE)),"")</f>
        <v>0.09368530021</v>
      </c>
      <c r="I1299" s="48">
        <f>IFERROR(MINUS(DIVIDE(VLOOKUP($B1299,Data!$B$3:$EZ1530,9,FALSE),VLOOKUP($B1299,Data!$B$3:$EZ1530,10,FALSE)),1),"")</f>
        <v>0.04117647059</v>
      </c>
      <c r="J1299" s="48">
        <f>IFERROR(MINUS(DIVIDE(VLOOKUP($B1299,Data!$B$3:$EZ1530,24,FALSE),VLOOKUP($B1299,Data!$B$3:$EZ1530,25,FALSE)),1),"")</f>
        <v>0.3003194888</v>
      </c>
      <c r="K1299" s="48">
        <f>IFERROR(MINUS(DIVIDE(VLOOKUP($B1299,Data!$B$3:$EZ1530,29,FALSE),VLOOKUP($B1299,Data!$B$3:$EZ1530,30,FALSE)),1),"")</f>
        <v>0.1646734131</v>
      </c>
      <c r="L1299" s="48">
        <f>IFERROR(MINUS(DIVIDE(VLOOKUP($B1299,Data!$B$3:$EZ1530,34,FALSE),VLOOKUP($B1299,Data!$B$3:$EZ1530,35,FALSE)),1),"")</f>
        <v>0.5240280778</v>
      </c>
      <c r="M1299" s="48">
        <f>IFERROR(MINUS(DIVIDE(VLOOKUP($B1299,Data!$B$3:$EZ1530,39,FALSE),VLOOKUP($B1299,Data!$B$3:$EZ1530,40,FALSE)),1),"")</f>
        <v>0.1348511384</v>
      </c>
      <c r="N1299" s="48">
        <f>IFERROR(MINUS(DIVIDE(VLOOKUP($B1299,Data!$B$3:$EZ1530,44,FALSE),VLOOKUP($B1299,Data!$B$3:$EZ1530,45,FALSE)),1),"")</f>
        <v>1.621668598</v>
      </c>
      <c r="O1299" s="50">
        <f>IFERROR(VLOOKUP($B1299,Data!$B$3:$D1530,2,FALSE),"")</f>
        <v>3020000</v>
      </c>
      <c r="P1299" s="50">
        <f>IFERROR(VLOOKUP($B1299,Data!$B$3:$D1530,3,FALSE),"")</f>
        <v>2830000</v>
      </c>
      <c r="Q1299" s="48">
        <f t="shared" si="2"/>
        <v>0.06713780919</v>
      </c>
      <c r="R1299" s="48"/>
      <c r="S1299" s="48"/>
      <c r="T1299" s="48"/>
      <c r="U1299" s="48"/>
      <c r="V1299" s="48"/>
      <c r="W1299" s="50"/>
      <c r="Z1299" s="15"/>
      <c r="AA1299" s="15"/>
    </row>
    <row r="1300">
      <c r="A1300" s="9">
        <f t="shared" si="1"/>
        <v>1297</v>
      </c>
      <c r="B1300" s="47" t="s">
        <v>1434</v>
      </c>
      <c r="C1300" s="48">
        <f>IFERROR(DIVIDE(VLOOKUP($B1300,Data!$B$3:$AB$1535,9,FALSE),VLOOKUP($B1300,Data!$B$3:$AB$1535,4,FALSE)),"")</f>
        <v>0.2729828348</v>
      </c>
      <c r="D1300" s="48">
        <f>IFERROR(DIVIDE(VLOOKUP($B1300,Data!$B$3:$AB$1535,24,FALSE),VLOOKUP($B1300,Data!$B$3:$AB$1535,4,FALSE)),"")</f>
        <v>0.1824570869</v>
      </c>
      <c r="E1300" s="48">
        <f>IFERROR(DIVIDE(VLOOKUP($B1300,Data!$B$3:$EZ1530,29,FALSE),VLOOKUP($B1300,Data!$B$3:$EZ1530,4,FALSE)),"")</f>
        <v>-0.06884556955</v>
      </c>
      <c r="F1300" s="48">
        <f>IFERROR(DIVIDE(VLOOKUP($B1300,Data!$B$3:$EZ1530,34,FALSE),VLOOKUP($B1300,Data!$B$3:$EZ1530,4,FALSE)),"")</f>
        <v>0.4783837122</v>
      </c>
      <c r="G1300" s="48">
        <f>IFERROR(DIVIDE(VLOOKUP($B1300,Data!$B$3:$EZ1530,39,FALSE),VLOOKUP($B1300,Data!$B$3:$EZ1530,4,FALSE)),"")</f>
        <v>-0.06884556955</v>
      </c>
      <c r="H1300" s="48">
        <f>IFERROR(DIVIDE(VLOOKUP($B1300,Data!$B$3:$EZ1530,44,FALSE),VLOOKUP($B1300,Data!$B$3:$EZ1530,4,FALSE)),"")</f>
        <v>0.2974599974</v>
      </c>
      <c r="I1300" s="48">
        <f>IFERROR(MINUS(DIVIDE(VLOOKUP($B1300,Data!$B$3:$EZ1530,9,FALSE),VLOOKUP($B1300,Data!$B$3:$EZ1530,10,FALSE)),1),"")</f>
        <v>2.047551117</v>
      </c>
      <c r="J1300" s="48">
        <f>IFERROR(MINUS(DIVIDE(VLOOKUP($B1300,Data!$B$3:$EZ1530,24,FALSE),VLOOKUP($B1300,Data!$B$3:$EZ1530,25,FALSE)),1),"")</f>
        <v>-7.265724037</v>
      </c>
      <c r="K1300" s="48">
        <f>IFERROR(MINUS(DIVIDE(VLOOKUP($B1300,Data!$B$3:$EZ1530,29,FALSE),VLOOKUP($B1300,Data!$B$3:$EZ1530,30,FALSE)),1),"")</f>
        <v>-0.744883464</v>
      </c>
      <c r="L1300" s="48">
        <f>IFERROR(MINUS(DIVIDE(VLOOKUP($B1300,Data!$B$3:$EZ1530,34,FALSE),VLOOKUP($B1300,Data!$B$3:$EZ1530,35,FALSE)),1),"")</f>
        <v>0.7966300523</v>
      </c>
      <c r="M1300" s="48">
        <f>IFERROR(MINUS(DIVIDE(VLOOKUP($B1300,Data!$B$3:$EZ1530,39,FALSE),VLOOKUP($B1300,Data!$B$3:$EZ1530,40,FALSE)),1),"")</f>
        <v>-0.744883464</v>
      </c>
      <c r="N1300" s="48">
        <f>IFERROR(MINUS(DIVIDE(VLOOKUP($B1300,Data!$B$3:$EZ1530,44,FALSE),VLOOKUP($B1300,Data!$B$3:$EZ1530,45,FALSE)),1),"")</f>
        <v>2.625367711</v>
      </c>
      <c r="O1300" s="50">
        <f>IFERROR(VLOOKUP($B1300,Data!$B$3:$D1530,2,FALSE),"")</f>
        <v>971850</v>
      </c>
      <c r="P1300" s="50">
        <f>IFERROR(VLOOKUP($B1300,Data!$B$3:$D1530,3,FALSE),"")</f>
        <v>1070000</v>
      </c>
      <c r="Q1300" s="48">
        <f t="shared" si="2"/>
        <v>-0.09172897196</v>
      </c>
      <c r="R1300" s="48"/>
      <c r="S1300" s="48"/>
      <c r="T1300" s="48"/>
      <c r="U1300" s="48"/>
      <c r="V1300" s="48"/>
      <c r="W1300" s="50"/>
      <c r="Z1300" s="15"/>
      <c r="AA1300" s="15"/>
    </row>
    <row r="1301">
      <c r="A1301" s="9">
        <f t="shared" si="1"/>
        <v>1298</v>
      </c>
      <c r="B1301" s="47" t="s">
        <v>1435</v>
      </c>
      <c r="C1301" s="48" t="str">
        <f>IFERROR(DIVIDE(VLOOKUP($B1301,Data!$B$3:$AB$1535,9,FALSE),VLOOKUP($B1301,Data!$B$3:$AB$1535,4,FALSE)),"")</f>
        <v/>
      </c>
      <c r="D1301" s="48" t="str">
        <f>IFERROR(DIVIDE(VLOOKUP($B1301,Data!$B$3:$AB$1535,24,FALSE),VLOOKUP($B1301,Data!$B$3:$AB$1535,4,FALSE)),"")</f>
        <v/>
      </c>
      <c r="E1301" s="48" t="str">
        <f>IFERROR(DIVIDE(VLOOKUP($B1301,Data!$B$3:$EZ1530,29,FALSE),VLOOKUP($B1301,Data!$B$3:$EZ1530,4,FALSE)),"")</f>
        <v/>
      </c>
      <c r="F1301" s="48" t="str">
        <f>IFERROR(DIVIDE(VLOOKUP($B1301,Data!$B$3:$EZ1530,34,FALSE),VLOOKUP($B1301,Data!$B$3:$EZ1530,4,FALSE)),"")</f>
        <v/>
      </c>
      <c r="G1301" s="48" t="str">
        <f>IFERROR(DIVIDE(VLOOKUP($B1301,Data!$B$3:$EZ1530,39,FALSE),VLOOKUP($B1301,Data!$B$3:$EZ1530,4,FALSE)),"")</f>
        <v/>
      </c>
      <c r="H1301" s="48" t="str">
        <f>IFERROR(DIVIDE(VLOOKUP($B1301,Data!$B$3:$EZ1530,44,FALSE),VLOOKUP($B1301,Data!$B$3:$EZ1530,4,FALSE)),"")</f>
        <v/>
      </c>
      <c r="I1301" s="48">
        <f>IFERROR(MINUS(DIVIDE(VLOOKUP($B1301,Data!$B$3:$EZ1530,9,FALSE),VLOOKUP($B1301,Data!$B$3:$EZ1530,10,FALSE)),1),"")</f>
        <v>1.102803738</v>
      </c>
      <c r="J1301" s="48" t="str">
        <f>IFERROR(MINUS(DIVIDE(VLOOKUP($B1301,Data!$B$3:$EZ1530,24,FALSE),VLOOKUP($B1301,Data!$B$3:$EZ1530,25,FALSE)),1),"")</f>
        <v/>
      </c>
      <c r="K1301" s="48">
        <f>IFERROR(MINUS(DIVIDE(VLOOKUP($B1301,Data!$B$3:$EZ1530,29,FALSE),VLOOKUP($B1301,Data!$B$3:$EZ1530,30,FALSE)),1),"")</f>
        <v>1.582268371</v>
      </c>
      <c r="L1301" s="48">
        <f>IFERROR(MINUS(DIVIDE(VLOOKUP($B1301,Data!$B$3:$EZ1530,34,FALSE),VLOOKUP($B1301,Data!$B$3:$EZ1530,35,FALSE)),1),"")</f>
        <v>1.802704853</v>
      </c>
      <c r="M1301" s="48">
        <f>IFERROR(MINUS(DIVIDE(VLOOKUP($B1301,Data!$B$3:$EZ1530,39,FALSE),VLOOKUP($B1301,Data!$B$3:$EZ1530,40,FALSE)),1),"")</f>
        <v>1.582268371</v>
      </c>
      <c r="N1301" s="48">
        <f>IFERROR(MINUS(DIVIDE(VLOOKUP($B1301,Data!$B$3:$EZ1530,44,FALSE),VLOOKUP($B1301,Data!$B$3:$EZ1530,45,FALSE)),1),"")</f>
        <v>1.833941606</v>
      </c>
      <c r="O1301" s="50" t="str">
        <f>IFERROR(VLOOKUP($B1301,Data!$B$3:$D1530,2,FALSE),"")</f>
        <v/>
      </c>
      <c r="P1301" s="50" t="str">
        <f>IFERROR(VLOOKUP($B1301,Data!$B$3:$D1530,3,FALSE),"")</f>
        <v/>
      </c>
      <c r="Q1301" s="48" t="str">
        <f t="shared" si="2"/>
        <v/>
      </c>
      <c r="R1301" s="48"/>
      <c r="S1301" s="48"/>
      <c r="T1301" s="48"/>
      <c r="U1301" s="48"/>
      <c r="V1301" s="48"/>
      <c r="W1301" s="50"/>
      <c r="Z1301" s="12"/>
      <c r="AA1301" s="12"/>
    </row>
    <row r="1302">
      <c r="A1302" s="9">
        <f t="shared" si="1"/>
        <v>1299</v>
      </c>
      <c r="B1302" s="47" t="s">
        <v>1436</v>
      </c>
      <c r="C1302" s="48">
        <f>IFERROR(DIVIDE(VLOOKUP($B1302,Data!$B$3:$AB$1535,9,FALSE),VLOOKUP($B1302,Data!$B$3:$AB$1535,4,FALSE)),"")</f>
        <v>0.09123893805</v>
      </c>
      <c r="D1302" s="48">
        <f>IFERROR(DIVIDE(VLOOKUP($B1302,Data!$B$3:$AB$1535,24,FALSE),VLOOKUP($B1302,Data!$B$3:$AB$1535,4,FALSE)),"")</f>
        <v>0.01789380531</v>
      </c>
      <c r="E1302" s="48">
        <f>IFERROR(DIVIDE(VLOOKUP($B1302,Data!$B$3:$EZ1530,29,FALSE),VLOOKUP($B1302,Data!$B$3:$EZ1530,4,FALSE)),"")</f>
        <v>0.01281415929</v>
      </c>
      <c r="F1302" s="48">
        <f>IFERROR(DIVIDE(VLOOKUP($B1302,Data!$B$3:$EZ1530,34,FALSE),VLOOKUP($B1302,Data!$B$3:$EZ1530,4,FALSE)),"")</f>
        <v>0.04854867257</v>
      </c>
      <c r="G1302" s="48">
        <f>IFERROR(DIVIDE(VLOOKUP($B1302,Data!$B$3:$EZ1530,39,FALSE),VLOOKUP($B1302,Data!$B$3:$EZ1530,4,FALSE)),"")</f>
        <v>0.03530973451</v>
      </c>
      <c r="H1302" s="48">
        <f>IFERROR(DIVIDE(VLOOKUP($B1302,Data!$B$3:$EZ1530,44,FALSE),VLOOKUP($B1302,Data!$B$3:$EZ1530,4,FALSE)),"")</f>
        <v>0.03636283186</v>
      </c>
      <c r="I1302" s="48">
        <f>IFERROR(MINUS(DIVIDE(VLOOKUP($B1302,Data!$B$3:$EZ1530,9,FALSE),VLOOKUP($B1302,Data!$B$3:$EZ1530,10,FALSE)),1),"")</f>
        <v>-0.04475122765</v>
      </c>
      <c r="J1302" s="48">
        <f>IFERROR(MINUS(DIVIDE(VLOOKUP($B1302,Data!$B$3:$EZ1530,24,FALSE),VLOOKUP($B1302,Data!$B$3:$EZ1530,25,FALSE)),1),"")</f>
        <v>-0.2649945474</v>
      </c>
      <c r="K1302" s="48">
        <f>IFERROR(MINUS(DIVIDE(VLOOKUP($B1302,Data!$B$3:$EZ1530,29,FALSE),VLOOKUP($B1302,Data!$B$3:$EZ1530,30,FALSE)),1),"")</f>
        <v>-0.537084399</v>
      </c>
      <c r="L1302" s="48">
        <f>IFERROR(MINUS(DIVIDE(VLOOKUP($B1302,Data!$B$3:$EZ1530,34,FALSE),VLOOKUP($B1302,Data!$B$3:$EZ1530,35,FALSE)),1),"")</f>
        <v>0.2014892685</v>
      </c>
      <c r="M1302" s="48">
        <f>IFERROR(MINUS(DIVIDE(VLOOKUP($B1302,Data!$B$3:$EZ1530,39,FALSE),VLOOKUP($B1302,Data!$B$3:$EZ1530,40,FALSE)),1),"")</f>
        <v>0.5839618896</v>
      </c>
      <c r="N1302" s="48">
        <f>IFERROR(MINUS(DIVIDE(VLOOKUP($B1302,Data!$B$3:$EZ1530,44,FALSE),VLOOKUP($B1302,Data!$B$3:$EZ1530,45,FALSE)),1),"")</f>
        <v>0.04104383076</v>
      </c>
      <c r="O1302" s="50">
        <f>IFERROR(VLOOKUP($B1302,Data!$B$3:$D1530,2,FALSE),"")</f>
        <v>1400000</v>
      </c>
      <c r="P1302" s="50">
        <f>IFERROR(VLOOKUP($B1302,Data!$B$3:$D1530,3,FALSE),"")</f>
        <v>1310000</v>
      </c>
      <c r="Q1302" s="48">
        <f t="shared" si="2"/>
        <v>0.06870229008</v>
      </c>
      <c r="R1302" s="48"/>
      <c r="S1302" s="48"/>
      <c r="T1302" s="48"/>
      <c r="U1302" s="48"/>
      <c r="V1302" s="48"/>
      <c r="W1302" s="50"/>
      <c r="Z1302" s="11"/>
      <c r="AA1302" s="11"/>
    </row>
    <row r="1303">
      <c r="A1303" s="9">
        <f t="shared" si="1"/>
        <v>1300</v>
      </c>
      <c r="B1303" s="47" t="s">
        <v>1437</v>
      </c>
      <c r="C1303" s="48">
        <f>IFERROR(DIVIDE(VLOOKUP($B1303,Data!$B$3:$AB$1535,9,FALSE),VLOOKUP($B1303,Data!$B$3:$AB$1535,4,FALSE)),"")</f>
        <v>0</v>
      </c>
      <c r="D1303" s="48">
        <f>IFERROR(DIVIDE(VLOOKUP($B1303,Data!$B$3:$AB$1535,24,FALSE),VLOOKUP($B1303,Data!$B$3:$AB$1535,4,FALSE)),"")</f>
        <v>0</v>
      </c>
      <c r="E1303" s="48">
        <f>IFERROR(DIVIDE(VLOOKUP($B1303,Data!$B$3:$EZ1530,29,FALSE),VLOOKUP($B1303,Data!$B$3:$EZ1530,4,FALSE)),"")</f>
        <v>-1.304164717</v>
      </c>
      <c r="F1303" s="48">
        <f>IFERROR(DIVIDE(VLOOKUP($B1303,Data!$B$3:$EZ1530,34,FALSE),VLOOKUP($B1303,Data!$B$3:$EZ1530,4,FALSE)),"")</f>
        <v>-1.186008423</v>
      </c>
      <c r="G1303" s="48">
        <f>IFERROR(DIVIDE(VLOOKUP($B1303,Data!$B$3:$EZ1530,39,FALSE),VLOOKUP($B1303,Data!$B$3:$EZ1530,4,FALSE)),"")</f>
        <v>-1.304164717</v>
      </c>
      <c r="H1303" s="48">
        <f>IFERROR(DIVIDE(VLOOKUP($B1303,Data!$B$3:$EZ1530,44,FALSE),VLOOKUP($B1303,Data!$B$3:$EZ1530,4,FALSE)),"")</f>
        <v>-1.52129153</v>
      </c>
      <c r="I1303" s="48" t="str">
        <f>IFERROR(MINUS(DIVIDE(VLOOKUP($B1303,Data!$B$3:$EZ1530,9,FALSE),VLOOKUP($B1303,Data!$B$3:$EZ1530,10,FALSE)),1),"")</f>
        <v/>
      </c>
      <c r="J1303" s="48" t="str">
        <f>IFERROR(MINUS(DIVIDE(VLOOKUP($B1303,Data!$B$3:$EZ1530,24,FALSE),VLOOKUP($B1303,Data!$B$3:$EZ1530,25,FALSE)),1),"")</f>
        <v/>
      </c>
      <c r="K1303" s="48">
        <f>IFERROR(MINUS(DIVIDE(VLOOKUP($B1303,Data!$B$3:$EZ1530,29,FALSE),VLOOKUP($B1303,Data!$B$3:$EZ1530,30,FALSE)),1),"")</f>
        <v>0.5781426954</v>
      </c>
      <c r="L1303" s="48">
        <f>IFERROR(MINUS(DIVIDE(VLOOKUP($B1303,Data!$B$3:$EZ1530,34,FALSE),VLOOKUP($B1303,Data!$B$3:$EZ1530,35,FALSE)),1),"")</f>
        <v>0.5511015912</v>
      </c>
      <c r="M1303" s="48">
        <f>IFERROR(MINUS(DIVIDE(VLOOKUP($B1303,Data!$B$3:$EZ1530,39,FALSE),VLOOKUP($B1303,Data!$B$3:$EZ1530,40,FALSE)),1),"")</f>
        <v>0.5781426954</v>
      </c>
      <c r="N1303" s="48">
        <f>IFERROR(MINUS(DIVIDE(VLOOKUP($B1303,Data!$B$3:$EZ1530,44,FALSE),VLOOKUP($B1303,Data!$B$3:$EZ1530,45,FALSE)),1),"")</f>
        <v>-6.127760252</v>
      </c>
      <c r="O1303" s="50">
        <f>IFERROR(VLOOKUP($B1303,Data!$B$3:$D1530,2,FALSE),"")</f>
        <v>31240</v>
      </c>
      <c r="P1303" s="50">
        <f>IFERROR(VLOOKUP($B1303,Data!$B$3:$D1530,3,FALSE),"")</f>
        <v>31960</v>
      </c>
      <c r="Q1303" s="48">
        <f t="shared" si="2"/>
        <v>-0.0225281602</v>
      </c>
      <c r="R1303" s="48"/>
      <c r="S1303" s="48"/>
      <c r="T1303" s="48"/>
      <c r="U1303" s="48"/>
      <c r="V1303" s="48"/>
      <c r="W1303" s="50"/>
      <c r="Z1303" s="12"/>
      <c r="AA1303" s="12"/>
    </row>
    <row r="1304">
      <c r="A1304" s="9">
        <f t="shared" si="1"/>
        <v>1301</v>
      </c>
      <c r="B1304" s="47" t="s">
        <v>1438</v>
      </c>
      <c r="C1304" s="48" t="str">
        <f>IFERROR(DIVIDE(VLOOKUP($B1304,Data!$B$3:$AB$1535,9,FALSE),VLOOKUP($B1304,Data!$B$3:$AB$1535,4,FALSE)),"")</f>
        <v/>
      </c>
      <c r="D1304" s="48" t="str">
        <f>IFERROR(DIVIDE(VLOOKUP($B1304,Data!$B$3:$AB$1535,24,FALSE),VLOOKUP($B1304,Data!$B$3:$AB$1535,4,FALSE)),"")</f>
        <v/>
      </c>
      <c r="E1304" s="48" t="str">
        <f>IFERROR(DIVIDE(VLOOKUP($B1304,Data!$B$3:$EZ1530,29,FALSE),VLOOKUP($B1304,Data!$B$3:$EZ1530,4,FALSE)),"")</f>
        <v/>
      </c>
      <c r="F1304" s="48" t="str">
        <f>IFERROR(DIVIDE(VLOOKUP($B1304,Data!$B$3:$EZ1530,34,FALSE),VLOOKUP($B1304,Data!$B$3:$EZ1530,4,FALSE)),"")</f>
        <v/>
      </c>
      <c r="G1304" s="48" t="str">
        <f>IFERROR(DIVIDE(VLOOKUP($B1304,Data!$B$3:$EZ1530,39,FALSE),VLOOKUP($B1304,Data!$B$3:$EZ1530,4,FALSE)),"")</f>
        <v/>
      </c>
      <c r="H1304" s="48" t="str">
        <f>IFERROR(DIVIDE(VLOOKUP($B1304,Data!$B$3:$EZ1530,44,FALSE),VLOOKUP($B1304,Data!$B$3:$EZ1530,4,FALSE)),"")</f>
        <v/>
      </c>
      <c r="I1304" s="48">
        <f>IFERROR(MINUS(DIVIDE(VLOOKUP($B1304,Data!$B$3:$EZ1530,9,FALSE),VLOOKUP($B1304,Data!$B$3:$EZ1530,10,FALSE)),1),"")</f>
        <v>1.473684211</v>
      </c>
      <c r="J1304" s="48">
        <f>IFERROR(MINUS(DIVIDE(VLOOKUP($B1304,Data!$B$3:$EZ1530,24,FALSE),VLOOKUP($B1304,Data!$B$3:$EZ1530,25,FALSE)),1),"")</f>
        <v>-1</v>
      </c>
      <c r="K1304" s="48">
        <f>IFERROR(MINUS(DIVIDE(VLOOKUP($B1304,Data!$B$3:$EZ1530,29,FALSE),VLOOKUP($B1304,Data!$B$3:$EZ1530,30,FALSE)),1),"")</f>
        <v>2.834013605</v>
      </c>
      <c r="L1304" s="48">
        <f>IFERROR(MINUS(DIVIDE(VLOOKUP($B1304,Data!$B$3:$EZ1530,34,FALSE),VLOOKUP($B1304,Data!$B$3:$EZ1530,35,FALSE)),1),"")</f>
        <v>2.852546917</v>
      </c>
      <c r="M1304" s="48">
        <f>IFERROR(MINUS(DIVIDE(VLOOKUP($B1304,Data!$B$3:$EZ1530,39,FALSE),VLOOKUP($B1304,Data!$B$3:$EZ1530,40,FALSE)),1),"")</f>
        <v>2.834013605</v>
      </c>
      <c r="N1304" s="48">
        <f>IFERROR(MINUS(DIVIDE(VLOOKUP($B1304,Data!$B$3:$EZ1530,44,FALSE),VLOOKUP($B1304,Data!$B$3:$EZ1530,45,FALSE)),1),"")</f>
        <v>3.246418338</v>
      </c>
      <c r="O1304" s="50" t="str">
        <f>IFERROR(VLOOKUP($B1304,Data!$B$3:$D1530,2,FALSE),"")</f>
        <v/>
      </c>
      <c r="P1304" s="50" t="str">
        <f>IFERROR(VLOOKUP($B1304,Data!$B$3:$D1530,3,FALSE),"")</f>
        <v/>
      </c>
      <c r="Q1304" s="48" t="str">
        <f t="shared" si="2"/>
        <v/>
      </c>
      <c r="R1304" s="48"/>
      <c r="S1304" s="48"/>
      <c r="T1304" s="48"/>
      <c r="U1304" s="48"/>
      <c r="V1304" s="48"/>
      <c r="W1304" s="50"/>
      <c r="Z1304" s="12"/>
      <c r="AA1304" s="12"/>
    </row>
    <row r="1305">
      <c r="A1305" s="9">
        <f t="shared" si="1"/>
        <v>1302</v>
      </c>
      <c r="B1305" s="47" t="s">
        <v>1439</v>
      </c>
      <c r="C1305" s="48">
        <f>IFERROR(DIVIDE(VLOOKUP($B1305,Data!$B$3:$AB$1535,9,FALSE),VLOOKUP($B1305,Data!$B$3:$AB$1535,4,FALSE)),"")</f>
        <v>0.5179856115</v>
      </c>
      <c r="D1305" s="48">
        <f>IFERROR(DIVIDE(VLOOKUP($B1305,Data!$B$3:$AB$1535,24,FALSE),VLOOKUP($B1305,Data!$B$3:$AB$1535,4,FALSE)),"")</f>
        <v>0.2458033573</v>
      </c>
      <c r="E1305" s="48">
        <f>IFERROR(DIVIDE(VLOOKUP($B1305,Data!$B$3:$EZ1530,29,FALSE),VLOOKUP($B1305,Data!$B$3:$EZ1530,4,FALSE)),"")</f>
        <v>-0.1133333333</v>
      </c>
      <c r="F1305" s="48">
        <f>IFERROR(DIVIDE(VLOOKUP($B1305,Data!$B$3:$EZ1530,34,FALSE),VLOOKUP($B1305,Data!$B$3:$EZ1530,4,FALSE)),"")</f>
        <v>0.3836930456</v>
      </c>
      <c r="G1305" s="48">
        <f>IFERROR(DIVIDE(VLOOKUP($B1305,Data!$B$3:$EZ1530,39,FALSE),VLOOKUP($B1305,Data!$B$3:$EZ1530,4,FALSE)),"")</f>
        <v>-0.001414868106</v>
      </c>
      <c r="H1305" s="48">
        <f>IFERROR(DIVIDE(VLOOKUP($B1305,Data!$B$3:$EZ1530,44,FALSE),VLOOKUP($B1305,Data!$B$3:$EZ1530,4,FALSE)),"")</f>
        <v>0.3057553957</v>
      </c>
      <c r="I1305" s="48">
        <f>IFERROR(MINUS(DIVIDE(VLOOKUP($B1305,Data!$B$3:$EZ1530,9,FALSE),VLOOKUP($B1305,Data!$B$3:$EZ1530,10,FALSE)),1),"")</f>
        <v>0.05365853659</v>
      </c>
      <c r="J1305" s="48">
        <f>IFERROR(MINUS(DIVIDE(VLOOKUP($B1305,Data!$B$3:$EZ1530,24,FALSE),VLOOKUP($B1305,Data!$B$3:$EZ1530,25,FALSE)),1),"")</f>
        <v>-0.1733870968</v>
      </c>
      <c r="K1305" s="48">
        <f>IFERROR(MINUS(DIVIDE(VLOOKUP($B1305,Data!$B$3:$EZ1530,29,FALSE),VLOOKUP($B1305,Data!$B$3:$EZ1530,30,FALSE)),1),"")</f>
        <v>-1.227759036</v>
      </c>
      <c r="L1305" s="48">
        <f>IFERROR(MINUS(DIVIDE(VLOOKUP($B1305,Data!$B$3:$EZ1530,34,FALSE),VLOOKUP($B1305,Data!$B$3:$EZ1530,35,FALSE)),1),"")</f>
        <v>0.03225806452</v>
      </c>
      <c r="M1305" s="48">
        <f>IFERROR(MINUS(DIVIDE(VLOOKUP($B1305,Data!$B$3:$EZ1530,39,FALSE),VLOOKUP($B1305,Data!$B$3:$EZ1530,40,FALSE)),1),"")</f>
        <v>-1.003430233</v>
      </c>
      <c r="N1305" s="48">
        <f>IFERROR(MINUS(DIVIDE(VLOOKUP($B1305,Data!$B$3:$EZ1530,44,FALSE),VLOOKUP($B1305,Data!$B$3:$EZ1530,45,FALSE)),1),"")</f>
        <v>0.1333333333</v>
      </c>
      <c r="O1305" s="50">
        <f>IFERROR(VLOOKUP($B1305,Data!$B$3:$D1530,2,FALSE),"")</f>
        <v>8150000</v>
      </c>
      <c r="P1305" s="50">
        <f>IFERROR(VLOOKUP($B1305,Data!$B$3:$D1530,3,FALSE),"")</f>
        <v>7830000</v>
      </c>
      <c r="Q1305" s="48">
        <f t="shared" si="2"/>
        <v>0.04086845466</v>
      </c>
      <c r="R1305" s="48"/>
      <c r="S1305" s="48"/>
      <c r="T1305" s="48"/>
      <c r="U1305" s="48"/>
      <c r="V1305" s="48"/>
      <c r="W1305" s="50"/>
      <c r="Z1305" s="11"/>
      <c r="AA1305" s="11"/>
    </row>
    <row r="1306">
      <c r="A1306" s="9">
        <f t="shared" si="1"/>
        <v>1303</v>
      </c>
      <c r="B1306" s="47" t="s">
        <v>1440</v>
      </c>
      <c r="C1306" s="48">
        <f>IFERROR(DIVIDE(VLOOKUP($B1306,Data!$B$3:$AB$1535,9,FALSE),VLOOKUP($B1306,Data!$B$3:$AB$1535,4,FALSE)),"")</f>
        <v>0.2156351351</v>
      </c>
      <c r="D1306" s="48">
        <f>IFERROR(DIVIDE(VLOOKUP($B1306,Data!$B$3:$AB$1535,24,FALSE),VLOOKUP($B1306,Data!$B$3:$AB$1535,4,FALSE)),"")</f>
        <v>0.08391441441</v>
      </c>
      <c r="E1306" s="48">
        <f>IFERROR(DIVIDE(VLOOKUP($B1306,Data!$B$3:$EZ1530,29,FALSE),VLOOKUP($B1306,Data!$B$3:$EZ1530,4,FALSE)),"")</f>
        <v>0.03523423423</v>
      </c>
      <c r="F1306" s="48">
        <f>IFERROR(DIVIDE(VLOOKUP($B1306,Data!$B$3:$EZ1530,34,FALSE),VLOOKUP($B1306,Data!$B$3:$EZ1530,4,FALSE)),"")</f>
        <v>0.1901711712</v>
      </c>
      <c r="G1306" s="48">
        <f>IFERROR(DIVIDE(VLOOKUP($B1306,Data!$B$3:$EZ1530,39,FALSE),VLOOKUP($B1306,Data!$B$3:$EZ1530,4,FALSE)),"")</f>
        <v>0.02660810811</v>
      </c>
      <c r="H1306" s="48">
        <f>IFERROR(DIVIDE(VLOOKUP($B1306,Data!$B$3:$EZ1530,44,FALSE),VLOOKUP($B1306,Data!$B$3:$EZ1530,4,FALSE)),"")</f>
        <v>0.1518828829</v>
      </c>
      <c r="I1306" s="48">
        <f>IFERROR(MINUS(DIVIDE(VLOOKUP($B1306,Data!$B$3:$EZ1530,9,FALSE),VLOOKUP($B1306,Data!$B$3:$EZ1530,10,FALSE)),1),"")</f>
        <v>0.1389450644</v>
      </c>
      <c r="J1306" s="48">
        <f>IFERROR(MINUS(DIVIDE(VLOOKUP($B1306,Data!$B$3:$EZ1530,24,FALSE),VLOOKUP($B1306,Data!$B$3:$EZ1530,25,FALSE)),1),"")</f>
        <v>0.304369136</v>
      </c>
      <c r="K1306" s="48">
        <f>IFERROR(MINUS(DIVIDE(VLOOKUP($B1306,Data!$B$3:$EZ1530,29,FALSE),VLOOKUP($B1306,Data!$B$3:$EZ1530,30,FALSE)),1),"")</f>
        <v>-0.185886761</v>
      </c>
      <c r="L1306" s="48">
        <f>IFERROR(MINUS(DIVIDE(VLOOKUP($B1306,Data!$B$3:$EZ1530,34,FALSE),VLOOKUP($B1306,Data!$B$3:$EZ1530,35,FALSE)),1),"")</f>
        <v>0.1759561015</v>
      </c>
      <c r="M1306" s="48">
        <f>IFERROR(MINUS(DIVIDE(VLOOKUP($B1306,Data!$B$3:$EZ1530,39,FALSE),VLOOKUP($B1306,Data!$B$3:$EZ1530,40,FALSE)),1),"")</f>
        <v>0.7419640224</v>
      </c>
      <c r="N1306" s="48">
        <f>IFERROR(MINUS(DIVIDE(VLOOKUP($B1306,Data!$B$3:$EZ1530,44,FALSE),VLOOKUP($B1306,Data!$B$3:$EZ1530,45,FALSE)),1),"")</f>
        <v>0.6104503988</v>
      </c>
      <c r="O1306" s="50">
        <f>IFERROR(VLOOKUP($B1306,Data!$B$3:$D1530,2,FALSE),"")</f>
        <v>2140000</v>
      </c>
      <c r="P1306" s="50">
        <f>IFERROR(VLOOKUP($B1306,Data!$B$3:$D1530,3,FALSE),"")</f>
        <v>2110000</v>
      </c>
      <c r="Q1306" s="48">
        <f t="shared" si="2"/>
        <v>0.01421800948</v>
      </c>
      <c r="R1306" s="48"/>
      <c r="S1306" s="48"/>
      <c r="T1306" s="48"/>
      <c r="U1306" s="48"/>
      <c r="V1306" s="48"/>
      <c r="W1306" s="50"/>
      <c r="Z1306" s="12"/>
      <c r="AA1306" s="12"/>
    </row>
    <row r="1307">
      <c r="A1307" s="9">
        <f t="shared" si="1"/>
        <v>1304</v>
      </c>
      <c r="B1307" s="47" t="s">
        <v>1441</v>
      </c>
      <c r="C1307" s="48">
        <f>IFERROR(DIVIDE(VLOOKUP($B1307,Data!$B$3:$AB$1535,9,FALSE),VLOOKUP($B1307,Data!$B$3:$AB$1535,4,FALSE)),"")</f>
        <v>0.9575822385</v>
      </c>
      <c r="D1307" s="48">
        <f>IFERROR(DIVIDE(VLOOKUP($B1307,Data!$B$3:$AB$1535,24,FALSE),VLOOKUP($B1307,Data!$B$3:$AB$1535,4,FALSE)),"")</f>
        <v>0</v>
      </c>
      <c r="E1307" s="48">
        <f>IFERROR(DIVIDE(VLOOKUP($B1307,Data!$B$3:$EZ1530,29,FALSE),VLOOKUP($B1307,Data!$B$3:$EZ1530,4,FALSE)),"")</f>
        <v>0.3755219472</v>
      </c>
      <c r="F1307" s="48">
        <f>IFERROR(DIVIDE(VLOOKUP($B1307,Data!$B$3:$EZ1530,34,FALSE),VLOOKUP($B1307,Data!$B$3:$EZ1530,4,FALSE)),"")</f>
        <v>0.4043181587</v>
      </c>
      <c r="G1307" s="48">
        <f>IFERROR(DIVIDE(VLOOKUP($B1307,Data!$B$3:$EZ1530,39,FALSE),VLOOKUP($B1307,Data!$B$3:$EZ1530,4,FALSE)),"")</f>
        <v>0.2878602709</v>
      </c>
      <c r="H1307" s="48">
        <f>IFERROR(DIVIDE(VLOOKUP($B1307,Data!$B$3:$EZ1530,44,FALSE),VLOOKUP($B1307,Data!$B$3:$EZ1530,4,FALSE)),"")</f>
        <v>0.3644210205</v>
      </c>
      <c r="I1307" s="48">
        <f>IFERROR(MINUS(DIVIDE(VLOOKUP($B1307,Data!$B$3:$EZ1530,9,FALSE),VLOOKUP($B1307,Data!$B$3:$EZ1530,10,FALSE)),1),"")</f>
        <v>-0.04431569853</v>
      </c>
      <c r="J1307" s="48" t="str">
        <f>IFERROR(MINUS(DIVIDE(VLOOKUP($B1307,Data!$B$3:$EZ1530,24,FALSE),VLOOKUP($B1307,Data!$B$3:$EZ1530,25,FALSE)),1),"")</f>
        <v/>
      </c>
      <c r="K1307" s="48">
        <f>IFERROR(MINUS(DIVIDE(VLOOKUP($B1307,Data!$B$3:$EZ1530,29,FALSE),VLOOKUP($B1307,Data!$B$3:$EZ1530,30,FALSE)),1),"")</f>
        <v>0.05214723926</v>
      </c>
      <c r="L1307" s="48">
        <f>IFERROR(MINUS(DIVIDE(VLOOKUP($B1307,Data!$B$3:$EZ1530,34,FALSE),VLOOKUP($B1307,Data!$B$3:$EZ1530,35,FALSE)),1),"")</f>
        <v>0.04811563593</v>
      </c>
      <c r="M1307" s="48">
        <f>IFERROR(MINUS(DIVIDE(VLOOKUP($B1307,Data!$B$3:$EZ1530,39,FALSE),VLOOKUP($B1307,Data!$B$3:$EZ1530,40,FALSE)),1),"")</f>
        <v>0.01865032886</v>
      </c>
      <c r="N1307" s="48">
        <f>IFERROR(MINUS(DIVIDE(VLOOKUP($B1307,Data!$B$3:$EZ1530,44,FALSE),VLOOKUP($B1307,Data!$B$3:$EZ1530,45,FALSE)),1),"")</f>
        <v>0.1096209008</v>
      </c>
      <c r="O1307" s="50">
        <f>IFERROR(VLOOKUP($B1307,Data!$B$3:$D1530,2,FALSE),"")</f>
        <v>573840</v>
      </c>
      <c r="P1307" s="50">
        <f>IFERROR(VLOOKUP($B1307,Data!$B$3:$D1530,3,FALSE),"")</f>
        <v>480690</v>
      </c>
      <c r="Q1307" s="48">
        <f t="shared" si="2"/>
        <v>0.1937839356</v>
      </c>
      <c r="R1307" s="48"/>
      <c r="S1307" s="48"/>
      <c r="T1307" s="48"/>
      <c r="U1307" s="48"/>
      <c r="V1307" s="48"/>
      <c r="W1307" s="50"/>
      <c r="Z1307" s="15"/>
      <c r="AA1307" s="15"/>
    </row>
    <row r="1308">
      <c r="A1308" s="9">
        <f t="shared" si="1"/>
        <v>1305</v>
      </c>
      <c r="B1308" s="47" t="s">
        <v>1442</v>
      </c>
      <c r="C1308" s="48">
        <f>IFERROR(DIVIDE(VLOOKUP($B1308,Data!$B$3:$AB$1535,9,FALSE),VLOOKUP($B1308,Data!$B$3:$AB$1535,4,FALSE)),"")</f>
        <v>0</v>
      </c>
      <c r="D1308" s="48">
        <f>IFERROR(DIVIDE(VLOOKUP($B1308,Data!$B$3:$AB$1535,24,FALSE),VLOOKUP($B1308,Data!$B$3:$AB$1535,4,FALSE)),"")</f>
        <v>0</v>
      </c>
      <c r="E1308" s="48">
        <f>IFERROR(DIVIDE(VLOOKUP($B1308,Data!$B$3:$EZ1530,29,FALSE),VLOOKUP($B1308,Data!$B$3:$EZ1530,4,FALSE)),"")</f>
        <v>-3.567057292</v>
      </c>
      <c r="F1308" s="48">
        <f>IFERROR(DIVIDE(VLOOKUP($B1308,Data!$B$3:$EZ1530,34,FALSE),VLOOKUP($B1308,Data!$B$3:$EZ1530,4,FALSE)),"")</f>
        <v>-3.500651042</v>
      </c>
      <c r="G1308" s="48">
        <f>IFERROR(DIVIDE(VLOOKUP($B1308,Data!$B$3:$EZ1530,39,FALSE),VLOOKUP($B1308,Data!$B$3:$EZ1530,4,FALSE)),"")</f>
        <v>-3.567057292</v>
      </c>
      <c r="H1308" s="48">
        <f>IFERROR(DIVIDE(VLOOKUP($B1308,Data!$B$3:$EZ1530,44,FALSE),VLOOKUP($B1308,Data!$B$3:$EZ1530,4,FALSE)),"")</f>
        <v>-3.799479167</v>
      </c>
      <c r="I1308" s="48" t="str">
        <f>IFERROR(MINUS(DIVIDE(VLOOKUP($B1308,Data!$B$3:$EZ1530,9,FALSE),VLOOKUP($B1308,Data!$B$3:$EZ1530,10,FALSE)),1),"")</f>
        <v/>
      </c>
      <c r="J1308" s="48" t="str">
        <f>IFERROR(MINUS(DIVIDE(VLOOKUP($B1308,Data!$B$3:$EZ1530,24,FALSE),VLOOKUP($B1308,Data!$B$3:$EZ1530,25,FALSE)),1),"")</f>
        <v/>
      </c>
      <c r="K1308" s="48">
        <f>IFERROR(MINUS(DIVIDE(VLOOKUP($B1308,Data!$B$3:$EZ1530,29,FALSE),VLOOKUP($B1308,Data!$B$3:$EZ1530,30,FALSE)),1),"")</f>
        <v>7.301515152</v>
      </c>
      <c r="L1308" s="48">
        <f>IFERROR(MINUS(DIVIDE(VLOOKUP($B1308,Data!$B$3:$EZ1530,34,FALSE),VLOOKUP($B1308,Data!$B$3:$EZ1530,35,FALSE)),1),"")</f>
        <v>5.893589744</v>
      </c>
      <c r="M1308" s="48">
        <f>IFERROR(MINUS(DIVIDE(VLOOKUP($B1308,Data!$B$3:$EZ1530,39,FALSE),VLOOKUP($B1308,Data!$B$3:$EZ1530,40,FALSE)),1),"")</f>
        <v>7.301515152</v>
      </c>
      <c r="N1308" s="48">
        <f>IFERROR(MINUS(DIVIDE(VLOOKUP($B1308,Data!$B$3:$EZ1530,44,FALSE),VLOOKUP($B1308,Data!$B$3:$EZ1530,45,FALSE)),1),"")</f>
        <v>3.414523449</v>
      </c>
      <c r="O1308" s="50">
        <f>IFERROR(VLOOKUP($B1308,Data!$B$3:$D1530,2,FALSE),"")</f>
        <v>5270</v>
      </c>
      <c r="P1308" s="50">
        <f>IFERROR(VLOOKUP($B1308,Data!$B$3:$D1530,3,FALSE),"")</f>
        <v>38590</v>
      </c>
      <c r="Q1308" s="48">
        <f t="shared" si="2"/>
        <v>-0.8634361233</v>
      </c>
      <c r="R1308" s="48"/>
      <c r="S1308" s="48"/>
      <c r="T1308" s="48"/>
      <c r="U1308" s="48"/>
      <c r="V1308" s="48"/>
      <c r="W1308" s="50"/>
      <c r="Z1308" s="12"/>
      <c r="AA1308" s="12"/>
    </row>
    <row r="1309">
      <c r="A1309" s="9">
        <f t="shared" si="1"/>
        <v>1306</v>
      </c>
      <c r="B1309" s="47" t="s">
        <v>1443</v>
      </c>
      <c r="C1309" s="48" t="str">
        <f>IFERROR(DIVIDE(VLOOKUP($B1309,Data!$B$3:$AB$1535,9,FALSE),VLOOKUP($B1309,Data!$B$3:$AB$1535,4,FALSE)),"")</f>
        <v/>
      </c>
      <c r="D1309" s="48" t="str">
        <f>IFERROR(DIVIDE(VLOOKUP($B1309,Data!$B$3:$AB$1535,24,FALSE),VLOOKUP($B1309,Data!$B$3:$AB$1535,4,FALSE)),"")</f>
        <v/>
      </c>
      <c r="E1309" s="48" t="str">
        <f>IFERROR(DIVIDE(VLOOKUP($B1309,Data!$B$3:$EZ1530,29,FALSE),VLOOKUP($B1309,Data!$B$3:$EZ1530,4,FALSE)),"")</f>
        <v/>
      </c>
      <c r="F1309" s="48" t="str">
        <f>IFERROR(DIVIDE(VLOOKUP($B1309,Data!$B$3:$EZ1530,34,FALSE),VLOOKUP($B1309,Data!$B$3:$EZ1530,4,FALSE)),"")</f>
        <v/>
      </c>
      <c r="G1309" s="48" t="str">
        <f>IFERROR(DIVIDE(VLOOKUP($B1309,Data!$B$3:$EZ1530,39,FALSE),VLOOKUP($B1309,Data!$B$3:$EZ1530,4,FALSE)),"")</f>
        <v/>
      </c>
      <c r="H1309" s="48" t="str">
        <f>IFERROR(DIVIDE(VLOOKUP($B1309,Data!$B$3:$EZ1530,44,FALSE),VLOOKUP($B1309,Data!$B$3:$EZ1530,4,FALSE)),"")</f>
        <v/>
      </c>
      <c r="I1309" s="48">
        <f>IFERROR(MINUS(DIVIDE(VLOOKUP($B1309,Data!$B$3:$EZ1530,9,FALSE),VLOOKUP($B1309,Data!$B$3:$EZ1530,10,FALSE)),1),"")</f>
        <v>-1</v>
      </c>
      <c r="J1309" s="48" t="str">
        <f>IFERROR(MINUS(DIVIDE(VLOOKUP($B1309,Data!$B$3:$EZ1530,24,FALSE),VLOOKUP($B1309,Data!$B$3:$EZ1530,25,FALSE)),1),"")</f>
        <v/>
      </c>
      <c r="K1309" s="48" t="str">
        <f>IFERROR(MINUS(DIVIDE(VLOOKUP($B1309,Data!$B$3:$EZ1530,29,FALSE),VLOOKUP($B1309,Data!$B$3:$EZ1530,30,FALSE)),1),"")</f>
        <v/>
      </c>
      <c r="L1309" s="48" t="str">
        <f>IFERROR(MINUS(DIVIDE(VLOOKUP($B1309,Data!$B$3:$EZ1530,34,FALSE),VLOOKUP($B1309,Data!$B$3:$EZ1530,35,FALSE)),1),"")</f>
        <v/>
      </c>
      <c r="M1309" s="48" t="str">
        <f>IFERROR(MINUS(DIVIDE(VLOOKUP($B1309,Data!$B$3:$EZ1530,39,FALSE),VLOOKUP($B1309,Data!$B$3:$EZ1530,40,FALSE)),1),"")</f>
        <v/>
      </c>
      <c r="N1309" s="48" t="str">
        <f>IFERROR(MINUS(DIVIDE(VLOOKUP($B1309,Data!$B$3:$EZ1530,44,FALSE),VLOOKUP($B1309,Data!$B$3:$EZ1530,45,FALSE)),1),"")</f>
        <v/>
      </c>
      <c r="O1309" s="50" t="str">
        <f>IFERROR(VLOOKUP($B1309,Data!$B$3:$D1530,2,FALSE),"")</f>
        <v/>
      </c>
      <c r="P1309" s="50" t="str">
        <f>IFERROR(VLOOKUP($B1309,Data!$B$3:$D1530,3,FALSE),"")</f>
        <v/>
      </c>
      <c r="Q1309" s="48" t="str">
        <f t="shared" si="2"/>
        <v/>
      </c>
      <c r="R1309" s="48"/>
      <c r="S1309" s="48"/>
      <c r="T1309" s="48"/>
      <c r="U1309" s="48"/>
      <c r="V1309" s="48"/>
      <c r="W1309" s="50"/>
      <c r="Z1309" s="11"/>
      <c r="AA1309" s="11"/>
    </row>
    <row r="1310">
      <c r="A1310" s="9">
        <f t="shared" si="1"/>
        <v>1307</v>
      </c>
      <c r="B1310" s="47" t="s">
        <v>1444</v>
      </c>
      <c r="C1310" s="48">
        <f>IFERROR(DIVIDE(VLOOKUP($B1310,Data!$B$3:$AB$1535,9,FALSE),VLOOKUP($B1310,Data!$B$3:$AB$1535,4,FALSE)),"")</f>
        <v>0.6002795248</v>
      </c>
      <c r="D1310" s="48">
        <f>IFERROR(DIVIDE(VLOOKUP($B1310,Data!$B$3:$AB$1535,24,FALSE),VLOOKUP($B1310,Data!$B$3:$AB$1535,4,FALSE)),"")</f>
        <v>-1.221756348</v>
      </c>
      <c r="E1310" s="48">
        <f>IFERROR(DIVIDE(VLOOKUP($B1310,Data!$B$3:$EZ1530,29,FALSE),VLOOKUP($B1310,Data!$B$3:$EZ1530,4,FALSE)),"")</f>
        <v>-1.18914512</v>
      </c>
      <c r="F1310" s="48">
        <f>IFERROR(DIVIDE(VLOOKUP($B1310,Data!$B$3:$EZ1530,34,FALSE),VLOOKUP($B1310,Data!$B$3:$EZ1530,4,FALSE)),"")</f>
        <v>-1.154437456</v>
      </c>
      <c r="G1310" s="48">
        <f>IFERROR(DIVIDE(VLOOKUP($B1310,Data!$B$3:$EZ1530,39,FALSE),VLOOKUP($B1310,Data!$B$3:$EZ1530,4,FALSE)),"")</f>
        <v>-1.190542744</v>
      </c>
      <c r="H1310" s="48">
        <f>IFERROR(DIVIDE(VLOOKUP($B1310,Data!$B$3:$EZ1530,44,FALSE),VLOOKUP($B1310,Data!$B$3:$EZ1530,4,FALSE)),"")</f>
        <v>-1.097134871</v>
      </c>
      <c r="I1310" s="48">
        <f>IFERROR(MINUS(DIVIDE(VLOOKUP($B1310,Data!$B$3:$EZ1530,9,FALSE),VLOOKUP($B1310,Data!$B$3:$EZ1530,10,FALSE)),1),"")</f>
        <v>4.143712575</v>
      </c>
      <c r="J1310" s="48" t="str">
        <f>IFERROR(MINUS(DIVIDE(VLOOKUP($B1310,Data!$B$3:$EZ1530,24,FALSE),VLOOKUP($B1310,Data!$B$3:$EZ1530,25,FALSE)),1),"")</f>
        <v/>
      </c>
      <c r="K1310" s="48">
        <f>IFERROR(MINUS(DIVIDE(VLOOKUP($B1310,Data!$B$3:$EZ1530,29,FALSE),VLOOKUP($B1310,Data!$B$3:$EZ1530,30,FALSE)),1),"")</f>
        <v>0.2433024842</v>
      </c>
      <c r="L1310" s="48">
        <f>IFERROR(MINUS(DIVIDE(VLOOKUP($B1310,Data!$B$3:$EZ1530,34,FALSE),VLOOKUP($B1310,Data!$B$3:$EZ1530,35,FALSE)),1),"")</f>
        <v>0.2221948212</v>
      </c>
      <c r="M1310" s="48">
        <f>IFERROR(MINUS(DIVIDE(VLOOKUP($B1310,Data!$B$3:$EZ1530,39,FALSE),VLOOKUP($B1310,Data!$B$3:$EZ1530,40,FALSE)),1),"")</f>
        <v>0.2435523114</v>
      </c>
      <c r="N1310" s="48">
        <f>IFERROR(MINUS(DIVIDE(VLOOKUP($B1310,Data!$B$3:$EZ1530,44,FALSE),VLOOKUP($B1310,Data!$B$3:$EZ1530,45,FALSE)),1),"")</f>
        <v>0.1357607909</v>
      </c>
      <c r="O1310" s="50">
        <f>IFERROR(VLOOKUP($B1310,Data!$B$3:$D1530,2,FALSE),"")</f>
        <v>115500</v>
      </c>
      <c r="P1310" s="50">
        <f>IFERROR(VLOOKUP($B1310,Data!$B$3:$D1530,3,FALSE),"")</f>
        <v>60290</v>
      </c>
      <c r="Q1310" s="48">
        <f t="shared" si="2"/>
        <v>0.9157405872</v>
      </c>
      <c r="R1310" s="48"/>
      <c r="S1310" s="48"/>
      <c r="T1310" s="48"/>
      <c r="U1310" s="48"/>
      <c r="V1310" s="48"/>
      <c r="W1310" s="50"/>
      <c r="Z1310" s="11"/>
      <c r="AA1310" s="11"/>
    </row>
    <row r="1311">
      <c r="A1311" s="9">
        <f t="shared" si="1"/>
        <v>1308</v>
      </c>
      <c r="B1311" s="47" t="s">
        <v>1445</v>
      </c>
      <c r="C1311" s="48">
        <f>IFERROR(DIVIDE(VLOOKUP($B1311,Data!$B$3:$AB$1535,9,FALSE),VLOOKUP($B1311,Data!$B$3:$AB$1535,4,FALSE)),"")</f>
        <v>0.4674556213</v>
      </c>
      <c r="D1311" s="48">
        <f>IFERROR(DIVIDE(VLOOKUP($B1311,Data!$B$3:$AB$1535,24,FALSE),VLOOKUP($B1311,Data!$B$3:$AB$1535,4,FALSE)),"")</f>
        <v>0.2816568047</v>
      </c>
      <c r="E1311" s="48">
        <f>IFERROR(DIVIDE(VLOOKUP($B1311,Data!$B$3:$EZ1530,29,FALSE),VLOOKUP($B1311,Data!$B$3:$EZ1530,4,FALSE)),"")</f>
        <v>0.2843195266</v>
      </c>
      <c r="F1311" s="48">
        <f>IFERROR(DIVIDE(VLOOKUP($B1311,Data!$B$3:$EZ1530,34,FALSE),VLOOKUP($B1311,Data!$B$3:$EZ1530,4,FALSE)),"")</f>
        <v>0.3934911243</v>
      </c>
      <c r="G1311" s="48">
        <f>IFERROR(DIVIDE(VLOOKUP($B1311,Data!$B$3:$EZ1530,39,FALSE),VLOOKUP($B1311,Data!$B$3:$EZ1530,4,FALSE)),"")</f>
        <v>0.2525443787</v>
      </c>
      <c r="H1311" s="48">
        <f>IFERROR(DIVIDE(VLOOKUP($B1311,Data!$B$3:$EZ1530,44,FALSE),VLOOKUP($B1311,Data!$B$3:$EZ1530,4,FALSE)),"")</f>
        <v>0.4053254438</v>
      </c>
      <c r="I1311" s="48">
        <f>IFERROR(MINUS(DIVIDE(VLOOKUP($B1311,Data!$B$3:$EZ1530,9,FALSE),VLOOKUP($B1311,Data!$B$3:$EZ1530,10,FALSE)),1),"")</f>
        <v>-0.1813471503</v>
      </c>
      <c r="J1311" s="48">
        <f>IFERROR(MINUS(DIVIDE(VLOOKUP($B1311,Data!$B$3:$EZ1530,24,FALSE),VLOOKUP($B1311,Data!$B$3:$EZ1530,25,FALSE)),1),"")</f>
        <v>-0.2787878788</v>
      </c>
      <c r="K1311" s="48">
        <f>IFERROR(MINUS(DIVIDE(VLOOKUP($B1311,Data!$B$3:$EZ1530,29,FALSE),VLOOKUP($B1311,Data!$B$3:$EZ1530,30,FALSE)),1),"")</f>
        <v>-0.277443609</v>
      </c>
      <c r="L1311" s="48">
        <f>IFERROR(MINUS(DIVIDE(VLOOKUP($B1311,Data!$B$3:$EZ1530,34,FALSE),VLOOKUP($B1311,Data!$B$3:$EZ1530,35,FALSE)),1),"")</f>
        <v>-0.1739130435</v>
      </c>
      <c r="M1311" s="48">
        <f>IFERROR(MINUS(DIVIDE(VLOOKUP($B1311,Data!$B$3:$EZ1530,39,FALSE),VLOOKUP($B1311,Data!$B$3:$EZ1530,40,FALSE)),1),"")</f>
        <v>-0.07055749129</v>
      </c>
      <c r="N1311" s="48">
        <f>IFERROR(MINUS(DIVIDE(VLOOKUP($B1311,Data!$B$3:$EZ1530,44,FALSE),VLOOKUP($B1311,Data!$B$3:$EZ1530,45,FALSE)),1),"")</f>
        <v>0.0873015873</v>
      </c>
      <c r="O1311" s="50">
        <f>IFERROR(VLOOKUP($B1311,Data!$B$3:$D1530,2,FALSE),"")</f>
        <v>3480000</v>
      </c>
      <c r="P1311" s="50">
        <f>IFERROR(VLOOKUP($B1311,Data!$B$3:$D1530,3,FALSE),"")</f>
        <v>3160000</v>
      </c>
      <c r="Q1311" s="48">
        <f t="shared" si="2"/>
        <v>0.1012658228</v>
      </c>
      <c r="R1311" s="48"/>
      <c r="S1311" s="48"/>
      <c r="T1311" s="48"/>
      <c r="U1311" s="48"/>
      <c r="V1311" s="48"/>
      <c r="W1311" s="50"/>
      <c r="Z1311" s="12"/>
      <c r="AA1311" s="12"/>
    </row>
    <row r="1312">
      <c r="A1312" s="9">
        <f t="shared" si="1"/>
        <v>1309</v>
      </c>
      <c r="B1312" s="47" t="s">
        <v>1446</v>
      </c>
      <c r="C1312" s="48" t="str">
        <f>IFERROR(DIVIDE(VLOOKUP($B1312,Data!$B$3:$AB$1535,9,FALSE),VLOOKUP($B1312,Data!$B$3:$AB$1535,4,FALSE)),"")</f>
        <v/>
      </c>
      <c r="D1312" s="48" t="str">
        <f>IFERROR(DIVIDE(VLOOKUP($B1312,Data!$B$3:$AB$1535,24,FALSE),VLOOKUP($B1312,Data!$B$3:$AB$1535,4,FALSE)),"")</f>
        <v/>
      </c>
      <c r="E1312" s="48" t="str">
        <f>IFERROR(DIVIDE(VLOOKUP($B1312,Data!$B$3:$EZ1530,29,FALSE),VLOOKUP($B1312,Data!$B$3:$EZ1530,4,FALSE)),"")</f>
        <v/>
      </c>
      <c r="F1312" s="48" t="str">
        <f>IFERROR(DIVIDE(VLOOKUP($B1312,Data!$B$3:$EZ1530,34,FALSE),VLOOKUP($B1312,Data!$B$3:$EZ1530,4,FALSE)),"")</f>
        <v/>
      </c>
      <c r="G1312" s="48" t="str">
        <f>IFERROR(DIVIDE(VLOOKUP($B1312,Data!$B$3:$EZ1530,39,FALSE),VLOOKUP($B1312,Data!$B$3:$EZ1530,4,FALSE)),"")</f>
        <v/>
      </c>
      <c r="H1312" s="48" t="str">
        <f>IFERROR(DIVIDE(VLOOKUP($B1312,Data!$B$3:$EZ1530,44,FALSE),VLOOKUP($B1312,Data!$B$3:$EZ1530,4,FALSE)),"")</f>
        <v/>
      </c>
      <c r="I1312" s="48">
        <f>IFERROR(MINUS(DIVIDE(VLOOKUP($B1312,Data!$B$3:$EZ1530,9,FALSE),VLOOKUP($B1312,Data!$B$3:$EZ1530,10,FALSE)),1),"")</f>
        <v>10.29411765</v>
      </c>
      <c r="J1312" s="48" t="str">
        <f>IFERROR(MINUS(DIVIDE(VLOOKUP($B1312,Data!$B$3:$EZ1530,24,FALSE),VLOOKUP($B1312,Data!$B$3:$EZ1530,25,FALSE)),1),"")</f>
        <v/>
      </c>
      <c r="K1312" s="48">
        <f>IFERROR(MINUS(DIVIDE(VLOOKUP($B1312,Data!$B$3:$EZ1530,29,FALSE),VLOOKUP($B1312,Data!$B$3:$EZ1530,30,FALSE)),1),"")</f>
        <v>2.274003369</v>
      </c>
      <c r="L1312" s="48">
        <f>IFERROR(MINUS(DIVIDE(VLOOKUP($B1312,Data!$B$3:$EZ1530,34,FALSE),VLOOKUP($B1312,Data!$B$3:$EZ1530,35,FALSE)),1),"")</f>
        <v>2.19707634</v>
      </c>
      <c r="M1312" s="48">
        <f>IFERROR(MINUS(DIVIDE(VLOOKUP($B1312,Data!$B$3:$EZ1530,39,FALSE),VLOOKUP($B1312,Data!$B$3:$EZ1530,40,FALSE)),1),"")</f>
        <v>2.274003369</v>
      </c>
      <c r="N1312" s="48">
        <f>IFERROR(MINUS(DIVIDE(VLOOKUP($B1312,Data!$B$3:$EZ1530,44,FALSE),VLOOKUP($B1312,Data!$B$3:$EZ1530,45,FALSE)),1),"")</f>
        <v>2.225016995</v>
      </c>
      <c r="O1312" s="50" t="str">
        <f>IFERROR(VLOOKUP($B1312,Data!$B$3:$D1530,2,FALSE),"")</f>
        <v/>
      </c>
      <c r="P1312" s="50" t="str">
        <f>IFERROR(VLOOKUP($B1312,Data!$B$3:$D1530,3,FALSE),"")</f>
        <v/>
      </c>
      <c r="Q1312" s="48" t="str">
        <f t="shared" si="2"/>
        <v/>
      </c>
      <c r="R1312" s="48"/>
      <c r="S1312" s="48"/>
      <c r="T1312" s="48"/>
      <c r="U1312" s="48"/>
      <c r="V1312" s="48"/>
      <c r="W1312" s="50"/>
      <c r="Z1312" s="11"/>
      <c r="AA1312" s="11"/>
    </row>
    <row r="1313">
      <c r="A1313" s="9">
        <f t="shared" si="1"/>
        <v>1310</v>
      </c>
      <c r="B1313" s="47" t="s">
        <v>1447</v>
      </c>
      <c r="C1313" s="48">
        <f>IFERROR(DIVIDE(VLOOKUP($B1313,Data!$B$3:$AB$1535,9,FALSE),VLOOKUP($B1313,Data!$B$3:$AB$1535,4,FALSE)),"")</f>
        <v>0.1118125</v>
      </c>
      <c r="D1313" s="48">
        <f>IFERROR(DIVIDE(VLOOKUP($B1313,Data!$B$3:$AB$1535,24,FALSE),VLOOKUP($B1313,Data!$B$3:$AB$1535,4,FALSE)),"")</f>
        <v>-0.08925</v>
      </c>
      <c r="E1313" s="48">
        <f>IFERROR(DIVIDE(VLOOKUP($B1313,Data!$B$3:$EZ1530,29,FALSE),VLOOKUP($B1313,Data!$B$3:$EZ1530,4,FALSE)),"")</f>
        <v>-0.1269375</v>
      </c>
      <c r="F1313" s="48">
        <f>IFERROR(DIVIDE(VLOOKUP($B1313,Data!$B$3:$EZ1530,34,FALSE),VLOOKUP($B1313,Data!$B$3:$EZ1530,4,FALSE)),"")</f>
        <v>0.158</v>
      </c>
      <c r="G1313" s="48">
        <f>IFERROR(DIVIDE(VLOOKUP($B1313,Data!$B$3:$EZ1530,39,FALSE),VLOOKUP($B1313,Data!$B$3:$EZ1530,4,FALSE)),"")</f>
        <v>-0.0951875</v>
      </c>
      <c r="H1313" s="48">
        <f>IFERROR(DIVIDE(VLOOKUP($B1313,Data!$B$3:$EZ1530,44,FALSE),VLOOKUP($B1313,Data!$B$3:$EZ1530,4,FALSE)),"")</f>
        <v>0.1136875</v>
      </c>
      <c r="I1313" s="48">
        <f>IFERROR(MINUS(DIVIDE(VLOOKUP($B1313,Data!$B$3:$EZ1530,9,FALSE),VLOOKUP($B1313,Data!$B$3:$EZ1530,10,FALSE)),1),"")</f>
        <v>-0.03192640693</v>
      </c>
      <c r="J1313" s="48">
        <f>IFERROR(MINUS(DIVIDE(VLOOKUP($B1313,Data!$B$3:$EZ1530,24,FALSE),VLOOKUP($B1313,Data!$B$3:$EZ1530,25,FALSE)),1),"")</f>
        <v>-2.206081081</v>
      </c>
      <c r="K1313" s="48">
        <f>IFERROR(MINUS(DIVIDE(VLOOKUP($B1313,Data!$B$3:$EZ1530,29,FALSE),VLOOKUP($B1313,Data!$B$3:$EZ1530,30,FALSE)),1),"")</f>
        <v>-4.563157895</v>
      </c>
      <c r="L1313" s="48">
        <f>IFERROR(MINUS(DIVIDE(VLOOKUP($B1313,Data!$B$3:$EZ1530,34,FALSE),VLOOKUP($B1313,Data!$B$3:$EZ1530,35,FALSE)),1),"")</f>
        <v>-0.03215926493</v>
      </c>
      <c r="M1313" s="48">
        <f>IFERROR(MINUS(DIVIDE(VLOOKUP($B1313,Data!$B$3:$EZ1530,39,FALSE),VLOOKUP($B1313,Data!$B$3:$EZ1530,40,FALSE)),1),"")</f>
        <v>-6.812977099</v>
      </c>
      <c r="N1313" s="48">
        <f>IFERROR(MINUS(DIVIDE(VLOOKUP($B1313,Data!$B$3:$EZ1530,44,FALSE),VLOOKUP($B1313,Data!$B$3:$EZ1530,45,FALSE)),1),"")</f>
        <v>-0.02099031216</v>
      </c>
      <c r="O1313" s="50">
        <f>IFERROR(VLOOKUP($B1313,Data!$B$3:$D1530,2,FALSE),"")</f>
        <v>1270000</v>
      </c>
      <c r="P1313" s="50">
        <f>IFERROR(VLOOKUP($B1313,Data!$B$3:$D1530,3,FALSE),"")</f>
        <v>1180000</v>
      </c>
      <c r="Q1313" s="48">
        <f t="shared" si="2"/>
        <v>0.07627118644</v>
      </c>
      <c r="R1313" s="48"/>
      <c r="S1313" s="48"/>
      <c r="T1313" s="48"/>
      <c r="U1313" s="48"/>
      <c r="V1313" s="48"/>
      <c r="W1313" s="50"/>
      <c r="Z1313" s="15"/>
      <c r="AA1313" s="15"/>
    </row>
    <row r="1314">
      <c r="A1314" s="9">
        <f t="shared" si="1"/>
        <v>1311</v>
      </c>
      <c r="B1314" s="47" t="s">
        <v>1448</v>
      </c>
      <c r="C1314" s="48">
        <f>IFERROR(DIVIDE(VLOOKUP($B1314,Data!$B$3:$AB$1535,9,FALSE),VLOOKUP($B1314,Data!$B$3:$AB$1535,4,FALSE)),"")</f>
        <v>0.3229318182</v>
      </c>
      <c r="D1314" s="48">
        <f>IFERROR(DIVIDE(VLOOKUP($B1314,Data!$B$3:$AB$1535,24,FALSE),VLOOKUP($B1314,Data!$B$3:$AB$1535,4,FALSE)),"")</f>
        <v>0.09235606061</v>
      </c>
      <c r="E1314" s="48">
        <f>IFERROR(DIVIDE(VLOOKUP($B1314,Data!$B$3:$EZ1530,29,FALSE),VLOOKUP($B1314,Data!$B$3:$EZ1530,4,FALSE)),"")</f>
        <v>0.07651515152</v>
      </c>
      <c r="F1314" s="48">
        <f>IFERROR(DIVIDE(VLOOKUP($B1314,Data!$B$3:$EZ1530,34,FALSE),VLOOKUP($B1314,Data!$B$3:$EZ1530,4,FALSE)),"")</f>
        <v>0.1697954545</v>
      </c>
      <c r="G1314" s="48">
        <f>IFERROR(DIVIDE(VLOOKUP($B1314,Data!$B$3:$EZ1530,39,FALSE),VLOOKUP($B1314,Data!$B$3:$EZ1530,4,FALSE)),"")</f>
        <v>0.06215909091</v>
      </c>
      <c r="H1314" s="48">
        <f>IFERROR(DIVIDE(VLOOKUP($B1314,Data!$B$3:$EZ1530,44,FALSE),VLOOKUP($B1314,Data!$B$3:$EZ1530,4,FALSE)),"")</f>
        <v>0.1342272727</v>
      </c>
      <c r="I1314" s="48">
        <f>IFERROR(MINUS(DIVIDE(VLOOKUP($B1314,Data!$B$3:$EZ1530,9,FALSE),VLOOKUP($B1314,Data!$B$3:$EZ1530,10,FALSE)),1),"")</f>
        <v>-0.08327060797</v>
      </c>
      <c r="J1314" s="48" t="str">
        <f>IFERROR(MINUS(DIVIDE(VLOOKUP($B1314,Data!$B$3:$EZ1530,24,FALSE),VLOOKUP($B1314,Data!$B$3:$EZ1530,25,FALSE)),1),"")</f>
        <v/>
      </c>
      <c r="K1314" s="48">
        <f>IFERROR(MINUS(DIVIDE(VLOOKUP($B1314,Data!$B$3:$EZ1530,29,FALSE),VLOOKUP($B1314,Data!$B$3:$EZ1530,30,FALSE)),1),"")</f>
        <v>-0.4436181347</v>
      </c>
      <c r="L1314" s="48">
        <f>IFERROR(MINUS(DIVIDE(VLOOKUP($B1314,Data!$B$3:$EZ1530,34,FALSE),VLOOKUP($B1314,Data!$B$3:$EZ1530,35,FALSE)),1),"")</f>
        <v>-0.1227445301</v>
      </c>
      <c r="M1314" s="48">
        <f>IFERROR(MINUS(DIVIDE(VLOOKUP($B1314,Data!$B$3:$EZ1530,39,FALSE),VLOOKUP($B1314,Data!$B$3:$EZ1530,40,FALSE)),1),"")</f>
        <v>-0.4785841383</v>
      </c>
      <c r="N1314" s="48">
        <f>IFERROR(MINUS(DIVIDE(VLOOKUP($B1314,Data!$B$3:$EZ1530,44,FALSE),VLOOKUP($B1314,Data!$B$3:$EZ1530,45,FALSE)),1),"")</f>
        <v>1.121408046</v>
      </c>
      <c r="O1314" s="50">
        <f>IFERROR(VLOOKUP($B1314,Data!$B$3:$D1530,2,FALSE),"")</f>
        <v>1240000</v>
      </c>
      <c r="P1314" s="50">
        <f>IFERROR(VLOOKUP($B1314,Data!$B$3:$D1530,3,FALSE),"")</f>
        <v>1250000</v>
      </c>
      <c r="Q1314" s="48">
        <f t="shared" si="2"/>
        <v>-0.008</v>
      </c>
      <c r="R1314" s="48"/>
      <c r="S1314" s="48"/>
      <c r="T1314" s="48"/>
      <c r="U1314" s="48"/>
      <c r="V1314" s="48"/>
      <c r="W1314" s="50"/>
      <c r="Z1314" s="12"/>
      <c r="AA1314" s="12"/>
    </row>
    <row r="1315">
      <c r="A1315" s="9">
        <f t="shared" si="1"/>
        <v>1312</v>
      </c>
      <c r="B1315" s="47" t="s">
        <v>1449</v>
      </c>
      <c r="C1315" s="48">
        <f>IFERROR(DIVIDE(VLOOKUP($B1315,Data!$B$3:$AB$1535,9,FALSE),VLOOKUP($B1315,Data!$B$3:$AB$1535,4,FALSE)),"")</f>
        <v>0.6303763441</v>
      </c>
      <c r="D1315" s="48">
        <f>IFERROR(DIVIDE(VLOOKUP($B1315,Data!$B$3:$AB$1535,24,FALSE),VLOOKUP($B1315,Data!$B$3:$AB$1535,4,FALSE)),"")</f>
        <v>0.1827956989</v>
      </c>
      <c r="E1315" s="48">
        <f>IFERROR(DIVIDE(VLOOKUP($B1315,Data!$B$3:$EZ1530,29,FALSE),VLOOKUP($B1315,Data!$B$3:$EZ1530,4,FALSE)),"")</f>
        <v>0.1720430108</v>
      </c>
      <c r="F1315" s="48">
        <f>IFERROR(DIVIDE(VLOOKUP($B1315,Data!$B$3:$EZ1530,34,FALSE),VLOOKUP($B1315,Data!$B$3:$EZ1530,4,FALSE)),"")</f>
        <v>0.2802419355</v>
      </c>
      <c r="G1315" s="48">
        <f>IFERROR(DIVIDE(VLOOKUP($B1315,Data!$B$3:$EZ1530,39,FALSE),VLOOKUP($B1315,Data!$B$3:$EZ1530,4,FALSE)),"")</f>
        <v>0.1397849462</v>
      </c>
      <c r="H1315" s="48">
        <f>IFERROR(DIVIDE(VLOOKUP($B1315,Data!$B$3:$EZ1530,44,FALSE),VLOOKUP($B1315,Data!$B$3:$EZ1530,4,FALSE)),"")</f>
        <v>0.1471774194</v>
      </c>
      <c r="I1315" s="48">
        <f>IFERROR(MINUS(DIVIDE(VLOOKUP($B1315,Data!$B$3:$EZ1530,9,FALSE),VLOOKUP($B1315,Data!$B$3:$EZ1530,10,FALSE)),1),"")</f>
        <v>0.09069767442</v>
      </c>
      <c r="J1315" s="48">
        <f>IFERROR(MINUS(DIVIDE(VLOOKUP($B1315,Data!$B$3:$EZ1530,24,FALSE),VLOOKUP($B1315,Data!$B$3:$EZ1530,25,FALSE)),1),"")</f>
        <v>0.07086614173</v>
      </c>
      <c r="K1315" s="48">
        <f>IFERROR(MINUS(DIVIDE(VLOOKUP($B1315,Data!$B$3:$EZ1530,29,FALSE),VLOOKUP($B1315,Data!$B$3:$EZ1530,30,FALSE)),1),"")</f>
        <v>0.08474576271</v>
      </c>
      <c r="L1315" s="48">
        <f>IFERROR(MINUS(DIVIDE(VLOOKUP($B1315,Data!$B$3:$EZ1530,34,FALSE),VLOOKUP($B1315,Data!$B$3:$EZ1530,35,FALSE)),1),"")</f>
        <v>0.08877284595</v>
      </c>
      <c r="M1315" s="48">
        <f>IFERROR(MINUS(DIVIDE(VLOOKUP($B1315,Data!$B$3:$EZ1530,39,FALSE),VLOOKUP($B1315,Data!$B$3:$EZ1530,40,FALSE)),1),"")</f>
        <v>-0.414084507</v>
      </c>
      <c r="N1315" s="48">
        <f>IFERROR(MINUS(DIVIDE(VLOOKUP($B1315,Data!$B$3:$EZ1530,44,FALSE),VLOOKUP($B1315,Data!$B$3:$EZ1530,45,FALSE)),1),"")</f>
        <v>-0.1609195402</v>
      </c>
      <c r="O1315" s="50">
        <f>IFERROR(VLOOKUP($B1315,Data!$B$3:$D1530,2,FALSE),"")</f>
        <v>15860000</v>
      </c>
      <c r="P1315" s="50">
        <f>IFERROR(VLOOKUP($B1315,Data!$B$3:$D1530,3,FALSE),"")</f>
        <v>13650000</v>
      </c>
      <c r="Q1315" s="48">
        <f t="shared" si="2"/>
        <v>0.1619047619</v>
      </c>
      <c r="R1315" s="48"/>
      <c r="S1315" s="48"/>
      <c r="T1315" s="48"/>
      <c r="U1315" s="48"/>
      <c r="V1315" s="48"/>
      <c r="W1315" s="50"/>
      <c r="Z1315" s="15"/>
      <c r="AA1315" s="15"/>
    </row>
    <row r="1316">
      <c r="A1316" s="9">
        <f t="shared" si="1"/>
        <v>1313</v>
      </c>
      <c r="B1316" s="47" t="s">
        <v>1450</v>
      </c>
      <c r="C1316" s="48">
        <f>IFERROR(DIVIDE(VLOOKUP($B1316,Data!$B$3:$AB$1535,9,FALSE),VLOOKUP($B1316,Data!$B$3:$AB$1535,4,FALSE)),"")</f>
        <v>0.168258547</v>
      </c>
      <c r="D1316" s="48">
        <f>IFERROR(DIVIDE(VLOOKUP($B1316,Data!$B$3:$AB$1535,24,FALSE),VLOOKUP($B1316,Data!$B$3:$AB$1535,4,FALSE)),"")</f>
        <v>0.05302350427</v>
      </c>
      <c r="E1316" s="48">
        <f>IFERROR(DIVIDE(VLOOKUP($B1316,Data!$B$3:$EZ1530,29,FALSE),VLOOKUP($B1316,Data!$B$3:$EZ1530,4,FALSE)),"")</f>
        <v>0.02173290598</v>
      </c>
      <c r="F1316" s="48">
        <f>IFERROR(DIVIDE(VLOOKUP($B1316,Data!$B$3:$EZ1530,34,FALSE),VLOOKUP($B1316,Data!$B$3:$EZ1530,4,FALSE)),"")</f>
        <v>0.124707265</v>
      </c>
      <c r="G1316" s="48">
        <f>IFERROR(DIVIDE(VLOOKUP($B1316,Data!$B$3:$EZ1530,39,FALSE),VLOOKUP($B1316,Data!$B$3:$EZ1530,4,FALSE)),"")</f>
        <v>0.02804700855</v>
      </c>
      <c r="H1316" s="48">
        <f>IFERROR(DIVIDE(VLOOKUP($B1316,Data!$B$3:$EZ1530,44,FALSE),VLOOKUP($B1316,Data!$B$3:$EZ1530,4,FALSE)),"")</f>
        <v>0.06805128205</v>
      </c>
      <c r="I1316" s="48">
        <f>IFERROR(MINUS(DIVIDE(VLOOKUP($B1316,Data!$B$3:$EZ1530,9,FALSE),VLOOKUP($B1316,Data!$B$3:$EZ1530,10,FALSE)),1),"")</f>
        <v>0.1544156453</v>
      </c>
      <c r="J1316" s="48">
        <f>IFERROR(MINUS(DIVIDE(VLOOKUP($B1316,Data!$B$3:$EZ1530,24,FALSE),VLOOKUP($B1316,Data!$B$3:$EZ1530,25,FALSE)),1),"")</f>
        <v>0.5903992822</v>
      </c>
      <c r="K1316" s="48">
        <f>IFERROR(MINUS(DIVIDE(VLOOKUP($B1316,Data!$B$3:$EZ1530,29,FALSE),VLOOKUP($B1316,Data!$B$3:$EZ1530,30,FALSE)),1),"")</f>
        <v>0.7762836186</v>
      </c>
      <c r="L1316" s="48">
        <f>IFERROR(MINUS(DIVIDE(VLOOKUP($B1316,Data!$B$3:$EZ1530,34,FALSE),VLOOKUP($B1316,Data!$B$3:$EZ1530,35,FALSE)),1),"")</f>
        <v>0.06211101001</v>
      </c>
      <c r="M1316" s="48">
        <f>IFERROR(MINUS(DIVIDE(VLOOKUP($B1316,Data!$B$3:$EZ1530,39,FALSE),VLOOKUP($B1316,Data!$B$3:$EZ1530,40,FALSE)),1),"")</f>
        <v>4.406095552</v>
      </c>
      <c r="N1316" s="48">
        <f>IFERROR(MINUS(DIVIDE(VLOOKUP($B1316,Data!$B$3:$EZ1530,44,FALSE),VLOOKUP($B1316,Data!$B$3:$EZ1530,45,FALSE)),1),"")</f>
        <v>0.06022171177</v>
      </c>
      <c r="O1316" s="50">
        <f>IFERROR(VLOOKUP($B1316,Data!$B$3:$D1530,2,FALSE),"")</f>
        <v>5030000</v>
      </c>
      <c r="P1316" s="50">
        <f>IFERROR(VLOOKUP($B1316,Data!$B$3:$D1530,3,FALSE),"")</f>
        <v>4520000</v>
      </c>
      <c r="Q1316" s="48">
        <f t="shared" si="2"/>
        <v>0.1128318584</v>
      </c>
      <c r="R1316" s="48"/>
      <c r="S1316" s="48"/>
      <c r="T1316" s="48"/>
      <c r="U1316" s="48"/>
      <c r="V1316" s="48"/>
      <c r="W1316" s="50"/>
      <c r="Z1316" s="15"/>
      <c r="AA1316" s="15"/>
    </row>
    <row r="1317">
      <c r="A1317" s="9">
        <f t="shared" si="1"/>
        <v>1314</v>
      </c>
      <c r="B1317" s="47" t="s">
        <v>1451</v>
      </c>
      <c r="C1317" s="48" t="str">
        <f>IFERROR(DIVIDE(VLOOKUP($B1317,Data!$B$3:$AB$1535,9,FALSE),VLOOKUP($B1317,Data!$B$3:$AB$1535,4,FALSE)),"")</f>
        <v/>
      </c>
      <c r="D1317" s="48" t="str">
        <f>IFERROR(DIVIDE(VLOOKUP($B1317,Data!$B$3:$AB$1535,24,FALSE),VLOOKUP($B1317,Data!$B$3:$AB$1535,4,FALSE)),"")</f>
        <v/>
      </c>
      <c r="E1317" s="48" t="str">
        <f>IFERROR(DIVIDE(VLOOKUP($B1317,Data!$B$3:$EZ1530,29,FALSE),VLOOKUP($B1317,Data!$B$3:$EZ1530,4,FALSE)),"")</f>
        <v/>
      </c>
      <c r="F1317" s="48" t="str">
        <f>IFERROR(DIVIDE(VLOOKUP($B1317,Data!$B$3:$EZ1530,34,FALSE),VLOOKUP($B1317,Data!$B$3:$EZ1530,4,FALSE)),"")</f>
        <v/>
      </c>
      <c r="G1317" s="48" t="str">
        <f>IFERROR(DIVIDE(VLOOKUP($B1317,Data!$B$3:$EZ1530,39,FALSE),VLOOKUP($B1317,Data!$B$3:$EZ1530,4,FALSE)),"")</f>
        <v/>
      </c>
      <c r="H1317" s="48" t="str">
        <f>IFERROR(DIVIDE(VLOOKUP($B1317,Data!$B$3:$EZ1530,44,FALSE),VLOOKUP($B1317,Data!$B$3:$EZ1530,4,FALSE)),"")</f>
        <v/>
      </c>
      <c r="I1317" s="48" t="str">
        <f>IFERROR(MINUS(DIVIDE(VLOOKUP($B1317,Data!$B$3:$EZ1530,9,FALSE),VLOOKUP($B1317,Data!$B$3:$EZ1530,10,FALSE)),1),"")</f>
        <v/>
      </c>
      <c r="J1317" s="48" t="str">
        <f>IFERROR(MINUS(DIVIDE(VLOOKUP($B1317,Data!$B$3:$EZ1530,24,FALSE),VLOOKUP($B1317,Data!$B$3:$EZ1530,25,FALSE)),1),"")</f>
        <v/>
      </c>
      <c r="K1317" s="48" t="str">
        <f>IFERROR(MINUS(DIVIDE(VLOOKUP($B1317,Data!$B$3:$EZ1530,29,FALSE),VLOOKUP($B1317,Data!$B$3:$EZ1530,30,FALSE)),1),"")</f>
        <v/>
      </c>
      <c r="L1317" s="48" t="str">
        <f>IFERROR(MINUS(DIVIDE(VLOOKUP($B1317,Data!$B$3:$EZ1530,34,FALSE),VLOOKUP($B1317,Data!$B$3:$EZ1530,35,FALSE)),1),"")</f>
        <v/>
      </c>
      <c r="M1317" s="48" t="str">
        <f>IFERROR(MINUS(DIVIDE(VLOOKUP($B1317,Data!$B$3:$EZ1530,39,FALSE),VLOOKUP($B1317,Data!$B$3:$EZ1530,40,FALSE)),1),"")</f>
        <v/>
      </c>
      <c r="N1317" s="48" t="str">
        <f>IFERROR(MINUS(DIVIDE(VLOOKUP($B1317,Data!$B$3:$EZ1530,44,FALSE),VLOOKUP($B1317,Data!$B$3:$EZ1530,45,FALSE)),1),"")</f>
        <v/>
      </c>
      <c r="O1317" s="50">
        <f>IFERROR(VLOOKUP($B1317,Data!$B$3:$D1530,2,FALSE),"")</f>
        <v>92750</v>
      </c>
      <c r="P1317" s="50">
        <f>IFERROR(VLOOKUP($B1317,Data!$B$3:$D1530,3,FALSE),"")</f>
        <v>82200</v>
      </c>
      <c r="Q1317" s="48">
        <f t="shared" si="2"/>
        <v>0.1283454988</v>
      </c>
      <c r="R1317" s="48"/>
      <c r="S1317" s="48"/>
      <c r="T1317" s="48"/>
      <c r="U1317" s="48"/>
      <c r="V1317" s="48"/>
      <c r="W1317" s="50"/>
      <c r="Z1317" s="11"/>
      <c r="AA1317" s="11"/>
    </row>
    <row r="1318">
      <c r="A1318" s="9">
        <f t="shared" si="1"/>
        <v>1315</v>
      </c>
      <c r="B1318" s="47" t="s">
        <v>1452</v>
      </c>
      <c r="C1318" s="48">
        <f>IFERROR(DIVIDE(VLOOKUP($B1318,Data!$B$3:$AB$1535,9,FALSE),VLOOKUP($B1318,Data!$B$3:$AB$1535,4,FALSE)),"")</f>
        <v>0</v>
      </c>
      <c r="D1318" s="48">
        <f>IFERROR(DIVIDE(VLOOKUP($B1318,Data!$B$3:$AB$1535,24,FALSE),VLOOKUP($B1318,Data!$B$3:$AB$1535,4,FALSE)),"")</f>
        <v>0</v>
      </c>
      <c r="E1318" s="48">
        <f>IFERROR(DIVIDE(VLOOKUP($B1318,Data!$B$3:$EZ1530,29,FALSE),VLOOKUP($B1318,Data!$B$3:$EZ1530,4,FALSE)),"")</f>
        <v>-38.1010101</v>
      </c>
      <c r="F1318" s="48">
        <f>IFERROR(DIVIDE(VLOOKUP($B1318,Data!$B$3:$EZ1530,34,FALSE),VLOOKUP($B1318,Data!$B$3:$EZ1530,4,FALSE)),"")</f>
        <v>-37.88888889</v>
      </c>
      <c r="G1318" s="48">
        <f>IFERROR(DIVIDE(VLOOKUP($B1318,Data!$B$3:$EZ1530,39,FALSE),VLOOKUP($B1318,Data!$B$3:$EZ1530,4,FALSE)),"")</f>
        <v>-38.1010101</v>
      </c>
      <c r="H1318" s="48">
        <f>IFERROR(DIVIDE(VLOOKUP($B1318,Data!$B$3:$EZ1530,44,FALSE),VLOOKUP($B1318,Data!$B$3:$EZ1530,4,FALSE)),"")</f>
        <v>-30.42929293</v>
      </c>
      <c r="I1318" s="48" t="str">
        <f>IFERROR(MINUS(DIVIDE(VLOOKUP($B1318,Data!$B$3:$EZ1530,9,FALSE),VLOOKUP($B1318,Data!$B$3:$EZ1530,10,FALSE)),1),"")</f>
        <v/>
      </c>
      <c r="J1318" s="48" t="str">
        <f>IFERROR(MINUS(DIVIDE(VLOOKUP($B1318,Data!$B$3:$EZ1530,24,FALSE),VLOOKUP($B1318,Data!$B$3:$EZ1530,25,FALSE)),1),"")</f>
        <v/>
      </c>
      <c r="K1318" s="48">
        <f>IFERROR(MINUS(DIVIDE(VLOOKUP($B1318,Data!$B$3:$EZ1530,29,FALSE),VLOOKUP($B1318,Data!$B$3:$EZ1530,30,FALSE)),1),"")</f>
        <v>0.2113037893</v>
      </c>
      <c r="L1318" s="48">
        <f>IFERROR(MINUS(DIVIDE(VLOOKUP($B1318,Data!$B$3:$EZ1530,34,FALSE),VLOOKUP($B1318,Data!$B$3:$EZ1530,35,FALSE)),1),"")</f>
        <v>0.1966820865</v>
      </c>
      <c r="M1318" s="48">
        <f>IFERROR(MINUS(DIVIDE(VLOOKUP($B1318,Data!$B$3:$EZ1530,39,FALSE),VLOOKUP($B1318,Data!$B$3:$EZ1530,40,FALSE)),1),"")</f>
        <v>0.2113037893</v>
      </c>
      <c r="N1318" s="48">
        <f>IFERROR(MINUS(DIVIDE(VLOOKUP($B1318,Data!$B$3:$EZ1530,44,FALSE),VLOOKUP($B1318,Data!$B$3:$EZ1530,45,FALSE)),1),"")</f>
        <v>0.4942956349</v>
      </c>
      <c r="O1318" s="50">
        <f>IFERROR(VLOOKUP($B1318,Data!$B$3:$D1530,2,FALSE),"")</f>
        <v>6410</v>
      </c>
      <c r="P1318" s="50">
        <f>IFERROR(VLOOKUP($B1318,Data!$B$3:$D1530,3,FALSE),"")</f>
        <v>10590</v>
      </c>
      <c r="Q1318" s="48">
        <f t="shared" si="2"/>
        <v>-0.3947119924</v>
      </c>
      <c r="R1318" s="48"/>
      <c r="S1318" s="48"/>
      <c r="T1318" s="48"/>
      <c r="U1318" s="48"/>
      <c r="V1318" s="48"/>
      <c r="W1318" s="50"/>
      <c r="Z1318" s="11"/>
      <c r="AA1318" s="11"/>
    </row>
    <row r="1319">
      <c r="A1319" s="9">
        <f t="shared" si="1"/>
        <v>1316</v>
      </c>
      <c r="B1319" s="47" t="s">
        <v>1453</v>
      </c>
      <c r="C1319" s="48">
        <f>IFERROR(DIVIDE(VLOOKUP($B1319,Data!$B$3:$AB$1535,9,FALSE),VLOOKUP($B1319,Data!$B$3:$AB$1535,4,FALSE)),"")</f>
        <v>0.1788387955</v>
      </c>
      <c r="D1319" s="48">
        <f>IFERROR(DIVIDE(VLOOKUP($B1319,Data!$B$3:$AB$1535,24,FALSE),VLOOKUP($B1319,Data!$B$3:$AB$1535,4,FALSE)),"")</f>
        <v>0.03743137581</v>
      </c>
      <c r="E1319" s="48">
        <f>IFERROR(DIVIDE(VLOOKUP($B1319,Data!$B$3:$EZ1530,29,FALSE),VLOOKUP($B1319,Data!$B$3:$EZ1530,4,FALSE)),"")</f>
        <v>0.03343869572</v>
      </c>
      <c r="F1319" s="48">
        <f>IFERROR(DIVIDE(VLOOKUP($B1319,Data!$B$3:$EZ1530,34,FALSE),VLOOKUP($B1319,Data!$B$3:$EZ1530,4,FALSE)),"")</f>
        <v>0.05390118117</v>
      </c>
      <c r="G1319" s="48">
        <f>IFERROR(DIVIDE(VLOOKUP($B1319,Data!$B$3:$EZ1530,39,FALSE),VLOOKUP($B1319,Data!$B$3:$EZ1530,4,FALSE)),"")</f>
        <v>0.02778239894</v>
      </c>
      <c r="H1319" s="48">
        <f>IFERROR(DIVIDE(VLOOKUP($B1319,Data!$B$3:$EZ1530,44,FALSE),VLOOKUP($B1319,Data!$B$3:$EZ1530,4,FALSE)),"")</f>
        <v>0.04009316254</v>
      </c>
      <c r="I1319" s="48">
        <f>IFERROR(MINUS(DIVIDE(VLOOKUP($B1319,Data!$B$3:$EZ1530,9,FALSE),VLOOKUP($B1319,Data!$B$3:$EZ1530,10,FALSE)),1),"")</f>
        <v>0.02674307545</v>
      </c>
      <c r="J1319" s="48">
        <f>IFERROR(MINUS(DIVIDE(VLOOKUP($B1319,Data!$B$3:$EZ1530,24,FALSE),VLOOKUP($B1319,Data!$B$3:$EZ1530,25,FALSE)),1),"")</f>
        <v>-14.97862823</v>
      </c>
      <c r="K1319" s="48">
        <f>IFERROR(MINUS(DIVIDE(VLOOKUP($B1319,Data!$B$3:$EZ1530,29,FALSE),VLOOKUP($B1319,Data!$B$3:$EZ1530,30,FALSE)),1),"")</f>
        <v>0.02551020408</v>
      </c>
      <c r="L1319" s="48">
        <f>IFERROR(MINUS(DIVIDE(VLOOKUP($B1319,Data!$B$3:$EZ1530,34,FALSE),VLOOKUP($B1319,Data!$B$3:$EZ1530,35,FALSE)),1),"")</f>
        <v>0.03846153846</v>
      </c>
      <c r="M1319" s="48">
        <f>IFERROR(MINUS(DIVIDE(VLOOKUP($B1319,Data!$B$3:$EZ1530,39,FALSE),VLOOKUP($B1319,Data!$B$3:$EZ1530,40,FALSE)),1),"")</f>
        <v>0.1678321678</v>
      </c>
      <c r="N1319" s="48">
        <f>IFERROR(MINUS(DIVIDE(VLOOKUP($B1319,Data!$B$3:$EZ1530,44,FALSE),VLOOKUP($B1319,Data!$B$3:$EZ1530,45,FALSE)),1),"")</f>
        <v>0.1157407407</v>
      </c>
      <c r="O1319" s="50">
        <f>IFERROR(VLOOKUP($B1319,Data!$B$3:$D1530,2,FALSE),"")</f>
        <v>51730000</v>
      </c>
      <c r="P1319" s="50">
        <f>IFERROR(VLOOKUP($B1319,Data!$B$3:$D1530,3,FALSE),"")</f>
        <v>53260000</v>
      </c>
      <c r="Q1319" s="48">
        <f t="shared" si="2"/>
        <v>-0.02872699962</v>
      </c>
      <c r="R1319" s="48"/>
      <c r="S1319" s="48"/>
      <c r="T1319" s="48"/>
      <c r="U1319" s="48"/>
      <c r="V1319" s="48"/>
      <c r="W1319" s="50"/>
      <c r="Z1319" s="15"/>
      <c r="AA1319" s="15"/>
    </row>
    <row r="1320">
      <c r="A1320" s="9">
        <f t="shared" si="1"/>
        <v>1317</v>
      </c>
      <c r="B1320" s="47" t="s">
        <v>1454</v>
      </c>
      <c r="C1320" s="48">
        <f>IFERROR(DIVIDE(VLOOKUP($B1320,Data!$B$3:$AB$1535,9,FALSE),VLOOKUP($B1320,Data!$B$3:$AB$1535,4,FALSE)),"")</f>
        <v>0.2320261438</v>
      </c>
      <c r="D1320" s="48">
        <f>IFERROR(DIVIDE(VLOOKUP($B1320,Data!$B$3:$AB$1535,24,FALSE),VLOOKUP($B1320,Data!$B$3:$AB$1535,4,FALSE)),"")</f>
        <v>0.01077614379</v>
      </c>
      <c r="E1320" s="48">
        <f>IFERROR(DIVIDE(VLOOKUP($B1320,Data!$B$3:$EZ1530,29,FALSE),VLOOKUP($B1320,Data!$B$3:$EZ1530,4,FALSE)),"")</f>
        <v>0.006178104575</v>
      </c>
      <c r="F1320" s="48">
        <f>IFERROR(DIVIDE(VLOOKUP($B1320,Data!$B$3:$EZ1530,34,FALSE),VLOOKUP($B1320,Data!$B$3:$EZ1530,4,FALSE)),"")</f>
        <v>0.02714379085</v>
      </c>
      <c r="G1320" s="48">
        <f>IFERROR(DIVIDE(VLOOKUP($B1320,Data!$B$3:$EZ1530,39,FALSE),VLOOKUP($B1320,Data!$B$3:$EZ1530,4,FALSE)),"")</f>
        <v>0.005235294118</v>
      </c>
      <c r="H1320" s="48">
        <f>IFERROR(DIVIDE(VLOOKUP($B1320,Data!$B$3:$EZ1530,44,FALSE),VLOOKUP($B1320,Data!$B$3:$EZ1530,4,FALSE)),"")</f>
        <v>0.0134754902</v>
      </c>
      <c r="I1320" s="48">
        <f>IFERROR(MINUS(DIVIDE(VLOOKUP($B1320,Data!$B$3:$EZ1530,9,FALSE),VLOOKUP($B1320,Data!$B$3:$EZ1530,10,FALSE)),1),"")</f>
        <v>0.04411764706</v>
      </c>
      <c r="J1320" s="48" t="str">
        <f>IFERROR(MINUS(DIVIDE(VLOOKUP($B1320,Data!$B$3:$EZ1530,24,FALSE),VLOOKUP($B1320,Data!$B$3:$EZ1530,25,FALSE)),1),"")</f>
        <v/>
      </c>
      <c r="K1320" s="48">
        <f>IFERROR(MINUS(DIVIDE(VLOOKUP($B1320,Data!$B$3:$EZ1530,29,FALSE),VLOOKUP($B1320,Data!$B$3:$EZ1530,30,FALSE)),1),"")</f>
        <v>-9.691954023</v>
      </c>
      <c r="L1320" s="48">
        <f>IFERROR(MINUS(DIVIDE(VLOOKUP($B1320,Data!$B$3:$EZ1530,34,FALSE),VLOOKUP($B1320,Data!$B$3:$EZ1530,35,FALSE)),1),"")</f>
        <v>0.51155596</v>
      </c>
      <c r="M1320" s="48">
        <f>IFERROR(MINUS(DIVIDE(VLOOKUP($B1320,Data!$B$3:$EZ1530,39,FALSE),VLOOKUP($B1320,Data!$B$3:$EZ1530,40,FALSE)),1),"")</f>
        <v>-12.44285714</v>
      </c>
      <c r="N1320" s="48">
        <f>IFERROR(MINUS(DIVIDE(VLOOKUP($B1320,Data!$B$3:$EZ1530,44,FALSE),VLOOKUP($B1320,Data!$B$3:$EZ1530,45,FALSE)),1),"")</f>
        <v>0.01053792427</v>
      </c>
      <c r="O1320" s="50">
        <f>IFERROR(VLOOKUP($B1320,Data!$B$3:$D1530,2,FALSE),"")</f>
        <v>5250000</v>
      </c>
      <c r="P1320" s="50">
        <f>IFERROR(VLOOKUP($B1320,Data!$B$3:$D1530,3,FALSE),"")</f>
        <v>4720000</v>
      </c>
      <c r="Q1320" s="48">
        <f t="shared" si="2"/>
        <v>0.1122881356</v>
      </c>
      <c r="R1320" s="48"/>
      <c r="S1320" s="48"/>
      <c r="T1320" s="48"/>
      <c r="U1320" s="48"/>
      <c r="V1320" s="48"/>
      <c r="W1320" s="50"/>
      <c r="Z1320" s="11"/>
      <c r="AA1320" s="11"/>
    </row>
    <row r="1321">
      <c r="A1321" s="9">
        <f t="shared" si="1"/>
        <v>1318</v>
      </c>
      <c r="B1321" s="47" t="s">
        <v>1455</v>
      </c>
      <c r="C1321" s="48">
        <f>IFERROR(DIVIDE(VLOOKUP($B1321,Data!$B$3:$AB$1535,9,FALSE),VLOOKUP($B1321,Data!$B$3:$AB$1535,4,FALSE)),"")</f>
        <v>0.1487474413</v>
      </c>
      <c r="D1321" s="48">
        <f>IFERROR(DIVIDE(VLOOKUP($B1321,Data!$B$3:$AB$1535,24,FALSE),VLOOKUP($B1321,Data!$B$3:$AB$1535,4,FALSE)),"")</f>
        <v>-0.1863339507</v>
      </c>
      <c r="E1321" s="48">
        <f>IFERROR(DIVIDE(VLOOKUP($B1321,Data!$B$3:$EZ1530,29,FALSE),VLOOKUP($B1321,Data!$B$3:$EZ1530,4,FALSE)),"")</f>
        <v>-0.2220684277</v>
      </c>
      <c r="F1321" s="48">
        <f>IFERROR(DIVIDE(VLOOKUP($B1321,Data!$B$3:$EZ1530,34,FALSE),VLOOKUP($B1321,Data!$B$3:$EZ1530,4,FALSE)),"")</f>
        <v>0.1551613218</v>
      </c>
      <c r="G1321" s="48">
        <f>IFERROR(DIVIDE(VLOOKUP($B1321,Data!$B$3:$EZ1530,39,FALSE),VLOOKUP($B1321,Data!$B$3:$EZ1530,4,FALSE)),"")</f>
        <v>-0.2306072717</v>
      </c>
      <c r="H1321" s="48">
        <f>IFERROR(DIVIDE(VLOOKUP($B1321,Data!$B$3:$EZ1530,44,FALSE),VLOOKUP($B1321,Data!$B$3:$EZ1530,4,FALSE)),"")</f>
        <v>0.1323520811</v>
      </c>
      <c r="I1321" s="48">
        <f>IFERROR(MINUS(DIVIDE(VLOOKUP($B1321,Data!$B$3:$EZ1530,9,FALSE),VLOOKUP($B1321,Data!$B$3:$EZ1530,10,FALSE)),1),"")</f>
        <v>-0.2211106574</v>
      </c>
      <c r="J1321" s="48">
        <f>IFERROR(MINUS(DIVIDE(VLOOKUP($B1321,Data!$B$3:$EZ1530,24,FALSE),VLOOKUP($B1321,Data!$B$3:$EZ1530,25,FALSE)),1),"")</f>
        <v>-3.609336609</v>
      </c>
      <c r="K1321" s="48">
        <f>IFERROR(MINUS(DIVIDE(VLOOKUP($B1321,Data!$B$3:$EZ1530,29,FALSE),VLOOKUP($B1321,Data!$B$3:$EZ1530,30,FALSE)),1),"")</f>
        <v>-5.446135831</v>
      </c>
      <c r="L1321" s="48">
        <f>IFERROR(MINUS(DIVIDE(VLOOKUP($B1321,Data!$B$3:$EZ1530,34,FALSE),VLOOKUP($B1321,Data!$B$3:$EZ1530,35,FALSE)),1),"")</f>
        <v>0.2075557579</v>
      </c>
      <c r="M1321" s="48">
        <f>IFERROR(MINUS(DIVIDE(VLOOKUP($B1321,Data!$B$3:$EZ1530,39,FALSE),VLOOKUP($B1321,Data!$B$3:$EZ1530,40,FALSE)),1),"")</f>
        <v>-7.238924051</v>
      </c>
      <c r="N1321" s="48">
        <f>IFERROR(MINUS(DIVIDE(VLOOKUP($B1321,Data!$B$3:$EZ1530,44,FALSE),VLOOKUP($B1321,Data!$B$3:$EZ1530,45,FALSE)),1),"")</f>
        <v>0.09801067443</v>
      </c>
      <c r="O1321" s="50">
        <f>IFERROR(VLOOKUP($B1321,Data!$B$3:$D1530,2,FALSE),"")</f>
        <v>507100</v>
      </c>
      <c r="P1321" s="50">
        <f>IFERROR(VLOOKUP($B1321,Data!$B$3:$D1530,3,FALSE),"")</f>
        <v>484810</v>
      </c>
      <c r="Q1321" s="48">
        <f t="shared" si="2"/>
        <v>0.04597677441</v>
      </c>
      <c r="R1321" s="48"/>
      <c r="S1321" s="48"/>
      <c r="T1321" s="48"/>
      <c r="U1321" s="48"/>
      <c r="V1321" s="48"/>
      <c r="W1321" s="50"/>
      <c r="Z1321" s="15"/>
      <c r="AA1321" s="15"/>
    </row>
    <row r="1322">
      <c r="A1322" s="9">
        <f t="shared" si="1"/>
        <v>1319</v>
      </c>
      <c r="B1322" s="47" t="s">
        <v>1456</v>
      </c>
      <c r="C1322" s="48">
        <f>IFERROR(DIVIDE(VLOOKUP($B1322,Data!$B$3:$AB$1535,9,FALSE),VLOOKUP($B1322,Data!$B$3:$AB$1535,4,FALSE)),"")</f>
        <v>0.3780718336</v>
      </c>
      <c r="D1322" s="48">
        <f>IFERROR(DIVIDE(VLOOKUP($B1322,Data!$B$3:$AB$1535,24,FALSE),VLOOKUP($B1322,Data!$B$3:$AB$1535,4,FALSE)),"")</f>
        <v>0.0724952741</v>
      </c>
      <c r="E1322" s="48">
        <f>IFERROR(DIVIDE(VLOOKUP($B1322,Data!$B$3:$EZ1530,29,FALSE),VLOOKUP($B1322,Data!$B$3:$EZ1530,4,FALSE)),"")</f>
        <v>0.04535916824</v>
      </c>
      <c r="F1322" s="48">
        <f>IFERROR(DIVIDE(VLOOKUP($B1322,Data!$B$3:$EZ1530,34,FALSE),VLOOKUP($B1322,Data!$B$3:$EZ1530,4,FALSE)),"")</f>
        <v>0.2230623819</v>
      </c>
      <c r="G1322" s="48">
        <f>IFERROR(DIVIDE(VLOOKUP($B1322,Data!$B$3:$EZ1530,39,FALSE),VLOOKUP($B1322,Data!$B$3:$EZ1530,4,FALSE)),"")</f>
        <v>0.02284499055</v>
      </c>
      <c r="H1322" s="48">
        <f>IFERROR(DIVIDE(VLOOKUP($B1322,Data!$B$3:$EZ1530,44,FALSE),VLOOKUP($B1322,Data!$B$3:$EZ1530,4,FALSE)),"")</f>
        <v>0.179584121</v>
      </c>
      <c r="I1322" s="48">
        <f>IFERROR(MINUS(DIVIDE(VLOOKUP($B1322,Data!$B$3:$EZ1530,9,FALSE),VLOOKUP($B1322,Data!$B$3:$EZ1530,10,FALSE)),1),"")</f>
        <v>-0.0171990172</v>
      </c>
      <c r="J1322" s="48">
        <f>IFERROR(MINUS(DIVIDE(VLOOKUP($B1322,Data!$B$3:$EZ1530,24,FALSE),VLOOKUP($B1322,Data!$B$3:$EZ1530,25,FALSE)),1),"")</f>
        <v>-0.5265432099</v>
      </c>
      <c r="K1322" s="48">
        <f>IFERROR(MINUS(DIVIDE(VLOOKUP($B1322,Data!$B$3:$EZ1530,29,FALSE),VLOOKUP($B1322,Data!$B$3:$EZ1530,30,FALSE)),1),"")</f>
        <v>-0.6471323529</v>
      </c>
      <c r="L1322" s="48">
        <f>IFERROR(MINUS(DIVIDE(VLOOKUP($B1322,Data!$B$3:$EZ1530,34,FALSE),VLOOKUP($B1322,Data!$B$3:$EZ1530,35,FALSE)),1),"")</f>
        <v>0.004255319149</v>
      </c>
      <c r="M1322" s="48">
        <f>IFERROR(MINUS(DIVIDE(VLOOKUP($B1322,Data!$B$3:$EZ1530,39,FALSE),VLOOKUP($B1322,Data!$B$3:$EZ1530,40,FALSE)),1),"")</f>
        <v>-0.7841964286</v>
      </c>
      <c r="N1322" s="48">
        <f>IFERROR(MINUS(DIVIDE(VLOOKUP($B1322,Data!$B$3:$EZ1530,44,FALSE),VLOOKUP($B1322,Data!$B$3:$EZ1530,45,FALSE)),1),"")</f>
        <v>-0.1845493562</v>
      </c>
      <c r="O1322" s="50">
        <f>IFERROR(VLOOKUP($B1322,Data!$B$3:$D1530,2,FALSE),"")</f>
        <v>9960000</v>
      </c>
      <c r="P1322" s="50">
        <f>IFERROR(VLOOKUP($B1322,Data!$B$3:$D1530,3,FALSE),"")</f>
        <v>9640000</v>
      </c>
      <c r="Q1322" s="48">
        <f t="shared" si="2"/>
        <v>0.03319502075</v>
      </c>
      <c r="R1322" s="48"/>
      <c r="S1322" s="48"/>
      <c r="T1322" s="48"/>
      <c r="U1322" s="48"/>
      <c r="V1322" s="48"/>
      <c r="W1322" s="50"/>
      <c r="Z1322" s="15"/>
      <c r="AA1322" s="15"/>
    </row>
    <row r="1323">
      <c r="A1323" s="9">
        <f t="shared" si="1"/>
        <v>1320</v>
      </c>
      <c r="B1323" s="47" t="s">
        <v>1457</v>
      </c>
      <c r="C1323" s="48">
        <f>IFERROR(DIVIDE(VLOOKUP($B1323,Data!$B$3:$AB$1535,9,FALSE),VLOOKUP($B1323,Data!$B$3:$AB$1535,4,FALSE)),"")</f>
        <v>0.6199575042</v>
      </c>
      <c r="D1323" s="48">
        <f>IFERROR(DIVIDE(VLOOKUP($B1323,Data!$B$3:$AB$1535,24,FALSE),VLOOKUP($B1323,Data!$B$3:$AB$1535,4,FALSE)),"")</f>
        <v>0</v>
      </c>
      <c r="E1323" s="48">
        <f>IFERROR(DIVIDE(VLOOKUP($B1323,Data!$B$3:$EZ1530,29,FALSE),VLOOKUP($B1323,Data!$B$3:$EZ1530,4,FALSE)),"")</f>
        <v>0.46224235</v>
      </c>
      <c r="F1323" s="48">
        <f>IFERROR(DIVIDE(VLOOKUP($B1323,Data!$B$3:$EZ1530,34,FALSE),VLOOKUP($B1323,Data!$B$3:$EZ1530,4,FALSE)),"")</f>
        <v>0.4155280177</v>
      </c>
      <c r="G1323" s="48">
        <f>IFERROR(DIVIDE(VLOOKUP($B1323,Data!$B$3:$EZ1530,39,FALSE),VLOOKUP($B1323,Data!$B$3:$EZ1530,4,FALSE)),"")</f>
        <v>0.3788017433</v>
      </c>
      <c r="H1323" s="48">
        <f>IFERROR(DIVIDE(VLOOKUP($B1323,Data!$B$3:$EZ1530,44,FALSE),VLOOKUP($B1323,Data!$B$3:$EZ1530,4,FALSE)),"")</f>
        <v>0.4186764273</v>
      </c>
      <c r="I1323" s="48">
        <f>IFERROR(MINUS(DIVIDE(VLOOKUP($B1323,Data!$B$3:$EZ1530,9,FALSE),VLOOKUP($B1323,Data!$B$3:$EZ1530,10,FALSE)),1),"")</f>
        <v>-0.1031813695</v>
      </c>
      <c r="J1323" s="48">
        <f>IFERROR(MINUS(DIVIDE(VLOOKUP($B1323,Data!$B$3:$EZ1530,24,FALSE),VLOOKUP($B1323,Data!$B$3:$EZ1530,25,FALSE)),1),"")</f>
        <v>-1</v>
      </c>
      <c r="K1323" s="48">
        <f>IFERROR(MINUS(DIVIDE(VLOOKUP($B1323,Data!$B$3:$EZ1530,29,FALSE),VLOOKUP($B1323,Data!$B$3:$EZ1530,30,FALSE)),1),"")</f>
        <v>-0.1648031386</v>
      </c>
      <c r="L1323" s="48">
        <f>IFERROR(MINUS(DIVIDE(VLOOKUP($B1323,Data!$B$3:$EZ1530,34,FALSE),VLOOKUP($B1323,Data!$B$3:$EZ1530,35,FALSE)),1),"")</f>
        <v>-0.1388254958</v>
      </c>
      <c r="M1323" s="48">
        <f>IFERROR(MINUS(DIVIDE(VLOOKUP($B1323,Data!$B$3:$EZ1530,39,FALSE),VLOOKUP($B1323,Data!$B$3:$EZ1530,40,FALSE)),1),"")</f>
        <v>-0.1332245014</v>
      </c>
      <c r="N1323" s="48">
        <f>IFERROR(MINUS(DIVIDE(VLOOKUP($B1323,Data!$B$3:$EZ1530,44,FALSE),VLOOKUP($B1323,Data!$B$3:$EZ1530,45,FALSE)),1),"")</f>
        <v>-0.1662291133</v>
      </c>
      <c r="O1323" s="50" t="str">
        <f>IFERROR(VLOOKUP($B1323,Data!$B$3:$D1530,2,FALSE),"")</f>
        <v/>
      </c>
      <c r="P1323" s="50">
        <f>IFERROR(VLOOKUP($B1323,Data!$B$3:$D1530,3,FALSE),"")</f>
        <v>686340</v>
      </c>
      <c r="Q1323" s="48">
        <f t="shared" si="2"/>
        <v>-1</v>
      </c>
      <c r="R1323" s="48"/>
      <c r="S1323" s="48"/>
      <c r="T1323" s="48"/>
      <c r="U1323" s="48"/>
      <c r="V1323" s="48"/>
      <c r="W1323" s="50"/>
      <c r="Z1323" s="15"/>
      <c r="AA1323" s="15"/>
    </row>
    <row r="1324">
      <c r="A1324" s="9">
        <f t="shared" si="1"/>
        <v>1321</v>
      </c>
      <c r="B1324" s="47" t="s">
        <v>1458</v>
      </c>
      <c r="C1324" s="48">
        <f>IFERROR(DIVIDE(VLOOKUP($B1324,Data!$B$3:$AB$1535,9,FALSE),VLOOKUP($B1324,Data!$B$3:$AB$1535,4,FALSE)),"")</f>
        <v>0.09337671233</v>
      </c>
      <c r="D1324" s="48">
        <f>IFERROR(DIVIDE(VLOOKUP($B1324,Data!$B$3:$AB$1535,24,FALSE),VLOOKUP($B1324,Data!$B$3:$AB$1535,4,FALSE)),"")</f>
        <v>-0.01095205479</v>
      </c>
      <c r="E1324" s="48">
        <f>IFERROR(DIVIDE(VLOOKUP($B1324,Data!$B$3:$EZ1530,29,FALSE),VLOOKUP($B1324,Data!$B$3:$EZ1530,4,FALSE)),"")</f>
        <v>-0.03016438356</v>
      </c>
      <c r="F1324" s="48">
        <f>IFERROR(DIVIDE(VLOOKUP($B1324,Data!$B$3:$EZ1530,34,FALSE),VLOOKUP($B1324,Data!$B$3:$EZ1530,4,FALSE)),"")</f>
        <v>0.05371232877</v>
      </c>
      <c r="G1324" s="48">
        <f>IFERROR(DIVIDE(VLOOKUP($B1324,Data!$B$3:$EZ1530,39,FALSE),VLOOKUP($B1324,Data!$B$3:$EZ1530,4,FALSE)),"")</f>
        <v>-0.0218630137</v>
      </c>
      <c r="H1324" s="48">
        <f>IFERROR(DIVIDE(VLOOKUP($B1324,Data!$B$3:$EZ1530,44,FALSE),VLOOKUP($B1324,Data!$B$3:$EZ1530,4,FALSE)),"")</f>
        <v>0.0333630137</v>
      </c>
      <c r="I1324" s="48">
        <f>IFERROR(MINUS(DIVIDE(VLOOKUP($B1324,Data!$B$3:$EZ1530,9,FALSE),VLOOKUP($B1324,Data!$B$3:$EZ1530,10,FALSE)),1),"")</f>
        <v>-0.1003695394</v>
      </c>
      <c r="J1324" s="48">
        <f>IFERROR(MINUS(DIVIDE(VLOOKUP($B1324,Data!$B$3:$EZ1530,24,FALSE),VLOOKUP($B1324,Data!$B$3:$EZ1530,25,FALSE)),1),"")</f>
        <v>-1.479316547</v>
      </c>
      <c r="K1324" s="48">
        <f>IFERROR(MINUS(DIVIDE(VLOOKUP($B1324,Data!$B$3:$EZ1530,29,FALSE),VLOOKUP($B1324,Data!$B$3:$EZ1530,30,FALSE)),1),"")</f>
        <v>-5.426130653</v>
      </c>
      <c r="L1324" s="48">
        <f>IFERROR(MINUS(DIVIDE(VLOOKUP($B1324,Data!$B$3:$EZ1530,34,FALSE),VLOOKUP($B1324,Data!$B$3:$EZ1530,35,FALSE)),1),"")</f>
        <v>-0.1876100694</v>
      </c>
      <c r="M1324" s="48">
        <f>IFERROR(MINUS(DIVIDE(VLOOKUP($B1324,Data!$B$3:$EZ1530,39,FALSE),VLOOKUP($B1324,Data!$B$3:$EZ1530,40,FALSE)),1),"")</f>
        <v>-4.214501511</v>
      </c>
      <c r="N1324" s="48">
        <f>IFERROR(MINUS(DIVIDE(VLOOKUP($B1324,Data!$B$3:$EZ1530,44,FALSE),VLOOKUP($B1324,Data!$B$3:$EZ1530,45,FALSE)),1),"")</f>
        <v>-0.3969295531</v>
      </c>
      <c r="O1324" s="50">
        <f>IFERROR(VLOOKUP($B1324,Data!$B$3:$D1530,2,FALSE),"")</f>
        <v>1600000</v>
      </c>
      <c r="P1324" s="50">
        <f>IFERROR(VLOOKUP($B1324,Data!$B$3:$D1530,3,FALSE),"")</f>
        <v>1550000</v>
      </c>
      <c r="Q1324" s="48">
        <f t="shared" si="2"/>
        <v>0.03225806452</v>
      </c>
      <c r="R1324" s="48"/>
      <c r="S1324" s="48"/>
      <c r="T1324" s="48"/>
      <c r="U1324" s="48"/>
      <c r="V1324" s="48"/>
      <c r="W1324" s="50"/>
      <c r="Z1324" s="15"/>
      <c r="AA1324" s="15"/>
    </row>
    <row r="1325">
      <c r="A1325" s="9">
        <f t="shared" si="1"/>
        <v>1322</v>
      </c>
      <c r="B1325" s="47" t="s">
        <v>1459</v>
      </c>
      <c r="C1325" s="48" t="str">
        <f>IFERROR(DIVIDE(VLOOKUP($B1325,Data!$B$3:$AB$1535,9,FALSE),VLOOKUP($B1325,Data!$B$3:$AB$1535,4,FALSE)),"")</f>
        <v/>
      </c>
      <c r="D1325" s="48" t="str">
        <f>IFERROR(DIVIDE(VLOOKUP($B1325,Data!$B$3:$AB$1535,24,FALSE),VLOOKUP($B1325,Data!$B$3:$AB$1535,4,FALSE)),"")</f>
        <v/>
      </c>
      <c r="E1325" s="48" t="str">
        <f>IFERROR(DIVIDE(VLOOKUP($B1325,Data!$B$3:$EZ1530,29,FALSE),VLOOKUP($B1325,Data!$B$3:$EZ1530,4,FALSE)),"")</f>
        <v/>
      </c>
      <c r="F1325" s="48" t="str">
        <f>IFERROR(DIVIDE(VLOOKUP($B1325,Data!$B$3:$EZ1530,34,FALSE),VLOOKUP($B1325,Data!$B$3:$EZ1530,4,FALSE)),"")</f>
        <v/>
      </c>
      <c r="G1325" s="48" t="str">
        <f>IFERROR(DIVIDE(VLOOKUP($B1325,Data!$B$3:$EZ1530,39,FALSE),VLOOKUP($B1325,Data!$B$3:$EZ1530,4,FALSE)),"")</f>
        <v/>
      </c>
      <c r="H1325" s="48" t="str">
        <f>IFERROR(DIVIDE(VLOOKUP($B1325,Data!$B$3:$EZ1530,44,FALSE),VLOOKUP($B1325,Data!$B$3:$EZ1530,4,FALSE)),"")</f>
        <v/>
      </c>
      <c r="I1325" s="48" t="str">
        <f>IFERROR(MINUS(DIVIDE(VLOOKUP($B1325,Data!$B$3:$EZ1530,9,FALSE),VLOOKUP($B1325,Data!$B$3:$EZ1530,10,FALSE)),1),"")</f>
        <v/>
      </c>
      <c r="J1325" s="48" t="str">
        <f>IFERROR(MINUS(DIVIDE(VLOOKUP($B1325,Data!$B$3:$EZ1530,24,FALSE),VLOOKUP($B1325,Data!$B$3:$EZ1530,25,FALSE)),1),"")</f>
        <v/>
      </c>
      <c r="K1325" s="48" t="str">
        <f>IFERROR(MINUS(DIVIDE(VLOOKUP($B1325,Data!$B$3:$EZ1530,29,FALSE),VLOOKUP($B1325,Data!$B$3:$EZ1530,30,FALSE)),1),"")</f>
        <v/>
      </c>
      <c r="L1325" s="48" t="str">
        <f>IFERROR(MINUS(DIVIDE(VLOOKUP($B1325,Data!$B$3:$EZ1530,34,FALSE),VLOOKUP($B1325,Data!$B$3:$EZ1530,35,FALSE)),1),"")</f>
        <v/>
      </c>
      <c r="M1325" s="48" t="str">
        <f>IFERROR(MINUS(DIVIDE(VLOOKUP($B1325,Data!$B$3:$EZ1530,39,FALSE),VLOOKUP($B1325,Data!$B$3:$EZ1530,40,FALSE)),1),"")</f>
        <v/>
      </c>
      <c r="N1325" s="48" t="str">
        <f>IFERROR(MINUS(DIVIDE(VLOOKUP($B1325,Data!$B$3:$EZ1530,44,FALSE),VLOOKUP($B1325,Data!$B$3:$EZ1530,45,FALSE)),1),"")</f>
        <v/>
      </c>
      <c r="O1325" s="50" t="str">
        <f>IFERROR(VLOOKUP($B1325,Data!$B$3:$D1530,2,FALSE),"")</f>
        <v/>
      </c>
      <c r="P1325" s="50" t="str">
        <f>IFERROR(VLOOKUP($B1325,Data!$B$3:$D1530,3,FALSE),"")</f>
        <v/>
      </c>
      <c r="Q1325" s="48" t="str">
        <f t="shared" si="2"/>
        <v/>
      </c>
      <c r="R1325" s="48"/>
      <c r="S1325" s="48"/>
      <c r="T1325" s="48"/>
      <c r="U1325" s="48"/>
      <c r="V1325" s="48"/>
      <c r="W1325" s="50"/>
      <c r="Z1325" s="12"/>
      <c r="AA1325" s="11"/>
    </row>
    <row r="1326">
      <c r="A1326" s="9">
        <f t="shared" si="1"/>
        <v>1323</v>
      </c>
      <c r="B1326" s="47" t="s">
        <v>1460</v>
      </c>
      <c r="C1326" s="48">
        <f>IFERROR(DIVIDE(VLOOKUP($B1326,Data!$B$3:$AB$1535,9,FALSE),VLOOKUP($B1326,Data!$B$3:$AB$1535,4,FALSE)),"")</f>
        <v>0</v>
      </c>
      <c r="D1326" s="48">
        <f>IFERROR(DIVIDE(VLOOKUP($B1326,Data!$B$3:$AB$1535,24,FALSE),VLOOKUP($B1326,Data!$B$3:$AB$1535,4,FALSE)),"")</f>
        <v>-14.84230769</v>
      </c>
      <c r="E1326" s="48">
        <f>IFERROR(DIVIDE(VLOOKUP($B1326,Data!$B$3:$EZ1530,29,FALSE),VLOOKUP($B1326,Data!$B$3:$EZ1530,4,FALSE)),"")</f>
        <v>-14.58717949</v>
      </c>
      <c r="F1326" s="48">
        <f>IFERROR(DIVIDE(VLOOKUP($B1326,Data!$B$3:$EZ1530,34,FALSE),VLOOKUP($B1326,Data!$B$3:$EZ1530,4,FALSE)),"")</f>
        <v>-11.85512821</v>
      </c>
      <c r="G1326" s="48">
        <f>IFERROR(DIVIDE(VLOOKUP($B1326,Data!$B$3:$EZ1530,39,FALSE),VLOOKUP($B1326,Data!$B$3:$EZ1530,4,FALSE)),"")</f>
        <v>-14.52435897</v>
      </c>
      <c r="H1326" s="48">
        <f>IFERROR(DIVIDE(VLOOKUP($B1326,Data!$B$3:$EZ1530,44,FALSE),VLOOKUP($B1326,Data!$B$3:$EZ1530,4,FALSE)),"")</f>
        <v>-10.48589744</v>
      </c>
      <c r="I1326" s="48" t="str">
        <f>IFERROR(MINUS(DIVIDE(VLOOKUP($B1326,Data!$B$3:$EZ1530,9,FALSE),VLOOKUP($B1326,Data!$B$3:$EZ1530,10,FALSE)),1),"")</f>
        <v/>
      </c>
      <c r="J1326" s="48">
        <f>IFERROR(MINUS(DIVIDE(VLOOKUP($B1326,Data!$B$3:$EZ1530,24,FALSE),VLOOKUP($B1326,Data!$B$3:$EZ1530,25,FALSE)),1),"")</f>
        <v>0.1107166843</v>
      </c>
      <c r="K1326" s="48">
        <f>IFERROR(MINUS(DIVIDE(VLOOKUP($B1326,Data!$B$3:$EZ1530,29,FALSE),VLOOKUP($B1326,Data!$B$3:$EZ1530,30,FALSE)),1),"")</f>
        <v>0.1050893551</v>
      </c>
      <c r="L1326" s="48">
        <f>IFERROR(MINUS(DIVIDE(VLOOKUP($B1326,Data!$B$3:$EZ1530,34,FALSE),VLOOKUP($B1326,Data!$B$3:$EZ1530,35,FALSE)),1),"")</f>
        <v>0.2108157654</v>
      </c>
      <c r="M1326" s="48">
        <f>IFERROR(MINUS(DIVIDE(VLOOKUP($B1326,Data!$B$3:$EZ1530,39,FALSE),VLOOKUP($B1326,Data!$B$3:$EZ1530,40,FALSE)),1),"")</f>
        <v>0.1631416838</v>
      </c>
      <c r="N1326" s="48">
        <f>IFERROR(MINUS(DIVIDE(VLOOKUP($B1326,Data!$B$3:$EZ1530,44,FALSE),VLOOKUP($B1326,Data!$B$3:$EZ1530,45,FALSE)),1),"")</f>
        <v>2.695887935</v>
      </c>
      <c r="O1326" s="50">
        <f>IFERROR(VLOOKUP($B1326,Data!$B$3:$D1530,2,FALSE),"")</f>
        <v>49360</v>
      </c>
      <c r="P1326" s="50">
        <f>IFERROR(VLOOKUP($B1326,Data!$B$3:$D1530,3,FALSE),"")</f>
        <v>90210</v>
      </c>
      <c r="Q1326" s="48">
        <f t="shared" si="2"/>
        <v>-0.4528322802</v>
      </c>
      <c r="R1326" s="48"/>
      <c r="S1326" s="48"/>
      <c r="T1326" s="48"/>
      <c r="U1326" s="48"/>
      <c r="V1326" s="48"/>
      <c r="W1326" s="50"/>
      <c r="Z1326" s="15"/>
      <c r="AA1326" s="15"/>
    </row>
    <row r="1327">
      <c r="A1327" s="9">
        <f t="shared" si="1"/>
        <v>1324</v>
      </c>
      <c r="B1327" s="47" t="s">
        <v>1461</v>
      </c>
      <c r="C1327" s="48">
        <f>IFERROR(DIVIDE(VLOOKUP($B1327,Data!$B$3:$AB$1535,9,FALSE),VLOOKUP($B1327,Data!$B$3:$AB$1535,4,FALSE)),"")</f>
        <v>0</v>
      </c>
      <c r="D1327" s="48">
        <f>IFERROR(DIVIDE(VLOOKUP($B1327,Data!$B$3:$AB$1535,24,FALSE),VLOOKUP($B1327,Data!$B$3:$AB$1535,4,FALSE)),"")</f>
        <v>0</v>
      </c>
      <c r="E1327" s="48">
        <f>IFERROR(DIVIDE(VLOOKUP($B1327,Data!$B$3:$EZ1530,29,FALSE),VLOOKUP($B1327,Data!$B$3:$EZ1530,4,FALSE)),"")</f>
        <v>-3.292194524</v>
      </c>
      <c r="F1327" s="48">
        <f>IFERROR(DIVIDE(VLOOKUP($B1327,Data!$B$3:$EZ1530,34,FALSE),VLOOKUP($B1327,Data!$B$3:$EZ1530,4,FALSE)),"")</f>
        <v>-3.342732598</v>
      </c>
      <c r="G1327" s="48">
        <f>IFERROR(DIVIDE(VLOOKUP($B1327,Data!$B$3:$EZ1530,39,FALSE),VLOOKUP($B1327,Data!$B$3:$EZ1530,4,FALSE)),"")</f>
        <v>-3.221087045</v>
      </c>
      <c r="H1327" s="48">
        <f>IFERROR(DIVIDE(VLOOKUP($B1327,Data!$B$3:$EZ1530,44,FALSE),VLOOKUP($B1327,Data!$B$3:$EZ1530,4,FALSE)),"")</f>
        <v>-3.213186214</v>
      </c>
      <c r="I1327" s="48">
        <f>IFERROR(MINUS(DIVIDE(VLOOKUP($B1327,Data!$B$3:$EZ1530,9,FALSE),VLOOKUP($B1327,Data!$B$3:$EZ1530,10,FALSE)),1),"")</f>
        <v>-1</v>
      </c>
      <c r="J1327" s="48" t="str">
        <f>IFERROR(MINUS(DIVIDE(VLOOKUP($B1327,Data!$B$3:$EZ1530,24,FALSE),VLOOKUP($B1327,Data!$B$3:$EZ1530,25,FALSE)),1),"")</f>
        <v/>
      </c>
      <c r="K1327" s="48">
        <f>IFERROR(MINUS(DIVIDE(VLOOKUP($B1327,Data!$B$3:$EZ1530,29,FALSE),VLOOKUP($B1327,Data!$B$3:$EZ1530,30,FALSE)),1),"")</f>
        <v>0.06895484099</v>
      </c>
      <c r="L1327" s="48">
        <f>IFERROR(MINUS(DIVIDE(VLOOKUP($B1327,Data!$B$3:$EZ1530,34,FALSE),VLOOKUP($B1327,Data!$B$3:$EZ1530,35,FALSE)),1),"")</f>
        <v>0.0415976909</v>
      </c>
      <c r="M1327" s="48">
        <f>IFERROR(MINUS(DIVIDE(VLOOKUP($B1327,Data!$B$3:$EZ1530,39,FALSE),VLOOKUP($B1327,Data!$B$3:$EZ1530,40,FALSE)),1),"")</f>
        <v>0.09716035635</v>
      </c>
      <c r="N1327" s="48">
        <f>IFERROR(MINUS(DIVIDE(VLOOKUP($B1327,Data!$B$3:$EZ1530,44,FALSE),VLOOKUP($B1327,Data!$B$3:$EZ1530,45,FALSE)),1),"")</f>
        <v>1.089837867</v>
      </c>
      <c r="O1327" s="50">
        <f>IFERROR(VLOOKUP($B1327,Data!$B$3:$D1530,2,FALSE),"")</f>
        <v>141280</v>
      </c>
      <c r="P1327" s="50">
        <f>IFERROR(VLOOKUP($B1327,Data!$B$3:$D1530,3,FALSE),"")</f>
        <v>86420</v>
      </c>
      <c r="Q1327" s="48">
        <f t="shared" si="2"/>
        <v>0.6348067577</v>
      </c>
      <c r="R1327" s="48"/>
      <c r="S1327" s="48"/>
      <c r="T1327" s="48"/>
      <c r="U1327" s="48"/>
      <c r="V1327" s="48"/>
      <c r="W1327" s="50"/>
      <c r="Z1327" s="12"/>
      <c r="AA1327" s="12"/>
    </row>
    <row r="1328">
      <c r="A1328" s="9">
        <f t="shared" si="1"/>
        <v>1325</v>
      </c>
      <c r="B1328" s="47" t="s">
        <v>1462</v>
      </c>
      <c r="C1328" s="48" t="str">
        <f>IFERROR(DIVIDE(VLOOKUP($B1328,Data!$B$3:$AB$1535,9,FALSE),VLOOKUP($B1328,Data!$B$3:$AB$1535,4,FALSE)),"")</f>
        <v/>
      </c>
      <c r="D1328" s="48" t="str">
        <f>IFERROR(DIVIDE(VLOOKUP($B1328,Data!$B$3:$AB$1535,24,FALSE),VLOOKUP($B1328,Data!$B$3:$AB$1535,4,FALSE)),"")</f>
        <v/>
      </c>
      <c r="E1328" s="48" t="str">
        <f>IFERROR(DIVIDE(VLOOKUP($B1328,Data!$B$3:$EZ1530,29,FALSE),VLOOKUP($B1328,Data!$B$3:$EZ1530,4,FALSE)),"")</f>
        <v/>
      </c>
      <c r="F1328" s="48" t="str">
        <f>IFERROR(DIVIDE(VLOOKUP($B1328,Data!$B$3:$EZ1530,34,FALSE),VLOOKUP($B1328,Data!$B$3:$EZ1530,4,FALSE)),"")</f>
        <v/>
      </c>
      <c r="G1328" s="48" t="str">
        <f>IFERROR(DIVIDE(VLOOKUP($B1328,Data!$B$3:$EZ1530,39,FALSE),VLOOKUP($B1328,Data!$B$3:$EZ1530,4,FALSE)),"")</f>
        <v/>
      </c>
      <c r="H1328" s="48" t="str">
        <f>IFERROR(DIVIDE(VLOOKUP($B1328,Data!$B$3:$EZ1530,44,FALSE),VLOOKUP($B1328,Data!$B$3:$EZ1530,4,FALSE)),"")</f>
        <v/>
      </c>
      <c r="I1328" s="48">
        <f>IFERROR(MINUS(DIVIDE(VLOOKUP($B1328,Data!$B$3:$EZ1530,9,FALSE),VLOOKUP($B1328,Data!$B$3:$EZ1530,10,FALSE)),1),"")</f>
        <v>1.783171521</v>
      </c>
      <c r="J1328" s="48" t="str">
        <f>IFERROR(MINUS(DIVIDE(VLOOKUP($B1328,Data!$B$3:$EZ1530,24,FALSE),VLOOKUP($B1328,Data!$B$3:$EZ1530,25,FALSE)),1),"")</f>
        <v/>
      </c>
      <c r="K1328" s="48">
        <f>IFERROR(MINUS(DIVIDE(VLOOKUP($B1328,Data!$B$3:$EZ1530,29,FALSE),VLOOKUP($B1328,Data!$B$3:$EZ1530,30,FALSE)),1),"")</f>
        <v>0.720747009</v>
      </c>
      <c r="L1328" s="48">
        <f>IFERROR(MINUS(DIVIDE(VLOOKUP($B1328,Data!$B$3:$EZ1530,34,FALSE),VLOOKUP($B1328,Data!$B$3:$EZ1530,35,FALSE)),1),"")</f>
        <v>0.719751408</v>
      </c>
      <c r="M1328" s="48">
        <f>IFERROR(MINUS(DIVIDE(VLOOKUP($B1328,Data!$B$3:$EZ1530,39,FALSE),VLOOKUP($B1328,Data!$B$3:$EZ1530,40,FALSE)),1),"")</f>
        <v>0.719774341</v>
      </c>
      <c r="N1328" s="48">
        <f>IFERROR(MINUS(DIVIDE(VLOOKUP($B1328,Data!$B$3:$EZ1530,44,FALSE),VLOOKUP($B1328,Data!$B$3:$EZ1530,45,FALSE)),1),"")</f>
        <v>0.3586337761</v>
      </c>
      <c r="O1328" s="50">
        <f>IFERROR(VLOOKUP($B1328,Data!$B$3:$D1530,2,FALSE),"")</f>
        <v>26510</v>
      </c>
      <c r="P1328" s="50" t="str">
        <f>IFERROR(VLOOKUP($B1328,Data!$B$3:$D1530,3,FALSE),"")</f>
        <v/>
      </c>
      <c r="Q1328" s="48" t="str">
        <f t="shared" si="2"/>
        <v/>
      </c>
      <c r="R1328" s="48"/>
      <c r="S1328" s="48"/>
      <c r="T1328" s="48"/>
      <c r="U1328" s="48"/>
      <c r="V1328" s="48"/>
      <c r="W1328" s="50"/>
      <c r="Z1328" s="11"/>
      <c r="AA1328" s="11"/>
    </row>
    <row r="1329">
      <c r="A1329" s="9">
        <f t="shared" si="1"/>
        <v>1326</v>
      </c>
      <c r="B1329" s="47" t="s">
        <v>1463</v>
      </c>
      <c r="C1329" s="48" t="str">
        <f>IFERROR(DIVIDE(VLOOKUP($B1329,Data!$B$3:$AB$1535,9,FALSE),VLOOKUP($B1329,Data!$B$3:$AB$1535,4,FALSE)),"")</f>
        <v/>
      </c>
      <c r="D1329" s="48" t="str">
        <f>IFERROR(DIVIDE(VLOOKUP($B1329,Data!$B$3:$AB$1535,24,FALSE),VLOOKUP($B1329,Data!$B$3:$AB$1535,4,FALSE)),"")</f>
        <v/>
      </c>
      <c r="E1329" s="48" t="str">
        <f>IFERROR(DIVIDE(VLOOKUP($B1329,Data!$B$3:$EZ1530,29,FALSE),VLOOKUP($B1329,Data!$B$3:$EZ1530,4,FALSE)),"")</f>
        <v/>
      </c>
      <c r="F1329" s="48" t="str">
        <f>IFERROR(DIVIDE(VLOOKUP($B1329,Data!$B$3:$EZ1530,34,FALSE),VLOOKUP($B1329,Data!$B$3:$EZ1530,4,FALSE)),"")</f>
        <v/>
      </c>
      <c r="G1329" s="48" t="str">
        <f>IFERROR(DIVIDE(VLOOKUP($B1329,Data!$B$3:$EZ1530,39,FALSE),VLOOKUP($B1329,Data!$B$3:$EZ1530,4,FALSE)),"")</f>
        <v/>
      </c>
      <c r="H1329" s="48" t="str">
        <f>IFERROR(DIVIDE(VLOOKUP($B1329,Data!$B$3:$EZ1530,44,FALSE),VLOOKUP($B1329,Data!$B$3:$EZ1530,4,FALSE)),"")</f>
        <v/>
      </c>
      <c r="I1329" s="48">
        <f>IFERROR(MINUS(DIVIDE(VLOOKUP($B1329,Data!$B$3:$EZ1530,9,FALSE),VLOOKUP($B1329,Data!$B$3:$EZ1530,10,FALSE)),1),"")</f>
        <v>1.057279236</v>
      </c>
      <c r="J1329" s="48" t="str">
        <f>IFERROR(MINUS(DIVIDE(VLOOKUP($B1329,Data!$B$3:$EZ1530,24,FALSE),VLOOKUP($B1329,Data!$B$3:$EZ1530,25,FALSE)),1),"")</f>
        <v/>
      </c>
      <c r="K1329" s="48">
        <f>IFERROR(MINUS(DIVIDE(VLOOKUP($B1329,Data!$B$3:$EZ1530,29,FALSE),VLOOKUP($B1329,Data!$B$3:$EZ1530,30,FALSE)),1),"")</f>
        <v>0.9587628866</v>
      </c>
      <c r="L1329" s="48">
        <f>IFERROR(MINUS(DIVIDE(VLOOKUP($B1329,Data!$B$3:$EZ1530,34,FALSE),VLOOKUP($B1329,Data!$B$3:$EZ1530,35,FALSE)),1),"")</f>
        <v>0.9408374952</v>
      </c>
      <c r="M1329" s="48">
        <f>IFERROR(MINUS(DIVIDE(VLOOKUP($B1329,Data!$B$3:$EZ1530,39,FALSE),VLOOKUP($B1329,Data!$B$3:$EZ1530,40,FALSE)),1),"")</f>
        <v>0.9628865979</v>
      </c>
      <c r="N1329" s="48">
        <f>IFERROR(MINUS(DIVIDE(VLOOKUP($B1329,Data!$B$3:$EZ1530,44,FALSE),VLOOKUP($B1329,Data!$B$3:$EZ1530,45,FALSE)),1),"")</f>
        <v>1.202342918</v>
      </c>
      <c r="O1329" s="50" t="str">
        <f>IFERROR(VLOOKUP($B1329,Data!$B$3:$D1530,2,FALSE),"")</f>
        <v/>
      </c>
      <c r="P1329" s="50" t="str">
        <f>IFERROR(VLOOKUP($B1329,Data!$B$3:$D1530,3,FALSE),"")</f>
        <v/>
      </c>
      <c r="Q1329" s="48" t="str">
        <f t="shared" si="2"/>
        <v/>
      </c>
      <c r="R1329" s="48"/>
      <c r="S1329" s="48"/>
      <c r="T1329" s="48"/>
      <c r="U1329" s="48"/>
      <c r="V1329" s="48"/>
      <c r="W1329" s="50"/>
      <c r="Z1329" s="11"/>
      <c r="AA1329" s="11"/>
    </row>
    <row r="1330">
      <c r="A1330" s="9">
        <f t="shared" si="1"/>
        <v>1327</v>
      </c>
      <c r="B1330" s="47" t="s">
        <v>1464</v>
      </c>
      <c r="C1330" s="48">
        <f>IFERROR(DIVIDE(VLOOKUP($B1330,Data!$B$3:$AB$1535,9,FALSE),VLOOKUP($B1330,Data!$B$3:$AB$1535,4,FALSE)),"")</f>
        <v>0.5386101861</v>
      </c>
      <c r="D1330" s="48">
        <f>IFERROR(DIVIDE(VLOOKUP($B1330,Data!$B$3:$AB$1535,24,FALSE),VLOOKUP($B1330,Data!$B$3:$AB$1535,4,FALSE)),"")</f>
        <v>0</v>
      </c>
      <c r="E1330" s="48">
        <f>IFERROR(DIVIDE(VLOOKUP($B1330,Data!$B$3:$EZ1530,29,FALSE),VLOOKUP($B1330,Data!$B$3:$EZ1530,4,FALSE)),"")</f>
        <v>0.0231453682</v>
      </c>
      <c r="F1330" s="48">
        <f>IFERROR(DIVIDE(VLOOKUP($B1330,Data!$B$3:$EZ1530,34,FALSE),VLOOKUP($B1330,Data!$B$3:$EZ1530,4,FALSE)),"")</f>
        <v>0.09603144276</v>
      </c>
      <c r="G1330" s="48">
        <f>IFERROR(DIVIDE(VLOOKUP($B1330,Data!$B$3:$EZ1530,39,FALSE),VLOOKUP($B1330,Data!$B$3:$EZ1530,4,FALSE)),"")</f>
        <v>0.01581964081</v>
      </c>
      <c r="H1330" s="48">
        <f>IFERROR(DIVIDE(VLOOKUP($B1330,Data!$B$3:$EZ1530,44,FALSE),VLOOKUP($B1330,Data!$B$3:$EZ1530,4,FALSE)),"")</f>
        <v>0.03357170151</v>
      </c>
      <c r="I1330" s="48">
        <f>IFERROR(MINUS(DIVIDE(VLOOKUP($B1330,Data!$B$3:$EZ1530,9,FALSE),VLOOKUP($B1330,Data!$B$3:$EZ1530,10,FALSE)),1),"")</f>
        <v>0.01499845695</v>
      </c>
      <c r="J1330" s="48">
        <f>IFERROR(MINUS(DIVIDE(VLOOKUP($B1330,Data!$B$3:$EZ1530,24,FALSE),VLOOKUP($B1330,Data!$B$3:$EZ1530,25,FALSE)),1),"")</f>
        <v>-1</v>
      </c>
      <c r="K1330" s="48">
        <f>IFERROR(MINUS(DIVIDE(VLOOKUP($B1330,Data!$B$3:$EZ1530,29,FALSE),VLOOKUP($B1330,Data!$B$3:$EZ1530,30,FALSE)),1),"")</f>
        <v>-0.03460837887</v>
      </c>
      <c r="L1330" s="48">
        <f>IFERROR(MINUS(DIVIDE(VLOOKUP($B1330,Data!$B$3:$EZ1530,34,FALSE),VLOOKUP($B1330,Data!$B$3:$EZ1530,35,FALSE)),1),"")</f>
        <v>-0.05935194097</v>
      </c>
      <c r="M1330" s="48">
        <f>IFERROR(MINUS(DIVIDE(VLOOKUP($B1330,Data!$B$3:$EZ1530,39,FALSE),VLOOKUP($B1330,Data!$B$3:$EZ1530,40,FALSE)),1),"")</f>
        <v>-0.3316420664</v>
      </c>
      <c r="N1330" s="48">
        <f>IFERROR(MINUS(DIVIDE(VLOOKUP($B1330,Data!$B$3:$EZ1530,44,FALSE),VLOOKUP($B1330,Data!$B$3:$EZ1530,45,FALSE)),1),"")</f>
        <v>-0.4398907104</v>
      </c>
      <c r="O1330" s="50">
        <f>IFERROR(VLOOKUP($B1330,Data!$B$3:$D1530,2,FALSE),"")</f>
        <v>908380</v>
      </c>
      <c r="P1330" s="50">
        <f>IFERROR(VLOOKUP($B1330,Data!$B$3:$D1530,3,FALSE),"")</f>
        <v>840950</v>
      </c>
      <c r="Q1330" s="48">
        <f t="shared" si="2"/>
        <v>0.08018312623</v>
      </c>
      <c r="R1330" s="48"/>
      <c r="S1330" s="48"/>
      <c r="T1330" s="48"/>
      <c r="U1330" s="48"/>
      <c r="V1330" s="48"/>
      <c r="W1330" s="50"/>
      <c r="Z1330" s="11"/>
      <c r="AA1330" s="12"/>
    </row>
    <row r="1331">
      <c r="A1331" s="9">
        <f t="shared" si="1"/>
        <v>1328</v>
      </c>
      <c r="B1331" s="47" t="s">
        <v>1465</v>
      </c>
      <c r="C1331" s="48">
        <f>IFERROR(DIVIDE(VLOOKUP($B1331,Data!$B$3:$AB$1535,9,FALSE),VLOOKUP($B1331,Data!$B$3:$AB$1535,4,FALSE)),"")</f>
        <v>0.5134099617</v>
      </c>
      <c r="D1331" s="48">
        <f>IFERROR(DIVIDE(VLOOKUP($B1331,Data!$B$3:$AB$1535,24,FALSE),VLOOKUP($B1331,Data!$B$3:$AB$1535,4,FALSE)),"")</f>
        <v>0.367816092</v>
      </c>
      <c r="E1331" s="48">
        <f>IFERROR(DIVIDE(VLOOKUP($B1331,Data!$B$3:$EZ1530,29,FALSE),VLOOKUP($B1331,Data!$B$3:$EZ1530,4,FALSE)),"")</f>
        <v>0.2030651341</v>
      </c>
      <c r="F1331" s="48">
        <f>IFERROR(DIVIDE(VLOOKUP($B1331,Data!$B$3:$EZ1530,34,FALSE),VLOOKUP($B1331,Data!$B$3:$EZ1530,4,FALSE)),"")</f>
        <v>0.4291187739</v>
      </c>
      <c r="G1331" s="48">
        <f>IFERROR(DIVIDE(VLOOKUP($B1331,Data!$B$3:$EZ1530,39,FALSE),VLOOKUP($B1331,Data!$B$3:$EZ1530,4,FALSE)),"")</f>
        <v>0.1395249042</v>
      </c>
      <c r="H1331" s="48">
        <f>IFERROR(DIVIDE(VLOOKUP($B1331,Data!$B$3:$EZ1530,44,FALSE),VLOOKUP($B1331,Data!$B$3:$EZ1530,4,FALSE)),"")</f>
        <v>0.1954022989</v>
      </c>
      <c r="I1331" s="48">
        <f>IFERROR(MINUS(DIVIDE(VLOOKUP($B1331,Data!$B$3:$EZ1530,9,FALSE),VLOOKUP($B1331,Data!$B$3:$EZ1530,10,FALSE)),1),"")</f>
        <v>0.2641509434</v>
      </c>
      <c r="J1331" s="48">
        <f>IFERROR(MINUS(DIVIDE(VLOOKUP($B1331,Data!$B$3:$EZ1530,24,FALSE),VLOOKUP($B1331,Data!$B$3:$EZ1530,25,FALSE)),1),"")</f>
        <v>-90.71962617</v>
      </c>
      <c r="K1331" s="48">
        <f>IFERROR(MINUS(DIVIDE(VLOOKUP($B1331,Data!$B$3:$EZ1530,29,FALSE),VLOOKUP($B1331,Data!$B$3:$EZ1530,30,FALSE)),1),"")</f>
        <v>0.07553066277</v>
      </c>
      <c r="L1331" s="48">
        <f>IFERROR(MINUS(DIVIDE(VLOOKUP($B1331,Data!$B$3:$EZ1530,34,FALSE),VLOOKUP($B1331,Data!$B$3:$EZ1530,35,FALSE)),1),"")</f>
        <v>0.2444444444</v>
      </c>
      <c r="M1331" s="48">
        <f>IFERROR(MINUS(DIVIDE(VLOOKUP($B1331,Data!$B$3:$EZ1530,39,FALSE),VLOOKUP($B1331,Data!$B$3:$EZ1530,40,FALSE)),1),"")</f>
        <v>-0.1955731784</v>
      </c>
      <c r="N1331" s="48">
        <f>IFERROR(MINUS(DIVIDE(VLOOKUP($B1331,Data!$B$3:$EZ1530,44,FALSE),VLOOKUP($B1331,Data!$B$3:$EZ1530,45,FALSE)),1),"")</f>
        <v>0</v>
      </c>
      <c r="O1331" s="50">
        <f>IFERROR(VLOOKUP($B1331,Data!$B$3:$D1530,2,FALSE),"")</f>
        <v>4810000</v>
      </c>
      <c r="P1331" s="50">
        <f>IFERROR(VLOOKUP($B1331,Data!$B$3:$D1530,3,FALSE),"")</f>
        <v>4990000</v>
      </c>
      <c r="Q1331" s="48">
        <f t="shared" si="2"/>
        <v>-0.03607214429</v>
      </c>
      <c r="R1331" s="48"/>
      <c r="S1331" s="48"/>
      <c r="T1331" s="48"/>
      <c r="U1331" s="48"/>
      <c r="V1331" s="48"/>
      <c r="W1331" s="50"/>
      <c r="Z1331" s="12"/>
      <c r="AA1331" s="12"/>
    </row>
    <row r="1332">
      <c r="A1332" s="9">
        <f t="shared" si="1"/>
        <v>1329</v>
      </c>
      <c r="B1332" s="47" t="s">
        <v>1466</v>
      </c>
      <c r="C1332" s="48">
        <f>IFERROR(DIVIDE(VLOOKUP($B1332,Data!$B$3:$AB$1535,9,FALSE),VLOOKUP($B1332,Data!$B$3:$AB$1535,4,FALSE)),"")</f>
        <v>0.5962118885</v>
      </c>
      <c r="D1332" s="48">
        <f>IFERROR(DIVIDE(VLOOKUP($B1332,Data!$B$3:$AB$1535,24,FALSE),VLOOKUP($B1332,Data!$B$3:$AB$1535,4,FALSE)),"")</f>
        <v>0</v>
      </c>
      <c r="E1332" s="48">
        <f>IFERROR(DIVIDE(VLOOKUP($B1332,Data!$B$3:$EZ1530,29,FALSE),VLOOKUP($B1332,Data!$B$3:$EZ1530,4,FALSE)),"")</f>
        <v>0</v>
      </c>
      <c r="F1332" s="48">
        <f>IFERROR(DIVIDE(VLOOKUP($B1332,Data!$B$3:$EZ1530,34,FALSE),VLOOKUP($B1332,Data!$B$3:$EZ1530,4,FALSE)),"")</f>
        <v>0</v>
      </c>
      <c r="G1332" s="48">
        <f>IFERROR(DIVIDE(VLOOKUP($B1332,Data!$B$3:$EZ1530,39,FALSE),VLOOKUP($B1332,Data!$B$3:$EZ1530,4,FALSE)),"")</f>
        <v>0</v>
      </c>
      <c r="H1332" s="48">
        <f>IFERROR(DIVIDE(VLOOKUP($B1332,Data!$B$3:$EZ1530,44,FALSE),VLOOKUP($B1332,Data!$B$3:$EZ1530,4,FALSE)),"")</f>
        <v>0.05835788256</v>
      </c>
      <c r="I1332" s="48">
        <f>IFERROR(MINUS(DIVIDE(VLOOKUP($B1332,Data!$B$3:$EZ1530,9,FALSE),VLOOKUP($B1332,Data!$B$3:$EZ1530,10,FALSE)),1),"")</f>
        <v>0.3009819774</v>
      </c>
      <c r="J1332" s="48" t="str">
        <f>IFERROR(MINUS(DIVIDE(VLOOKUP($B1332,Data!$B$3:$EZ1530,24,FALSE),VLOOKUP($B1332,Data!$B$3:$EZ1530,25,FALSE)),1),"")</f>
        <v/>
      </c>
      <c r="K1332" s="48" t="str">
        <f>IFERROR(MINUS(DIVIDE(VLOOKUP($B1332,Data!$B$3:$EZ1530,29,FALSE),VLOOKUP($B1332,Data!$B$3:$EZ1530,30,FALSE)),1),"")</f>
        <v/>
      </c>
      <c r="L1332" s="48" t="str">
        <f>IFERROR(MINUS(DIVIDE(VLOOKUP($B1332,Data!$B$3:$EZ1530,34,FALSE),VLOOKUP($B1332,Data!$B$3:$EZ1530,35,FALSE)),1),"")</f>
        <v/>
      </c>
      <c r="M1332" s="48" t="str">
        <f>IFERROR(MINUS(DIVIDE(VLOOKUP($B1332,Data!$B$3:$EZ1530,39,FALSE),VLOOKUP($B1332,Data!$B$3:$EZ1530,40,FALSE)),1),"")</f>
        <v/>
      </c>
      <c r="N1332" s="48" t="str">
        <f>IFERROR(MINUS(DIVIDE(VLOOKUP($B1332,Data!$B$3:$EZ1530,44,FALSE),VLOOKUP($B1332,Data!$B$3:$EZ1530,45,FALSE)),1),"")</f>
        <v/>
      </c>
      <c r="O1332" s="50">
        <f>IFERROR(VLOOKUP($B1332,Data!$B$3:$D1530,2,FALSE),"")</f>
        <v>1060000</v>
      </c>
      <c r="P1332" s="50">
        <f>IFERROR(VLOOKUP($B1332,Data!$B$3:$D1530,3,FALSE),"")</f>
        <v>844170</v>
      </c>
      <c r="Q1332" s="48">
        <f t="shared" si="2"/>
        <v>0.2556712511</v>
      </c>
      <c r="R1332" s="48"/>
      <c r="S1332" s="48"/>
      <c r="T1332" s="48"/>
      <c r="U1332" s="48"/>
      <c r="V1332" s="48"/>
      <c r="W1332" s="50"/>
      <c r="Z1332" s="15"/>
      <c r="AA1332" s="15"/>
    </row>
    <row r="1333">
      <c r="A1333" s="9">
        <f t="shared" si="1"/>
        <v>1330</v>
      </c>
      <c r="B1333" s="47" t="s">
        <v>1467</v>
      </c>
      <c r="C1333" s="48">
        <f>IFERROR(DIVIDE(VLOOKUP($B1333,Data!$B$3:$AB$1535,9,FALSE),VLOOKUP($B1333,Data!$B$3:$AB$1535,4,FALSE)),"")</f>
        <v>0.3924050633</v>
      </c>
      <c r="D1333" s="48">
        <f>IFERROR(DIVIDE(VLOOKUP($B1333,Data!$B$3:$AB$1535,24,FALSE),VLOOKUP($B1333,Data!$B$3:$AB$1535,4,FALSE)),"")</f>
        <v>0.1571518987</v>
      </c>
      <c r="E1333" s="48">
        <f>IFERROR(DIVIDE(VLOOKUP($B1333,Data!$B$3:$EZ1530,29,FALSE),VLOOKUP($B1333,Data!$B$3:$EZ1530,4,FALSE)),"")</f>
        <v>0.1499050633</v>
      </c>
      <c r="F1333" s="48">
        <f>IFERROR(DIVIDE(VLOOKUP($B1333,Data!$B$3:$EZ1530,34,FALSE),VLOOKUP($B1333,Data!$B$3:$EZ1530,4,FALSE)),"")</f>
        <v>0.1923734177</v>
      </c>
      <c r="G1333" s="48">
        <f>IFERROR(DIVIDE(VLOOKUP($B1333,Data!$B$3:$EZ1530,39,FALSE),VLOOKUP($B1333,Data!$B$3:$EZ1530,4,FALSE)),"")</f>
        <v>0.1273101266</v>
      </c>
      <c r="H1333" s="48">
        <f>IFERROR(DIVIDE(VLOOKUP($B1333,Data!$B$3:$EZ1530,44,FALSE),VLOOKUP($B1333,Data!$B$3:$EZ1530,4,FALSE)),"")</f>
        <v>0.1525632911</v>
      </c>
      <c r="I1333" s="48">
        <f>IFERROR(MINUS(DIVIDE(VLOOKUP($B1333,Data!$B$3:$EZ1530,9,FALSE),VLOOKUP($B1333,Data!$B$3:$EZ1530,10,FALSE)),1),"")</f>
        <v>0.1171171171</v>
      </c>
      <c r="J1333" s="48">
        <f>IFERROR(MINUS(DIVIDE(VLOOKUP($B1333,Data!$B$3:$EZ1530,24,FALSE),VLOOKUP($B1333,Data!$B$3:$EZ1530,25,FALSE)),1),"")</f>
        <v>0.275950668</v>
      </c>
      <c r="K1333" s="48">
        <f>IFERROR(MINUS(DIVIDE(VLOOKUP($B1333,Data!$B$3:$EZ1530,29,FALSE),VLOOKUP($B1333,Data!$B$3:$EZ1530,30,FALSE)),1),"")</f>
        <v>0.2025894897</v>
      </c>
      <c r="L1333" s="48">
        <f>IFERROR(MINUS(DIVIDE(VLOOKUP($B1333,Data!$B$3:$EZ1530,34,FALSE),VLOOKUP($B1333,Data!$B$3:$EZ1530,35,FALSE)),1),"")</f>
        <v>0.1489321489</v>
      </c>
      <c r="M1333" s="48">
        <f>IFERROR(MINUS(DIVIDE(VLOOKUP($B1333,Data!$B$3:$EZ1530,39,FALSE),VLOOKUP($B1333,Data!$B$3:$EZ1530,40,FALSE)),1),"")</f>
        <v>0.2052127022</v>
      </c>
      <c r="N1333" s="48">
        <f>IFERROR(MINUS(DIVIDE(VLOOKUP($B1333,Data!$B$3:$EZ1530,44,FALSE),VLOOKUP($B1333,Data!$B$3:$EZ1530,45,FALSE)),1),"")</f>
        <v>0.07876482435</v>
      </c>
      <c r="O1333" s="50">
        <f>IFERROR(VLOOKUP($B1333,Data!$B$3:$D1530,2,FALSE),"")</f>
        <v>3290000</v>
      </c>
      <c r="P1333" s="50">
        <f>IFERROR(VLOOKUP($B1333,Data!$B$3:$D1530,3,FALSE),"")</f>
        <v>3110000</v>
      </c>
      <c r="Q1333" s="48">
        <f t="shared" si="2"/>
        <v>0.0578778135</v>
      </c>
      <c r="R1333" s="48"/>
      <c r="S1333" s="48"/>
      <c r="T1333" s="48"/>
      <c r="U1333" s="48"/>
      <c r="V1333" s="48"/>
      <c r="W1333" s="50"/>
      <c r="Z1333" s="11"/>
      <c r="AA1333" s="11"/>
    </row>
    <row r="1334">
      <c r="A1334" s="9">
        <f t="shared" si="1"/>
        <v>1331</v>
      </c>
      <c r="B1334" s="47" t="s">
        <v>1468</v>
      </c>
      <c r="C1334" s="48">
        <f>IFERROR(DIVIDE(VLOOKUP($B1334,Data!$B$3:$AB$1535,9,FALSE),VLOOKUP($B1334,Data!$B$3:$AB$1535,4,FALSE)),"")</f>
        <v>0.7365200558</v>
      </c>
      <c r="D1334" s="48">
        <f>IFERROR(DIVIDE(VLOOKUP($B1334,Data!$B$3:$AB$1535,24,FALSE),VLOOKUP($B1334,Data!$B$3:$AB$1535,4,FALSE)),"")</f>
        <v>0</v>
      </c>
      <c r="E1334" s="48">
        <f>IFERROR(DIVIDE(VLOOKUP($B1334,Data!$B$3:$EZ1530,29,FALSE),VLOOKUP($B1334,Data!$B$3:$EZ1530,4,FALSE)),"")</f>
        <v>0.3742842058</v>
      </c>
      <c r="F1334" s="48">
        <f>IFERROR(DIVIDE(VLOOKUP($B1334,Data!$B$3:$EZ1530,34,FALSE),VLOOKUP($B1334,Data!$B$3:$EZ1530,4,FALSE)),"")</f>
        <v>0</v>
      </c>
      <c r="G1334" s="48">
        <f>IFERROR(DIVIDE(VLOOKUP($B1334,Data!$B$3:$EZ1530,39,FALSE),VLOOKUP($B1334,Data!$B$3:$EZ1530,4,FALSE)),"")</f>
        <v>0.3104143822</v>
      </c>
      <c r="H1334" s="48">
        <f>IFERROR(DIVIDE(VLOOKUP($B1334,Data!$B$3:$EZ1530,44,FALSE),VLOOKUP($B1334,Data!$B$3:$EZ1530,4,FALSE)),"")</f>
        <v>0</v>
      </c>
      <c r="I1334" s="48">
        <f>IFERROR(MINUS(DIVIDE(VLOOKUP($B1334,Data!$B$3:$EZ1530,9,FALSE),VLOOKUP($B1334,Data!$B$3:$EZ1530,10,FALSE)),1),"")</f>
        <v>0.2692702501</v>
      </c>
      <c r="J1334" s="48">
        <f>IFERROR(MINUS(DIVIDE(VLOOKUP($B1334,Data!$B$3:$EZ1530,24,FALSE),VLOOKUP($B1334,Data!$B$3:$EZ1530,25,FALSE)),1),"")</f>
        <v>-1</v>
      </c>
      <c r="K1334" s="48">
        <f>IFERROR(MINUS(DIVIDE(VLOOKUP($B1334,Data!$B$3:$EZ1530,29,FALSE),VLOOKUP($B1334,Data!$B$3:$EZ1530,30,FALSE)),1),"")</f>
        <v>1.468130691</v>
      </c>
      <c r="L1334" s="48">
        <f>IFERROR(MINUS(DIVIDE(VLOOKUP($B1334,Data!$B$3:$EZ1530,34,FALSE),VLOOKUP($B1334,Data!$B$3:$EZ1530,35,FALSE)),1),"")</f>
        <v>-1</v>
      </c>
      <c r="M1334" s="48">
        <f>IFERROR(MINUS(DIVIDE(VLOOKUP($B1334,Data!$B$3:$EZ1530,39,FALSE),VLOOKUP($B1334,Data!$B$3:$EZ1530,40,FALSE)),1),"")</f>
        <v>1.389288319</v>
      </c>
      <c r="N1334" s="48">
        <f>IFERROR(MINUS(DIVIDE(VLOOKUP($B1334,Data!$B$3:$EZ1530,44,FALSE),VLOOKUP($B1334,Data!$B$3:$EZ1530,45,FALSE)),1),"")</f>
        <v>-1</v>
      </c>
      <c r="O1334" s="50">
        <f>IFERROR(VLOOKUP($B1334,Data!$B$3:$D1530,2,FALSE),"")</f>
        <v>930470</v>
      </c>
      <c r="P1334" s="50">
        <f>IFERROR(VLOOKUP($B1334,Data!$B$3:$D1530,3,FALSE),"")</f>
        <v>820320</v>
      </c>
      <c r="Q1334" s="48">
        <f t="shared" si="2"/>
        <v>0.1342768676</v>
      </c>
      <c r="R1334" s="48"/>
      <c r="S1334" s="48"/>
      <c r="T1334" s="48"/>
      <c r="U1334" s="48"/>
      <c r="V1334" s="48"/>
      <c r="W1334" s="50"/>
      <c r="Z1334" s="11"/>
      <c r="AA1334" s="11"/>
    </row>
    <row r="1335">
      <c r="A1335" s="9">
        <f t="shared" si="1"/>
        <v>1332</v>
      </c>
      <c r="B1335" s="47" t="s">
        <v>1469</v>
      </c>
      <c r="C1335" s="48">
        <f>IFERROR(DIVIDE(VLOOKUP($B1335,Data!$B$3:$AB$1535,9,FALSE),VLOOKUP($B1335,Data!$B$3:$AB$1535,4,FALSE)),"")</f>
        <v>0.2648784577</v>
      </c>
      <c r="D1335" s="48">
        <f>IFERROR(DIVIDE(VLOOKUP($B1335,Data!$B$3:$AB$1535,24,FALSE),VLOOKUP($B1335,Data!$B$3:$AB$1535,4,FALSE)),"")</f>
        <v>-0.009136630344</v>
      </c>
      <c r="E1335" s="48">
        <f>IFERROR(DIVIDE(VLOOKUP($B1335,Data!$B$3:$EZ1530,29,FALSE),VLOOKUP($B1335,Data!$B$3:$EZ1530,4,FALSE)),"")</f>
        <v>-0.03897736798</v>
      </c>
      <c r="F1335" s="48">
        <f>IFERROR(DIVIDE(VLOOKUP($B1335,Data!$B$3:$EZ1530,34,FALSE),VLOOKUP($B1335,Data!$B$3:$EZ1530,4,FALSE)),"")</f>
        <v>0.3738474434</v>
      </c>
      <c r="G1335" s="48">
        <f>IFERROR(DIVIDE(VLOOKUP($B1335,Data!$B$3:$EZ1530,39,FALSE),VLOOKUP($B1335,Data!$B$3:$EZ1530,4,FALSE)),"")</f>
        <v>-0.05071248952</v>
      </c>
      <c r="H1335" s="48">
        <f>IFERROR(DIVIDE(VLOOKUP($B1335,Data!$B$3:$EZ1530,44,FALSE),VLOOKUP($B1335,Data!$B$3:$EZ1530,4,FALSE)),"")</f>
        <v>0.2598491199</v>
      </c>
      <c r="I1335" s="48">
        <f>IFERROR(MINUS(DIVIDE(VLOOKUP($B1335,Data!$B$3:$EZ1530,9,FALSE),VLOOKUP($B1335,Data!$B$3:$EZ1530,10,FALSE)),1),"")</f>
        <v>-0.2898876404</v>
      </c>
      <c r="J1335" s="48">
        <f>IFERROR(MINUS(DIVIDE(VLOOKUP($B1335,Data!$B$3:$EZ1530,24,FALSE),VLOOKUP($B1335,Data!$B$3:$EZ1530,25,FALSE)),1),"")</f>
        <v>-1.027806122</v>
      </c>
      <c r="K1335" s="48">
        <f>IFERROR(MINUS(DIVIDE(VLOOKUP($B1335,Data!$B$3:$EZ1530,29,FALSE),VLOOKUP($B1335,Data!$B$3:$EZ1530,30,FALSE)),1),"")</f>
        <v>-1.103104213</v>
      </c>
      <c r="L1335" s="48">
        <f>IFERROR(MINUS(DIVIDE(VLOOKUP($B1335,Data!$B$3:$EZ1530,34,FALSE),VLOOKUP($B1335,Data!$B$3:$EZ1530,35,FALSE)),1),"")</f>
        <v>-0.2270363951</v>
      </c>
      <c r="M1335" s="48">
        <f>IFERROR(MINUS(DIVIDE(VLOOKUP($B1335,Data!$B$3:$EZ1530,39,FALSE),VLOOKUP($B1335,Data!$B$3:$EZ1530,40,FALSE)),1),"")</f>
        <v>-1.194533762</v>
      </c>
      <c r="N1335" s="48">
        <f>IFERROR(MINUS(DIVIDE(VLOOKUP($B1335,Data!$B$3:$EZ1530,44,FALSE),VLOOKUP($B1335,Data!$B$3:$EZ1530,45,FALSE)),1),"")</f>
        <v>-0.2307692308</v>
      </c>
      <c r="O1335" s="50">
        <f>IFERROR(VLOOKUP($B1335,Data!$B$3:$D1530,2,FALSE),"")</f>
        <v>9020000</v>
      </c>
      <c r="P1335" s="50">
        <f>IFERROR(VLOOKUP($B1335,Data!$B$3:$D1530,3,FALSE),"")</f>
        <v>9610000</v>
      </c>
      <c r="Q1335" s="48">
        <f t="shared" si="2"/>
        <v>-0.06139438085</v>
      </c>
      <c r="R1335" s="48"/>
      <c r="S1335" s="48"/>
      <c r="T1335" s="48"/>
      <c r="U1335" s="48"/>
      <c r="V1335" s="48"/>
      <c r="W1335" s="50"/>
      <c r="Z1335" s="11"/>
      <c r="AA1335" s="11"/>
    </row>
    <row r="1336">
      <c r="A1336" s="9">
        <f t="shared" si="1"/>
        <v>1333</v>
      </c>
      <c r="B1336" s="47" t="s">
        <v>1470</v>
      </c>
      <c r="C1336" s="48">
        <f>IFERROR(DIVIDE(VLOOKUP($B1336,Data!$B$3:$AB$1535,9,FALSE),VLOOKUP($B1336,Data!$B$3:$AB$1535,4,FALSE)),"")</f>
        <v>0.6</v>
      </c>
      <c r="D1336" s="48">
        <f>IFERROR(DIVIDE(VLOOKUP($B1336,Data!$B$3:$AB$1535,24,FALSE),VLOOKUP($B1336,Data!$B$3:$AB$1535,4,FALSE)),"")</f>
        <v>-1.240776699</v>
      </c>
      <c r="E1336" s="48">
        <f>IFERROR(DIVIDE(VLOOKUP($B1336,Data!$B$3:$EZ1530,29,FALSE),VLOOKUP($B1336,Data!$B$3:$EZ1530,4,FALSE)),"")</f>
        <v>-1.451779935</v>
      </c>
      <c r="F1336" s="48">
        <f>IFERROR(DIVIDE(VLOOKUP($B1336,Data!$B$3:$EZ1530,34,FALSE),VLOOKUP($B1336,Data!$B$3:$EZ1530,4,FALSE)),"")</f>
        <v>-1.202588997</v>
      </c>
      <c r="G1336" s="48">
        <f>IFERROR(DIVIDE(VLOOKUP($B1336,Data!$B$3:$EZ1530,39,FALSE),VLOOKUP($B1336,Data!$B$3:$EZ1530,4,FALSE)),"")</f>
        <v>-1.451779935</v>
      </c>
      <c r="H1336" s="48">
        <f>IFERROR(DIVIDE(VLOOKUP($B1336,Data!$B$3:$EZ1530,44,FALSE),VLOOKUP($B1336,Data!$B$3:$EZ1530,4,FALSE)),"")</f>
        <v>-1.651779935</v>
      </c>
      <c r="I1336" s="48">
        <f>IFERROR(MINUS(DIVIDE(VLOOKUP($B1336,Data!$B$3:$EZ1530,9,FALSE),VLOOKUP($B1336,Data!$B$3:$EZ1530,10,FALSE)),1),"")</f>
        <v>2.153061224</v>
      </c>
      <c r="J1336" s="48">
        <f>IFERROR(MINUS(DIVIDE(VLOOKUP($B1336,Data!$B$3:$EZ1530,24,FALSE),VLOOKUP($B1336,Data!$B$3:$EZ1530,25,FALSE)),1),"")</f>
        <v>-0.009814049587</v>
      </c>
      <c r="K1336" s="48">
        <f>IFERROR(MINUS(DIVIDE(VLOOKUP($B1336,Data!$B$3:$EZ1530,29,FALSE),VLOOKUP($B1336,Data!$B$3:$EZ1530,30,FALSE)),1),"")</f>
        <v>0.06353722143</v>
      </c>
      <c r="L1336" s="48">
        <f>IFERROR(MINUS(DIVIDE(VLOOKUP($B1336,Data!$B$3:$EZ1530,34,FALSE),VLOOKUP($B1336,Data!$B$3:$EZ1530,35,FALSE)),1),"")</f>
        <v>-0.005885500268</v>
      </c>
      <c r="M1336" s="48">
        <f>IFERROR(MINUS(DIVIDE(VLOOKUP($B1336,Data!$B$3:$EZ1530,39,FALSE),VLOOKUP($B1336,Data!$B$3:$EZ1530,40,FALSE)),1),"")</f>
        <v>0.06353722143</v>
      </c>
      <c r="N1336" s="48">
        <f>IFERROR(MINUS(DIVIDE(VLOOKUP($B1336,Data!$B$3:$EZ1530,44,FALSE),VLOOKUP($B1336,Data!$B$3:$EZ1530,45,FALSE)),1),"")</f>
        <v>0.279197995</v>
      </c>
      <c r="O1336" s="50">
        <f>IFERROR(VLOOKUP($B1336,Data!$B$3:$D1530,2,FALSE),"")</f>
        <v>40960</v>
      </c>
      <c r="P1336" s="50">
        <f>IFERROR(VLOOKUP($B1336,Data!$B$3:$D1530,3,FALSE),"")</f>
        <v>17840</v>
      </c>
      <c r="Q1336" s="48">
        <f t="shared" si="2"/>
        <v>1.295964126</v>
      </c>
      <c r="R1336" s="48"/>
      <c r="S1336" s="48"/>
      <c r="T1336" s="48"/>
      <c r="U1336" s="48"/>
      <c r="V1336" s="48"/>
      <c r="W1336" s="50"/>
      <c r="Z1336" s="11"/>
      <c r="AA1336" s="11"/>
    </row>
    <row r="1337">
      <c r="A1337" s="9">
        <f t="shared" si="1"/>
        <v>1334</v>
      </c>
      <c r="B1337" s="47" t="s">
        <v>1471</v>
      </c>
      <c r="C1337" s="48">
        <f>IFERROR(DIVIDE(VLOOKUP($B1337,Data!$B$3:$AB$1535,9,FALSE),VLOOKUP($B1337,Data!$B$3:$AB$1535,4,FALSE)),"")</f>
        <v>0.5720524017</v>
      </c>
      <c r="D1337" s="48">
        <f>IFERROR(DIVIDE(VLOOKUP($B1337,Data!$B$3:$AB$1535,24,FALSE),VLOOKUP($B1337,Data!$B$3:$AB$1535,4,FALSE)),"")</f>
        <v>0.2312183406</v>
      </c>
      <c r="E1337" s="48">
        <f>IFERROR(DIVIDE(VLOOKUP($B1337,Data!$B$3:$EZ1530,29,FALSE),VLOOKUP($B1337,Data!$B$3:$EZ1530,4,FALSE)),"")</f>
        <v>0.2295938865</v>
      </c>
      <c r="F1337" s="48">
        <f>IFERROR(DIVIDE(VLOOKUP($B1337,Data!$B$3:$EZ1530,34,FALSE),VLOOKUP($B1337,Data!$B$3:$EZ1530,4,FALSE)),"")</f>
        <v>0.287</v>
      </c>
      <c r="G1337" s="48">
        <f>IFERROR(DIVIDE(VLOOKUP($B1337,Data!$B$3:$EZ1530,39,FALSE),VLOOKUP($B1337,Data!$B$3:$EZ1530,4,FALSE)),"")</f>
        <v>0.2041353712</v>
      </c>
      <c r="H1337" s="48">
        <f>IFERROR(DIVIDE(VLOOKUP($B1337,Data!$B$3:$EZ1530,44,FALSE),VLOOKUP($B1337,Data!$B$3:$EZ1530,4,FALSE)),"")</f>
        <v>0.2527292576</v>
      </c>
      <c r="I1337" s="48">
        <f>IFERROR(MINUS(DIVIDE(VLOOKUP($B1337,Data!$B$3:$EZ1530,9,FALSE),VLOOKUP($B1337,Data!$B$3:$EZ1530,10,FALSE)),1),"")</f>
        <v>0.1008403361</v>
      </c>
      <c r="J1337" s="48">
        <f>IFERROR(MINUS(DIVIDE(VLOOKUP($B1337,Data!$B$3:$EZ1530,24,FALSE),VLOOKUP($B1337,Data!$B$3:$EZ1530,25,FALSE)),1),"")</f>
        <v>0.1666887009</v>
      </c>
      <c r="K1337" s="48">
        <f>IFERROR(MINUS(DIVIDE(VLOOKUP($B1337,Data!$B$3:$EZ1530,29,FALSE),VLOOKUP($B1337,Data!$B$3:$EZ1530,30,FALSE)),1),"")</f>
        <v>0.1239204788</v>
      </c>
      <c r="L1337" s="48">
        <f>IFERROR(MINUS(DIVIDE(VLOOKUP($B1337,Data!$B$3:$EZ1530,34,FALSE),VLOOKUP($B1337,Data!$B$3:$EZ1530,35,FALSE)),1),"")</f>
        <v>0.1035681303</v>
      </c>
      <c r="M1337" s="48">
        <f>IFERROR(MINUS(DIVIDE(VLOOKUP($B1337,Data!$B$3:$EZ1530,39,FALSE),VLOOKUP($B1337,Data!$B$3:$EZ1530,40,FALSE)),1),"")</f>
        <v>0.03472929302</v>
      </c>
      <c r="N1337" s="48">
        <f>IFERROR(MINUS(DIVIDE(VLOOKUP($B1337,Data!$B$3:$EZ1530,44,FALSE),VLOOKUP($B1337,Data!$B$3:$EZ1530,45,FALSE)),1),"")</f>
        <v>0.2136176816</v>
      </c>
      <c r="O1337" s="50">
        <f>IFERROR(VLOOKUP($B1337,Data!$B$3:$D1530,2,FALSE),"")</f>
        <v>2940000</v>
      </c>
      <c r="P1337" s="50">
        <f>IFERROR(VLOOKUP($B1337,Data!$B$3:$D1530,3,FALSE),"")</f>
        <v>2830000</v>
      </c>
      <c r="Q1337" s="48">
        <f t="shared" si="2"/>
        <v>0.03886925795</v>
      </c>
      <c r="R1337" s="48"/>
      <c r="S1337" s="48"/>
      <c r="T1337" s="48"/>
      <c r="U1337" s="48"/>
      <c r="V1337" s="48"/>
      <c r="W1337" s="50"/>
      <c r="Z1337" s="15"/>
      <c r="AA1337" s="15"/>
    </row>
    <row r="1338">
      <c r="A1338" s="9">
        <f t="shared" si="1"/>
        <v>1335</v>
      </c>
      <c r="B1338" s="47" t="s">
        <v>1472</v>
      </c>
      <c r="C1338" s="48">
        <f>IFERROR(DIVIDE(VLOOKUP($B1338,Data!$B$3:$AB$1535,9,FALSE),VLOOKUP($B1338,Data!$B$3:$AB$1535,4,FALSE)),"")</f>
        <v>0.4457751164</v>
      </c>
      <c r="D1338" s="48">
        <f>IFERROR(DIVIDE(VLOOKUP($B1338,Data!$B$3:$AB$1535,24,FALSE),VLOOKUP($B1338,Data!$B$3:$AB$1535,4,FALSE)),"")</f>
        <v>-0.02428476381</v>
      </c>
      <c r="E1338" s="48">
        <f>IFERROR(DIVIDE(VLOOKUP($B1338,Data!$B$3:$EZ1530,29,FALSE),VLOOKUP($B1338,Data!$B$3:$EZ1530,4,FALSE)),"")</f>
        <v>-0.0750166334</v>
      </c>
      <c r="F1338" s="48">
        <f>IFERROR(DIVIDE(VLOOKUP($B1338,Data!$B$3:$EZ1530,34,FALSE),VLOOKUP($B1338,Data!$B$3:$EZ1530,4,FALSE)),"")</f>
        <v>0.2624750499</v>
      </c>
      <c r="G1338" s="48">
        <f>IFERROR(DIVIDE(VLOOKUP($B1338,Data!$B$3:$EZ1530,39,FALSE),VLOOKUP($B1338,Data!$B$3:$EZ1530,4,FALSE)),"")</f>
        <v>-0.05921490353</v>
      </c>
      <c r="H1338" s="48">
        <f>IFERROR(DIVIDE(VLOOKUP($B1338,Data!$B$3:$EZ1530,44,FALSE),VLOOKUP($B1338,Data!$B$3:$EZ1530,4,FALSE)),"")</f>
        <v>0.1324018629</v>
      </c>
      <c r="I1338" s="48">
        <f>IFERROR(MINUS(DIVIDE(VLOOKUP($B1338,Data!$B$3:$EZ1530,9,FALSE),VLOOKUP($B1338,Data!$B$3:$EZ1530,10,FALSE)),1),"")</f>
        <v>-0.101575595</v>
      </c>
      <c r="J1338" s="48">
        <f>IFERROR(MINUS(DIVIDE(VLOOKUP($B1338,Data!$B$3:$EZ1530,24,FALSE),VLOOKUP($B1338,Data!$B$3:$EZ1530,25,FALSE)),1),"")</f>
        <v>-0.9139150943</v>
      </c>
      <c r="K1338" s="48">
        <f>IFERROR(MINUS(DIVIDE(VLOOKUP($B1338,Data!$B$3:$EZ1530,29,FALSE),VLOOKUP($B1338,Data!$B$3:$EZ1530,30,FALSE)),1),"")</f>
        <v>-0.5166130761</v>
      </c>
      <c r="L1338" s="48">
        <f>IFERROR(MINUS(DIVIDE(VLOOKUP($B1338,Data!$B$3:$EZ1530,34,FALSE),VLOOKUP($B1338,Data!$B$3:$EZ1530,35,FALSE)),1),"")</f>
        <v>-0.06847697757</v>
      </c>
      <c r="M1338" s="48">
        <f>IFERROR(MINUS(DIVIDE(VLOOKUP($B1338,Data!$B$3:$EZ1530,39,FALSE),VLOOKUP($B1338,Data!$B$3:$EZ1530,40,FALSE)),1),"")</f>
        <v>-0.5394566624</v>
      </c>
      <c r="N1338" s="48">
        <f>IFERROR(MINUS(DIVIDE(VLOOKUP($B1338,Data!$B$3:$EZ1530,44,FALSE),VLOOKUP($B1338,Data!$B$3:$EZ1530,45,FALSE)),1),"")</f>
        <v>-0.4703925482</v>
      </c>
      <c r="O1338" s="50">
        <f>IFERROR(VLOOKUP($B1338,Data!$B$3:$D1530,2,FALSE),"")</f>
        <v>16990000</v>
      </c>
      <c r="P1338" s="50">
        <f>IFERROR(VLOOKUP($B1338,Data!$B$3:$D1530,3,FALSE),"")</f>
        <v>16790000</v>
      </c>
      <c r="Q1338" s="48">
        <f t="shared" si="2"/>
        <v>0.01191185229</v>
      </c>
      <c r="R1338" s="48"/>
      <c r="S1338" s="48"/>
      <c r="T1338" s="48"/>
      <c r="U1338" s="48"/>
      <c r="V1338" s="48"/>
      <c r="W1338" s="50"/>
      <c r="Z1338" s="11"/>
      <c r="AA1338" s="11"/>
    </row>
    <row r="1339">
      <c r="A1339" s="9">
        <f t="shared" si="1"/>
        <v>1336</v>
      </c>
      <c r="B1339" s="47" t="s">
        <v>1473</v>
      </c>
      <c r="C1339" s="48">
        <f>IFERROR(DIVIDE(VLOOKUP($B1339,Data!$B$3:$AB$1535,9,FALSE),VLOOKUP($B1339,Data!$B$3:$AB$1535,4,FALSE)),"")</f>
        <v>0.2063448276</v>
      </c>
      <c r="D1339" s="48">
        <f>IFERROR(DIVIDE(VLOOKUP($B1339,Data!$B$3:$AB$1535,24,FALSE),VLOOKUP($B1339,Data!$B$3:$AB$1535,4,FALSE)),"")</f>
        <v>0.07875862069</v>
      </c>
      <c r="E1339" s="48">
        <f>IFERROR(DIVIDE(VLOOKUP($B1339,Data!$B$3:$EZ1530,29,FALSE),VLOOKUP($B1339,Data!$B$3:$EZ1530,4,FALSE)),"")</f>
        <v>0.05689655172</v>
      </c>
      <c r="F1339" s="48">
        <f>IFERROR(DIVIDE(VLOOKUP($B1339,Data!$B$3:$EZ1530,34,FALSE),VLOOKUP($B1339,Data!$B$3:$EZ1530,4,FALSE)),"")</f>
        <v>0.0887816092</v>
      </c>
      <c r="G1339" s="48">
        <f>IFERROR(DIVIDE(VLOOKUP($B1339,Data!$B$3:$EZ1530,39,FALSE),VLOOKUP($B1339,Data!$B$3:$EZ1530,4,FALSE)),"")</f>
        <v>0.04820689655</v>
      </c>
      <c r="H1339" s="48">
        <f>IFERROR(DIVIDE(VLOOKUP($B1339,Data!$B$3:$EZ1530,44,FALSE),VLOOKUP($B1339,Data!$B$3:$EZ1530,4,FALSE)),"")</f>
        <v>0.03986206897</v>
      </c>
      <c r="I1339" s="48">
        <f>IFERROR(MINUS(DIVIDE(VLOOKUP($B1339,Data!$B$3:$EZ1530,9,FALSE),VLOOKUP($B1339,Data!$B$3:$EZ1530,10,FALSE)),1),"")</f>
        <v>-0.07080745342</v>
      </c>
      <c r="J1339" s="48">
        <f>IFERROR(MINUS(DIVIDE(VLOOKUP($B1339,Data!$B$3:$EZ1530,24,FALSE),VLOOKUP($B1339,Data!$B$3:$EZ1530,25,FALSE)),1),"")</f>
        <v>-82.57142857</v>
      </c>
      <c r="K1339" s="48">
        <f>IFERROR(MINUS(DIVIDE(VLOOKUP($B1339,Data!$B$3:$EZ1530,29,FALSE),VLOOKUP($B1339,Data!$B$3:$EZ1530,30,FALSE)),1),"")</f>
        <v>-0.1379310345</v>
      </c>
      <c r="L1339" s="48">
        <f>IFERROR(MINUS(DIVIDE(VLOOKUP($B1339,Data!$B$3:$EZ1530,34,FALSE),VLOOKUP($B1339,Data!$B$3:$EZ1530,35,FALSE)),1),"")</f>
        <v>-0.1556624399</v>
      </c>
      <c r="M1339" s="48">
        <f>IFERROR(MINUS(DIVIDE(VLOOKUP($B1339,Data!$B$3:$EZ1530,39,FALSE),VLOOKUP($B1339,Data!$B$3:$EZ1530,40,FALSE)),1),"")</f>
        <v>-0.1323955317</v>
      </c>
      <c r="N1339" s="48">
        <f>IFERROR(MINUS(DIVIDE(VLOOKUP($B1339,Data!$B$3:$EZ1530,44,FALSE),VLOOKUP($B1339,Data!$B$3:$EZ1530,45,FALSE)),1),"")</f>
        <v>0.8407643312</v>
      </c>
      <c r="O1339" s="50">
        <f>IFERROR(VLOOKUP($B1339,Data!$B$3:$D1530,2,FALSE),"")</f>
        <v>3360000</v>
      </c>
      <c r="P1339" s="50">
        <f>IFERROR(VLOOKUP($B1339,Data!$B$3:$D1530,3,FALSE),"")</f>
        <v>2930000</v>
      </c>
      <c r="Q1339" s="48">
        <f t="shared" si="2"/>
        <v>0.1467576792</v>
      </c>
      <c r="R1339" s="48"/>
      <c r="S1339" s="48"/>
      <c r="T1339" s="48"/>
      <c r="U1339" s="48"/>
      <c r="V1339" s="48"/>
      <c r="W1339" s="50"/>
      <c r="Z1339" s="11"/>
      <c r="AA1339" s="11"/>
    </row>
    <row r="1340">
      <c r="A1340" s="9">
        <f t="shared" si="1"/>
        <v>1337</v>
      </c>
      <c r="B1340" s="47" t="s">
        <v>1474</v>
      </c>
      <c r="C1340" s="48" t="str">
        <f>IFERROR(DIVIDE(VLOOKUP($B1340,Data!$B$3:$AB$1535,9,FALSE),VLOOKUP($B1340,Data!$B$3:$AB$1535,4,FALSE)),"")</f>
        <v/>
      </c>
      <c r="D1340" s="48" t="str">
        <f>IFERROR(DIVIDE(VLOOKUP($B1340,Data!$B$3:$AB$1535,24,FALSE),VLOOKUP($B1340,Data!$B$3:$AB$1535,4,FALSE)),"")</f>
        <v/>
      </c>
      <c r="E1340" s="48" t="str">
        <f>IFERROR(DIVIDE(VLOOKUP($B1340,Data!$B$3:$EZ1530,29,FALSE),VLOOKUP($B1340,Data!$B$3:$EZ1530,4,FALSE)),"")</f>
        <v/>
      </c>
      <c r="F1340" s="48" t="str">
        <f>IFERROR(DIVIDE(VLOOKUP($B1340,Data!$B$3:$EZ1530,34,FALSE),VLOOKUP($B1340,Data!$B$3:$EZ1530,4,FALSE)),"")</f>
        <v/>
      </c>
      <c r="G1340" s="48" t="str">
        <f>IFERROR(DIVIDE(VLOOKUP($B1340,Data!$B$3:$EZ1530,39,FALSE),VLOOKUP($B1340,Data!$B$3:$EZ1530,4,FALSE)),"")</f>
        <v/>
      </c>
      <c r="H1340" s="48" t="str">
        <f>IFERROR(DIVIDE(VLOOKUP($B1340,Data!$B$3:$EZ1530,44,FALSE),VLOOKUP($B1340,Data!$B$3:$EZ1530,4,FALSE)),"")</f>
        <v/>
      </c>
      <c r="I1340" s="48" t="str">
        <f>IFERROR(MINUS(DIVIDE(VLOOKUP($B1340,Data!$B$3:$EZ1530,9,FALSE),VLOOKUP($B1340,Data!$B$3:$EZ1530,10,FALSE)),1),"")</f>
        <v/>
      </c>
      <c r="J1340" s="48" t="str">
        <f>IFERROR(MINUS(DIVIDE(VLOOKUP($B1340,Data!$B$3:$EZ1530,24,FALSE),VLOOKUP($B1340,Data!$B$3:$EZ1530,25,FALSE)),1),"")</f>
        <v/>
      </c>
      <c r="K1340" s="48">
        <f>IFERROR(MINUS(DIVIDE(VLOOKUP($B1340,Data!$B$3:$EZ1530,29,FALSE),VLOOKUP($B1340,Data!$B$3:$EZ1530,30,FALSE)),1),"")</f>
        <v>2.091145833</v>
      </c>
      <c r="L1340" s="48">
        <f>IFERROR(MINUS(DIVIDE(VLOOKUP($B1340,Data!$B$3:$EZ1530,34,FALSE),VLOOKUP($B1340,Data!$B$3:$EZ1530,35,FALSE)),1),"")</f>
        <v>2.074358974</v>
      </c>
      <c r="M1340" s="48">
        <f>IFERROR(MINUS(DIVIDE(VLOOKUP($B1340,Data!$B$3:$EZ1530,39,FALSE),VLOOKUP($B1340,Data!$B$3:$EZ1530,40,FALSE)),1),"")</f>
        <v>2.091145833</v>
      </c>
      <c r="N1340" s="48">
        <f>IFERROR(MINUS(DIVIDE(VLOOKUP($B1340,Data!$B$3:$EZ1530,44,FALSE),VLOOKUP($B1340,Data!$B$3:$EZ1530,45,FALSE)),1),"")</f>
        <v>4.267605634</v>
      </c>
      <c r="O1340" s="50">
        <f>IFERROR(VLOOKUP($B1340,Data!$B$3:$D1530,2,FALSE),"")</f>
        <v>2500</v>
      </c>
      <c r="P1340" s="50">
        <f>IFERROR(VLOOKUP($B1340,Data!$B$3:$D1530,3,FALSE),"")</f>
        <v>1000</v>
      </c>
      <c r="Q1340" s="48">
        <f t="shared" si="2"/>
        <v>1.5</v>
      </c>
      <c r="R1340" s="48"/>
      <c r="S1340" s="48"/>
      <c r="T1340" s="48"/>
      <c r="U1340" s="48"/>
      <c r="V1340" s="48"/>
      <c r="W1340" s="50"/>
      <c r="Z1340" s="11"/>
      <c r="AA1340" s="11"/>
    </row>
    <row r="1341">
      <c r="A1341" s="9">
        <f t="shared" si="1"/>
        <v>1338</v>
      </c>
      <c r="B1341" s="47" t="s">
        <v>1475</v>
      </c>
      <c r="C1341" s="48" t="str">
        <f>IFERROR(DIVIDE(VLOOKUP($B1341,Data!$B$3:$AB$1535,9,FALSE),VLOOKUP($B1341,Data!$B$3:$AB$1535,4,FALSE)),"")</f>
        <v/>
      </c>
      <c r="D1341" s="48" t="str">
        <f>IFERROR(DIVIDE(VLOOKUP($B1341,Data!$B$3:$AB$1535,24,FALSE),VLOOKUP($B1341,Data!$B$3:$AB$1535,4,FALSE)),"")</f>
        <v/>
      </c>
      <c r="E1341" s="48" t="str">
        <f>IFERROR(DIVIDE(VLOOKUP($B1341,Data!$B$3:$EZ1530,29,FALSE),VLOOKUP($B1341,Data!$B$3:$EZ1530,4,FALSE)),"")</f>
        <v/>
      </c>
      <c r="F1341" s="48" t="str">
        <f>IFERROR(DIVIDE(VLOOKUP($B1341,Data!$B$3:$EZ1530,34,FALSE),VLOOKUP($B1341,Data!$B$3:$EZ1530,4,FALSE)),"")</f>
        <v/>
      </c>
      <c r="G1341" s="48" t="str">
        <f>IFERROR(DIVIDE(VLOOKUP($B1341,Data!$B$3:$EZ1530,39,FALSE),VLOOKUP($B1341,Data!$B$3:$EZ1530,4,FALSE)),"")</f>
        <v/>
      </c>
      <c r="H1341" s="48" t="str">
        <f>IFERROR(DIVIDE(VLOOKUP($B1341,Data!$B$3:$EZ1530,44,FALSE),VLOOKUP($B1341,Data!$B$3:$EZ1530,4,FALSE)),"")</f>
        <v/>
      </c>
      <c r="I1341" s="48" t="str">
        <f>IFERROR(MINUS(DIVIDE(VLOOKUP($B1341,Data!$B$3:$EZ1530,9,FALSE),VLOOKUP($B1341,Data!$B$3:$EZ1530,10,FALSE)),1),"")</f>
        <v/>
      </c>
      <c r="J1341" s="48" t="str">
        <f>IFERROR(MINUS(DIVIDE(VLOOKUP($B1341,Data!$B$3:$EZ1530,24,FALSE),VLOOKUP($B1341,Data!$B$3:$EZ1530,25,FALSE)),1),"")</f>
        <v/>
      </c>
      <c r="K1341" s="48" t="str">
        <f>IFERROR(MINUS(DIVIDE(VLOOKUP($B1341,Data!$B$3:$EZ1530,29,FALSE),VLOOKUP($B1341,Data!$B$3:$EZ1530,30,FALSE)),1),"")</f>
        <v/>
      </c>
      <c r="L1341" s="48" t="str">
        <f>IFERROR(MINUS(DIVIDE(VLOOKUP($B1341,Data!$B$3:$EZ1530,34,FALSE),VLOOKUP($B1341,Data!$B$3:$EZ1530,35,FALSE)),1),"")</f>
        <v/>
      </c>
      <c r="M1341" s="48" t="str">
        <f>IFERROR(MINUS(DIVIDE(VLOOKUP($B1341,Data!$B$3:$EZ1530,39,FALSE),VLOOKUP($B1341,Data!$B$3:$EZ1530,40,FALSE)),1),"")</f>
        <v/>
      </c>
      <c r="N1341" s="48" t="str">
        <f>IFERROR(MINUS(DIVIDE(VLOOKUP($B1341,Data!$B$3:$EZ1530,44,FALSE),VLOOKUP($B1341,Data!$B$3:$EZ1530,45,FALSE)),1),"")</f>
        <v/>
      </c>
      <c r="O1341" s="50">
        <f>IFERROR(VLOOKUP($B1341,Data!$B$3:$D1530,2,FALSE),"")</f>
        <v>626900</v>
      </c>
      <c r="P1341" s="50">
        <f>IFERROR(VLOOKUP($B1341,Data!$B$3:$D1530,3,FALSE),"")</f>
        <v>588700</v>
      </c>
      <c r="Q1341" s="48">
        <f t="shared" si="2"/>
        <v>0.0648887379</v>
      </c>
      <c r="R1341" s="48"/>
      <c r="S1341" s="48"/>
      <c r="T1341" s="48"/>
      <c r="U1341" s="48"/>
      <c r="V1341" s="48"/>
      <c r="W1341" s="50"/>
      <c r="Z1341" s="12"/>
      <c r="AA1341" s="12"/>
    </row>
    <row r="1342">
      <c r="A1342" s="9">
        <f t="shared" si="1"/>
        <v>1339</v>
      </c>
      <c r="B1342" s="47" t="s">
        <v>1476</v>
      </c>
      <c r="C1342" s="48">
        <f>IFERROR(DIVIDE(VLOOKUP($B1342,Data!$B$3:$AB$1535,9,FALSE),VLOOKUP($B1342,Data!$B$3:$AB$1535,4,FALSE)),"")</f>
        <v>0.1567448276</v>
      </c>
      <c r="D1342" s="48">
        <f>IFERROR(DIVIDE(VLOOKUP($B1342,Data!$B$3:$AB$1535,24,FALSE),VLOOKUP($B1342,Data!$B$3:$AB$1535,4,FALSE)),"")</f>
        <v>0.03466551724</v>
      </c>
      <c r="E1342" s="48">
        <f>IFERROR(DIVIDE(VLOOKUP($B1342,Data!$B$3:$EZ1530,29,FALSE),VLOOKUP($B1342,Data!$B$3:$EZ1530,4,FALSE)),"")</f>
        <v>-0.0077</v>
      </c>
      <c r="F1342" s="48">
        <f>IFERROR(DIVIDE(VLOOKUP($B1342,Data!$B$3:$EZ1530,34,FALSE),VLOOKUP($B1342,Data!$B$3:$EZ1530,4,FALSE)),"")</f>
        <v>0.1155862069</v>
      </c>
      <c r="G1342" s="48">
        <f>IFERROR(DIVIDE(VLOOKUP($B1342,Data!$B$3:$EZ1530,39,FALSE),VLOOKUP($B1342,Data!$B$3:$EZ1530,4,FALSE)),"")</f>
        <v>-0.0097</v>
      </c>
      <c r="H1342" s="48">
        <f>IFERROR(DIVIDE(VLOOKUP($B1342,Data!$B$3:$EZ1530,44,FALSE),VLOOKUP($B1342,Data!$B$3:$EZ1530,4,FALSE)),"")</f>
        <v>0.03333448276</v>
      </c>
      <c r="I1342" s="48">
        <f>IFERROR(MINUS(DIVIDE(VLOOKUP($B1342,Data!$B$3:$EZ1530,9,FALSE),VLOOKUP($B1342,Data!$B$3:$EZ1530,10,FALSE)),1),"")</f>
        <v>1.040307016</v>
      </c>
      <c r="J1342" s="48">
        <f>IFERROR(MINUS(DIVIDE(VLOOKUP($B1342,Data!$B$3:$EZ1530,24,FALSE),VLOOKUP($B1342,Data!$B$3:$EZ1530,25,FALSE)),1),"")</f>
        <v>-3.55281869</v>
      </c>
      <c r="K1342" s="48">
        <f>IFERROR(MINUS(DIVIDE(VLOOKUP($B1342,Data!$B$3:$EZ1530,29,FALSE),VLOOKUP($B1342,Data!$B$3:$EZ1530,30,FALSE)),1),"")</f>
        <v>-0.9317521929</v>
      </c>
      <c r="L1342" s="48">
        <f>IFERROR(MINUS(DIVIDE(VLOOKUP($B1342,Data!$B$3:$EZ1530,34,FALSE),VLOOKUP($B1342,Data!$B$3:$EZ1530,35,FALSE)),1),"")</f>
        <v>3.510832997</v>
      </c>
      <c r="M1342" s="48">
        <f>IFERROR(MINUS(DIVIDE(VLOOKUP($B1342,Data!$B$3:$EZ1530,39,FALSE),VLOOKUP($B1342,Data!$B$3:$EZ1530,40,FALSE)),1),"")</f>
        <v>-0.9125773068</v>
      </c>
      <c r="N1342" s="48">
        <f>IFERROR(MINUS(DIVIDE(VLOOKUP($B1342,Data!$B$3:$EZ1530,44,FALSE),VLOOKUP($B1342,Data!$B$3:$EZ1530,45,FALSE)),1),"")</f>
        <v>-1.554236899</v>
      </c>
      <c r="O1342" s="50">
        <f>IFERROR(VLOOKUP($B1342,Data!$B$3:$D1530,2,FALSE),"")</f>
        <v>2020000</v>
      </c>
      <c r="P1342" s="50">
        <f>IFERROR(VLOOKUP($B1342,Data!$B$3:$D1530,3,FALSE),"")</f>
        <v>1970000</v>
      </c>
      <c r="Q1342" s="48">
        <f t="shared" si="2"/>
        <v>0.02538071066</v>
      </c>
      <c r="R1342" s="48"/>
      <c r="S1342" s="48"/>
      <c r="T1342" s="48"/>
      <c r="U1342" s="48"/>
      <c r="V1342" s="48"/>
      <c r="W1342" s="50"/>
      <c r="Z1342" s="11"/>
      <c r="AA1342" s="11"/>
    </row>
    <row r="1343">
      <c r="A1343" s="9">
        <f t="shared" si="1"/>
        <v>1340</v>
      </c>
      <c r="B1343" s="47" t="s">
        <v>1477</v>
      </c>
      <c r="C1343" s="48">
        <f>IFERROR(DIVIDE(VLOOKUP($B1343,Data!$B$3:$AB$1535,9,FALSE),VLOOKUP($B1343,Data!$B$3:$AB$1535,4,FALSE)),"")</f>
        <v>0.3054698197</v>
      </c>
      <c r="D1343" s="48">
        <f>IFERROR(DIVIDE(VLOOKUP($B1343,Data!$B$3:$AB$1535,24,FALSE),VLOOKUP($B1343,Data!$B$3:$AB$1535,4,FALSE)),"")</f>
        <v>0</v>
      </c>
      <c r="E1343" s="48">
        <f>IFERROR(DIVIDE(VLOOKUP($B1343,Data!$B$3:$EZ1530,29,FALSE),VLOOKUP($B1343,Data!$B$3:$EZ1530,4,FALSE)),"")</f>
        <v>0.08493652967</v>
      </c>
      <c r="F1343" s="48">
        <f>IFERROR(DIVIDE(VLOOKUP($B1343,Data!$B$3:$EZ1530,34,FALSE),VLOOKUP($B1343,Data!$B$3:$EZ1530,4,FALSE)),"")</f>
        <v>0.1883223875</v>
      </c>
      <c r="G1343" s="48">
        <f>IFERROR(DIVIDE(VLOOKUP($B1343,Data!$B$3:$EZ1530,39,FALSE),VLOOKUP($B1343,Data!$B$3:$EZ1530,4,FALSE)),"")</f>
        <v>0.05694924694</v>
      </c>
      <c r="H1343" s="48">
        <f>IFERROR(DIVIDE(VLOOKUP($B1343,Data!$B$3:$EZ1530,44,FALSE),VLOOKUP($B1343,Data!$B$3:$EZ1530,4,FALSE)),"")</f>
        <v>0.0620547214</v>
      </c>
      <c r="I1343" s="48">
        <f>IFERROR(MINUS(DIVIDE(VLOOKUP($B1343,Data!$B$3:$EZ1530,9,FALSE),VLOOKUP($B1343,Data!$B$3:$EZ1530,10,FALSE)),1),"")</f>
        <v>0.1413335646</v>
      </c>
      <c r="J1343" s="48" t="str">
        <f>IFERROR(MINUS(DIVIDE(VLOOKUP($B1343,Data!$B$3:$EZ1530,24,FALSE),VLOOKUP($B1343,Data!$B$3:$EZ1530,25,FALSE)),1),"")</f>
        <v/>
      </c>
      <c r="K1343" s="48">
        <f>IFERROR(MINUS(DIVIDE(VLOOKUP($B1343,Data!$B$3:$EZ1530,29,FALSE),VLOOKUP($B1343,Data!$B$3:$EZ1530,30,FALSE)),1),"")</f>
        <v>1.531120332</v>
      </c>
      <c r="L1343" s="48">
        <f>IFERROR(MINUS(DIVIDE(VLOOKUP($B1343,Data!$B$3:$EZ1530,34,FALSE),VLOOKUP($B1343,Data!$B$3:$EZ1530,35,FALSE)),1),"")</f>
        <v>0.1360772785</v>
      </c>
      <c r="M1343" s="48">
        <f>IFERROR(MINUS(DIVIDE(VLOOKUP($B1343,Data!$B$3:$EZ1530,39,FALSE),VLOOKUP($B1343,Data!$B$3:$EZ1530,40,FALSE)),1),"")</f>
        <v>1.717607973</v>
      </c>
      <c r="N1343" s="48">
        <f>IFERROR(MINUS(DIVIDE(VLOOKUP($B1343,Data!$B$3:$EZ1530,44,FALSE),VLOOKUP($B1343,Data!$B$3:$EZ1530,45,FALSE)),1),"")</f>
        <v>-6.31610338</v>
      </c>
      <c r="O1343" s="50">
        <f>IFERROR(VLOOKUP($B1343,Data!$B$3:$D1530,2,FALSE),"")</f>
        <v>385510</v>
      </c>
      <c r="P1343" s="50">
        <f>IFERROR(VLOOKUP($B1343,Data!$B$3:$D1530,3,FALSE),"")</f>
        <v>372130</v>
      </c>
      <c r="Q1343" s="48">
        <f t="shared" si="2"/>
        <v>0.03595517695</v>
      </c>
      <c r="R1343" s="48"/>
      <c r="S1343" s="48"/>
      <c r="T1343" s="48"/>
      <c r="U1343" s="48"/>
      <c r="V1343" s="48"/>
      <c r="W1343" s="50"/>
      <c r="Z1343" s="11"/>
      <c r="AA1343" s="11"/>
    </row>
    <row r="1344">
      <c r="A1344" s="9">
        <f t="shared" si="1"/>
        <v>1341</v>
      </c>
      <c r="B1344" s="47" t="s">
        <v>1478</v>
      </c>
      <c r="C1344" s="48">
        <f>IFERROR(DIVIDE(VLOOKUP($B1344,Data!$B$3:$AB$1535,9,FALSE),VLOOKUP($B1344,Data!$B$3:$AB$1535,4,FALSE)),"")</f>
        <v>0.5181285966</v>
      </c>
      <c r="D1344" s="48">
        <f>IFERROR(DIVIDE(VLOOKUP($B1344,Data!$B$3:$AB$1535,24,FALSE),VLOOKUP($B1344,Data!$B$3:$AB$1535,4,FALSE)),"")</f>
        <v>0.4704786615</v>
      </c>
      <c r="E1344" s="48">
        <f>IFERROR(DIVIDE(VLOOKUP($B1344,Data!$B$3:$EZ1530,29,FALSE),VLOOKUP($B1344,Data!$B$3:$EZ1530,4,FALSE)),"")</f>
        <v>0.2861989821</v>
      </c>
      <c r="F1344" s="48">
        <f>IFERROR(DIVIDE(VLOOKUP($B1344,Data!$B$3:$EZ1530,34,FALSE),VLOOKUP($B1344,Data!$B$3:$EZ1530,4,FALSE)),"")</f>
        <v>0.7081295945</v>
      </c>
      <c r="G1344" s="48">
        <f>IFERROR(DIVIDE(VLOOKUP($B1344,Data!$B$3:$EZ1530,39,FALSE),VLOOKUP($B1344,Data!$B$3:$EZ1530,4,FALSE)),"")</f>
        <v>0.2498918937</v>
      </c>
      <c r="H1344" s="48">
        <f>IFERROR(DIVIDE(VLOOKUP($B1344,Data!$B$3:$EZ1530,44,FALSE),VLOOKUP($B1344,Data!$B$3:$EZ1530,4,FALSE)),"")</f>
        <v>0.4971726042</v>
      </c>
      <c r="I1344" s="48">
        <f>IFERROR(MINUS(DIVIDE(VLOOKUP($B1344,Data!$B$3:$EZ1530,9,FALSE),VLOOKUP($B1344,Data!$B$3:$EZ1530,10,FALSE)),1),"")</f>
        <v>0.295396898</v>
      </c>
      <c r="J1344" s="48">
        <f>IFERROR(MINUS(DIVIDE(VLOOKUP($B1344,Data!$B$3:$EZ1530,24,FALSE),VLOOKUP($B1344,Data!$B$3:$EZ1530,25,FALSE)),1),"")</f>
        <v>0.4149659864</v>
      </c>
      <c r="K1344" s="48">
        <f>IFERROR(MINUS(DIVIDE(VLOOKUP($B1344,Data!$B$3:$EZ1530,29,FALSE),VLOOKUP($B1344,Data!$B$3:$EZ1530,30,FALSE)),1),"")</f>
        <v>4.71884347</v>
      </c>
      <c r="L1344" s="48">
        <f>IFERROR(MINUS(DIVIDE(VLOOKUP($B1344,Data!$B$3:$EZ1530,34,FALSE),VLOOKUP($B1344,Data!$B$3:$EZ1530,35,FALSE)),1),"")</f>
        <v>0.2953542852</v>
      </c>
      <c r="M1344" s="48">
        <f>IFERROR(MINUS(DIVIDE(VLOOKUP($B1344,Data!$B$3:$EZ1530,39,FALSE),VLOOKUP($B1344,Data!$B$3:$EZ1530,40,FALSE)),1),"")</f>
        <v>4.305437853</v>
      </c>
      <c r="N1344" s="48">
        <f>IFERROR(MINUS(DIVIDE(VLOOKUP($B1344,Data!$B$3:$EZ1530,44,FALSE),VLOOKUP($B1344,Data!$B$3:$EZ1530,45,FALSE)),1),"")</f>
        <v>1.278429878</v>
      </c>
      <c r="O1344" s="50">
        <f>IFERROR(VLOOKUP($B1344,Data!$B$3:$D1530,2,FALSE),"")</f>
        <v>582620</v>
      </c>
      <c r="P1344" s="50">
        <f>IFERROR(VLOOKUP($B1344,Data!$B$3:$D1530,3,FALSE),"")</f>
        <v>575740</v>
      </c>
      <c r="Q1344" s="48">
        <f t="shared" si="2"/>
        <v>0.01194983847</v>
      </c>
      <c r="R1344" s="48"/>
      <c r="S1344" s="48"/>
      <c r="T1344" s="48"/>
      <c r="U1344" s="48"/>
      <c r="V1344" s="48"/>
      <c r="W1344" s="50"/>
      <c r="Z1344" s="11"/>
      <c r="AA1344" s="11"/>
    </row>
    <row r="1345">
      <c r="A1345" s="9">
        <f t="shared" si="1"/>
        <v>1342</v>
      </c>
      <c r="B1345" s="47" t="s">
        <v>1479</v>
      </c>
      <c r="C1345" s="48">
        <f>IFERROR(DIVIDE(VLOOKUP($B1345,Data!$B$3:$AB$1535,9,FALSE),VLOOKUP($B1345,Data!$B$3:$AB$1535,4,FALSE)),"")</f>
        <v>0.2674433491</v>
      </c>
      <c r="D1345" s="48">
        <f>IFERROR(DIVIDE(VLOOKUP($B1345,Data!$B$3:$AB$1535,24,FALSE),VLOOKUP($B1345,Data!$B$3:$AB$1535,4,FALSE)),"")</f>
        <v>0.05901933171</v>
      </c>
      <c r="E1345" s="48">
        <f>IFERROR(DIVIDE(VLOOKUP($B1345,Data!$B$3:$EZ1530,29,FALSE),VLOOKUP($B1345,Data!$B$3:$EZ1530,4,FALSE)),"")</f>
        <v>0.05364229932</v>
      </c>
      <c r="F1345" s="48">
        <f>IFERROR(DIVIDE(VLOOKUP($B1345,Data!$B$3:$EZ1530,34,FALSE),VLOOKUP($B1345,Data!$B$3:$EZ1530,4,FALSE)),"")</f>
        <v>0.09332991934</v>
      </c>
      <c r="G1345" s="48">
        <f>IFERROR(DIVIDE(VLOOKUP($B1345,Data!$B$3:$EZ1530,39,FALSE),VLOOKUP($B1345,Data!$B$3:$EZ1530,4,FALSE)),"")</f>
        <v>0.0418640379</v>
      </c>
      <c r="H1345" s="48">
        <f>IFERROR(DIVIDE(VLOOKUP($B1345,Data!$B$3:$EZ1530,44,FALSE),VLOOKUP($B1345,Data!$B$3:$EZ1530,4,FALSE)),"")</f>
        <v>0.09115350147</v>
      </c>
      <c r="I1345" s="48">
        <f>IFERROR(MINUS(DIVIDE(VLOOKUP($B1345,Data!$B$3:$EZ1530,9,FALSE),VLOOKUP($B1345,Data!$B$3:$EZ1530,10,FALSE)),1),"")</f>
        <v>0.05345436208</v>
      </c>
      <c r="J1345" s="48">
        <f>IFERROR(MINUS(DIVIDE(VLOOKUP($B1345,Data!$B$3:$EZ1530,24,FALSE),VLOOKUP($B1345,Data!$B$3:$EZ1530,25,FALSE)),1),"")</f>
        <v>0.1216545012</v>
      </c>
      <c r="K1345" s="48">
        <f>IFERROR(MINUS(DIVIDE(VLOOKUP($B1345,Data!$B$3:$EZ1530,29,FALSE),VLOOKUP($B1345,Data!$B$3:$EZ1530,30,FALSE)),1),"")</f>
        <v>0.1385869565</v>
      </c>
      <c r="L1345" s="48">
        <f>IFERROR(MINUS(DIVIDE(VLOOKUP($B1345,Data!$B$3:$EZ1530,34,FALSE),VLOOKUP($B1345,Data!$B$3:$EZ1530,35,FALSE)),1),"")</f>
        <v>0.09131736527</v>
      </c>
      <c r="M1345" s="48">
        <f>IFERROR(MINUS(DIVIDE(VLOOKUP($B1345,Data!$B$3:$EZ1530,39,FALSE),VLOOKUP($B1345,Data!$B$3:$EZ1530,40,FALSE)),1),"")</f>
        <v>0.1160409556</v>
      </c>
      <c r="N1345" s="48">
        <f>IFERROR(MINUS(DIVIDE(VLOOKUP($B1345,Data!$B$3:$EZ1530,44,FALSE),VLOOKUP($B1345,Data!$B$3:$EZ1530,45,FALSE)),1),"")</f>
        <v>0.1926298157</v>
      </c>
      <c r="O1345" s="50">
        <f>IFERROR(VLOOKUP($B1345,Data!$B$3:$D1530,2,FALSE),"")</f>
        <v>84770000</v>
      </c>
      <c r="P1345" s="50">
        <f>IFERROR(VLOOKUP($B1345,Data!$B$3:$D1530,3,FALSE),"")</f>
        <v>83610000</v>
      </c>
      <c r="Q1345" s="48">
        <f t="shared" si="2"/>
        <v>0.01387393852</v>
      </c>
      <c r="R1345" s="48"/>
      <c r="S1345" s="48"/>
      <c r="T1345" s="48"/>
      <c r="U1345" s="48"/>
      <c r="V1345" s="48"/>
      <c r="W1345" s="50"/>
      <c r="Z1345" s="12"/>
      <c r="AA1345" s="12"/>
    </row>
    <row r="1346">
      <c r="A1346" s="9">
        <f t="shared" si="1"/>
        <v>1343</v>
      </c>
      <c r="B1346" s="47" t="s">
        <v>1480</v>
      </c>
      <c r="C1346" s="48">
        <f>IFERROR(DIVIDE(VLOOKUP($B1346,Data!$B$3:$AB$1535,9,FALSE),VLOOKUP($B1346,Data!$B$3:$AB$1535,4,FALSE)),"")</f>
        <v>0</v>
      </c>
      <c r="D1346" s="48">
        <f>IFERROR(DIVIDE(VLOOKUP($B1346,Data!$B$3:$AB$1535,24,FALSE),VLOOKUP($B1346,Data!$B$3:$AB$1535,4,FALSE)),"")</f>
        <v>-1114.802632</v>
      </c>
      <c r="E1346" s="48">
        <f>IFERROR(DIVIDE(VLOOKUP($B1346,Data!$B$3:$EZ1530,29,FALSE),VLOOKUP($B1346,Data!$B$3:$EZ1530,4,FALSE)),"")</f>
        <v>-1137.302632</v>
      </c>
      <c r="F1346" s="48">
        <f>IFERROR(DIVIDE(VLOOKUP($B1346,Data!$B$3:$EZ1530,34,FALSE),VLOOKUP($B1346,Data!$B$3:$EZ1530,4,FALSE)),"")</f>
        <v>-1118.223684</v>
      </c>
      <c r="G1346" s="48">
        <f>IFERROR(DIVIDE(VLOOKUP($B1346,Data!$B$3:$EZ1530,39,FALSE),VLOOKUP($B1346,Data!$B$3:$EZ1530,4,FALSE)),"")</f>
        <v>-1137.302632</v>
      </c>
      <c r="H1346" s="48">
        <f>IFERROR(DIVIDE(VLOOKUP($B1346,Data!$B$3:$EZ1530,44,FALSE),VLOOKUP($B1346,Data!$B$3:$EZ1530,4,FALSE)),"")</f>
        <v>-863.5526316</v>
      </c>
      <c r="I1346" s="48" t="str">
        <f>IFERROR(MINUS(DIVIDE(VLOOKUP($B1346,Data!$B$3:$EZ1530,9,FALSE),VLOOKUP($B1346,Data!$B$3:$EZ1530,10,FALSE)),1),"")</f>
        <v/>
      </c>
      <c r="J1346" s="48">
        <f>IFERROR(MINUS(DIVIDE(VLOOKUP($B1346,Data!$B$3:$EZ1530,24,FALSE),VLOOKUP($B1346,Data!$B$3:$EZ1530,25,FALSE)),1),"")</f>
        <v>-0.02311772166</v>
      </c>
      <c r="K1346" s="48">
        <f>IFERROR(MINUS(DIVIDE(VLOOKUP($B1346,Data!$B$3:$EZ1530,29,FALSE),VLOOKUP($B1346,Data!$B$3:$EZ1530,30,FALSE)),1),"")</f>
        <v>-0.003516255476</v>
      </c>
      <c r="L1346" s="48">
        <f>IFERROR(MINUS(DIVIDE(VLOOKUP($B1346,Data!$B$3:$EZ1530,34,FALSE),VLOOKUP($B1346,Data!$B$3:$EZ1530,35,FALSE)),1),"")</f>
        <v>-0.02489816993</v>
      </c>
      <c r="M1346" s="48">
        <f>IFERROR(MINUS(DIVIDE(VLOOKUP($B1346,Data!$B$3:$EZ1530,39,FALSE),VLOOKUP($B1346,Data!$B$3:$EZ1530,40,FALSE)),1),"")</f>
        <v>-0.003516255476</v>
      </c>
      <c r="N1346" s="48">
        <f>IFERROR(MINUS(DIVIDE(VLOOKUP($B1346,Data!$B$3:$EZ1530,44,FALSE),VLOOKUP($B1346,Data!$B$3:$EZ1530,45,FALSE)),1),"")</f>
        <v>0.01807182192</v>
      </c>
      <c r="O1346" s="50">
        <f>IFERROR(VLOOKUP($B1346,Data!$B$3:$D1530,2,FALSE),"")</f>
        <v>79730</v>
      </c>
      <c r="P1346" s="50" t="str">
        <f>IFERROR(VLOOKUP($B1346,Data!$B$3:$D1530,3,FALSE),"")</f>
        <v/>
      </c>
      <c r="Q1346" s="48" t="str">
        <f t="shared" si="2"/>
        <v/>
      </c>
      <c r="R1346" s="48"/>
      <c r="S1346" s="48"/>
      <c r="T1346" s="48"/>
      <c r="U1346" s="48"/>
      <c r="V1346" s="48"/>
      <c r="W1346" s="50"/>
      <c r="Z1346" s="11"/>
      <c r="AA1346" s="11"/>
    </row>
    <row r="1347">
      <c r="A1347" s="9">
        <f t="shared" si="1"/>
        <v>1344</v>
      </c>
      <c r="B1347" s="47" t="s">
        <v>1481</v>
      </c>
      <c r="C1347" s="48">
        <f>IFERROR(DIVIDE(VLOOKUP($B1347,Data!$B$3:$AB$1535,9,FALSE),VLOOKUP($B1347,Data!$B$3:$AB$1535,4,FALSE)),"")</f>
        <v>0.09090909091</v>
      </c>
      <c r="D1347" s="48">
        <f>IFERROR(DIVIDE(VLOOKUP($B1347,Data!$B$3:$AB$1535,24,FALSE),VLOOKUP($B1347,Data!$B$3:$AB$1535,4,FALSE)),"")</f>
        <v>0.06114718615</v>
      </c>
      <c r="E1347" s="48">
        <f>IFERROR(DIVIDE(VLOOKUP($B1347,Data!$B$3:$EZ1530,29,FALSE),VLOOKUP($B1347,Data!$B$3:$EZ1530,4,FALSE)),"")</f>
        <v>0.01601731602</v>
      </c>
      <c r="F1347" s="48">
        <f>IFERROR(DIVIDE(VLOOKUP($B1347,Data!$B$3:$EZ1530,34,FALSE),VLOOKUP($B1347,Data!$B$3:$EZ1530,4,FALSE)),"")</f>
        <v>0.1369047619</v>
      </c>
      <c r="G1347" s="48">
        <f>IFERROR(DIVIDE(VLOOKUP($B1347,Data!$B$3:$EZ1530,39,FALSE),VLOOKUP($B1347,Data!$B$3:$EZ1530,4,FALSE)),"")</f>
        <v>0</v>
      </c>
      <c r="H1347" s="48">
        <f>IFERROR(DIVIDE(VLOOKUP($B1347,Data!$B$3:$EZ1530,44,FALSE),VLOOKUP($B1347,Data!$B$3:$EZ1530,4,FALSE)),"")</f>
        <v>0.06655844156</v>
      </c>
      <c r="I1347" s="48">
        <f>IFERROR(MINUS(DIVIDE(VLOOKUP($B1347,Data!$B$3:$EZ1530,9,FALSE),VLOOKUP($B1347,Data!$B$3:$EZ1530,10,FALSE)),1),"")</f>
        <v>0.04347826087</v>
      </c>
      <c r="J1347" s="48">
        <f>IFERROR(MINUS(DIVIDE(VLOOKUP($B1347,Data!$B$3:$EZ1530,24,FALSE),VLOOKUP($B1347,Data!$B$3:$EZ1530,25,FALSE)),1),"")</f>
        <v>-0.1751824818</v>
      </c>
      <c r="K1347" s="48">
        <f>IFERROR(MINUS(DIVIDE(VLOOKUP($B1347,Data!$B$3:$EZ1530,29,FALSE),VLOOKUP($B1347,Data!$B$3:$EZ1530,30,FALSE)),1),"")</f>
        <v>-0.5367762128</v>
      </c>
      <c r="L1347" s="48">
        <f>IFERROR(MINUS(DIVIDE(VLOOKUP($B1347,Data!$B$3:$EZ1530,34,FALSE),VLOOKUP($B1347,Data!$B$3:$EZ1530,35,FALSE)),1),"")</f>
        <v>0.04545454545</v>
      </c>
      <c r="M1347" s="48">
        <f>IFERROR(MINUS(DIVIDE(VLOOKUP($B1347,Data!$B$3:$EZ1530,39,FALSE),VLOOKUP($B1347,Data!$B$3:$EZ1530,40,FALSE)),1),"")</f>
        <v>-1</v>
      </c>
      <c r="N1347" s="48">
        <f>IFERROR(MINUS(DIVIDE(VLOOKUP($B1347,Data!$B$3:$EZ1530,44,FALSE),VLOOKUP($B1347,Data!$B$3:$EZ1530,45,FALSE)),1),"")</f>
        <v>0.1714285714</v>
      </c>
      <c r="O1347" s="50">
        <f>IFERROR(VLOOKUP($B1347,Data!$B$3:$D1530,2,FALSE),"")</f>
        <v>19280000</v>
      </c>
      <c r="P1347" s="50">
        <f>IFERROR(VLOOKUP($B1347,Data!$B$3:$D1530,3,FALSE),"")</f>
        <v>17620000</v>
      </c>
      <c r="Q1347" s="48">
        <f t="shared" si="2"/>
        <v>0.09421112372</v>
      </c>
      <c r="R1347" s="48"/>
      <c r="S1347" s="48"/>
      <c r="T1347" s="48"/>
      <c r="U1347" s="48"/>
      <c r="V1347" s="48"/>
      <c r="W1347" s="50"/>
      <c r="Z1347" s="15"/>
      <c r="AA1347" s="15"/>
    </row>
    <row r="1348">
      <c r="A1348" s="9">
        <f t="shared" si="1"/>
        <v>1345</v>
      </c>
      <c r="B1348" s="47" t="s">
        <v>1482</v>
      </c>
      <c r="C1348" s="48">
        <f>IFERROR(DIVIDE(VLOOKUP($B1348,Data!$B$3:$AB$1535,9,FALSE),VLOOKUP($B1348,Data!$B$3:$AB$1535,4,FALSE)),"")</f>
        <v>0.1131017812</v>
      </c>
      <c r="D1348" s="48">
        <f>IFERROR(DIVIDE(VLOOKUP($B1348,Data!$B$3:$AB$1535,24,FALSE),VLOOKUP($B1348,Data!$B$3:$AB$1535,4,FALSE)),"")</f>
        <v>0.03129516539</v>
      </c>
      <c r="E1348" s="48">
        <f>IFERROR(DIVIDE(VLOOKUP($B1348,Data!$B$3:$EZ1530,29,FALSE),VLOOKUP($B1348,Data!$B$3:$EZ1530,4,FALSE)),"")</f>
        <v>0.02349491094</v>
      </c>
      <c r="F1348" s="48">
        <f>IFERROR(DIVIDE(VLOOKUP($B1348,Data!$B$3:$EZ1530,34,FALSE),VLOOKUP($B1348,Data!$B$3:$EZ1530,4,FALSE)),"")</f>
        <v>0.06489312977</v>
      </c>
      <c r="G1348" s="48">
        <f>IFERROR(DIVIDE(VLOOKUP($B1348,Data!$B$3:$EZ1530,39,FALSE),VLOOKUP($B1348,Data!$B$3:$EZ1530,4,FALSE)),"")</f>
        <v>0.016956743</v>
      </c>
      <c r="H1348" s="48">
        <f>IFERROR(DIVIDE(VLOOKUP($B1348,Data!$B$3:$EZ1530,44,FALSE),VLOOKUP($B1348,Data!$B$3:$EZ1530,4,FALSE)),"")</f>
        <v>0.06463358779</v>
      </c>
      <c r="I1348" s="48">
        <f>IFERROR(MINUS(DIVIDE(VLOOKUP($B1348,Data!$B$3:$EZ1530,9,FALSE),VLOOKUP($B1348,Data!$B$3:$EZ1530,10,FALSE)),1),"")</f>
        <v>-0.3463382353</v>
      </c>
      <c r="J1348" s="48" t="str">
        <f>IFERROR(MINUS(DIVIDE(VLOOKUP($B1348,Data!$B$3:$EZ1530,24,FALSE),VLOOKUP($B1348,Data!$B$3:$EZ1530,25,FALSE)),1),"")</f>
        <v/>
      </c>
      <c r="K1348" s="48">
        <f>IFERROR(MINUS(DIVIDE(VLOOKUP($B1348,Data!$B$3:$EZ1530,29,FALSE),VLOOKUP($B1348,Data!$B$3:$EZ1530,30,FALSE)),1),"")</f>
        <v>-0.7082760691</v>
      </c>
      <c r="L1348" s="48">
        <f>IFERROR(MINUS(DIVIDE(VLOOKUP($B1348,Data!$B$3:$EZ1530,34,FALSE),VLOOKUP($B1348,Data!$B$3:$EZ1530,35,FALSE)),1),"")</f>
        <v>-0.2967890477</v>
      </c>
      <c r="M1348" s="48">
        <f>IFERROR(MINUS(DIVIDE(VLOOKUP($B1348,Data!$B$3:$EZ1530,39,FALSE),VLOOKUP($B1348,Data!$B$3:$EZ1530,40,FALSE)),1),"")</f>
        <v>-0.6901545972</v>
      </c>
      <c r="N1348" s="48">
        <f>IFERROR(MINUS(DIVIDE(VLOOKUP($B1348,Data!$B$3:$EZ1530,44,FALSE),VLOOKUP($B1348,Data!$B$3:$EZ1530,45,FALSE)),1),"")</f>
        <v>0.08897987181</v>
      </c>
      <c r="O1348" s="50">
        <f>IFERROR(VLOOKUP($B1348,Data!$B$3:$D1530,2,FALSE),"")</f>
        <v>9450000</v>
      </c>
      <c r="P1348" s="50">
        <f>IFERROR(VLOOKUP($B1348,Data!$B$3:$D1530,3,FALSE),"")</f>
        <v>8080000</v>
      </c>
      <c r="Q1348" s="48">
        <f t="shared" si="2"/>
        <v>0.1695544554</v>
      </c>
      <c r="R1348" s="48"/>
      <c r="S1348" s="48"/>
      <c r="T1348" s="48"/>
      <c r="U1348" s="48"/>
      <c r="V1348" s="48"/>
      <c r="W1348" s="50"/>
      <c r="Z1348" s="11"/>
      <c r="AA1348" s="12"/>
    </row>
    <row r="1349">
      <c r="A1349" s="9">
        <f t="shared" si="1"/>
        <v>1346</v>
      </c>
      <c r="B1349" s="54" t="s">
        <v>1483</v>
      </c>
      <c r="C1349" s="48">
        <f>IFERROR(DIVIDE(VLOOKUP($B1349,Data!$B$3:$AB$1535,9,FALSE),VLOOKUP($B1349,Data!$B$3:$AB$1535,4,FALSE)),"")</f>
        <v>0.1693706294</v>
      </c>
      <c r="D1349" s="48">
        <f>IFERROR(DIVIDE(VLOOKUP($B1349,Data!$B$3:$AB$1535,24,FALSE),VLOOKUP($B1349,Data!$B$3:$AB$1535,4,FALSE)),"")</f>
        <v>-0.01482517483</v>
      </c>
      <c r="E1349" s="48">
        <f>IFERROR(DIVIDE(VLOOKUP($B1349,Data!$B$3:$EZ1530,29,FALSE),VLOOKUP($B1349,Data!$B$3:$EZ1530,4,FALSE)),"")</f>
        <v>-0.03631701632</v>
      </c>
      <c r="F1349" s="48">
        <f>IFERROR(DIVIDE(VLOOKUP($B1349,Data!$B$3:$EZ1530,34,FALSE),VLOOKUP($B1349,Data!$B$3:$EZ1530,4,FALSE)),"")</f>
        <v>0.1057808858</v>
      </c>
      <c r="G1349" s="48">
        <f>IFERROR(DIVIDE(VLOOKUP($B1349,Data!$B$3:$EZ1530,39,FALSE),VLOOKUP($B1349,Data!$B$3:$EZ1530,4,FALSE)),"")</f>
        <v>-0.02571095571</v>
      </c>
      <c r="H1349" s="48">
        <f>IFERROR(DIVIDE(VLOOKUP($B1349,Data!$B$3:$EZ1530,44,FALSE),VLOOKUP($B1349,Data!$B$3:$EZ1530,4,FALSE)),"")</f>
        <v>0.07172494172</v>
      </c>
      <c r="I1349" s="48">
        <f>IFERROR(MINUS(DIVIDE(VLOOKUP($B1349,Data!$B$3:$EZ1530,9,FALSE),VLOOKUP($B1349,Data!$B$3:$EZ1530,10,FALSE)),1),"")</f>
        <v>-0.1178827243</v>
      </c>
      <c r="J1349" s="48">
        <f>IFERROR(MINUS(DIVIDE(VLOOKUP($B1349,Data!$B$3:$EZ1530,24,FALSE),VLOOKUP($B1349,Data!$B$3:$EZ1530,25,FALSE)),1),"")</f>
        <v>-0.6709777548</v>
      </c>
      <c r="K1349" s="48">
        <f>IFERROR(MINUS(DIVIDE(VLOOKUP($B1349,Data!$B$3:$EZ1530,29,FALSE),VLOOKUP($B1349,Data!$B$3:$EZ1530,30,FALSE)),1),"")</f>
        <v>1.704861111</v>
      </c>
      <c r="L1349" s="48">
        <f>IFERROR(MINUS(DIVIDE(VLOOKUP($B1349,Data!$B$3:$EZ1530,34,FALSE),VLOOKUP($B1349,Data!$B$3:$EZ1530,35,FALSE)),1),"")</f>
        <v>-0.01197474418</v>
      </c>
      <c r="M1349" s="48">
        <f>IFERROR(MINUS(DIVIDE(VLOOKUP($B1349,Data!$B$3:$EZ1530,39,FALSE),VLOOKUP($B1349,Data!$B$3:$EZ1530,40,FALSE)),1),"")</f>
        <v>1.387445887</v>
      </c>
      <c r="N1349" s="48">
        <f>IFERROR(MINUS(DIVIDE(VLOOKUP($B1349,Data!$B$3:$EZ1530,44,FALSE),VLOOKUP($B1349,Data!$B$3:$EZ1530,45,FALSE)),1),"")</f>
        <v>-0.3887564561</v>
      </c>
      <c r="O1349" s="50">
        <f>IFERROR(VLOOKUP($B1349,Data!$B$3:$D1530,2,FALSE),"")</f>
        <v>4330000</v>
      </c>
      <c r="P1349" s="50">
        <f>IFERROR(VLOOKUP($B1349,Data!$B$3:$D1530,3,FALSE),"")</f>
        <v>4360000</v>
      </c>
      <c r="Q1349" s="48">
        <f t="shared" si="2"/>
        <v>-0.006880733945</v>
      </c>
      <c r="R1349" s="48"/>
      <c r="S1349" s="48"/>
      <c r="T1349" s="48"/>
      <c r="U1349" s="48"/>
      <c r="V1349" s="48"/>
      <c r="W1349" s="50"/>
      <c r="Z1349" s="11"/>
      <c r="AA1349" s="11"/>
    </row>
    <row r="1350">
      <c r="A1350" s="9">
        <f t="shared" si="1"/>
        <v>1347</v>
      </c>
      <c r="B1350" s="54" t="s">
        <v>1484</v>
      </c>
      <c r="C1350" s="48">
        <f>IFERROR(DIVIDE(VLOOKUP($B1350,Data!$B$3:$AB$1535,9,FALSE),VLOOKUP($B1350,Data!$B$3:$AB$1535,4,FALSE)),"")</f>
        <v>0.6244343891</v>
      </c>
      <c r="D1350" s="48">
        <f>IFERROR(DIVIDE(VLOOKUP($B1350,Data!$B$3:$AB$1535,24,FALSE),VLOOKUP($B1350,Data!$B$3:$AB$1535,4,FALSE)),"")</f>
        <v>0</v>
      </c>
      <c r="E1350" s="48">
        <f>IFERROR(DIVIDE(VLOOKUP($B1350,Data!$B$3:$EZ1530,29,FALSE),VLOOKUP($B1350,Data!$B$3:$EZ1530,4,FALSE)),"")</f>
        <v>0.1561764706</v>
      </c>
      <c r="F1350" s="48">
        <f>IFERROR(DIVIDE(VLOOKUP($B1350,Data!$B$3:$EZ1530,34,FALSE),VLOOKUP($B1350,Data!$B$3:$EZ1530,4,FALSE)),"")</f>
        <v>0.2235520362</v>
      </c>
      <c r="G1350" s="48">
        <f>IFERROR(DIVIDE(VLOOKUP($B1350,Data!$B$3:$EZ1530,39,FALSE),VLOOKUP($B1350,Data!$B$3:$EZ1530,4,FALSE)),"")</f>
        <v>0.1224208145</v>
      </c>
      <c r="H1350" s="48">
        <f>IFERROR(DIVIDE(VLOOKUP($B1350,Data!$B$3:$EZ1530,44,FALSE),VLOOKUP($B1350,Data!$B$3:$EZ1530,4,FALSE)),"")</f>
        <v>0.1517873303</v>
      </c>
      <c r="I1350" s="48">
        <f>IFERROR(MINUS(DIVIDE(VLOOKUP($B1350,Data!$B$3:$EZ1530,9,FALSE),VLOOKUP($B1350,Data!$B$3:$EZ1530,10,FALSE)),1),"")</f>
        <v>-0.01779359431</v>
      </c>
      <c r="J1350" s="48" t="str">
        <f>IFERROR(MINUS(DIVIDE(VLOOKUP($B1350,Data!$B$3:$EZ1530,24,FALSE),VLOOKUP($B1350,Data!$B$3:$EZ1530,25,FALSE)),1),"")</f>
        <v/>
      </c>
      <c r="K1350" s="48">
        <f>IFERROR(MINUS(DIVIDE(VLOOKUP($B1350,Data!$B$3:$EZ1530,29,FALSE),VLOOKUP($B1350,Data!$B$3:$EZ1530,30,FALSE)),1),"")</f>
        <v>-0.07155346335</v>
      </c>
      <c r="L1350" s="48">
        <f>IFERROR(MINUS(DIVIDE(VLOOKUP($B1350,Data!$B$3:$EZ1530,34,FALSE),VLOOKUP($B1350,Data!$B$3:$EZ1530,35,FALSE)),1),"")</f>
        <v>-0.0312745098</v>
      </c>
      <c r="M1350" s="48">
        <f>IFERROR(MINUS(DIVIDE(VLOOKUP($B1350,Data!$B$3:$EZ1530,39,FALSE),VLOOKUP($B1350,Data!$B$3:$EZ1530,40,FALSE)),1),"")</f>
        <v>-0.07725102319</v>
      </c>
      <c r="N1350" s="48">
        <f>IFERROR(MINUS(DIVIDE(VLOOKUP($B1350,Data!$B$3:$EZ1530,44,FALSE),VLOOKUP($B1350,Data!$B$3:$EZ1530,45,FALSE)),1),"")</f>
        <v>0.266805136</v>
      </c>
      <c r="O1350" s="50">
        <f>IFERROR(VLOOKUP($B1350,Data!$B$3:$D1530,2,FALSE),"")</f>
        <v>4310000</v>
      </c>
      <c r="P1350" s="50">
        <f>IFERROR(VLOOKUP($B1350,Data!$B$3:$D1530,3,FALSE),"")</f>
        <v>3620000</v>
      </c>
      <c r="Q1350" s="48">
        <f t="shared" si="2"/>
        <v>0.1906077348</v>
      </c>
      <c r="R1350" s="48"/>
      <c r="S1350" s="48"/>
      <c r="T1350" s="48"/>
      <c r="U1350" s="48"/>
      <c r="V1350" s="48"/>
      <c r="W1350" s="50"/>
      <c r="Z1350" s="15"/>
      <c r="AA1350" s="15"/>
    </row>
    <row r="1351">
      <c r="A1351" s="9">
        <f t="shared" si="1"/>
        <v>1348</v>
      </c>
      <c r="B1351" s="47" t="s">
        <v>1485</v>
      </c>
      <c r="C1351" s="48">
        <f>IFERROR(DIVIDE(VLOOKUP($B1351,Data!$B$3:$AB$1535,9,FALSE),VLOOKUP($B1351,Data!$B$3:$AB$1535,4,FALSE)),"")</f>
        <v>0.381119403</v>
      </c>
      <c r="D1351" s="48">
        <f>IFERROR(DIVIDE(VLOOKUP($B1351,Data!$B$3:$AB$1535,24,FALSE),VLOOKUP($B1351,Data!$B$3:$AB$1535,4,FALSE)),"")</f>
        <v>0.09779850746</v>
      </c>
      <c r="E1351" s="48">
        <f>IFERROR(DIVIDE(VLOOKUP($B1351,Data!$B$3:$EZ1530,29,FALSE),VLOOKUP($B1351,Data!$B$3:$EZ1530,4,FALSE)),"")</f>
        <v>0.07598507463</v>
      </c>
      <c r="F1351" s="48">
        <f>IFERROR(DIVIDE(VLOOKUP($B1351,Data!$B$3:$EZ1530,34,FALSE),VLOOKUP($B1351,Data!$B$3:$EZ1530,4,FALSE)),"")</f>
        <v>0.1430597015</v>
      </c>
      <c r="G1351" s="48">
        <f>IFERROR(DIVIDE(VLOOKUP($B1351,Data!$B$3:$EZ1530,39,FALSE),VLOOKUP($B1351,Data!$B$3:$EZ1530,4,FALSE)),"")</f>
        <v>0.05910447761</v>
      </c>
      <c r="H1351" s="48">
        <f>IFERROR(DIVIDE(VLOOKUP($B1351,Data!$B$3:$EZ1530,44,FALSE),VLOOKUP($B1351,Data!$B$3:$EZ1530,4,FALSE)),"")</f>
        <v>0.1057985075</v>
      </c>
      <c r="I1351" s="48">
        <f>IFERROR(MINUS(DIVIDE(VLOOKUP($B1351,Data!$B$3:$EZ1530,9,FALSE),VLOOKUP($B1351,Data!$B$3:$EZ1530,10,FALSE)),1),"")</f>
        <v>0.203459327</v>
      </c>
      <c r="J1351" s="48">
        <f>IFERROR(MINUS(DIVIDE(VLOOKUP($B1351,Data!$B$3:$EZ1530,24,FALSE),VLOOKUP($B1351,Data!$B$3:$EZ1530,25,FALSE)),1),"")</f>
        <v>0.8155998892</v>
      </c>
      <c r="K1351" s="48">
        <f>IFERROR(MINUS(DIVIDE(VLOOKUP($B1351,Data!$B$3:$EZ1530,29,FALSE),VLOOKUP($B1351,Data!$B$3:$EZ1530,30,FALSE)),1),"")</f>
        <v>0.8516093835</v>
      </c>
      <c r="L1351" s="48">
        <f>IFERROR(MINUS(DIVIDE(VLOOKUP($B1351,Data!$B$3:$EZ1530,34,FALSE),VLOOKUP($B1351,Data!$B$3:$EZ1530,35,FALSE)),1),"")</f>
        <v>0.306926643</v>
      </c>
      <c r="M1351" s="48">
        <f>IFERROR(MINUS(DIVIDE(VLOOKUP($B1351,Data!$B$3:$EZ1530,39,FALSE),VLOOKUP($B1351,Data!$B$3:$EZ1530,40,FALSE)),1),"")</f>
        <v>0.576119403</v>
      </c>
      <c r="N1351" s="48">
        <f>IFERROR(MINUS(DIVIDE(VLOOKUP($B1351,Data!$B$3:$EZ1530,44,FALSE),VLOOKUP($B1351,Data!$B$3:$EZ1530,45,FALSE)),1),"")</f>
        <v>0.5448403618</v>
      </c>
      <c r="O1351" s="50">
        <f>IFERROR(VLOOKUP($B1351,Data!$B$3:$D1530,2,FALSE),"")</f>
        <v>1190000</v>
      </c>
      <c r="P1351" s="50">
        <f>IFERROR(VLOOKUP($B1351,Data!$B$3:$D1530,3,FALSE),"")</f>
        <v>1100000</v>
      </c>
      <c r="Q1351" s="48">
        <f t="shared" si="2"/>
        <v>0.08181818182</v>
      </c>
      <c r="R1351" s="48"/>
      <c r="S1351" s="48"/>
      <c r="T1351" s="48"/>
      <c r="U1351" s="48"/>
      <c r="V1351" s="48"/>
      <c r="W1351" s="50"/>
      <c r="Z1351" s="15"/>
      <c r="AA1351" s="15"/>
    </row>
    <row r="1352">
      <c r="A1352" s="9">
        <f t="shared" si="1"/>
        <v>1349</v>
      </c>
      <c r="B1352" s="47" t="s">
        <v>1486</v>
      </c>
      <c r="C1352" s="48">
        <f>IFERROR(DIVIDE(VLOOKUP($B1352,Data!$B$3:$AB$1535,9,FALSE),VLOOKUP($B1352,Data!$B$3:$AB$1535,4,FALSE)),"")</f>
        <v>0.1914656489</v>
      </c>
      <c r="D1352" s="48">
        <f>IFERROR(DIVIDE(VLOOKUP($B1352,Data!$B$3:$AB$1535,24,FALSE),VLOOKUP($B1352,Data!$B$3:$AB$1535,4,FALSE)),"")</f>
        <v>0.01610687023</v>
      </c>
      <c r="E1352" s="48">
        <f>IFERROR(DIVIDE(VLOOKUP($B1352,Data!$B$3:$EZ1530,29,FALSE),VLOOKUP($B1352,Data!$B$3:$EZ1530,4,FALSE)),"")</f>
        <v>0.01118320611</v>
      </c>
      <c r="F1352" s="48">
        <f>IFERROR(DIVIDE(VLOOKUP($B1352,Data!$B$3:$EZ1530,34,FALSE),VLOOKUP($B1352,Data!$B$3:$EZ1530,4,FALSE)),"")</f>
        <v>0.04992366412</v>
      </c>
      <c r="G1352" s="48">
        <f>IFERROR(DIVIDE(VLOOKUP($B1352,Data!$B$3:$EZ1530,39,FALSE),VLOOKUP($B1352,Data!$B$3:$EZ1530,4,FALSE)),"")</f>
        <v>0.01048091603</v>
      </c>
      <c r="H1352" s="48">
        <f>IFERROR(DIVIDE(VLOOKUP($B1352,Data!$B$3:$EZ1530,44,FALSE),VLOOKUP($B1352,Data!$B$3:$EZ1530,4,FALSE)),"")</f>
        <v>-0.02753435115</v>
      </c>
      <c r="I1352" s="48">
        <f>IFERROR(MINUS(DIVIDE(VLOOKUP($B1352,Data!$B$3:$EZ1530,9,FALSE),VLOOKUP($B1352,Data!$B$3:$EZ1530,10,FALSE)),1),"")</f>
        <v>0.08303467335</v>
      </c>
      <c r="J1352" s="48">
        <f>IFERROR(MINUS(DIVIDE(VLOOKUP($B1352,Data!$B$3:$EZ1530,24,FALSE),VLOOKUP($B1352,Data!$B$3:$EZ1530,25,FALSE)),1),"")</f>
        <v>-0.2769019877</v>
      </c>
      <c r="K1352" s="48">
        <f>IFERROR(MINUS(DIVIDE(VLOOKUP($B1352,Data!$B$3:$EZ1530,29,FALSE),VLOOKUP($B1352,Data!$B$3:$EZ1530,30,FALSE)),1),"")</f>
        <v>-0.09287925697</v>
      </c>
      <c r="L1352" s="48">
        <f>IFERROR(MINUS(DIVIDE(VLOOKUP($B1352,Data!$B$3:$EZ1530,34,FALSE),VLOOKUP($B1352,Data!$B$3:$EZ1530,35,FALSE)),1),"")</f>
        <v>0.2187849422</v>
      </c>
      <c r="M1352" s="48">
        <f>IFERROR(MINUS(DIVIDE(VLOOKUP($B1352,Data!$B$3:$EZ1530,39,FALSE),VLOOKUP($B1352,Data!$B$3:$EZ1530,40,FALSE)),1),"")</f>
        <v>0.1460767947</v>
      </c>
      <c r="N1352" s="48">
        <f>IFERROR(MINUS(DIVIDE(VLOOKUP($B1352,Data!$B$3:$EZ1530,44,FALSE),VLOOKUP($B1352,Data!$B$3:$EZ1530,45,FALSE)),1),"")</f>
        <v>-1.732534525</v>
      </c>
      <c r="O1352" s="50">
        <f>IFERROR(VLOOKUP($B1352,Data!$B$3:$D1530,2,FALSE),"")</f>
        <v>1300000</v>
      </c>
      <c r="P1352" s="50">
        <f>IFERROR(VLOOKUP($B1352,Data!$B$3:$D1530,3,FALSE),"")</f>
        <v>1230000</v>
      </c>
      <c r="Q1352" s="48">
        <f t="shared" si="2"/>
        <v>0.05691056911</v>
      </c>
      <c r="R1352" s="48"/>
      <c r="S1352" s="48"/>
      <c r="T1352" s="48"/>
      <c r="U1352" s="48"/>
      <c r="V1352" s="48"/>
      <c r="W1352" s="50"/>
      <c r="Z1352" s="15"/>
      <c r="AA1352" s="15"/>
    </row>
    <row r="1353">
      <c r="A1353" s="9">
        <f t="shared" si="1"/>
        <v>1350</v>
      </c>
      <c r="B1353" s="47" t="s">
        <v>1487</v>
      </c>
      <c r="C1353" s="48">
        <f>IFERROR(DIVIDE(VLOOKUP($B1353,Data!$B$3:$AB$1535,9,FALSE),VLOOKUP($B1353,Data!$B$3:$AB$1535,4,FALSE)),"")</f>
        <v>0.2845158198</v>
      </c>
      <c r="D1353" s="48">
        <f>IFERROR(DIVIDE(VLOOKUP($B1353,Data!$B$3:$AB$1535,24,FALSE),VLOOKUP($B1353,Data!$B$3:$AB$1535,4,FALSE)),"")</f>
        <v>0.1059443912</v>
      </c>
      <c r="E1353" s="48">
        <f>IFERROR(DIVIDE(VLOOKUP($B1353,Data!$B$3:$EZ1530,29,FALSE),VLOOKUP($B1353,Data!$B$3:$EZ1530,4,FALSE)),"")</f>
        <v>0.105704698</v>
      </c>
      <c r="F1353" s="48">
        <f>IFERROR(DIVIDE(VLOOKUP($B1353,Data!$B$3:$EZ1530,34,FALSE),VLOOKUP($B1353,Data!$B$3:$EZ1530,4,FALSE)),"")</f>
        <v>0.1263183126</v>
      </c>
      <c r="G1353" s="48">
        <f>IFERROR(DIVIDE(VLOOKUP($B1353,Data!$B$3:$EZ1530,39,FALSE),VLOOKUP($B1353,Data!$B$3:$EZ1530,4,FALSE)),"")</f>
        <v>0.07837967402</v>
      </c>
      <c r="H1353" s="48">
        <f>IFERROR(DIVIDE(VLOOKUP($B1353,Data!$B$3:$EZ1530,44,FALSE),VLOOKUP($B1353,Data!$B$3:$EZ1530,4,FALSE)),"")</f>
        <v>0.09755512943</v>
      </c>
      <c r="I1353" s="48">
        <f>IFERROR(MINUS(DIVIDE(VLOOKUP($B1353,Data!$B$3:$EZ1530,9,FALSE),VLOOKUP($B1353,Data!$B$3:$EZ1530,10,FALSE)),1),"")</f>
        <v>0.07129963899</v>
      </c>
      <c r="J1353" s="48">
        <f>IFERROR(MINUS(DIVIDE(VLOOKUP($B1353,Data!$B$3:$EZ1530,24,FALSE),VLOOKUP($B1353,Data!$B$3:$EZ1530,25,FALSE)),1),"")</f>
        <v>0.04739336493</v>
      </c>
      <c r="K1353" s="48">
        <f>IFERROR(MINUS(DIVIDE(VLOOKUP($B1353,Data!$B$3:$EZ1530,29,FALSE),VLOOKUP($B1353,Data!$B$3:$EZ1530,30,FALSE)),1),"")</f>
        <v>0.05755395683</v>
      </c>
      <c r="L1353" s="48">
        <f>IFERROR(MINUS(DIVIDE(VLOOKUP($B1353,Data!$B$3:$EZ1530,34,FALSE),VLOOKUP($B1353,Data!$B$3:$EZ1530,35,FALSE)),1),"")</f>
        <v>0.0625</v>
      </c>
      <c r="M1353" s="48">
        <f>IFERROR(MINUS(DIVIDE(VLOOKUP($B1353,Data!$B$3:$EZ1530,39,FALSE),VLOOKUP($B1353,Data!$B$3:$EZ1530,40,FALSE)),1),"")</f>
        <v>0.06862745098</v>
      </c>
      <c r="N1353" s="48">
        <f>IFERROR(MINUS(DIVIDE(VLOOKUP($B1353,Data!$B$3:$EZ1530,44,FALSE),VLOOKUP($B1353,Data!$B$3:$EZ1530,45,FALSE)),1),"")</f>
        <v>-0.00488997555</v>
      </c>
      <c r="O1353" s="50">
        <f>IFERROR(VLOOKUP($B1353,Data!$B$3:$D1530,2,FALSE),"")</f>
        <v>42090000</v>
      </c>
      <c r="P1353" s="50">
        <f>IFERROR(VLOOKUP($B1353,Data!$B$3:$D1530,3,FALSE),"")</f>
        <v>33520000</v>
      </c>
      <c r="Q1353" s="48">
        <f t="shared" si="2"/>
        <v>0.2556682578</v>
      </c>
      <c r="R1353" s="48"/>
      <c r="S1353" s="48"/>
      <c r="T1353" s="48"/>
      <c r="U1353" s="48"/>
      <c r="V1353" s="48"/>
      <c r="W1353" s="50"/>
      <c r="Z1353" s="15"/>
      <c r="AA1353" s="15"/>
    </row>
    <row r="1354">
      <c r="A1354" s="9">
        <f t="shared" si="1"/>
        <v>1351</v>
      </c>
      <c r="B1354" s="47" t="s">
        <v>1488</v>
      </c>
      <c r="C1354" s="48">
        <f>IFERROR(DIVIDE(VLOOKUP($B1354,Data!$B$3:$AB$1535,9,FALSE),VLOOKUP($B1354,Data!$B$3:$AB$1535,4,FALSE)),"")</f>
        <v>0.2399179487</v>
      </c>
      <c r="D1354" s="48">
        <f>IFERROR(DIVIDE(VLOOKUP($B1354,Data!$B$3:$AB$1535,24,FALSE),VLOOKUP($B1354,Data!$B$3:$AB$1535,4,FALSE)),"")</f>
        <v>0.1954512821</v>
      </c>
      <c r="E1354" s="48">
        <f>IFERROR(DIVIDE(VLOOKUP($B1354,Data!$B$3:$EZ1530,29,FALSE),VLOOKUP($B1354,Data!$B$3:$EZ1530,4,FALSE)),"")</f>
        <v>-0.05588717949</v>
      </c>
      <c r="F1354" s="48">
        <f>IFERROR(DIVIDE(VLOOKUP($B1354,Data!$B$3:$EZ1530,34,FALSE),VLOOKUP($B1354,Data!$B$3:$EZ1530,4,FALSE)),"")</f>
        <v>0.3472102564</v>
      </c>
      <c r="G1354" s="48">
        <f>IFERROR(DIVIDE(VLOOKUP($B1354,Data!$B$3:$EZ1530,39,FALSE),VLOOKUP($B1354,Data!$B$3:$EZ1530,4,FALSE)),"")</f>
        <v>-0.1592717949</v>
      </c>
      <c r="H1354" s="48">
        <f>IFERROR(DIVIDE(VLOOKUP($B1354,Data!$B$3:$EZ1530,44,FALSE),VLOOKUP($B1354,Data!$B$3:$EZ1530,4,FALSE)),"")</f>
        <v>0.1965692308</v>
      </c>
      <c r="I1354" s="48">
        <f>IFERROR(MINUS(DIVIDE(VLOOKUP($B1354,Data!$B$3:$EZ1530,9,FALSE),VLOOKUP($B1354,Data!$B$3:$EZ1530,10,FALSE)),1),"")</f>
        <v>0.4682860999</v>
      </c>
      <c r="J1354" s="48">
        <f>IFERROR(MINUS(DIVIDE(VLOOKUP($B1354,Data!$B$3:$EZ1530,24,FALSE),VLOOKUP($B1354,Data!$B$3:$EZ1530,25,FALSE)),1),"")</f>
        <v>60.97235772</v>
      </c>
      <c r="K1354" s="48">
        <f>IFERROR(MINUS(DIVIDE(VLOOKUP($B1354,Data!$B$3:$EZ1530,29,FALSE),VLOOKUP($B1354,Data!$B$3:$EZ1530,30,FALSE)),1),"")</f>
        <v>0.09991925717</v>
      </c>
      <c r="L1354" s="48">
        <f>IFERROR(MINUS(DIVIDE(VLOOKUP($B1354,Data!$B$3:$EZ1530,34,FALSE),VLOOKUP($B1354,Data!$B$3:$EZ1530,35,FALSE)),1),"")</f>
        <v>0.35852161</v>
      </c>
      <c r="M1354" s="48">
        <f>IFERROR(MINUS(DIVIDE(VLOOKUP($B1354,Data!$B$3:$EZ1530,39,FALSE),VLOOKUP($B1354,Data!$B$3:$EZ1530,40,FALSE)),1),"")</f>
        <v>2.919485109</v>
      </c>
      <c r="N1354" s="48">
        <f>IFERROR(MINUS(DIVIDE(VLOOKUP($B1354,Data!$B$3:$EZ1530,44,FALSE),VLOOKUP($B1354,Data!$B$3:$EZ1530,45,FALSE)),1),"")</f>
        <v>1.10448007</v>
      </c>
      <c r="O1354" s="50">
        <f>IFERROR(VLOOKUP($B1354,Data!$B$3:$D1530,2,FALSE),"")</f>
        <v>1330000</v>
      </c>
      <c r="P1354" s="50">
        <f>IFERROR(VLOOKUP($B1354,Data!$B$3:$D1530,3,FALSE),"")</f>
        <v>1390000</v>
      </c>
      <c r="Q1354" s="48">
        <f t="shared" si="2"/>
        <v>-0.04316546763</v>
      </c>
      <c r="R1354" s="48"/>
      <c r="S1354" s="48"/>
      <c r="T1354" s="48"/>
      <c r="U1354" s="48"/>
      <c r="V1354" s="48"/>
      <c r="W1354" s="50"/>
      <c r="Z1354" s="12"/>
      <c r="AA1354" s="12"/>
    </row>
    <row r="1355">
      <c r="A1355" s="9">
        <f t="shared" si="1"/>
        <v>1352</v>
      </c>
      <c r="B1355" s="47" t="s">
        <v>1489</v>
      </c>
      <c r="C1355" s="48">
        <f>IFERROR(DIVIDE(VLOOKUP($B1355,Data!$B$3:$AB$1535,9,FALSE),VLOOKUP($B1355,Data!$B$3:$AB$1535,4,FALSE)),"")</f>
        <v>0.1381617647</v>
      </c>
      <c r="D1355" s="48">
        <f>IFERROR(DIVIDE(VLOOKUP($B1355,Data!$B$3:$AB$1535,24,FALSE),VLOOKUP($B1355,Data!$B$3:$AB$1535,4,FALSE)),"")</f>
        <v>-0.1683639706</v>
      </c>
      <c r="E1355" s="48">
        <f>IFERROR(DIVIDE(VLOOKUP($B1355,Data!$B$3:$EZ1530,29,FALSE),VLOOKUP($B1355,Data!$B$3:$EZ1530,4,FALSE)),"")</f>
        <v>-0.1954044118</v>
      </c>
      <c r="F1355" s="48">
        <f>IFERROR(DIVIDE(VLOOKUP($B1355,Data!$B$3:$EZ1530,34,FALSE),VLOOKUP($B1355,Data!$B$3:$EZ1530,4,FALSE)),"")</f>
        <v>-0.04619485294</v>
      </c>
      <c r="G1355" s="48">
        <f>IFERROR(DIVIDE(VLOOKUP($B1355,Data!$B$3:$EZ1530,39,FALSE),VLOOKUP($B1355,Data!$B$3:$EZ1530,4,FALSE)),"")</f>
        <v>-0.2257536765</v>
      </c>
      <c r="H1355" s="48">
        <f>IFERROR(DIVIDE(VLOOKUP($B1355,Data!$B$3:$EZ1530,44,FALSE),VLOOKUP($B1355,Data!$B$3:$EZ1530,4,FALSE)),"")</f>
        <v>0.05795955882</v>
      </c>
      <c r="I1355" s="48">
        <f>IFERROR(MINUS(DIVIDE(VLOOKUP($B1355,Data!$B$3:$EZ1530,9,FALSE),VLOOKUP($B1355,Data!$B$3:$EZ1530,10,FALSE)),1),"")</f>
        <v>-0.1628425039</v>
      </c>
      <c r="J1355" s="48">
        <f>IFERROR(MINUS(DIVIDE(VLOOKUP($B1355,Data!$B$3:$EZ1530,24,FALSE),VLOOKUP($B1355,Data!$B$3:$EZ1530,25,FALSE)),1),"")</f>
        <v>14.08896211</v>
      </c>
      <c r="K1355" s="48">
        <f>IFERROR(MINUS(DIVIDE(VLOOKUP($B1355,Data!$B$3:$EZ1530,29,FALSE),VLOOKUP($B1355,Data!$B$3:$EZ1530,30,FALSE)),1),"")</f>
        <v>8.187554019</v>
      </c>
      <c r="L1355" s="48">
        <f>IFERROR(MINUS(DIVIDE(VLOOKUP($B1355,Data!$B$3:$EZ1530,34,FALSE),VLOOKUP($B1355,Data!$B$3:$EZ1530,35,FALSE)),1),"")</f>
        <v>-3.500497512</v>
      </c>
      <c r="M1355" s="48">
        <f>IFERROR(MINUS(DIVIDE(VLOOKUP($B1355,Data!$B$3:$EZ1530,39,FALSE),VLOOKUP($B1355,Data!$B$3:$EZ1530,40,FALSE)),1),"")</f>
        <v>9.858532272</v>
      </c>
      <c r="N1355" s="48">
        <f>IFERROR(MINUS(DIVIDE(VLOOKUP($B1355,Data!$B$3:$EZ1530,44,FALSE),VLOOKUP($B1355,Data!$B$3:$EZ1530,45,FALSE)),1),"")</f>
        <v>34.07230256</v>
      </c>
      <c r="O1355" s="50">
        <f>IFERROR(VLOOKUP($B1355,Data!$B$3:$D1530,2,FALSE),"")</f>
        <v>2290000</v>
      </c>
      <c r="P1355" s="50">
        <f>IFERROR(VLOOKUP($B1355,Data!$B$3:$D1530,3,FALSE),"")</f>
        <v>2210000</v>
      </c>
      <c r="Q1355" s="48">
        <f t="shared" si="2"/>
        <v>0.03619909502</v>
      </c>
      <c r="R1355" s="48"/>
      <c r="S1355" s="48"/>
      <c r="T1355" s="48"/>
      <c r="U1355" s="48"/>
      <c r="V1355" s="48"/>
      <c r="W1355" s="50"/>
      <c r="Z1355" s="15"/>
      <c r="AA1355" s="15"/>
    </row>
    <row r="1356">
      <c r="A1356" s="9">
        <f t="shared" si="1"/>
        <v>1353</v>
      </c>
      <c r="B1356" s="47" t="s">
        <v>1490</v>
      </c>
      <c r="C1356" s="48" t="str">
        <f>IFERROR(DIVIDE(VLOOKUP($B1356,Data!$B$3:$AB$1535,9,FALSE),VLOOKUP($B1356,Data!$B$3:$AB$1535,4,FALSE)),"")</f>
        <v/>
      </c>
      <c r="D1356" s="48" t="str">
        <f>IFERROR(DIVIDE(VLOOKUP($B1356,Data!$B$3:$AB$1535,24,FALSE),VLOOKUP($B1356,Data!$B$3:$AB$1535,4,FALSE)),"")</f>
        <v/>
      </c>
      <c r="E1356" s="48" t="str">
        <f>IFERROR(DIVIDE(VLOOKUP($B1356,Data!$B$3:$EZ1530,29,FALSE),VLOOKUP($B1356,Data!$B$3:$EZ1530,4,FALSE)),"")</f>
        <v/>
      </c>
      <c r="F1356" s="48" t="str">
        <f>IFERROR(DIVIDE(VLOOKUP($B1356,Data!$B$3:$EZ1530,34,FALSE),VLOOKUP($B1356,Data!$B$3:$EZ1530,4,FALSE)),"")</f>
        <v/>
      </c>
      <c r="G1356" s="48" t="str">
        <f>IFERROR(DIVIDE(VLOOKUP($B1356,Data!$B$3:$EZ1530,39,FALSE),VLOOKUP($B1356,Data!$B$3:$EZ1530,4,FALSE)),"")</f>
        <v/>
      </c>
      <c r="H1356" s="48" t="str">
        <f>IFERROR(DIVIDE(VLOOKUP($B1356,Data!$B$3:$EZ1530,44,FALSE),VLOOKUP($B1356,Data!$B$3:$EZ1530,4,FALSE)),"")</f>
        <v/>
      </c>
      <c r="I1356" s="48">
        <f>IFERROR(MINUS(DIVIDE(VLOOKUP($B1356,Data!$B$3:$EZ1530,9,FALSE),VLOOKUP($B1356,Data!$B$3:$EZ1530,10,FALSE)),1),"")</f>
        <v>15.33333333</v>
      </c>
      <c r="J1356" s="48" t="str">
        <f>IFERROR(MINUS(DIVIDE(VLOOKUP($B1356,Data!$B$3:$EZ1530,24,FALSE),VLOOKUP($B1356,Data!$B$3:$EZ1530,25,FALSE)),1),"")</f>
        <v/>
      </c>
      <c r="K1356" s="48">
        <f>IFERROR(MINUS(DIVIDE(VLOOKUP($B1356,Data!$B$3:$EZ1530,29,FALSE),VLOOKUP($B1356,Data!$B$3:$EZ1530,30,FALSE)),1),"")</f>
        <v>0.05937921727</v>
      </c>
      <c r="L1356" s="48">
        <f>IFERROR(MINUS(DIVIDE(VLOOKUP($B1356,Data!$B$3:$EZ1530,34,FALSE),VLOOKUP($B1356,Data!$B$3:$EZ1530,35,FALSE)),1),"")</f>
        <v>-0.02102496715</v>
      </c>
      <c r="M1356" s="48">
        <f>IFERROR(MINUS(DIVIDE(VLOOKUP($B1356,Data!$B$3:$EZ1530,39,FALSE),VLOOKUP($B1356,Data!$B$3:$EZ1530,40,FALSE)),1),"")</f>
        <v>0.2285714286</v>
      </c>
      <c r="N1356" s="48">
        <f>IFERROR(MINUS(DIVIDE(VLOOKUP($B1356,Data!$B$3:$EZ1530,44,FALSE),VLOOKUP($B1356,Data!$B$3:$EZ1530,45,FALSE)),1),"")</f>
        <v>0.5449275362</v>
      </c>
      <c r="O1356" s="50" t="str">
        <f>IFERROR(VLOOKUP($B1356,Data!$B$3:$D1530,2,FALSE),"")</f>
        <v/>
      </c>
      <c r="P1356" s="50" t="str">
        <f>IFERROR(VLOOKUP($B1356,Data!$B$3:$D1530,3,FALSE),"")</f>
        <v/>
      </c>
      <c r="Q1356" s="48" t="str">
        <f t="shared" si="2"/>
        <v/>
      </c>
      <c r="R1356" s="48"/>
      <c r="S1356" s="48"/>
      <c r="T1356" s="48"/>
      <c r="U1356" s="48"/>
      <c r="V1356" s="48"/>
      <c r="W1356" s="50"/>
      <c r="Z1356" s="11"/>
      <c r="AA1356" s="11"/>
    </row>
    <row r="1357">
      <c r="A1357" s="9">
        <f t="shared" si="1"/>
        <v>1354</v>
      </c>
      <c r="B1357" s="47" t="s">
        <v>1491</v>
      </c>
      <c r="C1357" s="48">
        <f>IFERROR(DIVIDE(VLOOKUP($B1357,Data!$B$3:$AB$1535,9,FALSE),VLOOKUP($B1357,Data!$B$3:$AB$1535,4,FALSE)),"")</f>
        <v>0.3014855482</v>
      </c>
      <c r="D1357" s="48">
        <f>IFERROR(DIVIDE(VLOOKUP($B1357,Data!$B$3:$AB$1535,24,FALSE),VLOOKUP($B1357,Data!$B$3:$AB$1535,4,FALSE)),"")</f>
        <v>0</v>
      </c>
      <c r="E1357" s="48">
        <f>IFERROR(DIVIDE(VLOOKUP($B1357,Data!$B$3:$EZ1530,29,FALSE),VLOOKUP($B1357,Data!$B$3:$EZ1530,4,FALSE)),"")</f>
        <v>0.05063781689</v>
      </c>
      <c r="F1357" s="48">
        <f>IFERROR(DIVIDE(VLOOKUP($B1357,Data!$B$3:$EZ1530,34,FALSE),VLOOKUP($B1357,Data!$B$3:$EZ1530,4,FALSE)),"")</f>
        <v>0.07976747941</v>
      </c>
      <c r="G1357" s="48">
        <f>IFERROR(DIVIDE(VLOOKUP($B1357,Data!$B$3:$EZ1530,39,FALSE),VLOOKUP($B1357,Data!$B$3:$EZ1530,4,FALSE)),"")</f>
        <v>0.03652510899</v>
      </c>
      <c r="H1357" s="48">
        <f>IFERROR(DIVIDE(VLOOKUP($B1357,Data!$B$3:$EZ1530,44,FALSE),VLOOKUP($B1357,Data!$B$3:$EZ1530,4,FALSE)),"")</f>
        <v>0.06294203133</v>
      </c>
      <c r="I1357" s="48">
        <f>IFERROR(MINUS(DIVIDE(VLOOKUP($B1357,Data!$B$3:$EZ1530,9,FALSE),VLOOKUP($B1357,Data!$B$3:$EZ1530,10,FALSE)),1),"")</f>
        <v>0.03211719182</v>
      </c>
      <c r="J1357" s="48" t="str">
        <f>IFERROR(MINUS(DIVIDE(VLOOKUP($B1357,Data!$B$3:$EZ1530,24,FALSE),VLOOKUP($B1357,Data!$B$3:$EZ1530,25,FALSE)),1),"")</f>
        <v/>
      </c>
      <c r="K1357" s="48">
        <f>IFERROR(MINUS(DIVIDE(VLOOKUP($B1357,Data!$B$3:$EZ1530,29,FALSE),VLOOKUP($B1357,Data!$B$3:$EZ1530,30,FALSE)),1),"")</f>
        <v>-0.07191476768</v>
      </c>
      <c r="L1357" s="48">
        <f>IFERROR(MINUS(DIVIDE(VLOOKUP($B1357,Data!$B$3:$EZ1530,34,FALSE),VLOOKUP($B1357,Data!$B$3:$EZ1530,35,FALSE)),1),"")</f>
        <v>-0.08467667223</v>
      </c>
      <c r="M1357" s="48">
        <f>IFERROR(MINUS(DIVIDE(VLOOKUP($B1357,Data!$B$3:$EZ1530,39,FALSE),VLOOKUP($B1357,Data!$B$3:$EZ1530,40,FALSE)),1),"")</f>
        <v>-0.09302325581</v>
      </c>
      <c r="N1357" s="48">
        <f>IFERROR(MINUS(DIVIDE(VLOOKUP($B1357,Data!$B$3:$EZ1530,44,FALSE),VLOOKUP($B1357,Data!$B$3:$EZ1530,45,FALSE)),1),"")</f>
        <v>-0.1660248181</v>
      </c>
      <c r="O1357" s="50">
        <f>IFERROR(VLOOKUP($B1357,Data!$B$3:$D1530,2,FALSE),"")</f>
        <v>625860</v>
      </c>
      <c r="P1357" s="50">
        <f>IFERROR(VLOOKUP($B1357,Data!$B$3:$D1530,3,FALSE),"")</f>
        <v>531430</v>
      </c>
      <c r="Q1357" s="48">
        <f t="shared" si="2"/>
        <v>0.1776903826</v>
      </c>
      <c r="R1357" s="48"/>
      <c r="S1357" s="48"/>
      <c r="T1357" s="48"/>
      <c r="U1357" s="48"/>
      <c r="V1357" s="48"/>
      <c r="W1357" s="50"/>
      <c r="Z1357" s="15"/>
      <c r="AA1357" s="15"/>
    </row>
    <row r="1358">
      <c r="A1358" s="9">
        <f t="shared" si="1"/>
        <v>1355</v>
      </c>
      <c r="B1358" s="47" t="s">
        <v>1492</v>
      </c>
      <c r="C1358" s="48" t="str">
        <f>IFERROR(DIVIDE(VLOOKUP($B1358,Data!$B$3:$AB$1535,9,FALSE),VLOOKUP($B1358,Data!$B$3:$AB$1535,4,FALSE)),"")</f>
        <v/>
      </c>
      <c r="D1358" s="48" t="str">
        <f>IFERROR(DIVIDE(VLOOKUP($B1358,Data!$B$3:$AB$1535,24,FALSE),VLOOKUP($B1358,Data!$B$3:$AB$1535,4,FALSE)),"")</f>
        <v/>
      </c>
      <c r="E1358" s="48" t="str">
        <f>IFERROR(DIVIDE(VLOOKUP($B1358,Data!$B$3:$EZ1530,29,FALSE),VLOOKUP($B1358,Data!$B$3:$EZ1530,4,FALSE)),"")</f>
        <v/>
      </c>
      <c r="F1358" s="48" t="str">
        <f>IFERROR(DIVIDE(VLOOKUP($B1358,Data!$B$3:$EZ1530,34,FALSE),VLOOKUP($B1358,Data!$B$3:$EZ1530,4,FALSE)),"")</f>
        <v/>
      </c>
      <c r="G1358" s="48" t="str">
        <f>IFERROR(DIVIDE(VLOOKUP($B1358,Data!$B$3:$EZ1530,39,FALSE),VLOOKUP($B1358,Data!$B$3:$EZ1530,4,FALSE)),"")</f>
        <v/>
      </c>
      <c r="H1358" s="48" t="str">
        <f>IFERROR(DIVIDE(VLOOKUP($B1358,Data!$B$3:$EZ1530,44,FALSE),VLOOKUP($B1358,Data!$B$3:$EZ1530,4,FALSE)),"")</f>
        <v/>
      </c>
      <c r="I1358" s="48" t="str">
        <f>IFERROR(MINUS(DIVIDE(VLOOKUP($B1358,Data!$B$3:$EZ1530,9,FALSE),VLOOKUP($B1358,Data!$B$3:$EZ1530,10,FALSE)),1),"")</f>
        <v/>
      </c>
      <c r="J1358" s="48" t="str">
        <f>IFERROR(MINUS(DIVIDE(VLOOKUP($B1358,Data!$B$3:$EZ1530,24,FALSE),VLOOKUP($B1358,Data!$B$3:$EZ1530,25,FALSE)),1),"")</f>
        <v/>
      </c>
      <c r="K1358" s="48" t="str">
        <f>IFERROR(MINUS(DIVIDE(VLOOKUP($B1358,Data!$B$3:$EZ1530,29,FALSE),VLOOKUP($B1358,Data!$B$3:$EZ1530,30,FALSE)),1),"")</f>
        <v/>
      </c>
      <c r="L1358" s="48" t="str">
        <f>IFERROR(MINUS(DIVIDE(VLOOKUP($B1358,Data!$B$3:$EZ1530,34,FALSE),VLOOKUP($B1358,Data!$B$3:$EZ1530,35,FALSE)),1),"")</f>
        <v/>
      </c>
      <c r="M1358" s="48" t="str">
        <f>IFERROR(MINUS(DIVIDE(VLOOKUP($B1358,Data!$B$3:$EZ1530,39,FALSE),VLOOKUP($B1358,Data!$B$3:$EZ1530,40,FALSE)),1),"")</f>
        <v/>
      </c>
      <c r="N1358" s="48" t="str">
        <f>IFERROR(MINUS(DIVIDE(VLOOKUP($B1358,Data!$B$3:$EZ1530,44,FALSE),VLOOKUP($B1358,Data!$B$3:$EZ1530,45,FALSE)),1),"")</f>
        <v/>
      </c>
      <c r="O1358" s="50" t="str">
        <f>IFERROR(VLOOKUP($B1358,Data!$B$3:$D1530,2,FALSE),"")</f>
        <v/>
      </c>
      <c r="P1358" s="50" t="str">
        <f>IFERROR(VLOOKUP($B1358,Data!$B$3:$D1530,3,FALSE),"")</f>
        <v/>
      </c>
      <c r="Q1358" s="48" t="str">
        <f t="shared" si="2"/>
        <v/>
      </c>
      <c r="R1358" s="48"/>
      <c r="S1358" s="48"/>
      <c r="T1358" s="48"/>
      <c r="U1358" s="48"/>
      <c r="V1358" s="48"/>
      <c r="W1358" s="50"/>
      <c r="Z1358" s="12"/>
      <c r="AA1358" s="12"/>
    </row>
    <row r="1359">
      <c r="A1359" s="9">
        <f t="shared" si="1"/>
        <v>1356</v>
      </c>
      <c r="B1359" s="47" t="s">
        <v>1493</v>
      </c>
      <c r="C1359" s="48">
        <f>IFERROR(DIVIDE(VLOOKUP($B1359,Data!$B$3:$AB$1535,9,FALSE),VLOOKUP($B1359,Data!$B$3:$AB$1535,4,FALSE)),"")</f>
        <v>0.5779661017</v>
      </c>
      <c r="D1359" s="48">
        <f>IFERROR(DIVIDE(VLOOKUP($B1359,Data!$B$3:$AB$1535,24,FALSE),VLOOKUP($B1359,Data!$B$3:$AB$1535,4,FALSE)),"")</f>
        <v>-1.268644068</v>
      </c>
      <c r="E1359" s="48">
        <f>IFERROR(DIVIDE(VLOOKUP($B1359,Data!$B$3:$EZ1530,29,FALSE),VLOOKUP($B1359,Data!$B$3:$EZ1530,4,FALSE)),"")</f>
        <v>-1.419915254</v>
      </c>
      <c r="F1359" s="48">
        <f>IFERROR(DIVIDE(VLOOKUP($B1359,Data!$B$3:$EZ1530,34,FALSE),VLOOKUP($B1359,Data!$B$3:$EZ1530,4,FALSE)),"")</f>
        <v>-1.202542373</v>
      </c>
      <c r="G1359" s="48">
        <f>IFERROR(DIVIDE(VLOOKUP($B1359,Data!$B$3:$EZ1530,39,FALSE),VLOOKUP($B1359,Data!$B$3:$EZ1530,4,FALSE)),"")</f>
        <v>-1.421610169</v>
      </c>
      <c r="H1359" s="48">
        <f>IFERROR(DIVIDE(VLOOKUP($B1359,Data!$B$3:$EZ1530,44,FALSE),VLOOKUP($B1359,Data!$B$3:$EZ1530,4,FALSE)),"")</f>
        <v>-1.368220339</v>
      </c>
      <c r="I1359" s="48">
        <f>IFERROR(MINUS(DIVIDE(VLOOKUP($B1359,Data!$B$3:$EZ1530,9,FALSE),VLOOKUP($B1359,Data!$B$3:$EZ1530,10,FALSE)),1),"")</f>
        <v>1.448833034</v>
      </c>
      <c r="J1359" s="48">
        <f>IFERROR(MINUS(DIVIDE(VLOOKUP($B1359,Data!$B$3:$EZ1530,24,FALSE),VLOOKUP($B1359,Data!$B$3:$EZ1530,25,FALSE)),1),"")</f>
        <v>0.4196301565</v>
      </c>
      <c r="K1359" s="48">
        <f>IFERROR(MINUS(DIVIDE(VLOOKUP($B1359,Data!$B$3:$EZ1530,29,FALSE),VLOOKUP($B1359,Data!$B$3:$EZ1530,30,FALSE)),1),"")</f>
        <v>0.4127318718</v>
      </c>
      <c r="L1359" s="48">
        <f>IFERROR(MINUS(DIVIDE(VLOOKUP($B1359,Data!$B$3:$EZ1530,34,FALSE),VLOOKUP($B1359,Data!$B$3:$EZ1530,35,FALSE)),1),"")</f>
        <v>0.4576271186</v>
      </c>
      <c r="M1359" s="48">
        <f>IFERROR(MINUS(DIVIDE(VLOOKUP($B1359,Data!$B$3:$EZ1530,39,FALSE),VLOOKUP($B1359,Data!$B$3:$EZ1530,40,FALSE)),1),"")</f>
        <v>0.412037037</v>
      </c>
      <c r="N1359" s="48">
        <f>IFERROR(MINUS(DIVIDE(VLOOKUP($B1359,Data!$B$3:$EZ1530,44,FALSE),VLOOKUP($B1359,Data!$B$3:$EZ1530,45,FALSE)),1),"")</f>
        <v>0.2428791378</v>
      </c>
      <c r="O1359" s="50">
        <f>IFERROR(VLOOKUP($B1359,Data!$B$3:$D1530,2,FALSE),"")</f>
        <v>57830</v>
      </c>
      <c r="P1359" s="50">
        <f>IFERROR(VLOOKUP($B1359,Data!$B$3:$D1530,3,FALSE),"")</f>
        <v>24960</v>
      </c>
      <c r="Q1359" s="48">
        <f t="shared" si="2"/>
        <v>1.316907051</v>
      </c>
      <c r="R1359" s="48"/>
      <c r="S1359" s="48"/>
      <c r="T1359" s="48"/>
      <c r="U1359" s="48"/>
      <c r="V1359" s="48"/>
      <c r="W1359" s="50"/>
      <c r="Z1359" s="15"/>
      <c r="AA1359" s="15"/>
    </row>
    <row r="1360">
      <c r="A1360" s="9">
        <f t="shared" si="1"/>
        <v>1357</v>
      </c>
      <c r="B1360" s="47" t="s">
        <v>1494</v>
      </c>
      <c r="C1360" s="48">
        <f>IFERROR(DIVIDE(VLOOKUP($B1360,Data!$B$3:$AB$1535,9,FALSE),VLOOKUP($B1360,Data!$B$3:$AB$1535,4,FALSE)),"")</f>
        <v>0.1720147059</v>
      </c>
      <c r="D1360" s="48">
        <f>IFERROR(DIVIDE(VLOOKUP($B1360,Data!$B$3:$AB$1535,24,FALSE),VLOOKUP($B1360,Data!$B$3:$AB$1535,4,FALSE)),"")</f>
        <v>0.06666386555</v>
      </c>
      <c r="E1360" s="48">
        <f>IFERROR(DIVIDE(VLOOKUP($B1360,Data!$B$3:$EZ1530,29,FALSE),VLOOKUP($B1360,Data!$B$3:$EZ1530,4,FALSE)),"")</f>
        <v>0.06770378151</v>
      </c>
      <c r="F1360" s="48">
        <f>IFERROR(DIVIDE(VLOOKUP($B1360,Data!$B$3:$EZ1530,34,FALSE),VLOOKUP($B1360,Data!$B$3:$EZ1530,4,FALSE)),"")</f>
        <v>0.07673109244</v>
      </c>
      <c r="G1360" s="48">
        <f>IFERROR(DIVIDE(VLOOKUP($B1360,Data!$B$3:$EZ1530,39,FALSE),VLOOKUP($B1360,Data!$B$3:$EZ1530,4,FALSE)),"")</f>
        <v>0.05349789916</v>
      </c>
      <c r="H1360" s="48">
        <f>IFERROR(DIVIDE(VLOOKUP($B1360,Data!$B$3:$EZ1530,44,FALSE),VLOOKUP($B1360,Data!$B$3:$EZ1530,4,FALSE)),"")</f>
        <v>0.08756302521</v>
      </c>
      <c r="I1360" s="48">
        <f>IFERROR(MINUS(DIVIDE(VLOOKUP($B1360,Data!$B$3:$EZ1530,9,FALSE),VLOOKUP($B1360,Data!$B$3:$EZ1530,10,FALSE)),1),"")</f>
        <v>0.1167500921</v>
      </c>
      <c r="J1360" s="48">
        <f>IFERROR(MINUS(DIVIDE(VLOOKUP($B1360,Data!$B$3:$EZ1530,24,FALSE),VLOOKUP($B1360,Data!$B$3:$EZ1530,25,FALSE)),1),"")</f>
        <v>0.09266209841</v>
      </c>
      <c r="K1360" s="48">
        <f>IFERROR(MINUS(DIVIDE(VLOOKUP($B1360,Data!$B$3:$EZ1530,29,FALSE),VLOOKUP($B1360,Data!$B$3:$EZ1530,30,FALSE)),1),"")</f>
        <v>0.1782319392</v>
      </c>
      <c r="L1360" s="48">
        <f>IFERROR(MINUS(DIVIDE(VLOOKUP($B1360,Data!$B$3:$EZ1530,34,FALSE),VLOOKUP($B1360,Data!$B$3:$EZ1530,35,FALSE)),1),"")</f>
        <v>0.05062708549</v>
      </c>
      <c r="M1360" s="48">
        <f>IFERROR(MINUS(DIVIDE(VLOOKUP($B1360,Data!$B$3:$EZ1530,39,FALSE),VLOOKUP($B1360,Data!$B$3:$EZ1530,40,FALSE)),1),"")</f>
        <v>0.2340085288</v>
      </c>
      <c r="N1360" s="48">
        <f>IFERROR(MINUS(DIVIDE(VLOOKUP($B1360,Data!$B$3:$EZ1530,44,FALSE),VLOOKUP($B1360,Data!$B$3:$EZ1530,45,FALSE)),1),"")</f>
        <v>1.164070613</v>
      </c>
      <c r="O1360" s="50">
        <f>IFERROR(VLOOKUP($B1360,Data!$B$3:$D1530,2,FALSE),"")</f>
        <v>6200000</v>
      </c>
      <c r="P1360" s="50">
        <f>IFERROR(VLOOKUP($B1360,Data!$B$3:$D1530,3,FALSE),"")</f>
        <v>5990000</v>
      </c>
      <c r="Q1360" s="48">
        <f t="shared" si="2"/>
        <v>0.03505843072</v>
      </c>
      <c r="R1360" s="48"/>
      <c r="S1360" s="48"/>
      <c r="T1360" s="48"/>
      <c r="U1360" s="48"/>
      <c r="V1360" s="48"/>
      <c r="W1360" s="50"/>
      <c r="Z1360" s="12"/>
      <c r="AA1360" s="12"/>
    </row>
    <row r="1361">
      <c r="A1361" s="9">
        <f t="shared" si="1"/>
        <v>1358</v>
      </c>
      <c r="B1361" s="47" t="s">
        <v>1495</v>
      </c>
      <c r="C1361" s="48">
        <f>IFERROR(DIVIDE(VLOOKUP($B1361,Data!$B$3:$AB$1535,9,FALSE),VLOOKUP($B1361,Data!$B$3:$AB$1535,4,FALSE)),"")</f>
        <v>0.02099173554</v>
      </c>
      <c r="D1361" s="48">
        <f>IFERROR(DIVIDE(VLOOKUP($B1361,Data!$B$3:$AB$1535,24,FALSE),VLOOKUP($B1361,Data!$B$3:$AB$1535,4,FALSE)),"")</f>
        <v>-0.06429752066</v>
      </c>
      <c r="E1361" s="48">
        <f>IFERROR(DIVIDE(VLOOKUP($B1361,Data!$B$3:$EZ1530,29,FALSE),VLOOKUP($B1361,Data!$B$3:$EZ1530,4,FALSE)),"")</f>
        <v>-0.104214876</v>
      </c>
      <c r="F1361" s="48">
        <f>IFERROR(DIVIDE(VLOOKUP($B1361,Data!$B$3:$EZ1530,34,FALSE),VLOOKUP($B1361,Data!$B$3:$EZ1530,4,FALSE)),"")</f>
        <v>0.008842975207</v>
      </c>
      <c r="G1361" s="48">
        <f>IFERROR(DIVIDE(VLOOKUP($B1361,Data!$B$3:$EZ1530,39,FALSE),VLOOKUP($B1361,Data!$B$3:$EZ1530,4,FALSE)),"")</f>
        <v>-0.09090909091</v>
      </c>
      <c r="H1361" s="48">
        <f>IFERROR(DIVIDE(VLOOKUP($B1361,Data!$B$3:$EZ1530,44,FALSE),VLOOKUP($B1361,Data!$B$3:$EZ1530,4,FALSE)),"")</f>
        <v>0.05809917355</v>
      </c>
      <c r="I1361" s="48">
        <f>IFERROR(MINUS(DIVIDE(VLOOKUP($B1361,Data!$B$3:$EZ1530,9,FALSE),VLOOKUP($B1361,Data!$B$3:$EZ1530,10,FALSE)),1),"")</f>
        <v>-0.7993680885</v>
      </c>
      <c r="J1361" s="48" t="str">
        <f>IFERROR(MINUS(DIVIDE(VLOOKUP($B1361,Data!$B$3:$EZ1530,24,FALSE),VLOOKUP($B1361,Data!$B$3:$EZ1530,25,FALSE)),1),"")</f>
        <v/>
      </c>
      <c r="K1361" s="48">
        <f>IFERROR(MINUS(DIVIDE(VLOOKUP($B1361,Data!$B$3:$EZ1530,29,FALSE),VLOOKUP($B1361,Data!$B$3:$EZ1530,30,FALSE)),1),"")</f>
        <v>14.37804878</v>
      </c>
      <c r="L1361" s="48">
        <f>IFERROR(MINUS(DIVIDE(VLOOKUP($B1361,Data!$B$3:$EZ1530,34,FALSE),VLOOKUP($B1361,Data!$B$3:$EZ1530,35,FALSE)),1),"")</f>
        <v>-0.8944773176</v>
      </c>
      <c r="M1361" s="48">
        <f>IFERROR(MINUS(DIVIDE(VLOOKUP($B1361,Data!$B$3:$EZ1530,39,FALSE),VLOOKUP($B1361,Data!$B$3:$EZ1530,40,FALSE)),1),"")</f>
        <v>10</v>
      </c>
      <c r="N1361" s="48">
        <f>IFERROR(MINUS(DIVIDE(VLOOKUP($B1361,Data!$B$3:$EZ1530,44,FALSE),VLOOKUP($B1361,Data!$B$3:$EZ1530,45,FALSE)),1),"")</f>
        <v>2.8</v>
      </c>
      <c r="O1361" s="50">
        <f>IFERROR(VLOOKUP($B1361,Data!$B$3:$D1530,2,FALSE),"")</f>
        <v>1100000</v>
      </c>
      <c r="P1361" s="50">
        <f>IFERROR(VLOOKUP($B1361,Data!$B$3:$D1530,3,FALSE),"")</f>
        <v>982770</v>
      </c>
      <c r="Q1361" s="48">
        <f t="shared" si="2"/>
        <v>0.1192852855</v>
      </c>
      <c r="R1361" s="48"/>
      <c r="S1361" s="48"/>
      <c r="T1361" s="48"/>
      <c r="U1361" s="48"/>
      <c r="V1361" s="48"/>
      <c r="W1361" s="50"/>
      <c r="Z1361" s="11"/>
      <c r="AA1361" s="11"/>
    </row>
    <row r="1362">
      <c r="A1362" s="9">
        <f t="shared" si="1"/>
        <v>1359</v>
      </c>
      <c r="B1362" s="47" t="s">
        <v>1496</v>
      </c>
      <c r="C1362" s="48">
        <f>IFERROR(DIVIDE(VLOOKUP($B1362,Data!$B$3:$AB$1535,9,FALSE),VLOOKUP($B1362,Data!$B$3:$AB$1535,4,FALSE)),"")</f>
        <v>0.1756822612</v>
      </c>
      <c r="D1362" s="48">
        <f>IFERROR(DIVIDE(VLOOKUP($B1362,Data!$B$3:$AB$1535,24,FALSE),VLOOKUP($B1362,Data!$B$3:$AB$1535,4,FALSE)),"")</f>
        <v>0.1281252649</v>
      </c>
      <c r="E1362" s="48">
        <f>IFERROR(DIVIDE(VLOOKUP($B1362,Data!$B$3:$EZ1530,29,FALSE),VLOOKUP($B1362,Data!$B$3:$EZ1530,4,FALSE)),"")</f>
        <v>0.06263242648</v>
      </c>
      <c r="F1362" s="48">
        <f>IFERROR(DIVIDE(VLOOKUP($B1362,Data!$B$3:$EZ1530,34,FALSE),VLOOKUP($B1362,Data!$B$3:$EZ1530,4,FALSE)),"")</f>
        <v>0.2684867362</v>
      </c>
      <c r="G1362" s="48">
        <f>IFERROR(DIVIDE(VLOOKUP($B1362,Data!$B$3:$EZ1530,39,FALSE),VLOOKUP($B1362,Data!$B$3:$EZ1530,4,FALSE)),"")</f>
        <v>0.04381727265</v>
      </c>
      <c r="H1362" s="48">
        <f>IFERROR(DIVIDE(VLOOKUP($B1362,Data!$B$3:$EZ1530,44,FALSE),VLOOKUP($B1362,Data!$B$3:$EZ1530,4,FALSE)),"")</f>
        <v>0.1246503941</v>
      </c>
      <c r="I1362" s="48">
        <f>IFERROR(MINUS(DIVIDE(VLOOKUP($B1362,Data!$B$3:$EZ1530,9,FALSE),VLOOKUP($B1362,Data!$B$3:$EZ1530,10,FALSE)),1),"")</f>
        <v>2.454791667</v>
      </c>
      <c r="J1362" s="48">
        <f>IFERROR(MINUS(DIVIDE(VLOOKUP($B1362,Data!$B$3:$EZ1530,24,FALSE),VLOOKUP($B1362,Data!$B$3:$EZ1530,25,FALSE)),1),"")</f>
        <v>-197.3311688</v>
      </c>
      <c r="K1362" s="48">
        <f>IFERROR(MINUS(DIVIDE(VLOOKUP($B1362,Data!$B$3:$EZ1530,29,FALSE),VLOOKUP($B1362,Data!$B$3:$EZ1530,30,FALSE)),1),"")</f>
        <v>-2.332732191</v>
      </c>
      <c r="L1362" s="48">
        <f>IFERROR(MINUS(DIVIDE(VLOOKUP($B1362,Data!$B$3:$EZ1530,34,FALSE),VLOOKUP($B1362,Data!$B$3:$EZ1530,35,FALSE)),1),"")</f>
        <v>0.9996054916</v>
      </c>
      <c r="M1362" s="48">
        <f>IFERROR(MINUS(DIVIDE(VLOOKUP($B1362,Data!$B$3:$EZ1530,39,FALSE),VLOOKUP($B1362,Data!$B$3:$EZ1530,40,FALSE)),1),"")</f>
        <v>-1.787059943</v>
      </c>
      <c r="N1362" s="48">
        <f>IFERROR(MINUS(DIVIDE(VLOOKUP($B1362,Data!$B$3:$EZ1530,44,FALSE),VLOOKUP($B1362,Data!$B$3:$EZ1530,45,FALSE)),1),"")</f>
        <v>-17.20661157</v>
      </c>
      <c r="O1362" s="50">
        <f>IFERROR(VLOOKUP($B1362,Data!$B$3:$D1530,2,FALSE),"")</f>
        <v>532920</v>
      </c>
      <c r="P1362" s="50">
        <f>IFERROR(VLOOKUP($B1362,Data!$B$3:$D1530,3,FALSE),"")</f>
        <v>636840</v>
      </c>
      <c r="Q1362" s="48">
        <f t="shared" si="2"/>
        <v>-0.1631807047</v>
      </c>
      <c r="R1362" s="48"/>
      <c r="S1362" s="48"/>
      <c r="T1362" s="48"/>
      <c r="U1362" s="48"/>
      <c r="V1362" s="48"/>
      <c r="W1362" s="50"/>
      <c r="Z1362" s="12"/>
      <c r="AA1362" s="12"/>
    </row>
    <row r="1363">
      <c r="A1363" s="9">
        <f t="shared" si="1"/>
        <v>1360</v>
      </c>
      <c r="B1363" s="47" t="s">
        <v>1497</v>
      </c>
      <c r="C1363" s="48">
        <f>IFERROR(DIVIDE(VLOOKUP($B1363,Data!$B$3:$AB$1535,9,FALSE),VLOOKUP($B1363,Data!$B$3:$AB$1535,4,FALSE)),"")</f>
        <v>0.2359527994</v>
      </c>
      <c r="D1363" s="48">
        <f>IFERROR(DIVIDE(VLOOKUP($B1363,Data!$B$3:$AB$1535,24,FALSE),VLOOKUP($B1363,Data!$B$3:$AB$1535,4,FALSE)),"")</f>
        <v>0.1422043686</v>
      </c>
      <c r="E1363" s="48">
        <f>IFERROR(DIVIDE(VLOOKUP($B1363,Data!$B$3:$EZ1530,29,FALSE),VLOOKUP($B1363,Data!$B$3:$EZ1530,4,FALSE)),"")</f>
        <v>0.02344966106</v>
      </c>
      <c r="F1363" s="48">
        <f>IFERROR(DIVIDE(VLOOKUP($B1363,Data!$B$3:$EZ1530,34,FALSE),VLOOKUP($B1363,Data!$B$3:$EZ1530,4,FALSE)),"")</f>
        <v>0.4229642648</v>
      </c>
      <c r="G1363" s="48">
        <f>IFERROR(DIVIDE(VLOOKUP($B1363,Data!$B$3:$EZ1530,39,FALSE),VLOOKUP($B1363,Data!$B$3:$EZ1530,4,FALSE)),"")</f>
        <v>0.02532429492</v>
      </c>
      <c r="H1363" s="48">
        <f>IFERROR(DIVIDE(VLOOKUP($B1363,Data!$B$3:$EZ1530,44,FALSE),VLOOKUP($B1363,Data!$B$3:$EZ1530,4,FALSE)),"")</f>
        <v>0.3026027283</v>
      </c>
      <c r="I1363" s="48">
        <f>IFERROR(MINUS(DIVIDE(VLOOKUP($B1363,Data!$B$3:$EZ1530,9,FALSE),VLOOKUP($B1363,Data!$B$3:$EZ1530,10,FALSE)),1),"")</f>
        <v>1.161453542</v>
      </c>
      <c r="J1363" s="48">
        <f>IFERROR(MINUS(DIVIDE(VLOOKUP($B1363,Data!$B$3:$EZ1530,24,FALSE),VLOOKUP($B1363,Data!$B$3:$EZ1530,25,FALSE)),1),"")</f>
        <v>-4.007433628</v>
      </c>
      <c r="K1363" s="48">
        <f>IFERROR(MINUS(DIVIDE(VLOOKUP($B1363,Data!$B$3:$EZ1530,29,FALSE),VLOOKUP($B1363,Data!$B$3:$EZ1530,30,FALSE)),1),"")</f>
        <v>-1.138657957</v>
      </c>
      <c r="L1363" s="48">
        <f>IFERROR(MINUS(DIVIDE(VLOOKUP($B1363,Data!$B$3:$EZ1530,34,FALSE),VLOOKUP($B1363,Data!$B$3:$EZ1530,35,FALSE)),1),"")</f>
        <v>0.3660936317</v>
      </c>
      <c r="M1363" s="48">
        <f>IFERROR(MINUS(DIVIDE(VLOOKUP($B1363,Data!$B$3:$EZ1530,39,FALSE),VLOOKUP($B1363,Data!$B$3:$EZ1530,40,FALSE)),1),"")</f>
        <v>-1.152520161</v>
      </c>
      <c r="N1363" s="48">
        <f>IFERROR(MINUS(DIVIDE(VLOOKUP($B1363,Data!$B$3:$EZ1530,44,FALSE),VLOOKUP($B1363,Data!$B$3:$EZ1530,45,FALSE)),1),"")</f>
        <v>1.595692749</v>
      </c>
      <c r="O1363" s="50">
        <f>IFERROR(VLOOKUP($B1363,Data!$B$3:$D1530,2,FALSE),"")</f>
        <v>631090</v>
      </c>
      <c r="P1363" s="50">
        <f>IFERROR(VLOOKUP($B1363,Data!$B$3:$D1530,3,FALSE),"")</f>
        <v>707810</v>
      </c>
      <c r="Q1363" s="48">
        <f t="shared" si="2"/>
        <v>-0.1083906698</v>
      </c>
      <c r="R1363" s="48"/>
      <c r="S1363" s="48"/>
      <c r="T1363" s="48"/>
      <c r="U1363" s="48"/>
      <c r="V1363" s="48"/>
      <c r="W1363" s="50"/>
      <c r="Z1363" s="15"/>
      <c r="AA1363" s="15"/>
    </row>
    <row r="1364">
      <c r="A1364" s="9">
        <f t="shared" si="1"/>
        <v>1361</v>
      </c>
      <c r="B1364" s="47" t="s">
        <v>1498</v>
      </c>
      <c r="C1364" s="48" t="str">
        <f>IFERROR(DIVIDE(VLOOKUP($B1364,Data!$B$3:$AB$1535,9,FALSE),VLOOKUP($B1364,Data!$B$3:$AB$1535,4,FALSE)),"")</f>
        <v/>
      </c>
      <c r="D1364" s="48" t="str">
        <f>IFERROR(DIVIDE(VLOOKUP($B1364,Data!$B$3:$AB$1535,24,FALSE),VLOOKUP($B1364,Data!$B$3:$AB$1535,4,FALSE)),"")</f>
        <v/>
      </c>
      <c r="E1364" s="48" t="str">
        <f>IFERROR(DIVIDE(VLOOKUP($B1364,Data!$B$3:$EZ1530,29,FALSE),VLOOKUP($B1364,Data!$B$3:$EZ1530,4,FALSE)),"")</f>
        <v/>
      </c>
      <c r="F1364" s="48" t="str">
        <f>IFERROR(DIVIDE(VLOOKUP($B1364,Data!$B$3:$EZ1530,34,FALSE),VLOOKUP($B1364,Data!$B$3:$EZ1530,4,FALSE)),"")</f>
        <v/>
      </c>
      <c r="G1364" s="48" t="str">
        <f>IFERROR(DIVIDE(VLOOKUP($B1364,Data!$B$3:$EZ1530,39,FALSE),VLOOKUP($B1364,Data!$B$3:$EZ1530,4,FALSE)),"")</f>
        <v/>
      </c>
      <c r="H1364" s="48" t="str">
        <f>IFERROR(DIVIDE(VLOOKUP($B1364,Data!$B$3:$EZ1530,44,FALSE),VLOOKUP($B1364,Data!$B$3:$EZ1530,4,FALSE)),"")</f>
        <v/>
      </c>
      <c r="I1364" s="48">
        <f>IFERROR(MINUS(DIVIDE(VLOOKUP($B1364,Data!$B$3:$EZ1530,9,FALSE),VLOOKUP($B1364,Data!$B$3:$EZ1530,10,FALSE)),1),"")</f>
        <v>-0.5185185185</v>
      </c>
      <c r="J1364" s="48" t="str">
        <f>IFERROR(MINUS(DIVIDE(VLOOKUP($B1364,Data!$B$3:$EZ1530,24,FALSE),VLOOKUP($B1364,Data!$B$3:$EZ1530,25,FALSE)),1),"")</f>
        <v/>
      </c>
      <c r="K1364" s="48">
        <f>IFERROR(MINUS(DIVIDE(VLOOKUP($B1364,Data!$B$3:$EZ1530,29,FALSE),VLOOKUP($B1364,Data!$B$3:$EZ1530,30,FALSE)),1),"")</f>
        <v>0.09697201993</v>
      </c>
      <c r="L1364" s="48">
        <f>IFERROR(MINUS(DIVIDE(VLOOKUP($B1364,Data!$B$3:$EZ1530,34,FALSE),VLOOKUP($B1364,Data!$B$3:$EZ1530,35,FALSE)),1),"")</f>
        <v>0.09630757518</v>
      </c>
      <c r="M1364" s="48">
        <f>IFERROR(MINUS(DIVIDE(VLOOKUP($B1364,Data!$B$3:$EZ1530,39,FALSE),VLOOKUP($B1364,Data!$B$3:$EZ1530,40,FALSE)),1),"")</f>
        <v>0.09697201993</v>
      </c>
      <c r="N1364" s="48">
        <f>IFERROR(MINUS(DIVIDE(VLOOKUP($B1364,Data!$B$3:$EZ1530,44,FALSE),VLOOKUP($B1364,Data!$B$3:$EZ1530,45,FALSE)),1),"")</f>
        <v>0.1130579892</v>
      </c>
      <c r="O1364" s="50" t="str">
        <f>IFERROR(VLOOKUP($B1364,Data!$B$3:$D1530,2,FALSE),"")</f>
        <v/>
      </c>
      <c r="P1364" s="50" t="str">
        <f>IFERROR(VLOOKUP($B1364,Data!$B$3:$D1530,3,FALSE),"")</f>
        <v/>
      </c>
      <c r="Q1364" s="48" t="str">
        <f t="shared" si="2"/>
        <v/>
      </c>
      <c r="R1364" s="48"/>
      <c r="S1364" s="48"/>
      <c r="T1364" s="48"/>
      <c r="U1364" s="48"/>
      <c r="V1364" s="48"/>
      <c r="W1364" s="50"/>
      <c r="Z1364" s="11"/>
      <c r="AA1364" s="11"/>
    </row>
    <row r="1365">
      <c r="A1365" s="9">
        <f t="shared" si="1"/>
        <v>1362</v>
      </c>
      <c r="B1365" s="47" t="s">
        <v>1499</v>
      </c>
      <c r="C1365" s="48">
        <f>IFERROR(DIVIDE(VLOOKUP($B1365,Data!$B$3:$AB$1535,9,FALSE),VLOOKUP($B1365,Data!$B$3:$AB$1535,4,FALSE)),"")</f>
        <v>0.1966759003</v>
      </c>
      <c r="D1365" s="48">
        <f>IFERROR(DIVIDE(VLOOKUP($B1365,Data!$B$3:$AB$1535,24,FALSE),VLOOKUP($B1365,Data!$B$3:$AB$1535,4,FALSE)),"")</f>
        <v>0</v>
      </c>
      <c r="E1365" s="48">
        <f>IFERROR(DIVIDE(VLOOKUP($B1365,Data!$B$3:$EZ1530,29,FALSE),VLOOKUP($B1365,Data!$B$3:$EZ1530,4,FALSE)),"")</f>
        <v>0.1090263158</v>
      </c>
      <c r="F1365" s="48">
        <f>IFERROR(DIVIDE(VLOOKUP($B1365,Data!$B$3:$EZ1530,34,FALSE),VLOOKUP($B1365,Data!$B$3:$EZ1530,4,FALSE)),"")</f>
        <v>0.1042867036</v>
      </c>
      <c r="G1365" s="48">
        <f>IFERROR(DIVIDE(VLOOKUP($B1365,Data!$B$3:$EZ1530,39,FALSE),VLOOKUP($B1365,Data!$B$3:$EZ1530,4,FALSE)),"")</f>
        <v>0.08171883657</v>
      </c>
      <c r="H1365" s="48">
        <f>IFERROR(DIVIDE(VLOOKUP($B1365,Data!$B$3:$EZ1530,44,FALSE),VLOOKUP($B1365,Data!$B$3:$EZ1530,4,FALSE)),"")</f>
        <v>0.06061772853</v>
      </c>
      <c r="I1365" s="48">
        <f>IFERROR(MINUS(DIVIDE(VLOOKUP($B1365,Data!$B$3:$EZ1530,9,FALSE),VLOOKUP($B1365,Data!$B$3:$EZ1530,10,FALSE)),1),"")</f>
        <v>-0.03401360544</v>
      </c>
      <c r="J1365" s="48" t="str">
        <f>IFERROR(MINUS(DIVIDE(VLOOKUP($B1365,Data!$B$3:$EZ1530,24,FALSE),VLOOKUP($B1365,Data!$B$3:$EZ1530,25,FALSE)),1),"")</f>
        <v/>
      </c>
      <c r="K1365" s="48">
        <f>IFERROR(MINUS(DIVIDE(VLOOKUP($B1365,Data!$B$3:$EZ1530,29,FALSE),VLOOKUP($B1365,Data!$B$3:$EZ1530,30,FALSE)),1),"")</f>
        <v>-0.1571333733</v>
      </c>
      <c r="L1365" s="48">
        <f>IFERROR(MINUS(DIVIDE(VLOOKUP($B1365,Data!$B$3:$EZ1530,34,FALSE),VLOOKUP($B1365,Data!$B$3:$EZ1530,35,FALSE)),1),"")</f>
        <v>-0.07212747079</v>
      </c>
      <c r="M1365" s="48">
        <f>IFERROR(MINUS(DIVIDE(VLOOKUP($B1365,Data!$B$3:$EZ1530,39,FALSE),VLOOKUP($B1365,Data!$B$3:$EZ1530,40,FALSE)),1),"")</f>
        <v>-0.2113747243</v>
      </c>
      <c r="N1365" s="48">
        <f>IFERROR(MINUS(DIVIDE(VLOOKUP($B1365,Data!$B$3:$EZ1530,44,FALSE),VLOOKUP($B1365,Data!$B$3:$EZ1530,45,FALSE)),1),"")</f>
        <v>-0.2734727756</v>
      </c>
      <c r="O1365" s="50">
        <f>IFERROR(VLOOKUP($B1365,Data!$B$3:$D1530,2,FALSE),"")</f>
        <v>6690000</v>
      </c>
      <c r="P1365" s="50">
        <f>IFERROR(VLOOKUP($B1365,Data!$B$3:$D1530,3,FALSE),"")</f>
        <v>6400000</v>
      </c>
      <c r="Q1365" s="48">
        <f t="shared" si="2"/>
        <v>0.0453125</v>
      </c>
      <c r="R1365" s="48"/>
      <c r="S1365" s="48"/>
      <c r="T1365" s="48"/>
      <c r="U1365" s="48"/>
      <c r="V1365" s="48"/>
      <c r="W1365" s="50"/>
      <c r="Z1365" s="11"/>
      <c r="AA1365" s="11"/>
    </row>
    <row r="1366">
      <c r="A1366" s="9">
        <f t="shared" si="1"/>
        <v>1363</v>
      </c>
      <c r="B1366" s="47" t="s">
        <v>1500</v>
      </c>
      <c r="C1366" s="48">
        <f>IFERROR(DIVIDE(VLOOKUP($B1366,Data!$B$3:$AB$1535,9,FALSE),VLOOKUP($B1366,Data!$B$3:$AB$1535,4,FALSE)),"")</f>
        <v>0.05433033708</v>
      </c>
      <c r="D1366" s="48">
        <f>IFERROR(DIVIDE(VLOOKUP($B1366,Data!$B$3:$AB$1535,24,FALSE),VLOOKUP($B1366,Data!$B$3:$AB$1535,4,FALSE)),"")</f>
        <v>-0.0820247191</v>
      </c>
      <c r="E1366" s="48">
        <f>IFERROR(DIVIDE(VLOOKUP($B1366,Data!$B$3:$EZ1530,29,FALSE),VLOOKUP($B1366,Data!$B$3:$EZ1530,4,FALSE)),"")</f>
        <v>-0.09569213483</v>
      </c>
      <c r="F1366" s="48">
        <f>IFERROR(DIVIDE(VLOOKUP($B1366,Data!$B$3:$EZ1530,34,FALSE),VLOOKUP($B1366,Data!$B$3:$EZ1530,4,FALSE)),"")</f>
        <v>0.01795505618</v>
      </c>
      <c r="G1366" s="48">
        <f>IFERROR(DIVIDE(VLOOKUP($B1366,Data!$B$3:$EZ1530,39,FALSE),VLOOKUP($B1366,Data!$B$3:$EZ1530,4,FALSE)),"")</f>
        <v>-0.08712134831</v>
      </c>
      <c r="H1366" s="48">
        <f>IFERROR(DIVIDE(VLOOKUP($B1366,Data!$B$3:$EZ1530,44,FALSE),VLOOKUP($B1366,Data!$B$3:$EZ1530,4,FALSE)),"")</f>
        <v>0.03068089888</v>
      </c>
      <c r="I1366" s="48">
        <f>IFERROR(MINUS(DIVIDE(VLOOKUP($B1366,Data!$B$3:$EZ1530,9,FALSE),VLOOKUP($B1366,Data!$B$3:$EZ1530,10,FALSE)),1),"")</f>
        <v>-0.4679942788</v>
      </c>
      <c r="J1366" s="48" t="str">
        <f>IFERROR(MINUS(DIVIDE(VLOOKUP($B1366,Data!$B$3:$EZ1530,24,FALSE),VLOOKUP($B1366,Data!$B$3:$EZ1530,25,FALSE)),1),"")</f>
        <v/>
      </c>
      <c r="K1366" s="48">
        <f>IFERROR(MINUS(DIVIDE(VLOOKUP($B1366,Data!$B$3:$EZ1530,29,FALSE),VLOOKUP($B1366,Data!$B$3:$EZ1530,30,FALSE)),1),"")</f>
        <v>-4.211145464</v>
      </c>
      <c r="L1366" s="48">
        <f>IFERROR(MINUS(DIVIDE(VLOOKUP($B1366,Data!$B$3:$EZ1530,34,FALSE),VLOOKUP($B1366,Data!$B$3:$EZ1530,35,FALSE)),1),"")</f>
        <v>-0.6658860918</v>
      </c>
      <c r="M1366" s="48">
        <f>IFERROR(MINUS(DIVIDE(VLOOKUP($B1366,Data!$B$3:$EZ1530,39,FALSE),VLOOKUP($B1366,Data!$B$3:$EZ1530,40,FALSE)),1),"")</f>
        <v>-5.646332694</v>
      </c>
      <c r="N1366" s="48">
        <f>IFERROR(MINUS(DIVIDE(VLOOKUP($B1366,Data!$B$3:$EZ1530,44,FALSE),VLOOKUP($B1366,Data!$B$3:$EZ1530,45,FALSE)),1),"")</f>
        <v>5.379906542</v>
      </c>
      <c r="O1366" s="50">
        <f>IFERROR(VLOOKUP($B1366,Data!$B$3:$D1530,2,FALSE),"")</f>
        <v>5380000</v>
      </c>
      <c r="P1366" s="50">
        <f>IFERROR(VLOOKUP($B1366,Data!$B$3:$D1530,3,FALSE),"")</f>
        <v>5150000</v>
      </c>
      <c r="Q1366" s="48">
        <f t="shared" si="2"/>
        <v>0.04466019417</v>
      </c>
      <c r="R1366" s="48"/>
      <c r="S1366" s="48"/>
      <c r="T1366" s="48"/>
      <c r="U1366" s="48"/>
      <c r="V1366" s="48"/>
      <c r="W1366" s="50"/>
      <c r="Z1366" s="12"/>
      <c r="AA1366" s="12"/>
    </row>
    <row r="1367">
      <c r="A1367" s="9">
        <f t="shared" si="1"/>
        <v>1364</v>
      </c>
      <c r="B1367" s="47" t="s">
        <v>1501</v>
      </c>
      <c r="C1367" s="48">
        <f>IFERROR(DIVIDE(VLOOKUP($B1367,Data!$B$3:$AB$1535,9,FALSE),VLOOKUP($B1367,Data!$B$3:$AB$1535,4,FALSE)),"")</f>
        <v>0.1969935065</v>
      </c>
      <c r="D1367" s="48">
        <f>IFERROR(DIVIDE(VLOOKUP($B1367,Data!$B$3:$AB$1535,24,FALSE),VLOOKUP($B1367,Data!$B$3:$AB$1535,4,FALSE)),"")</f>
        <v>0</v>
      </c>
      <c r="E1367" s="48">
        <f>IFERROR(DIVIDE(VLOOKUP($B1367,Data!$B$3:$EZ1530,29,FALSE),VLOOKUP($B1367,Data!$B$3:$EZ1530,4,FALSE)),"")</f>
        <v>0.08801623377</v>
      </c>
      <c r="F1367" s="48">
        <f>IFERROR(DIVIDE(VLOOKUP($B1367,Data!$B$3:$EZ1530,34,FALSE),VLOOKUP($B1367,Data!$B$3:$EZ1530,4,FALSE)),"")</f>
        <v>0.092</v>
      </c>
      <c r="G1367" s="48">
        <f>IFERROR(DIVIDE(VLOOKUP($B1367,Data!$B$3:$EZ1530,39,FALSE),VLOOKUP($B1367,Data!$B$3:$EZ1530,4,FALSE)),"")</f>
        <v>0.06726948052</v>
      </c>
      <c r="H1367" s="48">
        <f>IFERROR(DIVIDE(VLOOKUP($B1367,Data!$B$3:$EZ1530,44,FALSE),VLOOKUP($B1367,Data!$B$3:$EZ1530,4,FALSE)),"")</f>
        <v>0.1025909091</v>
      </c>
      <c r="I1367" s="48">
        <f>IFERROR(MINUS(DIVIDE(VLOOKUP($B1367,Data!$B$3:$EZ1530,9,FALSE),VLOOKUP($B1367,Data!$B$3:$EZ1530,10,FALSE)),1),"")</f>
        <v>-0.1283974027</v>
      </c>
      <c r="J1367" s="48" t="str">
        <f>IFERROR(MINUS(DIVIDE(VLOOKUP($B1367,Data!$B$3:$EZ1530,24,FALSE),VLOOKUP($B1367,Data!$B$3:$EZ1530,25,FALSE)),1),"")</f>
        <v/>
      </c>
      <c r="K1367" s="48">
        <f>IFERROR(MINUS(DIVIDE(VLOOKUP($B1367,Data!$B$3:$EZ1530,29,FALSE),VLOOKUP($B1367,Data!$B$3:$EZ1530,30,FALSE)),1),"")</f>
        <v>-0.2512773773</v>
      </c>
      <c r="L1367" s="48">
        <f>IFERROR(MINUS(DIVIDE(VLOOKUP($B1367,Data!$B$3:$EZ1530,34,FALSE),VLOOKUP($B1367,Data!$B$3:$EZ1530,35,FALSE)),1),"")</f>
        <v>-0.2610441767</v>
      </c>
      <c r="M1367" s="48">
        <f>IFERROR(MINUS(DIVIDE(VLOOKUP($B1367,Data!$B$3:$EZ1530,39,FALSE),VLOOKUP($B1367,Data!$B$3:$EZ1530,40,FALSE)),1),"")</f>
        <v>-0.2323737542</v>
      </c>
      <c r="N1367" s="48">
        <f>IFERROR(MINUS(DIVIDE(VLOOKUP($B1367,Data!$B$3:$EZ1530,44,FALSE),VLOOKUP($B1367,Data!$B$3:$EZ1530,45,FALSE)),1),"")</f>
        <v>0.017124831</v>
      </c>
      <c r="O1367" s="50">
        <f>IFERROR(VLOOKUP($B1367,Data!$B$3:$D1530,2,FALSE),"")</f>
        <v>3110000</v>
      </c>
      <c r="P1367" s="50">
        <f>IFERROR(VLOOKUP($B1367,Data!$B$3:$D1530,3,FALSE),"")</f>
        <v>2930000</v>
      </c>
      <c r="Q1367" s="48">
        <f t="shared" si="2"/>
        <v>0.0614334471</v>
      </c>
      <c r="R1367" s="48"/>
      <c r="S1367" s="48"/>
      <c r="T1367" s="48"/>
      <c r="U1367" s="48"/>
      <c r="V1367" s="48"/>
      <c r="W1367" s="50"/>
      <c r="Z1367" s="12"/>
      <c r="AA1367" s="12"/>
    </row>
    <row r="1368">
      <c r="A1368" s="9">
        <f t="shared" si="1"/>
        <v>1365</v>
      </c>
      <c r="B1368" s="47" t="s">
        <v>1502</v>
      </c>
      <c r="C1368" s="48">
        <f>IFERROR(DIVIDE(VLOOKUP($B1368,Data!$B$3:$AB$1535,9,FALSE),VLOOKUP($B1368,Data!$B$3:$AB$1535,4,FALSE)),"")</f>
        <v>0.6532258065</v>
      </c>
      <c r="D1368" s="48">
        <f>IFERROR(DIVIDE(VLOOKUP($B1368,Data!$B$3:$AB$1535,24,FALSE),VLOOKUP($B1368,Data!$B$3:$AB$1535,4,FALSE)),"")</f>
        <v>0</v>
      </c>
      <c r="E1368" s="48">
        <f>IFERROR(DIVIDE(VLOOKUP($B1368,Data!$B$3:$EZ1530,29,FALSE),VLOOKUP($B1368,Data!$B$3:$EZ1530,4,FALSE)),"")</f>
        <v>-0.1258467742</v>
      </c>
      <c r="F1368" s="48">
        <f>IFERROR(DIVIDE(VLOOKUP($B1368,Data!$B$3:$EZ1530,34,FALSE),VLOOKUP($B1368,Data!$B$3:$EZ1530,4,FALSE)),"")</f>
        <v>0</v>
      </c>
      <c r="G1368" s="48">
        <f>IFERROR(DIVIDE(VLOOKUP($B1368,Data!$B$3:$EZ1530,39,FALSE),VLOOKUP($B1368,Data!$B$3:$EZ1530,4,FALSE)),"")</f>
        <v>-0.1314717742</v>
      </c>
      <c r="H1368" s="48">
        <f>IFERROR(DIVIDE(VLOOKUP($B1368,Data!$B$3:$EZ1530,44,FALSE),VLOOKUP($B1368,Data!$B$3:$EZ1530,4,FALSE)),"")</f>
        <v>0</v>
      </c>
      <c r="I1368" s="48">
        <f>IFERROR(MINUS(DIVIDE(VLOOKUP($B1368,Data!$B$3:$EZ1530,9,FALSE),VLOOKUP($B1368,Data!$B$3:$EZ1530,10,FALSE)),1),"")</f>
        <v>-0.2058823529</v>
      </c>
      <c r="J1368" s="48">
        <f>IFERROR(MINUS(DIVIDE(VLOOKUP($B1368,Data!$B$3:$EZ1530,24,FALSE),VLOOKUP($B1368,Data!$B$3:$EZ1530,25,FALSE)),1),"")</f>
        <v>-1</v>
      </c>
      <c r="K1368" s="48">
        <f>IFERROR(MINUS(DIVIDE(VLOOKUP($B1368,Data!$B$3:$EZ1530,29,FALSE),VLOOKUP($B1368,Data!$B$3:$EZ1530,30,FALSE)),1),"")</f>
        <v>-1.814669799</v>
      </c>
      <c r="L1368" s="48">
        <f>IFERROR(MINUS(DIVIDE(VLOOKUP($B1368,Data!$B$3:$EZ1530,34,FALSE),VLOOKUP($B1368,Data!$B$3:$EZ1530,35,FALSE)),1),"")</f>
        <v>-1</v>
      </c>
      <c r="M1368" s="48">
        <f>IFERROR(MINUS(DIVIDE(VLOOKUP($B1368,Data!$B$3:$EZ1530,39,FALSE),VLOOKUP($B1368,Data!$B$3:$EZ1530,40,FALSE)),1),"")</f>
        <v>-2.013521915</v>
      </c>
      <c r="N1368" s="48">
        <f>IFERROR(MINUS(DIVIDE(VLOOKUP($B1368,Data!$B$3:$EZ1530,44,FALSE),VLOOKUP($B1368,Data!$B$3:$EZ1530,45,FALSE)),1),"")</f>
        <v>-1</v>
      </c>
      <c r="O1368" s="50">
        <f>IFERROR(VLOOKUP($B1368,Data!$B$3:$D1530,2,FALSE),"")</f>
        <v>5400000</v>
      </c>
      <c r="P1368" s="50">
        <f>IFERROR(VLOOKUP($B1368,Data!$B$3:$D1530,3,FALSE),"")</f>
        <v>5100000</v>
      </c>
      <c r="Q1368" s="48">
        <f t="shared" si="2"/>
        <v>0.05882352941</v>
      </c>
      <c r="R1368" s="48"/>
      <c r="S1368" s="48"/>
      <c r="T1368" s="48"/>
      <c r="U1368" s="48"/>
      <c r="V1368" s="48"/>
      <c r="W1368" s="50"/>
      <c r="Z1368" s="12"/>
      <c r="AA1368" s="12"/>
    </row>
    <row r="1369">
      <c r="A1369" s="9">
        <f t="shared" si="1"/>
        <v>1366</v>
      </c>
      <c r="B1369" s="47" t="s">
        <v>1503</v>
      </c>
      <c r="C1369" s="48" t="str">
        <f>IFERROR(DIVIDE(VLOOKUP($B1369,Data!$B$3:$AB$1535,9,FALSE),VLOOKUP($B1369,Data!$B$3:$AB$1535,4,FALSE)),"")</f>
        <v/>
      </c>
      <c r="D1369" s="48" t="str">
        <f>IFERROR(DIVIDE(VLOOKUP($B1369,Data!$B$3:$AB$1535,24,FALSE),VLOOKUP($B1369,Data!$B$3:$AB$1535,4,FALSE)),"")</f>
        <v/>
      </c>
      <c r="E1369" s="48" t="str">
        <f>IFERROR(DIVIDE(VLOOKUP($B1369,Data!$B$3:$EZ1530,29,FALSE),VLOOKUP($B1369,Data!$B$3:$EZ1530,4,FALSE)),"")</f>
        <v/>
      </c>
      <c r="F1369" s="48" t="str">
        <f>IFERROR(DIVIDE(VLOOKUP($B1369,Data!$B$3:$EZ1530,34,FALSE),VLOOKUP($B1369,Data!$B$3:$EZ1530,4,FALSE)),"")</f>
        <v/>
      </c>
      <c r="G1369" s="48" t="str">
        <f>IFERROR(DIVIDE(VLOOKUP($B1369,Data!$B$3:$EZ1530,39,FALSE),VLOOKUP($B1369,Data!$B$3:$EZ1530,4,FALSE)),"")</f>
        <v/>
      </c>
      <c r="H1369" s="48" t="str">
        <f>IFERROR(DIVIDE(VLOOKUP($B1369,Data!$B$3:$EZ1530,44,FALSE),VLOOKUP($B1369,Data!$B$3:$EZ1530,4,FALSE)),"")</f>
        <v/>
      </c>
      <c r="I1369" s="48">
        <f>IFERROR(MINUS(DIVIDE(VLOOKUP($B1369,Data!$B$3:$EZ1530,9,FALSE),VLOOKUP($B1369,Data!$B$3:$EZ1530,10,FALSE)),1),"")</f>
        <v>10.44927536</v>
      </c>
      <c r="J1369" s="48" t="str">
        <f>IFERROR(MINUS(DIVIDE(VLOOKUP($B1369,Data!$B$3:$EZ1530,24,FALSE),VLOOKUP($B1369,Data!$B$3:$EZ1530,25,FALSE)),1),"")</f>
        <v/>
      </c>
      <c r="K1369" s="48">
        <f>IFERROR(MINUS(DIVIDE(VLOOKUP($B1369,Data!$B$3:$EZ1530,29,FALSE),VLOOKUP($B1369,Data!$B$3:$EZ1530,30,FALSE)),1),"")</f>
        <v>1.910815174</v>
      </c>
      <c r="L1369" s="48">
        <f>IFERROR(MINUS(DIVIDE(VLOOKUP($B1369,Data!$B$3:$EZ1530,34,FALSE),VLOOKUP($B1369,Data!$B$3:$EZ1530,35,FALSE)),1),"")</f>
        <v>1.98627451</v>
      </c>
      <c r="M1369" s="48">
        <f>IFERROR(MINUS(DIVIDE(VLOOKUP($B1369,Data!$B$3:$EZ1530,39,FALSE),VLOOKUP($B1369,Data!$B$3:$EZ1530,40,FALSE)),1),"")</f>
        <v>1.909640984</v>
      </c>
      <c r="N1369" s="48">
        <f>IFERROR(MINUS(DIVIDE(VLOOKUP($B1369,Data!$B$3:$EZ1530,44,FALSE),VLOOKUP($B1369,Data!$B$3:$EZ1530,45,FALSE)),1),"")</f>
        <v>1.454738632</v>
      </c>
      <c r="O1369" s="50" t="str">
        <f>IFERROR(VLOOKUP($B1369,Data!$B$3:$D1530,2,FALSE),"")</f>
        <v/>
      </c>
      <c r="P1369" s="50">
        <f>IFERROR(VLOOKUP($B1369,Data!$B$3:$D1530,3,FALSE),"")</f>
        <v>9370</v>
      </c>
      <c r="Q1369" s="48">
        <f t="shared" si="2"/>
        <v>-1</v>
      </c>
      <c r="R1369" s="48"/>
      <c r="S1369" s="48"/>
      <c r="T1369" s="48"/>
      <c r="U1369" s="48"/>
      <c r="V1369" s="48"/>
      <c r="W1369" s="50"/>
      <c r="Z1369" s="12"/>
      <c r="AA1369" s="12"/>
    </row>
    <row r="1370">
      <c r="A1370" s="9">
        <f t="shared" si="1"/>
        <v>1367</v>
      </c>
      <c r="B1370" s="47" t="s">
        <v>1504</v>
      </c>
      <c r="C1370" s="48">
        <f>IFERROR(DIVIDE(VLOOKUP($B1370,Data!$B$3:$AB$1535,9,FALSE),VLOOKUP($B1370,Data!$B$3:$AB$1535,4,FALSE)),"")</f>
        <v>0.4276527331</v>
      </c>
      <c r="D1370" s="48">
        <f>IFERROR(DIVIDE(VLOOKUP($B1370,Data!$B$3:$AB$1535,24,FALSE),VLOOKUP($B1370,Data!$B$3:$AB$1535,4,FALSE)),"")</f>
        <v>0.1063665595</v>
      </c>
      <c r="E1370" s="48">
        <f>IFERROR(DIVIDE(VLOOKUP($B1370,Data!$B$3:$EZ1530,29,FALSE),VLOOKUP($B1370,Data!$B$3:$EZ1530,4,FALSE)),"")</f>
        <v>0.08536977492</v>
      </c>
      <c r="F1370" s="48">
        <f>IFERROR(DIVIDE(VLOOKUP($B1370,Data!$B$3:$EZ1530,34,FALSE),VLOOKUP($B1370,Data!$B$3:$EZ1530,4,FALSE)),"")</f>
        <v>0.1467524116</v>
      </c>
      <c r="G1370" s="48">
        <f>IFERROR(DIVIDE(VLOOKUP($B1370,Data!$B$3:$EZ1530,39,FALSE),VLOOKUP($B1370,Data!$B$3:$EZ1530,4,FALSE)),"")</f>
        <v>0.06138263666</v>
      </c>
      <c r="H1370" s="48">
        <f>IFERROR(DIVIDE(VLOOKUP($B1370,Data!$B$3:$EZ1530,44,FALSE),VLOOKUP($B1370,Data!$B$3:$EZ1530,4,FALSE)),"")</f>
        <v>0.09845659164</v>
      </c>
      <c r="I1370" s="48">
        <f>IFERROR(MINUS(DIVIDE(VLOOKUP($B1370,Data!$B$3:$EZ1530,9,FALSE),VLOOKUP($B1370,Data!$B$3:$EZ1530,10,FALSE)),1),"")</f>
        <v>0.1981981982</v>
      </c>
      <c r="J1370" s="48" t="str">
        <f>IFERROR(MINUS(DIVIDE(VLOOKUP($B1370,Data!$B$3:$EZ1530,24,FALSE),VLOOKUP($B1370,Data!$B$3:$EZ1530,25,FALSE)),1),"")</f>
        <v/>
      </c>
      <c r="K1370" s="48">
        <f>IFERROR(MINUS(DIVIDE(VLOOKUP($B1370,Data!$B$3:$EZ1530,29,FALSE),VLOOKUP($B1370,Data!$B$3:$EZ1530,30,FALSE)),1),"")</f>
        <v>0.6090909091</v>
      </c>
      <c r="L1370" s="48">
        <f>IFERROR(MINUS(DIVIDE(VLOOKUP($B1370,Data!$B$3:$EZ1530,34,FALSE),VLOOKUP($B1370,Data!$B$3:$EZ1530,35,FALSE)),1),"")</f>
        <v>0.400859423</v>
      </c>
      <c r="M1370" s="48">
        <f>IFERROR(MINUS(DIVIDE(VLOOKUP($B1370,Data!$B$3:$EZ1530,39,FALSE),VLOOKUP($B1370,Data!$B$3:$EZ1530,40,FALSE)),1),"")</f>
        <v>0.6136939983</v>
      </c>
      <c r="N1370" s="48">
        <f>IFERROR(MINUS(DIVIDE(VLOOKUP($B1370,Data!$B$3:$EZ1530,44,FALSE),VLOOKUP($B1370,Data!$B$3:$EZ1530,45,FALSE)),1),"")</f>
        <v>0.4756626506</v>
      </c>
      <c r="O1370" s="50">
        <f>IFERROR(VLOOKUP($B1370,Data!$B$3:$D1530,2,FALSE),"")</f>
        <v>3730000</v>
      </c>
      <c r="P1370" s="50">
        <f>IFERROR(VLOOKUP($B1370,Data!$B$3:$D1530,3,FALSE),"")</f>
        <v>3460000</v>
      </c>
      <c r="Q1370" s="48">
        <f t="shared" si="2"/>
        <v>0.07803468208</v>
      </c>
      <c r="R1370" s="48"/>
      <c r="S1370" s="48"/>
      <c r="T1370" s="48"/>
      <c r="U1370" s="48"/>
      <c r="V1370" s="48"/>
      <c r="W1370" s="50"/>
      <c r="Z1370" s="15"/>
      <c r="AA1370" s="15"/>
    </row>
    <row r="1371">
      <c r="A1371" s="9">
        <f t="shared" si="1"/>
        <v>1368</v>
      </c>
      <c r="B1371" s="47" t="s">
        <v>1505</v>
      </c>
      <c r="C1371" s="48">
        <f>IFERROR(DIVIDE(VLOOKUP($B1371,Data!$B$3:$AB$1535,9,FALSE),VLOOKUP($B1371,Data!$B$3:$AB$1535,4,FALSE)),"")</f>
        <v>0.3749312288</v>
      </c>
      <c r="D1371" s="48">
        <f>IFERROR(DIVIDE(VLOOKUP($B1371,Data!$B$3:$AB$1535,24,FALSE),VLOOKUP($B1371,Data!$B$3:$AB$1535,4,FALSE)),"")</f>
        <v>0.1324770921</v>
      </c>
      <c r="E1371" s="48">
        <f>IFERROR(DIVIDE(VLOOKUP($B1371,Data!$B$3:$EZ1530,29,FALSE),VLOOKUP($B1371,Data!$B$3:$EZ1530,4,FALSE)),"")</f>
        <v>0.1620155186</v>
      </c>
      <c r="F1371" s="48">
        <f>IFERROR(DIVIDE(VLOOKUP($B1371,Data!$B$3:$EZ1530,34,FALSE),VLOOKUP($B1371,Data!$B$3:$EZ1530,4,FALSE)),"")</f>
        <v>0.1688262412</v>
      </c>
      <c r="G1371" s="48">
        <f>IFERROR(DIVIDE(VLOOKUP($B1371,Data!$B$3:$EZ1530,39,FALSE),VLOOKUP($B1371,Data!$B$3:$EZ1530,4,FALSE)),"")</f>
        <v>0.1231621483</v>
      </c>
      <c r="H1371" s="48">
        <f>IFERROR(DIVIDE(VLOOKUP($B1371,Data!$B$3:$EZ1530,44,FALSE),VLOOKUP($B1371,Data!$B$3:$EZ1530,4,FALSE)),"")</f>
        <v>0.1901310922</v>
      </c>
      <c r="I1371" s="48">
        <f>IFERROR(MINUS(DIVIDE(VLOOKUP($B1371,Data!$B$3:$EZ1530,9,FALSE),VLOOKUP($B1371,Data!$B$3:$EZ1530,10,FALSE)),1),"")</f>
        <v>0.04087006899</v>
      </c>
      <c r="J1371" s="48">
        <f>IFERROR(MINUS(DIVIDE(VLOOKUP($B1371,Data!$B$3:$EZ1530,24,FALSE),VLOOKUP($B1371,Data!$B$3:$EZ1530,25,FALSE)),1),"")</f>
        <v>-0.03255749515</v>
      </c>
      <c r="K1371" s="48">
        <f>IFERROR(MINUS(DIVIDE(VLOOKUP($B1371,Data!$B$3:$EZ1530,29,FALSE),VLOOKUP($B1371,Data!$B$3:$EZ1530,30,FALSE)),1),"")</f>
        <v>0.1665073077</v>
      </c>
      <c r="L1371" s="48">
        <f>IFERROR(MINUS(DIVIDE(VLOOKUP($B1371,Data!$B$3:$EZ1530,34,FALSE),VLOOKUP($B1371,Data!$B$3:$EZ1530,35,FALSE)),1),"")</f>
        <v>-0.03240187018</v>
      </c>
      <c r="M1371" s="48">
        <f>IFERROR(MINUS(DIVIDE(VLOOKUP($B1371,Data!$B$3:$EZ1530,39,FALSE),VLOOKUP($B1371,Data!$B$3:$EZ1530,40,FALSE)),1),"")</f>
        <v>0.1411495869</v>
      </c>
      <c r="N1371" s="48">
        <f>IFERROR(MINUS(DIVIDE(VLOOKUP($B1371,Data!$B$3:$EZ1530,44,FALSE),VLOOKUP($B1371,Data!$B$3:$EZ1530,45,FALSE)),1),"")</f>
        <v>-0.007034578421</v>
      </c>
      <c r="O1371" s="50" t="str">
        <f>IFERROR(VLOOKUP($B1371,Data!$B$3:$D1530,2,FALSE),"")</f>
        <v/>
      </c>
      <c r="P1371" s="50" t="str">
        <f>IFERROR(VLOOKUP($B1371,Data!$B$3:$D1530,3,FALSE),"")</f>
        <v/>
      </c>
      <c r="Q1371" s="48" t="str">
        <f t="shared" si="2"/>
        <v/>
      </c>
      <c r="R1371" s="48"/>
      <c r="S1371" s="48"/>
      <c r="T1371" s="48"/>
      <c r="U1371" s="48"/>
      <c r="V1371" s="48"/>
      <c r="W1371" s="50"/>
      <c r="Z1371" s="12"/>
      <c r="AA1371" s="11"/>
    </row>
    <row r="1372">
      <c r="A1372" s="9">
        <f t="shared" si="1"/>
        <v>1369</v>
      </c>
      <c r="B1372" s="47" t="s">
        <v>1506</v>
      </c>
      <c r="C1372" s="48">
        <f>IFERROR(DIVIDE(VLOOKUP($B1372,Data!$B$3:$AB$1535,9,FALSE),VLOOKUP($B1372,Data!$B$3:$AB$1535,4,FALSE)),"")</f>
        <v>0.1601373183</v>
      </c>
      <c r="D1372" s="48">
        <f>IFERROR(DIVIDE(VLOOKUP($B1372,Data!$B$3:$AB$1535,24,FALSE),VLOOKUP($B1372,Data!$B$3:$AB$1535,4,FALSE)),"")</f>
        <v>0</v>
      </c>
      <c r="E1372" s="48">
        <f>IFERROR(DIVIDE(VLOOKUP($B1372,Data!$B$3:$EZ1530,29,FALSE),VLOOKUP($B1372,Data!$B$3:$EZ1530,4,FALSE)),"")</f>
        <v>0.2940226171</v>
      </c>
      <c r="F1372" s="48">
        <f>IFERROR(DIVIDE(VLOOKUP($B1372,Data!$B$3:$EZ1530,34,FALSE),VLOOKUP($B1372,Data!$B$3:$EZ1530,4,FALSE)),"")</f>
        <v>0.07289983845</v>
      </c>
      <c r="G1372" s="48">
        <f>IFERROR(DIVIDE(VLOOKUP($B1372,Data!$B$3:$EZ1530,39,FALSE),VLOOKUP($B1372,Data!$B$3:$EZ1530,4,FALSE)),"")</f>
        <v>0.2136510501</v>
      </c>
      <c r="H1372" s="48">
        <f>IFERROR(DIVIDE(VLOOKUP($B1372,Data!$B$3:$EZ1530,44,FALSE),VLOOKUP($B1372,Data!$B$3:$EZ1530,4,FALSE)),"")</f>
        <v>0.3241114701</v>
      </c>
      <c r="I1372" s="48">
        <f>IFERROR(MINUS(DIVIDE(VLOOKUP($B1372,Data!$B$3:$EZ1530,9,FALSE),VLOOKUP($B1372,Data!$B$3:$EZ1530,10,FALSE)),1),"")</f>
        <v>-0.2179487179</v>
      </c>
      <c r="J1372" s="48" t="str">
        <f>IFERROR(MINUS(DIVIDE(VLOOKUP($B1372,Data!$B$3:$EZ1530,24,FALSE),VLOOKUP($B1372,Data!$B$3:$EZ1530,25,FALSE)),1),"")</f>
        <v/>
      </c>
      <c r="K1372" s="48">
        <f>IFERROR(MINUS(DIVIDE(VLOOKUP($B1372,Data!$B$3:$EZ1530,29,FALSE),VLOOKUP($B1372,Data!$B$3:$EZ1530,30,FALSE)),1),"")</f>
        <v>1.618705036</v>
      </c>
      <c r="L1372" s="48">
        <f>IFERROR(MINUS(DIVIDE(VLOOKUP($B1372,Data!$B$3:$EZ1530,34,FALSE),VLOOKUP($B1372,Data!$B$3:$EZ1530,35,FALSE)),1),"")</f>
        <v>-0.3839590444</v>
      </c>
      <c r="M1372" s="48">
        <f>IFERROR(MINUS(DIVIDE(VLOOKUP($B1372,Data!$B$3:$EZ1530,39,FALSE),VLOOKUP($B1372,Data!$B$3:$EZ1530,40,FALSE)),1),"")</f>
        <v>1.483568075</v>
      </c>
      <c r="N1372" s="48">
        <f>IFERROR(MINUS(DIVIDE(VLOOKUP($B1372,Data!$B$3:$EZ1530,44,FALSE),VLOOKUP($B1372,Data!$B$3:$EZ1530,45,FALSE)),1),"")</f>
        <v>0.118466899</v>
      </c>
      <c r="O1372" s="50" t="str">
        <f>IFERROR(VLOOKUP($B1372,Data!$B$3:$D1530,2,FALSE),"")</f>
        <v/>
      </c>
      <c r="P1372" s="50" t="str">
        <f>IFERROR(VLOOKUP($B1372,Data!$B$3:$D1530,3,FALSE),"")</f>
        <v/>
      </c>
      <c r="Q1372" s="48" t="str">
        <f t="shared" si="2"/>
        <v/>
      </c>
      <c r="R1372" s="48"/>
      <c r="S1372" s="48"/>
      <c r="T1372" s="48"/>
      <c r="U1372" s="48"/>
      <c r="V1372" s="48"/>
      <c r="W1372" s="50"/>
      <c r="Z1372" s="15"/>
      <c r="AA1372" s="15"/>
    </row>
    <row r="1373">
      <c r="A1373" s="9">
        <f t="shared" si="1"/>
        <v>1370</v>
      </c>
      <c r="B1373" s="47" t="s">
        <v>1507</v>
      </c>
      <c r="C1373" s="48">
        <f>IFERROR(DIVIDE(VLOOKUP($B1373,Data!$B$3:$AB$1535,9,FALSE),VLOOKUP($B1373,Data!$B$3:$AB$1535,4,FALSE)),"")</f>
        <v>0.1455050973</v>
      </c>
      <c r="D1373" s="48">
        <f>IFERROR(DIVIDE(VLOOKUP($B1373,Data!$B$3:$AB$1535,24,FALSE),VLOOKUP($B1373,Data!$B$3:$AB$1535,4,FALSE)),"")</f>
        <v>-0.04193697868</v>
      </c>
      <c r="E1373" s="48">
        <f>IFERROR(DIVIDE(VLOOKUP($B1373,Data!$B$3:$EZ1530,29,FALSE),VLOOKUP($B1373,Data!$B$3:$EZ1530,4,FALSE)),"")</f>
        <v>-0.06352332407</v>
      </c>
      <c r="F1373" s="48">
        <f>IFERROR(DIVIDE(VLOOKUP($B1373,Data!$B$3:$EZ1530,34,FALSE),VLOOKUP($B1373,Data!$B$3:$EZ1530,4,FALSE)),"")</f>
        <v>0.1138785913</v>
      </c>
      <c r="G1373" s="48">
        <f>IFERROR(DIVIDE(VLOOKUP($B1373,Data!$B$3:$EZ1530,39,FALSE),VLOOKUP($B1373,Data!$B$3:$EZ1530,4,FALSE)),"")</f>
        <v>-0.04973741118</v>
      </c>
      <c r="H1373" s="48">
        <f>IFERROR(DIVIDE(VLOOKUP($B1373,Data!$B$3:$EZ1530,44,FALSE),VLOOKUP($B1373,Data!$B$3:$EZ1530,4,FALSE)),"")</f>
        <v>0.09700339821</v>
      </c>
      <c r="I1373" s="48">
        <f>IFERROR(MINUS(DIVIDE(VLOOKUP($B1373,Data!$B$3:$EZ1530,9,FALSE),VLOOKUP($B1373,Data!$B$3:$EZ1530,10,FALSE)),1),"")</f>
        <v>0.3914327917</v>
      </c>
      <c r="J1373" s="48">
        <f>IFERROR(MINUS(DIVIDE(VLOOKUP($B1373,Data!$B$3:$EZ1530,24,FALSE),VLOOKUP($B1373,Data!$B$3:$EZ1530,25,FALSE)),1),"")</f>
        <v>3.082706767</v>
      </c>
      <c r="K1373" s="48">
        <f>IFERROR(MINUS(DIVIDE(VLOOKUP($B1373,Data!$B$3:$EZ1530,29,FALSE),VLOOKUP($B1373,Data!$B$3:$EZ1530,30,FALSE)),1),"")</f>
        <v>5.94092827</v>
      </c>
      <c r="L1373" s="48">
        <f>IFERROR(MINUS(DIVIDE(VLOOKUP($B1373,Data!$B$3:$EZ1530,34,FALSE),VLOOKUP($B1373,Data!$B$3:$EZ1530,35,FALSE)),1),"")</f>
        <v>0.5603174603</v>
      </c>
      <c r="M1373" s="48">
        <f>IFERROR(MINUS(DIVIDE(VLOOKUP($B1373,Data!$B$3:$EZ1530,39,FALSE),VLOOKUP($B1373,Data!$B$3:$EZ1530,40,FALSE)),1),"")</f>
        <v>6.445086705</v>
      </c>
      <c r="N1373" s="48">
        <f>IFERROR(MINUS(DIVIDE(VLOOKUP($B1373,Data!$B$3:$EZ1530,44,FALSE),VLOOKUP($B1373,Data!$B$3:$EZ1530,45,FALSE)),1),"")</f>
        <v>0.2623115578</v>
      </c>
      <c r="O1373" s="50">
        <f>IFERROR(VLOOKUP($B1373,Data!$B$3:$D1530,2,FALSE),"")</f>
        <v>235000</v>
      </c>
      <c r="P1373" s="50">
        <f>IFERROR(VLOOKUP($B1373,Data!$B$3:$D1530,3,FALSE),"")</f>
        <v>224970</v>
      </c>
      <c r="Q1373" s="48">
        <f t="shared" si="2"/>
        <v>0.04458372227</v>
      </c>
      <c r="R1373" s="48"/>
      <c r="S1373" s="48"/>
      <c r="T1373" s="48"/>
      <c r="U1373" s="48"/>
      <c r="V1373" s="48"/>
      <c r="W1373" s="50"/>
      <c r="Z1373" s="15"/>
      <c r="AA1373" s="15"/>
    </row>
    <row r="1374">
      <c r="A1374" s="9">
        <f t="shared" si="1"/>
        <v>1371</v>
      </c>
      <c r="B1374" s="47" t="s">
        <v>1508</v>
      </c>
      <c r="C1374" s="48">
        <f>IFERROR(DIVIDE(VLOOKUP($B1374,Data!$B$3:$AB$1535,9,FALSE),VLOOKUP($B1374,Data!$B$3:$AB$1535,4,FALSE)),"")</f>
        <v>0.4112162072</v>
      </c>
      <c r="D1374" s="48">
        <f>IFERROR(DIVIDE(VLOOKUP($B1374,Data!$B$3:$AB$1535,24,FALSE),VLOOKUP($B1374,Data!$B$3:$AB$1535,4,FALSE)),"")</f>
        <v>0</v>
      </c>
      <c r="E1374" s="48">
        <f>IFERROR(DIVIDE(VLOOKUP($B1374,Data!$B$3:$EZ1530,29,FALSE),VLOOKUP($B1374,Data!$B$3:$EZ1530,4,FALSE)),"")</f>
        <v>0.2545113034</v>
      </c>
      <c r="F1374" s="48">
        <f>IFERROR(DIVIDE(VLOOKUP($B1374,Data!$B$3:$EZ1530,34,FALSE),VLOOKUP($B1374,Data!$B$3:$EZ1530,4,FALSE)),"")</f>
        <v>0.2713221976</v>
      </c>
      <c r="G1374" s="48">
        <f>IFERROR(DIVIDE(VLOOKUP($B1374,Data!$B$3:$EZ1530,39,FALSE),VLOOKUP($B1374,Data!$B$3:$EZ1530,4,FALSE)),"")</f>
        <v>0.1941906487</v>
      </c>
      <c r="H1374" s="48">
        <f>IFERROR(DIVIDE(VLOOKUP($B1374,Data!$B$3:$EZ1530,44,FALSE),VLOOKUP($B1374,Data!$B$3:$EZ1530,4,FALSE)),"")</f>
        <v>0.2097672235</v>
      </c>
      <c r="I1374" s="48">
        <f>IFERROR(MINUS(DIVIDE(VLOOKUP($B1374,Data!$B$3:$EZ1530,9,FALSE),VLOOKUP($B1374,Data!$B$3:$EZ1530,10,FALSE)),1),"")</f>
        <v>0.03937061277</v>
      </c>
      <c r="J1374" s="48" t="str">
        <f>IFERROR(MINUS(DIVIDE(VLOOKUP($B1374,Data!$B$3:$EZ1530,24,FALSE),VLOOKUP($B1374,Data!$B$3:$EZ1530,25,FALSE)),1),"")</f>
        <v/>
      </c>
      <c r="K1374" s="48">
        <f>IFERROR(MINUS(DIVIDE(VLOOKUP($B1374,Data!$B$3:$EZ1530,29,FALSE),VLOOKUP($B1374,Data!$B$3:$EZ1530,30,FALSE)),1),"")</f>
        <v>0.07259979645</v>
      </c>
      <c r="L1374" s="48">
        <f>IFERROR(MINUS(DIVIDE(VLOOKUP($B1374,Data!$B$3:$EZ1530,34,FALSE),VLOOKUP($B1374,Data!$B$3:$EZ1530,35,FALSE)),1),"")</f>
        <v>0.04636001449</v>
      </c>
      <c r="M1374" s="48">
        <f>IFERROR(MINUS(DIVIDE(VLOOKUP($B1374,Data!$B$3:$EZ1530,39,FALSE),VLOOKUP($B1374,Data!$B$3:$EZ1530,40,FALSE)),1),"")</f>
        <v>0.07557405068</v>
      </c>
      <c r="N1374" s="48">
        <f>IFERROR(MINUS(DIVIDE(VLOOKUP($B1374,Data!$B$3:$EZ1530,44,FALSE),VLOOKUP($B1374,Data!$B$3:$EZ1530,45,FALSE)),1),"")</f>
        <v>0.1319866783</v>
      </c>
      <c r="O1374" s="50">
        <f>IFERROR(VLOOKUP($B1374,Data!$B$3:$D1530,2,FALSE),"")</f>
        <v>844440</v>
      </c>
      <c r="P1374" s="50">
        <f>IFERROR(VLOOKUP($B1374,Data!$B$3:$D1530,3,FALSE),"")</f>
        <v>762140</v>
      </c>
      <c r="Q1374" s="48">
        <f t="shared" si="2"/>
        <v>0.1079854095</v>
      </c>
      <c r="R1374" s="48"/>
      <c r="S1374" s="48"/>
      <c r="T1374" s="48"/>
      <c r="U1374" s="48"/>
      <c r="V1374" s="48"/>
      <c r="W1374" s="50"/>
      <c r="Z1374" s="15"/>
      <c r="AA1374" s="15"/>
    </row>
    <row r="1375">
      <c r="A1375" s="9">
        <f t="shared" si="1"/>
        <v>1372</v>
      </c>
      <c r="B1375" s="47" t="s">
        <v>1509</v>
      </c>
      <c r="C1375" s="48">
        <f>IFERROR(DIVIDE(VLOOKUP($B1375,Data!$B$3:$AB$1535,9,FALSE),VLOOKUP($B1375,Data!$B$3:$AB$1535,4,FALSE)),"")</f>
        <v>0</v>
      </c>
      <c r="D1375" s="48">
        <f>IFERROR(DIVIDE(VLOOKUP($B1375,Data!$B$3:$AB$1535,24,FALSE),VLOOKUP($B1375,Data!$B$3:$AB$1535,4,FALSE)),"")</f>
        <v>-332.3030303</v>
      </c>
      <c r="E1375" s="48">
        <f>IFERROR(DIVIDE(VLOOKUP($B1375,Data!$B$3:$EZ1530,29,FALSE),VLOOKUP($B1375,Data!$B$3:$EZ1530,4,FALSE)),"")</f>
        <v>-335.5757576</v>
      </c>
      <c r="F1375" s="48">
        <f>IFERROR(DIVIDE(VLOOKUP($B1375,Data!$B$3:$EZ1530,34,FALSE),VLOOKUP($B1375,Data!$B$3:$EZ1530,4,FALSE)),"")</f>
        <v>-246.1818182</v>
      </c>
      <c r="G1375" s="48">
        <f>IFERROR(DIVIDE(VLOOKUP($B1375,Data!$B$3:$EZ1530,39,FALSE),VLOOKUP($B1375,Data!$B$3:$EZ1530,4,FALSE)),"")</f>
        <v>-334.7272727</v>
      </c>
      <c r="H1375" s="48">
        <f>IFERROR(DIVIDE(VLOOKUP($B1375,Data!$B$3:$EZ1530,44,FALSE),VLOOKUP($B1375,Data!$B$3:$EZ1530,4,FALSE)),"")</f>
        <v>-200.3030303</v>
      </c>
      <c r="I1375" s="48">
        <f>IFERROR(MINUS(DIVIDE(VLOOKUP($B1375,Data!$B$3:$EZ1530,9,FALSE),VLOOKUP($B1375,Data!$B$3:$EZ1530,10,FALSE)),1),"")</f>
        <v>-1</v>
      </c>
      <c r="J1375" s="48">
        <f>IFERROR(MINUS(DIVIDE(VLOOKUP($B1375,Data!$B$3:$EZ1530,24,FALSE),VLOOKUP($B1375,Data!$B$3:$EZ1530,25,FALSE)),1),"")</f>
        <v>0.1614064817</v>
      </c>
      <c r="K1375" s="48">
        <f>IFERROR(MINUS(DIVIDE(VLOOKUP($B1375,Data!$B$3:$EZ1530,29,FALSE),VLOOKUP($B1375,Data!$B$3:$EZ1530,30,FALSE)),1),"")</f>
        <v>0.2973289597</v>
      </c>
      <c r="L1375" s="48">
        <f>IFERROR(MINUS(DIVIDE(VLOOKUP($B1375,Data!$B$3:$EZ1530,34,FALSE),VLOOKUP($B1375,Data!$B$3:$EZ1530,35,FALSE)),1),"")</f>
        <v>-0.02659956866</v>
      </c>
      <c r="M1375" s="48">
        <f>IFERROR(MINUS(DIVIDE(VLOOKUP($B1375,Data!$B$3:$EZ1530,39,FALSE),VLOOKUP($B1375,Data!$B$3:$EZ1530,40,FALSE)),1),"")</f>
        <v>0.2998352554</v>
      </c>
      <c r="N1375" s="48">
        <f>IFERROR(MINUS(DIVIDE(VLOOKUP($B1375,Data!$B$3:$EZ1530,44,FALSE),VLOOKUP($B1375,Data!$B$3:$EZ1530,45,FALSE)),1),"")</f>
        <v>-0.1590330789</v>
      </c>
      <c r="O1375" s="50" t="str">
        <f>IFERROR(VLOOKUP($B1375,Data!$B$3:$D1530,2,FALSE),"")</f>
        <v/>
      </c>
      <c r="P1375" s="50" t="str">
        <f>IFERROR(VLOOKUP($B1375,Data!$B$3:$D1530,3,FALSE),"")</f>
        <v/>
      </c>
      <c r="Q1375" s="48" t="str">
        <f t="shared" si="2"/>
        <v/>
      </c>
      <c r="R1375" s="48"/>
      <c r="S1375" s="48"/>
      <c r="T1375" s="48"/>
      <c r="U1375" s="48"/>
      <c r="V1375" s="48"/>
      <c r="W1375" s="50"/>
      <c r="Z1375" s="15"/>
      <c r="AA1375" s="15"/>
    </row>
    <row r="1376">
      <c r="A1376" s="9">
        <f t="shared" si="1"/>
        <v>1373</v>
      </c>
      <c r="B1376" s="47" t="s">
        <v>1510</v>
      </c>
      <c r="C1376" s="48">
        <f>IFERROR(DIVIDE(VLOOKUP($B1376,Data!$B$3:$AB$1535,9,FALSE),VLOOKUP($B1376,Data!$B$3:$AB$1535,4,FALSE)),"")</f>
        <v>-0.04759722222</v>
      </c>
      <c r="D1376" s="48">
        <f>IFERROR(DIVIDE(VLOOKUP($B1376,Data!$B$3:$AB$1535,24,FALSE),VLOOKUP($B1376,Data!$B$3:$AB$1535,4,FALSE)),"")</f>
        <v>-0.1982708333</v>
      </c>
      <c r="E1376" s="48">
        <f>IFERROR(DIVIDE(VLOOKUP($B1376,Data!$B$3:$EZ1530,29,FALSE),VLOOKUP($B1376,Data!$B$3:$EZ1530,4,FALSE)),"")</f>
        <v>-0.2176180556</v>
      </c>
      <c r="F1376" s="48">
        <f>IFERROR(DIVIDE(VLOOKUP($B1376,Data!$B$3:$EZ1530,34,FALSE),VLOOKUP($B1376,Data!$B$3:$EZ1530,4,FALSE)),"")</f>
        <v>-0.07517361111</v>
      </c>
      <c r="G1376" s="48">
        <f>IFERROR(DIVIDE(VLOOKUP($B1376,Data!$B$3:$EZ1530,39,FALSE),VLOOKUP($B1376,Data!$B$3:$EZ1530,4,FALSE)),"")</f>
        <v>-0.1982152778</v>
      </c>
      <c r="H1376" s="48">
        <f>IFERROR(DIVIDE(VLOOKUP($B1376,Data!$B$3:$EZ1530,44,FALSE),VLOOKUP($B1376,Data!$B$3:$EZ1530,4,FALSE)),"")</f>
        <v>-0.1416180556</v>
      </c>
      <c r="I1376" s="48">
        <f>IFERROR(MINUS(DIVIDE(VLOOKUP($B1376,Data!$B$3:$EZ1530,9,FALSE),VLOOKUP($B1376,Data!$B$3:$EZ1530,10,FALSE)),1),"")</f>
        <v>-0.2116402116</v>
      </c>
      <c r="J1376" s="48">
        <f>IFERROR(MINUS(DIVIDE(VLOOKUP($B1376,Data!$B$3:$EZ1530,24,FALSE),VLOOKUP($B1376,Data!$B$3:$EZ1530,25,FALSE)),1),"")</f>
        <v>0.676610488</v>
      </c>
      <c r="K1376" s="48">
        <f>IFERROR(MINUS(DIVIDE(VLOOKUP($B1376,Data!$B$3:$EZ1530,29,FALSE),VLOOKUP($B1376,Data!$B$3:$EZ1530,30,FALSE)),1),"")</f>
        <v>1.459733124</v>
      </c>
      <c r="L1376" s="48">
        <f>IFERROR(MINUS(DIVIDE(VLOOKUP($B1376,Data!$B$3:$EZ1530,34,FALSE),VLOOKUP($B1376,Data!$B$3:$EZ1530,35,FALSE)),1),"")</f>
        <v>-0.07833120477</v>
      </c>
      <c r="M1376" s="48">
        <f>IFERROR(MINUS(DIVIDE(VLOOKUP($B1376,Data!$B$3:$EZ1530,39,FALSE),VLOOKUP($B1376,Data!$B$3:$EZ1530,40,FALSE)),1),"")</f>
        <v>1.571209801</v>
      </c>
      <c r="N1376" s="48">
        <f>IFERROR(MINUS(DIVIDE(VLOOKUP($B1376,Data!$B$3:$EZ1530,44,FALSE),VLOOKUP($B1376,Data!$B$3:$EZ1530,45,FALSE)),1),"")</f>
        <v>3.661257143</v>
      </c>
      <c r="O1376" s="50" t="str">
        <f>IFERROR(VLOOKUP($B1376,Data!$B$3:$D1530,2,FALSE),"")</f>
        <v/>
      </c>
      <c r="P1376" s="50" t="str">
        <f>IFERROR(VLOOKUP($B1376,Data!$B$3:$D1530,3,FALSE),"")</f>
        <v/>
      </c>
      <c r="Q1376" s="48" t="str">
        <f t="shared" si="2"/>
        <v/>
      </c>
      <c r="R1376" s="48"/>
      <c r="S1376" s="48"/>
      <c r="T1376" s="48"/>
      <c r="U1376" s="48"/>
      <c r="V1376" s="48"/>
      <c r="W1376" s="50"/>
      <c r="Z1376" s="12"/>
      <c r="AA1376" s="12"/>
    </row>
    <row r="1377">
      <c r="A1377" s="9">
        <f t="shared" si="1"/>
        <v>1374</v>
      </c>
      <c r="B1377" s="47" t="s">
        <v>1511</v>
      </c>
      <c r="C1377" s="48">
        <f>IFERROR(DIVIDE(VLOOKUP($B1377,Data!$B$3:$AB$1535,9,FALSE),VLOOKUP($B1377,Data!$B$3:$AB$1535,4,FALSE)),"")</f>
        <v>0.1674242424</v>
      </c>
      <c r="D1377" s="48">
        <f>IFERROR(DIVIDE(VLOOKUP($B1377,Data!$B$3:$AB$1535,24,FALSE),VLOOKUP($B1377,Data!$B$3:$AB$1535,4,FALSE)),"")</f>
        <v>0.04204545455</v>
      </c>
      <c r="E1377" s="48">
        <f>IFERROR(DIVIDE(VLOOKUP($B1377,Data!$B$3:$EZ1530,29,FALSE),VLOOKUP($B1377,Data!$B$3:$EZ1530,4,FALSE)),"")</f>
        <v>-0.03333333333</v>
      </c>
      <c r="F1377" s="48">
        <f>IFERROR(DIVIDE(VLOOKUP($B1377,Data!$B$3:$EZ1530,34,FALSE),VLOOKUP($B1377,Data!$B$3:$EZ1530,4,FALSE)),"")</f>
        <v>0.1765151515</v>
      </c>
      <c r="G1377" s="48">
        <f>IFERROR(DIVIDE(VLOOKUP($B1377,Data!$B$3:$EZ1530,39,FALSE),VLOOKUP($B1377,Data!$B$3:$EZ1530,4,FALSE)),"")</f>
        <v>-0.04318181818</v>
      </c>
      <c r="H1377" s="48">
        <f>IFERROR(DIVIDE(VLOOKUP($B1377,Data!$B$3:$EZ1530,44,FALSE),VLOOKUP($B1377,Data!$B$3:$EZ1530,4,FALSE)),"")</f>
        <v>0.1670454545</v>
      </c>
      <c r="I1377" s="48">
        <f>IFERROR(MINUS(DIVIDE(VLOOKUP($B1377,Data!$B$3:$EZ1530,9,FALSE),VLOOKUP($B1377,Data!$B$3:$EZ1530,10,FALSE)),1),"")</f>
        <v>-0.05957446809</v>
      </c>
      <c r="J1377" s="48">
        <f>IFERROR(MINUS(DIVIDE(VLOOKUP($B1377,Data!$B$3:$EZ1530,24,FALSE),VLOOKUP($B1377,Data!$B$3:$EZ1530,25,FALSE)),1),"")</f>
        <v>-0.3470588235</v>
      </c>
      <c r="K1377" s="48">
        <f>IFERROR(MINUS(DIVIDE(VLOOKUP($B1377,Data!$B$3:$EZ1530,29,FALSE),VLOOKUP($B1377,Data!$B$3:$EZ1530,30,FALSE)),1),"")</f>
        <v>-3.046511628</v>
      </c>
      <c r="L1377" s="48">
        <f>IFERROR(MINUS(DIVIDE(VLOOKUP($B1377,Data!$B$3:$EZ1530,34,FALSE),VLOOKUP($B1377,Data!$B$3:$EZ1530,35,FALSE)),1),"")</f>
        <v>0.08120649652</v>
      </c>
      <c r="M1377" s="48">
        <f>IFERROR(MINUS(DIVIDE(VLOOKUP($B1377,Data!$B$3:$EZ1530,39,FALSE),VLOOKUP($B1377,Data!$B$3:$EZ1530,40,FALSE)),1),"")</f>
        <v>15.28571429</v>
      </c>
      <c r="N1377" s="48">
        <f>IFERROR(MINUS(DIVIDE(VLOOKUP($B1377,Data!$B$3:$EZ1530,44,FALSE),VLOOKUP($B1377,Data!$B$3:$EZ1530,45,FALSE)),1),"")</f>
        <v>1.594117647</v>
      </c>
      <c r="O1377" s="50">
        <f>IFERROR(VLOOKUP($B1377,Data!$B$3:$D1530,2,FALSE),"")</f>
        <v>2820000</v>
      </c>
      <c r="P1377" s="50">
        <f>IFERROR(VLOOKUP($B1377,Data!$B$3:$D1530,3,FALSE),"")</f>
        <v>2570000</v>
      </c>
      <c r="Q1377" s="48">
        <f t="shared" si="2"/>
        <v>0.09727626459</v>
      </c>
      <c r="R1377" s="48"/>
      <c r="S1377" s="48"/>
      <c r="T1377" s="48"/>
      <c r="U1377" s="48"/>
      <c r="V1377" s="48"/>
      <c r="W1377" s="50"/>
      <c r="Z1377" s="12"/>
      <c r="AA1377" s="12"/>
    </row>
    <row r="1378">
      <c r="A1378" s="9">
        <f t="shared" si="1"/>
        <v>1375</v>
      </c>
      <c r="B1378" s="47" t="s">
        <v>1512</v>
      </c>
      <c r="C1378" s="48">
        <f>IFERROR(DIVIDE(VLOOKUP($B1378,Data!$B$3:$AB$1535,9,FALSE),VLOOKUP($B1378,Data!$B$3:$AB$1535,4,FALSE)),"")</f>
        <v>0.3505870968</v>
      </c>
      <c r="D1378" s="48">
        <f>IFERROR(DIVIDE(VLOOKUP($B1378,Data!$B$3:$AB$1535,24,FALSE),VLOOKUP($B1378,Data!$B$3:$AB$1535,4,FALSE)),"")</f>
        <v>-0.3631225806</v>
      </c>
      <c r="E1378" s="48">
        <f>IFERROR(DIVIDE(VLOOKUP($B1378,Data!$B$3:$EZ1530,29,FALSE),VLOOKUP($B1378,Data!$B$3:$EZ1530,4,FALSE)),"")</f>
        <v>-0.2737548387</v>
      </c>
      <c r="F1378" s="48">
        <f>IFERROR(DIVIDE(VLOOKUP($B1378,Data!$B$3:$EZ1530,34,FALSE),VLOOKUP($B1378,Data!$B$3:$EZ1530,4,FALSE)),"")</f>
        <v>0.3168645161</v>
      </c>
      <c r="G1378" s="48">
        <f>IFERROR(DIVIDE(VLOOKUP($B1378,Data!$B$3:$EZ1530,39,FALSE),VLOOKUP($B1378,Data!$B$3:$EZ1530,4,FALSE)),"")</f>
        <v>-0.1288</v>
      </c>
      <c r="H1378" s="48">
        <f>IFERROR(DIVIDE(VLOOKUP($B1378,Data!$B$3:$EZ1530,44,FALSE),VLOOKUP($B1378,Data!$B$3:$EZ1530,4,FALSE)),"")</f>
        <v>-0.009974193548</v>
      </c>
      <c r="I1378" s="48">
        <f>IFERROR(MINUS(DIVIDE(VLOOKUP($B1378,Data!$B$3:$EZ1530,9,FALSE),VLOOKUP($B1378,Data!$B$3:$EZ1530,10,FALSE)),1),"")</f>
        <v>0.05872153058</v>
      </c>
      <c r="J1378" s="48" t="str">
        <f>IFERROR(MINUS(DIVIDE(VLOOKUP($B1378,Data!$B$3:$EZ1530,24,FALSE),VLOOKUP($B1378,Data!$B$3:$EZ1530,25,FALSE)),1),"")</f>
        <v/>
      </c>
      <c r="K1378" s="48">
        <f>IFERROR(MINUS(DIVIDE(VLOOKUP($B1378,Data!$B$3:$EZ1530,29,FALSE),VLOOKUP($B1378,Data!$B$3:$EZ1530,30,FALSE)),1),"")</f>
        <v>-2.290746487</v>
      </c>
      <c r="L1378" s="48">
        <f>IFERROR(MINUS(DIVIDE(VLOOKUP($B1378,Data!$B$3:$EZ1530,34,FALSE),VLOOKUP($B1378,Data!$B$3:$EZ1530,35,FALSE)),1),"")</f>
        <v>0.06579575539</v>
      </c>
      <c r="M1378" s="48">
        <f>IFERROR(MINUS(DIVIDE(VLOOKUP($B1378,Data!$B$3:$EZ1530,39,FALSE),VLOOKUP($B1378,Data!$B$3:$EZ1530,40,FALSE)),1),"")</f>
        <v>-1.374580183</v>
      </c>
      <c r="N1378" s="48">
        <f>IFERROR(MINUS(DIVIDE(VLOOKUP($B1378,Data!$B$3:$EZ1530,44,FALSE),VLOOKUP($B1378,Data!$B$3:$EZ1530,45,FALSE)),1),"")</f>
        <v>-1.066275132</v>
      </c>
      <c r="O1378" s="50">
        <f>IFERROR(VLOOKUP($B1378,Data!$B$3:$D1530,2,FALSE),"")</f>
        <v>1190000</v>
      </c>
      <c r="P1378" s="50">
        <f>IFERROR(VLOOKUP($B1378,Data!$B$3:$D1530,3,FALSE),"")</f>
        <v>941330</v>
      </c>
      <c r="Q1378" s="48">
        <f t="shared" si="2"/>
        <v>0.2641687825</v>
      </c>
      <c r="R1378" s="48"/>
      <c r="S1378" s="48"/>
      <c r="T1378" s="48"/>
      <c r="U1378" s="48"/>
      <c r="V1378" s="48"/>
      <c r="W1378" s="50"/>
      <c r="Z1378" s="12"/>
      <c r="AA1378" s="12"/>
    </row>
    <row r="1379">
      <c r="A1379" s="9">
        <f t="shared" si="1"/>
        <v>1376</v>
      </c>
      <c r="B1379" s="47" t="s">
        <v>1513</v>
      </c>
      <c r="C1379" s="48">
        <f>IFERROR(DIVIDE(VLOOKUP($B1379,Data!$B$3:$AB$1535,9,FALSE),VLOOKUP($B1379,Data!$B$3:$AB$1535,4,FALSE)),"")</f>
        <v>0.5220769231</v>
      </c>
      <c r="D1379" s="48">
        <f>IFERROR(DIVIDE(VLOOKUP($B1379,Data!$B$3:$AB$1535,24,FALSE),VLOOKUP($B1379,Data!$B$3:$AB$1535,4,FALSE)),"")</f>
        <v>0.460958042</v>
      </c>
      <c r="E1379" s="48">
        <f>IFERROR(DIVIDE(VLOOKUP($B1379,Data!$B$3:$EZ1530,29,FALSE),VLOOKUP($B1379,Data!$B$3:$EZ1530,4,FALSE)),"")</f>
        <v>0.2663146853</v>
      </c>
      <c r="F1379" s="48">
        <f>IFERROR(DIVIDE(VLOOKUP($B1379,Data!$B$3:$EZ1530,34,FALSE),VLOOKUP($B1379,Data!$B$3:$EZ1530,4,FALSE)),"")</f>
        <v>0.8741258741</v>
      </c>
      <c r="G1379" s="48">
        <f>IFERROR(DIVIDE(VLOOKUP($B1379,Data!$B$3:$EZ1530,39,FALSE),VLOOKUP($B1379,Data!$B$3:$EZ1530,4,FALSE)),"")</f>
        <v>0.2466363636</v>
      </c>
      <c r="H1379" s="48">
        <f>IFERROR(DIVIDE(VLOOKUP($B1379,Data!$B$3:$EZ1530,44,FALSE),VLOOKUP($B1379,Data!$B$3:$EZ1530,4,FALSE)),"")</f>
        <v>0.7412587413</v>
      </c>
      <c r="I1379" s="48">
        <f>IFERROR(MINUS(DIVIDE(VLOOKUP($B1379,Data!$B$3:$EZ1530,9,FALSE),VLOOKUP($B1379,Data!$B$3:$EZ1530,10,FALSE)),1),"")</f>
        <v>-0.03762761679</v>
      </c>
      <c r="J1379" s="48">
        <f>IFERROR(MINUS(DIVIDE(VLOOKUP($B1379,Data!$B$3:$EZ1530,24,FALSE),VLOOKUP($B1379,Data!$B$3:$EZ1530,25,FALSE)),1),"")</f>
        <v>-0.03969872673</v>
      </c>
      <c r="K1379" s="48">
        <f>IFERROR(MINUS(DIVIDE(VLOOKUP($B1379,Data!$B$3:$EZ1530,29,FALSE),VLOOKUP($B1379,Data!$B$3:$EZ1530,30,FALSE)),1),"")</f>
        <v>-0.10877349</v>
      </c>
      <c r="L1379" s="48">
        <f>IFERROR(MINUS(DIVIDE(VLOOKUP($B1379,Data!$B$3:$EZ1530,34,FALSE),VLOOKUP($B1379,Data!$B$3:$EZ1530,35,FALSE)),1),"")</f>
        <v>-0.04580152672</v>
      </c>
      <c r="M1379" s="48">
        <f>IFERROR(MINUS(DIVIDE(VLOOKUP($B1379,Data!$B$3:$EZ1530,39,FALSE),VLOOKUP($B1379,Data!$B$3:$EZ1530,40,FALSE)),1),"")</f>
        <v>0.008954113743</v>
      </c>
      <c r="N1379" s="48">
        <f>IFERROR(MINUS(DIVIDE(VLOOKUP($B1379,Data!$B$3:$EZ1530,44,FALSE),VLOOKUP($B1379,Data!$B$3:$EZ1530,45,FALSE)),1),"")</f>
        <v>0.1399688122</v>
      </c>
      <c r="O1379" s="50">
        <f>IFERROR(VLOOKUP($B1379,Data!$B$3:$D1530,2,FALSE),"")</f>
        <v>1320000</v>
      </c>
      <c r="P1379" s="50">
        <f>IFERROR(VLOOKUP($B1379,Data!$B$3:$D1530,3,FALSE),"")</f>
        <v>1300000</v>
      </c>
      <c r="Q1379" s="48">
        <f t="shared" si="2"/>
        <v>0.01538461538</v>
      </c>
      <c r="R1379" s="48"/>
      <c r="S1379" s="48"/>
      <c r="T1379" s="48"/>
      <c r="U1379" s="48"/>
      <c r="V1379" s="48"/>
      <c r="W1379" s="50"/>
      <c r="Z1379" s="12"/>
      <c r="AA1379" s="12"/>
    </row>
    <row r="1380">
      <c r="A1380" s="9">
        <f t="shared" si="1"/>
        <v>1377</v>
      </c>
      <c r="B1380" s="47" t="s">
        <v>1514</v>
      </c>
      <c r="C1380" s="48">
        <f>IFERROR(DIVIDE(VLOOKUP($B1380,Data!$B$3:$AB$1535,9,FALSE),VLOOKUP($B1380,Data!$B$3:$AB$1535,4,FALSE)),"")</f>
        <v>0</v>
      </c>
      <c r="D1380" s="48">
        <f>IFERROR(DIVIDE(VLOOKUP($B1380,Data!$B$3:$AB$1535,24,FALSE),VLOOKUP($B1380,Data!$B$3:$AB$1535,4,FALSE)),"")</f>
        <v>-857.4193548</v>
      </c>
      <c r="E1380" s="48">
        <f>IFERROR(DIVIDE(VLOOKUP($B1380,Data!$B$3:$EZ1530,29,FALSE),VLOOKUP($B1380,Data!$B$3:$EZ1530,4,FALSE)),"")</f>
        <v>-802.2580645</v>
      </c>
      <c r="F1380" s="48">
        <f>IFERROR(DIVIDE(VLOOKUP($B1380,Data!$B$3:$EZ1530,34,FALSE),VLOOKUP($B1380,Data!$B$3:$EZ1530,4,FALSE)),"")</f>
        <v>-826.1290323</v>
      </c>
      <c r="G1380" s="48">
        <f>IFERROR(DIVIDE(VLOOKUP($B1380,Data!$B$3:$EZ1530,39,FALSE),VLOOKUP($B1380,Data!$B$3:$EZ1530,4,FALSE)),"")</f>
        <v>-802.2580645</v>
      </c>
      <c r="H1380" s="48">
        <f>IFERROR(DIVIDE(VLOOKUP($B1380,Data!$B$3:$EZ1530,44,FALSE),VLOOKUP($B1380,Data!$B$3:$EZ1530,4,FALSE)),"")</f>
        <v>-748.0645161</v>
      </c>
      <c r="I1380" s="48" t="str">
        <f>IFERROR(MINUS(DIVIDE(VLOOKUP($B1380,Data!$B$3:$EZ1530,9,FALSE),VLOOKUP($B1380,Data!$B$3:$EZ1530,10,FALSE)),1),"")</f>
        <v/>
      </c>
      <c r="J1380" s="48">
        <f>IFERROR(MINUS(DIVIDE(VLOOKUP($B1380,Data!$B$3:$EZ1530,24,FALSE),VLOOKUP($B1380,Data!$B$3:$EZ1530,25,FALSE)),1),"")</f>
        <v>-0.1282387668</v>
      </c>
      <c r="K1380" s="48">
        <f>IFERROR(MINUS(DIVIDE(VLOOKUP($B1380,Data!$B$3:$EZ1530,29,FALSE),VLOOKUP($B1380,Data!$B$3:$EZ1530,30,FALSE)),1),"")</f>
        <v>-0.1721038615</v>
      </c>
      <c r="L1380" s="48">
        <f>IFERROR(MINUS(DIVIDE(VLOOKUP($B1380,Data!$B$3:$EZ1530,34,FALSE),VLOOKUP($B1380,Data!$B$3:$EZ1530,35,FALSE)),1),"")</f>
        <v>-0.09919099543</v>
      </c>
      <c r="M1380" s="48">
        <f>IFERROR(MINUS(DIVIDE(VLOOKUP($B1380,Data!$B$3:$EZ1530,39,FALSE),VLOOKUP($B1380,Data!$B$3:$EZ1530,40,FALSE)),1),"")</f>
        <v>-0.1920077973</v>
      </c>
      <c r="N1380" s="48">
        <f>IFERROR(MINUS(DIVIDE(VLOOKUP($B1380,Data!$B$3:$EZ1530,44,FALSE),VLOOKUP($B1380,Data!$B$3:$EZ1530,45,FALSE)),1),"")</f>
        <v>-0.08628841608</v>
      </c>
      <c r="O1380" s="50">
        <f>IFERROR(VLOOKUP($B1380,Data!$B$3:$D1530,2,FALSE),"")</f>
        <v>22430</v>
      </c>
      <c r="P1380" s="50">
        <f>IFERROR(VLOOKUP($B1380,Data!$B$3:$D1530,3,FALSE),"")</f>
        <v>1500</v>
      </c>
      <c r="Q1380" s="48">
        <f t="shared" si="2"/>
        <v>13.95333333</v>
      </c>
      <c r="R1380" s="48"/>
      <c r="S1380" s="48"/>
      <c r="T1380" s="48"/>
      <c r="U1380" s="48"/>
      <c r="V1380" s="48"/>
      <c r="W1380" s="50"/>
      <c r="Z1380" s="15"/>
      <c r="AA1380" s="15"/>
    </row>
    <row r="1381">
      <c r="A1381" s="9">
        <f t="shared" si="1"/>
        <v>1378</v>
      </c>
      <c r="B1381" s="47" t="s">
        <v>1515</v>
      </c>
      <c r="C1381" s="48">
        <f>IFERROR(DIVIDE(VLOOKUP($B1381,Data!$B$3:$AB$1535,9,FALSE),VLOOKUP($B1381,Data!$B$3:$AB$1535,4,FALSE)),"")</f>
        <v>0.2975460123</v>
      </c>
      <c r="D1381" s="48">
        <f>IFERROR(DIVIDE(VLOOKUP($B1381,Data!$B$3:$AB$1535,24,FALSE),VLOOKUP($B1381,Data!$B$3:$AB$1535,4,FALSE)),"")</f>
        <v>0.1110168712</v>
      </c>
      <c r="E1381" s="48">
        <f>IFERROR(DIVIDE(VLOOKUP($B1381,Data!$B$3:$EZ1530,29,FALSE),VLOOKUP($B1381,Data!$B$3:$EZ1530,4,FALSE)),"")</f>
        <v>0.1167070552</v>
      </c>
      <c r="F1381" s="48">
        <f>IFERROR(DIVIDE(VLOOKUP($B1381,Data!$B$3:$EZ1530,34,FALSE),VLOOKUP($B1381,Data!$B$3:$EZ1530,4,FALSE)),"")</f>
        <v>0.1901840491</v>
      </c>
      <c r="G1381" s="48">
        <f>IFERROR(DIVIDE(VLOOKUP($B1381,Data!$B$3:$EZ1530,39,FALSE),VLOOKUP($B1381,Data!$B$3:$EZ1530,4,FALSE)),"")</f>
        <v>0.1017730061</v>
      </c>
      <c r="H1381" s="48">
        <f>IFERROR(DIVIDE(VLOOKUP($B1381,Data!$B$3:$EZ1530,44,FALSE),VLOOKUP($B1381,Data!$B$3:$EZ1530,4,FALSE)),"")</f>
        <v>0.213190184</v>
      </c>
      <c r="I1381" s="48">
        <f>IFERROR(MINUS(DIVIDE(VLOOKUP($B1381,Data!$B$3:$EZ1530,9,FALSE),VLOOKUP($B1381,Data!$B$3:$EZ1530,10,FALSE)),1),"")</f>
        <v>0.03191489362</v>
      </c>
      <c r="J1381" s="48">
        <f>IFERROR(MINUS(DIVIDE(VLOOKUP($B1381,Data!$B$3:$EZ1530,24,FALSE),VLOOKUP($B1381,Data!$B$3:$EZ1530,25,FALSE)),1),"")</f>
        <v>-0.02107085379</v>
      </c>
      <c r="K1381" s="48">
        <f>IFERROR(MINUS(DIVIDE(VLOOKUP($B1381,Data!$B$3:$EZ1530,29,FALSE),VLOOKUP($B1381,Data!$B$3:$EZ1530,30,FALSE)),1),"")</f>
        <v>-0.01254866338</v>
      </c>
      <c r="L1381" s="48">
        <f>IFERROR(MINUS(DIVIDE(VLOOKUP($B1381,Data!$B$3:$EZ1530,34,FALSE),VLOOKUP($B1381,Data!$B$3:$EZ1530,35,FALSE)),1),"")</f>
        <v>-0.04615384615</v>
      </c>
      <c r="M1381" s="48">
        <f>IFERROR(MINUS(DIVIDE(VLOOKUP($B1381,Data!$B$3:$EZ1530,39,FALSE),VLOOKUP($B1381,Data!$B$3:$EZ1530,40,FALSE)),1),"")</f>
        <v>-0.1064127771</v>
      </c>
      <c r="N1381" s="48">
        <f>IFERROR(MINUS(DIVIDE(VLOOKUP($B1381,Data!$B$3:$EZ1530,44,FALSE),VLOOKUP($B1381,Data!$B$3:$EZ1530,45,FALSE)),1),"")</f>
        <v>1.576268673</v>
      </c>
      <c r="O1381" s="50">
        <f>IFERROR(VLOOKUP($B1381,Data!$B$3:$D1530,2,FALSE),"")</f>
        <v>4740000</v>
      </c>
      <c r="P1381" s="50">
        <f>IFERROR(VLOOKUP($B1381,Data!$B$3:$D1530,3,FALSE),"")</f>
        <v>5060000</v>
      </c>
      <c r="Q1381" s="48">
        <f t="shared" si="2"/>
        <v>-0.06324110672</v>
      </c>
      <c r="R1381" s="48"/>
      <c r="S1381" s="48"/>
      <c r="T1381" s="48"/>
      <c r="U1381" s="48"/>
      <c r="V1381" s="48"/>
      <c r="W1381" s="50"/>
      <c r="Z1381" s="11"/>
      <c r="AA1381" s="11"/>
    </row>
    <row r="1382">
      <c r="A1382" s="9">
        <f t="shared" si="1"/>
        <v>1379</v>
      </c>
      <c r="B1382" s="47" t="s">
        <v>1516</v>
      </c>
      <c r="C1382" s="48">
        <f>IFERROR(DIVIDE(VLOOKUP($B1382,Data!$B$3:$AB$1535,9,FALSE),VLOOKUP($B1382,Data!$B$3:$AB$1535,4,FALSE)),"")</f>
        <v>0.3209580838</v>
      </c>
      <c r="D1382" s="48">
        <f>IFERROR(DIVIDE(VLOOKUP($B1382,Data!$B$3:$AB$1535,24,FALSE),VLOOKUP($B1382,Data!$B$3:$AB$1535,4,FALSE)),"")</f>
        <v>0</v>
      </c>
      <c r="E1382" s="48">
        <f>IFERROR(DIVIDE(VLOOKUP($B1382,Data!$B$3:$EZ1530,29,FALSE),VLOOKUP($B1382,Data!$B$3:$EZ1530,4,FALSE)),"")</f>
        <v>0.08663233533</v>
      </c>
      <c r="F1382" s="48">
        <f>IFERROR(DIVIDE(VLOOKUP($B1382,Data!$B$3:$EZ1530,34,FALSE),VLOOKUP($B1382,Data!$B$3:$EZ1530,4,FALSE)),"")</f>
        <v>0.1124790419</v>
      </c>
      <c r="G1382" s="48">
        <f>IFERROR(DIVIDE(VLOOKUP($B1382,Data!$B$3:$EZ1530,39,FALSE),VLOOKUP($B1382,Data!$B$3:$EZ1530,4,FALSE)),"")</f>
        <v>0.06734730539</v>
      </c>
      <c r="H1382" s="48">
        <f>IFERROR(DIVIDE(VLOOKUP($B1382,Data!$B$3:$EZ1530,44,FALSE),VLOOKUP($B1382,Data!$B$3:$EZ1530,4,FALSE)),"")</f>
        <v>0.09721197605</v>
      </c>
      <c r="I1382" s="48">
        <f>IFERROR(MINUS(DIVIDE(VLOOKUP($B1382,Data!$B$3:$EZ1530,9,FALSE),VLOOKUP($B1382,Data!$B$3:$EZ1530,10,FALSE)),1),"")</f>
        <v>0.05928853755</v>
      </c>
      <c r="J1382" s="48">
        <f>IFERROR(MINUS(DIVIDE(VLOOKUP($B1382,Data!$B$3:$EZ1530,24,FALSE),VLOOKUP($B1382,Data!$B$3:$EZ1530,25,FALSE)),1),"")</f>
        <v>-1</v>
      </c>
      <c r="K1382" s="48">
        <f>IFERROR(MINUS(DIVIDE(VLOOKUP($B1382,Data!$B$3:$EZ1530,29,FALSE),VLOOKUP($B1382,Data!$B$3:$EZ1530,30,FALSE)),1),"")</f>
        <v>0.05851709858</v>
      </c>
      <c r="L1382" s="48">
        <f>IFERROR(MINUS(DIVIDE(VLOOKUP($B1382,Data!$B$3:$EZ1530,34,FALSE),VLOOKUP($B1382,Data!$B$3:$EZ1530,35,FALSE)),1),"")</f>
        <v>0.06837752676</v>
      </c>
      <c r="M1382" s="48">
        <f>IFERROR(MINUS(DIVIDE(VLOOKUP($B1382,Data!$B$3:$EZ1530,39,FALSE),VLOOKUP($B1382,Data!$B$3:$EZ1530,40,FALSE)),1),"")</f>
        <v>0.05633405966</v>
      </c>
      <c r="N1382" s="48">
        <f>IFERROR(MINUS(DIVIDE(VLOOKUP($B1382,Data!$B$3:$EZ1530,44,FALSE),VLOOKUP($B1382,Data!$B$3:$EZ1530,45,FALSE)),1),"")</f>
        <v>0.1689684471</v>
      </c>
      <c r="O1382" s="50">
        <f>IFERROR(VLOOKUP($B1382,Data!$B$3:$D1530,2,FALSE),"")</f>
        <v>10100000</v>
      </c>
      <c r="P1382" s="50">
        <f>IFERROR(VLOOKUP($B1382,Data!$B$3:$D1530,3,FALSE),"")</f>
        <v>9960000</v>
      </c>
      <c r="Q1382" s="48">
        <f t="shared" si="2"/>
        <v>0.0140562249</v>
      </c>
      <c r="R1382" s="48"/>
      <c r="S1382" s="48"/>
      <c r="T1382" s="48"/>
      <c r="U1382" s="48"/>
      <c r="V1382" s="48"/>
      <c r="W1382" s="50"/>
      <c r="Z1382" s="11"/>
      <c r="AA1382" s="11"/>
    </row>
    <row r="1383">
      <c r="A1383" s="9">
        <f t="shared" si="1"/>
        <v>1380</v>
      </c>
      <c r="B1383" s="47" t="s">
        <v>1517</v>
      </c>
      <c r="C1383" s="48">
        <f>IFERROR(DIVIDE(VLOOKUP($B1383,Data!$B$3:$AB$1535,9,FALSE),VLOOKUP($B1383,Data!$B$3:$AB$1535,4,FALSE)),"")</f>
        <v>0.08878306878</v>
      </c>
      <c r="D1383" s="48">
        <f>IFERROR(DIVIDE(VLOOKUP($B1383,Data!$B$3:$AB$1535,24,FALSE),VLOOKUP($B1383,Data!$B$3:$AB$1535,4,FALSE)),"")</f>
        <v>0.009417989418</v>
      </c>
      <c r="E1383" s="48">
        <f>IFERROR(DIVIDE(VLOOKUP($B1383,Data!$B$3:$EZ1530,29,FALSE),VLOOKUP($B1383,Data!$B$3:$EZ1530,4,FALSE)),"")</f>
        <v>-0.00380952381</v>
      </c>
      <c r="F1383" s="48">
        <f>IFERROR(DIVIDE(VLOOKUP($B1383,Data!$B$3:$EZ1530,34,FALSE),VLOOKUP($B1383,Data!$B$3:$EZ1530,4,FALSE)),"")</f>
        <v>0.05031746032</v>
      </c>
      <c r="G1383" s="48">
        <f>IFERROR(DIVIDE(VLOOKUP($B1383,Data!$B$3:$EZ1530,39,FALSE),VLOOKUP($B1383,Data!$B$3:$EZ1530,4,FALSE)),"")</f>
        <v>0.02433862434</v>
      </c>
      <c r="H1383" s="48">
        <f>IFERROR(DIVIDE(VLOOKUP($B1383,Data!$B$3:$EZ1530,44,FALSE),VLOOKUP($B1383,Data!$B$3:$EZ1530,4,FALSE)),"")</f>
        <v>0.08531746032</v>
      </c>
      <c r="I1383" s="48">
        <f>IFERROR(MINUS(DIVIDE(VLOOKUP($B1383,Data!$B$3:$EZ1530,9,FALSE),VLOOKUP($B1383,Data!$B$3:$EZ1530,10,FALSE)),1),"")</f>
        <v>-0.3580719204</v>
      </c>
      <c r="J1383" s="48">
        <f>IFERROR(MINUS(DIVIDE(VLOOKUP($B1383,Data!$B$3:$EZ1530,24,FALSE),VLOOKUP($B1383,Data!$B$3:$EZ1530,25,FALSE)),1),"")</f>
        <v>-0.8652025748</v>
      </c>
      <c r="K1383" s="48">
        <f>IFERROR(MINUS(DIVIDE(VLOOKUP($B1383,Data!$B$3:$EZ1530,29,FALSE),VLOOKUP($B1383,Data!$B$3:$EZ1530,30,FALSE)),1),"")</f>
        <v>-1.039527862</v>
      </c>
      <c r="L1383" s="48">
        <f>IFERROR(MINUS(DIVIDE(VLOOKUP($B1383,Data!$B$3:$EZ1530,34,FALSE),VLOOKUP($B1383,Data!$B$3:$EZ1530,35,FALSE)),1),"")</f>
        <v>-0.52897474</v>
      </c>
      <c r="M1383" s="48">
        <f>IFERROR(MINUS(DIVIDE(VLOOKUP($B1383,Data!$B$3:$EZ1530,39,FALSE),VLOOKUP($B1383,Data!$B$3:$EZ1530,40,FALSE)),1),"")</f>
        <v>-0.6854700855</v>
      </c>
      <c r="N1383" s="48">
        <f>IFERROR(MINUS(DIVIDE(VLOOKUP($B1383,Data!$B$3:$EZ1530,44,FALSE),VLOOKUP($B1383,Data!$B$3:$EZ1530,45,FALSE)),1),"")</f>
        <v>-0.1200545703</v>
      </c>
      <c r="O1383" s="50">
        <f>IFERROR(VLOOKUP($B1383,Data!$B$3:$D1530,2,FALSE),"")</f>
        <v>3350000</v>
      </c>
      <c r="P1383" s="50">
        <f>IFERROR(VLOOKUP($B1383,Data!$B$3:$D1530,3,FALSE),"")</f>
        <v>2960000</v>
      </c>
      <c r="Q1383" s="48">
        <f t="shared" si="2"/>
        <v>0.1317567568</v>
      </c>
      <c r="R1383" s="48"/>
      <c r="S1383" s="48"/>
      <c r="T1383" s="48"/>
      <c r="U1383" s="48"/>
      <c r="V1383" s="48"/>
      <c r="W1383" s="50"/>
      <c r="Z1383" s="15"/>
      <c r="AA1383" s="15"/>
    </row>
    <row r="1384">
      <c r="A1384" s="9">
        <f t="shared" si="1"/>
        <v>1381</v>
      </c>
      <c r="B1384" s="47" t="s">
        <v>1518</v>
      </c>
      <c r="C1384" s="48">
        <f>IFERROR(DIVIDE(VLOOKUP($B1384,Data!$B$3:$AB$1535,9,FALSE),VLOOKUP($B1384,Data!$B$3:$AB$1535,4,FALSE)),"")</f>
        <v>0.1859818182</v>
      </c>
      <c r="D1384" s="48">
        <f>IFERROR(DIVIDE(VLOOKUP($B1384,Data!$B$3:$AB$1535,24,FALSE),VLOOKUP($B1384,Data!$B$3:$AB$1535,4,FALSE)),"")</f>
        <v>0.07448863636</v>
      </c>
      <c r="E1384" s="48">
        <f>IFERROR(DIVIDE(VLOOKUP($B1384,Data!$B$3:$EZ1530,29,FALSE),VLOOKUP($B1384,Data!$B$3:$EZ1530,4,FALSE)),"")</f>
        <v>0.07370681818</v>
      </c>
      <c r="F1384" s="48">
        <f>IFERROR(DIVIDE(VLOOKUP($B1384,Data!$B$3:$EZ1530,34,FALSE),VLOOKUP($B1384,Data!$B$3:$EZ1530,4,FALSE)),"")</f>
        <v>0.2431818182</v>
      </c>
      <c r="G1384" s="48">
        <f>IFERROR(DIVIDE(VLOOKUP($B1384,Data!$B$3:$EZ1530,39,FALSE),VLOOKUP($B1384,Data!$B$3:$EZ1530,4,FALSE)),"")</f>
        <v>0.07291818182</v>
      </c>
      <c r="H1384" s="48">
        <f>IFERROR(DIVIDE(VLOOKUP($B1384,Data!$B$3:$EZ1530,44,FALSE),VLOOKUP($B1384,Data!$B$3:$EZ1530,4,FALSE)),"")</f>
        <v>0.2363636364</v>
      </c>
      <c r="I1384" s="48">
        <f>IFERROR(MINUS(DIVIDE(VLOOKUP($B1384,Data!$B$3:$EZ1530,9,FALSE),VLOOKUP($B1384,Data!$B$3:$EZ1530,10,FALSE)),1),"")</f>
        <v>-0.220647619</v>
      </c>
      <c r="J1384" s="48" t="str">
        <f>IFERROR(MINUS(DIVIDE(VLOOKUP($B1384,Data!$B$3:$EZ1530,24,FALSE),VLOOKUP($B1384,Data!$B$3:$EZ1530,25,FALSE)),1),"")</f>
        <v/>
      </c>
      <c r="K1384" s="48">
        <f>IFERROR(MINUS(DIVIDE(VLOOKUP($B1384,Data!$B$3:$EZ1530,29,FALSE),VLOOKUP($B1384,Data!$B$3:$EZ1530,30,FALSE)),1),"")</f>
        <v>-0.3525195656</v>
      </c>
      <c r="L1384" s="48">
        <f>IFERROR(MINUS(DIVIDE(VLOOKUP($B1384,Data!$B$3:$EZ1530,34,FALSE),VLOOKUP($B1384,Data!$B$3:$EZ1530,35,FALSE)),1),"")</f>
        <v>-0.1954887218</v>
      </c>
      <c r="M1384" s="48">
        <f>IFERROR(MINUS(DIVIDE(VLOOKUP($B1384,Data!$B$3:$EZ1530,39,FALSE),VLOOKUP($B1384,Data!$B$3:$EZ1530,40,FALSE)),1),"")</f>
        <v>-0.3417856557</v>
      </c>
      <c r="N1384" s="48">
        <f>IFERROR(MINUS(DIVIDE(VLOOKUP($B1384,Data!$B$3:$EZ1530,44,FALSE),VLOOKUP($B1384,Data!$B$3:$EZ1530,45,FALSE)),1),"")</f>
        <v>-0.07142857143</v>
      </c>
      <c r="O1384" s="50">
        <f>IFERROR(VLOOKUP($B1384,Data!$B$3:$D1530,2,FALSE),"")</f>
        <v>1360000</v>
      </c>
      <c r="P1384" s="50">
        <f>IFERROR(VLOOKUP($B1384,Data!$B$3:$D1530,3,FALSE),"")</f>
        <v>1270000</v>
      </c>
      <c r="Q1384" s="48">
        <f t="shared" si="2"/>
        <v>0.07086614173</v>
      </c>
      <c r="R1384" s="48"/>
      <c r="S1384" s="48"/>
      <c r="T1384" s="48"/>
      <c r="U1384" s="48"/>
      <c r="V1384" s="48"/>
      <c r="W1384" s="50"/>
      <c r="Z1384" s="15"/>
      <c r="AA1384" s="15"/>
    </row>
    <row r="1385">
      <c r="A1385" s="9">
        <f t="shared" si="1"/>
        <v>1382</v>
      </c>
      <c r="B1385" s="47" t="s">
        <v>1519</v>
      </c>
      <c r="C1385" s="48">
        <f>IFERROR(DIVIDE(VLOOKUP($B1385,Data!$B$3:$AB$1535,9,FALSE),VLOOKUP($B1385,Data!$B$3:$AB$1535,4,FALSE)),"")</f>
        <v>0.1655817738</v>
      </c>
      <c r="D1385" s="48">
        <f>IFERROR(DIVIDE(VLOOKUP($B1385,Data!$B$3:$AB$1535,24,FALSE),VLOOKUP($B1385,Data!$B$3:$AB$1535,4,FALSE)),"")</f>
        <v>-0.004434499593</v>
      </c>
      <c r="E1385" s="48">
        <f>IFERROR(DIVIDE(VLOOKUP($B1385,Data!$B$3:$EZ1530,29,FALSE),VLOOKUP($B1385,Data!$B$3:$EZ1530,4,FALSE)),"")</f>
        <v>-0.02705451587</v>
      </c>
      <c r="F1385" s="48">
        <f>IFERROR(DIVIDE(VLOOKUP($B1385,Data!$B$3:$EZ1530,34,FALSE),VLOOKUP($B1385,Data!$B$3:$EZ1530,4,FALSE)),"")</f>
        <v>0.09072416599</v>
      </c>
      <c r="G1385" s="48">
        <f>IFERROR(DIVIDE(VLOOKUP($B1385,Data!$B$3:$EZ1530,39,FALSE),VLOOKUP($B1385,Data!$B$3:$EZ1530,4,FALSE)),"")</f>
        <v>-0.03506916192</v>
      </c>
      <c r="H1385" s="48">
        <f>IFERROR(DIVIDE(VLOOKUP($B1385,Data!$B$3:$EZ1530,44,FALSE),VLOOKUP($B1385,Data!$B$3:$EZ1530,4,FALSE)),"")</f>
        <v>0.09804719284</v>
      </c>
      <c r="I1385" s="48">
        <f>IFERROR(MINUS(DIVIDE(VLOOKUP($B1385,Data!$B$3:$EZ1530,9,FALSE),VLOOKUP($B1385,Data!$B$3:$EZ1530,10,FALSE)),1),"")</f>
        <v>0.007425742574</v>
      </c>
      <c r="J1385" s="48">
        <f>IFERROR(MINUS(DIVIDE(VLOOKUP($B1385,Data!$B$3:$EZ1530,24,FALSE),VLOOKUP($B1385,Data!$B$3:$EZ1530,25,FALSE)),1),"")</f>
        <v>-0.7026083161</v>
      </c>
      <c r="K1385" s="48">
        <f>IFERROR(MINUS(DIVIDE(VLOOKUP($B1385,Data!$B$3:$EZ1530,29,FALSE),VLOOKUP($B1385,Data!$B$3:$EZ1530,30,FALSE)),1),"")</f>
        <v>-0.335</v>
      </c>
      <c r="L1385" s="48">
        <f>IFERROR(MINUS(DIVIDE(VLOOKUP($B1385,Data!$B$3:$EZ1530,34,FALSE),VLOOKUP($B1385,Data!$B$3:$EZ1530,35,FALSE)),1),"")</f>
        <v>0.3515151515</v>
      </c>
      <c r="M1385" s="48">
        <f>IFERROR(MINUS(DIVIDE(VLOOKUP($B1385,Data!$B$3:$EZ1530,39,FALSE),VLOOKUP($B1385,Data!$B$3:$EZ1530,40,FALSE)),1),"")</f>
        <v>-0.1168847135</v>
      </c>
      <c r="N1385" s="48">
        <f>IFERROR(MINUS(DIVIDE(VLOOKUP($B1385,Data!$B$3:$EZ1530,44,FALSE),VLOOKUP($B1385,Data!$B$3:$EZ1530,45,FALSE)),1),"")</f>
        <v>0.1476190476</v>
      </c>
      <c r="O1385" s="50">
        <f>IFERROR(VLOOKUP($B1385,Data!$B$3:$D1530,2,FALSE),"")</f>
        <v>40800000</v>
      </c>
      <c r="P1385" s="50">
        <f>IFERROR(VLOOKUP($B1385,Data!$B$3:$D1530,3,FALSE),"")</f>
        <v>29640000</v>
      </c>
      <c r="Q1385" s="48">
        <f t="shared" si="2"/>
        <v>0.3765182186</v>
      </c>
      <c r="R1385" s="48"/>
      <c r="S1385" s="48"/>
      <c r="T1385" s="48"/>
      <c r="U1385" s="48"/>
      <c r="V1385" s="48"/>
      <c r="W1385" s="50"/>
      <c r="Z1385" s="15"/>
      <c r="AA1385" s="15"/>
    </row>
    <row r="1386">
      <c r="A1386" s="9">
        <f t="shared" si="1"/>
        <v>1383</v>
      </c>
      <c r="B1386" s="47" t="s">
        <v>1520</v>
      </c>
      <c r="C1386" s="48">
        <f>IFERROR(DIVIDE(VLOOKUP($B1386,Data!$B$3:$AB$1535,9,FALSE),VLOOKUP($B1386,Data!$B$3:$AB$1535,4,FALSE)),"")</f>
        <v>0.4349719626</v>
      </c>
      <c r="D1386" s="48">
        <f>IFERROR(DIVIDE(VLOOKUP($B1386,Data!$B$3:$AB$1535,24,FALSE),VLOOKUP($B1386,Data!$B$3:$AB$1535,4,FALSE)),"")</f>
        <v>0.3488878505</v>
      </c>
      <c r="E1386" s="48">
        <f>IFERROR(DIVIDE(VLOOKUP($B1386,Data!$B$3:$EZ1530,29,FALSE),VLOOKUP($B1386,Data!$B$3:$EZ1530,4,FALSE)),"")</f>
        <v>0.361682243</v>
      </c>
      <c r="F1386" s="48">
        <f>IFERROR(DIVIDE(VLOOKUP($B1386,Data!$B$3:$EZ1530,34,FALSE),VLOOKUP($B1386,Data!$B$3:$EZ1530,4,FALSE)),"")</f>
        <v>0.6168785047</v>
      </c>
      <c r="G1386" s="48">
        <f>IFERROR(DIVIDE(VLOOKUP($B1386,Data!$B$3:$EZ1530,39,FALSE),VLOOKUP($B1386,Data!$B$3:$EZ1530,4,FALSE)),"")</f>
        <v>0.3226728972</v>
      </c>
      <c r="H1386" s="48">
        <f>IFERROR(DIVIDE(VLOOKUP($B1386,Data!$B$3:$EZ1530,44,FALSE),VLOOKUP($B1386,Data!$B$3:$EZ1530,4,FALSE)),"")</f>
        <v>0.5892149533</v>
      </c>
      <c r="I1386" s="48">
        <f>IFERROR(MINUS(DIVIDE(VLOOKUP($B1386,Data!$B$3:$EZ1530,9,FALSE),VLOOKUP($B1386,Data!$B$3:$EZ1530,10,FALSE)),1),"")</f>
        <v>-0.0143791957</v>
      </c>
      <c r="J1386" s="48">
        <f>IFERROR(MINUS(DIVIDE(VLOOKUP($B1386,Data!$B$3:$EZ1530,24,FALSE),VLOOKUP($B1386,Data!$B$3:$EZ1530,25,FALSE)),1),"")</f>
        <v>-0.03111860888</v>
      </c>
      <c r="K1386" s="48">
        <f>IFERROR(MINUS(DIVIDE(VLOOKUP($B1386,Data!$B$3:$EZ1530,29,FALSE),VLOOKUP($B1386,Data!$B$3:$EZ1530,30,FALSE)),1),"")</f>
        <v>-0.01888705793</v>
      </c>
      <c r="L1386" s="48">
        <f>IFERROR(MINUS(DIVIDE(VLOOKUP($B1386,Data!$B$3:$EZ1530,34,FALSE),VLOOKUP($B1386,Data!$B$3:$EZ1530,35,FALSE)),1),"")</f>
        <v>-0.02684771551</v>
      </c>
      <c r="M1386" s="48">
        <f>IFERROR(MINUS(DIVIDE(VLOOKUP($B1386,Data!$B$3:$EZ1530,39,FALSE),VLOOKUP($B1386,Data!$B$3:$EZ1530,40,FALSE)),1),"")</f>
        <v>-0.01671745507</v>
      </c>
      <c r="N1386" s="48">
        <f>IFERROR(MINUS(DIVIDE(VLOOKUP($B1386,Data!$B$3:$EZ1530,44,FALSE),VLOOKUP($B1386,Data!$B$3:$EZ1530,45,FALSE)),1),"")</f>
        <v>0.07075407609</v>
      </c>
      <c r="O1386" s="50">
        <f>IFERROR(VLOOKUP($B1386,Data!$B$3:$D1530,2,FALSE),"")</f>
        <v>1336320000</v>
      </c>
      <c r="P1386" s="50">
        <f>IFERROR(VLOOKUP($B1386,Data!$B$3:$D1530,3,FALSE),"")</f>
        <v>1212200000</v>
      </c>
      <c r="Q1386" s="48">
        <f t="shared" si="2"/>
        <v>0.1023923445</v>
      </c>
      <c r="R1386" s="48"/>
      <c r="S1386" s="48"/>
      <c r="T1386" s="48"/>
      <c r="U1386" s="48"/>
      <c r="V1386" s="48"/>
      <c r="W1386" s="50"/>
      <c r="Z1386" s="15"/>
      <c r="AA1386" s="15"/>
    </row>
    <row r="1387">
      <c r="A1387" s="9">
        <f t="shared" si="1"/>
        <v>1384</v>
      </c>
      <c r="B1387" s="47" t="s">
        <v>1521</v>
      </c>
      <c r="C1387" s="48">
        <f>IFERROR(DIVIDE(VLOOKUP($B1387,Data!$B$3:$AB$1535,9,FALSE),VLOOKUP($B1387,Data!$B$3:$AB$1535,4,FALSE)),"")</f>
        <v>0.1201979731</v>
      </c>
      <c r="D1387" s="48">
        <f>IFERROR(DIVIDE(VLOOKUP($B1387,Data!$B$3:$AB$1535,24,FALSE),VLOOKUP($B1387,Data!$B$3:$AB$1535,4,FALSE)),"")</f>
        <v>0.06716945557</v>
      </c>
      <c r="E1387" s="48">
        <f>IFERROR(DIVIDE(VLOOKUP($B1387,Data!$B$3:$EZ1530,29,FALSE),VLOOKUP($B1387,Data!$B$3:$EZ1530,4,FALSE)),"")</f>
        <v>0.05727079896</v>
      </c>
      <c r="F1387" s="48">
        <f>IFERROR(DIVIDE(VLOOKUP($B1387,Data!$B$3:$EZ1530,34,FALSE),VLOOKUP($B1387,Data!$B$3:$EZ1530,4,FALSE)),"")</f>
        <v>0.094979967</v>
      </c>
      <c r="G1387" s="48">
        <f>IFERROR(DIVIDE(VLOOKUP($B1387,Data!$B$3:$EZ1530,39,FALSE),VLOOKUP($B1387,Data!$B$3:$EZ1530,4,FALSE)),"")</f>
        <v>0.04760782465</v>
      </c>
      <c r="H1387" s="48">
        <f>IFERROR(DIVIDE(VLOOKUP($B1387,Data!$B$3:$EZ1530,44,FALSE),VLOOKUP($B1387,Data!$B$3:$EZ1530,4,FALSE)),"")</f>
        <v>0.05915625737</v>
      </c>
      <c r="I1387" s="48">
        <f>IFERROR(MINUS(DIVIDE(VLOOKUP($B1387,Data!$B$3:$EZ1530,9,FALSE),VLOOKUP($B1387,Data!$B$3:$EZ1530,10,FALSE)),1),"")</f>
        <v>-0.03773584906</v>
      </c>
      <c r="J1387" s="48">
        <f>IFERROR(MINUS(DIVIDE(VLOOKUP($B1387,Data!$B$3:$EZ1530,24,FALSE),VLOOKUP($B1387,Data!$B$3:$EZ1530,25,FALSE)),1),"")</f>
        <v>-0.08360128617</v>
      </c>
      <c r="K1387" s="48">
        <f>IFERROR(MINUS(DIVIDE(VLOOKUP($B1387,Data!$B$3:$EZ1530,29,FALSE),VLOOKUP($B1387,Data!$B$3:$EZ1530,30,FALSE)),1),"")</f>
        <v>-0.1163636364</v>
      </c>
      <c r="L1387" s="48">
        <f>IFERROR(MINUS(DIVIDE(VLOOKUP($B1387,Data!$B$3:$EZ1530,34,FALSE),VLOOKUP($B1387,Data!$B$3:$EZ1530,35,FALSE)),1),"")</f>
        <v>-0.04502369668</v>
      </c>
      <c r="M1387" s="48">
        <f>IFERROR(MINUS(DIVIDE(VLOOKUP($B1387,Data!$B$3:$EZ1530,39,FALSE),VLOOKUP($B1387,Data!$B$3:$EZ1530,40,FALSE)),1),"")</f>
        <v>-0.3311258278</v>
      </c>
      <c r="N1387" s="48">
        <f>IFERROR(MINUS(DIVIDE(VLOOKUP($B1387,Data!$B$3:$EZ1530,44,FALSE),VLOOKUP($B1387,Data!$B$3:$EZ1530,45,FALSE)),1),"")</f>
        <v>-0.152027027</v>
      </c>
      <c r="O1387" s="50">
        <f>IFERROR(VLOOKUP($B1387,Data!$B$3:$D1530,2,FALSE),"")</f>
        <v>44960000</v>
      </c>
      <c r="P1387" s="50">
        <f>IFERROR(VLOOKUP($B1387,Data!$B$3:$D1530,3,FALSE),"")</f>
        <v>43640000</v>
      </c>
      <c r="Q1387" s="48">
        <f t="shared" si="2"/>
        <v>0.03024747938</v>
      </c>
      <c r="R1387" s="48"/>
      <c r="S1387" s="48"/>
      <c r="T1387" s="48"/>
      <c r="U1387" s="48"/>
      <c r="V1387" s="48"/>
      <c r="W1387" s="50"/>
      <c r="Z1387" s="15"/>
      <c r="AA1387" s="15"/>
    </row>
    <row r="1388">
      <c r="A1388" s="9">
        <f t="shared" si="1"/>
        <v>1385</v>
      </c>
      <c r="B1388" s="47" t="s">
        <v>1522</v>
      </c>
      <c r="C1388" s="48">
        <f>IFERROR(DIVIDE(VLOOKUP($B1388,Data!$B$3:$AB$1535,9,FALSE),VLOOKUP($B1388,Data!$B$3:$AB$1535,4,FALSE)),"")</f>
        <v>0.1312475884</v>
      </c>
      <c r="D1388" s="48">
        <f>IFERROR(DIVIDE(VLOOKUP($B1388,Data!$B$3:$AB$1535,24,FALSE),VLOOKUP($B1388,Data!$B$3:$AB$1535,4,FALSE)),"")</f>
        <v>0.06069453376</v>
      </c>
      <c r="E1388" s="48">
        <f>IFERROR(DIVIDE(VLOOKUP($B1388,Data!$B$3:$EZ1530,29,FALSE),VLOOKUP($B1388,Data!$B$3:$EZ1530,4,FALSE)),"")</f>
        <v>0.05631511254</v>
      </c>
      <c r="F1388" s="48">
        <f>IFERROR(DIVIDE(VLOOKUP($B1388,Data!$B$3:$EZ1530,34,FALSE),VLOOKUP($B1388,Data!$B$3:$EZ1530,4,FALSE)),"")</f>
        <v>0.07678456592</v>
      </c>
      <c r="G1388" s="48">
        <f>IFERROR(DIVIDE(VLOOKUP($B1388,Data!$B$3:$EZ1530,39,FALSE),VLOOKUP($B1388,Data!$B$3:$EZ1530,4,FALSE)),"")</f>
        <v>0.0510192926</v>
      </c>
      <c r="H1388" s="48">
        <f>IFERROR(DIVIDE(VLOOKUP($B1388,Data!$B$3:$EZ1530,44,FALSE),VLOOKUP($B1388,Data!$B$3:$EZ1530,4,FALSE)),"")</f>
        <v>0.06704501608</v>
      </c>
      <c r="I1388" s="48">
        <f>IFERROR(MINUS(DIVIDE(VLOOKUP($B1388,Data!$B$3:$EZ1530,9,FALSE),VLOOKUP($B1388,Data!$B$3:$EZ1530,10,FALSE)),1),"")</f>
        <v>0.06169692556</v>
      </c>
      <c r="J1388" s="48">
        <f>IFERROR(MINUS(DIVIDE(VLOOKUP($B1388,Data!$B$3:$EZ1530,24,FALSE),VLOOKUP($B1388,Data!$B$3:$EZ1530,25,FALSE)),1),"")</f>
        <v>-0.02444570779</v>
      </c>
      <c r="K1388" s="48">
        <f>IFERROR(MINUS(DIVIDE(VLOOKUP($B1388,Data!$B$3:$EZ1530,29,FALSE),VLOOKUP($B1388,Data!$B$3:$EZ1530,30,FALSE)),1),"")</f>
        <v>0.00332263978</v>
      </c>
      <c r="L1388" s="48">
        <f>IFERROR(MINUS(DIVIDE(VLOOKUP($B1388,Data!$B$3:$EZ1530,34,FALSE),VLOOKUP($B1388,Data!$B$3:$EZ1530,35,FALSE)),1),"")</f>
        <v>-0.01163031331</v>
      </c>
      <c r="M1388" s="48">
        <f>IFERROR(MINUS(DIVIDE(VLOOKUP($B1388,Data!$B$3:$EZ1530,39,FALSE),VLOOKUP($B1388,Data!$B$3:$EZ1530,40,FALSE)),1),"")</f>
        <v>0.1591905319</v>
      </c>
      <c r="N1388" s="48">
        <f>IFERROR(MINUS(DIVIDE(VLOOKUP($B1388,Data!$B$3:$EZ1530,44,FALSE),VLOOKUP($B1388,Data!$B$3:$EZ1530,45,FALSE)),1),"")</f>
        <v>0.1789551057</v>
      </c>
      <c r="O1388" s="50">
        <f>IFERROR(VLOOKUP($B1388,Data!$B$3:$D1530,2,FALSE),"")</f>
        <v>2400000</v>
      </c>
      <c r="P1388" s="50">
        <f>IFERROR(VLOOKUP($B1388,Data!$B$3:$D1530,3,FALSE),"")</f>
        <v>2350000</v>
      </c>
      <c r="Q1388" s="48">
        <f t="shared" si="2"/>
        <v>0.02127659574</v>
      </c>
      <c r="R1388" s="48"/>
      <c r="S1388" s="48"/>
      <c r="T1388" s="48"/>
      <c r="U1388" s="48"/>
      <c r="V1388" s="48"/>
      <c r="W1388" s="50"/>
      <c r="Z1388" s="15"/>
      <c r="AA1388" s="15"/>
    </row>
    <row r="1389">
      <c r="A1389" s="9">
        <f t="shared" si="1"/>
        <v>1386</v>
      </c>
      <c r="B1389" s="47" t="s">
        <v>1523</v>
      </c>
      <c r="C1389" s="48" t="str">
        <f>IFERROR(DIVIDE(VLOOKUP($B1389,Data!$B$3:$AB$1535,9,FALSE),VLOOKUP($B1389,Data!$B$3:$AB$1535,4,FALSE)),"")</f>
        <v/>
      </c>
      <c r="D1389" s="48" t="str">
        <f>IFERROR(DIVIDE(VLOOKUP($B1389,Data!$B$3:$AB$1535,24,FALSE),VLOOKUP($B1389,Data!$B$3:$AB$1535,4,FALSE)),"")</f>
        <v/>
      </c>
      <c r="E1389" s="48" t="str">
        <f>IFERROR(DIVIDE(VLOOKUP($B1389,Data!$B$3:$EZ1530,29,FALSE),VLOOKUP($B1389,Data!$B$3:$EZ1530,4,FALSE)),"")</f>
        <v/>
      </c>
      <c r="F1389" s="48" t="str">
        <f>IFERROR(DIVIDE(VLOOKUP($B1389,Data!$B$3:$EZ1530,34,FALSE),VLOOKUP($B1389,Data!$B$3:$EZ1530,4,FALSE)),"")</f>
        <v/>
      </c>
      <c r="G1389" s="48" t="str">
        <f>IFERROR(DIVIDE(VLOOKUP($B1389,Data!$B$3:$EZ1530,39,FALSE),VLOOKUP($B1389,Data!$B$3:$EZ1530,4,FALSE)),"")</f>
        <v/>
      </c>
      <c r="H1389" s="48" t="str">
        <f>IFERROR(DIVIDE(VLOOKUP($B1389,Data!$B$3:$EZ1530,44,FALSE),VLOOKUP($B1389,Data!$B$3:$EZ1530,4,FALSE)),"")</f>
        <v/>
      </c>
      <c r="I1389" s="48">
        <f>IFERROR(MINUS(DIVIDE(VLOOKUP($B1389,Data!$B$3:$EZ1530,9,FALSE),VLOOKUP($B1389,Data!$B$3:$EZ1530,10,FALSE)),1),"")</f>
        <v>0.3721990741</v>
      </c>
      <c r="J1389" s="48">
        <f>IFERROR(MINUS(DIVIDE(VLOOKUP($B1389,Data!$B$3:$EZ1530,24,FALSE),VLOOKUP($B1389,Data!$B$3:$EZ1530,25,FALSE)),1),"")</f>
        <v>-0.7808628585</v>
      </c>
      <c r="K1389" s="48">
        <f>IFERROR(MINUS(DIVIDE(VLOOKUP($B1389,Data!$B$3:$EZ1530,29,FALSE),VLOOKUP($B1389,Data!$B$3:$EZ1530,30,FALSE)),1),"")</f>
        <v>-0.6627458481</v>
      </c>
      <c r="L1389" s="48">
        <f>IFERROR(MINUS(DIVIDE(VLOOKUP($B1389,Data!$B$3:$EZ1530,34,FALSE),VLOOKUP($B1389,Data!$B$3:$EZ1530,35,FALSE)),1),"")</f>
        <v>-0.4021028337</v>
      </c>
      <c r="M1389" s="48">
        <f>IFERROR(MINUS(DIVIDE(VLOOKUP($B1389,Data!$B$3:$EZ1530,39,FALSE),VLOOKUP($B1389,Data!$B$3:$EZ1530,40,FALSE)),1),"")</f>
        <v>-0.5812460973</v>
      </c>
      <c r="N1389" s="48">
        <f>IFERROR(MINUS(DIVIDE(VLOOKUP($B1389,Data!$B$3:$EZ1530,44,FALSE),VLOOKUP($B1389,Data!$B$3:$EZ1530,45,FALSE)),1),"")</f>
        <v>0.6200496972</v>
      </c>
      <c r="O1389" s="50" t="str">
        <f>IFERROR(VLOOKUP($B1389,Data!$B$3:$D1530,2,FALSE),"")</f>
        <v/>
      </c>
      <c r="P1389" s="50" t="str">
        <f>IFERROR(VLOOKUP($B1389,Data!$B$3:$D1530,3,FALSE),"")</f>
        <v/>
      </c>
      <c r="Q1389" s="48" t="str">
        <f t="shared" si="2"/>
        <v/>
      </c>
      <c r="R1389" s="48"/>
      <c r="S1389" s="48"/>
      <c r="T1389" s="48"/>
      <c r="U1389" s="48"/>
      <c r="V1389" s="48"/>
      <c r="W1389" s="50"/>
      <c r="Z1389" s="15"/>
      <c r="AA1389" s="15"/>
    </row>
    <row r="1390">
      <c r="A1390" s="9">
        <f t="shared" si="1"/>
        <v>1387</v>
      </c>
      <c r="B1390" s="47" t="s">
        <v>1524</v>
      </c>
      <c r="C1390" s="48" t="str">
        <f>IFERROR(DIVIDE(VLOOKUP($B1390,Data!$B$3:$AB$1535,9,FALSE),VLOOKUP($B1390,Data!$B$3:$AB$1535,4,FALSE)),"")</f>
        <v/>
      </c>
      <c r="D1390" s="48" t="str">
        <f>IFERROR(DIVIDE(VLOOKUP($B1390,Data!$B$3:$AB$1535,24,FALSE),VLOOKUP($B1390,Data!$B$3:$AB$1535,4,FALSE)),"")</f>
        <v/>
      </c>
      <c r="E1390" s="48" t="str">
        <f>IFERROR(DIVIDE(VLOOKUP($B1390,Data!$B$3:$EZ1530,29,FALSE),VLOOKUP($B1390,Data!$B$3:$EZ1530,4,FALSE)),"")</f>
        <v/>
      </c>
      <c r="F1390" s="48" t="str">
        <f>IFERROR(DIVIDE(VLOOKUP($B1390,Data!$B$3:$EZ1530,34,FALSE),VLOOKUP($B1390,Data!$B$3:$EZ1530,4,FALSE)),"")</f>
        <v/>
      </c>
      <c r="G1390" s="48" t="str">
        <f>IFERROR(DIVIDE(VLOOKUP($B1390,Data!$B$3:$EZ1530,39,FALSE),VLOOKUP($B1390,Data!$B$3:$EZ1530,4,FALSE)),"")</f>
        <v/>
      </c>
      <c r="H1390" s="48" t="str">
        <f>IFERROR(DIVIDE(VLOOKUP($B1390,Data!$B$3:$EZ1530,44,FALSE),VLOOKUP($B1390,Data!$B$3:$EZ1530,4,FALSE)),"")</f>
        <v/>
      </c>
      <c r="I1390" s="48" t="str">
        <f>IFERROR(MINUS(DIVIDE(VLOOKUP($B1390,Data!$B$3:$EZ1530,9,FALSE),VLOOKUP($B1390,Data!$B$3:$EZ1530,10,FALSE)),1),"")</f>
        <v/>
      </c>
      <c r="J1390" s="48" t="str">
        <f>IFERROR(MINUS(DIVIDE(VLOOKUP($B1390,Data!$B$3:$EZ1530,24,FALSE),VLOOKUP($B1390,Data!$B$3:$EZ1530,25,FALSE)),1),"")</f>
        <v/>
      </c>
      <c r="K1390" s="48">
        <f>IFERROR(MINUS(DIVIDE(VLOOKUP($B1390,Data!$B$3:$EZ1530,29,FALSE),VLOOKUP($B1390,Data!$B$3:$EZ1530,30,FALSE)),1),"")</f>
        <v>1.488151659</v>
      </c>
      <c r="L1390" s="48">
        <f>IFERROR(MINUS(DIVIDE(VLOOKUP($B1390,Data!$B$3:$EZ1530,34,FALSE),VLOOKUP($B1390,Data!$B$3:$EZ1530,35,FALSE)),1),"")</f>
        <v>1.426540284</v>
      </c>
      <c r="M1390" s="48">
        <f>IFERROR(MINUS(DIVIDE(VLOOKUP($B1390,Data!$B$3:$EZ1530,39,FALSE),VLOOKUP($B1390,Data!$B$3:$EZ1530,40,FALSE)),1),"")</f>
        <v>1.488151659</v>
      </c>
      <c r="N1390" s="48">
        <f>IFERROR(MINUS(DIVIDE(VLOOKUP($B1390,Data!$B$3:$EZ1530,44,FALSE),VLOOKUP($B1390,Data!$B$3:$EZ1530,45,FALSE)),1),"")</f>
        <v>0.1459227468</v>
      </c>
      <c r="O1390" s="50" t="str">
        <f>IFERROR(VLOOKUP($B1390,Data!$B$3:$D1530,2,FALSE),"")</f>
        <v/>
      </c>
      <c r="P1390" s="50" t="str">
        <f>IFERROR(VLOOKUP($B1390,Data!$B$3:$D1530,3,FALSE),"")</f>
        <v/>
      </c>
      <c r="Q1390" s="48" t="str">
        <f t="shared" si="2"/>
        <v/>
      </c>
      <c r="R1390" s="48"/>
      <c r="S1390" s="48"/>
      <c r="T1390" s="48"/>
      <c r="U1390" s="48"/>
      <c r="V1390" s="48"/>
      <c r="W1390" s="50"/>
      <c r="Z1390" s="12"/>
      <c r="AA1390" s="12"/>
    </row>
    <row r="1391">
      <c r="A1391" s="9">
        <f t="shared" si="1"/>
        <v>1388</v>
      </c>
      <c r="B1391" s="47" t="s">
        <v>1525</v>
      </c>
      <c r="C1391" s="48">
        <f>IFERROR(DIVIDE(VLOOKUP($B1391,Data!$B$3:$AB$1535,9,FALSE),VLOOKUP($B1391,Data!$B$3:$AB$1535,4,FALSE)),"")</f>
        <v>0.4822006472</v>
      </c>
      <c r="D1391" s="48">
        <f>IFERROR(DIVIDE(VLOOKUP($B1391,Data!$B$3:$AB$1535,24,FALSE),VLOOKUP($B1391,Data!$B$3:$AB$1535,4,FALSE)),"")</f>
        <v>0.135592233</v>
      </c>
      <c r="E1391" s="48">
        <f>IFERROR(DIVIDE(VLOOKUP($B1391,Data!$B$3:$EZ1530,29,FALSE),VLOOKUP($B1391,Data!$B$3:$EZ1530,4,FALSE)),"")</f>
        <v>0.1483624595</v>
      </c>
      <c r="F1391" s="48">
        <f>IFERROR(DIVIDE(VLOOKUP($B1391,Data!$B$3:$EZ1530,34,FALSE),VLOOKUP($B1391,Data!$B$3:$EZ1530,4,FALSE)),"")</f>
        <v>0.2142038835</v>
      </c>
      <c r="G1391" s="48">
        <f>IFERROR(DIVIDE(VLOOKUP($B1391,Data!$B$3:$EZ1530,39,FALSE),VLOOKUP($B1391,Data!$B$3:$EZ1530,4,FALSE)),"")</f>
        <v>0.1308932039</v>
      </c>
      <c r="H1391" s="48">
        <f>IFERROR(DIVIDE(VLOOKUP($B1391,Data!$B$3:$EZ1530,44,FALSE),VLOOKUP($B1391,Data!$B$3:$EZ1530,4,FALSE)),"")</f>
        <v>0.2219029126</v>
      </c>
      <c r="I1391" s="48">
        <f>IFERROR(MINUS(DIVIDE(VLOOKUP($B1391,Data!$B$3:$EZ1530,9,FALSE),VLOOKUP($B1391,Data!$B$3:$EZ1530,10,FALSE)),1),"")</f>
        <v>0.3545454545</v>
      </c>
      <c r="J1391" s="48">
        <f>IFERROR(MINUS(DIVIDE(VLOOKUP($B1391,Data!$B$3:$EZ1530,24,FALSE),VLOOKUP($B1391,Data!$B$3:$EZ1530,25,FALSE)),1),"")</f>
        <v>0.9166514181</v>
      </c>
      <c r="K1391" s="48">
        <f>IFERROR(MINUS(DIVIDE(VLOOKUP($B1391,Data!$B$3:$EZ1530,29,FALSE),VLOOKUP($B1391,Data!$B$3:$EZ1530,30,FALSE)),1),"")</f>
        <v>0.9693285794</v>
      </c>
      <c r="L1391" s="48">
        <f>IFERROR(MINUS(DIVIDE(VLOOKUP($B1391,Data!$B$3:$EZ1530,34,FALSE),VLOOKUP($B1391,Data!$B$3:$EZ1530,35,FALSE)),1),"")</f>
        <v>0.4322283291</v>
      </c>
      <c r="M1391" s="48">
        <f>IFERROR(MINUS(DIVIDE(VLOOKUP($B1391,Data!$B$3:$EZ1530,39,FALSE),VLOOKUP($B1391,Data!$B$3:$EZ1530,40,FALSE)),1),"")</f>
        <v>0.2115384615</v>
      </c>
      <c r="N1391" s="48">
        <f>IFERROR(MINUS(DIVIDE(VLOOKUP($B1391,Data!$B$3:$EZ1530,44,FALSE),VLOOKUP($B1391,Data!$B$3:$EZ1530,45,FALSE)),1),"")</f>
        <v>-0.1871206373</v>
      </c>
      <c r="O1391" s="50">
        <f>IFERROR(VLOOKUP($B1391,Data!$B$3:$D1530,2,FALSE),"")</f>
        <v>3490000</v>
      </c>
      <c r="P1391" s="50">
        <f>IFERROR(VLOOKUP($B1391,Data!$B$3:$D1530,3,FALSE),"")</f>
        <v>2720000</v>
      </c>
      <c r="Q1391" s="48">
        <f t="shared" si="2"/>
        <v>0.2830882353</v>
      </c>
      <c r="R1391" s="48"/>
      <c r="S1391" s="48"/>
      <c r="T1391" s="48"/>
      <c r="U1391" s="48"/>
      <c r="V1391" s="48"/>
      <c r="W1391" s="50"/>
      <c r="Z1391" s="15"/>
      <c r="AA1391" s="15"/>
    </row>
    <row r="1392">
      <c r="A1392" s="9">
        <f t="shared" si="1"/>
        <v>1389</v>
      </c>
      <c r="B1392" s="47" t="s">
        <v>1526</v>
      </c>
      <c r="C1392" s="48">
        <f>IFERROR(DIVIDE(VLOOKUP($B1392,Data!$B$3:$AB$1535,9,FALSE),VLOOKUP($B1392,Data!$B$3:$AB$1535,4,FALSE)),"")</f>
        <v>0.6611111111</v>
      </c>
      <c r="D1392" s="48">
        <f>IFERROR(DIVIDE(VLOOKUP($B1392,Data!$B$3:$AB$1535,24,FALSE),VLOOKUP($B1392,Data!$B$3:$AB$1535,4,FALSE)),"")</f>
        <v>0.0645</v>
      </c>
      <c r="E1392" s="48">
        <f>IFERROR(DIVIDE(VLOOKUP($B1392,Data!$B$3:$EZ1530,29,FALSE),VLOOKUP($B1392,Data!$B$3:$EZ1530,4,FALSE)),"")</f>
        <v>0.05744444444</v>
      </c>
      <c r="F1392" s="48">
        <f>IFERROR(DIVIDE(VLOOKUP($B1392,Data!$B$3:$EZ1530,34,FALSE),VLOOKUP($B1392,Data!$B$3:$EZ1530,4,FALSE)),"")</f>
        <v>0.1366666667</v>
      </c>
      <c r="G1392" s="48">
        <f>IFERROR(DIVIDE(VLOOKUP($B1392,Data!$B$3:$EZ1530,39,FALSE),VLOOKUP($B1392,Data!$B$3:$EZ1530,4,FALSE)),"")</f>
        <v>0.006888888889</v>
      </c>
      <c r="H1392" s="48">
        <f>IFERROR(DIVIDE(VLOOKUP($B1392,Data!$B$3:$EZ1530,44,FALSE),VLOOKUP($B1392,Data!$B$3:$EZ1530,4,FALSE)),"")</f>
        <v>0.04727777778</v>
      </c>
      <c r="I1392" s="48">
        <f>IFERROR(MINUS(DIVIDE(VLOOKUP($B1392,Data!$B$3:$EZ1530,9,FALSE),VLOOKUP($B1392,Data!$B$3:$EZ1530,10,FALSE)),1),"")</f>
        <v>-0.1313868613</v>
      </c>
      <c r="J1392" s="48">
        <f>IFERROR(MINUS(DIVIDE(VLOOKUP($B1392,Data!$B$3:$EZ1530,24,FALSE),VLOOKUP($B1392,Data!$B$3:$EZ1530,25,FALSE)),1),"")</f>
        <v>-0.5677587491</v>
      </c>
      <c r="K1392" s="48">
        <f>IFERROR(MINUS(DIVIDE(VLOOKUP($B1392,Data!$B$3:$EZ1530,29,FALSE),VLOOKUP($B1392,Data!$B$3:$EZ1530,30,FALSE)),1),"")</f>
        <v>-0.6256335988</v>
      </c>
      <c r="L1392" s="48">
        <f>IFERROR(MINUS(DIVIDE(VLOOKUP($B1392,Data!$B$3:$EZ1530,34,FALSE),VLOOKUP($B1392,Data!$B$3:$EZ1530,35,FALSE)),1),"")</f>
        <v>-0.3336944745</v>
      </c>
      <c r="M1392" s="48">
        <f>IFERROR(MINUS(DIVIDE(VLOOKUP($B1392,Data!$B$3:$EZ1530,39,FALSE),VLOOKUP($B1392,Data!$B$3:$EZ1530,40,FALSE)),1),"")</f>
        <v>-0.9204618345</v>
      </c>
      <c r="N1392" s="48">
        <f>IFERROR(MINUS(DIVIDE(VLOOKUP($B1392,Data!$B$3:$EZ1530,44,FALSE),VLOOKUP($B1392,Data!$B$3:$EZ1530,45,FALSE)),1),"")</f>
        <v>-0.3553030303</v>
      </c>
      <c r="O1392" s="50">
        <f>IFERROR(VLOOKUP($B1392,Data!$B$3:$D1530,2,FALSE),"")</f>
        <v>1740000</v>
      </c>
      <c r="P1392" s="50">
        <f>IFERROR(VLOOKUP($B1392,Data!$B$3:$D1530,3,FALSE),"")</f>
        <v>1550000</v>
      </c>
      <c r="Q1392" s="48">
        <f t="shared" si="2"/>
        <v>0.1225806452</v>
      </c>
      <c r="R1392" s="48"/>
      <c r="S1392" s="48"/>
      <c r="T1392" s="48"/>
      <c r="U1392" s="48"/>
      <c r="V1392" s="48"/>
      <c r="W1392" s="50"/>
      <c r="Z1392" s="12"/>
      <c r="AA1392" s="12"/>
    </row>
    <row r="1393">
      <c r="A1393" s="9">
        <f t="shared" si="1"/>
        <v>1390</v>
      </c>
      <c r="B1393" s="47" t="s">
        <v>1527</v>
      </c>
      <c r="C1393" s="48">
        <f>IFERROR(DIVIDE(VLOOKUP($B1393,Data!$B$3:$AB$1535,9,FALSE),VLOOKUP($B1393,Data!$B$3:$AB$1535,4,FALSE)),"")</f>
        <v>0.2811253605</v>
      </c>
      <c r="D1393" s="48">
        <f>IFERROR(DIVIDE(VLOOKUP($B1393,Data!$B$3:$AB$1535,24,FALSE),VLOOKUP($B1393,Data!$B$3:$AB$1535,4,FALSE)),"")</f>
        <v>-0.1767196417</v>
      </c>
      <c r="E1393" s="48">
        <f>IFERROR(DIVIDE(VLOOKUP($B1393,Data!$B$3:$EZ1530,29,FALSE),VLOOKUP($B1393,Data!$B$3:$EZ1530,4,FALSE)),"")</f>
        <v>-0.1792354421</v>
      </c>
      <c r="F1393" s="48">
        <f>IFERROR(DIVIDE(VLOOKUP($B1393,Data!$B$3:$EZ1530,34,FALSE),VLOOKUP($B1393,Data!$B$3:$EZ1530,4,FALSE)),"")</f>
        <v>-0.06666871203</v>
      </c>
      <c r="G1393" s="48">
        <f>IFERROR(DIVIDE(VLOOKUP($B1393,Data!$B$3:$EZ1530,39,FALSE),VLOOKUP($B1393,Data!$B$3:$EZ1530,4,FALSE)),"")</f>
        <v>-0.1802172179</v>
      </c>
      <c r="H1393" s="48">
        <f>IFERROR(DIVIDE(VLOOKUP($B1393,Data!$B$3:$EZ1530,44,FALSE),VLOOKUP($B1393,Data!$B$3:$EZ1530,4,FALSE)),"")</f>
        <v>-0.04856722096</v>
      </c>
      <c r="I1393" s="48">
        <f>IFERROR(MINUS(DIVIDE(VLOOKUP($B1393,Data!$B$3:$EZ1530,9,FALSE),VLOOKUP($B1393,Data!$B$3:$EZ1530,10,FALSE)),1),"")</f>
        <v>-0.2297410894</v>
      </c>
      <c r="J1393" s="48">
        <f>IFERROR(MINUS(DIVIDE(VLOOKUP($B1393,Data!$B$3:$EZ1530,24,FALSE),VLOOKUP($B1393,Data!$B$3:$EZ1530,25,FALSE)),1),"")</f>
        <v>-0.4050201425</v>
      </c>
      <c r="K1393" s="48">
        <f>IFERROR(MINUS(DIVIDE(VLOOKUP($B1393,Data!$B$3:$EZ1530,29,FALSE),VLOOKUP($B1393,Data!$B$3:$EZ1530,30,FALSE)),1),"")</f>
        <v>-0.3995889003</v>
      </c>
      <c r="L1393" s="48">
        <f>IFERROR(MINUS(DIVIDE(VLOOKUP($B1393,Data!$B$3:$EZ1530,34,FALSE),VLOOKUP($B1393,Data!$B$3:$EZ1530,35,FALSE)),1),"")</f>
        <v>-0.2247591866</v>
      </c>
      <c r="M1393" s="48">
        <f>IFERROR(MINUS(DIVIDE(VLOOKUP($B1393,Data!$B$3:$EZ1530,39,FALSE),VLOOKUP($B1393,Data!$B$3:$EZ1530,40,FALSE)),1),"")</f>
        <v>-0.3967960567</v>
      </c>
      <c r="N1393" s="48">
        <f>IFERROR(MINUS(DIVIDE(VLOOKUP($B1393,Data!$B$3:$EZ1530,44,FALSE),VLOOKUP($B1393,Data!$B$3:$EZ1530,45,FALSE)),1),"")</f>
        <v>-0.3797021944</v>
      </c>
      <c r="O1393" s="50" t="str">
        <f>IFERROR(VLOOKUP($B1393,Data!$B$3:$D1530,2,FALSE),"")</f>
        <v/>
      </c>
      <c r="P1393" s="50" t="str">
        <f>IFERROR(VLOOKUP($B1393,Data!$B$3:$D1530,3,FALSE),"")</f>
        <v/>
      </c>
      <c r="Q1393" s="48" t="str">
        <f t="shared" si="2"/>
        <v/>
      </c>
      <c r="R1393" s="48"/>
      <c r="S1393" s="48"/>
      <c r="T1393" s="48"/>
      <c r="U1393" s="48"/>
      <c r="V1393" s="48"/>
      <c r="W1393" s="50"/>
      <c r="Z1393" s="15"/>
      <c r="AA1393" s="15"/>
    </row>
    <row r="1394">
      <c r="A1394" s="9">
        <f t="shared" si="1"/>
        <v>1391</v>
      </c>
      <c r="B1394" s="47" t="s">
        <v>1528</v>
      </c>
      <c r="C1394" s="48">
        <f>IFERROR(DIVIDE(VLOOKUP($B1394,Data!$B$3:$AB$1535,9,FALSE),VLOOKUP($B1394,Data!$B$3:$AB$1535,4,FALSE)),"")</f>
        <v>0.3136567953</v>
      </c>
      <c r="D1394" s="48">
        <f>IFERROR(DIVIDE(VLOOKUP($B1394,Data!$B$3:$AB$1535,24,FALSE),VLOOKUP($B1394,Data!$B$3:$AB$1535,4,FALSE)),"")</f>
        <v>0.1496893178</v>
      </c>
      <c r="E1394" s="48">
        <f>IFERROR(DIVIDE(VLOOKUP($B1394,Data!$B$3:$EZ1530,29,FALSE),VLOOKUP($B1394,Data!$B$3:$EZ1530,4,FALSE)),"")</f>
        <v>0.1040675128</v>
      </c>
      <c r="F1394" s="48">
        <f>IFERROR(DIVIDE(VLOOKUP($B1394,Data!$B$3:$EZ1530,34,FALSE),VLOOKUP($B1394,Data!$B$3:$EZ1530,4,FALSE)),"")</f>
        <v>0.215791909</v>
      </c>
      <c r="G1394" s="48">
        <f>IFERROR(DIVIDE(VLOOKUP($B1394,Data!$B$3:$EZ1530,39,FALSE),VLOOKUP($B1394,Data!$B$3:$EZ1530,4,FALSE)),"")</f>
        <v>0.06953992597</v>
      </c>
      <c r="H1394" s="48">
        <f>IFERROR(DIVIDE(VLOOKUP($B1394,Data!$B$3:$EZ1530,44,FALSE),VLOOKUP($B1394,Data!$B$3:$EZ1530,4,FALSE)),"")</f>
        <v>0.1504274634</v>
      </c>
      <c r="I1394" s="48">
        <f>IFERROR(MINUS(DIVIDE(VLOOKUP($B1394,Data!$B$3:$EZ1530,9,FALSE),VLOOKUP($B1394,Data!$B$3:$EZ1530,10,FALSE)),1),"")</f>
        <v>0.1836853484</v>
      </c>
      <c r="J1394" s="48">
        <f>IFERROR(MINUS(DIVIDE(VLOOKUP($B1394,Data!$B$3:$EZ1530,24,FALSE),VLOOKUP($B1394,Data!$B$3:$EZ1530,25,FALSE)),1),"")</f>
        <v>0.01448517882</v>
      </c>
      <c r="K1394" s="48">
        <f>IFERROR(MINUS(DIVIDE(VLOOKUP($B1394,Data!$B$3:$EZ1530,29,FALSE),VLOOKUP($B1394,Data!$B$3:$EZ1530,30,FALSE)),1),"")</f>
        <v>0.0008476372113</v>
      </c>
      <c r="L1394" s="48">
        <f>IFERROR(MINUS(DIVIDE(VLOOKUP($B1394,Data!$B$3:$EZ1530,34,FALSE),VLOOKUP($B1394,Data!$B$3:$EZ1530,35,FALSE)),1),"")</f>
        <v>0.1759020232</v>
      </c>
      <c r="M1394" s="48">
        <f>IFERROR(MINUS(DIVIDE(VLOOKUP($B1394,Data!$B$3:$EZ1530,39,FALSE),VLOOKUP($B1394,Data!$B$3:$EZ1530,40,FALSE)),1),"")</f>
        <v>0.003497615262</v>
      </c>
      <c r="N1394" s="48">
        <f>IFERROR(MINUS(DIVIDE(VLOOKUP($B1394,Data!$B$3:$EZ1530,44,FALSE),VLOOKUP($B1394,Data!$B$3:$EZ1530,45,FALSE)),1),"")</f>
        <v>-0.04956146457</v>
      </c>
      <c r="O1394" s="50">
        <f>IFERROR(VLOOKUP($B1394,Data!$B$3:$D1530,2,FALSE),"")</f>
        <v>1040000</v>
      </c>
      <c r="P1394" s="50">
        <f>IFERROR(VLOOKUP($B1394,Data!$B$3:$D1530,3,FALSE),"")</f>
        <v>1000000</v>
      </c>
      <c r="Q1394" s="48">
        <f t="shared" si="2"/>
        <v>0.04</v>
      </c>
      <c r="R1394" s="48"/>
      <c r="S1394" s="48"/>
      <c r="T1394" s="48"/>
      <c r="U1394" s="48"/>
      <c r="V1394" s="48"/>
      <c r="W1394" s="50"/>
      <c r="Z1394" s="15"/>
      <c r="AA1394" s="15"/>
    </row>
    <row r="1395">
      <c r="A1395" s="9">
        <f t="shared" si="1"/>
        <v>1392</v>
      </c>
      <c r="B1395" s="47" t="s">
        <v>1529</v>
      </c>
      <c r="C1395" s="48">
        <f>IFERROR(DIVIDE(VLOOKUP($B1395,Data!$B$3:$AB$1535,9,FALSE),VLOOKUP($B1395,Data!$B$3:$AB$1535,4,FALSE)),"")</f>
        <v>0.1279646994</v>
      </c>
      <c r="D1395" s="48">
        <f>IFERROR(DIVIDE(VLOOKUP($B1395,Data!$B$3:$AB$1535,24,FALSE),VLOOKUP($B1395,Data!$B$3:$AB$1535,4,FALSE)),"")</f>
        <v>0</v>
      </c>
      <c r="E1395" s="48">
        <f>IFERROR(DIVIDE(VLOOKUP($B1395,Data!$B$3:$EZ1530,29,FALSE),VLOOKUP($B1395,Data!$B$3:$EZ1530,4,FALSE)),"")</f>
        <v>-1.974259974</v>
      </c>
      <c r="F1395" s="48">
        <f>IFERROR(DIVIDE(VLOOKUP($B1395,Data!$B$3:$EZ1530,34,FALSE),VLOOKUP($B1395,Data!$B$3:$EZ1530,4,FALSE)),"")</f>
        <v>-1.885273028</v>
      </c>
      <c r="G1395" s="48">
        <f>IFERROR(DIVIDE(VLOOKUP($B1395,Data!$B$3:$EZ1530,39,FALSE),VLOOKUP($B1395,Data!$B$3:$EZ1530,4,FALSE)),"")</f>
        <v>-1.979591837</v>
      </c>
      <c r="H1395" s="48">
        <f>IFERROR(DIVIDE(VLOOKUP($B1395,Data!$B$3:$EZ1530,44,FALSE),VLOOKUP($B1395,Data!$B$3:$EZ1530,4,FALSE)),"")</f>
        <v>-1.616841331</v>
      </c>
      <c r="I1395" s="48">
        <f>IFERROR(MINUS(DIVIDE(VLOOKUP($B1395,Data!$B$3:$EZ1530,9,FALSE),VLOOKUP($B1395,Data!$B$3:$EZ1530,10,FALSE)),1),"")</f>
        <v>-2.029585799</v>
      </c>
      <c r="J1395" s="48">
        <f>IFERROR(MINUS(DIVIDE(VLOOKUP($B1395,Data!$B$3:$EZ1530,24,FALSE),VLOOKUP($B1395,Data!$B$3:$EZ1530,25,FALSE)),1),"")</f>
        <v>-1</v>
      </c>
      <c r="K1395" s="48">
        <f>IFERROR(MINUS(DIVIDE(VLOOKUP($B1395,Data!$B$3:$EZ1530,29,FALSE),VLOOKUP($B1395,Data!$B$3:$EZ1530,30,FALSE)),1),"")</f>
        <v>0.5126074095</v>
      </c>
      <c r="L1395" s="48">
        <f>IFERROR(MINUS(DIVIDE(VLOOKUP($B1395,Data!$B$3:$EZ1530,34,FALSE),VLOOKUP($B1395,Data!$B$3:$EZ1530,35,FALSE)),1),"")</f>
        <v>0.5816751504</v>
      </c>
      <c r="M1395" s="48">
        <f>IFERROR(MINUS(DIVIDE(VLOOKUP($B1395,Data!$B$3:$EZ1530,39,FALSE),VLOOKUP($B1395,Data!$B$3:$EZ1530,40,FALSE)),1),"")</f>
        <v>0.5113700168</v>
      </c>
      <c r="N1395" s="48">
        <f>IFERROR(MINUS(DIVIDE(VLOOKUP($B1395,Data!$B$3:$EZ1530,44,FALSE),VLOOKUP($B1395,Data!$B$3:$EZ1530,45,FALSE)),1),"")</f>
        <v>0.3292019347</v>
      </c>
      <c r="O1395" s="50">
        <f>IFERROR(VLOOKUP($B1395,Data!$B$3:$D1530,2,FALSE),"")</f>
        <v>116670</v>
      </c>
      <c r="P1395" s="50">
        <f>IFERROR(VLOOKUP($B1395,Data!$B$3:$D1530,3,FALSE),"")</f>
        <v>79800</v>
      </c>
      <c r="Q1395" s="48">
        <f t="shared" si="2"/>
        <v>0.4620300752</v>
      </c>
      <c r="R1395" s="48"/>
      <c r="S1395" s="48"/>
      <c r="T1395" s="48"/>
      <c r="U1395" s="48"/>
      <c r="V1395" s="48"/>
      <c r="W1395" s="50"/>
      <c r="Z1395" s="12"/>
      <c r="AA1395" s="12"/>
    </row>
    <row r="1396">
      <c r="A1396" s="9">
        <f t="shared" si="1"/>
        <v>1393</v>
      </c>
      <c r="B1396" s="47" t="s">
        <v>1530</v>
      </c>
      <c r="C1396" s="48">
        <f>IFERROR(DIVIDE(VLOOKUP($B1396,Data!$B$3:$AB$1535,9,FALSE),VLOOKUP($B1396,Data!$B$3:$AB$1535,4,FALSE)),"")</f>
        <v>0.1551891368</v>
      </c>
      <c r="D1396" s="48">
        <f>IFERROR(DIVIDE(VLOOKUP($B1396,Data!$B$3:$AB$1535,24,FALSE),VLOOKUP($B1396,Data!$B$3:$AB$1535,4,FALSE)),"")</f>
        <v>0.07970805044</v>
      </c>
      <c r="E1396" s="48">
        <f>IFERROR(DIVIDE(VLOOKUP($B1396,Data!$B$3:$EZ1530,29,FALSE),VLOOKUP($B1396,Data!$B$3:$EZ1530,4,FALSE)),"")</f>
        <v>0.07513870029</v>
      </c>
      <c r="F1396" s="48">
        <f>IFERROR(DIVIDE(VLOOKUP($B1396,Data!$B$3:$EZ1530,34,FALSE),VLOOKUP($B1396,Data!$B$3:$EZ1530,4,FALSE)),"")</f>
        <v>0.1454898157</v>
      </c>
      <c r="G1396" s="48">
        <f>IFERROR(DIVIDE(VLOOKUP($B1396,Data!$B$3:$EZ1530,39,FALSE),VLOOKUP($B1396,Data!$B$3:$EZ1530,4,FALSE)),"")</f>
        <v>0.05538021339</v>
      </c>
      <c r="H1396" s="48">
        <f>IFERROR(DIVIDE(VLOOKUP($B1396,Data!$B$3:$EZ1530,44,FALSE),VLOOKUP($B1396,Data!$B$3:$EZ1530,4,FALSE)),"")</f>
        <v>0.1619786615</v>
      </c>
      <c r="I1396" s="48">
        <f>IFERROR(MINUS(DIVIDE(VLOOKUP($B1396,Data!$B$3:$EZ1530,9,FALSE),VLOOKUP($B1396,Data!$B$3:$EZ1530,10,FALSE)),1),"")</f>
        <v>-0.3700787402</v>
      </c>
      <c r="J1396" s="48">
        <f>IFERROR(MINUS(DIVIDE(VLOOKUP($B1396,Data!$B$3:$EZ1530,24,FALSE),VLOOKUP($B1396,Data!$B$3:$EZ1530,25,FALSE)),1),"")</f>
        <v>-0.5019454545</v>
      </c>
      <c r="K1396" s="48">
        <f>IFERROR(MINUS(DIVIDE(VLOOKUP($B1396,Data!$B$3:$EZ1530,29,FALSE),VLOOKUP($B1396,Data!$B$3:$EZ1530,30,FALSE)),1),"")</f>
        <v>-0.61266</v>
      </c>
      <c r="L1396" s="48">
        <f>IFERROR(MINUS(DIVIDE(VLOOKUP($B1396,Data!$B$3:$EZ1530,34,FALSE),VLOOKUP($B1396,Data!$B$3:$EZ1530,35,FALSE)),1),"")</f>
        <v>-0.3617021277</v>
      </c>
      <c r="M1396" s="48">
        <f>IFERROR(MINUS(DIVIDE(VLOOKUP($B1396,Data!$B$3:$EZ1530,39,FALSE),VLOOKUP($B1396,Data!$B$3:$EZ1530,40,FALSE)),1),"")</f>
        <v>-0.6339935897</v>
      </c>
      <c r="N1396" s="48">
        <f>IFERROR(MINUS(DIVIDE(VLOOKUP($B1396,Data!$B$3:$EZ1530,44,FALSE),VLOOKUP($B1396,Data!$B$3:$EZ1530,45,FALSE)),1),"")</f>
        <v>-0.07222222222</v>
      </c>
      <c r="O1396" s="50">
        <f>IFERROR(VLOOKUP($B1396,Data!$B$3:$D1530,2,FALSE),"")</f>
        <v>9060000</v>
      </c>
      <c r="P1396" s="50">
        <f>IFERROR(VLOOKUP($B1396,Data!$B$3:$D1530,3,FALSE),"")</f>
        <v>8050000</v>
      </c>
      <c r="Q1396" s="48">
        <f t="shared" si="2"/>
        <v>0.1254658385</v>
      </c>
      <c r="R1396" s="48"/>
      <c r="S1396" s="48"/>
      <c r="T1396" s="48"/>
      <c r="U1396" s="48"/>
      <c r="V1396" s="48"/>
      <c r="W1396" s="50"/>
      <c r="Z1396" s="15"/>
      <c r="AA1396" s="15"/>
    </row>
    <row r="1397">
      <c r="A1397" s="9">
        <f t="shared" si="1"/>
        <v>1394</v>
      </c>
      <c r="B1397" s="47" t="s">
        <v>1531</v>
      </c>
      <c r="C1397" s="48">
        <f>IFERROR(DIVIDE(VLOOKUP($B1397,Data!$B$3:$AB$1535,9,FALSE),VLOOKUP($B1397,Data!$B$3:$AB$1535,4,FALSE)),"")</f>
        <v>0.7517995852</v>
      </c>
      <c r="D1397" s="48">
        <f>IFERROR(DIVIDE(VLOOKUP($B1397,Data!$B$3:$AB$1535,24,FALSE),VLOOKUP($B1397,Data!$B$3:$AB$1535,4,FALSE)),"")</f>
        <v>-0.1243238847</v>
      </c>
      <c r="E1397" s="48">
        <f>IFERROR(DIVIDE(VLOOKUP($B1397,Data!$B$3:$EZ1530,29,FALSE),VLOOKUP($B1397,Data!$B$3:$EZ1530,4,FALSE)),"")</f>
        <v>-0.1261946399</v>
      </c>
      <c r="F1397" s="48">
        <f>IFERROR(DIVIDE(VLOOKUP($B1397,Data!$B$3:$EZ1530,34,FALSE),VLOOKUP($B1397,Data!$B$3:$EZ1530,4,FALSE)),"")</f>
        <v>-0.08951157021</v>
      </c>
      <c r="G1397" s="48">
        <f>IFERROR(DIVIDE(VLOOKUP($B1397,Data!$B$3:$EZ1530,39,FALSE),VLOOKUP($B1397,Data!$B$3:$EZ1530,4,FALSE)),"")</f>
        <v>-0.1270893489</v>
      </c>
      <c r="H1397" s="48">
        <f>IFERROR(DIVIDE(VLOOKUP($B1397,Data!$B$3:$EZ1530,44,FALSE),VLOOKUP($B1397,Data!$B$3:$EZ1530,4,FALSE)),"")</f>
        <v>0.1408353329</v>
      </c>
      <c r="I1397" s="48">
        <f>IFERROR(MINUS(DIVIDE(VLOOKUP($B1397,Data!$B$3:$EZ1530,9,FALSE),VLOOKUP($B1397,Data!$B$3:$EZ1530,10,FALSE)),1),"")</f>
        <v>0.5712707182</v>
      </c>
      <c r="J1397" s="48">
        <f>IFERROR(MINUS(DIVIDE(VLOOKUP($B1397,Data!$B$3:$EZ1530,24,FALSE),VLOOKUP($B1397,Data!$B$3:$EZ1530,25,FALSE)),1),"")</f>
        <v>-0.7239978332</v>
      </c>
      <c r="K1397" s="48">
        <f>IFERROR(MINUS(DIVIDE(VLOOKUP($B1397,Data!$B$3:$EZ1530,29,FALSE),VLOOKUP($B1397,Data!$B$3:$EZ1530,30,FALSE)),1),"")</f>
        <v>-0.7239323843</v>
      </c>
      <c r="L1397" s="48">
        <f>IFERROR(MINUS(DIVIDE(VLOOKUP($B1397,Data!$B$3:$EZ1530,34,FALSE),VLOOKUP($B1397,Data!$B$3:$EZ1530,35,FALSE)),1),"")</f>
        <v>0.5811781609</v>
      </c>
      <c r="M1397" s="48">
        <f>IFERROR(MINUS(DIVIDE(VLOOKUP($B1397,Data!$B$3:$EZ1530,39,FALSE),VLOOKUP($B1397,Data!$B$3:$EZ1530,40,FALSE)),1),"")</f>
        <v>-0.7221975287</v>
      </c>
      <c r="N1397" s="48">
        <f>IFERROR(MINUS(DIVIDE(VLOOKUP($B1397,Data!$B$3:$EZ1530,44,FALSE),VLOOKUP($B1397,Data!$B$3:$EZ1530,45,FALSE)),1),"")</f>
        <v>-1.45321293</v>
      </c>
      <c r="O1397" s="50">
        <f>IFERROR(VLOOKUP($B1397,Data!$B$3:$D1530,2,FALSE),"")</f>
        <v>476180</v>
      </c>
      <c r="P1397" s="50">
        <f>IFERROR(VLOOKUP($B1397,Data!$B$3:$D1530,3,FALSE),"")</f>
        <v>258820</v>
      </c>
      <c r="Q1397" s="48">
        <f t="shared" si="2"/>
        <v>0.839811452</v>
      </c>
      <c r="R1397" s="48"/>
      <c r="S1397" s="48"/>
      <c r="T1397" s="48"/>
      <c r="U1397" s="48"/>
      <c r="V1397" s="48"/>
      <c r="W1397" s="50"/>
      <c r="Z1397" s="11"/>
      <c r="AA1397" s="11"/>
    </row>
    <row r="1398">
      <c r="A1398" s="9">
        <f t="shared" si="1"/>
        <v>1395</v>
      </c>
      <c r="B1398" s="47" t="s">
        <v>1532</v>
      </c>
      <c r="C1398" s="48">
        <f>IFERROR(DIVIDE(VLOOKUP($B1398,Data!$B$3:$AB$1535,9,FALSE),VLOOKUP($B1398,Data!$B$3:$AB$1535,4,FALSE)),"")</f>
        <v>0.860020141</v>
      </c>
      <c r="D1398" s="48">
        <f>IFERROR(DIVIDE(VLOOKUP($B1398,Data!$B$3:$AB$1535,24,FALSE),VLOOKUP($B1398,Data!$B$3:$AB$1535,4,FALSE)),"")</f>
        <v>-3.247935549</v>
      </c>
      <c r="E1398" s="48">
        <f>IFERROR(DIVIDE(VLOOKUP($B1398,Data!$B$3:$EZ1530,29,FALSE),VLOOKUP($B1398,Data!$B$3:$EZ1530,4,FALSE)),"")</f>
        <v>-3.547633434</v>
      </c>
      <c r="F1398" s="48">
        <f>IFERROR(DIVIDE(VLOOKUP($B1398,Data!$B$3:$EZ1530,34,FALSE),VLOOKUP($B1398,Data!$B$3:$EZ1530,4,FALSE)),"")</f>
        <v>-2.995971803</v>
      </c>
      <c r="G1398" s="48">
        <f>IFERROR(DIVIDE(VLOOKUP($B1398,Data!$B$3:$EZ1530,39,FALSE),VLOOKUP($B1398,Data!$B$3:$EZ1530,4,FALSE)),"")</f>
        <v>-3.547633434</v>
      </c>
      <c r="H1398" s="48">
        <f>IFERROR(DIVIDE(VLOOKUP($B1398,Data!$B$3:$EZ1530,44,FALSE),VLOOKUP($B1398,Data!$B$3:$EZ1530,4,FALSE)),"")</f>
        <v>-3.337361531</v>
      </c>
      <c r="I1398" s="48">
        <f>IFERROR(MINUS(DIVIDE(VLOOKUP($B1398,Data!$B$3:$EZ1530,9,FALSE),VLOOKUP($B1398,Data!$B$3:$EZ1530,10,FALSE)),1),"")</f>
        <v>2.267023718</v>
      </c>
      <c r="J1398" s="48" t="str">
        <f>IFERROR(MINUS(DIVIDE(VLOOKUP($B1398,Data!$B$3:$EZ1530,24,FALSE),VLOOKUP($B1398,Data!$B$3:$EZ1530,25,FALSE)),1),"")</f>
        <v/>
      </c>
      <c r="K1398" s="48">
        <f>IFERROR(MINUS(DIVIDE(VLOOKUP($B1398,Data!$B$3:$EZ1530,29,FALSE),VLOOKUP($B1398,Data!$B$3:$EZ1530,30,FALSE)),1),"")</f>
        <v>0.3281556326</v>
      </c>
      <c r="L1398" s="48">
        <f>IFERROR(MINUS(DIVIDE(VLOOKUP($B1398,Data!$B$3:$EZ1530,34,FALSE),VLOOKUP($B1398,Data!$B$3:$EZ1530,35,FALSE)),1),"")</f>
        <v>0.1448472254</v>
      </c>
      <c r="M1398" s="48">
        <f>IFERROR(MINUS(DIVIDE(VLOOKUP($B1398,Data!$B$3:$EZ1530,39,FALSE),VLOOKUP($B1398,Data!$B$3:$EZ1530,40,FALSE)),1),"")</f>
        <v>0.3281556326</v>
      </c>
      <c r="N1398" s="48">
        <f>IFERROR(MINUS(DIVIDE(VLOOKUP($B1398,Data!$B$3:$EZ1530,44,FALSE),VLOOKUP($B1398,Data!$B$3:$EZ1530,45,FALSE)),1),"")</f>
        <v>0.5513528696</v>
      </c>
      <c r="O1398" s="50">
        <f>IFERROR(VLOOKUP($B1398,Data!$B$3:$D1530,2,FALSE),"")</f>
        <v>152830</v>
      </c>
      <c r="P1398" s="50">
        <f>IFERROR(VLOOKUP($B1398,Data!$B$3:$D1530,3,FALSE),"")</f>
        <v>59900</v>
      </c>
      <c r="Q1398" s="48">
        <f t="shared" si="2"/>
        <v>1.551419032</v>
      </c>
      <c r="R1398" s="48"/>
      <c r="S1398" s="48"/>
      <c r="T1398" s="48"/>
      <c r="U1398" s="48"/>
      <c r="V1398" s="48"/>
      <c r="W1398" s="50"/>
      <c r="Z1398" s="15"/>
      <c r="AA1398" s="15"/>
    </row>
    <row r="1399">
      <c r="A1399" s="9">
        <f t="shared" si="1"/>
        <v>1396</v>
      </c>
      <c r="B1399" s="47" t="s">
        <v>1533</v>
      </c>
      <c r="C1399" s="48">
        <f>IFERROR(DIVIDE(VLOOKUP($B1399,Data!$B$3:$AB$1535,9,FALSE),VLOOKUP($B1399,Data!$B$3:$AB$1535,4,FALSE)),"")</f>
        <v>0.6175243394</v>
      </c>
      <c r="D1399" s="48">
        <f>IFERROR(DIVIDE(VLOOKUP($B1399,Data!$B$3:$AB$1535,24,FALSE),VLOOKUP($B1399,Data!$B$3:$AB$1535,4,FALSE)),"")</f>
        <v>0.3963838665</v>
      </c>
      <c r="E1399" s="48">
        <f>IFERROR(DIVIDE(VLOOKUP($B1399,Data!$B$3:$EZ1530,29,FALSE),VLOOKUP($B1399,Data!$B$3:$EZ1530,4,FALSE)),"")</f>
        <v>0.3984700974</v>
      </c>
      <c r="F1399" s="48">
        <f>IFERROR(DIVIDE(VLOOKUP($B1399,Data!$B$3:$EZ1530,34,FALSE),VLOOKUP($B1399,Data!$B$3:$EZ1530,4,FALSE)),"")</f>
        <v>0.4687065369</v>
      </c>
      <c r="G1399" s="48">
        <f>IFERROR(DIVIDE(VLOOKUP($B1399,Data!$B$3:$EZ1530,39,FALSE),VLOOKUP($B1399,Data!$B$3:$EZ1530,4,FALSE)),"")</f>
        <v>0.3470097357</v>
      </c>
      <c r="H1399" s="48">
        <f>IFERROR(DIVIDE(VLOOKUP($B1399,Data!$B$3:$EZ1530,44,FALSE),VLOOKUP($B1399,Data!$B$3:$EZ1530,4,FALSE)),"")</f>
        <v>0.4624478442</v>
      </c>
      <c r="I1399" s="48">
        <f>IFERROR(MINUS(DIVIDE(VLOOKUP($B1399,Data!$B$3:$EZ1530,9,FALSE),VLOOKUP($B1399,Data!$B$3:$EZ1530,10,FALSE)),1),"")</f>
        <v>-0.1084337349</v>
      </c>
      <c r="J1399" s="48">
        <f>IFERROR(MINUS(DIVIDE(VLOOKUP($B1399,Data!$B$3:$EZ1530,24,FALSE),VLOOKUP($B1399,Data!$B$3:$EZ1530,25,FALSE)),1),"")</f>
        <v>-0.1505216095</v>
      </c>
      <c r="K1399" s="48">
        <f>IFERROR(MINUS(DIVIDE(VLOOKUP($B1399,Data!$B$3:$EZ1530,29,FALSE),VLOOKUP($B1399,Data!$B$3:$EZ1530,30,FALSE)),1),"")</f>
        <v>-0.1434977578</v>
      </c>
      <c r="L1399" s="48">
        <f>IFERROR(MINUS(DIVIDE(VLOOKUP($B1399,Data!$B$3:$EZ1530,34,FALSE),VLOOKUP($B1399,Data!$B$3:$EZ1530,35,FALSE)),1),"")</f>
        <v>-0.1212516297</v>
      </c>
      <c r="M1399" s="48">
        <f>IFERROR(MINUS(DIVIDE(VLOOKUP($B1399,Data!$B$3:$EZ1530,39,FALSE),VLOOKUP($B1399,Data!$B$3:$EZ1530,40,FALSE)),1),"")</f>
        <v>-0.09927797834</v>
      </c>
      <c r="N1399" s="48">
        <f>IFERROR(MINUS(DIVIDE(VLOOKUP($B1399,Data!$B$3:$EZ1530,44,FALSE),VLOOKUP($B1399,Data!$B$3:$EZ1530,45,FALSE)),1),"")</f>
        <v>-0.07510431154</v>
      </c>
      <c r="O1399" s="50">
        <f>IFERROR(VLOOKUP($B1399,Data!$B$3:$D1530,2,FALSE),"")</f>
        <v>13910000</v>
      </c>
      <c r="P1399" s="50">
        <f>IFERROR(VLOOKUP($B1399,Data!$B$3:$D1530,3,FALSE),"")</f>
        <v>12410000</v>
      </c>
      <c r="Q1399" s="48">
        <f t="shared" si="2"/>
        <v>0.1208702659</v>
      </c>
      <c r="R1399" s="48"/>
      <c r="S1399" s="48"/>
      <c r="T1399" s="48"/>
      <c r="U1399" s="48"/>
      <c r="V1399" s="48"/>
      <c r="W1399" s="50"/>
      <c r="Z1399" s="11"/>
      <c r="AA1399" s="11"/>
    </row>
    <row r="1400">
      <c r="A1400" s="9">
        <f t="shared" si="1"/>
        <v>1397</v>
      </c>
      <c r="B1400" s="47" t="s">
        <v>1534</v>
      </c>
      <c r="C1400" s="48">
        <f>IFERROR(DIVIDE(VLOOKUP($B1400,Data!$B$3:$AB$1535,9,FALSE),VLOOKUP($B1400,Data!$B$3:$AB$1535,4,FALSE)),"")</f>
        <v>0.137923913</v>
      </c>
      <c r="D1400" s="48">
        <f>IFERROR(DIVIDE(VLOOKUP($B1400,Data!$B$3:$AB$1535,24,FALSE),VLOOKUP($B1400,Data!$B$3:$AB$1535,4,FALSE)),"")</f>
        <v>0.08412318841</v>
      </c>
      <c r="E1400" s="48">
        <f>IFERROR(DIVIDE(VLOOKUP($B1400,Data!$B$3:$EZ1530,29,FALSE),VLOOKUP($B1400,Data!$B$3:$EZ1530,4,FALSE)),"")</f>
        <v>0.07750724638</v>
      </c>
      <c r="F1400" s="48">
        <f>IFERROR(DIVIDE(VLOOKUP($B1400,Data!$B$3:$EZ1530,34,FALSE),VLOOKUP($B1400,Data!$B$3:$EZ1530,4,FALSE)),"")</f>
        <v>0.1256594203</v>
      </c>
      <c r="G1400" s="48">
        <f>IFERROR(DIVIDE(VLOOKUP($B1400,Data!$B$3:$EZ1530,39,FALSE),VLOOKUP($B1400,Data!$B$3:$EZ1530,4,FALSE)),"")</f>
        <v>0.06320652174</v>
      </c>
      <c r="H1400" s="48">
        <f>IFERROR(DIVIDE(VLOOKUP($B1400,Data!$B$3:$EZ1530,44,FALSE),VLOOKUP($B1400,Data!$B$3:$EZ1530,4,FALSE)),"")</f>
        <v>0.135615942</v>
      </c>
      <c r="I1400" s="48">
        <f>IFERROR(MINUS(DIVIDE(VLOOKUP($B1400,Data!$B$3:$EZ1530,9,FALSE),VLOOKUP($B1400,Data!$B$3:$EZ1530,10,FALSE)),1),"")</f>
        <v>0.1089198322</v>
      </c>
      <c r="J1400" s="48">
        <f>IFERROR(MINUS(DIVIDE(VLOOKUP($B1400,Data!$B$3:$EZ1530,24,FALSE),VLOOKUP($B1400,Data!$B$3:$EZ1530,25,FALSE)),1),"")</f>
        <v>0.1225101528</v>
      </c>
      <c r="K1400" s="48">
        <f>IFERROR(MINUS(DIVIDE(VLOOKUP($B1400,Data!$B$3:$EZ1530,29,FALSE),VLOOKUP($B1400,Data!$B$3:$EZ1530,30,FALSE)),1),"")</f>
        <v>0.1345531689</v>
      </c>
      <c r="L1400" s="48">
        <f>IFERROR(MINUS(DIVIDE(VLOOKUP($B1400,Data!$B$3:$EZ1530,34,FALSE),VLOOKUP($B1400,Data!$B$3:$EZ1530,35,FALSE)),1),"")</f>
        <v>0.1193880515</v>
      </c>
      <c r="M1400" s="48">
        <f>IFERROR(MINUS(DIVIDE(VLOOKUP($B1400,Data!$B$3:$EZ1530,39,FALSE),VLOOKUP($B1400,Data!$B$3:$EZ1530,40,FALSE)),1),"")</f>
        <v>0.1025090059</v>
      </c>
      <c r="N1400" s="48">
        <f>IFERROR(MINUS(DIVIDE(VLOOKUP($B1400,Data!$B$3:$EZ1530,44,FALSE),VLOOKUP($B1400,Data!$B$3:$EZ1530,45,FALSE)),1),"")</f>
        <v>0.06073058067</v>
      </c>
      <c r="O1400" s="50">
        <f>IFERROR(VLOOKUP($B1400,Data!$B$3:$D1530,2,FALSE),"")</f>
        <v>2820000</v>
      </c>
      <c r="P1400" s="50">
        <f>IFERROR(VLOOKUP($B1400,Data!$B$3:$D1530,3,FALSE),"")</f>
        <v>2370000</v>
      </c>
      <c r="Q1400" s="48">
        <f t="shared" si="2"/>
        <v>0.1898734177</v>
      </c>
      <c r="R1400" s="48"/>
      <c r="S1400" s="48"/>
      <c r="T1400" s="48"/>
      <c r="U1400" s="48"/>
      <c r="V1400" s="48"/>
      <c r="W1400" s="50"/>
      <c r="Z1400" s="11"/>
      <c r="AA1400" s="11"/>
    </row>
    <row r="1401">
      <c r="A1401" s="9">
        <f t="shared" si="1"/>
        <v>1398</v>
      </c>
      <c r="B1401" s="47" t="s">
        <v>1535</v>
      </c>
      <c r="C1401" s="48">
        <f>IFERROR(DIVIDE(VLOOKUP($B1401,Data!$B$3:$AB$1535,9,FALSE),VLOOKUP($B1401,Data!$B$3:$AB$1535,4,FALSE)),"")</f>
        <v>0.2090975789</v>
      </c>
      <c r="D1401" s="48">
        <f>IFERROR(DIVIDE(VLOOKUP($B1401,Data!$B$3:$AB$1535,24,FALSE),VLOOKUP($B1401,Data!$B$3:$AB$1535,4,FALSE)),"")</f>
        <v>0.07336757153</v>
      </c>
      <c r="E1401" s="48">
        <f>IFERROR(DIVIDE(VLOOKUP($B1401,Data!$B$3:$EZ1530,29,FALSE),VLOOKUP($B1401,Data!$B$3:$EZ1530,4,FALSE)),"")</f>
        <v>0.06911225238</v>
      </c>
      <c r="F1401" s="48">
        <f>IFERROR(DIVIDE(VLOOKUP($B1401,Data!$B$3:$EZ1530,34,FALSE),VLOOKUP($B1401,Data!$B$3:$EZ1530,4,FALSE)),"")</f>
        <v>0.1071166544</v>
      </c>
      <c r="G1401" s="48">
        <f>IFERROR(DIVIDE(VLOOKUP($B1401,Data!$B$3:$EZ1530,39,FALSE),VLOOKUP($B1401,Data!$B$3:$EZ1530,4,FALSE)),"")</f>
        <v>0.0597945708</v>
      </c>
      <c r="H1401" s="48">
        <f>IFERROR(DIVIDE(VLOOKUP($B1401,Data!$B$3:$EZ1530,44,FALSE),VLOOKUP($B1401,Data!$B$3:$EZ1530,4,FALSE)),"")</f>
        <v>0.07410124725</v>
      </c>
      <c r="I1401" s="48">
        <f>IFERROR(MINUS(DIVIDE(VLOOKUP($B1401,Data!$B$3:$EZ1530,9,FALSE),VLOOKUP($B1401,Data!$B$3:$EZ1530,10,FALSE)),1),"")</f>
        <v>-0.05629139073</v>
      </c>
      <c r="J1401" s="48">
        <f>IFERROR(MINUS(DIVIDE(VLOOKUP($B1401,Data!$B$3:$EZ1530,24,FALSE),VLOOKUP($B1401,Data!$B$3:$EZ1530,25,FALSE)),1),"")</f>
        <v>-0.02912621359</v>
      </c>
      <c r="K1401" s="48">
        <f>IFERROR(MINUS(DIVIDE(VLOOKUP($B1401,Data!$B$3:$EZ1530,29,FALSE),VLOOKUP($B1401,Data!$B$3:$EZ1530,30,FALSE)),1),"")</f>
        <v>-0.3173913043</v>
      </c>
      <c r="L1401" s="48">
        <f>IFERROR(MINUS(DIVIDE(VLOOKUP($B1401,Data!$B$3:$EZ1530,34,FALSE),VLOOKUP($B1401,Data!$B$3:$EZ1530,35,FALSE)),1),"")</f>
        <v>-0.04575163399</v>
      </c>
      <c r="M1401" s="48">
        <f>IFERROR(MINUS(DIVIDE(VLOOKUP($B1401,Data!$B$3:$EZ1530,39,FALSE),VLOOKUP($B1401,Data!$B$3:$EZ1530,40,FALSE)),1),"")</f>
        <v>-0.3319672131</v>
      </c>
      <c r="N1401" s="48">
        <f>IFERROR(MINUS(DIVIDE(VLOOKUP($B1401,Data!$B$3:$EZ1530,44,FALSE),VLOOKUP($B1401,Data!$B$3:$EZ1530,45,FALSE)),1),"")</f>
        <v>-0.09009009009</v>
      </c>
      <c r="O1401" s="50">
        <f>IFERROR(VLOOKUP($B1401,Data!$B$3:$D1530,2,FALSE),"")</f>
        <v>12330000</v>
      </c>
      <c r="P1401" s="50">
        <f>IFERROR(VLOOKUP($B1401,Data!$B$3:$D1530,3,FALSE),"")</f>
        <v>11410000</v>
      </c>
      <c r="Q1401" s="48">
        <f t="shared" si="2"/>
        <v>0.08063102542</v>
      </c>
      <c r="R1401" s="48"/>
      <c r="S1401" s="48"/>
      <c r="T1401" s="48"/>
      <c r="U1401" s="48"/>
      <c r="V1401" s="48"/>
      <c r="W1401" s="50"/>
      <c r="Z1401" s="15"/>
      <c r="AA1401" s="15"/>
    </row>
    <row r="1402">
      <c r="A1402" s="9">
        <f t="shared" si="1"/>
        <v>1399</v>
      </c>
      <c r="B1402" s="47" t="s">
        <v>1536</v>
      </c>
      <c r="C1402" s="48" t="str">
        <f>IFERROR(DIVIDE(VLOOKUP($B1402,Data!$B$3:$AB$1535,9,FALSE),VLOOKUP($B1402,Data!$B$3:$AB$1535,4,FALSE)),"")</f>
        <v/>
      </c>
      <c r="D1402" s="48" t="str">
        <f>IFERROR(DIVIDE(VLOOKUP($B1402,Data!$B$3:$AB$1535,24,FALSE),VLOOKUP($B1402,Data!$B$3:$AB$1535,4,FALSE)),"")</f>
        <v/>
      </c>
      <c r="E1402" s="48" t="str">
        <f>IFERROR(DIVIDE(VLOOKUP($B1402,Data!$B$3:$EZ1530,29,FALSE),VLOOKUP($B1402,Data!$B$3:$EZ1530,4,FALSE)),"")</f>
        <v/>
      </c>
      <c r="F1402" s="48" t="str">
        <f>IFERROR(DIVIDE(VLOOKUP($B1402,Data!$B$3:$EZ1530,34,FALSE),VLOOKUP($B1402,Data!$B$3:$EZ1530,4,FALSE)),"")</f>
        <v/>
      </c>
      <c r="G1402" s="48" t="str">
        <f>IFERROR(DIVIDE(VLOOKUP($B1402,Data!$B$3:$EZ1530,39,FALSE),VLOOKUP($B1402,Data!$B$3:$EZ1530,4,FALSE)),"")</f>
        <v/>
      </c>
      <c r="H1402" s="48" t="str">
        <f>IFERROR(DIVIDE(VLOOKUP($B1402,Data!$B$3:$EZ1530,44,FALSE),VLOOKUP($B1402,Data!$B$3:$EZ1530,4,FALSE)),"")</f>
        <v/>
      </c>
      <c r="I1402" s="48">
        <f>IFERROR(MINUS(DIVIDE(VLOOKUP($B1402,Data!$B$3:$EZ1530,9,FALSE),VLOOKUP($B1402,Data!$B$3:$EZ1530,10,FALSE)),1),"")</f>
        <v>-0.375</v>
      </c>
      <c r="J1402" s="48" t="str">
        <f>IFERROR(MINUS(DIVIDE(VLOOKUP($B1402,Data!$B$3:$EZ1530,24,FALSE),VLOOKUP($B1402,Data!$B$3:$EZ1530,25,FALSE)),1),"")</f>
        <v/>
      </c>
      <c r="K1402" s="48">
        <f>IFERROR(MINUS(DIVIDE(VLOOKUP($B1402,Data!$B$3:$EZ1530,29,FALSE),VLOOKUP($B1402,Data!$B$3:$EZ1530,30,FALSE)),1),"")</f>
        <v>-0.3329290479</v>
      </c>
      <c r="L1402" s="48">
        <f>IFERROR(MINUS(DIVIDE(VLOOKUP($B1402,Data!$B$3:$EZ1530,34,FALSE),VLOOKUP($B1402,Data!$B$3:$EZ1530,35,FALSE)),1),"")</f>
        <v>-0.189172175</v>
      </c>
      <c r="M1402" s="48">
        <f>IFERROR(MINUS(DIVIDE(VLOOKUP($B1402,Data!$B$3:$EZ1530,39,FALSE),VLOOKUP($B1402,Data!$B$3:$EZ1530,40,FALSE)),1),"")</f>
        <v>-0.3329290479</v>
      </c>
      <c r="N1402" s="48">
        <f>IFERROR(MINUS(DIVIDE(VLOOKUP($B1402,Data!$B$3:$EZ1530,44,FALSE),VLOOKUP($B1402,Data!$B$3:$EZ1530,45,FALSE)),1),"")</f>
        <v>-0.03031809145</v>
      </c>
      <c r="O1402" s="50">
        <f>IFERROR(VLOOKUP($B1402,Data!$B$3:$D1530,2,FALSE),"")</f>
        <v>2500</v>
      </c>
      <c r="P1402" s="50" t="str">
        <f>IFERROR(VLOOKUP($B1402,Data!$B$3:$D1530,3,FALSE),"")</f>
        <v/>
      </c>
      <c r="Q1402" s="48" t="str">
        <f t="shared" si="2"/>
        <v/>
      </c>
      <c r="R1402" s="48"/>
      <c r="S1402" s="48"/>
      <c r="T1402" s="48"/>
      <c r="U1402" s="48"/>
      <c r="V1402" s="48"/>
      <c r="W1402" s="50"/>
      <c r="Z1402" s="15"/>
      <c r="AA1402" s="15"/>
    </row>
    <row r="1403">
      <c r="A1403" s="9">
        <f t="shared" si="1"/>
        <v>1400</v>
      </c>
      <c r="B1403" s="47" t="s">
        <v>1537</v>
      </c>
      <c r="C1403" s="48">
        <f>IFERROR(DIVIDE(VLOOKUP($B1403,Data!$B$3:$AB$1535,9,FALSE),VLOOKUP($B1403,Data!$B$3:$AB$1535,4,FALSE)),"")</f>
        <v>0.4647619048</v>
      </c>
      <c r="D1403" s="48">
        <f>IFERROR(DIVIDE(VLOOKUP($B1403,Data!$B$3:$AB$1535,24,FALSE),VLOOKUP($B1403,Data!$B$3:$AB$1535,4,FALSE)),"")</f>
        <v>0.0394552381</v>
      </c>
      <c r="E1403" s="48">
        <f>IFERROR(DIVIDE(VLOOKUP($B1403,Data!$B$3:$EZ1530,29,FALSE),VLOOKUP($B1403,Data!$B$3:$EZ1530,4,FALSE)),"")</f>
        <v>0.03996952381</v>
      </c>
      <c r="F1403" s="48">
        <f>IFERROR(DIVIDE(VLOOKUP($B1403,Data!$B$3:$EZ1530,34,FALSE),VLOOKUP($B1403,Data!$B$3:$EZ1530,4,FALSE)),"")</f>
        <v>0.07613333333</v>
      </c>
      <c r="G1403" s="48">
        <f>IFERROR(DIVIDE(VLOOKUP($B1403,Data!$B$3:$EZ1530,39,FALSE),VLOOKUP($B1403,Data!$B$3:$EZ1530,4,FALSE)),"")</f>
        <v>0.01755047619</v>
      </c>
      <c r="H1403" s="48">
        <f>IFERROR(DIVIDE(VLOOKUP($B1403,Data!$B$3:$EZ1530,44,FALSE),VLOOKUP($B1403,Data!$B$3:$EZ1530,4,FALSE)),"")</f>
        <v>0.09695809524</v>
      </c>
      <c r="I1403" s="48">
        <f>IFERROR(MINUS(DIVIDE(VLOOKUP($B1403,Data!$B$3:$EZ1530,9,FALSE),VLOOKUP($B1403,Data!$B$3:$EZ1530,10,FALSE)),1),"")</f>
        <v>0.04273504274</v>
      </c>
      <c r="J1403" s="48">
        <f>IFERROR(MINUS(DIVIDE(VLOOKUP($B1403,Data!$B$3:$EZ1530,24,FALSE),VLOOKUP($B1403,Data!$B$3:$EZ1530,25,FALSE)),1),"")</f>
        <v>-9.692404532</v>
      </c>
      <c r="K1403" s="48">
        <f>IFERROR(MINUS(DIVIDE(VLOOKUP($B1403,Data!$B$3:$EZ1530,29,FALSE),VLOOKUP($B1403,Data!$B$3:$EZ1530,30,FALSE)),1),"")</f>
        <v>-4.095441806</v>
      </c>
      <c r="L1403" s="48">
        <f>IFERROR(MINUS(DIVIDE(VLOOKUP($B1403,Data!$B$3:$EZ1530,34,FALSE),VLOOKUP($B1403,Data!$B$3:$EZ1530,35,FALSE)),1),"")</f>
        <v>0.1714536928</v>
      </c>
      <c r="M1403" s="48">
        <f>IFERROR(MINUS(DIVIDE(VLOOKUP($B1403,Data!$B$3:$EZ1530,39,FALSE),VLOOKUP($B1403,Data!$B$3:$EZ1530,40,FALSE)),1),"")</f>
        <v>-2.990064795</v>
      </c>
      <c r="N1403" s="48">
        <f>IFERROR(MINUS(DIVIDE(VLOOKUP($B1403,Data!$B$3:$EZ1530,44,FALSE),VLOOKUP($B1403,Data!$B$3:$EZ1530,45,FALSE)),1),"")</f>
        <v>-0.1897394266</v>
      </c>
      <c r="O1403" s="50">
        <f>IFERROR(VLOOKUP($B1403,Data!$B$3:$D1530,2,FALSE),"")</f>
        <v>4860000</v>
      </c>
      <c r="P1403" s="50">
        <f>IFERROR(VLOOKUP($B1403,Data!$B$3:$D1530,3,FALSE),"")</f>
        <v>3880000</v>
      </c>
      <c r="Q1403" s="48">
        <f t="shared" si="2"/>
        <v>0.2525773196</v>
      </c>
      <c r="R1403" s="48"/>
      <c r="S1403" s="48"/>
      <c r="T1403" s="48"/>
      <c r="U1403" s="48"/>
      <c r="V1403" s="48"/>
      <c r="W1403" s="50"/>
      <c r="Z1403" s="11"/>
      <c r="AA1403" s="11"/>
    </row>
    <row r="1404">
      <c r="A1404" s="9">
        <f t="shared" si="1"/>
        <v>1401</v>
      </c>
      <c r="B1404" s="52" t="s">
        <v>1538</v>
      </c>
      <c r="C1404" s="48">
        <f>IFERROR(DIVIDE(VLOOKUP($B1404,Data!$B$3:$AB$1535,9,FALSE),VLOOKUP($B1404,Data!$B$3:$AB$1535,4,FALSE)),"")</f>
        <v>0.1433194637</v>
      </c>
      <c r="D1404" s="48">
        <f>IFERROR(DIVIDE(VLOOKUP($B1404,Data!$B$3:$AB$1535,24,FALSE),VLOOKUP($B1404,Data!$B$3:$AB$1535,4,FALSE)),"")</f>
        <v>0.1042533518</v>
      </c>
      <c r="E1404" s="48">
        <f>IFERROR(DIVIDE(VLOOKUP($B1404,Data!$B$3:$EZ1530,29,FALSE),VLOOKUP($B1404,Data!$B$3:$EZ1530,4,FALSE)),"")</f>
        <v>0.09038372631</v>
      </c>
      <c r="F1404" s="48">
        <f>IFERROR(DIVIDE(VLOOKUP($B1404,Data!$B$3:$EZ1530,34,FALSE),VLOOKUP($B1404,Data!$B$3:$EZ1530,4,FALSE)),"")</f>
        <v>0.1576514101</v>
      </c>
      <c r="G1404" s="48">
        <f>IFERROR(DIVIDE(VLOOKUP($B1404,Data!$B$3:$EZ1530,39,FALSE),VLOOKUP($B1404,Data!$B$3:$EZ1530,4,FALSE)),"")</f>
        <v>0.06957928803</v>
      </c>
      <c r="H1404" s="48">
        <f>IFERROR(DIVIDE(VLOOKUP($B1404,Data!$B$3:$EZ1530,44,FALSE),VLOOKUP($B1404,Data!$B$3:$EZ1530,4,FALSE)),"")</f>
        <v>0.1597318539</v>
      </c>
      <c r="I1404" s="48">
        <f>IFERROR(MINUS(DIVIDE(VLOOKUP($B1404,Data!$B$3:$EZ1530,9,FALSE),VLOOKUP($B1404,Data!$B$3:$EZ1530,10,FALSE)),1),"")</f>
        <v>0.1764705882</v>
      </c>
      <c r="J1404" s="48">
        <f>IFERROR(MINUS(DIVIDE(VLOOKUP($B1404,Data!$B$3:$EZ1530,24,FALSE),VLOOKUP($B1404,Data!$B$3:$EZ1530,25,FALSE)),1),"")</f>
        <v>-11.11210762</v>
      </c>
      <c r="K1404" s="48">
        <f>IFERROR(MINUS(DIVIDE(VLOOKUP($B1404,Data!$B$3:$EZ1530,29,FALSE),VLOOKUP($B1404,Data!$B$3:$EZ1530,30,FALSE)),1),"")</f>
        <v>0.4754716981</v>
      </c>
      <c r="L1404" s="48">
        <f>IFERROR(MINUS(DIVIDE(VLOOKUP($B1404,Data!$B$3:$EZ1530,34,FALSE),VLOOKUP($B1404,Data!$B$3:$EZ1530,35,FALSE)),1),"")</f>
        <v>0.1678082192</v>
      </c>
      <c r="M1404" s="48">
        <f>IFERROR(MINUS(DIVIDE(VLOOKUP($B1404,Data!$B$3:$EZ1530,39,FALSE),VLOOKUP($B1404,Data!$B$3:$EZ1530,40,FALSE)),1),"")</f>
        <v>0.4198113208</v>
      </c>
      <c r="N1404" s="48">
        <f>IFERROR(MINUS(DIVIDE(VLOOKUP($B1404,Data!$B$3:$EZ1530,44,FALSE),VLOOKUP($B1404,Data!$B$3:$EZ1530,45,FALSE)),1),"")</f>
        <v>0.1217532468</v>
      </c>
      <c r="O1404" s="50">
        <f>IFERROR(VLOOKUP($B1404,Data!$B$3:$D1530,2,FALSE),"")</f>
        <v>27860000</v>
      </c>
      <c r="P1404" s="50">
        <f>IFERROR(VLOOKUP($B1404,Data!$B$3:$D1530,3,FALSE),"")</f>
        <v>16700000</v>
      </c>
      <c r="Q1404" s="48">
        <f t="shared" si="2"/>
        <v>0.6682634731</v>
      </c>
      <c r="R1404" s="48"/>
      <c r="S1404" s="48"/>
      <c r="T1404" s="48"/>
      <c r="U1404" s="48"/>
      <c r="V1404" s="48"/>
      <c r="W1404" s="50"/>
      <c r="Z1404" s="11"/>
      <c r="AA1404" s="12"/>
    </row>
    <row r="1405">
      <c r="A1405" s="9">
        <f t="shared" si="1"/>
        <v>1402</v>
      </c>
      <c r="B1405" s="47" t="s">
        <v>1539</v>
      </c>
      <c r="C1405" s="48">
        <f>IFERROR(DIVIDE(VLOOKUP($B1405,Data!$B$3:$AB$1535,9,FALSE),VLOOKUP($B1405,Data!$B$3:$AB$1535,4,FALSE)),"")</f>
        <v>0.1400613588</v>
      </c>
      <c r="D1405" s="48">
        <f>IFERROR(DIVIDE(VLOOKUP($B1405,Data!$B$3:$AB$1535,24,FALSE),VLOOKUP($B1405,Data!$B$3:$AB$1535,4,FALSE)),"")</f>
        <v>0</v>
      </c>
      <c r="E1405" s="48">
        <f>IFERROR(DIVIDE(VLOOKUP($B1405,Data!$B$3:$EZ1530,29,FALSE),VLOOKUP($B1405,Data!$B$3:$EZ1530,4,FALSE)),"")</f>
        <v>-0.08657033995</v>
      </c>
      <c r="F1405" s="48">
        <f>IFERROR(DIVIDE(VLOOKUP($B1405,Data!$B$3:$EZ1530,34,FALSE),VLOOKUP($B1405,Data!$B$3:$EZ1530,4,FALSE)),"")</f>
        <v>0.2736899401</v>
      </c>
      <c r="G1405" s="48">
        <f>IFERROR(DIVIDE(VLOOKUP($B1405,Data!$B$3:$EZ1530,39,FALSE),VLOOKUP($B1405,Data!$B$3:$EZ1530,4,FALSE)),"")</f>
        <v>-0.08652085704</v>
      </c>
      <c r="H1405" s="48">
        <f>IFERROR(DIVIDE(VLOOKUP($B1405,Data!$B$3:$EZ1530,44,FALSE),VLOOKUP($B1405,Data!$B$3:$EZ1530,4,FALSE)),"")</f>
        <v>0.09688752536</v>
      </c>
      <c r="I1405" s="48">
        <f>IFERROR(MINUS(DIVIDE(VLOOKUP($B1405,Data!$B$3:$EZ1530,9,FALSE),VLOOKUP($B1405,Data!$B$3:$EZ1530,10,FALSE)),1),"")</f>
        <v>0.7841159786</v>
      </c>
      <c r="J1405" s="48" t="str">
        <f>IFERROR(MINUS(DIVIDE(VLOOKUP($B1405,Data!$B$3:$EZ1530,24,FALSE),VLOOKUP($B1405,Data!$B$3:$EZ1530,25,FALSE)),1),"")</f>
        <v/>
      </c>
      <c r="K1405" s="48">
        <f>IFERROR(MINUS(DIVIDE(VLOOKUP($B1405,Data!$B$3:$EZ1530,29,FALSE),VLOOKUP($B1405,Data!$B$3:$EZ1530,30,FALSE)),1),"")</f>
        <v>-0.3011783503</v>
      </c>
      <c r="L1405" s="48">
        <f>IFERROR(MINUS(DIVIDE(VLOOKUP($B1405,Data!$B$3:$EZ1530,34,FALSE),VLOOKUP($B1405,Data!$B$3:$EZ1530,35,FALSE)),1),"")</f>
        <v>0.4131323454</v>
      </c>
      <c r="M1405" s="48">
        <f>IFERROR(MINUS(DIVIDE(VLOOKUP($B1405,Data!$B$3:$EZ1530,39,FALSE),VLOOKUP($B1405,Data!$B$3:$EZ1530,40,FALSE)),1),"")</f>
        <v>-0.3010193884</v>
      </c>
      <c r="N1405" s="48">
        <f>IFERROR(MINUS(DIVIDE(VLOOKUP($B1405,Data!$B$3:$EZ1530,44,FALSE),VLOOKUP($B1405,Data!$B$3:$EZ1530,45,FALSE)),1),"")</f>
        <v>0.2150170648</v>
      </c>
      <c r="O1405" s="50">
        <f>IFERROR(VLOOKUP($B1405,Data!$B$3:$D1530,2,FALSE),"")</f>
        <v>358730</v>
      </c>
      <c r="P1405" s="50">
        <f>IFERROR(VLOOKUP($B1405,Data!$B$3:$D1530,3,FALSE),"")</f>
        <v>336130</v>
      </c>
      <c r="Q1405" s="48">
        <f t="shared" si="2"/>
        <v>0.06723589088</v>
      </c>
      <c r="R1405" s="48"/>
      <c r="S1405" s="48"/>
      <c r="T1405" s="48"/>
      <c r="U1405" s="48"/>
      <c r="V1405" s="48"/>
      <c r="W1405" s="50"/>
      <c r="Z1405" s="15"/>
      <c r="AA1405" s="15"/>
    </row>
    <row r="1406">
      <c r="A1406" s="9">
        <f t="shared" si="1"/>
        <v>1403</v>
      </c>
      <c r="B1406" s="47" t="s">
        <v>1540</v>
      </c>
      <c r="C1406" s="48" t="str">
        <f>IFERROR(DIVIDE(VLOOKUP($B1406,Data!$B$3:$AB$1535,9,FALSE),VLOOKUP($B1406,Data!$B$3:$AB$1535,4,FALSE)),"")</f>
        <v/>
      </c>
      <c r="D1406" s="48" t="str">
        <f>IFERROR(DIVIDE(VLOOKUP($B1406,Data!$B$3:$AB$1535,24,FALSE),VLOOKUP($B1406,Data!$B$3:$AB$1535,4,FALSE)),"")</f>
        <v/>
      </c>
      <c r="E1406" s="48" t="str">
        <f>IFERROR(DIVIDE(VLOOKUP($B1406,Data!$B$3:$EZ1530,29,FALSE),VLOOKUP($B1406,Data!$B$3:$EZ1530,4,FALSE)),"")</f>
        <v/>
      </c>
      <c r="F1406" s="48" t="str">
        <f>IFERROR(DIVIDE(VLOOKUP($B1406,Data!$B$3:$EZ1530,34,FALSE),VLOOKUP($B1406,Data!$B$3:$EZ1530,4,FALSE)),"")</f>
        <v/>
      </c>
      <c r="G1406" s="48" t="str">
        <f>IFERROR(DIVIDE(VLOOKUP($B1406,Data!$B$3:$EZ1530,39,FALSE),VLOOKUP($B1406,Data!$B$3:$EZ1530,4,FALSE)),"")</f>
        <v/>
      </c>
      <c r="H1406" s="48" t="str">
        <f>IFERROR(DIVIDE(VLOOKUP($B1406,Data!$B$3:$EZ1530,44,FALSE),VLOOKUP($B1406,Data!$B$3:$EZ1530,4,FALSE)),"")</f>
        <v/>
      </c>
      <c r="I1406" s="48">
        <f>IFERROR(MINUS(DIVIDE(VLOOKUP($B1406,Data!$B$3:$EZ1530,9,FALSE),VLOOKUP($B1406,Data!$B$3:$EZ1530,10,FALSE)),1),"")</f>
        <v>0.2201834862</v>
      </c>
      <c r="J1406" s="48">
        <f>IFERROR(MINUS(DIVIDE(VLOOKUP($B1406,Data!$B$3:$EZ1530,24,FALSE),VLOOKUP($B1406,Data!$B$3:$EZ1530,25,FALSE)),1),"")</f>
        <v>0.1072001976</v>
      </c>
      <c r="K1406" s="48">
        <f>IFERROR(MINUS(DIVIDE(VLOOKUP($B1406,Data!$B$3:$EZ1530,29,FALSE),VLOOKUP($B1406,Data!$B$3:$EZ1530,30,FALSE)),1),"")</f>
        <v>0.07565445026</v>
      </c>
      <c r="L1406" s="48">
        <f>IFERROR(MINUS(DIVIDE(VLOOKUP($B1406,Data!$B$3:$EZ1530,34,FALSE),VLOOKUP($B1406,Data!$B$3:$EZ1530,35,FALSE)),1),"")</f>
        <v>0.2144624691</v>
      </c>
      <c r="M1406" s="48">
        <f>IFERROR(MINUS(DIVIDE(VLOOKUP($B1406,Data!$B$3:$EZ1530,39,FALSE),VLOOKUP($B1406,Data!$B$3:$EZ1530,40,FALSE)),1),"")</f>
        <v>0.07565445026</v>
      </c>
      <c r="N1406" s="48">
        <f>IFERROR(MINUS(DIVIDE(VLOOKUP($B1406,Data!$B$3:$EZ1530,44,FALSE),VLOOKUP($B1406,Data!$B$3:$EZ1530,45,FALSE)),1),"")</f>
        <v>0.279053338</v>
      </c>
      <c r="O1406" s="50" t="str">
        <f>IFERROR(VLOOKUP($B1406,Data!$B$3:$D1530,2,FALSE),"")</f>
        <v/>
      </c>
      <c r="P1406" s="50" t="str">
        <f>IFERROR(VLOOKUP($B1406,Data!$B$3:$D1530,3,FALSE),"")</f>
        <v/>
      </c>
      <c r="Q1406" s="48" t="str">
        <f t="shared" si="2"/>
        <v/>
      </c>
      <c r="R1406" s="48"/>
      <c r="S1406" s="48"/>
      <c r="T1406" s="48"/>
      <c r="U1406" s="48"/>
      <c r="V1406" s="48"/>
      <c r="W1406" s="50"/>
      <c r="Z1406" s="19"/>
      <c r="AA1406" s="19"/>
    </row>
    <row r="1407">
      <c r="A1407" s="9">
        <f t="shared" si="1"/>
        <v>1404</v>
      </c>
      <c r="B1407" s="55" t="s">
        <v>1541</v>
      </c>
      <c r="C1407" s="48">
        <f>IFERROR(DIVIDE(VLOOKUP($B1407,Data!$B$3:$AB$1535,9,FALSE),VLOOKUP($B1407,Data!$B$3:$AB$1535,4,FALSE)),"")</f>
        <v>0.1651401869</v>
      </c>
      <c r="D1407" s="48">
        <f>IFERROR(DIVIDE(VLOOKUP($B1407,Data!$B$3:$AB$1535,24,FALSE),VLOOKUP($B1407,Data!$B$3:$AB$1535,4,FALSE)),"")</f>
        <v>0.02598130841</v>
      </c>
      <c r="E1407" s="48">
        <f>IFERROR(DIVIDE(VLOOKUP($B1407,Data!$B$3:$EZ1530,29,FALSE),VLOOKUP($B1407,Data!$B$3:$EZ1530,4,FALSE)),"")</f>
        <v>0.00214953271</v>
      </c>
      <c r="F1407" s="48">
        <f>IFERROR(DIVIDE(VLOOKUP($B1407,Data!$B$3:$EZ1530,34,FALSE),VLOOKUP($B1407,Data!$B$3:$EZ1530,4,FALSE)),"")</f>
        <v>0.07037383178</v>
      </c>
      <c r="G1407" s="48">
        <f>IFERROR(DIVIDE(VLOOKUP($B1407,Data!$B$3:$EZ1530,39,FALSE),VLOOKUP($B1407,Data!$B$3:$EZ1530,4,FALSE)),"")</f>
        <v>-0.008785046729</v>
      </c>
      <c r="H1407" s="48">
        <f>IFERROR(DIVIDE(VLOOKUP($B1407,Data!$B$3:$EZ1530,44,FALSE),VLOOKUP($B1407,Data!$B$3:$EZ1530,4,FALSE)),"")</f>
        <v>0.1130841121</v>
      </c>
      <c r="I1407" s="48">
        <f>IFERROR(MINUS(DIVIDE(VLOOKUP($B1407,Data!$B$3:$EZ1530,9,FALSE),VLOOKUP($B1407,Data!$B$3:$EZ1530,10,FALSE)),1),"")</f>
        <v>0.05662859535</v>
      </c>
      <c r="J1407" s="48" t="str">
        <f>IFERROR(MINUS(DIVIDE(VLOOKUP($B1407,Data!$B$3:$EZ1530,24,FALSE),VLOOKUP($B1407,Data!$B$3:$EZ1530,25,FALSE)),1),"")</f>
        <v/>
      </c>
      <c r="K1407" s="48">
        <f>IFERROR(MINUS(DIVIDE(VLOOKUP($B1407,Data!$B$3:$EZ1530,29,FALSE),VLOOKUP($B1407,Data!$B$3:$EZ1530,30,FALSE)),1),"")</f>
        <v>-0.9559977042</v>
      </c>
      <c r="L1407" s="48">
        <f>IFERROR(MINUS(DIVIDE(VLOOKUP($B1407,Data!$B$3:$EZ1530,34,FALSE),VLOOKUP($B1407,Data!$B$3:$EZ1530,35,FALSE)),1),"")</f>
        <v>-0.09035999034</v>
      </c>
      <c r="M1407" s="48">
        <f>IFERROR(MINUS(DIVIDE(VLOOKUP($B1407,Data!$B$3:$EZ1530,39,FALSE),VLOOKUP($B1407,Data!$B$3:$EZ1530,40,FALSE)),1),"")</f>
        <v>-1.256830601</v>
      </c>
      <c r="N1407" s="48">
        <f>IFERROR(MINUS(DIVIDE(VLOOKUP($B1407,Data!$B$3:$EZ1530,44,FALSE),VLOOKUP($B1407,Data!$B$3:$EZ1530,45,FALSE)),1),"")</f>
        <v>1.900982978</v>
      </c>
      <c r="O1407" s="50">
        <f>IFERROR(VLOOKUP($B1407,Data!$B$3:$D1530,2,FALSE),"")</f>
        <v>1290000</v>
      </c>
      <c r="P1407" s="50">
        <f>IFERROR(VLOOKUP($B1407,Data!$B$3:$D1530,3,FALSE),"")</f>
        <v>1220000</v>
      </c>
      <c r="Q1407" s="48">
        <f t="shared" si="2"/>
        <v>0.05737704918</v>
      </c>
      <c r="R1407" s="48"/>
      <c r="S1407" s="48"/>
      <c r="T1407" s="48"/>
      <c r="U1407" s="48"/>
      <c r="V1407" s="48"/>
      <c r="W1407" s="50"/>
      <c r="Z1407" s="15"/>
      <c r="AA1407" s="15"/>
    </row>
    <row r="1408">
      <c r="A1408" s="9">
        <f t="shared" si="1"/>
        <v>1405</v>
      </c>
      <c r="B1408" s="47" t="s">
        <v>1542</v>
      </c>
      <c r="C1408" s="48">
        <f>IFERROR(DIVIDE(VLOOKUP($B1408,Data!$B$3:$AB$1535,9,FALSE),VLOOKUP($B1408,Data!$B$3:$AB$1535,4,FALSE)),"")</f>
        <v>0.2221691352</v>
      </c>
      <c r="D1408" s="48">
        <f>IFERROR(DIVIDE(VLOOKUP($B1408,Data!$B$3:$AB$1535,24,FALSE),VLOOKUP($B1408,Data!$B$3:$AB$1535,4,FALSE)),"")</f>
        <v>0.02023942241</v>
      </c>
      <c r="E1408" s="48">
        <f>IFERROR(DIVIDE(VLOOKUP($B1408,Data!$B$3:$EZ1530,29,FALSE),VLOOKUP($B1408,Data!$B$3:$EZ1530,4,FALSE)),"")</f>
        <v>0.0138026225</v>
      </c>
      <c r="F1408" s="48">
        <f>IFERROR(DIVIDE(VLOOKUP($B1408,Data!$B$3:$EZ1530,34,FALSE),VLOOKUP($B1408,Data!$B$3:$EZ1530,4,FALSE)),"")</f>
        <v>0.06335934597</v>
      </c>
      <c r="G1408" s="48">
        <f>IFERROR(DIVIDE(VLOOKUP($B1408,Data!$B$3:$EZ1530,39,FALSE),VLOOKUP($B1408,Data!$B$3:$EZ1530,4,FALSE)),"")</f>
        <v>0.004817646122</v>
      </c>
      <c r="H1408" s="48">
        <f>IFERROR(DIVIDE(VLOOKUP($B1408,Data!$B$3:$EZ1530,44,FALSE),VLOOKUP($B1408,Data!$B$3:$EZ1530,4,FALSE)),"")</f>
        <v>0.113154961</v>
      </c>
      <c r="I1408" s="48">
        <f>IFERROR(MINUS(DIVIDE(VLOOKUP($B1408,Data!$B$3:$EZ1530,9,FALSE),VLOOKUP($B1408,Data!$B$3:$EZ1530,10,FALSE)),1),"")</f>
        <v>0.265975951</v>
      </c>
      <c r="J1408" s="48">
        <f>IFERROR(MINUS(DIVIDE(VLOOKUP($B1408,Data!$B$3:$EZ1530,24,FALSE),VLOOKUP($B1408,Data!$B$3:$EZ1530,25,FALSE)),1),"")</f>
        <v>-14.61607143</v>
      </c>
      <c r="K1408" s="48">
        <f>IFERROR(MINUS(DIVIDE(VLOOKUP($B1408,Data!$B$3:$EZ1530,29,FALSE),VLOOKUP($B1408,Data!$B$3:$EZ1530,30,FALSE)),1),"")</f>
        <v>-0.6025983951</v>
      </c>
      <c r="L1408" s="48">
        <f>IFERROR(MINUS(DIVIDE(VLOOKUP($B1408,Data!$B$3:$EZ1530,34,FALSE),VLOOKUP($B1408,Data!$B$3:$EZ1530,35,FALSE)),1),"")</f>
        <v>0.2888768898</v>
      </c>
      <c r="M1408" s="48">
        <f>IFERROR(MINUS(DIVIDE(VLOOKUP($B1408,Data!$B$3:$EZ1530,39,FALSE),VLOOKUP($B1408,Data!$B$3:$EZ1530,40,FALSE)),1),"")</f>
        <v>-0.6954697987</v>
      </c>
      <c r="N1408" s="48">
        <f>IFERROR(MINUS(DIVIDE(VLOOKUP($B1408,Data!$B$3:$EZ1530,44,FALSE),VLOOKUP($B1408,Data!$B$3:$EZ1530,45,FALSE)),1),"")</f>
        <v>5.629860031</v>
      </c>
      <c r="O1408" s="50">
        <f>IFERROR(VLOOKUP($B1408,Data!$B$3:$D1530,2,FALSE),"")</f>
        <v>706690</v>
      </c>
      <c r="P1408" s="50">
        <f>IFERROR(VLOOKUP($B1408,Data!$B$3:$D1530,3,FALSE),"")</f>
        <v>645560</v>
      </c>
      <c r="Q1408" s="48">
        <f t="shared" si="2"/>
        <v>0.09469297974</v>
      </c>
      <c r="R1408" s="48"/>
      <c r="S1408" s="48"/>
      <c r="T1408" s="48"/>
      <c r="U1408" s="48"/>
      <c r="V1408" s="48"/>
      <c r="W1408" s="50"/>
      <c r="Z1408" s="12"/>
      <c r="AA1408" s="12"/>
    </row>
    <row r="1409">
      <c r="A1409" s="9">
        <f t="shared" si="1"/>
        <v>1406</v>
      </c>
      <c r="B1409" s="47" t="s">
        <v>1543</v>
      </c>
      <c r="C1409" s="48">
        <f>IFERROR(DIVIDE(VLOOKUP($B1409,Data!$B$3:$AB$1535,9,FALSE),VLOOKUP($B1409,Data!$B$3:$AB$1535,4,FALSE)),"")</f>
        <v>0.1550950226</v>
      </c>
      <c r="D1409" s="48">
        <f>IFERROR(DIVIDE(VLOOKUP($B1409,Data!$B$3:$AB$1535,24,FALSE),VLOOKUP($B1409,Data!$B$3:$AB$1535,4,FALSE)),"")</f>
        <v>0.05633257919</v>
      </c>
      <c r="E1409" s="48">
        <f>IFERROR(DIVIDE(VLOOKUP($B1409,Data!$B$3:$EZ1530,29,FALSE),VLOOKUP($B1409,Data!$B$3:$EZ1530,4,FALSE)),"")</f>
        <v>0.05445022624</v>
      </c>
      <c r="F1409" s="48">
        <f>IFERROR(DIVIDE(VLOOKUP($B1409,Data!$B$3:$EZ1530,34,FALSE),VLOOKUP($B1409,Data!$B$3:$EZ1530,4,FALSE)),"")</f>
        <v>0.0708800905</v>
      </c>
      <c r="G1409" s="48">
        <f>IFERROR(DIVIDE(VLOOKUP($B1409,Data!$B$3:$EZ1530,39,FALSE),VLOOKUP($B1409,Data!$B$3:$EZ1530,4,FALSE)),"")</f>
        <v>0.03962669683</v>
      </c>
      <c r="H1409" s="48">
        <f>IFERROR(DIVIDE(VLOOKUP($B1409,Data!$B$3:$EZ1530,44,FALSE),VLOOKUP($B1409,Data!$B$3:$EZ1530,4,FALSE)),"")</f>
        <v>0.07902488688</v>
      </c>
      <c r="I1409" s="48">
        <f>IFERROR(MINUS(DIVIDE(VLOOKUP($B1409,Data!$B$3:$EZ1530,9,FALSE),VLOOKUP($B1409,Data!$B$3:$EZ1530,10,FALSE)),1),"")</f>
        <v>0.1562347147</v>
      </c>
      <c r="J1409" s="48">
        <f>IFERROR(MINUS(DIVIDE(VLOOKUP($B1409,Data!$B$3:$EZ1530,24,FALSE),VLOOKUP($B1409,Data!$B$3:$EZ1530,25,FALSE)),1),"")</f>
        <v>0.252653821</v>
      </c>
      <c r="K1409" s="48">
        <f>IFERROR(MINUS(DIVIDE(VLOOKUP($B1409,Data!$B$3:$EZ1530,29,FALSE),VLOOKUP($B1409,Data!$B$3:$EZ1530,30,FALSE)),1),"")</f>
        <v>0.2164265858</v>
      </c>
      <c r="L1409" s="48">
        <f>IFERROR(MINUS(DIVIDE(VLOOKUP($B1409,Data!$B$3:$EZ1530,34,FALSE),VLOOKUP($B1409,Data!$B$3:$EZ1530,35,FALSE)),1),"")</f>
        <v>0.1957633588</v>
      </c>
      <c r="M1409" s="48">
        <f>IFERROR(MINUS(DIVIDE(VLOOKUP($B1409,Data!$B$3:$EZ1530,39,FALSE),VLOOKUP($B1409,Data!$B$3:$EZ1530,40,FALSE)),1),"")</f>
        <v>0.2062672176</v>
      </c>
      <c r="N1409" s="48">
        <f>IFERROR(MINUS(DIVIDE(VLOOKUP($B1409,Data!$B$3:$EZ1530,44,FALSE),VLOOKUP($B1409,Data!$B$3:$EZ1530,45,FALSE)),1),"")</f>
        <v>1.993315623</v>
      </c>
      <c r="O1409" s="50">
        <f>IFERROR(VLOOKUP($B1409,Data!$B$3:$D1530,2,FALSE),"")</f>
        <v>4680000</v>
      </c>
      <c r="P1409" s="50">
        <f>IFERROR(VLOOKUP($B1409,Data!$B$3:$D1530,3,FALSE),"")</f>
        <v>4520000</v>
      </c>
      <c r="Q1409" s="48">
        <f t="shared" si="2"/>
        <v>0.03539823009</v>
      </c>
      <c r="R1409" s="48"/>
      <c r="S1409" s="48"/>
      <c r="T1409" s="48"/>
      <c r="U1409" s="48"/>
      <c r="V1409" s="48"/>
      <c r="W1409" s="50"/>
      <c r="Z1409" s="36"/>
      <c r="AA1409" s="36"/>
    </row>
    <row r="1410">
      <c r="A1410" s="9">
        <f t="shared" si="1"/>
        <v>1407</v>
      </c>
      <c r="B1410" s="47" t="s">
        <v>1544</v>
      </c>
      <c r="C1410" s="48">
        <f>IFERROR(DIVIDE(VLOOKUP($B1410,Data!$B$3:$AB$1535,9,FALSE),VLOOKUP($B1410,Data!$B$3:$AB$1535,4,FALSE)),"")</f>
        <v>0.1365653266</v>
      </c>
      <c r="D1410" s="48">
        <f>IFERROR(DIVIDE(VLOOKUP($B1410,Data!$B$3:$AB$1535,24,FALSE),VLOOKUP($B1410,Data!$B$3:$AB$1535,4,FALSE)),"")</f>
        <v>0</v>
      </c>
      <c r="E1410" s="48">
        <f>IFERROR(DIVIDE(VLOOKUP($B1410,Data!$B$3:$EZ1530,29,FALSE),VLOOKUP($B1410,Data!$B$3:$EZ1530,4,FALSE)),"")</f>
        <v>0.09500502513</v>
      </c>
      <c r="F1410" s="48">
        <f>IFERROR(DIVIDE(VLOOKUP($B1410,Data!$B$3:$EZ1530,34,FALSE),VLOOKUP($B1410,Data!$B$3:$EZ1530,4,FALSE)),"")</f>
        <v>0.2964824121</v>
      </c>
      <c r="G1410" s="48">
        <f>IFERROR(DIVIDE(VLOOKUP($B1410,Data!$B$3:$EZ1530,39,FALSE),VLOOKUP($B1410,Data!$B$3:$EZ1530,4,FALSE)),"")</f>
        <v>0.1110678392</v>
      </c>
      <c r="H1410" s="48">
        <f>IFERROR(DIVIDE(VLOOKUP($B1410,Data!$B$3:$EZ1530,44,FALSE),VLOOKUP($B1410,Data!$B$3:$EZ1530,4,FALSE)),"")</f>
        <v>0.2713567839</v>
      </c>
      <c r="I1410" s="48">
        <f>IFERROR(MINUS(DIVIDE(VLOOKUP($B1410,Data!$B$3:$EZ1530,9,FALSE),VLOOKUP($B1410,Data!$B$3:$EZ1530,10,FALSE)),1),"")</f>
        <v>-0.1268874896</v>
      </c>
      <c r="J1410" s="48">
        <f>IFERROR(MINUS(DIVIDE(VLOOKUP($B1410,Data!$B$3:$EZ1530,24,FALSE),VLOOKUP($B1410,Data!$B$3:$EZ1530,25,FALSE)),1),"")</f>
        <v>-1</v>
      </c>
      <c r="K1410" s="48">
        <f>IFERROR(MINUS(DIVIDE(VLOOKUP($B1410,Data!$B$3:$EZ1530,29,FALSE),VLOOKUP($B1410,Data!$B$3:$EZ1530,30,FALSE)),1),"")</f>
        <v>-0.2081754026</v>
      </c>
      <c r="L1410" s="48">
        <f>IFERROR(MINUS(DIVIDE(VLOOKUP($B1410,Data!$B$3:$EZ1530,34,FALSE),VLOOKUP($B1410,Data!$B$3:$EZ1530,35,FALSE)),1),"")</f>
        <v>0.008547008547</v>
      </c>
      <c r="M1410" s="48">
        <f>IFERROR(MINUS(DIVIDE(VLOOKUP($B1410,Data!$B$3:$EZ1530,39,FALSE),VLOOKUP($B1410,Data!$B$3:$EZ1530,40,FALSE)),1),"")</f>
        <v>0.1919592299</v>
      </c>
      <c r="N1410" s="48">
        <f>IFERROR(MINUS(DIVIDE(VLOOKUP($B1410,Data!$B$3:$EZ1530,44,FALSE),VLOOKUP($B1410,Data!$B$3:$EZ1530,45,FALSE)),1),"")</f>
        <v>0.1070337645</v>
      </c>
      <c r="O1410" s="50">
        <f>IFERROR(VLOOKUP($B1410,Data!$B$3:$D1530,2,FALSE),"")</f>
        <v>3680000</v>
      </c>
      <c r="P1410" s="50">
        <f>IFERROR(VLOOKUP($B1410,Data!$B$3:$D1530,3,FALSE),"")</f>
        <v>3580000</v>
      </c>
      <c r="Q1410" s="48">
        <f t="shared" si="2"/>
        <v>0.02793296089</v>
      </c>
      <c r="R1410" s="48"/>
      <c r="S1410" s="48"/>
      <c r="T1410" s="48"/>
      <c r="U1410" s="48"/>
      <c r="V1410" s="48"/>
      <c r="W1410" s="50"/>
      <c r="Z1410" s="15"/>
      <c r="AA1410" s="15"/>
    </row>
    <row r="1411">
      <c r="A1411" s="9">
        <f t="shared" si="1"/>
        <v>1408</v>
      </c>
      <c r="B1411" s="47" t="s">
        <v>1545</v>
      </c>
      <c r="C1411" s="48">
        <f>IFERROR(DIVIDE(VLOOKUP($B1411,Data!$B$3:$AB$1535,9,FALSE),VLOOKUP($B1411,Data!$B$3:$AB$1535,4,FALSE)),"")</f>
        <v>0.1151142355</v>
      </c>
      <c r="D1411" s="48">
        <f>IFERROR(DIVIDE(VLOOKUP($B1411,Data!$B$3:$AB$1535,24,FALSE),VLOOKUP($B1411,Data!$B$3:$AB$1535,4,FALSE)),"")</f>
        <v>0.1072056239</v>
      </c>
      <c r="E1411" s="48">
        <f>IFERROR(DIVIDE(VLOOKUP($B1411,Data!$B$3:$EZ1530,29,FALSE),VLOOKUP($B1411,Data!$B$3:$EZ1530,4,FALSE)),"")</f>
        <v>0.09402460457</v>
      </c>
      <c r="F1411" s="48">
        <f>IFERROR(DIVIDE(VLOOKUP($B1411,Data!$B$3:$EZ1530,34,FALSE),VLOOKUP($B1411,Data!$B$3:$EZ1530,4,FALSE)),"")</f>
        <v>0.158172232</v>
      </c>
      <c r="G1411" s="48">
        <f>IFERROR(DIVIDE(VLOOKUP($B1411,Data!$B$3:$EZ1530,39,FALSE),VLOOKUP($B1411,Data!$B$3:$EZ1530,4,FALSE)),"")</f>
        <v>0.07142618629</v>
      </c>
      <c r="H1411" s="48">
        <f>IFERROR(DIVIDE(VLOOKUP($B1411,Data!$B$3:$EZ1530,44,FALSE),VLOOKUP($B1411,Data!$B$3:$EZ1530,4,FALSE)),"")</f>
        <v>0.1265377856</v>
      </c>
      <c r="I1411" s="48">
        <f>IFERROR(MINUS(DIVIDE(VLOOKUP($B1411,Data!$B$3:$EZ1530,9,FALSE),VLOOKUP($B1411,Data!$B$3:$EZ1530,10,FALSE)),1),"")</f>
        <v>0.06504065041</v>
      </c>
      <c r="J1411" s="48">
        <f>IFERROR(MINUS(DIVIDE(VLOOKUP($B1411,Data!$B$3:$EZ1530,24,FALSE),VLOOKUP($B1411,Data!$B$3:$EZ1530,25,FALSE)),1),"")</f>
        <v>0.03389830508</v>
      </c>
      <c r="K1411" s="48">
        <f>IFERROR(MINUS(DIVIDE(VLOOKUP($B1411,Data!$B$3:$EZ1530,29,FALSE),VLOOKUP($B1411,Data!$B$3:$EZ1530,30,FALSE)),1),"")</f>
        <v>0.03883495146</v>
      </c>
      <c r="L1411" s="48">
        <f>IFERROR(MINUS(DIVIDE(VLOOKUP($B1411,Data!$B$3:$EZ1530,34,FALSE),VLOOKUP($B1411,Data!$B$3:$EZ1530,35,FALSE)),1),"")</f>
        <v>0.07142857143</v>
      </c>
      <c r="M1411" s="48">
        <f>IFERROR(MINUS(DIVIDE(VLOOKUP($B1411,Data!$B$3:$EZ1530,39,FALSE),VLOOKUP($B1411,Data!$B$3:$EZ1530,40,FALSE)),1),"")</f>
        <v>0.04395011623</v>
      </c>
      <c r="N1411" s="48">
        <f>IFERROR(MINUS(DIVIDE(VLOOKUP($B1411,Data!$B$3:$EZ1530,44,FALSE),VLOOKUP($B1411,Data!$B$3:$EZ1530,45,FALSE)),1),"")</f>
        <v>0.07462686567</v>
      </c>
      <c r="O1411" s="50">
        <f>IFERROR(VLOOKUP($B1411,Data!$B$3:$D1530,2,FALSE),"")</f>
        <v>12100000</v>
      </c>
      <c r="P1411" s="50">
        <f>IFERROR(VLOOKUP($B1411,Data!$B$3:$D1530,3,FALSE),"")</f>
        <v>10900000</v>
      </c>
      <c r="Q1411" s="48">
        <f t="shared" si="2"/>
        <v>0.1100917431</v>
      </c>
      <c r="R1411" s="48"/>
      <c r="S1411" s="48"/>
      <c r="T1411" s="48"/>
      <c r="U1411" s="48"/>
      <c r="V1411" s="48"/>
      <c r="W1411" s="50"/>
      <c r="Z1411" s="12"/>
      <c r="AA1411" s="12"/>
    </row>
    <row r="1412">
      <c r="A1412" s="9">
        <f t="shared" si="1"/>
        <v>1409</v>
      </c>
      <c r="B1412" s="47" t="s">
        <v>1546</v>
      </c>
      <c r="C1412" s="48">
        <f>IFERROR(DIVIDE(VLOOKUP($B1412,Data!$B$3:$AB$1535,9,FALSE),VLOOKUP($B1412,Data!$B$3:$AB$1535,4,FALSE)),"")</f>
        <v>0.4401315789</v>
      </c>
      <c r="D1412" s="48">
        <f>IFERROR(DIVIDE(VLOOKUP($B1412,Data!$B$3:$AB$1535,24,FALSE),VLOOKUP($B1412,Data!$B$3:$AB$1535,4,FALSE)),"")</f>
        <v>0.1651315789</v>
      </c>
      <c r="E1412" s="48">
        <f>IFERROR(DIVIDE(VLOOKUP($B1412,Data!$B$3:$EZ1530,29,FALSE),VLOOKUP($B1412,Data!$B$3:$EZ1530,4,FALSE)),"")</f>
        <v>0.1561403509</v>
      </c>
      <c r="F1412" s="48">
        <f>IFERROR(DIVIDE(VLOOKUP($B1412,Data!$B$3:$EZ1530,34,FALSE),VLOOKUP($B1412,Data!$B$3:$EZ1530,4,FALSE)),"")</f>
        <v>0.2291666667</v>
      </c>
      <c r="G1412" s="48">
        <f>IFERROR(DIVIDE(VLOOKUP($B1412,Data!$B$3:$EZ1530,39,FALSE),VLOOKUP($B1412,Data!$B$3:$EZ1530,4,FALSE)),"")</f>
        <v>0.1083333333</v>
      </c>
      <c r="H1412" s="48">
        <f>IFERROR(DIVIDE(VLOOKUP($B1412,Data!$B$3:$EZ1530,44,FALSE),VLOOKUP($B1412,Data!$B$3:$EZ1530,4,FALSE)),"")</f>
        <v>0.1486842105</v>
      </c>
      <c r="I1412" s="48">
        <f>IFERROR(MINUS(DIVIDE(VLOOKUP($B1412,Data!$B$3:$EZ1530,9,FALSE),VLOOKUP($B1412,Data!$B$3:$EZ1530,10,FALSE)),1),"")</f>
        <v>0.01826484018</v>
      </c>
      <c r="J1412" s="48" t="str">
        <f>IFERROR(MINUS(DIVIDE(VLOOKUP($B1412,Data!$B$3:$EZ1530,24,FALSE),VLOOKUP($B1412,Data!$B$3:$EZ1530,25,FALSE)),1),"")</f>
        <v/>
      </c>
      <c r="K1412" s="48">
        <f>IFERROR(MINUS(DIVIDE(VLOOKUP($B1412,Data!$B$3:$EZ1530,29,FALSE),VLOOKUP($B1412,Data!$B$3:$EZ1530,30,FALSE)),1),"")</f>
        <v>-0.3407407407</v>
      </c>
      <c r="L1412" s="48" t="str">
        <f>IFERROR(MINUS(DIVIDE(VLOOKUP($B1412,Data!$B$3:$EZ1530,34,FALSE),VLOOKUP($B1412,Data!$B$3:$EZ1530,35,FALSE)),1),"")</f>
        <v/>
      </c>
      <c r="M1412" s="48" t="str">
        <f>IFERROR(MINUS(DIVIDE(VLOOKUP($B1412,Data!$B$3:$EZ1530,39,FALSE),VLOOKUP($B1412,Data!$B$3:$EZ1530,40,FALSE)),1),"")</f>
        <v/>
      </c>
      <c r="N1412" s="48" t="str">
        <f>IFERROR(MINUS(DIVIDE(VLOOKUP($B1412,Data!$B$3:$EZ1530,44,FALSE),VLOOKUP($B1412,Data!$B$3:$EZ1530,45,FALSE)),1),"")</f>
        <v/>
      </c>
      <c r="O1412" s="50" t="str">
        <f>IFERROR(VLOOKUP($B1412,Data!$B$3:$D1530,2,FALSE),"")</f>
        <v/>
      </c>
      <c r="P1412" s="50" t="str">
        <f>IFERROR(VLOOKUP($B1412,Data!$B$3:$D1530,3,FALSE),"")</f>
        <v/>
      </c>
      <c r="Q1412" s="48" t="str">
        <f t="shared" si="2"/>
        <v/>
      </c>
      <c r="R1412" s="48"/>
      <c r="S1412" s="48"/>
      <c r="T1412" s="48"/>
      <c r="U1412" s="48"/>
      <c r="V1412" s="48"/>
      <c r="W1412" s="50"/>
      <c r="Z1412" s="11"/>
      <c r="AA1412" s="11"/>
    </row>
    <row r="1413">
      <c r="A1413" s="9">
        <f t="shared" si="1"/>
        <v>1410</v>
      </c>
      <c r="B1413" s="47" t="s">
        <v>1547</v>
      </c>
      <c r="C1413" s="48">
        <f>IFERROR(DIVIDE(VLOOKUP($B1413,Data!$B$3:$AB$1535,9,FALSE),VLOOKUP($B1413,Data!$B$3:$AB$1535,4,FALSE)),"")</f>
        <v>0.07276821192</v>
      </c>
      <c r="D1413" s="48">
        <f>IFERROR(DIVIDE(VLOOKUP($B1413,Data!$B$3:$AB$1535,24,FALSE),VLOOKUP($B1413,Data!$B$3:$AB$1535,4,FALSE)),"")</f>
        <v>0.04411258278</v>
      </c>
      <c r="E1413" s="48">
        <f>IFERROR(DIVIDE(VLOOKUP($B1413,Data!$B$3:$EZ1530,29,FALSE),VLOOKUP($B1413,Data!$B$3:$EZ1530,4,FALSE)),"")</f>
        <v>0.0332384106</v>
      </c>
      <c r="F1413" s="48">
        <f>IFERROR(DIVIDE(VLOOKUP($B1413,Data!$B$3:$EZ1530,34,FALSE),VLOOKUP($B1413,Data!$B$3:$EZ1530,4,FALSE)),"")</f>
        <v>0.1329403974</v>
      </c>
      <c r="G1413" s="48">
        <f>IFERROR(DIVIDE(VLOOKUP($B1413,Data!$B$3:$EZ1530,39,FALSE),VLOOKUP($B1413,Data!$B$3:$EZ1530,4,FALSE)),"")</f>
        <v>0.02489403974</v>
      </c>
      <c r="H1413" s="48">
        <f>IFERROR(DIVIDE(VLOOKUP($B1413,Data!$B$3:$EZ1530,44,FALSE),VLOOKUP($B1413,Data!$B$3:$EZ1530,4,FALSE)),"")</f>
        <v>0.1040397351</v>
      </c>
      <c r="I1413" s="48">
        <f>IFERROR(MINUS(DIVIDE(VLOOKUP($B1413,Data!$B$3:$EZ1530,9,FALSE),VLOOKUP($B1413,Data!$B$3:$EZ1530,10,FALSE)),1),"")</f>
        <v>-0.2551518438</v>
      </c>
      <c r="J1413" s="48">
        <f>IFERROR(MINUS(DIVIDE(VLOOKUP($B1413,Data!$B$3:$EZ1530,24,FALSE),VLOOKUP($B1413,Data!$B$3:$EZ1530,25,FALSE)),1),"")</f>
        <v>-0.1972764522</v>
      </c>
      <c r="K1413" s="48">
        <f>IFERROR(MINUS(DIVIDE(VLOOKUP($B1413,Data!$B$3:$EZ1530,29,FALSE),VLOOKUP($B1413,Data!$B$3:$EZ1530,30,FALSE)),1),"")</f>
        <v>-0.2766969304</v>
      </c>
      <c r="L1413" s="48">
        <f>IFERROR(MINUS(DIVIDE(VLOOKUP($B1413,Data!$B$3:$EZ1530,34,FALSE),VLOOKUP($B1413,Data!$B$3:$EZ1530,35,FALSE)),1),"")</f>
        <v>0.4367306041</v>
      </c>
      <c r="M1413" s="48">
        <f>IFERROR(MINUS(DIVIDE(VLOOKUP($B1413,Data!$B$3:$EZ1530,39,FALSE),VLOOKUP($B1413,Data!$B$3:$EZ1530,40,FALSE)),1),"")</f>
        <v>-0.2796090456</v>
      </c>
      <c r="N1413" s="48">
        <f>IFERROR(MINUS(DIVIDE(VLOOKUP($B1413,Data!$B$3:$EZ1530,44,FALSE),VLOOKUP($B1413,Data!$B$3:$EZ1530,45,FALSE)),1),"")</f>
        <v>0.655426765</v>
      </c>
      <c r="O1413" s="50">
        <f>IFERROR(VLOOKUP($B1413,Data!$B$3:$D1530,2,FALSE),"")</f>
        <v>1510000</v>
      </c>
      <c r="P1413" s="50">
        <f>IFERROR(VLOOKUP($B1413,Data!$B$3:$D1530,3,FALSE),"")</f>
        <v>1330000</v>
      </c>
      <c r="Q1413" s="48">
        <f t="shared" si="2"/>
        <v>0.1353383459</v>
      </c>
      <c r="R1413" s="48"/>
      <c r="S1413" s="48"/>
      <c r="T1413" s="48"/>
      <c r="U1413" s="48"/>
      <c r="V1413" s="48"/>
      <c r="W1413" s="50"/>
      <c r="Z1413" s="11"/>
      <c r="AA1413" s="11"/>
    </row>
    <row r="1414">
      <c r="A1414" s="9">
        <f t="shared" si="1"/>
        <v>1411</v>
      </c>
      <c r="B1414" s="47" t="s">
        <v>1548</v>
      </c>
      <c r="C1414" s="48">
        <f>IFERROR(DIVIDE(VLOOKUP($B1414,Data!$B$3:$AB$1535,9,FALSE),VLOOKUP($B1414,Data!$B$3:$AB$1535,4,FALSE)),"")</f>
        <v>0.3621621622</v>
      </c>
      <c r="D1414" s="48">
        <f>IFERROR(DIVIDE(VLOOKUP($B1414,Data!$B$3:$AB$1535,24,FALSE),VLOOKUP($B1414,Data!$B$3:$AB$1535,4,FALSE)),"")</f>
        <v>0</v>
      </c>
      <c r="E1414" s="48">
        <f>IFERROR(DIVIDE(VLOOKUP($B1414,Data!$B$3:$EZ1530,29,FALSE),VLOOKUP($B1414,Data!$B$3:$EZ1530,4,FALSE)),"")</f>
        <v>0.1224527027</v>
      </c>
      <c r="F1414" s="48">
        <f>IFERROR(DIVIDE(VLOOKUP($B1414,Data!$B$3:$EZ1530,34,FALSE),VLOOKUP($B1414,Data!$B$3:$EZ1530,4,FALSE)),"")</f>
        <v>0.1648648649</v>
      </c>
      <c r="G1414" s="48">
        <f>IFERROR(DIVIDE(VLOOKUP($B1414,Data!$B$3:$EZ1530,39,FALSE),VLOOKUP($B1414,Data!$B$3:$EZ1530,4,FALSE)),"")</f>
        <v>0.09539864865</v>
      </c>
      <c r="H1414" s="48">
        <f>IFERROR(DIVIDE(VLOOKUP($B1414,Data!$B$3:$EZ1530,44,FALSE),VLOOKUP($B1414,Data!$B$3:$EZ1530,4,FALSE)),"")</f>
        <v>0.1837837838</v>
      </c>
      <c r="I1414" s="48">
        <f>IFERROR(MINUS(DIVIDE(VLOOKUP($B1414,Data!$B$3:$EZ1530,9,FALSE),VLOOKUP($B1414,Data!$B$3:$EZ1530,10,FALSE)),1),"")</f>
        <v>0.112033195</v>
      </c>
      <c r="J1414" s="48" t="str">
        <f>IFERROR(MINUS(DIVIDE(VLOOKUP($B1414,Data!$B$3:$EZ1530,24,FALSE),VLOOKUP($B1414,Data!$B$3:$EZ1530,25,FALSE)),1),"")</f>
        <v/>
      </c>
      <c r="K1414" s="48">
        <f>IFERROR(MINUS(DIVIDE(VLOOKUP($B1414,Data!$B$3:$EZ1530,29,FALSE),VLOOKUP($B1414,Data!$B$3:$EZ1530,30,FALSE)),1),"")</f>
        <v>0.05471750821</v>
      </c>
      <c r="L1414" s="48">
        <f>IFERROR(MINUS(DIVIDE(VLOOKUP($B1414,Data!$B$3:$EZ1530,34,FALSE),VLOOKUP($B1414,Data!$B$3:$EZ1530,35,FALSE)),1),"")</f>
        <v>0.06086956522</v>
      </c>
      <c r="M1414" s="48">
        <f>IFERROR(MINUS(DIVIDE(VLOOKUP($B1414,Data!$B$3:$EZ1530,39,FALSE),VLOOKUP($B1414,Data!$B$3:$EZ1530,40,FALSE)),1),"")</f>
        <v>0.07196003401</v>
      </c>
      <c r="N1414" s="48">
        <f>IFERROR(MINUS(DIVIDE(VLOOKUP($B1414,Data!$B$3:$EZ1530,44,FALSE),VLOOKUP($B1414,Data!$B$3:$EZ1530,45,FALSE)),1),"")</f>
        <v>0.4224007196</v>
      </c>
      <c r="O1414" s="50">
        <f>IFERROR(VLOOKUP($B1414,Data!$B$3:$D1530,2,FALSE),"")</f>
        <v>7700000</v>
      </c>
      <c r="P1414" s="50">
        <f>IFERROR(VLOOKUP($B1414,Data!$B$3:$D1530,3,FALSE),"")</f>
        <v>6450000</v>
      </c>
      <c r="Q1414" s="48">
        <f t="shared" si="2"/>
        <v>0.1937984496</v>
      </c>
      <c r="R1414" s="48"/>
      <c r="S1414" s="48"/>
      <c r="T1414" s="48"/>
      <c r="U1414" s="48"/>
      <c r="V1414" s="48"/>
      <c r="W1414" s="50"/>
      <c r="Z1414" s="15"/>
      <c r="AA1414" s="15"/>
    </row>
    <row r="1415">
      <c r="A1415" s="9">
        <f t="shared" si="1"/>
        <v>1412</v>
      </c>
      <c r="B1415" s="47" t="s">
        <v>1549</v>
      </c>
      <c r="C1415" s="48">
        <f>IFERROR(DIVIDE(VLOOKUP($B1415,Data!$B$3:$AB$1535,9,FALSE),VLOOKUP($B1415,Data!$B$3:$AB$1535,4,FALSE)),"")</f>
        <v>0.1221322537</v>
      </c>
      <c r="D1415" s="48">
        <f>IFERROR(DIVIDE(VLOOKUP($B1415,Data!$B$3:$AB$1535,24,FALSE),VLOOKUP($B1415,Data!$B$3:$AB$1535,4,FALSE)),"")</f>
        <v>0.004517476383</v>
      </c>
      <c r="E1415" s="48">
        <f>IFERROR(DIVIDE(VLOOKUP($B1415,Data!$B$3:$EZ1530,29,FALSE),VLOOKUP($B1415,Data!$B$3:$EZ1530,4,FALSE)),"")</f>
        <v>0.03097165992</v>
      </c>
      <c r="F1415" s="48">
        <f>IFERROR(DIVIDE(VLOOKUP($B1415,Data!$B$3:$EZ1530,34,FALSE),VLOOKUP($B1415,Data!$B$3:$EZ1530,4,FALSE)),"")</f>
        <v>0.3281376518</v>
      </c>
      <c r="G1415" s="48">
        <f>IFERROR(DIVIDE(VLOOKUP($B1415,Data!$B$3:$EZ1530,39,FALSE),VLOOKUP($B1415,Data!$B$3:$EZ1530,4,FALSE)),"")</f>
        <v>0.06551956815</v>
      </c>
      <c r="H1415" s="48">
        <f>IFERROR(DIVIDE(VLOOKUP($B1415,Data!$B$3:$EZ1530,44,FALSE),VLOOKUP($B1415,Data!$B$3:$EZ1530,4,FALSE)),"")</f>
        <v>0.3744939271</v>
      </c>
      <c r="I1415" s="48">
        <f>IFERROR(MINUS(DIVIDE(VLOOKUP($B1415,Data!$B$3:$EZ1530,9,FALSE),VLOOKUP($B1415,Data!$B$3:$EZ1530,10,FALSE)),1),"")</f>
        <v>-0.04384574749</v>
      </c>
      <c r="J1415" s="48">
        <f>IFERROR(MINUS(DIVIDE(VLOOKUP($B1415,Data!$B$3:$EZ1530,24,FALSE),VLOOKUP($B1415,Data!$B$3:$EZ1530,25,FALSE)),1),"")</f>
        <v>-2.254642904</v>
      </c>
      <c r="K1415" s="48">
        <f>IFERROR(MINUS(DIVIDE(VLOOKUP($B1415,Data!$B$3:$EZ1530,29,FALSE),VLOOKUP($B1415,Data!$B$3:$EZ1530,30,FALSE)),1),"")</f>
        <v>0.6105263158</v>
      </c>
      <c r="L1415" s="48">
        <f>IFERROR(MINUS(DIVIDE(VLOOKUP($B1415,Data!$B$3:$EZ1530,34,FALSE),VLOOKUP($B1415,Data!$B$3:$EZ1530,35,FALSE)),1),"")</f>
        <v>-0.0747716895</v>
      </c>
      <c r="M1415" s="48">
        <f>IFERROR(MINUS(DIVIDE(VLOOKUP($B1415,Data!$B$3:$EZ1530,39,FALSE),VLOOKUP($B1415,Data!$B$3:$EZ1530,40,FALSE)),1),"")</f>
        <v>0.3734087694</v>
      </c>
      <c r="N1415" s="48">
        <f>IFERROR(MINUS(DIVIDE(VLOOKUP($B1415,Data!$B$3:$EZ1530,44,FALSE),VLOOKUP($B1415,Data!$B$3:$EZ1530,45,FALSE)),1),"")</f>
        <v>0.1066799601</v>
      </c>
      <c r="O1415" s="50">
        <f>IFERROR(VLOOKUP($B1415,Data!$B$3:$D1530,2,FALSE),"")</f>
        <v>5240000</v>
      </c>
      <c r="P1415" s="50">
        <f>IFERROR(VLOOKUP($B1415,Data!$B$3:$D1530,3,FALSE),"")</f>
        <v>5380000</v>
      </c>
      <c r="Q1415" s="48">
        <f t="shared" si="2"/>
        <v>-0.02602230483</v>
      </c>
      <c r="R1415" s="48"/>
      <c r="S1415" s="48"/>
      <c r="T1415" s="48"/>
      <c r="U1415" s="48"/>
      <c r="V1415" s="48"/>
      <c r="W1415" s="50"/>
      <c r="Z1415" s="11"/>
      <c r="AA1415" s="11"/>
    </row>
    <row r="1416">
      <c r="A1416" s="9">
        <f t="shared" si="1"/>
        <v>1413</v>
      </c>
      <c r="B1416" s="47" t="s">
        <v>1550</v>
      </c>
      <c r="C1416" s="48">
        <f>IFERROR(DIVIDE(VLOOKUP($B1416,Data!$B$3:$AB$1535,9,FALSE),VLOOKUP($B1416,Data!$B$3:$AB$1535,4,FALSE)),"")</f>
        <v>0</v>
      </c>
      <c r="D1416" s="48">
        <f>IFERROR(DIVIDE(VLOOKUP($B1416,Data!$B$3:$AB$1535,24,FALSE),VLOOKUP($B1416,Data!$B$3:$AB$1535,4,FALSE)),"")</f>
        <v>0</v>
      </c>
      <c r="E1416" s="48">
        <f>IFERROR(DIVIDE(VLOOKUP($B1416,Data!$B$3:$EZ1530,29,FALSE),VLOOKUP($B1416,Data!$B$3:$EZ1530,4,FALSE)),"")</f>
        <v>-1.414666667</v>
      </c>
      <c r="F1416" s="48">
        <f>IFERROR(DIVIDE(VLOOKUP($B1416,Data!$B$3:$EZ1530,34,FALSE),VLOOKUP($B1416,Data!$B$3:$EZ1530,4,FALSE)),"")</f>
        <v>-1.372888889</v>
      </c>
      <c r="G1416" s="48">
        <f>IFERROR(DIVIDE(VLOOKUP($B1416,Data!$B$3:$EZ1530,39,FALSE),VLOOKUP($B1416,Data!$B$3:$EZ1530,4,FALSE)),"")</f>
        <v>-1.414666667</v>
      </c>
      <c r="H1416" s="48">
        <f>IFERROR(DIVIDE(VLOOKUP($B1416,Data!$B$3:$EZ1530,44,FALSE),VLOOKUP($B1416,Data!$B$3:$EZ1530,4,FALSE)),"")</f>
        <v>-1.779555556</v>
      </c>
      <c r="I1416" s="48" t="str">
        <f>IFERROR(MINUS(DIVIDE(VLOOKUP($B1416,Data!$B$3:$EZ1530,9,FALSE),VLOOKUP($B1416,Data!$B$3:$EZ1530,10,FALSE)),1),"")</f>
        <v/>
      </c>
      <c r="J1416" s="48" t="str">
        <f>IFERROR(MINUS(DIVIDE(VLOOKUP($B1416,Data!$B$3:$EZ1530,24,FALSE),VLOOKUP($B1416,Data!$B$3:$EZ1530,25,FALSE)),1),"")</f>
        <v/>
      </c>
      <c r="K1416" s="48">
        <f>IFERROR(MINUS(DIVIDE(VLOOKUP($B1416,Data!$B$3:$EZ1530,29,FALSE),VLOOKUP($B1416,Data!$B$3:$EZ1530,30,FALSE)),1),"")</f>
        <v>-0.07819287576</v>
      </c>
      <c r="L1416" s="48">
        <f>IFERROR(MINUS(DIVIDE(VLOOKUP($B1416,Data!$B$3:$EZ1530,34,FALSE),VLOOKUP($B1416,Data!$B$3:$EZ1530,35,FALSE)),1),"")</f>
        <v>-0.1092848904</v>
      </c>
      <c r="M1416" s="48">
        <f>IFERROR(MINUS(DIVIDE(VLOOKUP($B1416,Data!$B$3:$EZ1530,39,FALSE),VLOOKUP($B1416,Data!$B$3:$EZ1530,40,FALSE)),1),"")</f>
        <v>-0.07872648336</v>
      </c>
      <c r="N1416" s="48">
        <f>IFERROR(MINUS(DIVIDE(VLOOKUP($B1416,Data!$B$3:$EZ1530,44,FALSE),VLOOKUP($B1416,Data!$B$3:$EZ1530,45,FALSE)),1),"")</f>
        <v>0.2323791936</v>
      </c>
      <c r="O1416" s="50" t="str">
        <f>IFERROR(VLOOKUP($B1416,Data!$B$3:$D1530,2,FALSE),"")</f>
        <v/>
      </c>
      <c r="P1416" s="50">
        <f>IFERROR(VLOOKUP($B1416,Data!$B$3:$D1530,3,FALSE),"")</f>
        <v>7560</v>
      </c>
      <c r="Q1416" s="48">
        <f t="shared" si="2"/>
        <v>-1</v>
      </c>
      <c r="R1416" s="48"/>
      <c r="S1416" s="48"/>
      <c r="T1416" s="48"/>
      <c r="U1416" s="48"/>
      <c r="V1416" s="48"/>
      <c r="W1416" s="50"/>
      <c r="Z1416" s="15"/>
      <c r="AA1416" s="15"/>
    </row>
    <row r="1417">
      <c r="A1417" s="9">
        <f t="shared" si="1"/>
        <v>1414</v>
      </c>
      <c r="B1417" s="47" t="s">
        <v>1551</v>
      </c>
      <c r="C1417" s="48">
        <f>IFERROR(DIVIDE(VLOOKUP($B1417,Data!$B$3:$AB$1535,9,FALSE),VLOOKUP($B1417,Data!$B$3:$AB$1535,4,FALSE)),"")</f>
        <v>0.4401692959</v>
      </c>
      <c r="D1417" s="48">
        <f>IFERROR(DIVIDE(VLOOKUP($B1417,Data!$B$3:$AB$1535,24,FALSE),VLOOKUP($B1417,Data!$B$3:$AB$1535,4,FALSE)),"")</f>
        <v>0.165063486</v>
      </c>
      <c r="E1417" s="48">
        <f>IFERROR(DIVIDE(VLOOKUP($B1417,Data!$B$3:$EZ1530,29,FALSE),VLOOKUP($B1417,Data!$B$3:$EZ1530,4,FALSE)),"")</f>
        <v>0.1562139284</v>
      </c>
      <c r="F1417" s="48">
        <f>IFERROR(DIVIDE(VLOOKUP($B1417,Data!$B$3:$EZ1530,34,FALSE),VLOOKUP($B1417,Data!$B$3:$EZ1530,4,FALSE)),"")</f>
        <v>0.2291265871</v>
      </c>
      <c r="G1417" s="48">
        <f>IFERROR(DIVIDE(VLOOKUP($B1417,Data!$B$3:$EZ1530,39,FALSE),VLOOKUP($B1417,Data!$B$3:$EZ1530,4,FALSE)),"")</f>
        <v>0.1083108888</v>
      </c>
      <c r="H1417" s="48">
        <f>IFERROR(DIVIDE(VLOOKUP($B1417,Data!$B$3:$EZ1530,44,FALSE),VLOOKUP($B1417,Data!$B$3:$EZ1530,4,FALSE)),"")</f>
        <v>0.1487110427</v>
      </c>
      <c r="I1417" s="48">
        <f>IFERROR(MINUS(DIVIDE(VLOOKUP($B1417,Data!$B$3:$EZ1530,9,FALSE),VLOOKUP($B1417,Data!$B$3:$EZ1530,10,FALSE)),1),"")</f>
        <v>0.02692998205</v>
      </c>
      <c r="J1417" s="48">
        <f>IFERROR(MINUS(DIVIDE(VLOOKUP($B1417,Data!$B$3:$EZ1530,24,FALSE),VLOOKUP($B1417,Data!$B$3:$EZ1530,25,FALSE)),1),"")</f>
        <v>-8.526315789</v>
      </c>
      <c r="K1417" s="48">
        <f>IFERROR(MINUS(DIVIDE(VLOOKUP($B1417,Data!$B$3:$EZ1530,29,FALSE),VLOOKUP($B1417,Data!$B$3:$EZ1530,30,FALSE)),1),"")</f>
        <v>-0.334971335</v>
      </c>
      <c r="L1417" s="48">
        <f>IFERROR(MINUS(DIVIDE(VLOOKUP($B1417,Data!$B$3:$EZ1530,34,FALSE),VLOOKUP($B1417,Data!$B$3:$EZ1530,35,FALSE)),1),"")</f>
        <v>0.01969178082</v>
      </c>
      <c r="M1417" s="48">
        <f>IFERROR(MINUS(DIVIDE(VLOOKUP($B1417,Data!$B$3:$EZ1530,39,FALSE),VLOOKUP($B1417,Data!$B$3:$EZ1530,40,FALSE)),1),"")</f>
        <v>-0.3991462113</v>
      </c>
      <c r="N1417" s="48">
        <f>IFERROR(MINUS(DIVIDE(VLOOKUP($B1417,Data!$B$3:$EZ1530,44,FALSE),VLOOKUP($B1417,Data!$B$3:$EZ1530,45,FALSE)),1),"")</f>
        <v>0.1027104137</v>
      </c>
      <c r="O1417" s="50" t="str">
        <f>IFERROR(VLOOKUP($B1417,Data!$B$3:$D1530,2,FALSE),"")</f>
        <v/>
      </c>
      <c r="P1417" s="50" t="str">
        <f>IFERROR(VLOOKUP($B1417,Data!$B$3:$D1530,3,FALSE),"")</f>
        <v/>
      </c>
      <c r="Q1417" s="48" t="str">
        <f t="shared" si="2"/>
        <v/>
      </c>
      <c r="R1417" s="48"/>
      <c r="S1417" s="48"/>
      <c r="T1417" s="48"/>
      <c r="U1417" s="48"/>
      <c r="V1417" s="48"/>
      <c r="W1417" s="50"/>
      <c r="Z1417" s="15"/>
      <c r="AA1417" s="15"/>
    </row>
    <row r="1418">
      <c r="A1418" s="9">
        <f t="shared" si="1"/>
        <v>1415</v>
      </c>
      <c r="B1418" s="47" t="s">
        <v>1552</v>
      </c>
      <c r="C1418" s="48">
        <f>IFERROR(DIVIDE(VLOOKUP($B1418,Data!$B$3:$AB$1535,9,FALSE),VLOOKUP($B1418,Data!$B$3:$AB$1535,4,FALSE)),"")</f>
        <v>0.1304347826</v>
      </c>
      <c r="D1418" s="48">
        <f>IFERROR(DIVIDE(VLOOKUP($B1418,Data!$B$3:$AB$1535,24,FALSE),VLOOKUP($B1418,Data!$B$3:$AB$1535,4,FALSE)),"")</f>
        <v>-0.01360261805</v>
      </c>
      <c r="E1418" s="48">
        <f>IFERROR(DIVIDE(VLOOKUP($B1418,Data!$B$3:$EZ1530,29,FALSE),VLOOKUP($B1418,Data!$B$3:$EZ1530,4,FALSE)),"")</f>
        <v>-0.02035016363</v>
      </c>
      <c r="F1418" s="48">
        <f>IFERROR(DIVIDE(VLOOKUP($B1418,Data!$B$3:$EZ1530,34,FALSE),VLOOKUP($B1418,Data!$B$3:$EZ1530,4,FALSE)),"")</f>
        <v>0.01890603086</v>
      </c>
      <c r="G1418" s="48">
        <f>IFERROR(DIVIDE(VLOOKUP($B1418,Data!$B$3:$EZ1530,39,FALSE),VLOOKUP($B1418,Data!$B$3:$EZ1530,4,FALSE)),"")</f>
        <v>-0.0163997195</v>
      </c>
      <c r="H1418" s="48">
        <f>IFERROR(DIVIDE(VLOOKUP($B1418,Data!$B$3:$EZ1530,44,FALSE),VLOOKUP($B1418,Data!$B$3:$EZ1530,4,FALSE)),"")</f>
        <v>0.01330201029</v>
      </c>
      <c r="I1418" s="48">
        <f>IFERROR(MINUS(DIVIDE(VLOOKUP($B1418,Data!$B$3:$EZ1530,9,FALSE),VLOOKUP($B1418,Data!$B$3:$EZ1530,10,FALSE)),1),"")</f>
        <v>0.8355263158</v>
      </c>
      <c r="J1418" s="48">
        <f>IFERROR(MINUS(DIVIDE(VLOOKUP($B1418,Data!$B$3:$EZ1530,24,FALSE),VLOOKUP($B1418,Data!$B$3:$EZ1530,25,FALSE)),1),"")</f>
        <v>-2.280464727</v>
      </c>
      <c r="K1418" s="48">
        <f>IFERROR(MINUS(DIVIDE(VLOOKUP($B1418,Data!$B$3:$EZ1530,29,FALSE),VLOOKUP($B1418,Data!$B$3:$EZ1530,30,FALSE)),1),"")</f>
        <v>-3.046016451</v>
      </c>
      <c r="L1418" s="48">
        <f>IFERROR(MINUS(DIVIDE(VLOOKUP($B1418,Data!$B$3:$EZ1530,34,FALSE),VLOOKUP($B1418,Data!$B$3:$EZ1530,35,FALSE)),1),"")</f>
        <v>0.2264208164</v>
      </c>
      <c r="M1418" s="48">
        <f>IFERROR(MINUS(DIVIDE(VLOOKUP($B1418,Data!$B$3:$EZ1530,39,FALSE),VLOOKUP($B1418,Data!$B$3:$EZ1530,40,FALSE)),1),"")</f>
        <v>-3.117402064</v>
      </c>
      <c r="N1418" s="48">
        <f>IFERROR(MINUS(DIVIDE(VLOOKUP($B1418,Data!$B$3:$EZ1530,44,FALSE),VLOOKUP($B1418,Data!$B$3:$EZ1530,45,FALSE)),1),"")</f>
        <v>1.599159587</v>
      </c>
      <c r="O1418" s="50">
        <f>IFERROR(VLOOKUP($B1418,Data!$B$3:$D1530,2,FALSE),"")</f>
        <v>26450000</v>
      </c>
      <c r="P1418" s="50">
        <f>IFERROR(VLOOKUP($B1418,Data!$B$3:$D1530,3,FALSE),"")</f>
        <v>25500000</v>
      </c>
      <c r="Q1418" s="48">
        <f t="shared" si="2"/>
        <v>0.03725490196</v>
      </c>
      <c r="R1418" s="48"/>
      <c r="S1418" s="48"/>
      <c r="T1418" s="48"/>
      <c r="U1418" s="48"/>
      <c r="V1418" s="48"/>
      <c r="W1418" s="50"/>
      <c r="Z1418" s="12"/>
      <c r="AA1418" s="11"/>
    </row>
    <row r="1419">
      <c r="A1419" s="9">
        <f t="shared" si="1"/>
        <v>1416</v>
      </c>
      <c r="B1419" s="47" t="s">
        <v>1553</v>
      </c>
      <c r="C1419" s="48">
        <f>IFERROR(DIVIDE(VLOOKUP($B1419,Data!$B$3:$AB$1535,9,FALSE),VLOOKUP($B1419,Data!$B$3:$AB$1535,4,FALSE)),"")</f>
        <v>0.4426531552</v>
      </c>
      <c r="D1419" s="48">
        <f>IFERROR(DIVIDE(VLOOKUP($B1419,Data!$B$3:$AB$1535,24,FALSE),VLOOKUP($B1419,Data!$B$3:$AB$1535,4,FALSE)),"")</f>
        <v>0.3938277292</v>
      </c>
      <c r="E1419" s="48">
        <f>IFERROR(DIVIDE(VLOOKUP($B1419,Data!$B$3:$EZ1530,29,FALSE),VLOOKUP($B1419,Data!$B$3:$EZ1530,4,FALSE)),"")</f>
        <v>0.356978351</v>
      </c>
      <c r="F1419" s="48">
        <f>IFERROR(DIVIDE(VLOOKUP($B1419,Data!$B$3:$EZ1530,34,FALSE),VLOOKUP($B1419,Data!$B$3:$EZ1530,4,FALSE)),"")</f>
        <v>0.4960847536</v>
      </c>
      <c r="G1419" s="48">
        <f>IFERROR(DIVIDE(VLOOKUP($B1419,Data!$B$3:$EZ1530,39,FALSE),VLOOKUP($B1419,Data!$B$3:$EZ1530,4,FALSE)),"")</f>
        <v>0.2726853984</v>
      </c>
      <c r="H1419" s="48">
        <f>IFERROR(DIVIDE(VLOOKUP($B1419,Data!$B$3:$EZ1530,44,FALSE),VLOOKUP($B1419,Data!$B$3:$EZ1530,4,FALSE)),"")</f>
        <v>0.3965914325</v>
      </c>
      <c r="I1419" s="48">
        <f>IFERROR(MINUS(DIVIDE(VLOOKUP($B1419,Data!$B$3:$EZ1530,9,FALSE),VLOOKUP($B1419,Data!$B$3:$EZ1530,10,FALSE)),1),"")</f>
        <v>0.007337526205</v>
      </c>
      <c r="J1419" s="48">
        <f>IFERROR(MINUS(DIVIDE(VLOOKUP($B1419,Data!$B$3:$EZ1530,24,FALSE),VLOOKUP($B1419,Data!$B$3:$EZ1530,25,FALSE)),1),"")</f>
        <v>0.01423487544</v>
      </c>
      <c r="K1419" s="48">
        <f>IFERROR(MINUS(DIVIDE(VLOOKUP($B1419,Data!$B$3:$EZ1530,29,FALSE),VLOOKUP($B1419,Data!$B$3:$EZ1530,30,FALSE)),1),"")</f>
        <v>0.001291989664</v>
      </c>
      <c r="L1419" s="48">
        <f>IFERROR(MINUS(DIVIDE(VLOOKUP($B1419,Data!$B$3:$EZ1530,34,FALSE),VLOOKUP($B1419,Data!$B$3:$EZ1530,35,FALSE)),1),"")</f>
        <v>0.005602240896</v>
      </c>
      <c r="M1419" s="48">
        <f>IFERROR(MINUS(DIVIDE(VLOOKUP($B1419,Data!$B$3:$EZ1530,39,FALSE),VLOOKUP($B1419,Data!$B$3:$EZ1530,40,FALSE)),1),"")</f>
        <v>-0.00837520938</v>
      </c>
      <c r="N1419" s="48">
        <f>IFERROR(MINUS(DIVIDE(VLOOKUP($B1419,Data!$B$3:$EZ1530,44,FALSE),VLOOKUP($B1419,Data!$B$3:$EZ1530,45,FALSE)),1),"")</f>
        <v>-0.00920598389</v>
      </c>
      <c r="O1419" s="50">
        <f>IFERROR(VLOOKUP($B1419,Data!$B$3:$D1530,2,FALSE),"")</f>
        <v>20800000</v>
      </c>
      <c r="P1419" s="50">
        <f>IFERROR(VLOOKUP($B1419,Data!$B$3:$D1530,3,FALSE),"")</f>
        <v>19250000</v>
      </c>
      <c r="Q1419" s="48">
        <f t="shared" si="2"/>
        <v>0.08051948052</v>
      </c>
      <c r="R1419" s="48"/>
      <c r="S1419" s="48"/>
      <c r="T1419" s="48"/>
      <c r="U1419" s="48"/>
      <c r="V1419" s="48"/>
      <c r="W1419" s="50"/>
      <c r="Z1419" s="15"/>
      <c r="AA1419" s="15"/>
    </row>
    <row r="1420">
      <c r="A1420" s="9">
        <f t="shared" si="1"/>
        <v>1417</v>
      </c>
      <c r="B1420" s="47" t="s">
        <v>1554</v>
      </c>
      <c r="C1420" s="48">
        <f>IFERROR(DIVIDE(VLOOKUP($B1420,Data!$B$3:$AB$1535,9,FALSE),VLOOKUP($B1420,Data!$B$3:$AB$1535,4,FALSE)),"")</f>
        <v>0.2077502691</v>
      </c>
      <c r="D1420" s="48">
        <f>IFERROR(DIVIDE(VLOOKUP($B1420,Data!$B$3:$AB$1535,24,FALSE),VLOOKUP($B1420,Data!$B$3:$AB$1535,4,FALSE)),"")</f>
        <v>0.01409041981</v>
      </c>
      <c r="E1420" s="48">
        <f>IFERROR(DIVIDE(VLOOKUP($B1420,Data!$B$3:$EZ1530,29,FALSE),VLOOKUP($B1420,Data!$B$3:$EZ1530,4,FALSE)),"")</f>
        <v>-0.0001184068891</v>
      </c>
      <c r="F1420" s="48">
        <f>IFERROR(DIVIDE(VLOOKUP($B1420,Data!$B$3:$EZ1530,34,FALSE),VLOOKUP($B1420,Data!$B$3:$EZ1530,4,FALSE)),"")</f>
        <v>0.07046286329</v>
      </c>
      <c r="G1420" s="48">
        <f>IFERROR(DIVIDE(VLOOKUP($B1420,Data!$B$3:$EZ1530,39,FALSE),VLOOKUP($B1420,Data!$B$3:$EZ1530,4,FALSE)),"")</f>
        <v>-0.01136706136</v>
      </c>
      <c r="H1420" s="48">
        <f>IFERROR(DIVIDE(VLOOKUP($B1420,Data!$B$3:$EZ1530,44,FALSE),VLOOKUP($B1420,Data!$B$3:$EZ1530,4,FALSE)),"")</f>
        <v>0.03917115178</v>
      </c>
      <c r="I1420" s="48">
        <f>IFERROR(MINUS(DIVIDE(VLOOKUP($B1420,Data!$B$3:$EZ1530,9,FALSE),VLOOKUP($B1420,Data!$B$3:$EZ1530,10,FALSE)),1),"")</f>
        <v>0.3884892086</v>
      </c>
      <c r="J1420" s="48">
        <f>IFERROR(MINUS(DIVIDE(VLOOKUP($B1420,Data!$B$3:$EZ1530,24,FALSE),VLOOKUP($B1420,Data!$B$3:$EZ1530,25,FALSE)),1),"")</f>
        <v>-0.6647028689</v>
      </c>
      <c r="K1420" s="48">
        <f>IFERROR(MINUS(DIVIDE(VLOOKUP($B1420,Data!$B$3:$EZ1530,29,FALSE),VLOOKUP($B1420,Data!$B$3:$EZ1530,30,FALSE)),1),"")</f>
        <v>-1.004950495</v>
      </c>
      <c r="L1420" s="48">
        <f>IFERROR(MINUS(DIVIDE(VLOOKUP($B1420,Data!$B$3:$EZ1530,34,FALSE),VLOOKUP($B1420,Data!$B$3:$EZ1530,35,FALSE)),1),"")</f>
        <v>0.06943309917</v>
      </c>
      <c r="M1420" s="48">
        <f>IFERROR(MINUS(DIVIDE(VLOOKUP($B1420,Data!$B$3:$EZ1530,39,FALSE),VLOOKUP($B1420,Data!$B$3:$EZ1530,40,FALSE)),1),"")</f>
        <v>-1.613953488</v>
      </c>
      <c r="N1420" s="48">
        <f>IFERROR(MINUS(DIVIDE(VLOOKUP($B1420,Data!$B$3:$EZ1530,44,FALSE),VLOOKUP($B1420,Data!$B$3:$EZ1530,45,FALSE)),1),"")</f>
        <v>0.2552604346</v>
      </c>
      <c r="O1420" s="50">
        <f>IFERROR(VLOOKUP($B1420,Data!$B$3:$D1530,2,FALSE),"")</f>
        <v>8860000</v>
      </c>
      <c r="P1420" s="50">
        <f>IFERROR(VLOOKUP($B1420,Data!$B$3:$D1530,3,FALSE),"")</f>
        <v>8450000</v>
      </c>
      <c r="Q1420" s="48">
        <f t="shared" si="2"/>
        <v>0.04852071006</v>
      </c>
      <c r="R1420" s="48"/>
      <c r="S1420" s="48"/>
      <c r="T1420" s="48"/>
      <c r="U1420" s="48"/>
      <c r="V1420" s="48"/>
      <c r="W1420" s="50"/>
      <c r="Z1420" s="15"/>
      <c r="AA1420" s="15"/>
    </row>
    <row r="1421">
      <c r="A1421" s="9">
        <f t="shared" si="1"/>
        <v>1418</v>
      </c>
      <c r="B1421" s="47" t="s">
        <v>1555</v>
      </c>
      <c r="C1421" s="48">
        <f>IFERROR(DIVIDE(VLOOKUP($B1421,Data!$B$3:$AB$1535,9,FALSE),VLOOKUP($B1421,Data!$B$3:$AB$1535,4,FALSE)),"")</f>
        <v>0.2176677489</v>
      </c>
      <c r="D1421" s="48">
        <f>IFERROR(DIVIDE(VLOOKUP($B1421,Data!$B$3:$AB$1535,24,FALSE),VLOOKUP($B1421,Data!$B$3:$AB$1535,4,FALSE)),"")</f>
        <v>0.1029491342</v>
      </c>
      <c r="E1421" s="48">
        <f>IFERROR(DIVIDE(VLOOKUP($B1421,Data!$B$3:$EZ1530,29,FALSE),VLOOKUP($B1421,Data!$B$3:$EZ1530,4,FALSE)),"")</f>
        <v>0.07643398268</v>
      </c>
      <c r="F1421" s="48">
        <f>IFERROR(DIVIDE(VLOOKUP($B1421,Data!$B$3:$EZ1530,34,FALSE),VLOOKUP($B1421,Data!$B$3:$EZ1530,4,FALSE)),"")</f>
        <v>0.1385281385</v>
      </c>
      <c r="G1421" s="48">
        <f>IFERROR(DIVIDE(VLOOKUP($B1421,Data!$B$3:$EZ1530,39,FALSE),VLOOKUP($B1421,Data!$B$3:$EZ1530,4,FALSE)),"")</f>
        <v>0.06006493506</v>
      </c>
      <c r="H1421" s="48">
        <f>IFERROR(DIVIDE(VLOOKUP($B1421,Data!$B$3:$EZ1530,44,FALSE),VLOOKUP($B1421,Data!$B$3:$EZ1530,4,FALSE)),"")</f>
        <v>0.1168831169</v>
      </c>
      <c r="I1421" s="48">
        <f>IFERROR(MINUS(DIVIDE(VLOOKUP($B1421,Data!$B$3:$EZ1530,9,FALSE),VLOOKUP($B1421,Data!$B$3:$EZ1530,10,FALSE)),1),"")</f>
        <v>0.13549753</v>
      </c>
      <c r="J1421" s="48">
        <f>IFERROR(MINUS(DIVIDE(VLOOKUP($B1421,Data!$B$3:$EZ1530,24,FALSE),VLOOKUP($B1421,Data!$B$3:$EZ1530,25,FALSE)),1),"")</f>
        <v>0.09025787966</v>
      </c>
      <c r="K1421" s="48">
        <f>IFERROR(MINUS(DIVIDE(VLOOKUP($B1421,Data!$B$3:$EZ1530,29,FALSE),VLOOKUP($B1421,Data!$B$3:$EZ1530,30,FALSE)),1),"")</f>
        <v>-0.06146179402</v>
      </c>
      <c r="L1421" s="48">
        <f>IFERROR(MINUS(DIVIDE(VLOOKUP($B1421,Data!$B$3:$EZ1530,34,FALSE),VLOOKUP($B1421,Data!$B$3:$EZ1530,35,FALSE)),1),"")</f>
        <v>0.1034482759</v>
      </c>
      <c r="M1421" s="48">
        <f>IFERROR(MINUS(DIVIDE(VLOOKUP($B1421,Data!$B$3:$EZ1530,39,FALSE),VLOOKUP($B1421,Data!$B$3:$EZ1530,40,FALSE)),1),"")</f>
        <v>-0.07306889353</v>
      </c>
      <c r="N1421" s="48">
        <f>IFERROR(MINUS(DIVIDE(VLOOKUP($B1421,Data!$B$3:$EZ1530,44,FALSE),VLOOKUP($B1421,Data!$B$3:$EZ1530,45,FALSE)),1),"")</f>
        <v>-0.320220299</v>
      </c>
      <c r="O1421" s="50">
        <f>IFERROR(VLOOKUP($B1421,Data!$B$3:$D1530,2,FALSE),"")</f>
        <v>84320000</v>
      </c>
      <c r="P1421" s="50">
        <f>IFERROR(VLOOKUP($B1421,Data!$B$3:$D1530,3,FALSE),"")</f>
        <v>80520000</v>
      </c>
      <c r="Q1421" s="48">
        <f t="shared" si="2"/>
        <v>0.04719324391</v>
      </c>
      <c r="R1421" s="48"/>
      <c r="S1421" s="48"/>
      <c r="T1421" s="48"/>
      <c r="U1421" s="48"/>
      <c r="V1421" s="48"/>
      <c r="W1421" s="50"/>
      <c r="Z1421" s="11"/>
      <c r="AA1421" s="11"/>
    </row>
    <row r="1422">
      <c r="A1422" s="9">
        <f t="shared" si="1"/>
        <v>1419</v>
      </c>
      <c r="B1422" s="47" t="s">
        <v>1556</v>
      </c>
      <c r="C1422" s="48">
        <f>IFERROR(DIVIDE(VLOOKUP($B1422,Data!$B$3:$AB$1535,9,FALSE),VLOOKUP($B1422,Data!$B$3:$AB$1535,4,FALSE)),"")</f>
        <v>0.3140703518</v>
      </c>
      <c r="D1422" s="48">
        <f>IFERROR(DIVIDE(VLOOKUP($B1422,Data!$B$3:$AB$1535,24,FALSE),VLOOKUP($B1422,Data!$B$3:$AB$1535,4,FALSE)),"")</f>
        <v>0.05827386935</v>
      </c>
      <c r="E1422" s="48">
        <f>IFERROR(DIVIDE(VLOOKUP($B1422,Data!$B$3:$EZ1530,29,FALSE),VLOOKUP($B1422,Data!$B$3:$EZ1530,4,FALSE)),"")</f>
        <v>0.06023115578</v>
      </c>
      <c r="F1422" s="48">
        <f>IFERROR(DIVIDE(VLOOKUP($B1422,Data!$B$3:$EZ1530,34,FALSE),VLOOKUP($B1422,Data!$B$3:$EZ1530,4,FALSE)),"")</f>
        <v>0.1413693467</v>
      </c>
      <c r="G1422" s="48">
        <f>IFERROR(DIVIDE(VLOOKUP($B1422,Data!$B$3:$EZ1530,39,FALSE),VLOOKUP($B1422,Data!$B$3:$EZ1530,4,FALSE)),"")</f>
        <v>0.0422361809</v>
      </c>
      <c r="H1422" s="48">
        <f>IFERROR(DIVIDE(VLOOKUP($B1422,Data!$B$3:$EZ1530,44,FALSE),VLOOKUP($B1422,Data!$B$3:$EZ1530,4,FALSE)),"")</f>
        <v>0.1213969849</v>
      </c>
      <c r="I1422" s="48">
        <f>IFERROR(MINUS(DIVIDE(VLOOKUP($B1422,Data!$B$3:$EZ1530,9,FALSE),VLOOKUP($B1422,Data!$B$3:$EZ1530,10,FALSE)),1),"")</f>
        <v>-0.07407407407</v>
      </c>
      <c r="J1422" s="48">
        <f>IFERROR(MINUS(DIVIDE(VLOOKUP($B1422,Data!$B$3:$EZ1530,24,FALSE),VLOOKUP($B1422,Data!$B$3:$EZ1530,25,FALSE)),1),"")</f>
        <v>-0.3917547402</v>
      </c>
      <c r="K1422" s="48">
        <f>IFERROR(MINUS(DIVIDE(VLOOKUP($B1422,Data!$B$3:$EZ1530,29,FALSE),VLOOKUP($B1422,Data!$B$3:$EZ1530,30,FALSE)),1),"")</f>
        <v>-0.3782388795</v>
      </c>
      <c r="L1422" s="48">
        <f>IFERROR(MINUS(DIVIDE(VLOOKUP($B1422,Data!$B$3:$EZ1530,34,FALSE),VLOOKUP($B1422,Data!$B$3:$EZ1530,35,FALSE)),1),"")</f>
        <v>0.1227177492</v>
      </c>
      <c r="M1422" s="48">
        <f>IFERROR(MINUS(DIVIDE(VLOOKUP($B1422,Data!$B$3:$EZ1530,39,FALSE),VLOOKUP($B1422,Data!$B$3:$EZ1530,40,FALSE)),1),"")</f>
        <v>-0.4359060403</v>
      </c>
      <c r="N1422" s="48">
        <f>IFERROR(MINUS(DIVIDE(VLOOKUP($B1422,Data!$B$3:$EZ1530,44,FALSE),VLOOKUP($B1422,Data!$B$3:$EZ1530,45,FALSE)),1),"")</f>
        <v>0.08181451793</v>
      </c>
      <c r="O1422" s="50">
        <f>IFERROR(VLOOKUP($B1422,Data!$B$3:$D1530,2,FALSE),"")</f>
        <v>3860000</v>
      </c>
      <c r="P1422" s="50">
        <f>IFERROR(VLOOKUP($B1422,Data!$B$3:$D1530,3,FALSE),"")</f>
        <v>3310000</v>
      </c>
      <c r="Q1422" s="48">
        <f t="shared" si="2"/>
        <v>0.166163142</v>
      </c>
      <c r="R1422" s="48"/>
      <c r="S1422" s="48"/>
      <c r="T1422" s="48"/>
      <c r="U1422" s="48"/>
      <c r="V1422" s="48"/>
      <c r="W1422" s="50"/>
      <c r="Z1422" s="15"/>
      <c r="AA1422" s="15"/>
    </row>
    <row r="1423">
      <c r="A1423" s="9">
        <f t="shared" si="1"/>
        <v>1420</v>
      </c>
      <c r="B1423" s="47" t="s">
        <v>1557</v>
      </c>
      <c r="C1423" s="48">
        <f>IFERROR(DIVIDE(VLOOKUP($B1423,Data!$B$3:$AB$1535,9,FALSE),VLOOKUP($B1423,Data!$B$3:$AB$1535,4,FALSE)),"")</f>
        <v>0</v>
      </c>
      <c r="D1423" s="48">
        <f>IFERROR(DIVIDE(VLOOKUP($B1423,Data!$B$3:$AB$1535,24,FALSE),VLOOKUP($B1423,Data!$B$3:$AB$1535,4,FALSE)),"")</f>
        <v>0</v>
      </c>
      <c r="E1423" s="48">
        <f>IFERROR(DIVIDE(VLOOKUP($B1423,Data!$B$3:$EZ1530,29,FALSE),VLOOKUP($B1423,Data!$B$3:$EZ1530,4,FALSE)),"")</f>
        <v>-5841.666667</v>
      </c>
      <c r="F1423" s="48">
        <f>IFERROR(DIVIDE(VLOOKUP($B1423,Data!$B$3:$EZ1530,34,FALSE),VLOOKUP($B1423,Data!$B$3:$EZ1530,4,FALSE)),"")</f>
        <v>-6008.333333</v>
      </c>
      <c r="G1423" s="48">
        <f>IFERROR(DIVIDE(VLOOKUP($B1423,Data!$B$3:$EZ1530,39,FALSE),VLOOKUP($B1423,Data!$B$3:$EZ1530,4,FALSE)),"")</f>
        <v>-5841.666667</v>
      </c>
      <c r="H1423" s="48">
        <f>IFERROR(DIVIDE(VLOOKUP($B1423,Data!$B$3:$EZ1530,44,FALSE),VLOOKUP($B1423,Data!$B$3:$EZ1530,4,FALSE)),"")</f>
        <v>-3945.555556</v>
      </c>
      <c r="I1423" s="48">
        <f>IFERROR(MINUS(DIVIDE(VLOOKUP($B1423,Data!$B$3:$EZ1530,9,FALSE),VLOOKUP($B1423,Data!$B$3:$EZ1530,10,FALSE)),1),"")</f>
        <v>-1</v>
      </c>
      <c r="J1423" s="48" t="str">
        <f>IFERROR(MINUS(DIVIDE(VLOOKUP($B1423,Data!$B$3:$EZ1530,24,FALSE),VLOOKUP($B1423,Data!$B$3:$EZ1530,25,FALSE)),1),"")</f>
        <v/>
      </c>
      <c r="K1423" s="48">
        <f>IFERROR(MINUS(DIVIDE(VLOOKUP($B1423,Data!$B$3:$EZ1530,29,FALSE),VLOOKUP($B1423,Data!$B$3:$EZ1530,30,FALSE)),1),"")</f>
        <v>0.3921620548</v>
      </c>
      <c r="L1423" s="48">
        <f>IFERROR(MINUS(DIVIDE(VLOOKUP($B1423,Data!$B$3:$EZ1530,34,FALSE),VLOOKUP($B1423,Data!$B$3:$EZ1530,35,FALSE)),1),"")</f>
        <v>0.4089369463</v>
      </c>
      <c r="M1423" s="48">
        <f>IFERROR(MINUS(DIVIDE(VLOOKUP($B1423,Data!$B$3:$EZ1530,39,FALSE),VLOOKUP($B1423,Data!$B$3:$EZ1530,40,FALSE)),1),"")</f>
        <v>0.3897700238</v>
      </c>
      <c r="N1423" s="48">
        <f>IFERROR(MINUS(DIVIDE(VLOOKUP($B1423,Data!$B$3:$EZ1530,44,FALSE),VLOOKUP($B1423,Data!$B$3:$EZ1530,45,FALSE)),1),"")</f>
        <v>0.9024912939</v>
      </c>
      <c r="O1423" s="50">
        <f>IFERROR(VLOOKUP($B1423,Data!$B$3:$D1530,2,FALSE),"")</f>
        <v>58320</v>
      </c>
      <c r="P1423" s="50">
        <f>IFERROR(VLOOKUP($B1423,Data!$B$3:$D1530,3,FALSE),"")</f>
        <v>12380</v>
      </c>
      <c r="Q1423" s="48">
        <f t="shared" si="2"/>
        <v>3.71082391</v>
      </c>
      <c r="R1423" s="48"/>
      <c r="S1423" s="48"/>
      <c r="T1423" s="48"/>
      <c r="U1423" s="48"/>
      <c r="V1423" s="48"/>
      <c r="W1423" s="50"/>
      <c r="Z1423" s="11"/>
      <c r="AA1423" s="11"/>
    </row>
    <row r="1424">
      <c r="A1424" s="9">
        <f t="shared" si="1"/>
        <v>1421</v>
      </c>
      <c r="B1424" s="47" t="s">
        <v>1558</v>
      </c>
      <c r="C1424" s="48" t="str">
        <f>IFERROR(DIVIDE(VLOOKUP($B1424,Data!$B$3:$AB$1535,9,FALSE),VLOOKUP($B1424,Data!$B$3:$AB$1535,4,FALSE)),"")</f>
        <v/>
      </c>
      <c r="D1424" s="48" t="str">
        <f>IFERROR(DIVIDE(VLOOKUP($B1424,Data!$B$3:$AB$1535,24,FALSE),VLOOKUP($B1424,Data!$B$3:$AB$1535,4,FALSE)),"")</f>
        <v/>
      </c>
      <c r="E1424" s="48" t="str">
        <f>IFERROR(DIVIDE(VLOOKUP($B1424,Data!$B$3:$EZ1530,29,FALSE),VLOOKUP($B1424,Data!$B$3:$EZ1530,4,FALSE)),"")</f>
        <v/>
      </c>
      <c r="F1424" s="48" t="str">
        <f>IFERROR(DIVIDE(VLOOKUP($B1424,Data!$B$3:$EZ1530,34,FALSE),VLOOKUP($B1424,Data!$B$3:$EZ1530,4,FALSE)),"")</f>
        <v/>
      </c>
      <c r="G1424" s="48" t="str">
        <f>IFERROR(DIVIDE(VLOOKUP($B1424,Data!$B$3:$EZ1530,39,FALSE),VLOOKUP($B1424,Data!$B$3:$EZ1530,4,FALSE)),"")</f>
        <v/>
      </c>
      <c r="H1424" s="48" t="str">
        <f>IFERROR(DIVIDE(VLOOKUP($B1424,Data!$B$3:$EZ1530,44,FALSE),VLOOKUP($B1424,Data!$B$3:$EZ1530,4,FALSE)),"")</f>
        <v/>
      </c>
      <c r="I1424" s="48">
        <f>IFERROR(MINUS(DIVIDE(VLOOKUP($B1424,Data!$B$3:$EZ1530,9,FALSE),VLOOKUP($B1424,Data!$B$3:$EZ1530,10,FALSE)),1),"")</f>
        <v>1.916666667</v>
      </c>
      <c r="J1424" s="48" t="str">
        <f>IFERROR(MINUS(DIVIDE(VLOOKUP($B1424,Data!$B$3:$EZ1530,24,FALSE),VLOOKUP($B1424,Data!$B$3:$EZ1530,25,FALSE)),1),"")</f>
        <v/>
      </c>
      <c r="K1424" s="48">
        <f>IFERROR(MINUS(DIVIDE(VLOOKUP($B1424,Data!$B$3:$EZ1530,29,FALSE),VLOOKUP($B1424,Data!$B$3:$EZ1530,30,FALSE)),1),"")</f>
        <v>0.3178796047</v>
      </c>
      <c r="L1424" s="48">
        <f>IFERROR(MINUS(DIVIDE(VLOOKUP($B1424,Data!$B$3:$EZ1530,34,FALSE),VLOOKUP($B1424,Data!$B$3:$EZ1530,35,FALSE)),1),"")</f>
        <v>0.2496383363</v>
      </c>
      <c r="M1424" s="48">
        <f>IFERROR(MINUS(DIVIDE(VLOOKUP($B1424,Data!$B$3:$EZ1530,39,FALSE),VLOOKUP($B1424,Data!$B$3:$EZ1530,40,FALSE)),1),"")</f>
        <v>0.3179164796</v>
      </c>
      <c r="N1424" s="48">
        <f>IFERROR(MINUS(DIVIDE(VLOOKUP($B1424,Data!$B$3:$EZ1530,44,FALSE),VLOOKUP($B1424,Data!$B$3:$EZ1530,45,FALSE)),1),"")</f>
        <v>-0.06685619956</v>
      </c>
      <c r="O1424" s="50">
        <f>IFERROR(VLOOKUP($B1424,Data!$B$3:$D1530,2,FALSE),"")</f>
        <v>133030</v>
      </c>
      <c r="P1424" s="50">
        <f>IFERROR(VLOOKUP($B1424,Data!$B$3:$D1530,3,FALSE),"")</f>
        <v>4400</v>
      </c>
      <c r="Q1424" s="48">
        <f t="shared" si="2"/>
        <v>29.23409091</v>
      </c>
      <c r="R1424" s="48"/>
      <c r="S1424" s="48"/>
      <c r="T1424" s="48"/>
      <c r="U1424" s="48"/>
      <c r="V1424" s="48"/>
      <c r="W1424" s="50"/>
      <c r="Z1424" s="15"/>
      <c r="AA1424" s="15"/>
    </row>
    <row r="1425">
      <c r="A1425" s="9">
        <f t="shared" si="1"/>
        <v>1422</v>
      </c>
      <c r="B1425" s="47" t="s">
        <v>1559</v>
      </c>
      <c r="C1425" s="48">
        <f>IFERROR(DIVIDE(VLOOKUP($B1425,Data!$B$3:$AB$1535,9,FALSE),VLOOKUP($B1425,Data!$B$3:$AB$1535,4,FALSE)),"")</f>
        <v>0.0446396112</v>
      </c>
      <c r="D1425" s="48">
        <f>IFERROR(DIVIDE(VLOOKUP($B1425,Data!$B$3:$AB$1535,24,FALSE),VLOOKUP($B1425,Data!$B$3:$AB$1535,4,FALSE)),"")</f>
        <v>0.002334347435</v>
      </c>
      <c r="E1425" s="48">
        <f>IFERROR(DIVIDE(VLOOKUP($B1425,Data!$B$3:$EZ1530,29,FALSE),VLOOKUP($B1425,Data!$B$3:$EZ1530,4,FALSE)),"")</f>
        <v>-0.009279987754</v>
      </c>
      <c r="F1425" s="48">
        <f>IFERROR(DIVIDE(VLOOKUP($B1425,Data!$B$3:$EZ1530,34,FALSE),VLOOKUP($B1425,Data!$B$3:$EZ1530,4,FALSE)),"")</f>
        <v>0.07615330157</v>
      </c>
      <c r="G1425" s="48">
        <f>IFERROR(DIVIDE(VLOOKUP($B1425,Data!$B$3:$EZ1530,39,FALSE),VLOOKUP($B1425,Data!$B$3:$EZ1530,4,FALSE)),"")</f>
        <v>-0.008992977824</v>
      </c>
      <c r="H1425" s="48">
        <f>IFERROR(DIVIDE(VLOOKUP($B1425,Data!$B$3:$EZ1530,44,FALSE),VLOOKUP($B1425,Data!$B$3:$EZ1530,4,FALSE)),"")</f>
        <v>0.08315634388</v>
      </c>
      <c r="I1425" s="48">
        <f>IFERROR(MINUS(DIVIDE(VLOOKUP($B1425,Data!$B$3:$EZ1530,9,FALSE),VLOOKUP($B1425,Data!$B$3:$EZ1530,10,FALSE)),1),"")</f>
        <v>-0.3826409103</v>
      </c>
      <c r="J1425" s="48">
        <f>IFERROR(MINUS(DIVIDE(VLOOKUP($B1425,Data!$B$3:$EZ1530,24,FALSE),VLOOKUP($B1425,Data!$B$3:$EZ1530,25,FALSE)),1),"")</f>
        <v>0.9092331768</v>
      </c>
      <c r="K1425" s="48">
        <f>IFERROR(MINUS(DIVIDE(VLOOKUP($B1425,Data!$B$3:$EZ1530,29,FALSE),VLOOKUP($B1425,Data!$B$3:$EZ1530,30,FALSE)),1),"")</f>
        <v>-1.29252111</v>
      </c>
      <c r="L1425" s="48">
        <f>IFERROR(MINUS(DIVIDE(VLOOKUP($B1425,Data!$B$3:$EZ1530,34,FALSE),VLOOKUP($B1425,Data!$B$3:$EZ1530,35,FALSE)),1),"")</f>
        <v>-0.1448216588</v>
      </c>
      <c r="M1425" s="48">
        <f>IFERROR(MINUS(DIVIDE(VLOOKUP($B1425,Data!$B$3:$EZ1530,39,FALSE),VLOOKUP($B1425,Data!$B$3:$EZ1530,40,FALSE)),1),"")</f>
        <v>-1.385245902</v>
      </c>
      <c r="N1425" s="48">
        <f>IFERROR(MINUS(DIVIDE(VLOOKUP($B1425,Data!$B$3:$EZ1530,44,FALSE),VLOOKUP($B1425,Data!$B$3:$EZ1530,45,FALSE)),1),"")</f>
        <v>0.05332040717</v>
      </c>
      <c r="O1425" s="50">
        <f>IFERROR(VLOOKUP($B1425,Data!$B$3:$D1530,2,FALSE),"")</f>
        <v>568400</v>
      </c>
      <c r="P1425" s="50">
        <f>IFERROR(VLOOKUP($B1425,Data!$B$3:$D1530,3,FALSE),"")</f>
        <v>519050</v>
      </c>
      <c r="Q1425" s="48">
        <f t="shared" si="2"/>
        <v>0.09507754552</v>
      </c>
      <c r="R1425" s="48"/>
      <c r="S1425" s="48"/>
      <c r="T1425" s="48"/>
      <c r="U1425" s="48"/>
      <c r="V1425" s="48"/>
      <c r="W1425" s="50"/>
      <c r="Z1425" s="11"/>
      <c r="AA1425" s="11"/>
    </row>
    <row r="1426">
      <c r="A1426" s="9">
        <f t="shared" si="1"/>
        <v>1423</v>
      </c>
      <c r="B1426" s="47" t="s">
        <v>1560</v>
      </c>
      <c r="C1426" s="48">
        <f>IFERROR(DIVIDE(VLOOKUP($B1426,Data!$B$3:$AB$1535,9,FALSE),VLOOKUP($B1426,Data!$B$3:$AB$1535,4,FALSE)),"")</f>
        <v>0.1337162162</v>
      </c>
      <c r="D1426" s="48">
        <f>IFERROR(DIVIDE(VLOOKUP($B1426,Data!$B$3:$AB$1535,24,FALSE),VLOOKUP($B1426,Data!$B$3:$AB$1535,4,FALSE)),"")</f>
        <v>0.04398648649</v>
      </c>
      <c r="E1426" s="48">
        <f>IFERROR(DIVIDE(VLOOKUP($B1426,Data!$B$3:$EZ1530,29,FALSE),VLOOKUP($B1426,Data!$B$3:$EZ1530,4,FALSE)),"")</f>
        <v>0.01932432432</v>
      </c>
      <c r="F1426" s="48">
        <f>IFERROR(DIVIDE(VLOOKUP($B1426,Data!$B$3:$EZ1530,34,FALSE),VLOOKUP($B1426,Data!$B$3:$EZ1530,4,FALSE)),"")</f>
        <v>0.1088513514</v>
      </c>
      <c r="G1426" s="48">
        <f>IFERROR(DIVIDE(VLOOKUP($B1426,Data!$B$3:$EZ1530,39,FALSE),VLOOKUP($B1426,Data!$B$3:$EZ1530,4,FALSE)),"")</f>
        <v>0.01006756757</v>
      </c>
      <c r="H1426" s="48">
        <f>IFERROR(DIVIDE(VLOOKUP($B1426,Data!$B$3:$EZ1530,44,FALSE),VLOOKUP($B1426,Data!$B$3:$EZ1530,4,FALSE)),"")</f>
        <v>0.09378378378</v>
      </c>
      <c r="I1426" s="48">
        <f>IFERROR(MINUS(DIVIDE(VLOOKUP($B1426,Data!$B$3:$EZ1530,9,FALSE),VLOOKUP($B1426,Data!$B$3:$EZ1530,10,FALSE)),1),"")</f>
        <v>-0.02223320158</v>
      </c>
      <c r="J1426" s="48">
        <f>IFERROR(MINUS(DIVIDE(VLOOKUP($B1426,Data!$B$3:$EZ1530,24,FALSE),VLOOKUP($B1426,Data!$B$3:$EZ1530,25,FALSE)),1),"")</f>
        <v>-0.1273458445</v>
      </c>
      <c r="K1426" s="48">
        <f>IFERROR(MINUS(DIVIDE(VLOOKUP($B1426,Data!$B$3:$EZ1530,29,FALSE),VLOOKUP($B1426,Data!$B$3:$EZ1530,30,FALSE)),1),"")</f>
        <v>-0.4054054054</v>
      </c>
      <c r="L1426" s="48">
        <f>IFERROR(MINUS(DIVIDE(VLOOKUP($B1426,Data!$B$3:$EZ1530,34,FALSE),VLOOKUP($B1426,Data!$B$3:$EZ1530,35,FALSE)),1),"")</f>
        <v>-0.04334916865</v>
      </c>
      <c r="M1426" s="48">
        <f>IFERROR(MINUS(DIVIDE(VLOOKUP($B1426,Data!$B$3:$EZ1530,39,FALSE),VLOOKUP($B1426,Data!$B$3:$EZ1530,40,FALSE)),1),"")</f>
        <v>-0.5033333333</v>
      </c>
      <c r="N1426" s="48">
        <f>IFERROR(MINUS(DIVIDE(VLOOKUP($B1426,Data!$B$3:$EZ1530,44,FALSE),VLOOKUP($B1426,Data!$B$3:$EZ1530,45,FALSE)),1),"")</f>
        <v>0.1302931596</v>
      </c>
      <c r="O1426" s="50">
        <f>IFERROR(VLOOKUP($B1426,Data!$B$3:$D1530,2,FALSE),"")</f>
        <v>1440000</v>
      </c>
      <c r="P1426" s="50">
        <f>IFERROR(VLOOKUP($B1426,Data!$B$3:$D1530,3,FALSE),"")</f>
        <v>1410000</v>
      </c>
      <c r="Q1426" s="48">
        <f t="shared" si="2"/>
        <v>0.02127659574</v>
      </c>
      <c r="R1426" s="48"/>
      <c r="S1426" s="48"/>
      <c r="T1426" s="48"/>
      <c r="U1426" s="48"/>
      <c r="V1426" s="48"/>
      <c r="W1426" s="50"/>
      <c r="Z1426" s="11"/>
      <c r="AA1426" s="11"/>
    </row>
    <row r="1427">
      <c r="A1427" s="9">
        <f t="shared" si="1"/>
        <v>1424</v>
      </c>
      <c r="B1427" s="47" t="s">
        <v>1561</v>
      </c>
      <c r="C1427" s="48">
        <f>IFERROR(DIVIDE(VLOOKUP($B1427,Data!$B$3:$AB$1535,9,FALSE),VLOOKUP($B1427,Data!$B$3:$AB$1535,4,FALSE)),"")</f>
        <v>0.5479452055</v>
      </c>
      <c r="D1427" s="48">
        <f>IFERROR(DIVIDE(VLOOKUP($B1427,Data!$B$3:$AB$1535,24,FALSE),VLOOKUP($B1427,Data!$B$3:$AB$1535,4,FALSE)),"")</f>
        <v>0</v>
      </c>
      <c r="E1427" s="48">
        <f>IFERROR(DIVIDE(VLOOKUP($B1427,Data!$B$3:$EZ1530,29,FALSE),VLOOKUP($B1427,Data!$B$3:$EZ1530,4,FALSE)),"")</f>
        <v>0</v>
      </c>
      <c r="F1427" s="48">
        <f>IFERROR(DIVIDE(VLOOKUP($B1427,Data!$B$3:$EZ1530,34,FALSE),VLOOKUP($B1427,Data!$B$3:$EZ1530,4,FALSE)),"")</f>
        <v>0</v>
      </c>
      <c r="G1427" s="48">
        <f>IFERROR(DIVIDE(VLOOKUP($B1427,Data!$B$3:$EZ1530,39,FALSE),VLOOKUP($B1427,Data!$B$3:$EZ1530,4,FALSE)),"")</f>
        <v>0</v>
      </c>
      <c r="H1427" s="48">
        <f>IFERROR(DIVIDE(VLOOKUP($B1427,Data!$B$3:$EZ1530,44,FALSE),VLOOKUP($B1427,Data!$B$3:$EZ1530,4,FALSE)),"")</f>
        <v>0</v>
      </c>
      <c r="I1427" s="48">
        <f>IFERROR(MINUS(DIVIDE(VLOOKUP($B1427,Data!$B$3:$EZ1530,9,FALSE),VLOOKUP($B1427,Data!$B$3:$EZ1530,10,FALSE)),1),"")</f>
        <v>0.2587412587</v>
      </c>
      <c r="J1427" s="48" t="str">
        <f>IFERROR(MINUS(DIVIDE(VLOOKUP($B1427,Data!$B$3:$EZ1530,24,FALSE),VLOOKUP($B1427,Data!$B$3:$EZ1530,25,FALSE)),1),"")</f>
        <v/>
      </c>
      <c r="K1427" s="48">
        <f>IFERROR(MINUS(DIVIDE(VLOOKUP($B1427,Data!$B$3:$EZ1530,29,FALSE),VLOOKUP($B1427,Data!$B$3:$EZ1530,30,FALSE)),1),"")</f>
        <v>-1</v>
      </c>
      <c r="L1427" s="48" t="str">
        <f>IFERROR(MINUS(DIVIDE(VLOOKUP($B1427,Data!$B$3:$EZ1530,34,FALSE),VLOOKUP($B1427,Data!$B$3:$EZ1530,35,FALSE)),1),"")</f>
        <v/>
      </c>
      <c r="M1427" s="48">
        <f>IFERROR(MINUS(DIVIDE(VLOOKUP($B1427,Data!$B$3:$EZ1530,39,FALSE),VLOOKUP($B1427,Data!$B$3:$EZ1530,40,FALSE)),1),"")</f>
        <v>-1</v>
      </c>
      <c r="N1427" s="48" t="str">
        <f>IFERROR(MINUS(DIVIDE(VLOOKUP($B1427,Data!$B$3:$EZ1530,44,FALSE),VLOOKUP($B1427,Data!$B$3:$EZ1530,45,FALSE)),1),"")</f>
        <v/>
      </c>
      <c r="O1427" s="50" t="str">
        <f>IFERROR(VLOOKUP($B1427,Data!$B$3:$D1530,2,FALSE),"")</f>
        <v/>
      </c>
      <c r="P1427" s="50" t="str">
        <f>IFERROR(VLOOKUP($B1427,Data!$B$3:$D1530,3,FALSE),"")</f>
        <v/>
      </c>
      <c r="Q1427" s="48" t="str">
        <f t="shared" si="2"/>
        <v/>
      </c>
      <c r="R1427" s="48"/>
      <c r="S1427" s="48"/>
      <c r="T1427" s="48"/>
      <c r="U1427" s="48"/>
      <c r="V1427" s="48"/>
      <c r="W1427" s="50"/>
      <c r="Z1427" s="11"/>
      <c r="AA1427" s="11"/>
    </row>
    <row r="1428">
      <c r="A1428" s="9">
        <f t="shared" si="1"/>
        <v>1425</v>
      </c>
      <c r="B1428" s="47" t="s">
        <v>1562</v>
      </c>
      <c r="C1428" s="48">
        <f>IFERROR(DIVIDE(VLOOKUP($B1428,Data!$B$3:$AB$1535,9,FALSE),VLOOKUP($B1428,Data!$B$3:$AB$1535,4,FALSE)),"")</f>
        <v>0.1769468003</v>
      </c>
      <c r="D1428" s="48">
        <f>IFERROR(DIVIDE(VLOOKUP($B1428,Data!$B$3:$AB$1535,24,FALSE),VLOOKUP($B1428,Data!$B$3:$AB$1535,4,FALSE)),"")</f>
        <v>0.02694680031</v>
      </c>
      <c r="E1428" s="48">
        <f>IFERROR(DIVIDE(VLOOKUP($B1428,Data!$B$3:$EZ1530,29,FALSE),VLOOKUP($B1428,Data!$B$3:$EZ1530,4,FALSE)),"")</f>
        <v>0.01969930609</v>
      </c>
      <c r="F1428" s="48">
        <f>IFERROR(DIVIDE(VLOOKUP($B1428,Data!$B$3:$EZ1530,34,FALSE),VLOOKUP($B1428,Data!$B$3:$EZ1530,4,FALSE)),"")</f>
        <v>0.04279105628</v>
      </c>
      <c r="G1428" s="48">
        <f>IFERROR(DIVIDE(VLOOKUP($B1428,Data!$B$3:$EZ1530,39,FALSE),VLOOKUP($B1428,Data!$B$3:$EZ1530,4,FALSE)),"")</f>
        <v>0.01484194295</v>
      </c>
      <c r="H1428" s="48">
        <f>IFERROR(DIVIDE(VLOOKUP($B1428,Data!$B$3:$EZ1530,44,FALSE),VLOOKUP($B1428,Data!$B$3:$EZ1530,4,FALSE)),"")</f>
        <v>0.02929838088</v>
      </c>
      <c r="I1428" s="48">
        <f>IFERROR(MINUS(DIVIDE(VLOOKUP($B1428,Data!$B$3:$EZ1530,9,FALSE),VLOOKUP($B1428,Data!$B$3:$EZ1530,10,FALSE)),1),"")</f>
        <v>0.06496519722</v>
      </c>
      <c r="J1428" s="48">
        <f>IFERROR(MINUS(DIVIDE(VLOOKUP($B1428,Data!$B$3:$EZ1530,24,FALSE),VLOOKUP($B1428,Data!$B$3:$EZ1530,25,FALSE)),1),"")</f>
        <v>0.0623100304</v>
      </c>
      <c r="K1428" s="48">
        <f>IFERROR(MINUS(DIVIDE(VLOOKUP($B1428,Data!$B$3:$EZ1530,29,FALSE),VLOOKUP($B1428,Data!$B$3:$EZ1530,30,FALSE)),1),"")</f>
        <v>0.03024193548</v>
      </c>
      <c r="L1428" s="48">
        <f>IFERROR(MINUS(DIVIDE(VLOOKUP($B1428,Data!$B$3:$EZ1530,34,FALSE),VLOOKUP($B1428,Data!$B$3:$EZ1530,35,FALSE)),1),"")</f>
        <v>0.1111111111</v>
      </c>
      <c r="M1428" s="48">
        <f>IFERROR(MINUS(DIVIDE(VLOOKUP($B1428,Data!$B$3:$EZ1530,39,FALSE),VLOOKUP($B1428,Data!$B$3:$EZ1530,40,FALSE)),1),"")</f>
        <v>-0.05405405405</v>
      </c>
      <c r="N1428" s="48">
        <f>IFERROR(MINUS(DIVIDE(VLOOKUP($B1428,Data!$B$3:$EZ1530,44,FALSE),VLOOKUP($B1428,Data!$B$3:$EZ1530,45,FALSE)),1),"")</f>
        <v>0.2479474548</v>
      </c>
      <c r="O1428" s="50">
        <f>IFERROR(VLOOKUP($B1428,Data!$B$3:$D1530,2,FALSE),"")</f>
        <v>26230000</v>
      </c>
      <c r="P1428" s="50">
        <f>IFERROR(VLOOKUP($B1428,Data!$B$3:$D1530,3,FALSE),"")</f>
        <v>22520000</v>
      </c>
      <c r="Q1428" s="48">
        <f t="shared" si="2"/>
        <v>0.1647424512</v>
      </c>
      <c r="R1428" s="48"/>
      <c r="S1428" s="48"/>
      <c r="T1428" s="48"/>
      <c r="U1428" s="48"/>
      <c r="V1428" s="48"/>
      <c r="W1428" s="50"/>
      <c r="Z1428" s="12"/>
      <c r="AA1428" s="12"/>
    </row>
    <row r="1429">
      <c r="A1429" s="9">
        <f t="shared" si="1"/>
        <v>1426</v>
      </c>
      <c r="B1429" s="47" t="s">
        <v>1563</v>
      </c>
      <c r="C1429" s="48">
        <f>IFERROR(DIVIDE(VLOOKUP($B1429,Data!$B$3:$AB$1535,9,FALSE),VLOOKUP($B1429,Data!$B$3:$AB$1535,4,FALSE)),"")</f>
        <v>0.2618776851</v>
      </c>
      <c r="D1429" s="48">
        <f>IFERROR(DIVIDE(VLOOKUP($B1429,Data!$B$3:$AB$1535,24,FALSE),VLOOKUP($B1429,Data!$B$3:$AB$1535,4,FALSE)),"")</f>
        <v>0.1847990902</v>
      </c>
      <c r="E1429" s="48">
        <f>IFERROR(DIVIDE(VLOOKUP($B1429,Data!$B$3:$EZ1530,29,FALSE),VLOOKUP($B1429,Data!$B$3:$EZ1530,4,FALSE)),"")</f>
        <v>0.1952236543</v>
      </c>
      <c r="F1429" s="48">
        <f>IFERROR(DIVIDE(VLOOKUP($B1429,Data!$B$3:$EZ1530,34,FALSE),VLOOKUP($B1429,Data!$B$3:$EZ1530,4,FALSE)),"")</f>
        <v>0.3025018954</v>
      </c>
      <c r="G1429" s="48">
        <f>IFERROR(DIVIDE(VLOOKUP($B1429,Data!$B$3:$EZ1530,39,FALSE),VLOOKUP($B1429,Data!$B$3:$EZ1530,4,FALSE)),"")</f>
        <v>0.164644933</v>
      </c>
      <c r="H1429" s="48">
        <f>IFERROR(DIVIDE(VLOOKUP($B1429,Data!$B$3:$EZ1530,44,FALSE),VLOOKUP($B1429,Data!$B$3:$EZ1530,4,FALSE)),"")</f>
        <v>0.2970053071</v>
      </c>
      <c r="I1429" s="48">
        <f>IFERROR(MINUS(DIVIDE(VLOOKUP($B1429,Data!$B$3:$EZ1530,9,FALSE),VLOOKUP($B1429,Data!$B$3:$EZ1530,10,FALSE)),1),"")</f>
        <v>0.3693425834</v>
      </c>
      <c r="J1429" s="48" t="str">
        <f>IFERROR(MINUS(DIVIDE(VLOOKUP($B1429,Data!$B$3:$EZ1530,24,FALSE),VLOOKUP($B1429,Data!$B$3:$EZ1530,25,FALSE)),1),"")</f>
        <v/>
      </c>
      <c r="K1429" s="48">
        <f>IFERROR(MINUS(DIVIDE(VLOOKUP($B1429,Data!$B$3:$EZ1530,29,FALSE),VLOOKUP($B1429,Data!$B$3:$EZ1530,30,FALSE)),1),"")</f>
        <v>0.4325452017</v>
      </c>
      <c r="L1429" s="48">
        <f>IFERROR(MINUS(DIVIDE(VLOOKUP($B1429,Data!$B$3:$EZ1530,34,FALSE),VLOOKUP($B1429,Data!$B$3:$EZ1530,35,FALSE)),1),"")</f>
        <v>0.273065674</v>
      </c>
      <c r="M1429" s="48">
        <f>IFERROR(MINUS(DIVIDE(VLOOKUP($B1429,Data!$B$3:$EZ1530,39,FALSE),VLOOKUP($B1429,Data!$B$3:$EZ1530,40,FALSE)),1),"")</f>
        <v>0.3235144744</v>
      </c>
      <c r="N1429" s="48">
        <f>IFERROR(MINUS(DIVIDE(VLOOKUP($B1429,Data!$B$3:$EZ1530,44,FALSE),VLOOKUP($B1429,Data!$B$3:$EZ1530,45,FALSE)),1),"")</f>
        <v>0.213474445</v>
      </c>
      <c r="O1429" s="50" t="str">
        <f>IFERROR(VLOOKUP($B1429,Data!$B$3:$D1530,2,FALSE),"")</f>
        <v/>
      </c>
      <c r="P1429" s="50" t="str">
        <f>IFERROR(VLOOKUP($B1429,Data!$B$3:$D1530,3,FALSE),"")</f>
        <v/>
      </c>
      <c r="Q1429" s="48" t="str">
        <f t="shared" si="2"/>
        <v/>
      </c>
      <c r="R1429" s="48"/>
      <c r="S1429" s="48"/>
      <c r="T1429" s="48"/>
      <c r="U1429" s="48"/>
      <c r="V1429" s="48"/>
      <c r="W1429" s="50"/>
      <c r="Z1429" s="12"/>
      <c r="AA1429" s="12"/>
    </row>
    <row r="1430">
      <c r="A1430" s="9">
        <f t="shared" si="1"/>
        <v>1427</v>
      </c>
      <c r="B1430" s="47" t="s">
        <v>1564</v>
      </c>
      <c r="C1430" s="48">
        <f>IFERROR(DIVIDE(VLOOKUP($B1430,Data!$B$3:$AB$1535,9,FALSE),VLOOKUP($B1430,Data!$B$3:$AB$1535,4,FALSE)),"")</f>
        <v>0.810254717</v>
      </c>
      <c r="D1430" s="48">
        <f>IFERROR(DIVIDE(VLOOKUP($B1430,Data!$B$3:$AB$1535,24,FALSE),VLOOKUP($B1430,Data!$B$3:$AB$1535,4,FALSE)),"")</f>
        <v>0</v>
      </c>
      <c r="E1430" s="48">
        <f>IFERROR(DIVIDE(VLOOKUP($B1430,Data!$B$3:$EZ1530,29,FALSE),VLOOKUP($B1430,Data!$B$3:$EZ1530,4,FALSE)),"")</f>
        <v>0.1419811321</v>
      </c>
      <c r="F1430" s="48">
        <f>IFERROR(DIVIDE(VLOOKUP($B1430,Data!$B$3:$EZ1530,34,FALSE),VLOOKUP($B1430,Data!$B$3:$EZ1530,4,FALSE)),"")</f>
        <v>0.1594150943</v>
      </c>
      <c r="G1430" s="48">
        <f>IFERROR(DIVIDE(VLOOKUP($B1430,Data!$B$3:$EZ1530,39,FALSE),VLOOKUP($B1430,Data!$B$3:$EZ1530,4,FALSE)),"")</f>
        <v>0.09483962264</v>
      </c>
      <c r="H1430" s="48">
        <f>IFERROR(DIVIDE(VLOOKUP($B1430,Data!$B$3:$EZ1530,44,FALSE),VLOOKUP($B1430,Data!$B$3:$EZ1530,4,FALSE)),"")</f>
        <v>0.1195566038</v>
      </c>
      <c r="I1430" s="48">
        <f>IFERROR(MINUS(DIVIDE(VLOOKUP($B1430,Data!$B$3:$EZ1530,9,FALSE),VLOOKUP($B1430,Data!$B$3:$EZ1530,10,FALSE)),1),"")</f>
        <v>-0.1162161328</v>
      </c>
      <c r="J1430" s="48" t="str">
        <f>IFERROR(MINUS(DIVIDE(VLOOKUP($B1430,Data!$B$3:$EZ1530,24,FALSE),VLOOKUP($B1430,Data!$B$3:$EZ1530,25,FALSE)),1),"")</f>
        <v/>
      </c>
      <c r="K1430" s="48">
        <f>IFERROR(MINUS(DIVIDE(VLOOKUP($B1430,Data!$B$3:$EZ1530,29,FALSE),VLOOKUP($B1430,Data!$B$3:$EZ1530,30,FALSE)),1),"")</f>
        <v>-0.2141402538</v>
      </c>
      <c r="L1430" s="48">
        <f>IFERROR(MINUS(DIVIDE(VLOOKUP($B1430,Data!$B$3:$EZ1530,34,FALSE),VLOOKUP($B1430,Data!$B$3:$EZ1530,35,FALSE)),1),"")</f>
        <v>-0.1760288668</v>
      </c>
      <c r="M1430" s="48">
        <f>IFERROR(MINUS(DIVIDE(VLOOKUP($B1430,Data!$B$3:$EZ1530,39,FALSE),VLOOKUP($B1430,Data!$B$3:$EZ1530,40,FALSE)),1),"")</f>
        <v>-0.2035335129</v>
      </c>
      <c r="N1430" s="48">
        <f>IFERROR(MINUS(DIVIDE(VLOOKUP($B1430,Data!$B$3:$EZ1530,44,FALSE),VLOOKUP($B1430,Data!$B$3:$EZ1530,45,FALSE)),1),"")</f>
        <v>-0.1669077044</v>
      </c>
      <c r="O1430" s="50">
        <f>IFERROR(VLOOKUP($B1430,Data!$B$3:$D1530,2,FALSE),"")</f>
        <v>1140000</v>
      </c>
      <c r="P1430" s="50">
        <f>IFERROR(VLOOKUP($B1430,Data!$B$3:$D1530,3,FALSE),"")</f>
        <v>1080000</v>
      </c>
      <c r="Q1430" s="48">
        <f t="shared" si="2"/>
        <v>0.05555555556</v>
      </c>
      <c r="R1430" s="48"/>
      <c r="S1430" s="48"/>
      <c r="T1430" s="48"/>
      <c r="U1430" s="48"/>
      <c r="V1430" s="48"/>
      <c r="W1430" s="50"/>
      <c r="Z1430" s="15"/>
      <c r="AA1430" s="15"/>
    </row>
    <row r="1431">
      <c r="A1431" s="9">
        <f t="shared" si="1"/>
        <v>1428</v>
      </c>
      <c r="B1431" s="47" t="s">
        <v>1565</v>
      </c>
      <c r="C1431" s="48">
        <f>IFERROR(DIVIDE(VLOOKUP($B1431,Data!$B$3:$AB$1535,9,FALSE),VLOOKUP($B1431,Data!$B$3:$AB$1535,4,FALSE)),"")</f>
        <v>0.9172413793</v>
      </c>
      <c r="D1431" s="48">
        <f>IFERROR(DIVIDE(VLOOKUP($B1431,Data!$B$3:$AB$1535,24,FALSE),VLOOKUP($B1431,Data!$B$3:$AB$1535,4,FALSE)),"")</f>
        <v>-0.1146206897</v>
      </c>
      <c r="E1431" s="48">
        <f>IFERROR(DIVIDE(VLOOKUP($B1431,Data!$B$3:$EZ1530,29,FALSE),VLOOKUP($B1431,Data!$B$3:$EZ1530,4,FALSE)),"")</f>
        <v>-0.1137931034</v>
      </c>
      <c r="F1431" s="48">
        <f>IFERROR(DIVIDE(VLOOKUP($B1431,Data!$B$3:$EZ1530,34,FALSE),VLOOKUP($B1431,Data!$B$3:$EZ1530,4,FALSE)),"")</f>
        <v>0.4600689655</v>
      </c>
      <c r="G1431" s="48">
        <f>IFERROR(DIVIDE(VLOOKUP($B1431,Data!$B$3:$EZ1530,39,FALSE),VLOOKUP($B1431,Data!$B$3:$EZ1530,4,FALSE)),"")</f>
        <v>-0.07206896552</v>
      </c>
      <c r="H1431" s="48">
        <f>IFERROR(DIVIDE(VLOOKUP($B1431,Data!$B$3:$EZ1530,44,FALSE),VLOOKUP($B1431,Data!$B$3:$EZ1530,4,FALSE)),"")</f>
        <v>-0.1424827586</v>
      </c>
      <c r="I1431" s="48">
        <f>IFERROR(MINUS(DIVIDE(VLOOKUP($B1431,Data!$B$3:$EZ1530,9,FALSE),VLOOKUP($B1431,Data!$B$3:$EZ1530,10,FALSE)),1),"")</f>
        <v>-0.06993006993</v>
      </c>
      <c r="J1431" s="48">
        <f>IFERROR(MINUS(DIVIDE(VLOOKUP($B1431,Data!$B$3:$EZ1530,24,FALSE),VLOOKUP($B1431,Data!$B$3:$EZ1530,25,FALSE)),1),"")</f>
        <v>-1.221040032</v>
      </c>
      <c r="K1431" s="48">
        <f>IFERROR(MINUS(DIVIDE(VLOOKUP($B1431,Data!$B$3:$EZ1530,29,FALSE),VLOOKUP($B1431,Data!$B$3:$EZ1530,30,FALSE)),1),"")</f>
        <v>-1.21741995</v>
      </c>
      <c r="L1431" s="48">
        <f>IFERROR(MINUS(DIVIDE(VLOOKUP($B1431,Data!$B$3:$EZ1530,34,FALSE),VLOOKUP($B1431,Data!$B$3:$EZ1530,35,FALSE)),1),"")</f>
        <v>-0.2121176332</v>
      </c>
      <c r="M1431" s="48">
        <f>IFERROR(MINUS(DIVIDE(VLOOKUP($B1431,Data!$B$3:$EZ1530,39,FALSE),VLOOKUP($B1431,Data!$B$3:$EZ1530,40,FALSE)),1),"")</f>
        <v>-1.177359131</v>
      </c>
      <c r="N1431" s="48">
        <f>IFERROR(MINUS(DIVIDE(VLOOKUP($B1431,Data!$B$3:$EZ1530,44,FALSE),VLOOKUP($B1431,Data!$B$3:$EZ1530,45,FALSE)),1),"")</f>
        <v>-1.265416238</v>
      </c>
      <c r="O1431" s="50">
        <f>IFERROR(VLOOKUP($B1431,Data!$B$3:$D1530,2,FALSE),"")</f>
        <v>1400000</v>
      </c>
      <c r="P1431" s="50">
        <f>IFERROR(VLOOKUP($B1431,Data!$B$3:$D1530,3,FALSE),"")</f>
        <v>1420000</v>
      </c>
      <c r="Q1431" s="48">
        <f t="shared" si="2"/>
        <v>-0.01408450704</v>
      </c>
      <c r="R1431" s="48"/>
      <c r="S1431" s="48"/>
      <c r="T1431" s="48"/>
      <c r="U1431" s="48"/>
      <c r="V1431" s="48"/>
      <c r="W1431" s="50"/>
      <c r="Z1431" s="12"/>
      <c r="AA1431" s="12"/>
    </row>
    <row r="1432">
      <c r="A1432" s="9">
        <f t="shared" si="1"/>
        <v>1429</v>
      </c>
      <c r="B1432" s="47" t="s">
        <v>1566</v>
      </c>
      <c r="C1432" s="48" t="str">
        <f>IFERROR(DIVIDE(VLOOKUP($B1432,Data!$B$3:$AB$1535,9,FALSE),VLOOKUP($B1432,Data!$B$3:$AB$1535,4,FALSE)),"")</f>
        <v/>
      </c>
      <c r="D1432" s="48" t="str">
        <f>IFERROR(DIVIDE(VLOOKUP($B1432,Data!$B$3:$AB$1535,24,FALSE),VLOOKUP($B1432,Data!$B$3:$AB$1535,4,FALSE)),"")</f>
        <v/>
      </c>
      <c r="E1432" s="48" t="str">
        <f>IFERROR(DIVIDE(VLOOKUP($B1432,Data!$B$3:$EZ1530,29,FALSE),VLOOKUP($B1432,Data!$B$3:$EZ1530,4,FALSE)),"")</f>
        <v/>
      </c>
      <c r="F1432" s="48" t="str">
        <f>IFERROR(DIVIDE(VLOOKUP($B1432,Data!$B$3:$EZ1530,34,FALSE),VLOOKUP($B1432,Data!$B$3:$EZ1530,4,FALSE)),"")</f>
        <v/>
      </c>
      <c r="G1432" s="48" t="str">
        <f>IFERROR(DIVIDE(VLOOKUP($B1432,Data!$B$3:$EZ1530,39,FALSE),VLOOKUP($B1432,Data!$B$3:$EZ1530,4,FALSE)),"")</f>
        <v/>
      </c>
      <c r="H1432" s="48" t="str">
        <f>IFERROR(DIVIDE(VLOOKUP($B1432,Data!$B$3:$EZ1530,44,FALSE),VLOOKUP($B1432,Data!$B$3:$EZ1530,4,FALSE)),"")</f>
        <v/>
      </c>
      <c r="I1432" s="48" t="str">
        <f>IFERROR(MINUS(DIVIDE(VLOOKUP($B1432,Data!$B$3:$EZ1530,9,FALSE),VLOOKUP($B1432,Data!$B$3:$EZ1530,10,FALSE)),1),"")</f>
        <v/>
      </c>
      <c r="J1432" s="48" t="str">
        <f>IFERROR(MINUS(DIVIDE(VLOOKUP($B1432,Data!$B$3:$EZ1530,24,FALSE),VLOOKUP($B1432,Data!$B$3:$EZ1530,25,FALSE)),1),"")</f>
        <v/>
      </c>
      <c r="K1432" s="48" t="str">
        <f>IFERROR(MINUS(DIVIDE(VLOOKUP($B1432,Data!$B$3:$EZ1530,29,FALSE),VLOOKUP($B1432,Data!$B$3:$EZ1530,30,FALSE)),1),"")</f>
        <v/>
      </c>
      <c r="L1432" s="48" t="str">
        <f>IFERROR(MINUS(DIVIDE(VLOOKUP($B1432,Data!$B$3:$EZ1530,34,FALSE),VLOOKUP($B1432,Data!$B$3:$EZ1530,35,FALSE)),1),"")</f>
        <v/>
      </c>
      <c r="M1432" s="48" t="str">
        <f>IFERROR(MINUS(DIVIDE(VLOOKUP($B1432,Data!$B$3:$EZ1530,39,FALSE),VLOOKUP($B1432,Data!$B$3:$EZ1530,40,FALSE)),1),"")</f>
        <v/>
      </c>
      <c r="N1432" s="48" t="str">
        <f>IFERROR(MINUS(DIVIDE(VLOOKUP($B1432,Data!$B$3:$EZ1530,44,FALSE),VLOOKUP($B1432,Data!$B$3:$EZ1530,45,FALSE)),1),"")</f>
        <v/>
      </c>
      <c r="O1432" s="50">
        <f>IFERROR(VLOOKUP($B1432,Data!$B$3:$D1530,2,FALSE),"")</f>
        <v>79030000</v>
      </c>
      <c r="P1432" s="50">
        <f>IFERROR(VLOOKUP($B1432,Data!$B$3:$D1530,3,FALSE),"")</f>
        <v>75350000</v>
      </c>
      <c r="Q1432" s="48">
        <f t="shared" si="2"/>
        <v>0.04883875249</v>
      </c>
      <c r="R1432" s="48"/>
      <c r="S1432" s="48"/>
      <c r="T1432" s="48"/>
      <c r="U1432" s="48"/>
      <c r="V1432" s="48"/>
      <c r="W1432" s="50"/>
      <c r="Z1432" s="15"/>
      <c r="AA1432" s="15"/>
    </row>
    <row r="1433">
      <c r="A1433" s="9">
        <f t="shared" si="1"/>
        <v>1430</v>
      </c>
      <c r="B1433" s="47" t="s">
        <v>1567</v>
      </c>
      <c r="C1433" s="48" t="str">
        <f>IFERROR(DIVIDE(VLOOKUP($B1433,Data!$B$3:$AB$1535,9,FALSE),VLOOKUP($B1433,Data!$B$3:$AB$1535,4,FALSE)),"")</f>
        <v/>
      </c>
      <c r="D1433" s="48" t="str">
        <f>IFERROR(DIVIDE(VLOOKUP($B1433,Data!$B$3:$AB$1535,24,FALSE),VLOOKUP($B1433,Data!$B$3:$AB$1535,4,FALSE)),"")</f>
        <v/>
      </c>
      <c r="E1433" s="48" t="str">
        <f>IFERROR(DIVIDE(VLOOKUP($B1433,Data!$B$3:$EZ1530,29,FALSE),VLOOKUP($B1433,Data!$B$3:$EZ1530,4,FALSE)),"")</f>
        <v/>
      </c>
      <c r="F1433" s="48" t="str">
        <f>IFERROR(DIVIDE(VLOOKUP($B1433,Data!$B$3:$EZ1530,34,FALSE),VLOOKUP($B1433,Data!$B$3:$EZ1530,4,FALSE)),"")</f>
        <v/>
      </c>
      <c r="G1433" s="48" t="str">
        <f>IFERROR(DIVIDE(VLOOKUP($B1433,Data!$B$3:$EZ1530,39,FALSE),VLOOKUP($B1433,Data!$B$3:$EZ1530,4,FALSE)),"")</f>
        <v/>
      </c>
      <c r="H1433" s="48" t="str">
        <f>IFERROR(DIVIDE(VLOOKUP($B1433,Data!$B$3:$EZ1530,44,FALSE),VLOOKUP($B1433,Data!$B$3:$EZ1530,4,FALSE)),"")</f>
        <v/>
      </c>
      <c r="I1433" s="48" t="str">
        <f>IFERROR(MINUS(DIVIDE(VLOOKUP($B1433,Data!$B$3:$EZ1530,9,FALSE),VLOOKUP($B1433,Data!$B$3:$EZ1530,10,FALSE)),1),"")</f>
        <v/>
      </c>
      <c r="J1433" s="48" t="str">
        <f>IFERROR(MINUS(DIVIDE(VLOOKUP($B1433,Data!$B$3:$EZ1530,24,FALSE),VLOOKUP($B1433,Data!$B$3:$EZ1530,25,FALSE)),1),"")</f>
        <v/>
      </c>
      <c r="K1433" s="48" t="str">
        <f>IFERROR(MINUS(DIVIDE(VLOOKUP($B1433,Data!$B$3:$EZ1530,29,FALSE),VLOOKUP($B1433,Data!$B$3:$EZ1530,30,FALSE)),1),"")</f>
        <v/>
      </c>
      <c r="L1433" s="48" t="str">
        <f>IFERROR(MINUS(DIVIDE(VLOOKUP($B1433,Data!$B$3:$EZ1530,34,FALSE),VLOOKUP($B1433,Data!$B$3:$EZ1530,35,FALSE)),1),"")</f>
        <v/>
      </c>
      <c r="M1433" s="48" t="str">
        <f>IFERROR(MINUS(DIVIDE(VLOOKUP($B1433,Data!$B$3:$EZ1530,39,FALSE),VLOOKUP($B1433,Data!$B$3:$EZ1530,40,FALSE)),1),"")</f>
        <v/>
      </c>
      <c r="N1433" s="48" t="str">
        <f>IFERROR(MINUS(DIVIDE(VLOOKUP($B1433,Data!$B$3:$EZ1530,44,FALSE),VLOOKUP($B1433,Data!$B$3:$EZ1530,45,FALSE)),1),"")</f>
        <v/>
      </c>
      <c r="O1433" s="50" t="str">
        <f>IFERROR(VLOOKUP($B1433,Data!$B$3:$D1530,2,FALSE),"")</f>
        <v/>
      </c>
      <c r="P1433" s="50" t="str">
        <f>IFERROR(VLOOKUP($B1433,Data!$B$3:$D1530,3,FALSE),"")</f>
        <v/>
      </c>
      <c r="Q1433" s="48" t="str">
        <f t="shared" si="2"/>
        <v/>
      </c>
      <c r="R1433" s="48"/>
      <c r="S1433" s="48"/>
      <c r="T1433" s="48"/>
      <c r="U1433" s="48"/>
      <c r="V1433" s="48"/>
      <c r="W1433" s="50"/>
      <c r="Z1433" s="11"/>
      <c r="AA1433" s="11"/>
    </row>
    <row r="1434">
      <c r="A1434" s="9">
        <f t="shared" si="1"/>
        <v>1431</v>
      </c>
      <c r="B1434" s="47" t="s">
        <v>1568</v>
      </c>
      <c r="C1434" s="48" t="str">
        <f>IFERROR(DIVIDE(VLOOKUP($B1434,Data!$B$3:$AB$1535,9,FALSE),VLOOKUP($B1434,Data!$B$3:$AB$1535,4,FALSE)),"")</f>
        <v/>
      </c>
      <c r="D1434" s="48" t="str">
        <f>IFERROR(DIVIDE(VLOOKUP($B1434,Data!$B$3:$AB$1535,24,FALSE),VLOOKUP($B1434,Data!$B$3:$AB$1535,4,FALSE)),"")</f>
        <v/>
      </c>
      <c r="E1434" s="48" t="str">
        <f>IFERROR(DIVIDE(VLOOKUP($B1434,Data!$B$3:$EZ1530,29,FALSE),VLOOKUP($B1434,Data!$B$3:$EZ1530,4,FALSE)),"")</f>
        <v/>
      </c>
      <c r="F1434" s="48" t="str">
        <f>IFERROR(DIVIDE(VLOOKUP($B1434,Data!$B$3:$EZ1530,34,FALSE),VLOOKUP($B1434,Data!$B$3:$EZ1530,4,FALSE)),"")</f>
        <v/>
      </c>
      <c r="G1434" s="48" t="str">
        <f>IFERROR(DIVIDE(VLOOKUP($B1434,Data!$B$3:$EZ1530,39,FALSE),VLOOKUP($B1434,Data!$B$3:$EZ1530,4,FALSE)),"")</f>
        <v/>
      </c>
      <c r="H1434" s="48" t="str">
        <f>IFERROR(DIVIDE(VLOOKUP($B1434,Data!$B$3:$EZ1530,44,FALSE),VLOOKUP($B1434,Data!$B$3:$EZ1530,4,FALSE)),"")</f>
        <v/>
      </c>
      <c r="I1434" s="48" t="str">
        <f>IFERROR(MINUS(DIVIDE(VLOOKUP($B1434,Data!$B$3:$EZ1530,9,FALSE),VLOOKUP($B1434,Data!$B$3:$EZ1530,10,FALSE)),1),"")</f>
        <v/>
      </c>
      <c r="J1434" s="48" t="str">
        <f>IFERROR(MINUS(DIVIDE(VLOOKUP($B1434,Data!$B$3:$EZ1530,24,FALSE),VLOOKUP($B1434,Data!$B$3:$EZ1530,25,FALSE)),1),"")</f>
        <v/>
      </c>
      <c r="K1434" s="48" t="str">
        <f>IFERROR(MINUS(DIVIDE(VLOOKUP($B1434,Data!$B$3:$EZ1530,29,FALSE),VLOOKUP($B1434,Data!$B$3:$EZ1530,30,FALSE)),1),"")</f>
        <v/>
      </c>
      <c r="L1434" s="48" t="str">
        <f>IFERROR(MINUS(DIVIDE(VLOOKUP($B1434,Data!$B$3:$EZ1530,34,FALSE),VLOOKUP($B1434,Data!$B$3:$EZ1530,35,FALSE)),1),"")</f>
        <v/>
      </c>
      <c r="M1434" s="48" t="str">
        <f>IFERROR(MINUS(DIVIDE(VLOOKUP($B1434,Data!$B$3:$EZ1530,39,FALSE),VLOOKUP($B1434,Data!$B$3:$EZ1530,40,FALSE)),1),"")</f>
        <v/>
      </c>
      <c r="N1434" s="48" t="str">
        <f>IFERROR(MINUS(DIVIDE(VLOOKUP($B1434,Data!$B$3:$EZ1530,44,FALSE),VLOOKUP($B1434,Data!$B$3:$EZ1530,45,FALSE)),1),"")</f>
        <v/>
      </c>
      <c r="O1434" s="50">
        <f>IFERROR(VLOOKUP($B1434,Data!$B$3:$D1530,2,FALSE),"")</f>
        <v>4000000</v>
      </c>
      <c r="P1434" s="50">
        <f>IFERROR(VLOOKUP($B1434,Data!$B$3:$D1530,3,FALSE),"")</f>
        <v>3070000</v>
      </c>
      <c r="Q1434" s="48">
        <f t="shared" si="2"/>
        <v>0.3029315961</v>
      </c>
      <c r="R1434" s="48"/>
      <c r="S1434" s="48"/>
      <c r="T1434" s="48"/>
      <c r="U1434" s="48"/>
      <c r="V1434" s="48"/>
      <c r="W1434" s="50"/>
      <c r="Z1434" s="15"/>
      <c r="AA1434" s="15"/>
    </row>
    <row r="1435">
      <c r="A1435" s="9">
        <f t="shared" si="1"/>
        <v>1432</v>
      </c>
      <c r="B1435" s="47" t="s">
        <v>1569</v>
      </c>
      <c r="C1435" s="48">
        <f>IFERROR(DIVIDE(VLOOKUP($B1435,Data!$B$3:$AB$1535,9,FALSE),VLOOKUP($B1435,Data!$B$3:$AB$1535,4,FALSE)),"")</f>
        <v>0.424919268</v>
      </c>
      <c r="D1435" s="48">
        <f>IFERROR(DIVIDE(VLOOKUP($B1435,Data!$B$3:$AB$1535,24,FALSE),VLOOKUP($B1435,Data!$B$3:$AB$1535,4,FALSE)),"")</f>
        <v>0.05382131324</v>
      </c>
      <c r="E1435" s="48">
        <f>IFERROR(DIVIDE(VLOOKUP($B1435,Data!$B$3:$EZ1530,29,FALSE),VLOOKUP($B1435,Data!$B$3:$EZ1530,4,FALSE)),"")</f>
        <v>-0.0573196986</v>
      </c>
      <c r="F1435" s="48">
        <f>IFERROR(DIVIDE(VLOOKUP($B1435,Data!$B$3:$EZ1530,34,FALSE),VLOOKUP($B1435,Data!$B$3:$EZ1530,4,FALSE)),"")</f>
        <v>0.2941334769</v>
      </c>
      <c r="G1435" s="48">
        <f>IFERROR(DIVIDE(VLOOKUP($B1435,Data!$B$3:$EZ1530,39,FALSE),VLOOKUP($B1435,Data!$B$3:$EZ1530,4,FALSE)),"")</f>
        <v>-0.04487351991</v>
      </c>
      <c r="H1435" s="48">
        <f>IFERROR(DIVIDE(VLOOKUP($B1435,Data!$B$3:$EZ1530,44,FALSE),VLOOKUP($B1435,Data!$B$3:$EZ1530,4,FALSE)),"")</f>
        <v>0.327704521</v>
      </c>
      <c r="I1435" s="48">
        <f>IFERROR(MINUS(DIVIDE(VLOOKUP($B1435,Data!$B$3:$EZ1530,9,FALSE),VLOOKUP($B1435,Data!$B$3:$EZ1530,10,FALSE)),1),"")</f>
        <v>0.2125167978</v>
      </c>
      <c r="J1435" s="48">
        <f>IFERROR(MINUS(DIVIDE(VLOOKUP($B1435,Data!$B$3:$EZ1530,24,FALSE),VLOOKUP($B1435,Data!$B$3:$EZ1530,25,FALSE)),1),"")</f>
        <v>-0.8198198198</v>
      </c>
      <c r="K1435" s="48">
        <f>IFERROR(MINUS(DIVIDE(VLOOKUP($B1435,Data!$B$3:$EZ1530,29,FALSE),VLOOKUP($B1435,Data!$B$3:$EZ1530,30,FALSE)),1),"")</f>
        <v>-1.330104611</v>
      </c>
      <c r="L1435" s="48">
        <f>IFERROR(MINUS(DIVIDE(VLOOKUP($B1435,Data!$B$3:$EZ1530,34,FALSE),VLOOKUP($B1435,Data!$B$3:$EZ1530,35,FALSE)),1),"")</f>
        <v>-0.2781905234</v>
      </c>
      <c r="M1435" s="48">
        <f>IFERROR(MINUS(DIVIDE(VLOOKUP($B1435,Data!$B$3:$EZ1530,39,FALSE),VLOOKUP($B1435,Data!$B$3:$EZ1530,40,FALSE)),1),"")</f>
        <v>-1.256834809</v>
      </c>
      <c r="N1435" s="48">
        <f>IFERROR(MINUS(DIVIDE(VLOOKUP($B1435,Data!$B$3:$EZ1530,44,FALSE),VLOOKUP($B1435,Data!$B$3:$EZ1530,45,FALSE)),1),"")</f>
        <v>-0.002661752662</v>
      </c>
      <c r="O1435" s="50">
        <f>IFERROR(VLOOKUP($B1435,Data!$B$3:$D1530,2,FALSE),"")</f>
        <v>34700000</v>
      </c>
      <c r="P1435" s="50">
        <f>IFERROR(VLOOKUP($B1435,Data!$B$3:$D1530,3,FALSE),"")</f>
        <v>31890000</v>
      </c>
      <c r="Q1435" s="48">
        <f t="shared" si="2"/>
        <v>0.08811539668</v>
      </c>
      <c r="R1435" s="48"/>
      <c r="S1435" s="48"/>
      <c r="T1435" s="48"/>
      <c r="U1435" s="48"/>
      <c r="V1435" s="48"/>
      <c r="W1435" s="50"/>
      <c r="Z1435" s="12"/>
      <c r="AA1435" s="12"/>
    </row>
    <row r="1436">
      <c r="A1436" s="9">
        <f t="shared" si="1"/>
        <v>1433</v>
      </c>
      <c r="B1436" s="47" t="s">
        <v>1570</v>
      </c>
      <c r="C1436" s="48">
        <f>IFERROR(DIVIDE(VLOOKUP($B1436,Data!$B$3:$AB$1535,9,FALSE),VLOOKUP($B1436,Data!$B$3:$AB$1535,4,FALSE)),"")</f>
        <v>-3.103603604</v>
      </c>
      <c r="D1436" s="48">
        <f>IFERROR(DIVIDE(VLOOKUP($B1436,Data!$B$3:$AB$1535,24,FALSE),VLOOKUP($B1436,Data!$B$3:$AB$1535,4,FALSE)),"")</f>
        <v>-23.6036036</v>
      </c>
      <c r="E1436" s="48">
        <f>IFERROR(DIVIDE(VLOOKUP($B1436,Data!$B$3:$EZ1530,29,FALSE),VLOOKUP($B1436,Data!$B$3:$EZ1530,4,FALSE)),"")</f>
        <v>-24.68918919</v>
      </c>
      <c r="F1436" s="48">
        <f>IFERROR(DIVIDE(VLOOKUP($B1436,Data!$B$3:$EZ1530,34,FALSE),VLOOKUP($B1436,Data!$B$3:$EZ1530,4,FALSE)),"")</f>
        <v>-20.22522523</v>
      </c>
      <c r="G1436" s="48">
        <f>IFERROR(DIVIDE(VLOOKUP($B1436,Data!$B$3:$EZ1530,39,FALSE),VLOOKUP($B1436,Data!$B$3:$EZ1530,4,FALSE)),"")</f>
        <v>-24.68918919</v>
      </c>
      <c r="H1436" s="48">
        <f>IFERROR(DIVIDE(VLOOKUP($B1436,Data!$B$3:$EZ1530,44,FALSE),VLOOKUP($B1436,Data!$B$3:$EZ1530,4,FALSE)),"")</f>
        <v>-21.94144144</v>
      </c>
      <c r="I1436" s="48">
        <f>IFERROR(MINUS(DIVIDE(VLOOKUP($B1436,Data!$B$3:$EZ1530,9,FALSE),VLOOKUP($B1436,Data!$B$3:$EZ1530,10,FALSE)),1),"")</f>
        <v>4.991304348</v>
      </c>
      <c r="J1436" s="48">
        <f>IFERROR(MINUS(DIVIDE(VLOOKUP($B1436,Data!$B$3:$EZ1530,24,FALSE),VLOOKUP($B1436,Data!$B$3:$EZ1530,25,FALSE)),1),"")</f>
        <v>-0.1325939414</v>
      </c>
      <c r="K1436" s="48">
        <f>IFERROR(MINUS(DIVIDE(VLOOKUP($B1436,Data!$B$3:$EZ1530,29,FALSE),VLOOKUP($B1436,Data!$B$3:$EZ1530,30,FALSE)),1),"")</f>
        <v>-0.1382075472</v>
      </c>
      <c r="L1436" s="48">
        <f>IFERROR(MINUS(DIVIDE(VLOOKUP($B1436,Data!$B$3:$EZ1530,34,FALSE),VLOOKUP($B1436,Data!$B$3:$EZ1530,35,FALSE)),1),"")</f>
        <v>-0.2465178721</v>
      </c>
      <c r="M1436" s="48">
        <f>IFERROR(MINUS(DIVIDE(VLOOKUP($B1436,Data!$B$3:$EZ1530,39,FALSE),VLOOKUP($B1436,Data!$B$3:$EZ1530,40,FALSE)),1),"")</f>
        <v>-0.1382075472</v>
      </c>
      <c r="N1436" s="48">
        <f>IFERROR(MINUS(DIVIDE(VLOOKUP($B1436,Data!$B$3:$EZ1530,44,FALSE),VLOOKUP($B1436,Data!$B$3:$EZ1530,45,FALSE)),1),"")</f>
        <v>0.06984405886</v>
      </c>
      <c r="O1436" s="50">
        <f>IFERROR(VLOOKUP($B1436,Data!$B$3:$D1530,2,FALSE),"")</f>
        <v>1800</v>
      </c>
      <c r="P1436" s="50" t="str">
        <f>IFERROR(VLOOKUP($B1436,Data!$B$3:$D1530,3,FALSE),"")</f>
        <v/>
      </c>
      <c r="Q1436" s="48" t="str">
        <f t="shared" si="2"/>
        <v/>
      </c>
      <c r="R1436" s="48"/>
      <c r="S1436" s="48"/>
      <c r="T1436" s="48"/>
      <c r="U1436" s="48"/>
      <c r="V1436" s="48"/>
      <c r="W1436" s="50"/>
      <c r="Z1436" s="15"/>
      <c r="AA1436" s="15"/>
    </row>
    <row r="1437">
      <c r="A1437" s="9">
        <f t="shared" si="1"/>
        <v>1434</v>
      </c>
      <c r="B1437" s="47" t="s">
        <v>1571</v>
      </c>
      <c r="C1437" s="48">
        <f>IFERROR(DIVIDE(VLOOKUP($B1437,Data!$B$3:$AB$1535,9,FALSE),VLOOKUP($B1437,Data!$B$3:$AB$1535,4,FALSE)),"")</f>
        <v>0.6812049215</v>
      </c>
      <c r="D1437" s="48">
        <f>IFERROR(DIVIDE(VLOOKUP($B1437,Data!$B$3:$AB$1535,24,FALSE),VLOOKUP($B1437,Data!$B$3:$AB$1535,4,FALSE)),"")</f>
        <v>0</v>
      </c>
      <c r="E1437" s="48">
        <f>IFERROR(DIVIDE(VLOOKUP($B1437,Data!$B$3:$EZ1530,29,FALSE),VLOOKUP($B1437,Data!$B$3:$EZ1530,4,FALSE)),"")</f>
        <v>-0.08205345779</v>
      </c>
      <c r="F1437" s="48">
        <f>IFERROR(DIVIDE(VLOOKUP($B1437,Data!$B$3:$EZ1530,34,FALSE),VLOOKUP($B1437,Data!$B$3:$EZ1530,4,FALSE)),"")</f>
        <v>-0.05702163768</v>
      </c>
      <c r="G1437" s="48">
        <f>IFERROR(DIVIDE(VLOOKUP($B1437,Data!$B$3:$EZ1530,39,FALSE),VLOOKUP($B1437,Data!$B$3:$EZ1530,4,FALSE)),"")</f>
        <v>-0.08205345779</v>
      </c>
      <c r="H1437" s="48">
        <f>IFERROR(DIVIDE(VLOOKUP($B1437,Data!$B$3:$EZ1530,44,FALSE),VLOOKUP($B1437,Data!$B$3:$EZ1530,4,FALSE)),"")</f>
        <v>-0.03962664404</v>
      </c>
      <c r="I1437" s="48">
        <f>IFERROR(MINUS(DIVIDE(VLOOKUP($B1437,Data!$B$3:$EZ1530,9,FALSE),VLOOKUP($B1437,Data!$B$3:$EZ1530,10,FALSE)),1),"")</f>
        <v>0.3676320273</v>
      </c>
      <c r="J1437" s="48">
        <f>IFERROR(MINUS(DIVIDE(VLOOKUP($B1437,Data!$B$3:$EZ1530,24,FALSE),VLOOKUP($B1437,Data!$B$3:$EZ1530,25,FALSE)),1),"")</f>
        <v>-1</v>
      </c>
      <c r="K1437" s="48">
        <f>IFERROR(MINUS(DIVIDE(VLOOKUP($B1437,Data!$B$3:$EZ1530,29,FALSE),VLOOKUP($B1437,Data!$B$3:$EZ1530,30,FALSE)),1),"")</f>
        <v>0.187960688</v>
      </c>
      <c r="L1437" s="48">
        <f>IFERROR(MINUS(DIVIDE(VLOOKUP($B1437,Data!$B$3:$EZ1530,34,FALSE),VLOOKUP($B1437,Data!$B$3:$EZ1530,35,FALSE)),1),"")</f>
        <v>1.709677419</v>
      </c>
      <c r="M1437" s="48">
        <f>IFERROR(MINUS(DIVIDE(VLOOKUP($B1437,Data!$B$3:$EZ1530,39,FALSE),VLOOKUP($B1437,Data!$B$3:$EZ1530,40,FALSE)),1),"")</f>
        <v>0.187960688</v>
      </c>
      <c r="N1437" s="48">
        <f>IFERROR(MINUS(DIVIDE(VLOOKUP($B1437,Data!$B$3:$EZ1530,44,FALSE),VLOOKUP($B1437,Data!$B$3:$EZ1530,45,FALSE)),1),"")</f>
        <v>10.33495146</v>
      </c>
      <c r="O1437" s="50">
        <f>IFERROR(VLOOKUP($B1437,Data!$B$3:$D1530,2,FALSE),"")</f>
        <v>159710</v>
      </c>
      <c r="P1437" s="50">
        <f>IFERROR(VLOOKUP($B1437,Data!$B$3:$D1530,3,FALSE),"")</f>
        <v>118310</v>
      </c>
      <c r="Q1437" s="48">
        <f t="shared" si="2"/>
        <v>0.3499281548</v>
      </c>
      <c r="R1437" s="48"/>
      <c r="S1437" s="48"/>
      <c r="T1437" s="48"/>
      <c r="U1437" s="48"/>
      <c r="V1437" s="48"/>
      <c r="W1437" s="50"/>
      <c r="Z1437" s="15"/>
      <c r="AA1437" s="15"/>
    </row>
    <row r="1438">
      <c r="A1438" s="9">
        <f t="shared" si="1"/>
        <v>1435</v>
      </c>
      <c r="B1438" s="47" t="s">
        <v>1572</v>
      </c>
      <c r="C1438" s="48">
        <f>IFERROR(DIVIDE(VLOOKUP($B1438,Data!$B$3:$AB$1535,9,FALSE),VLOOKUP($B1438,Data!$B$3:$AB$1535,4,FALSE)),"")</f>
        <v>0.1434034417</v>
      </c>
      <c r="D1438" s="48">
        <f>IFERROR(DIVIDE(VLOOKUP($B1438,Data!$B$3:$AB$1535,24,FALSE),VLOOKUP($B1438,Data!$B$3:$AB$1535,4,FALSE)),"")</f>
        <v>0</v>
      </c>
      <c r="E1438" s="48">
        <f>IFERROR(DIVIDE(VLOOKUP($B1438,Data!$B$3:$EZ1530,29,FALSE),VLOOKUP($B1438,Data!$B$3:$EZ1530,4,FALSE)),"")</f>
        <v>-60.91778203</v>
      </c>
      <c r="F1438" s="48">
        <f>IFERROR(DIVIDE(VLOOKUP($B1438,Data!$B$3:$EZ1530,34,FALSE),VLOOKUP($B1438,Data!$B$3:$EZ1530,4,FALSE)),"")</f>
        <v>-60.7456979</v>
      </c>
      <c r="G1438" s="48">
        <f>IFERROR(DIVIDE(VLOOKUP($B1438,Data!$B$3:$EZ1530,39,FALSE),VLOOKUP($B1438,Data!$B$3:$EZ1530,4,FALSE)),"")</f>
        <v>-60.91778203</v>
      </c>
      <c r="H1438" s="48">
        <f>IFERROR(DIVIDE(VLOOKUP($B1438,Data!$B$3:$EZ1530,44,FALSE),VLOOKUP($B1438,Data!$B$3:$EZ1530,4,FALSE)),"")</f>
        <v>-58.73804971</v>
      </c>
      <c r="I1438" s="48">
        <f>IFERROR(MINUS(DIVIDE(VLOOKUP($B1438,Data!$B$3:$EZ1530,9,FALSE),VLOOKUP($B1438,Data!$B$3:$EZ1530,10,FALSE)),1),"")</f>
        <v>-1.242718447</v>
      </c>
      <c r="J1438" s="48">
        <f>IFERROR(MINUS(DIVIDE(VLOOKUP($B1438,Data!$B$3:$EZ1530,24,FALSE),VLOOKUP($B1438,Data!$B$3:$EZ1530,25,FALSE)),1),"")</f>
        <v>-1</v>
      </c>
      <c r="K1438" s="48">
        <f>IFERROR(MINUS(DIVIDE(VLOOKUP($B1438,Data!$B$3:$EZ1530,29,FALSE),VLOOKUP($B1438,Data!$B$3:$EZ1530,30,FALSE)),1),"")</f>
        <v>0.07926829268</v>
      </c>
      <c r="L1438" s="48">
        <f>IFERROR(MINUS(DIVIDE(VLOOKUP($B1438,Data!$B$3:$EZ1530,34,FALSE),VLOOKUP($B1438,Data!$B$3:$EZ1530,35,FALSE)),1),"")</f>
        <v>0.1740576497</v>
      </c>
      <c r="M1438" s="48">
        <f>IFERROR(MINUS(DIVIDE(VLOOKUP($B1438,Data!$B$3:$EZ1530,39,FALSE),VLOOKUP($B1438,Data!$B$3:$EZ1530,40,FALSE)),1),"")</f>
        <v>0.07926829268</v>
      </c>
      <c r="N1438" s="48">
        <f>IFERROR(MINUS(DIVIDE(VLOOKUP($B1438,Data!$B$3:$EZ1530,44,FALSE),VLOOKUP($B1438,Data!$B$3:$EZ1530,45,FALSE)),1),"")</f>
        <v>0.2151898734</v>
      </c>
      <c r="O1438" s="50">
        <f>IFERROR(VLOOKUP($B1438,Data!$B$3:$D1530,2,FALSE),"")</f>
        <v>9200</v>
      </c>
      <c r="P1438" s="50" t="str">
        <f>IFERROR(VLOOKUP($B1438,Data!$B$3:$D1530,3,FALSE),"")</f>
        <v/>
      </c>
      <c r="Q1438" s="48" t="str">
        <f t="shared" si="2"/>
        <v/>
      </c>
      <c r="R1438" s="48"/>
      <c r="S1438" s="48"/>
      <c r="T1438" s="48"/>
      <c r="U1438" s="48"/>
      <c r="V1438" s="48"/>
      <c r="W1438" s="50"/>
      <c r="Z1438" s="11"/>
      <c r="AA1438" s="12"/>
    </row>
    <row r="1439">
      <c r="A1439" s="9">
        <f t="shared" si="1"/>
        <v>1436</v>
      </c>
      <c r="B1439" s="47" t="s">
        <v>1573</v>
      </c>
      <c r="C1439" s="48">
        <f>IFERROR(DIVIDE(VLOOKUP($B1439,Data!$B$3:$AB$1535,9,FALSE),VLOOKUP($B1439,Data!$B$3:$AB$1535,4,FALSE)),"")</f>
        <v>0.670848218</v>
      </c>
      <c r="D1439" s="48">
        <f>IFERROR(DIVIDE(VLOOKUP($B1439,Data!$B$3:$AB$1535,24,FALSE),VLOOKUP($B1439,Data!$B$3:$AB$1535,4,FALSE)),"")</f>
        <v>0</v>
      </c>
      <c r="E1439" s="48">
        <f>IFERROR(DIVIDE(VLOOKUP($B1439,Data!$B$3:$EZ1530,29,FALSE),VLOOKUP($B1439,Data!$B$3:$EZ1530,4,FALSE)),"")</f>
        <v>0</v>
      </c>
      <c r="F1439" s="48">
        <f>IFERROR(DIVIDE(VLOOKUP($B1439,Data!$B$3:$EZ1530,34,FALSE),VLOOKUP($B1439,Data!$B$3:$EZ1530,4,FALSE)),"")</f>
        <v>0</v>
      </c>
      <c r="G1439" s="48">
        <f>IFERROR(DIVIDE(VLOOKUP($B1439,Data!$B$3:$EZ1530,39,FALSE),VLOOKUP($B1439,Data!$B$3:$EZ1530,4,FALSE)),"")</f>
        <v>0</v>
      </c>
      <c r="H1439" s="48">
        <f>IFERROR(DIVIDE(VLOOKUP($B1439,Data!$B$3:$EZ1530,44,FALSE),VLOOKUP($B1439,Data!$B$3:$EZ1530,4,FALSE)),"")</f>
        <v>0</v>
      </c>
      <c r="I1439" s="48">
        <f>IFERROR(MINUS(DIVIDE(VLOOKUP($B1439,Data!$B$3:$EZ1530,9,FALSE),VLOOKUP($B1439,Data!$B$3:$EZ1530,10,FALSE)),1),"")</f>
        <v>0.4468733202</v>
      </c>
      <c r="J1439" s="48" t="str">
        <f>IFERROR(MINUS(DIVIDE(VLOOKUP($B1439,Data!$B$3:$EZ1530,24,FALSE),VLOOKUP($B1439,Data!$B$3:$EZ1530,25,FALSE)),1),"")</f>
        <v/>
      </c>
      <c r="K1439" s="48" t="str">
        <f>IFERROR(MINUS(DIVIDE(VLOOKUP($B1439,Data!$B$3:$EZ1530,29,FALSE),VLOOKUP($B1439,Data!$B$3:$EZ1530,30,FALSE)),1),"")</f>
        <v/>
      </c>
      <c r="L1439" s="48" t="str">
        <f>IFERROR(MINUS(DIVIDE(VLOOKUP($B1439,Data!$B$3:$EZ1530,34,FALSE),VLOOKUP($B1439,Data!$B$3:$EZ1530,35,FALSE)),1),"")</f>
        <v/>
      </c>
      <c r="M1439" s="48" t="str">
        <f>IFERROR(MINUS(DIVIDE(VLOOKUP($B1439,Data!$B$3:$EZ1530,39,FALSE),VLOOKUP($B1439,Data!$B$3:$EZ1530,40,FALSE)),1),"")</f>
        <v/>
      </c>
      <c r="N1439" s="48" t="str">
        <f>IFERROR(MINUS(DIVIDE(VLOOKUP($B1439,Data!$B$3:$EZ1530,44,FALSE),VLOOKUP($B1439,Data!$B$3:$EZ1530,45,FALSE)),1),"")</f>
        <v/>
      </c>
      <c r="O1439" s="50">
        <f>IFERROR(VLOOKUP($B1439,Data!$B$3:$D1530,2,FALSE),"")</f>
        <v>159600</v>
      </c>
      <c r="P1439" s="50">
        <f>IFERROR(VLOOKUP($B1439,Data!$B$3:$D1530,3,FALSE),"")</f>
        <v>107280</v>
      </c>
      <c r="Q1439" s="48">
        <f t="shared" si="2"/>
        <v>0.4876957494</v>
      </c>
      <c r="R1439" s="48"/>
      <c r="S1439" s="48"/>
      <c r="T1439" s="48"/>
      <c r="U1439" s="48"/>
      <c r="V1439" s="48"/>
      <c r="W1439" s="50"/>
      <c r="Z1439" s="11"/>
      <c r="AA1439" s="11"/>
    </row>
    <row r="1440">
      <c r="A1440" s="9">
        <f t="shared" si="1"/>
        <v>1437</v>
      </c>
      <c r="B1440" s="47" t="s">
        <v>1574</v>
      </c>
      <c r="C1440" s="48">
        <f>IFERROR(DIVIDE(VLOOKUP($B1440,Data!$B$3:$AB$1535,9,FALSE),VLOOKUP($B1440,Data!$B$3:$AB$1535,4,FALSE)),"")</f>
        <v>0.3364969596</v>
      </c>
      <c r="D1440" s="48">
        <f>IFERROR(DIVIDE(VLOOKUP($B1440,Data!$B$3:$AB$1535,24,FALSE),VLOOKUP($B1440,Data!$B$3:$AB$1535,4,FALSE)),"")</f>
        <v>-0.1444855133</v>
      </c>
      <c r="E1440" s="48">
        <f>IFERROR(DIVIDE(VLOOKUP($B1440,Data!$B$3:$EZ1530,29,FALSE),VLOOKUP($B1440,Data!$B$3:$EZ1530,4,FALSE)),"")</f>
        <v>-0.1859067605</v>
      </c>
      <c r="F1440" s="48">
        <f>IFERROR(DIVIDE(VLOOKUP($B1440,Data!$B$3:$EZ1530,34,FALSE),VLOOKUP($B1440,Data!$B$3:$EZ1530,4,FALSE)),"")</f>
        <v>0.01240014308</v>
      </c>
      <c r="G1440" s="48">
        <f>IFERROR(DIVIDE(VLOOKUP($B1440,Data!$B$3:$EZ1530,39,FALSE),VLOOKUP($B1440,Data!$B$3:$EZ1530,4,FALSE)),"")</f>
        <v>-0.1877429355</v>
      </c>
      <c r="H1440" s="48">
        <f>IFERROR(DIVIDE(VLOOKUP($B1440,Data!$B$3:$EZ1530,44,FALSE),VLOOKUP($B1440,Data!$B$3:$EZ1530,4,FALSE)),"")</f>
        <v>-0.01769405032</v>
      </c>
      <c r="I1440" s="48">
        <f>IFERROR(MINUS(DIVIDE(VLOOKUP($B1440,Data!$B$3:$EZ1530,9,FALSE),VLOOKUP($B1440,Data!$B$3:$EZ1530,10,FALSE)),1),"")</f>
        <v>-0.1255499783</v>
      </c>
      <c r="J1440" s="48">
        <f>IFERROR(MINUS(DIVIDE(VLOOKUP($B1440,Data!$B$3:$EZ1530,24,FALSE),VLOOKUP($B1440,Data!$B$3:$EZ1530,25,FALSE)),1),"")</f>
        <v>-0.853933126</v>
      </c>
      <c r="K1440" s="48">
        <f>IFERROR(MINUS(DIVIDE(VLOOKUP($B1440,Data!$B$3:$EZ1530,29,FALSE),VLOOKUP($B1440,Data!$B$3:$EZ1530,30,FALSE)),1),"")</f>
        <v>-0.8202982735</v>
      </c>
      <c r="L1440" s="48">
        <f>IFERROR(MINUS(DIVIDE(VLOOKUP($B1440,Data!$B$3:$EZ1530,34,FALSE),VLOOKUP($B1440,Data!$B$3:$EZ1530,35,FALSE)),1),"")</f>
        <v>-0.7587006961</v>
      </c>
      <c r="M1440" s="48">
        <f>IFERROR(MINUS(DIVIDE(VLOOKUP($B1440,Data!$B$3:$EZ1530,39,FALSE),VLOOKUP($B1440,Data!$B$3:$EZ1530,40,FALSE)),1),"")</f>
        <v>-0.8066029625</v>
      </c>
      <c r="N1440" s="48">
        <f>IFERROR(MINUS(DIVIDE(VLOOKUP($B1440,Data!$B$3:$EZ1530,44,FALSE),VLOOKUP($B1440,Data!$B$3:$EZ1530,45,FALSE)),1),"")</f>
        <v>-0.8033916269</v>
      </c>
      <c r="O1440" s="50">
        <f>IFERROR(VLOOKUP($B1440,Data!$B$3:$D1530,2,FALSE),"")</f>
        <v>492590</v>
      </c>
      <c r="P1440" s="50">
        <f>IFERROR(VLOOKUP($B1440,Data!$B$3:$D1530,3,FALSE),"")</f>
        <v>429000</v>
      </c>
      <c r="Q1440" s="48">
        <f t="shared" si="2"/>
        <v>0.1482284382</v>
      </c>
      <c r="R1440" s="48"/>
      <c r="S1440" s="48"/>
      <c r="T1440" s="48"/>
      <c r="U1440" s="48"/>
      <c r="V1440" s="48"/>
      <c r="W1440" s="50"/>
      <c r="Z1440" s="11"/>
      <c r="AA1440" s="12"/>
    </row>
    <row r="1441">
      <c r="A1441" s="9">
        <f t="shared" si="1"/>
        <v>1438</v>
      </c>
      <c r="B1441" s="47" t="s">
        <v>1575</v>
      </c>
      <c r="C1441" s="48">
        <f>IFERROR(DIVIDE(VLOOKUP($B1441,Data!$B$3:$AB$1535,9,FALSE),VLOOKUP($B1441,Data!$B$3:$AB$1535,4,FALSE)),"")</f>
        <v>0.6713836478</v>
      </c>
      <c r="D1441" s="48">
        <f>IFERROR(DIVIDE(VLOOKUP($B1441,Data!$B$3:$AB$1535,24,FALSE),VLOOKUP($B1441,Data!$B$3:$AB$1535,4,FALSE)),"")</f>
        <v>-0.2399371069</v>
      </c>
      <c r="E1441" s="48">
        <f>IFERROR(DIVIDE(VLOOKUP($B1441,Data!$B$3:$EZ1530,29,FALSE),VLOOKUP($B1441,Data!$B$3:$EZ1530,4,FALSE)),"")</f>
        <v>-0.3874213836</v>
      </c>
      <c r="F1441" s="48">
        <f>IFERROR(DIVIDE(VLOOKUP($B1441,Data!$B$3:$EZ1530,34,FALSE),VLOOKUP($B1441,Data!$B$3:$EZ1530,4,FALSE)),"")</f>
        <v>-0.1874213836</v>
      </c>
      <c r="G1441" s="48">
        <f>IFERROR(DIVIDE(VLOOKUP($B1441,Data!$B$3:$EZ1530,39,FALSE),VLOOKUP($B1441,Data!$B$3:$EZ1530,4,FALSE)),"")</f>
        <v>-0.3779874214</v>
      </c>
      <c r="H1441" s="48">
        <f>IFERROR(DIVIDE(VLOOKUP($B1441,Data!$B$3:$EZ1530,44,FALSE),VLOOKUP($B1441,Data!$B$3:$EZ1530,4,FALSE)),"")</f>
        <v>-0.1726415094</v>
      </c>
      <c r="I1441" s="48">
        <f>IFERROR(MINUS(DIVIDE(VLOOKUP($B1441,Data!$B$3:$EZ1530,9,FALSE),VLOOKUP($B1441,Data!$B$3:$EZ1530,10,FALSE)),1),"")</f>
        <v>1.508813161</v>
      </c>
      <c r="J1441" s="48">
        <f>IFERROR(MINUS(DIVIDE(VLOOKUP($B1441,Data!$B$3:$EZ1530,24,FALSE),VLOOKUP($B1441,Data!$B$3:$EZ1530,25,FALSE)),1),"")</f>
        <v>-0.5228267667</v>
      </c>
      <c r="K1441" s="48">
        <f>IFERROR(MINUS(DIVIDE(VLOOKUP($B1441,Data!$B$3:$EZ1530,29,FALSE),VLOOKUP($B1441,Data!$B$3:$EZ1530,30,FALSE)),1),"")</f>
        <v>-0.4659731253</v>
      </c>
      <c r="L1441" s="48">
        <f>IFERROR(MINUS(DIVIDE(VLOOKUP($B1441,Data!$B$3:$EZ1530,34,FALSE),VLOOKUP($B1441,Data!$B$3:$EZ1530,35,FALSE)),1),"")</f>
        <v>-0.6372489349</v>
      </c>
      <c r="M1441" s="48">
        <f>IFERROR(MINUS(DIVIDE(VLOOKUP($B1441,Data!$B$3:$EZ1530,39,FALSE),VLOOKUP($B1441,Data!$B$3:$EZ1530,40,FALSE)),1),"")</f>
        <v>-0.4979114453</v>
      </c>
      <c r="N1441" s="48">
        <f>IFERROR(MINUS(DIVIDE(VLOOKUP($B1441,Data!$B$3:$EZ1530,44,FALSE),VLOOKUP($B1441,Data!$B$3:$EZ1530,45,FALSE)),1),"")</f>
        <v>-0.5246753247</v>
      </c>
      <c r="O1441" s="50">
        <f>IFERROR(VLOOKUP($B1441,Data!$B$3:$D1530,2,FALSE),"")</f>
        <v>48120</v>
      </c>
      <c r="P1441" s="50">
        <f>IFERROR(VLOOKUP($B1441,Data!$B$3:$D1530,3,FALSE),"")</f>
        <v>41440</v>
      </c>
      <c r="Q1441" s="48">
        <f t="shared" si="2"/>
        <v>0.1611969112</v>
      </c>
      <c r="R1441" s="48"/>
      <c r="S1441" s="48"/>
      <c r="T1441" s="48"/>
      <c r="U1441" s="48"/>
      <c r="V1441" s="48"/>
      <c r="W1441" s="50"/>
      <c r="Z1441" s="11"/>
      <c r="AA1441" s="11"/>
    </row>
    <row r="1442">
      <c r="A1442" s="9">
        <f t="shared" si="1"/>
        <v>1439</v>
      </c>
      <c r="B1442" s="47" t="s">
        <v>1576</v>
      </c>
      <c r="C1442" s="48">
        <f>IFERROR(DIVIDE(VLOOKUP($B1442,Data!$B$3:$AB$1535,9,FALSE),VLOOKUP($B1442,Data!$B$3:$AB$1535,4,FALSE)),"")</f>
        <v>0.5461465271</v>
      </c>
      <c r="D1442" s="48">
        <f>IFERROR(DIVIDE(VLOOKUP($B1442,Data!$B$3:$AB$1535,24,FALSE),VLOOKUP($B1442,Data!$B$3:$AB$1535,4,FALSE)),"")</f>
        <v>0.07484776403</v>
      </c>
      <c r="E1442" s="48">
        <f>IFERROR(DIVIDE(VLOOKUP($B1442,Data!$B$3:$EZ1530,29,FALSE),VLOOKUP($B1442,Data!$B$3:$EZ1530,4,FALSE)),"")</f>
        <v>0.06919219791</v>
      </c>
      <c r="F1442" s="48">
        <f>IFERROR(DIVIDE(VLOOKUP($B1442,Data!$B$3:$EZ1530,34,FALSE),VLOOKUP($B1442,Data!$B$3:$EZ1530,4,FALSE)),"")</f>
        <v>0.1769743102</v>
      </c>
      <c r="G1442" s="48">
        <f>IFERROR(DIVIDE(VLOOKUP($B1442,Data!$B$3:$EZ1530,39,FALSE),VLOOKUP($B1442,Data!$B$3:$EZ1530,4,FALSE)),"")</f>
        <v>0.05986203616</v>
      </c>
      <c r="H1442" s="48">
        <f>IFERROR(DIVIDE(VLOOKUP($B1442,Data!$B$3:$EZ1530,44,FALSE),VLOOKUP($B1442,Data!$B$3:$EZ1530,4,FALSE)),"")</f>
        <v>0.08320932445</v>
      </c>
      <c r="I1442" s="48">
        <f>IFERROR(MINUS(DIVIDE(VLOOKUP($B1442,Data!$B$3:$EZ1530,9,FALSE),VLOOKUP($B1442,Data!$B$3:$EZ1530,10,FALSE)),1),"")</f>
        <v>0.01773049645</v>
      </c>
      <c r="J1442" s="48">
        <f>IFERROR(MINUS(DIVIDE(VLOOKUP($B1442,Data!$B$3:$EZ1530,24,FALSE),VLOOKUP($B1442,Data!$B$3:$EZ1530,25,FALSE)),1),"")</f>
        <v>-13.46671949</v>
      </c>
      <c r="K1442" s="48">
        <f>IFERROR(MINUS(DIVIDE(VLOOKUP($B1442,Data!$B$3:$EZ1530,29,FALSE),VLOOKUP($B1442,Data!$B$3:$EZ1530,30,FALSE)),1),"")</f>
        <v>-0.3007596154</v>
      </c>
      <c r="L1442" s="48">
        <f>IFERROR(MINUS(DIVIDE(VLOOKUP($B1442,Data!$B$3:$EZ1530,34,FALSE),VLOOKUP($B1442,Data!$B$3:$EZ1530,35,FALSE)),1),"")</f>
        <v>0.2156862745</v>
      </c>
      <c r="M1442" s="48">
        <f>IFERROR(MINUS(DIVIDE(VLOOKUP($B1442,Data!$B$3:$EZ1530,39,FALSE),VLOOKUP($B1442,Data!$B$3:$EZ1530,40,FALSE)),1),"")</f>
        <v>-0.2771963283</v>
      </c>
      <c r="N1442" s="48">
        <f>IFERROR(MINUS(DIVIDE(VLOOKUP($B1442,Data!$B$3:$EZ1530,44,FALSE),VLOOKUP($B1442,Data!$B$3:$EZ1530,45,FALSE)),1),"")</f>
        <v>-0.4731746988</v>
      </c>
      <c r="O1442" s="50">
        <f>IFERROR(VLOOKUP($B1442,Data!$B$3:$D1530,2,FALSE),"")</f>
        <v>10580000</v>
      </c>
      <c r="P1442" s="50">
        <f>IFERROR(VLOOKUP($B1442,Data!$B$3:$D1530,3,FALSE),"")</f>
        <v>8810000</v>
      </c>
      <c r="Q1442" s="48">
        <f t="shared" si="2"/>
        <v>0.200908059</v>
      </c>
      <c r="R1442" s="48"/>
      <c r="S1442" s="48"/>
      <c r="T1442" s="48"/>
      <c r="U1442" s="48"/>
      <c r="V1442" s="48"/>
      <c r="W1442" s="50"/>
      <c r="Z1442" s="15"/>
      <c r="AA1442" s="15"/>
    </row>
    <row r="1443">
      <c r="A1443" s="9">
        <f t="shared" si="1"/>
        <v>1440</v>
      </c>
      <c r="B1443" s="47" t="s">
        <v>1577</v>
      </c>
      <c r="C1443" s="48">
        <f>IFERROR(DIVIDE(VLOOKUP($B1443,Data!$B$3:$AB$1535,9,FALSE),VLOOKUP($B1443,Data!$B$3:$AB$1535,4,FALSE)),"")</f>
        <v>0.3169105263</v>
      </c>
      <c r="D1443" s="48">
        <f>IFERROR(DIVIDE(VLOOKUP($B1443,Data!$B$3:$AB$1535,24,FALSE),VLOOKUP($B1443,Data!$B$3:$AB$1535,4,FALSE)),"")</f>
        <v>0.1332842105</v>
      </c>
      <c r="E1443" s="48">
        <f>IFERROR(DIVIDE(VLOOKUP($B1443,Data!$B$3:$EZ1530,29,FALSE),VLOOKUP($B1443,Data!$B$3:$EZ1530,4,FALSE)),"")</f>
        <v>0.07043684211</v>
      </c>
      <c r="F1443" s="48">
        <f>IFERROR(DIVIDE(VLOOKUP($B1443,Data!$B$3:$EZ1530,34,FALSE),VLOOKUP($B1443,Data!$B$3:$EZ1530,4,FALSE)),"")</f>
        <v>0.1494526316</v>
      </c>
      <c r="G1443" s="48">
        <f>IFERROR(DIVIDE(VLOOKUP($B1443,Data!$B$3:$EZ1530,39,FALSE),VLOOKUP($B1443,Data!$B$3:$EZ1530,4,FALSE)),"")</f>
        <v>0.04921578947</v>
      </c>
      <c r="H1443" s="48">
        <f>IFERROR(DIVIDE(VLOOKUP($B1443,Data!$B$3:$EZ1530,44,FALSE),VLOOKUP($B1443,Data!$B$3:$EZ1530,4,FALSE)),"")</f>
        <v>0.08703684211</v>
      </c>
      <c r="I1443" s="48">
        <f>IFERROR(MINUS(DIVIDE(VLOOKUP($B1443,Data!$B$3:$EZ1530,9,FALSE),VLOOKUP($B1443,Data!$B$3:$EZ1530,10,FALSE)),1),"")</f>
        <v>0.04214406868</v>
      </c>
      <c r="J1443" s="48">
        <f>IFERROR(MINUS(DIVIDE(VLOOKUP($B1443,Data!$B$3:$EZ1530,24,FALSE),VLOOKUP($B1443,Data!$B$3:$EZ1530,25,FALSE)),1),"")</f>
        <v>-0.04035772481</v>
      </c>
      <c r="K1443" s="48">
        <f>IFERROR(MINUS(DIVIDE(VLOOKUP($B1443,Data!$B$3:$EZ1530,29,FALSE),VLOOKUP($B1443,Data!$B$3:$EZ1530,30,FALSE)),1),"")</f>
        <v>0.6821266968</v>
      </c>
      <c r="L1443" s="48">
        <f>IFERROR(MINUS(DIVIDE(VLOOKUP($B1443,Data!$B$3:$EZ1530,34,FALSE),VLOOKUP($B1443,Data!$B$3:$EZ1530,35,FALSE)),1),"")</f>
        <v>0.1803142406</v>
      </c>
      <c r="M1443" s="48">
        <f>IFERROR(MINUS(DIVIDE(VLOOKUP($B1443,Data!$B$3:$EZ1530,39,FALSE),VLOOKUP($B1443,Data!$B$3:$EZ1530,40,FALSE)),1),"")</f>
        <v>0.8302994715</v>
      </c>
      <c r="N1443" s="48">
        <f>IFERROR(MINUS(DIVIDE(VLOOKUP($B1443,Data!$B$3:$EZ1530,44,FALSE),VLOOKUP($B1443,Data!$B$3:$EZ1530,45,FALSE)),1),"")</f>
        <v>-0.2994874402</v>
      </c>
      <c r="O1443" s="50">
        <f>IFERROR(VLOOKUP($B1443,Data!$B$3:$D1530,2,FALSE),"")</f>
        <v>1740000</v>
      </c>
      <c r="P1443" s="50">
        <f>IFERROR(VLOOKUP($B1443,Data!$B$3:$D1530,3,FALSE),"")</f>
        <v>1710000</v>
      </c>
      <c r="Q1443" s="48">
        <f t="shared" si="2"/>
        <v>0.01754385965</v>
      </c>
      <c r="R1443" s="48"/>
      <c r="S1443" s="48"/>
      <c r="T1443" s="48"/>
      <c r="U1443" s="48"/>
      <c r="V1443" s="48"/>
      <c r="W1443" s="50"/>
      <c r="Z1443" s="11"/>
      <c r="AA1443" s="11"/>
    </row>
    <row r="1444">
      <c r="A1444" s="9">
        <f t="shared" si="1"/>
        <v>1441</v>
      </c>
      <c r="B1444" s="47" t="s">
        <v>1578</v>
      </c>
      <c r="C1444" s="48">
        <f>IFERROR(DIVIDE(VLOOKUP($B1444,Data!$B$3:$AB$1535,9,FALSE),VLOOKUP($B1444,Data!$B$3:$AB$1535,4,FALSE)),"")</f>
        <v>0.2287368421</v>
      </c>
      <c r="D1444" s="48">
        <f>IFERROR(DIVIDE(VLOOKUP($B1444,Data!$B$3:$AB$1535,24,FALSE),VLOOKUP($B1444,Data!$B$3:$AB$1535,4,FALSE)),"")</f>
        <v>0.07263157895</v>
      </c>
      <c r="E1444" s="48">
        <f>IFERROR(DIVIDE(VLOOKUP($B1444,Data!$B$3:$EZ1530,29,FALSE),VLOOKUP($B1444,Data!$B$3:$EZ1530,4,FALSE)),"")</f>
        <v>0.05510526316</v>
      </c>
      <c r="F1444" s="48">
        <f>IFERROR(DIVIDE(VLOOKUP($B1444,Data!$B$3:$EZ1530,34,FALSE),VLOOKUP($B1444,Data!$B$3:$EZ1530,4,FALSE)),"")</f>
        <v>0.1037894737</v>
      </c>
      <c r="G1444" s="48">
        <f>IFERROR(DIVIDE(VLOOKUP($B1444,Data!$B$3:$EZ1530,39,FALSE),VLOOKUP($B1444,Data!$B$3:$EZ1530,4,FALSE)),"")</f>
        <v>0.02589473684</v>
      </c>
      <c r="H1444" s="48">
        <f>IFERROR(DIVIDE(VLOOKUP($B1444,Data!$B$3:$EZ1530,44,FALSE),VLOOKUP($B1444,Data!$B$3:$EZ1530,4,FALSE)),"")</f>
        <v>0.09326315789</v>
      </c>
      <c r="I1444" s="48">
        <f>IFERROR(MINUS(DIVIDE(VLOOKUP($B1444,Data!$B$3:$EZ1530,9,FALSE),VLOOKUP($B1444,Data!$B$3:$EZ1530,10,FALSE)),1),"")</f>
        <v>-0.2866053841</v>
      </c>
      <c r="J1444" s="48">
        <f>IFERROR(MINUS(DIVIDE(VLOOKUP($B1444,Data!$B$3:$EZ1530,24,FALSE),VLOOKUP($B1444,Data!$B$3:$EZ1530,25,FALSE)),1),"")</f>
        <v>-0.431630972</v>
      </c>
      <c r="K1444" s="48">
        <f>IFERROR(MINUS(DIVIDE(VLOOKUP($B1444,Data!$B$3:$EZ1530,29,FALSE),VLOOKUP($B1444,Data!$B$3:$EZ1530,30,FALSE)),1),"")</f>
        <v>-0.5567315834</v>
      </c>
      <c r="L1444" s="48">
        <f>IFERROR(MINUS(DIVIDE(VLOOKUP($B1444,Data!$B$3:$EZ1530,34,FALSE),VLOOKUP($B1444,Data!$B$3:$EZ1530,35,FALSE)),1),"")</f>
        <v>-0.4485458613</v>
      </c>
      <c r="M1444" s="48">
        <f>IFERROR(MINUS(DIVIDE(VLOOKUP($B1444,Data!$B$3:$EZ1530,39,FALSE),VLOOKUP($B1444,Data!$B$3:$EZ1530,40,FALSE)),1),"")</f>
        <v>-0.7843051293</v>
      </c>
      <c r="N1444" s="48">
        <f>IFERROR(MINUS(DIVIDE(VLOOKUP($B1444,Data!$B$3:$EZ1530,44,FALSE),VLOOKUP($B1444,Data!$B$3:$EZ1530,45,FALSE)),1),"")</f>
        <v>0.07069486405</v>
      </c>
      <c r="O1444" s="50">
        <f>IFERROR(VLOOKUP($B1444,Data!$B$3:$D1530,2,FALSE),"")</f>
        <v>1920000</v>
      </c>
      <c r="P1444" s="50">
        <f>IFERROR(VLOOKUP($B1444,Data!$B$3:$D1530,3,FALSE),"")</f>
        <v>1900000</v>
      </c>
      <c r="Q1444" s="48">
        <f t="shared" si="2"/>
        <v>0.01052631579</v>
      </c>
      <c r="R1444" s="48"/>
      <c r="S1444" s="48"/>
      <c r="T1444" s="48"/>
      <c r="U1444" s="48"/>
      <c r="V1444" s="48"/>
      <c r="W1444" s="50"/>
      <c r="Z1444" s="15"/>
      <c r="AA1444" s="15"/>
    </row>
    <row r="1445">
      <c r="A1445" s="9">
        <f t="shared" si="1"/>
        <v>1442</v>
      </c>
      <c r="B1445" s="47" t="s">
        <v>1579</v>
      </c>
      <c r="C1445" s="48" t="str">
        <f>IFERROR(DIVIDE(VLOOKUP($B1445,Data!$B$3:$AB$1535,9,FALSE),VLOOKUP($B1445,Data!$B$3:$AB$1535,4,FALSE)),"")</f>
        <v/>
      </c>
      <c r="D1445" s="48" t="str">
        <f>IFERROR(DIVIDE(VLOOKUP($B1445,Data!$B$3:$AB$1535,24,FALSE),VLOOKUP($B1445,Data!$B$3:$AB$1535,4,FALSE)),"")</f>
        <v/>
      </c>
      <c r="E1445" s="48" t="str">
        <f>IFERROR(DIVIDE(VLOOKUP($B1445,Data!$B$3:$EZ1530,29,FALSE),VLOOKUP($B1445,Data!$B$3:$EZ1530,4,FALSE)),"")</f>
        <v/>
      </c>
      <c r="F1445" s="48" t="str">
        <f>IFERROR(DIVIDE(VLOOKUP($B1445,Data!$B$3:$EZ1530,34,FALSE),VLOOKUP($B1445,Data!$B$3:$EZ1530,4,FALSE)),"")</f>
        <v/>
      </c>
      <c r="G1445" s="48" t="str">
        <f>IFERROR(DIVIDE(VLOOKUP($B1445,Data!$B$3:$EZ1530,39,FALSE),VLOOKUP($B1445,Data!$B$3:$EZ1530,4,FALSE)),"")</f>
        <v/>
      </c>
      <c r="H1445" s="48" t="str">
        <f>IFERROR(DIVIDE(VLOOKUP($B1445,Data!$B$3:$EZ1530,44,FALSE),VLOOKUP($B1445,Data!$B$3:$EZ1530,4,FALSE)),"")</f>
        <v/>
      </c>
      <c r="I1445" s="48" t="str">
        <f>IFERROR(MINUS(DIVIDE(VLOOKUP($B1445,Data!$B$3:$EZ1530,9,FALSE),VLOOKUP($B1445,Data!$B$3:$EZ1530,10,FALSE)),1),"")</f>
        <v/>
      </c>
      <c r="J1445" s="48" t="str">
        <f>IFERROR(MINUS(DIVIDE(VLOOKUP($B1445,Data!$B$3:$EZ1530,24,FALSE),VLOOKUP($B1445,Data!$B$3:$EZ1530,25,FALSE)),1),"")</f>
        <v/>
      </c>
      <c r="K1445" s="48" t="str">
        <f>IFERROR(MINUS(DIVIDE(VLOOKUP($B1445,Data!$B$3:$EZ1530,29,FALSE),VLOOKUP($B1445,Data!$B$3:$EZ1530,30,FALSE)),1),"")</f>
        <v/>
      </c>
      <c r="L1445" s="48" t="str">
        <f>IFERROR(MINUS(DIVIDE(VLOOKUP($B1445,Data!$B$3:$EZ1530,34,FALSE),VLOOKUP($B1445,Data!$B$3:$EZ1530,35,FALSE)),1),"")</f>
        <v/>
      </c>
      <c r="M1445" s="48" t="str">
        <f>IFERROR(MINUS(DIVIDE(VLOOKUP($B1445,Data!$B$3:$EZ1530,39,FALSE),VLOOKUP($B1445,Data!$B$3:$EZ1530,40,FALSE)),1),"")</f>
        <v/>
      </c>
      <c r="N1445" s="48" t="str">
        <f>IFERROR(MINUS(DIVIDE(VLOOKUP($B1445,Data!$B$3:$EZ1530,44,FALSE),VLOOKUP($B1445,Data!$B$3:$EZ1530,45,FALSE)),1),"")</f>
        <v/>
      </c>
      <c r="O1445" s="50" t="str">
        <f>IFERROR(VLOOKUP($B1445,Data!$B$3:$D1530,2,FALSE),"")</f>
        <v/>
      </c>
      <c r="P1445" s="50" t="str">
        <f>IFERROR(VLOOKUP($B1445,Data!$B$3:$D1530,3,FALSE),"")</f>
        <v/>
      </c>
      <c r="Q1445" s="48" t="str">
        <f t="shared" si="2"/>
        <v/>
      </c>
      <c r="R1445" s="48"/>
      <c r="S1445" s="48"/>
      <c r="T1445" s="48"/>
      <c r="U1445" s="48"/>
      <c r="V1445" s="48"/>
      <c r="W1445" s="50"/>
      <c r="Z1445" s="15"/>
      <c r="AA1445" s="15"/>
    </row>
    <row r="1446">
      <c r="A1446" s="9">
        <f t="shared" si="1"/>
        <v>1443</v>
      </c>
      <c r="B1446" s="47" t="s">
        <v>1580</v>
      </c>
      <c r="C1446" s="48">
        <f>IFERROR(DIVIDE(VLOOKUP($B1446,Data!$B$3:$AB$1535,9,FALSE),VLOOKUP($B1446,Data!$B$3:$AB$1535,4,FALSE)),"")</f>
        <v>0</v>
      </c>
      <c r="D1446" s="48">
        <f>IFERROR(DIVIDE(VLOOKUP($B1446,Data!$B$3:$AB$1535,24,FALSE),VLOOKUP($B1446,Data!$B$3:$AB$1535,4,FALSE)),"")</f>
        <v>0</v>
      </c>
      <c r="E1446" s="48">
        <f>IFERROR(DIVIDE(VLOOKUP($B1446,Data!$B$3:$EZ1530,29,FALSE),VLOOKUP($B1446,Data!$B$3:$EZ1530,4,FALSE)),"")</f>
        <v>-1.7286</v>
      </c>
      <c r="F1446" s="48">
        <f>IFERROR(DIVIDE(VLOOKUP($B1446,Data!$B$3:$EZ1530,34,FALSE),VLOOKUP($B1446,Data!$B$3:$EZ1530,4,FALSE)),"")</f>
        <v>-1.7902</v>
      </c>
      <c r="G1446" s="48">
        <f>IFERROR(DIVIDE(VLOOKUP($B1446,Data!$B$3:$EZ1530,39,FALSE),VLOOKUP($B1446,Data!$B$3:$EZ1530,4,FALSE)),"")</f>
        <v>-1.7286</v>
      </c>
      <c r="H1446" s="48">
        <f>IFERROR(DIVIDE(VLOOKUP($B1446,Data!$B$3:$EZ1530,44,FALSE),VLOOKUP($B1446,Data!$B$3:$EZ1530,4,FALSE)),"")</f>
        <v>-2.101</v>
      </c>
      <c r="I1446" s="48">
        <f>IFERROR(MINUS(DIVIDE(VLOOKUP($B1446,Data!$B$3:$EZ1530,9,FALSE),VLOOKUP($B1446,Data!$B$3:$EZ1530,10,FALSE)),1),"")</f>
        <v>-1</v>
      </c>
      <c r="J1446" s="48">
        <f>IFERROR(MINUS(DIVIDE(VLOOKUP($B1446,Data!$B$3:$EZ1530,24,FALSE),VLOOKUP($B1446,Data!$B$3:$EZ1530,25,FALSE)),1),"")</f>
        <v>-1</v>
      </c>
      <c r="K1446" s="48">
        <f>IFERROR(MINUS(DIVIDE(VLOOKUP($B1446,Data!$B$3:$EZ1530,29,FALSE),VLOOKUP($B1446,Data!$B$3:$EZ1530,30,FALSE)),1),"")</f>
        <v>-0.5457507752</v>
      </c>
      <c r="L1446" s="48">
        <f>IFERROR(MINUS(DIVIDE(VLOOKUP($B1446,Data!$B$3:$EZ1530,34,FALSE),VLOOKUP($B1446,Data!$B$3:$EZ1530,35,FALSE)),1),"")</f>
        <v>0.8282271242</v>
      </c>
      <c r="M1446" s="48">
        <f>IFERROR(MINUS(DIVIDE(VLOOKUP($B1446,Data!$B$3:$EZ1530,39,FALSE),VLOOKUP($B1446,Data!$B$3:$EZ1530,40,FALSE)),1),"")</f>
        <v>-0.5457507752</v>
      </c>
      <c r="N1446" s="48">
        <f>IFERROR(MINUS(DIVIDE(VLOOKUP($B1446,Data!$B$3:$EZ1530,44,FALSE),VLOOKUP($B1446,Data!$B$3:$EZ1530,45,FALSE)),1),"")</f>
        <v>2.557399255</v>
      </c>
      <c r="O1446" s="50">
        <f>IFERROR(VLOOKUP($B1446,Data!$B$3:$D1530,2,FALSE),"")</f>
        <v>89250</v>
      </c>
      <c r="P1446" s="50">
        <f>IFERROR(VLOOKUP($B1446,Data!$B$3:$D1530,3,FALSE),"")</f>
        <v>14580</v>
      </c>
      <c r="Q1446" s="48">
        <f t="shared" si="2"/>
        <v>5.121399177</v>
      </c>
      <c r="R1446" s="48"/>
      <c r="S1446" s="48"/>
      <c r="T1446" s="48"/>
      <c r="U1446" s="48"/>
      <c r="V1446" s="48"/>
      <c r="W1446" s="50"/>
      <c r="Z1446" s="15"/>
      <c r="AA1446" s="15"/>
    </row>
    <row r="1447">
      <c r="A1447" s="9">
        <f t="shared" si="1"/>
        <v>1444</v>
      </c>
      <c r="B1447" s="47" t="s">
        <v>1581</v>
      </c>
      <c r="C1447" s="48">
        <f>IFERROR(DIVIDE(VLOOKUP($B1447,Data!$B$3:$AB$1535,9,FALSE),VLOOKUP($B1447,Data!$B$3:$AB$1535,4,FALSE)),"")</f>
        <v>0</v>
      </c>
      <c r="D1447" s="48">
        <f>IFERROR(DIVIDE(VLOOKUP($B1447,Data!$B$3:$AB$1535,24,FALSE),VLOOKUP($B1447,Data!$B$3:$AB$1535,4,FALSE)),"")</f>
        <v>-22.58714462</v>
      </c>
      <c r="E1447" s="48">
        <f>IFERROR(DIVIDE(VLOOKUP($B1447,Data!$B$3:$EZ1530,29,FALSE),VLOOKUP($B1447,Data!$B$3:$EZ1530,4,FALSE)),"")</f>
        <v>-21.57354759</v>
      </c>
      <c r="F1447" s="48">
        <f>IFERROR(DIVIDE(VLOOKUP($B1447,Data!$B$3:$EZ1530,34,FALSE),VLOOKUP($B1447,Data!$B$3:$EZ1530,4,FALSE)),"")</f>
        <v>-20.88751545</v>
      </c>
      <c r="G1447" s="48">
        <f>IFERROR(DIVIDE(VLOOKUP($B1447,Data!$B$3:$EZ1530,39,FALSE),VLOOKUP($B1447,Data!$B$3:$EZ1530,4,FALSE)),"")</f>
        <v>-21.592089</v>
      </c>
      <c r="H1447" s="48">
        <f>IFERROR(DIVIDE(VLOOKUP($B1447,Data!$B$3:$EZ1530,44,FALSE),VLOOKUP($B1447,Data!$B$3:$EZ1530,4,FALSE)),"")</f>
        <v>-16.02348578</v>
      </c>
      <c r="I1447" s="48" t="str">
        <f>IFERROR(MINUS(DIVIDE(VLOOKUP($B1447,Data!$B$3:$EZ1530,9,FALSE),VLOOKUP($B1447,Data!$B$3:$EZ1530,10,FALSE)),1),"")</f>
        <v/>
      </c>
      <c r="J1447" s="48" t="str">
        <f>IFERROR(MINUS(DIVIDE(VLOOKUP($B1447,Data!$B$3:$EZ1530,24,FALSE),VLOOKUP($B1447,Data!$B$3:$EZ1530,25,FALSE)),1),"")</f>
        <v/>
      </c>
      <c r="K1447" s="48">
        <f>IFERROR(MINUS(DIVIDE(VLOOKUP($B1447,Data!$B$3:$EZ1530,29,FALSE),VLOOKUP($B1447,Data!$B$3:$EZ1530,30,FALSE)),1),"")</f>
        <v>0.4999140598</v>
      </c>
      <c r="L1447" s="48">
        <f>IFERROR(MINUS(DIVIDE(VLOOKUP($B1447,Data!$B$3:$EZ1530,34,FALSE),VLOOKUP($B1447,Data!$B$3:$EZ1530,35,FALSE)),1),"")</f>
        <v>0.4574780059</v>
      </c>
      <c r="M1447" s="48">
        <f>IFERROR(MINUS(DIVIDE(VLOOKUP($B1447,Data!$B$3:$EZ1530,39,FALSE),VLOOKUP($B1447,Data!$B$3:$EZ1530,40,FALSE)),1),"")</f>
        <v>0.5074214705</v>
      </c>
      <c r="N1447" s="48">
        <f>IFERROR(MINUS(DIVIDE(VLOOKUP($B1447,Data!$B$3:$EZ1530,44,FALSE),VLOOKUP($B1447,Data!$B$3:$EZ1530,45,FALSE)),1),"")</f>
        <v>0.3775770457</v>
      </c>
      <c r="O1447" s="50">
        <f>IFERROR(VLOOKUP($B1447,Data!$B$3:$D1530,2,FALSE),"")</f>
        <v>55400</v>
      </c>
      <c r="P1447" s="50">
        <f>IFERROR(VLOOKUP($B1447,Data!$B$3:$D1530,3,FALSE),"")</f>
        <v>125290</v>
      </c>
      <c r="Q1447" s="48">
        <f t="shared" si="2"/>
        <v>-0.557825844</v>
      </c>
      <c r="R1447" s="48"/>
      <c r="S1447" s="48"/>
      <c r="T1447" s="48"/>
      <c r="U1447" s="48"/>
      <c r="V1447" s="48"/>
      <c r="W1447" s="50"/>
      <c r="Z1447" s="12"/>
      <c r="AA1447" s="12"/>
    </row>
    <row r="1448">
      <c r="A1448" s="9">
        <f t="shared" si="1"/>
        <v>1445</v>
      </c>
      <c r="B1448" s="47" t="s">
        <v>1582</v>
      </c>
      <c r="C1448" s="48">
        <f>IFERROR(DIVIDE(VLOOKUP($B1448,Data!$B$3:$AB$1535,9,FALSE),VLOOKUP($B1448,Data!$B$3:$AB$1535,4,FALSE)),"")</f>
        <v>0.2034956305</v>
      </c>
      <c r="D1448" s="48">
        <f>IFERROR(DIVIDE(VLOOKUP($B1448,Data!$B$3:$AB$1535,24,FALSE),VLOOKUP($B1448,Data!$B$3:$AB$1535,4,FALSE)),"")</f>
        <v>0.04366916355</v>
      </c>
      <c r="E1448" s="48">
        <f>IFERROR(DIVIDE(VLOOKUP($B1448,Data!$B$3:$EZ1530,29,FALSE),VLOOKUP($B1448,Data!$B$3:$EZ1530,4,FALSE)),"")</f>
        <v>-0.03963795256</v>
      </c>
      <c r="F1448" s="48">
        <f>IFERROR(DIVIDE(VLOOKUP($B1448,Data!$B$3:$EZ1530,34,FALSE),VLOOKUP($B1448,Data!$B$3:$EZ1530,4,FALSE)),"")</f>
        <v>0.4082397004</v>
      </c>
      <c r="G1448" s="48">
        <f>IFERROR(DIVIDE(VLOOKUP($B1448,Data!$B$3:$EZ1530,39,FALSE),VLOOKUP($B1448,Data!$B$3:$EZ1530,4,FALSE)),"")</f>
        <v>-0.07865293383</v>
      </c>
      <c r="H1448" s="48">
        <f>IFERROR(DIVIDE(VLOOKUP($B1448,Data!$B$3:$EZ1530,44,FALSE),VLOOKUP($B1448,Data!$B$3:$EZ1530,4,FALSE)),"")</f>
        <v>0.2534332085</v>
      </c>
      <c r="I1448" s="48">
        <f>IFERROR(MINUS(DIVIDE(VLOOKUP($B1448,Data!$B$3:$EZ1530,9,FALSE),VLOOKUP($B1448,Data!$B$3:$EZ1530,10,FALSE)),1),"")</f>
        <v>-0.269058296</v>
      </c>
      <c r="J1448" s="48">
        <f>IFERROR(MINUS(DIVIDE(VLOOKUP($B1448,Data!$B$3:$EZ1530,24,FALSE),VLOOKUP($B1448,Data!$B$3:$EZ1530,25,FALSE)),1),"")</f>
        <v>-0.4327208446</v>
      </c>
      <c r="K1448" s="48">
        <f>IFERROR(MINUS(DIVIDE(VLOOKUP($B1448,Data!$B$3:$EZ1530,29,FALSE),VLOOKUP($B1448,Data!$B$3:$EZ1530,30,FALSE)),1),"")</f>
        <v>-1.939404699</v>
      </c>
      <c r="L1448" s="48">
        <f>IFERROR(MINUS(DIVIDE(VLOOKUP($B1448,Data!$B$3:$EZ1530,34,FALSE),VLOOKUP($B1448,Data!$B$3:$EZ1530,35,FALSE)),1),"")</f>
        <v>0.1847826087</v>
      </c>
      <c r="M1448" s="48">
        <f>IFERROR(MINUS(DIVIDE(VLOOKUP($B1448,Data!$B$3:$EZ1530,39,FALSE),VLOOKUP($B1448,Data!$B$3:$EZ1530,40,FALSE)),1),"")</f>
        <v>0.09713877715</v>
      </c>
      <c r="N1448" s="48">
        <f>IFERROR(MINUS(DIVIDE(VLOOKUP($B1448,Data!$B$3:$EZ1530,44,FALSE),VLOOKUP($B1448,Data!$B$3:$EZ1530,45,FALSE)),1),"")</f>
        <v>-0.1212121212</v>
      </c>
      <c r="O1448" s="50">
        <f>IFERROR(VLOOKUP($B1448,Data!$B$3:$D1530,2,FALSE),"")</f>
        <v>436270</v>
      </c>
      <c r="P1448" s="50">
        <f>IFERROR(VLOOKUP($B1448,Data!$B$3:$D1530,3,FALSE),"")</f>
        <v>278330</v>
      </c>
      <c r="Q1448" s="48">
        <f t="shared" si="2"/>
        <v>0.5674558977</v>
      </c>
      <c r="R1448" s="48"/>
      <c r="S1448" s="48"/>
      <c r="T1448" s="48"/>
      <c r="U1448" s="48"/>
      <c r="V1448" s="48"/>
      <c r="W1448" s="50"/>
      <c r="Z1448" s="11"/>
      <c r="AA1448" s="11"/>
    </row>
    <row r="1449">
      <c r="A1449" s="9">
        <f t="shared" si="1"/>
        <v>1446</v>
      </c>
      <c r="B1449" s="47" t="s">
        <v>1583</v>
      </c>
      <c r="C1449" s="48">
        <f>IFERROR(DIVIDE(VLOOKUP($B1449,Data!$B$3:$AB$1535,9,FALSE),VLOOKUP($B1449,Data!$B$3:$AB$1535,4,FALSE)),"")</f>
        <v>0.5886771802</v>
      </c>
      <c r="D1449" s="48">
        <f>IFERROR(DIVIDE(VLOOKUP($B1449,Data!$B$3:$AB$1535,24,FALSE),VLOOKUP($B1449,Data!$B$3:$AB$1535,4,FALSE)),"")</f>
        <v>0.1626784737</v>
      </c>
      <c r="E1449" s="48">
        <f>IFERROR(DIVIDE(VLOOKUP($B1449,Data!$B$3:$EZ1530,29,FALSE),VLOOKUP($B1449,Data!$B$3:$EZ1530,4,FALSE)),"")</f>
        <v>0.1570071141</v>
      </c>
      <c r="F1449" s="48">
        <f>IFERROR(DIVIDE(VLOOKUP($B1449,Data!$B$3:$EZ1530,34,FALSE),VLOOKUP($B1449,Data!$B$3:$EZ1530,4,FALSE)),"")</f>
        <v>0.2432217303</v>
      </c>
      <c r="G1449" s="48">
        <f>IFERROR(DIVIDE(VLOOKUP($B1449,Data!$B$3:$EZ1530,39,FALSE),VLOOKUP($B1449,Data!$B$3:$EZ1530,4,FALSE)),"")</f>
        <v>0.1212874981</v>
      </c>
      <c r="H1449" s="48">
        <f>IFERROR(DIVIDE(VLOOKUP($B1449,Data!$B$3:$EZ1530,44,FALSE),VLOOKUP($B1449,Data!$B$3:$EZ1530,4,FALSE)),"")</f>
        <v>0.1782498383</v>
      </c>
      <c r="I1449" s="48">
        <f>IFERROR(MINUS(DIVIDE(VLOOKUP($B1449,Data!$B$3:$EZ1530,9,FALSE),VLOOKUP($B1449,Data!$B$3:$EZ1530,10,FALSE)),1),"")</f>
        <v>-0.09297869079</v>
      </c>
      <c r="J1449" s="48">
        <f>IFERROR(MINUS(DIVIDE(VLOOKUP($B1449,Data!$B$3:$EZ1530,24,FALSE),VLOOKUP($B1449,Data!$B$3:$EZ1530,25,FALSE)),1),"")</f>
        <v>0.03546548448</v>
      </c>
      <c r="K1449" s="48">
        <f>IFERROR(MINUS(DIVIDE(VLOOKUP($B1449,Data!$B$3:$EZ1530,29,FALSE),VLOOKUP($B1449,Data!$B$3:$EZ1530,30,FALSE)),1),"")</f>
        <v>0.03884134299</v>
      </c>
      <c r="L1449" s="48">
        <f>IFERROR(MINUS(DIVIDE(VLOOKUP($B1449,Data!$B$3:$EZ1530,34,FALSE),VLOOKUP($B1449,Data!$B$3:$EZ1530,35,FALSE)),1),"")</f>
        <v>-0.08308327082</v>
      </c>
      <c r="M1449" s="48">
        <f>IFERROR(MINUS(DIVIDE(VLOOKUP($B1449,Data!$B$3:$EZ1530,39,FALSE),VLOOKUP($B1449,Data!$B$3:$EZ1530,40,FALSE)),1),"")</f>
        <v>0.02222222222</v>
      </c>
      <c r="N1449" s="48">
        <f>IFERROR(MINUS(DIVIDE(VLOOKUP($B1449,Data!$B$3:$EZ1530,44,FALSE),VLOOKUP($B1449,Data!$B$3:$EZ1530,45,FALSE)),1),"")</f>
        <v>0.03018976423</v>
      </c>
      <c r="O1449" s="50">
        <f>IFERROR(VLOOKUP($B1449,Data!$B$3:$D1530,2,FALSE),"")</f>
        <v>261590</v>
      </c>
      <c r="P1449" s="50">
        <f>IFERROR(VLOOKUP($B1449,Data!$B$3:$D1530,3,FALSE),"")</f>
        <v>248960</v>
      </c>
      <c r="Q1449" s="48">
        <f t="shared" si="2"/>
        <v>0.05073104113</v>
      </c>
      <c r="R1449" s="48"/>
      <c r="S1449" s="48"/>
      <c r="T1449" s="48"/>
      <c r="U1449" s="48"/>
      <c r="V1449" s="48"/>
      <c r="W1449" s="50"/>
      <c r="Z1449" s="11"/>
      <c r="AA1449" s="11"/>
    </row>
    <row r="1450">
      <c r="A1450" s="9">
        <f t="shared" si="1"/>
        <v>1447</v>
      </c>
      <c r="B1450" s="47" t="s">
        <v>1584</v>
      </c>
      <c r="C1450" s="48" t="str">
        <f>IFERROR(DIVIDE(VLOOKUP($B1450,Data!$B$3:$AB$1535,9,FALSE),VLOOKUP($B1450,Data!$B$3:$AB$1535,4,FALSE)),"")</f>
        <v/>
      </c>
      <c r="D1450" s="48" t="str">
        <f>IFERROR(DIVIDE(VLOOKUP($B1450,Data!$B$3:$AB$1535,24,FALSE),VLOOKUP($B1450,Data!$B$3:$AB$1535,4,FALSE)),"")</f>
        <v/>
      </c>
      <c r="E1450" s="48" t="str">
        <f>IFERROR(DIVIDE(VLOOKUP($B1450,Data!$B$3:$EZ1530,29,FALSE),VLOOKUP($B1450,Data!$B$3:$EZ1530,4,FALSE)),"")</f>
        <v/>
      </c>
      <c r="F1450" s="48" t="str">
        <f>IFERROR(DIVIDE(VLOOKUP($B1450,Data!$B$3:$EZ1530,34,FALSE),VLOOKUP($B1450,Data!$B$3:$EZ1530,4,FALSE)),"")</f>
        <v/>
      </c>
      <c r="G1450" s="48" t="str">
        <f>IFERROR(DIVIDE(VLOOKUP($B1450,Data!$B$3:$EZ1530,39,FALSE),VLOOKUP($B1450,Data!$B$3:$EZ1530,4,FALSE)),"")</f>
        <v/>
      </c>
      <c r="H1450" s="48" t="str">
        <f>IFERROR(DIVIDE(VLOOKUP($B1450,Data!$B$3:$EZ1530,44,FALSE),VLOOKUP($B1450,Data!$B$3:$EZ1530,4,FALSE)),"")</f>
        <v/>
      </c>
      <c r="I1450" s="48" t="str">
        <f>IFERROR(MINUS(DIVIDE(VLOOKUP($B1450,Data!$B$3:$EZ1530,9,FALSE),VLOOKUP($B1450,Data!$B$3:$EZ1530,10,FALSE)),1),"")</f>
        <v/>
      </c>
      <c r="J1450" s="48">
        <f>IFERROR(MINUS(DIVIDE(VLOOKUP($B1450,Data!$B$3:$EZ1530,24,FALSE),VLOOKUP($B1450,Data!$B$3:$EZ1530,25,FALSE)),1),"")</f>
        <v>-1</v>
      </c>
      <c r="K1450" s="48">
        <f>IFERROR(MINUS(DIVIDE(VLOOKUP($B1450,Data!$B$3:$EZ1530,29,FALSE),VLOOKUP($B1450,Data!$B$3:$EZ1530,30,FALSE)),1),"")</f>
        <v>0.1686310063</v>
      </c>
      <c r="L1450" s="48">
        <f>IFERROR(MINUS(DIVIDE(VLOOKUP($B1450,Data!$B$3:$EZ1530,34,FALSE),VLOOKUP($B1450,Data!$B$3:$EZ1530,35,FALSE)),1),"")</f>
        <v>0.2396788991</v>
      </c>
      <c r="M1450" s="48">
        <f>IFERROR(MINUS(DIVIDE(VLOOKUP($B1450,Data!$B$3:$EZ1530,39,FALSE),VLOOKUP($B1450,Data!$B$3:$EZ1530,40,FALSE)),1),"")</f>
        <v>0.1686310063</v>
      </c>
      <c r="N1450" s="48">
        <f>IFERROR(MINUS(DIVIDE(VLOOKUP($B1450,Data!$B$3:$EZ1530,44,FALSE),VLOOKUP($B1450,Data!$B$3:$EZ1530,45,FALSE)),1),"")</f>
        <v>0.3049040512</v>
      </c>
      <c r="O1450" s="50" t="str">
        <f>IFERROR(VLOOKUP($B1450,Data!$B$3:$D1530,2,FALSE),"")</f>
        <v/>
      </c>
      <c r="P1450" s="50" t="str">
        <f>IFERROR(VLOOKUP($B1450,Data!$B$3:$D1530,3,FALSE),"")</f>
        <v/>
      </c>
      <c r="Q1450" s="48" t="str">
        <f t="shared" si="2"/>
        <v/>
      </c>
      <c r="R1450" s="48"/>
      <c r="S1450" s="48"/>
      <c r="T1450" s="48"/>
      <c r="U1450" s="48"/>
      <c r="V1450" s="48"/>
      <c r="W1450" s="50"/>
      <c r="Z1450" s="11"/>
      <c r="AA1450" s="11"/>
    </row>
    <row r="1451">
      <c r="A1451" s="9">
        <f t="shared" si="1"/>
        <v>1448</v>
      </c>
      <c r="B1451" s="47" t="s">
        <v>1585</v>
      </c>
      <c r="C1451" s="48">
        <f>IFERROR(DIVIDE(VLOOKUP($B1451,Data!$B$3:$AB$1535,9,FALSE),VLOOKUP($B1451,Data!$B$3:$AB$1535,4,FALSE)),"")</f>
        <v>0.1912144703</v>
      </c>
      <c r="D1451" s="48">
        <f>IFERROR(DIVIDE(VLOOKUP($B1451,Data!$B$3:$AB$1535,24,FALSE),VLOOKUP($B1451,Data!$B$3:$AB$1535,4,FALSE)),"")</f>
        <v>0.1157048521</v>
      </c>
      <c r="E1451" s="48">
        <f>IFERROR(DIVIDE(VLOOKUP($B1451,Data!$B$3:$EZ1530,29,FALSE),VLOOKUP($B1451,Data!$B$3:$EZ1530,4,FALSE)),"")</f>
        <v>0.1070915877</v>
      </c>
      <c r="F1451" s="48">
        <f>IFERROR(DIVIDE(VLOOKUP($B1451,Data!$B$3:$EZ1530,34,FALSE),VLOOKUP($B1451,Data!$B$3:$EZ1530,4,FALSE)),"")</f>
        <v>0.2721791559</v>
      </c>
      <c r="G1451" s="48">
        <f>IFERROR(DIVIDE(VLOOKUP($B1451,Data!$B$3:$EZ1530,39,FALSE),VLOOKUP($B1451,Data!$B$3:$EZ1530,4,FALSE)),"")</f>
        <v>0.07579672696</v>
      </c>
      <c r="H1451" s="48">
        <f>IFERROR(DIVIDE(VLOOKUP($B1451,Data!$B$3:$EZ1530,44,FALSE),VLOOKUP($B1451,Data!$B$3:$EZ1530,4,FALSE)),"")</f>
        <v>0.2650014355</v>
      </c>
      <c r="I1451" s="48">
        <f>IFERROR(MINUS(DIVIDE(VLOOKUP($B1451,Data!$B$3:$EZ1530,9,FALSE),VLOOKUP($B1451,Data!$B$3:$EZ1530,10,FALSE)),1),"")</f>
        <v>1.696356275</v>
      </c>
      <c r="J1451" s="48" t="str">
        <f>IFERROR(MINUS(DIVIDE(VLOOKUP($B1451,Data!$B$3:$EZ1530,24,FALSE),VLOOKUP($B1451,Data!$B$3:$EZ1530,25,FALSE)),1),"")</f>
        <v/>
      </c>
      <c r="K1451" s="48">
        <f>IFERROR(MINUS(DIVIDE(VLOOKUP($B1451,Data!$B$3:$EZ1530,29,FALSE),VLOOKUP($B1451,Data!$B$3:$EZ1530,30,FALSE)),1),"")</f>
        <v>-3.891472868</v>
      </c>
      <c r="L1451" s="48">
        <f>IFERROR(MINUS(DIVIDE(VLOOKUP($B1451,Data!$B$3:$EZ1530,34,FALSE),VLOOKUP($B1451,Data!$B$3:$EZ1530,35,FALSE)),1),"")</f>
        <v>1.125560538</v>
      </c>
      <c r="M1451" s="48">
        <f>IFERROR(MINUS(DIVIDE(VLOOKUP($B1451,Data!$B$3:$EZ1530,39,FALSE),VLOOKUP($B1451,Data!$B$3:$EZ1530,40,FALSE)),1),"")</f>
        <v>-3.799932123</v>
      </c>
      <c r="N1451" s="48">
        <f>IFERROR(MINUS(DIVIDE(VLOOKUP($B1451,Data!$B$3:$EZ1530,44,FALSE),VLOOKUP($B1451,Data!$B$3:$EZ1530,45,FALSE)),1),"")</f>
        <v>0.5205930807</v>
      </c>
      <c r="O1451" s="50">
        <f>IFERROR(VLOOKUP($B1451,Data!$B$3:$D1530,2,FALSE),"")</f>
        <v>1410000</v>
      </c>
      <c r="P1451" s="50">
        <f>IFERROR(VLOOKUP($B1451,Data!$B$3:$D1530,3,FALSE),"")</f>
        <v>894180</v>
      </c>
      <c r="Q1451" s="48">
        <f t="shared" si="2"/>
        <v>0.5768637187</v>
      </c>
      <c r="R1451" s="48"/>
      <c r="S1451" s="48"/>
      <c r="T1451" s="48"/>
      <c r="U1451" s="48"/>
      <c r="V1451" s="48"/>
      <c r="W1451" s="50"/>
      <c r="Z1451" s="11"/>
      <c r="AA1451" s="11"/>
    </row>
    <row r="1452">
      <c r="A1452" s="9">
        <f t="shared" si="1"/>
        <v>1449</v>
      </c>
      <c r="B1452" s="47" t="s">
        <v>1586</v>
      </c>
      <c r="C1452" s="48">
        <f>IFERROR(DIVIDE(VLOOKUP($B1452,Data!$B$3:$AB$1535,9,FALSE),VLOOKUP($B1452,Data!$B$3:$AB$1535,4,FALSE)),"")</f>
        <v>0.2555780933</v>
      </c>
      <c r="D1452" s="48">
        <f>IFERROR(DIVIDE(VLOOKUP($B1452,Data!$B$3:$AB$1535,24,FALSE),VLOOKUP($B1452,Data!$B$3:$AB$1535,4,FALSE)),"")</f>
        <v>0.1782657201</v>
      </c>
      <c r="E1452" s="48">
        <f>IFERROR(DIVIDE(VLOOKUP($B1452,Data!$B$3:$EZ1530,29,FALSE),VLOOKUP($B1452,Data!$B$3:$EZ1530,4,FALSE)),"")</f>
        <v>0.1536916836</v>
      </c>
      <c r="F1452" s="48">
        <f>IFERROR(DIVIDE(VLOOKUP($B1452,Data!$B$3:$EZ1530,34,FALSE),VLOOKUP($B1452,Data!$B$3:$EZ1530,4,FALSE)),"")</f>
        <v>0.2636916836</v>
      </c>
      <c r="G1452" s="48">
        <f>IFERROR(DIVIDE(VLOOKUP($B1452,Data!$B$3:$EZ1530,39,FALSE),VLOOKUP($B1452,Data!$B$3:$EZ1530,4,FALSE)),"")</f>
        <v>0.1262677485</v>
      </c>
      <c r="H1452" s="48">
        <f>IFERROR(DIVIDE(VLOOKUP($B1452,Data!$B$3:$EZ1530,44,FALSE),VLOOKUP($B1452,Data!$B$3:$EZ1530,4,FALSE)),"")</f>
        <v>0.1996186613</v>
      </c>
      <c r="I1452" s="48">
        <f>IFERROR(MINUS(DIVIDE(VLOOKUP($B1452,Data!$B$3:$EZ1530,9,FALSE),VLOOKUP($B1452,Data!$B$3:$EZ1530,10,FALSE)),1),"")</f>
        <v>0.1454545455</v>
      </c>
      <c r="J1452" s="48">
        <f>IFERROR(MINUS(DIVIDE(VLOOKUP($B1452,Data!$B$3:$EZ1530,24,FALSE),VLOOKUP($B1452,Data!$B$3:$EZ1530,25,FALSE)),1),"")</f>
        <v>0.1746818862</v>
      </c>
      <c r="K1452" s="48">
        <f>IFERROR(MINUS(DIVIDE(VLOOKUP($B1452,Data!$B$3:$EZ1530,29,FALSE),VLOOKUP($B1452,Data!$B$3:$EZ1530,30,FALSE)),1),"")</f>
        <v>0.2156460075</v>
      </c>
      <c r="L1452" s="48">
        <f>IFERROR(MINUS(DIVIDE(VLOOKUP($B1452,Data!$B$3:$EZ1530,34,FALSE),VLOOKUP($B1452,Data!$B$3:$EZ1530,35,FALSE)),1),"")</f>
        <v>0.1711711712</v>
      </c>
      <c r="M1452" s="48">
        <f>IFERROR(MINUS(DIVIDE(VLOOKUP($B1452,Data!$B$3:$EZ1530,39,FALSE),VLOOKUP($B1452,Data!$B$3:$EZ1530,40,FALSE)),1),"")</f>
        <v>0.2021087595</v>
      </c>
      <c r="N1452" s="48">
        <f>IFERROR(MINUS(DIVIDE(VLOOKUP($B1452,Data!$B$3:$EZ1530,44,FALSE),VLOOKUP($B1452,Data!$B$3:$EZ1530,45,FALSE)),1),"")</f>
        <v>0.1817286678</v>
      </c>
      <c r="O1452" s="50">
        <f>IFERROR(VLOOKUP($B1452,Data!$B$3:$D1530,2,FALSE),"")</f>
        <v>5020000</v>
      </c>
      <c r="P1452" s="50">
        <f>IFERROR(VLOOKUP($B1452,Data!$B$3:$D1530,3,FALSE),"")</f>
        <v>4880000</v>
      </c>
      <c r="Q1452" s="48">
        <f t="shared" si="2"/>
        <v>0.02868852459</v>
      </c>
      <c r="R1452" s="48"/>
      <c r="S1452" s="48"/>
      <c r="T1452" s="48"/>
      <c r="U1452" s="48"/>
      <c r="V1452" s="48"/>
      <c r="W1452" s="50"/>
      <c r="Z1452" s="12"/>
      <c r="AA1452" s="12"/>
    </row>
    <row r="1453">
      <c r="A1453" s="9">
        <f t="shared" si="1"/>
        <v>1450</v>
      </c>
      <c r="B1453" s="47" t="s">
        <v>1587</v>
      </c>
      <c r="C1453" s="48">
        <f>IFERROR(DIVIDE(VLOOKUP($B1453,Data!$B$3:$AB$1535,9,FALSE),VLOOKUP($B1453,Data!$B$3:$AB$1535,4,FALSE)),"")</f>
        <v>0.4503051787</v>
      </c>
      <c r="D1453" s="48">
        <f>IFERROR(DIVIDE(VLOOKUP($B1453,Data!$B$3:$AB$1535,24,FALSE),VLOOKUP($B1453,Data!$B$3:$AB$1535,4,FALSE)),"")</f>
        <v>-0.05434579813</v>
      </c>
      <c r="E1453" s="48">
        <f>IFERROR(DIVIDE(VLOOKUP($B1453,Data!$B$3:$EZ1530,29,FALSE),VLOOKUP($B1453,Data!$B$3:$EZ1530,4,FALSE)),"")</f>
        <v>0.08126549215</v>
      </c>
      <c r="F1453" s="48">
        <f>IFERROR(DIVIDE(VLOOKUP($B1453,Data!$B$3:$EZ1530,34,FALSE),VLOOKUP($B1453,Data!$B$3:$EZ1530,4,FALSE)),"")</f>
        <v>0.03456915163</v>
      </c>
      <c r="G1453" s="48">
        <f>IFERROR(DIVIDE(VLOOKUP($B1453,Data!$B$3:$EZ1530,39,FALSE),VLOOKUP($B1453,Data!$B$3:$EZ1530,4,FALSE)),"")</f>
        <v>0.08102561369</v>
      </c>
      <c r="H1453" s="48">
        <f>IFERROR(DIVIDE(VLOOKUP($B1453,Data!$B$3:$EZ1530,44,FALSE),VLOOKUP($B1453,Data!$B$3:$EZ1530,4,FALSE)),"")</f>
        <v>0.04483061915</v>
      </c>
      <c r="I1453" s="48">
        <f>IFERROR(MINUS(DIVIDE(VLOOKUP($B1453,Data!$B$3:$EZ1530,9,FALSE),VLOOKUP($B1453,Data!$B$3:$EZ1530,10,FALSE)),1),"")</f>
        <v>0.06747962343</v>
      </c>
      <c r="J1453" s="48">
        <f>IFERROR(MINUS(DIVIDE(VLOOKUP($B1453,Data!$B$3:$EZ1530,24,FALSE),VLOOKUP($B1453,Data!$B$3:$EZ1530,25,FALSE)),1),"")</f>
        <v>11.13690476</v>
      </c>
      <c r="K1453" s="48">
        <f>IFERROR(MINUS(DIVIDE(VLOOKUP($B1453,Data!$B$3:$EZ1530,29,FALSE),VLOOKUP($B1453,Data!$B$3:$EZ1530,30,FALSE)),1),"")</f>
        <v>-17.93888889</v>
      </c>
      <c r="L1453" s="48">
        <f>IFERROR(MINUS(DIVIDE(VLOOKUP($B1453,Data!$B$3:$EZ1530,34,FALSE),VLOOKUP($B1453,Data!$B$3:$EZ1530,35,FALSE)),1),"")</f>
        <v>-0.2865786579</v>
      </c>
      <c r="M1453" s="48">
        <f>IFERROR(MINUS(DIVIDE(VLOOKUP($B1453,Data!$B$3:$EZ1530,39,FALSE),VLOOKUP($B1453,Data!$B$3:$EZ1530,40,FALSE)),1),"")</f>
        <v>-16.51020408</v>
      </c>
      <c r="N1453" s="48">
        <f>IFERROR(MINUS(DIVIDE(VLOOKUP($B1453,Data!$B$3:$EZ1530,44,FALSE),VLOOKUP($B1453,Data!$B$3:$EZ1530,45,FALSE)),1),"")</f>
        <v>5.419847328</v>
      </c>
      <c r="O1453" s="50">
        <f>IFERROR(VLOOKUP($B1453,Data!$B$3:$D1530,2,FALSE),"")</f>
        <v>308900</v>
      </c>
      <c r="P1453" s="50">
        <f>IFERROR(VLOOKUP($B1453,Data!$B$3:$D1530,3,FALSE),"")</f>
        <v>261500</v>
      </c>
      <c r="Q1453" s="48">
        <f t="shared" si="2"/>
        <v>0.1812619503</v>
      </c>
      <c r="R1453" s="48"/>
      <c r="S1453" s="48"/>
      <c r="T1453" s="48"/>
      <c r="U1453" s="48"/>
      <c r="V1453" s="48"/>
      <c r="W1453" s="50"/>
      <c r="Z1453" s="11"/>
      <c r="AA1453" s="11"/>
    </row>
    <row r="1454">
      <c r="A1454" s="9">
        <f t="shared" si="1"/>
        <v>1451</v>
      </c>
      <c r="B1454" s="47" t="s">
        <v>1588</v>
      </c>
      <c r="C1454" s="48">
        <f>IFERROR(DIVIDE(VLOOKUP($B1454,Data!$B$3:$AB$1535,9,FALSE),VLOOKUP($B1454,Data!$B$3:$AB$1535,4,FALSE)),"")</f>
        <v>0.8856023593</v>
      </c>
      <c r="D1454" s="48">
        <f>IFERROR(DIVIDE(VLOOKUP($B1454,Data!$B$3:$AB$1535,24,FALSE),VLOOKUP($B1454,Data!$B$3:$AB$1535,4,FALSE)),"")</f>
        <v>0</v>
      </c>
      <c r="E1454" s="48">
        <f>IFERROR(DIVIDE(VLOOKUP($B1454,Data!$B$3:$EZ1530,29,FALSE),VLOOKUP($B1454,Data!$B$3:$EZ1530,4,FALSE)),"")</f>
        <v>0.1277785114</v>
      </c>
      <c r="F1454" s="48">
        <f>IFERROR(DIVIDE(VLOOKUP($B1454,Data!$B$3:$EZ1530,34,FALSE),VLOOKUP($B1454,Data!$B$3:$EZ1530,4,FALSE)),"")</f>
        <v>0.1131211761</v>
      </c>
      <c r="G1454" s="48">
        <f>IFERROR(DIVIDE(VLOOKUP($B1454,Data!$B$3:$EZ1530,39,FALSE),VLOOKUP($B1454,Data!$B$3:$EZ1530,4,FALSE)),"")</f>
        <v>0.5086051323</v>
      </c>
      <c r="H1454" s="48">
        <f>IFERROR(DIVIDE(VLOOKUP($B1454,Data!$B$3:$EZ1530,44,FALSE),VLOOKUP($B1454,Data!$B$3:$EZ1530,4,FALSE)),"")</f>
        <v>0.2022536203</v>
      </c>
      <c r="I1454" s="48">
        <f>IFERROR(MINUS(DIVIDE(VLOOKUP($B1454,Data!$B$3:$EZ1530,9,FALSE),VLOOKUP($B1454,Data!$B$3:$EZ1530,10,FALSE)),1),"")</f>
        <v>0.1760579846</v>
      </c>
      <c r="J1454" s="48" t="str">
        <f>IFERROR(MINUS(DIVIDE(VLOOKUP($B1454,Data!$B$3:$EZ1530,24,FALSE),VLOOKUP($B1454,Data!$B$3:$EZ1530,25,FALSE)),1),"")</f>
        <v/>
      </c>
      <c r="K1454" s="48">
        <f>IFERROR(MINUS(DIVIDE(VLOOKUP($B1454,Data!$B$3:$EZ1530,29,FALSE),VLOOKUP($B1454,Data!$B$3:$EZ1530,30,FALSE)),1),"")</f>
        <v>0.1451676529</v>
      </c>
      <c r="L1454" s="48">
        <f>IFERROR(MINUS(DIVIDE(VLOOKUP($B1454,Data!$B$3:$EZ1530,34,FALSE),VLOOKUP($B1454,Data!$B$3:$EZ1530,35,FALSE)),1),"")</f>
        <v>0.0409072499</v>
      </c>
      <c r="M1454" s="48">
        <f>IFERROR(MINUS(DIVIDE(VLOOKUP($B1454,Data!$B$3:$EZ1530,39,FALSE),VLOOKUP($B1454,Data!$B$3:$EZ1530,40,FALSE)),1),"")</f>
        <v>3.583498612</v>
      </c>
      <c r="N1454" s="48">
        <f>IFERROR(MINUS(DIVIDE(VLOOKUP($B1454,Data!$B$3:$EZ1530,44,FALSE),VLOOKUP($B1454,Data!$B$3:$EZ1530,45,FALSE)),1),"")</f>
        <v>0.5321773925</v>
      </c>
      <c r="O1454" s="50">
        <f>IFERROR(VLOOKUP($B1454,Data!$B$3:$D1530,2,FALSE),"")</f>
        <v>257300</v>
      </c>
      <c r="P1454" s="50">
        <f>IFERROR(VLOOKUP($B1454,Data!$B$3:$D1530,3,FALSE),"")</f>
        <v>251050</v>
      </c>
      <c r="Q1454" s="48">
        <f t="shared" si="2"/>
        <v>0.02489543916</v>
      </c>
      <c r="R1454" s="48"/>
      <c r="S1454" s="48"/>
      <c r="T1454" s="48"/>
      <c r="U1454" s="48"/>
      <c r="V1454" s="48"/>
      <c r="W1454" s="50"/>
      <c r="Z1454" s="12"/>
      <c r="AA1454" s="12"/>
    </row>
    <row r="1455">
      <c r="A1455" s="9">
        <f t="shared" si="1"/>
        <v>1452</v>
      </c>
      <c r="B1455" s="47" t="s">
        <v>1589</v>
      </c>
      <c r="C1455" s="48">
        <f>IFERROR(DIVIDE(VLOOKUP($B1455,Data!$B$3:$AB$1535,9,FALSE),VLOOKUP($B1455,Data!$B$3:$AB$1535,4,FALSE)),"")</f>
        <v>0.1117370892</v>
      </c>
      <c r="D1455" s="48">
        <f>IFERROR(DIVIDE(VLOOKUP($B1455,Data!$B$3:$AB$1535,24,FALSE),VLOOKUP($B1455,Data!$B$3:$AB$1535,4,FALSE)),"")</f>
        <v>0.01079812207</v>
      </c>
      <c r="E1455" s="48">
        <f>IFERROR(DIVIDE(VLOOKUP($B1455,Data!$B$3:$EZ1530,29,FALSE),VLOOKUP($B1455,Data!$B$3:$EZ1530,4,FALSE)),"")</f>
        <v>-0.009389671362</v>
      </c>
      <c r="F1455" s="48">
        <f>IFERROR(DIVIDE(VLOOKUP($B1455,Data!$B$3:$EZ1530,34,FALSE),VLOOKUP($B1455,Data!$B$3:$EZ1530,4,FALSE)),"")</f>
        <v>0.0779342723</v>
      </c>
      <c r="G1455" s="48">
        <f>IFERROR(DIVIDE(VLOOKUP($B1455,Data!$B$3:$EZ1530,39,FALSE),VLOOKUP($B1455,Data!$B$3:$EZ1530,4,FALSE)),"")</f>
        <v>-0.08215962441</v>
      </c>
      <c r="H1455" s="48">
        <f>IFERROR(DIVIDE(VLOOKUP($B1455,Data!$B$3:$EZ1530,44,FALSE),VLOOKUP($B1455,Data!$B$3:$EZ1530,4,FALSE)),"")</f>
        <v>0.01549295775</v>
      </c>
      <c r="I1455" s="48">
        <f>IFERROR(MINUS(DIVIDE(VLOOKUP($B1455,Data!$B$3:$EZ1530,9,FALSE),VLOOKUP($B1455,Data!$B$3:$EZ1530,10,FALSE)),1),"")</f>
        <v>-0.3276836158</v>
      </c>
      <c r="J1455" s="48">
        <f>IFERROR(MINUS(DIVIDE(VLOOKUP($B1455,Data!$B$3:$EZ1530,24,FALSE),VLOOKUP($B1455,Data!$B$3:$EZ1530,25,FALSE)),1),"")</f>
        <v>-1.184</v>
      </c>
      <c r="K1455" s="48">
        <f>IFERROR(MINUS(DIVIDE(VLOOKUP($B1455,Data!$B$3:$EZ1530,29,FALSE),VLOOKUP($B1455,Data!$B$3:$EZ1530,30,FALSE)),1),"")</f>
        <v>-0.8787878788</v>
      </c>
      <c r="L1455" s="48">
        <f>IFERROR(MINUS(DIVIDE(VLOOKUP($B1455,Data!$B$3:$EZ1530,34,FALSE),VLOOKUP($B1455,Data!$B$3:$EZ1530,35,FALSE)),1),"")</f>
        <v>-0.3941605839</v>
      </c>
      <c r="M1455" s="48">
        <f>IFERROR(MINUS(DIVIDE(VLOOKUP($B1455,Data!$B$3:$EZ1530,39,FALSE),VLOOKUP($B1455,Data!$B$3:$EZ1530,40,FALSE)),1),"")</f>
        <v>0.0736196319</v>
      </c>
      <c r="N1455" s="48">
        <f>IFERROR(MINUS(DIVIDE(VLOOKUP($B1455,Data!$B$3:$EZ1530,44,FALSE),VLOOKUP($B1455,Data!$B$3:$EZ1530,45,FALSE)),1),"")</f>
        <v>-0.8829787234</v>
      </c>
      <c r="O1455" s="50">
        <f>IFERROR(VLOOKUP($B1455,Data!$B$3:$D1530,2,FALSE),"")</f>
        <v>1990000</v>
      </c>
      <c r="P1455" s="50">
        <f>IFERROR(VLOOKUP($B1455,Data!$B$3:$D1530,3,FALSE),"")</f>
        <v>1890000</v>
      </c>
      <c r="Q1455" s="48">
        <f t="shared" si="2"/>
        <v>0.05291005291</v>
      </c>
      <c r="R1455" s="48"/>
      <c r="S1455" s="48"/>
      <c r="T1455" s="48"/>
      <c r="U1455" s="48"/>
      <c r="V1455" s="48"/>
      <c r="W1455" s="50"/>
      <c r="Z1455" s="15"/>
      <c r="AA1455" s="15"/>
    </row>
    <row r="1456">
      <c r="A1456" s="9">
        <f t="shared" si="1"/>
        <v>1453</v>
      </c>
      <c r="B1456" s="47" t="s">
        <v>1590</v>
      </c>
      <c r="C1456" s="48">
        <f>IFERROR(DIVIDE(VLOOKUP($B1456,Data!$B$3:$AB$1535,9,FALSE),VLOOKUP($B1456,Data!$B$3:$AB$1535,4,FALSE)),"")</f>
        <v>0.2418141761</v>
      </c>
      <c r="D1456" s="48">
        <f>IFERROR(DIVIDE(VLOOKUP($B1456,Data!$B$3:$AB$1535,24,FALSE),VLOOKUP($B1456,Data!$B$3:$AB$1535,4,FALSE)),"")</f>
        <v>-0.126313657</v>
      </c>
      <c r="E1456" s="48">
        <f>IFERROR(DIVIDE(VLOOKUP($B1456,Data!$B$3:$EZ1530,29,FALSE),VLOOKUP($B1456,Data!$B$3:$EZ1530,4,FALSE)),"")</f>
        <v>-0.103674441</v>
      </c>
      <c r="F1456" s="48">
        <f>IFERROR(DIVIDE(VLOOKUP($B1456,Data!$B$3:$EZ1530,34,FALSE),VLOOKUP($B1456,Data!$B$3:$EZ1530,4,FALSE)),"")</f>
        <v>-0.0184861607</v>
      </c>
      <c r="G1456" s="48">
        <f>IFERROR(DIVIDE(VLOOKUP($B1456,Data!$B$3:$EZ1530,39,FALSE),VLOOKUP($B1456,Data!$B$3:$EZ1530,4,FALSE)),"")</f>
        <v>-0.06695535466</v>
      </c>
      <c r="H1456" s="48">
        <f>IFERROR(DIVIDE(VLOOKUP($B1456,Data!$B$3:$EZ1530,44,FALSE),VLOOKUP($B1456,Data!$B$3:$EZ1530,4,FALSE)),"")</f>
        <v>-0.004026437742</v>
      </c>
      <c r="I1456" s="48">
        <f>IFERROR(MINUS(DIVIDE(VLOOKUP($B1456,Data!$B$3:$EZ1530,9,FALSE),VLOOKUP($B1456,Data!$B$3:$EZ1530,10,FALSE)),1),"")</f>
        <v>-0.1009321156</v>
      </c>
      <c r="J1456" s="48">
        <f>IFERROR(MINUS(DIVIDE(VLOOKUP($B1456,Data!$B$3:$EZ1530,24,FALSE),VLOOKUP($B1456,Data!$B$3:$EZ1530,25,FALSE)),1),"")</f>
        <v>-0.1839005236</v>
      </c>
      <c r="K1456" s="48">
        <f>IFERROR(MINUS(DIVIDE(VLOOKUP($B1456,Data!$B$3:$EZ1530,29,FALSE),VLOOKUP($B1456,Data!$B$3:$EZ1530,30,FALSE)),1),"")</f>
        <v>-0.3056309362</v>
      </c>
      <c r="L1456" s="48">
        <f>IFERROR(MINUS(DIVIDE(VLOOKUP($B1456,Data!$B$3:$EZ1530,34,FALSE),VLOOKUP($B1456,Data!$B$3:$EZ1530,35,FALSE)),1),"")</f>
        <v>-5.74025974</v>
      </c>
      <c r="M1456" s="48">
        <f>IFERROR(MINUS(DIVIDE(VLOOKUP($B1456,Data!$B$3:$EZ1530,39,FALSE),VLOOKUP($B1456,Data!$B$3:$EZ1530,40,FALSE)),1),"")</f>
        <v>-0.42633977</v>
      </c>
      <c r="N1456" s="48">
        <f>IFERROR(MINUS(DIVIDE(VLOOKUP($B1456,Data!$B$3:$EZ1530,44,FALSE),VLOOKUP($B1456,Data!$B$3:$EZ1530,45,FALSE)),1),"")</f>
        <v>-1.07293578</v>
      </c>
      <c r="O1456" s="50" t="str">
        <f>IFERROR(VLOOKUP($B1456,Data!$B$3:$D1530,2,FALSE),"")</f>
        <v/>
      </c>
      <c r="P1456" s="50">
        <f>IFERROR(VLOOKUP($B1456,Data!$B$3:$D1530,3,FALSE),"")</f>
        <v>460000</v>
      </c>
      <c r="Q1456" s="48">
        <f t="shared" si="2"/>
        <v>-1</v>
      </c>
      <c r="R1456" s="48"/>
      <c r="S1456" s="48"/>
      <c r="T1456" s="48"/>
      <c r="U1456" s="48"/>
      <c r="V1456" s="48"/>
      <c r="W1456" s="50"/>
      <c r="Z1456" s="11"/>
      <c r="AA1456" s="11"/>
    </row>
    <row r="1457">
      <c r="A1457" s="9">
        <f t="shared" si="1"/>
        <v>1454</v>
      </c>
      <c r="B1457" s="47" t="s">
        <v>1591</v>
      </c>
      <c r="C1457" s="48">
        <f>IFERROR(DIVIDE(VLOOKUP($B1457,Data!$B$3:$AB$1535,9,FALSE),VLOOKUP($B1457,Data!$B$3:$AB$1535,4,FALSE)),"")</f>
        <v>0.5655782395</v>
      </c>
      <c r="D1457" s="48">
        <f>IFERROR(DIVIDE(VLOOKUP($B1457,Data!$B$3:$AB$1535,24,FALSE),VLOOKUP($B1457,Data!$B$3:$AB$1535,4,FALSE)),"")</f>
        <v>0.03711556713</v>
      </c>
      <c r="E1457" s="48">
        <f>IFERROR(DIVIDE(VLOOKUP($B1457,Data!$B$3:$EZ1530,29,FALSE),VLOOKUP($B1457,Data!$B$3:$EZ1530,4,FALSE)),"")</f>
        <v>0.04151773995</v>
      </c>
      <c r="F1457" s="48">
        <f>IFERROR(DIVIDE(VLOOKUP($B1457,Data!$B$3:$EZ1530,34,FALSE),VLOOKUP($B1457,Data!$B$3:$EZ1530,4,FALSE)),"")</f>
        <v>0.1591849922</v>
      </c>
      <c r="G1457" s="48">
        <f>IFERROR(DIVIDE(VLOOKUP($B1457,Data!$B$3:$EZ1530,39,FALSE),VLOOKUP($B1457,Data!$B$3:$EZ1530,4,FALSE)),"")</f>
        <v>0.03241049252</v>
      </c>
      <c r="H1457" s="48">
        <f>IFERROR(DIVIDE(VLOOKUP($B1457,Data!$B$3:$EZ1530,44,FALSE),VLOOKUP($B1457,Data!$B$3:$EZ1530,4,FALSE)),"")</f>
        <v>0.09274853093</v>
      </c>
      <c r="I1457" s="48">
        <f>IFERROR(MINUS(DIVIDE(VLOOKUP($B1457,Data!$B$3:$EZ1530,9,FALSE),VLOOKUP($B1457,Data!$B$3:$EZ1530,10,FALSE)),1),"")</f>
        <v>0.1738966428</v>
      </c>
      <c r="J1457" s="48" t="str">
        <f>IFERROR(MINUS(DIVIDE(VLOOKUP($B1457,Data!$B$3:$EZ1530,24,FALSE),VLOOKUP($B1457,Data!$B$3:$EZ1530,25,FALSE)),1),"")</f>
        <v/>
      </c>
      <c r="K1457" s="48">
        <f>IFERROR(MINUS(DIVIDE(VLOOKUP($B1457,Data!$B$3:$EZ1530,29,FALSE),VLOOKUP($B1457,Data!$B$3:$EZ1530,30,FALSE)),1),"")</f>
        <v>-0.2716967765</v>
      </c>
      <c r="L1457" s="48">
        <f>IFERROR(MINUS(DIVIDE(VLOOKUP($B1457,Data!$B$3:$EZ1530,34,FALSE),VLOOKUP($B1457,Data!$B$3:$EZ1530,35,FALSE)),1),"")</f>
        <v>0.8273064441</v>
      </c>
      <c r="M1457" s="48">
        <f>IFERROR(MINUS(DIVIDE(VLOOKUP($B1457,Data!$B$3:$EZ1530,39,FALSE),VLOOKUP($B1457,Data!$B$3:$EZ1530,40,FALSE)),1),"")</f>
        <v>-0.2268786127</v>
      </c>
      <c r="N1457" s="48">
        <f>IFERROR(MINUS(DIVIDE(VLOOKUP($B1457,Data!$B$3:$EZ1530,44,FALSE),VLOOKUP($B1457,Data!$B$3:$EZ1530,45,FALSE)),1),"")</f>
        <v>0.05829493088</v>
      </c>
      <c r="O1457" s="50">
        <f>IFERROR(VLOOKUP($B1457,Data!$B$3:$D1530,2,FALSE),"")</f>
        <v>543120</v>
      </c>
      <c r="P1457" s="50">
        <f>IFERROR(VLOOKUP($B1457,Data!$B$3:$D1530,3,FALSE),"")</f>
        <v>457550</v>
      </c>
      <c r="Q1457" s="48">
        <f t="shared" si="2"/>
        <v>0.1870178123</v>
      </c>
      <c r="R1457" s="48"/>
      <c r="S1457" s="48"/>
      <c r="T1457" s="48"/>
      <c r="U1457" s="48"/>
      <c r="V1457" s="48"/>
      <c r="W1457" s="50"/>
      <c r="Z1457" s="15"/>
      <c r="AA1457" s="15"/>
    </row>
    <row r="1458">
      <c r="A1458" s="9">
        <f t="shared" si="1"/>
        <v>1455</v>
      </c>
      <c r="B1458" s="47" t="s">
        <v>1592</v>
      </c>
      <c r="C1458" s="48" t="str">
        <f>IFERROR(DIVIDE(VLOOKUP($B1458,Data!$B$3:$AB$1535,9,FALSE),VLOOKUP($B1458,Data!$B$3:$AB$1535,4,FALSE)),"")</f>
        <v/>
      </c>
      <c r="D1458" s="48" t="str">
        <f>IFERROR(DIVIDE(VLOOKUP($B1458,Data!$B$3:$AB$1535,24,FALSE),VLOOKUP($B1458,Data!$B$3:$AB$1535,4,FALSE)),"")</f>
        <v/>
      </c>
      <c r="E1458" s="48" t="str">
        <f>IFERROR(DIVIDE(VLOOKUP($B1458,Data!$B$3:$EZ1530,29,FALSE),VLOOKUP($B1458,Data!$B$3:$EZ1530,4,FALSE)),"")</f>
        <v/>
      </c>
      <c r="F1458" s="48" t="str">
        <f>IFERROR(DIVIDE(VLOOKUP($B1458,Data!$B$3:$EZ1530,34,FALSE),VLOOKUP($B1458,Data!$B$3:$EZ1530,4,FALSE)),"")</f>
        <v/>
      </c>
      <c r="G1458" s="48" t="str">
        <f>IFERROR(DIVIDE(VLOOKUP($B1458,Data!$B$3:$EZ1530,39,FALSE),VLOOKUP($B1458,Data!$B$3:$EZ1530,4,FALSE)),"")</f>
        <v/>
      </c>
      <c r="H1458" s="48" t="str">
        <f>IFERROR(DIVIDE(VLOOKUP($B1458,Data!$B$3:$EZ1530,44,FALSE),VLOOKUP($B1458,Data!$B$3:$EZ1530,4,FALSE)),"")</f>
        <v/>
      </c>
      <c r="I1458" s="48">
        <f>IFERROR(MINUS(DIVIDE(VLOOKUP($B1458,Data!$B$3:$EZ1530,9,FALSE),VLOOKUP($B1458,Data!$B$3:$EZ1530,10,FALSE)),1),"")</f>
        <v>11.85</v>
      </c>
      <c r="J1458" s="48" t="str">
        <f>IFERROR(MINUS(DIVIDE(VLOOKUP($B1458,Data!$B$3:$EZ1530,24,FALSE),VLOOKUP($B1458,Data!$B$3:$EZ1530,25,FALSE)),1),"")</f>
        <v/>
      </c>
      <c r="K1458" s="48">
        <f>IFERROR(MINUS(DIVIDE(VLOOKUP($B1458,Data!$B$3:$EZ1530,29,FALSE),VLOOKUP($B1458,Data!$B$3:$EZ1530,30,FALSE)),1),"")</f>
        <v>0.3661016949</v>
      </c>
      <c r="L1458" s="48">
        <f>IFERROR(MINUS(DIVIDE(VLOOKUP($B1458,Data!$B$3:$EZ1530,34,FALSE),VLOOKUP($B1458,Data!$B$3:$EZ1530,35,FALSE)),1),"")</f>
        <v>0.3641354071</v>
      </c>
      <c r="M1458" s="48">
        <f>IFERROR(MINUS(DIVIDE(VLOOKUP($B1458,Data!$B$3:$EZ1530,39,FALSE),VLOOKUP($B1458,Data!$B$3:$EZ1530,40,FALSE)),1),"")</f>
        <v>0.3661016949</v>
      </c>
      <c r="N1458" s="48">
        <f>IFERROR(MINUS(DIVIDE(VLOOKUP($B1458,Data!$B$3:$EZ1530,44,FALSE),VLOOKUP($B1458,Data!$B$3:$EZ1530,45,FALSE)),1),"")</f>
        <v>0.5271404589</v>
      </c>
      <c r="O1458" s="50">
        <f>IFERROR(VLOOKUP($B1458,Data!$B$3:$D1530,2,FALSE),"")</f>
        <v>9060</v>
      </c>
      <c r="P1458" s="50" t="str">
        <f>IFERROR(VLOOKUP($B1458,Data!$B$3:$D1530,3,FALSE),"")</f>
        <v/>
      </c>
      <c r="Q1458" s="48" t="str">
        <f t="shared" si="2"/>
        <v/>
      </c>
      <c r="R1458" s="48"/>
      <c r="S1458" s="48"/>
      <c r="T1458" s="48"/>
      <c r="U1458" s="48"/>
      <c r="V1458" s="48"/>
      <c r="W1458" s="50"/>
      <c r="Z1458" s="15"/>
      <c r="AA1458" s="15"/>
    </row>
    <row r="1459">
      <c r="A1459" s="9">
        <f t="shared" si="1"/>
        <v>1456</v>
      </c>
      <c r="B1459" s="47" t="s">
        <v>1593</v>
      </c>
      <c r="C1459" s="48" t="str">
        <f>IFERROR(DIVIDE(VLOOKUP($B1459,Data!$B$3:$AB$1535,9,FALSE),VLOOKUP($B1459,Data!$B$3:$AB$1535,4,FALSE)),"")</f>
        <v/>
      </c>
      <c r="D1459" s="48" t="str">
        <f>IFERROR(DIVIDE(VLOOKUP($B1459,Data!$B$3:$AB$1535,24,FALSE),VLOOKUP($B1459,Data!$B$3:$AB$1535,4,FALSE)),"")</f>
        <v/>
      </c>
      <c r="E1459" s="48" t="str">
        <f>IFERROR(DIVIDE(VLOOKUP($B1459,Data!$B$3:$EZ1530,29,FALSE),VLOOKUP($B1459,Data!$B$3:$EZ1530,4,FALSE)),"")</f>
        <v/>
      </c>
      <c r="F1459" s="48" t="str">
        <f>IFERROR(DIVIDE(VLOOKUP($B1459,Data!$B$3:$EZ1530,34,FALSE),VLOOKUP($B1459,Data!$B$3:$EZ1530,4,FALSE)),"")</f>
        <v/>
      </c>
      <c r="G1459" s="48" t="str">
        <f>IFERROR(DIVIDE(VLOOKUP($B1459,Data!$B$3:$EZ1530,39,FALSE),VLOOKUP($B1459,Data!$B$3:$EZ1530,4,FALSE)),"")</f>
        <v/>
      </c>
      <c r="H1459" s="48" t="str">
        <f>IFERROR(DIVIDE(VLOOKUP($B1459,Data!$B$3:$EZ1530,44,FALSE),VLOOKUP($B1459,Data!$B$3:$EZ1530,4,FALSE)),"")</f>
        <v/>
      </c>
      <c r="I1459" s="48">
        <f>IFERROR(MINUS(DIVIDE(VLOOKUP($B1459,Data!$B$3:$EZ1530,9,FALSE),VLOOKUP($B1459,Data!$B$3:$EZ1530,10,FALSE)),1),"")</f>
        <v>4.142857143</v>
      </c>
      <c r="J1459" s="48">
        <f>IFERROR(MINUS(DIVIDE(VLOOKUP($B1459,Data!$B$3:$EZ1530,24,FALSE),VLOOKUP($B1459,Data!$B$3:$EZ1530,25,FALSE)),1),"")</f>
        <v>28.51879699</v>
      </c>
      <c r="K1459" s="48">
        <f>IFERROR(MINUS(DIVIDE(VLOOKUP($B1459,Data!$B$3:$EZ1530,29,FALSE),VLOOKUP($B1459,Data!$B$3:$EZ1530,30,FALSE)),1),"")</f>
        <v>0.6249481973</v>
      </c>
      <c r="L1459" s="48">
        <f>IFERROR(MINUS(DIVIDE(VLOOKUP($B1459,Data!$B$3:$EZ1530,34,FALSE),VLOOKUP($B1459,Data!$B$3:$EZ1530,35,FALSE)),1),"")</f>
        <v>0.5776470588</v>
      </c>
      <c r="M1459" s="48">
        <f>IFERROR(MINUS(DIVIDE(VLOOKUP($B1459,Data!$B$3:$EZ1530,39,FALSE),VLOOKUP($B1459,Data!$B$3:$EZ1530,40,FALSE)),1),"")</f>
        <v>0.6050251256</v>
      </c>
      <c r="N1459" s="48">
        <f>IFERROR(MINUS(DIVIDE(VLOOKUP($B1459,Data!$B$3:$EZ1530,44,FALSE),VLOOKUP($B1459,Data!$B$3:$EZ1530,45,FALSE)),1),"")</f>
        <v>0.9112013929</v>
      </c>
      <c r="O1459" s="50" t="str">
        <f>IFERROR(VLOOKUP($B1459,Data!$B$3:$D1530,2,FALSE),"")</f>
        <v/>
      </c>
      <c r="P1459" s="50" t="str">
        <f>IFERROR(VLOOKUP($B1459,Data!$B$3:$D1530,3,FALSE),"")</f>
        <v/>
      </c>
      <c r="Q1459" s="48" t="str">
        <f t="shared" si="2"/>
        <v/>
      </c>
      <c r="R1459" s="48"/>
      <c r="S1459" s="48"/>
      <c r="T1459" s="48"/>
      <c r="U1459" s="48"/>
      <c r="V1459" s="48"/>
      <c r="W1459" s="50"/>
      <c r="Z1459" s="15"/>
      <c r="AA1459" s="15"/>
    </row>
    <row r="1460">
      <c r="A1460" s="9">
        <f t="shared" si="1"/>
        <v>1457</v>
      </c>
      <c r="B1460" s="47" t="s">
        <v>1594</v>
      </c>
      <c r="C1460" s="48">
        <f>IFERROR(DIVIDE(VLOOKUP($B1460,Data!$B$3:$AB$1535,9,FALSE),VLOOKUP($B1460,Data!$B$3:$AB$1535,4,FALSE)),"")</f>
        <v>0.8668280872</v>
      </c>
      <c r="D1460" s="48">
        <f>IFERROR(DIVIDE(VLOOKUP($B1460,Data!$B$3:$AB$1535,24,FALSE),VLOOKUP($B1460,Data!$B$3:$AB$1535,4,FALSE)),"")</f>
        <v>0.3123486683</v>
      </c>
      <c r="E1460" s="48">
        <f>IFERROR(DIVIDE(VLOOKUP($B1460,Data!$B$3:$EZ1530,29,FALSE),VLOOKUP($B1460,Data!$B$3:$EZ1530,4,FALSE)),"")</f>
        <v>0.3365617433</v>
      </c>
      <c r="F1460" s="48">
        <f>IFERROR(DIVIDE(VLOOKUP($B1460,Data!$B$3:$EZ1530,34,FALSE),VLOOKUP($B1460,Data!$B$3:$EZ1530,4,FALSE)),"")</f>
        <v>0.3099273608</v>
      </c>
      <c r="G1460" s="48">
        <f>IFERROR(DIVIDE(VLOOKUP($B1460,Data!$B$3:$EZ1530,39,FALSE),VLOOKUP($B1460,Data!$B$3:$EZ1530,4,FALSE)),"")</f>
        <v>0.2857142857</v>
      </c>
      <c r="H1460" s="48">
        <f>IFERROR(DIVIDE(VLOOKUP($B1460,Data!$B$3:$EZ1530,44,FALSE),VLOOKUP($B1460,Data!$B$3:$EZ1530,4,FALSE)),"")</f>
        <v>0.3801452785</v>
      </c>
      <c r="I1460" s="48">
        <f>IFERROR(MINUS(DIVIDE(VLOOKUP($B1460,Data!$B$3:$EZ1530,9,FALSE),VLOOKUP($B1460,Data!$B$3:$EZ1530,10,FALSE)),1),"")</f>
        <v>0.3560606061</v>
      </c>
      <c r="J1460" s="48">
        <f>IFERROR(MINUS(DIVIDE(VLOOKUP($B1460,Data!$B$3:$EZ1530,24,FALSE),VLOOKUP($B1460,Data!$B$3:$EZ1530,25,FALSE)),1),"")</f>
        <v>1.025022369</v>
      </c>
      <c r="K1460" s="48">
        <f>IFERROR(MINUS(DIVIDE(VLOOKUP($B1460,Data!$B$3:$EZ1530,29,FALSE),VLOOKUP($B1460,Data!$B$3:$EZ1530,30,FALSE)),1),"")</f>
        <v>1.315740371</v>
      </c>
      <c r="L1460" s="48">
        <f>IFERROR(MINUS(DIVIDE(VLOOKUP($B1460,Data!$B$3:$EZ1530,34,FALSE),VLOOKUP($B1460,Data!$B$3:$EZ1530,35,FALSE)),1),"")</f>
        <v>0.7352638143</v>
      </c>
      <c r="M1460" s="48">
        <f>IFERROR(MINUS(DIVIDE(VLOOKUP($B1460,Data!$B$3:$EZ1530,39,FALSE),VLOOKUP($B1460,Data!$B$3:$EZ1530,40,FALSE)),1),"")</f>
        <v>-0.4380952381</v>
      </c>
      <c r="N1460" s="48">
        <f>IFERROR(MINUS(DIVIDE(VLOOKUP($B1460,Data!$B$3:$EZ1530,44,FALSE),VLOOKUP($B1460,Data!$B$3:$EZ1530,45,FALSE)),1),"")</f>
        <v>0.2362204724</v>
      </c>
      <c r="O1460" s="50">
        <f>IFERROR(VLOOKUP($B1460,Data!$B$3:$D1530,2,FALSE),"")</f>
        <v>6790000</v>
      </c>
      <c r="P1460" s="50">
        <f>IFERROR(VLOOKUP($B1460,Data!$B$3:$D1530,3,FALSE),"")</f>
        <v>5980000</v>
      </c>
      <c r="Q1460" s="48">
        <f t="shared" si="2"/>
        <v>0.135451505</v>
      </c>
      <c r="R1460" s="48"/>
      <c r="S1460" s="48"/>
      <c r="T1460" s="48"/>
      <c r="U1460" s="48"/>
      <c r="V1460" s="48"/>
      <c r="W1460" s="50"/>
      <c r="Z1460" s="11"/>
      <c r="AA1460" s="12"/>
    </row>
    <row r="1461">
      <c r="A1461" s="9">
        <f t="shared" si="1"/>
        <v>1458</v>
      </c>
      <c r="B1461" s="47" t="s">
        <v>1595</v>
      </c>
      <c r="C1461" s="48">
        <f>IFERROR(DIVIDE(VLOOKUP($B1461,Data!$B$3:$AB$1535,9,FALSE),VLOOKUP($B1461,Data!$B$3:$AB$1535,4,FALSE)),"")</f>
        <v>0.2995411255</v>
      </c>
      <c r="D1461" s="48">
        <f>IFERROR(DIVIDE(VLOOKUP($B1461,Data!$B$3:$AB$1535,24,FALSE),VLOOKUP($B1461,Data!$B$3:$AB$1535,4,FALSE)),"")</f>
        <v>0</v>
      </c>
      <c r="E1461" s="48">
        <f>IFERROR(DIVIDE(VLOOKUP($B1461,Data!$B$3:$EZ1530,29,FALSE),VLOOKUP($B1461,Data!$B$3:$EZ1530,4,FALSE)),"")</f>
        <v>0.000619047619</v>
      </c>
      <c r="F1461" s="48">
        <f>IFERROR(DIVIDE(VLOOKUP($B1461,Data!$B$3:$EZ1530,34,FALSE),VLOOKUP($B1461,Data!$B$3:$EZ1530,4,FALSE)),"")</f>
        <v>0.1647619048</v>
      </c>
      <c r="G1461" s="48">
        <f>IFERROR(DIVIDE(VLOOKUP($B1461,Data!$B$3:$EZ1530,39,FALSE),VLOOKUP($B1461,Data!$B$3:$EZ1530,4,FALSE)),"")</f>
        <v>0</v>
      </c>
      <c r="H1461" s="48">
        <f>IFERROR(DIVIDE(VLOOKUP($B1461,Data!$B$3:$EZ1530,44,FALSE),VLOOKUP($B1461,Data!$B$3:$EZ1530,4,FALSE)),"")</f>
        <v>0.1891515152</v>
      </c>
      <c r="I1461" s="48">
        <f>IFERROR(MINUS(DIVIDE(VLOOKUP($B1461,Data!$B$3:$EZ1530,9,FALSE),VLOOKUP($B1461,Data!$B$3:$EZ1530,10,FALSE)),1),"")</f>
        <v>0.3284057748</v>
      </c>
      <c r="J1461" s="48">
        <f>IFERROR(MINUS(DIVIDE(VLOOKUP($B1461,Data!$B$3:$EZ1530,24,FALSE),VLOOKUP($B1461,Data!$B$3:$EZ1530,25,FALSE)),1),"")</f>
        <v>-1</v>
      </c>
      <c r="K1461" s="48">
        <f>IFERROR(MINUS(DIVIDE(VLOOKUP($B1461,Data!$B$3:$EZ1530,29,FALSE),VLOOKUP($B1461,Data!$B$3:$EZ1530,30,FALSE)),1),"")</f>
        <v>-1.012943519</v>
      </c>
      <c r="L1461" s="48">
        <f>IFERROR(MINUS(DIVIDE(VLOOKUP($B1461,Data!$B$3:$EZ1530,34,FALSE),VLOOKUP($B1461,Data!$B$3:$EZ1530,35,FALSE)),1),"")</f>
        <v>0.519421933</v>
      </c>
      <c r="M1461" s="48">
        <f>IFERROR(MINUS(DIVIDE(VLOOKUP($B1461,Data!$B$3:$EZ1530,39,FALSE),VLOOKUP($B1461,Data!$B$3:$EZ1530,40,FALSE)),1),"")</f>
        <v>-1</v>
      </c>
      <c r="N1461" s="48">
        <f>IFERROR(MINUS(DIVIDE(VLOOKUP($B1461,Data!$B$3:$EZ1530,44,FALSE),VLOOKUP($B1461,Data!$B$3:$EZ1530,45,FALSE)),1),"")</f>
        <v>0.3339642803</v>
      </c>
      <c r="O1461" s="50">
        <f>IFERROR(VLOOKUP($B1461,Data!$B$3:$D1530,2,FALSE),"")</f>
        <v>2630000</v>
      </c>
      <c r="P1461" s="50">
        <f>IFERROR(VLOOKUP($B1461,Data!$B$3:$D1530,3,FALSE),"")</f>
        <v>2330000</v>
      </c>
      <c r="Q1461" s="48">
        <f t="shared" si="2"/>
        <v>0.1287553648</v>
      </c>
      <c r="R1461" s="48"/>
      <c r="S1461" s="48"/>
      <c r="T1461" s="48"/>
      <c r="U1461" s="48"/>
      <c r="V1461" s="48"/>
      <c r="W1461" s="50"/>
      <c r="Z1461" s="12"/>
      <c r="AA1461" s="12"/>
    </row>
    <row r="1462">
      <c r="A1462" s="9">
        <f t="shared" si="1"/>
        <v>1459</v>
      </c>
      <c r="B1462" s="47" t="s">
        <v>1596</v>
      </c>
      <c r="C1462" s="48">
        <f>IFERROR(DIVIDE(VLOOKUP($B1462,Data!$B$3:$AB$1535,9,FALSE),VLOOKUP($B1462,Data!$B$3:$AB$1535,4,FALSE)),"")</f>
        <v>0.2482097378</v>
      </c>
      <c r="D1462" s="48">
        <f>IFERROR(DIVIDE(VLOOKUP($B1462,Data!$B$3:$AB$1535,24,FALSE),VLOOKUP($B1462,Data!$B$3:$AB$1535,4,FALSE)),"")</f>
        <v>0.09746816479</v>
      </c>
      <c r="E1462" s="48">
        <f>IFERROR(DIVIDE(VLOOKUP($B1462,Data!$B$3:$EZ1530,29,FALSE),VLOOKUP($B1462,Data!$B$3:$EZ1530,4,FALSE)),"")</f>
        <v>0.08475655431</v>
      </c>
      <c r="F1462" s="48">
        <f>IFERROR(DIVIDE(VLOOKUP($B1462,Data!$B$3:$EZ1530,34,FALSE),VLOOKUP($B1462,Data!$B$3:$EZ1530,4,FALSE)),"")</f>
        <v>0.1688651685</v>
      </c>
      <c r="G1462" s="48">
        <f>IFERROR(DIVIDE(VLOOKUP($B1462,Data!$B$3:$EZ1530,39,FALSE),VLOOKUP($B1462,Data!$B$3:$EZ1530,4,FALSE)),"")</f>
        <v>0.06140074906</v>
      </c>
      <c r="H1462" s="48">
        <f>IFERROR(DIVIDE(VLOOKUP($B1462,Data!$B$3:$EZ1530,44,FALSE),VLOOKUP($B1462,Data!$B$3:$EZ1530,4,FALSE)),"")</f>
        <v>0.1110262172</v>
      </c>
      <c r="I1462" s="48">
        <f>IFERROR(MINUS(DIVIDE(VLOOKUP($B1462,Data!$B$3:$EZ1530,9,FALSE),VLOOKUP($B1462,Data!$B$3:$EZ1530,10,FALSE)),1),"")</f>
        <v>-0.2440916142</v>
      </c>
      <c r="J1462" s="48">
        <f>IFERROR(MINUS(DIVIDE(VLOOKUP($B1462,Data!$B$3:$EZ1530,24,FALSE),VLOOKUP($B1462,Data!$B$3:$EZ1530,25,FALSE)),1),"")</f>
        <v>-10.79082017</v>
      </c>
      <c r="K1462" s="48">
        <f>IFERROR(MINUS(DIVIDE(VLOOKUP($B1462,Data!$B$3:$EZ1530,29,FALSE),VLOOKUP($B1462,Data!$B$3:$EZ1530,30,FALSE)),1),"")</f>
        <v>-0.4570276885</v>
      </c>
      <c r="L1462" s="48">
        <f>IFERROR(MINUS(DIVIDE(VLOOKUP($B1462,Data!$B$3:$EZ1530,34,FALSE),VLOOKUP($B1462,Data!$B$3:$EZ1530,35,FALSE)),1),"")</f>
        <v>-0.3007273912</v>
      </c>
      <c r="M1462" s="48">
        <f>IFERROR(MINUS(DIVIDE(VLOOKUP($B1462,Data!$B$3:$EZ1530,39,FALSE),VLOOKUP($B1462,Data!$B$3:$EZ1530,40,FALSE)),1),"")</f>
        <v>-0.5258560851</v>
      </c>
      <c r="N1462" s="48">
        <f>IFERROR(MINUS(DIVIDE(VLOOKUP($B1462,Data!$B$3:$EZ1530,44,FALSE),VLOOKUP($B1462,Data!$B$3:$EZ1530,45,FALSE)),1),"")</f>
        <v>0.1467254652</v>
      </c>
      <c r="O1462" s="50">
        <f>IFERROR(VLOOKUP($B1462,Data!$B$3:$D1530,2,FALSE),"")</f>
        <v>2560000</v>
      </c>
      <c r="P1462" s="50">
        <f>IFERROR(VLOOKUP($B1462,Data!$B$3:$D1530,3,FALSE),"")</f>
        <v>2360000</v>
      </c>
      <c r="Q1462" s="48">
        <f t="shared" si="2"/>
        <v>0.08474576271</v>
      </c>
      <c r="R1462" s="48"/>
      <c r="S1462" s="48"/>
      <c r="T1462" s="48"/>
      <c r="U1462" s="48"/>
      <c r="V1462" s="48"/>
      <c r="W1462" s="50"/>
      <c r="Z1462" s="11"/>
      <c r="AA1462" s="11"/>
    </row>
    <row r="1463">
      <c r="A1463" s="9">
        <f t="shared" si="1"/>
        <v>1460</v>
      </c>
      <c r="B1463" s="47" t="s">
        <v>1597</v>
      </c>
      <c r="C1463" s="48">
        <f>IFERROR(DIVIDE(VLOOKUP($B1463,Data!$B$3:$AB$1535,9,FALSE),VLOOKUP($B1463,Data!$B$3:$AB$1535,4,FALSE)),"")</f>
        <v>0.1445484271</v>
      </c>
      <c r="D1463" s="48">
        <f>IFERROR(DIVIDE(VLOOKUP($B1463,Data!$B$3:$AB$1535,24,FALSE),VLOOKUP($B1463,Data!$B$3:$AB$1535,4,FALSE)),"")</f>
        <v>0</v>
      </c>
      <c r="E1463" s="48">
        <f>IFERROR(DIVIDE(VLOOKUP($B1463,Data!$B$3:$EZ1530,29,FALSE),VLOOKUP($B1463,Data!$B$3:$EZ1530,4,FALSE)),"")</f>
        <v>0.06830533318</v>
      </c>
      <c r="F1463" s="48">
        <f>IFERROR(DIVIDE(VLOOKUP($B1463,Data!$B$3:$EZ1530,34,FALSE),VLOOKUP($B1463,Data!$B$3:$EZ1530,4,FALSE)),"")</f>
        <v>0.1346487766</v>
      </c>
      <c r="G1463" s="48">
        <f>IFERROR(DIVIDE(VLOOKUP($B1463,Data!$B$3:$EZ1530,39,FALSE),VLOOKUP($B1463,Data!$B$3:$EZ1530,4,FALSE)),"")</f>
        <v>0.05346713271</v>
      </c>
      <c r="H1463" s="48">
        <f>IFERROR(DIVIDE(VLOOKUP($B1463,Data!$B$3:$EZ1530,44,FALSE),VLOOKUP($B1463,Data!$B$3:$EZ1530,4,FALSE)),"")</f>
        <v>0.002863907994</v>
      </c>
      <c r="I1463" s="48">
        <f>IFERROR(MINUS(DIVIDE(VLOOKUP($B1463,Data!$B$3:$EZ1530,9,FALSE),VLOOKUP($B1463,Data!$B$3:$EZ1530,10,FALSE)),1),"")</f>
        <v>0.1323087794</v>
      </c>
      <c r="J1463" s="48" t="str">
        <f>IFERROR(MINUS(DIVIDE(VLOOKUP($B1463,Data!$B$3:$EZ1530,24,FALSE),VLOOKUP($B1463,Data!$B$3:$EZ1530,25,FALSE)),1),"")</f>
        <v/>
      </c>
      <c r="K1463" s="48">
        <f>IFERROR(MINUS(DIVIDE(VLOOKUP($B1463,Data!$B$3:$EZ1530,29,FALSE),VLOOKUP($B1463,Data!$B$3:$EZ1530,30,FALSE)),1),"")</f>
        <v>0.005978080372</v>
      </c>
      <c r="L1463" s="48">
        <f>IFERROR(MINUS(DIVIDE(VLOOKUP($B1463,Data!$B$3:$EZ1530,34,FALSE),VLOOKUP($B1463,Data!$B$3:$EZ1530,35,FALSE)),1),"")</f>
        <v>0.06548893647</v>
      </c>
      <c r="M1463" s="48">
        <f>IFERROR(MINUS(DIVIDE(VLOOKUP($B1463,Data!$B$3:$EZ1530,39,FALSE),VLOOKUP($B1463,Data!$B$3:$EZ1530,40,FALSE)),1),"")</f>
        <v>0.02640692641</v>
      </c>
      <c r="N1463" s="48">
        <f>IFERROR(MINUS(DIVIDE(VLOOKUP($B1463,Data!$B$3:$EZ1530,44,FALSE),VLOOKUP($B1463,Data!$B$3:$EZ1530,45,FALSE)),1),"")</f>
        <v>-0.8386277001</v>
      </c>
      <c r="O1463" s="50" t="str">
        <f>IFERROR(VLOOKUP($B1463,Data!$B$3:$D1530,2,FALSE),"")</f>
        <v/>
      </c>
      <c r="P1463" s="50" t="str">
        <f>IFERROR(VLOOKUP($B1463,Data!$B$3:$D1530,3,FALSE),"")</f>
        <v/>
      </c>
      <c r="Q1463" s="48" t="str">
        <f t="shared" si="2"/>
        <v/>
      </c>
      <c r="R1463" s="48"/>
      <c r="S1463" s="48"/>
      <c r="T1463" s="48"/>
      <c r="U1463" s="48"/>
      <c r="V1463" s="48"/>
      <c r="W1463" s="50"/>
      <c r="Z1463" s="15"/>
      <c r="AA1463" s="15"/>
    </row>
    <row r="1464">
      <c r="A1464" s="9">
        <f t="shared" si="1"/>
        <v>1461</v>
      </c>
      <c r="B1464" s="47" t="s">
        <v>1598</v>
      </c>
      <c r="C1464" s="48">
        <f>IFERROR(DIVIDE(VLOOKUP($B1464,Data!$B$3:$AB$1535,9,FALSE),VLOOKUP($B1464,Data!$B$3:$AB$1535,4,FALSE)),"")</f>
        <v>0.8144329897</v>
      </c>
      <c r="D1464" s="48">
        <f>IFERROR(DIVIDE(VLOOKUP($B1464,Data!$B$3:$AB$1535,24,FALSE),VLOOKUP($B1464,Data!$B$3:$AB$1535,4,FALSE)),"")</f>
        <v>0</v>
      </c>
      <c r="E1464" s="48">
        <f>IFERROR(DIVIDE(VLOOKUP($B1464,Data!$B$3:$EZ1530,29,FALSE),VLOOKUP($B1464,Data!$B$3:$EZ1530,4,FALSE)),"")</f>
        <v>-8.545819015</v>
      </c>
      <c r="F1464" s="48">
        <f>IFERROR(DIVIDE(VLOOKUP($B1464,Data!$B$3:$EZ1530,34,FALSE),VLOOKUP($B1464,Data!$B$3:$EZ1530,4,FALSE)),"")</f>
        <v>-7.465063001</v>
      </c>
      <c r="G1464" s="48">
        <f>IFERROR(DIVIDE(VLOOKUP($B1464,Data!$B$3:$EZ1530,39,FALSE),VLOOKUP($B1464,Data!$B$3:$EZ1530,4,FALSE)),"")</f>
        <v>-8.545819015</v>
      </c>
      <c r="H1464" s="48">
        <f>IFERROR(DIVIDE(VLOOKUP($B1464,Data!$B$3:$EZ1530,44,FALSE),VLOOKUP($B1464,Data!$B$3:$EZ1530,4,FALSE)),"")</f>
        <v>-7.958762887</v>
      </c>
      <c r="I1464" s="48">
        <f>IFERROR(MINUS(DIVIDE(VLOOKUP($B1464,Data!$B$3:$EZ1530,9,FALSE),VLOOKUP($B1464,Data!$B$3:$EZ1530,10,FALSE)),1),"")</f>
        <v>-0.4341424592</v>
      </c>
      <c r="J1464" s="48" t="str">
        <f>IFERROR(MINUS(DIVIDE(VLOOKUP($B1464,Data!$B$3:$EZ1530,24,FALSE),VLOOKUP($B1464,Data!$B$3:$EZ1530,25,FALSE)),1),"")</f>
        <v/>
      </c>
      <c r="K1464" s="48">
        <f>IFERROR(MINUS(DIVIDE(VLOOKUP($B1464,Data!$B$3:$EZ1530,29,FALSE),VLOOKUP($B1464,Data!$B$3:$EZ1530,30,FALSE)),1),"")</f>
        <v>1.060057987</v>
      </c>
      <c r="L1464" s="48">
        <f>IFERROR(MINUS(DIVIDE(VLOOKUP($B1464,Data!$B$3:$EZ1530,34,FALSE),VLOOKUP($B1464,Data!$B$3:$EZ1530,35,FALSE)),1),"")</f>
        <v>0.396101114</v>
      </c>
      <c r="M1464" s="48">
        <f>IFERROR(MINUS(DIVIDE(VLOOKUP($B1464,Data!$B$3:$EZ1530,39,FALSE),VLOOKUP($B1464,Data!$B$3:$EZ1530,40,FALSE)),1),"")</f>
        <v>1.060057987</v>
      </c>
      <c r="N1464" s="48">
        <f>IFERROR(MINUS(DIVIDE(VLOOKUP($B1464,Data!$B$3:$EZ1530,44,FALSE),VLOOKUP($B1464,Data!$B$3:$EZ1530,45,FALSE)),1),"")</f>
        <v>0.8647342995</v>
      </c>
      <c r="O1464" s="50">
        <f>IFERROR(VLOOKUP($B1464,Data!$B$3:$D1530,2,FALSE),"")</f>
        <v>17380</v>
      </c>
      <c r="P1464" s="50">
        <f>IFERROR(VLOOKUP($B1464,Data!$B$3:$D1530,3,FALSE),"")</f>
        <v>37760</v>
      </c>
      <c r="Q1464" s="48">
        <f t="shared" si="2"/>
        <v>-0.5397245763</v>
      </c>
      <c r="R1464" s="48"/>
      <c r="S1464" s="48"/>
      <c r="T1464" s="48"/>
      <c r="U1464" s="48"/>
      <c r="V1464" s="48"/>
      <c r="W1464" s="50"/>
      <c r="Z1464" s="15"/>
      <c r="AA1464" s="15"/>
    </row>
    <row r="1465">
      <c r="A1465" s="9">
        <f t="shared" si="1"/>
        <v>1462</v>
      </c>
      <c r="B1465" s="47" t="s">
        <v>1599</v>
      </c>
      <c r="C1465" s="48">
        <f>IFERROR(DIVIDE(VLOOKUP($B1465,Data!$B$3:$AB$1535,9,FALSE),VLOOKUP($B1465,Data!$B$3:$AB$1535,4,FALSE)),"")</f>
        <v>0.2038465909</v>
      </c>
      <c r="D1465" s="48">
        <f>IFERROR(DIVIDE(VLOOKUP($B1465,Data!$B$3:$AB$1535,24,FALSE),VLOOKUP($B1465,Data!$B$3:$AB$1535,4,FALSE)),"")</f>
        <v>-0.06952840909</v>
      </c>
      <c r="E1465" s="48">
        <f>IFERROR(DIVIDE(VLOOKUP($B1465,Data!$B$3:$EZ1530,29,FALSE),VLOOKUP($B1465,Data!$B$3:$EZ1530,4,FALSE)),"")</f>
        <v>-0.09717613636</v>
      </c>
      <c r="F1465" s="48">
        <f>IFERROR(DIVIDE(VLOOKUP($B1465,Data!$B$3:$EZ1530,34,FALSE),VLOOKUP($B1465,Data!$B$3:$EZ1530,4,FALSE)),"")</f>
        <v>0.05742613636</v>
      </c>
      <c r="G1465" s="48">
        <f>IFERROR(DIVIDE(VLOOKUP($B1465,Data!$B$3:$EZ1530,39,FALSE),VLOOKUP($B1465,Data!$B$3:$EZ1530,4,FALSE)),"")</f>
        <v>-0.08811363636</v>
      </c>
      <c r="H1465" s="48">
        <f>IFERROR(DIVIDE(VLOOKUP($B1465,Data!$B$3:$EZ1530,44,FALSE),VLOOKUP($B1465,Data!$B$3:$EZ1530,4,FALSE)),"")</f>
        <v>0.04360795455</v>
      </c>
      <c r="I1465" s="48">
        <f>IFERROR(MINUS(DIVIDE(VLOOKUP($B1465,Data!$B$3:$EZ1530,9,FALSE),VLOOKUP($B1465,Data!$B$3:$EZ1530,10,FALSE)),1),"")</f>
        <v>-0.1369289615</v>
      </c>
      <c r="J1465" s="48">
        <f>IFERROR(MINUS(DIVIDE(VLOOKUP($B1465,Data!$B$3:$EZ1530,24,FALSE),VLOOKUP($B1465,Data!$B$3:$EZ1530,25,FALSE)),1),"")</f>
        <v>-0.7672379358</v>
      </c>
      <c r="K1465" s="48">
        <f>IFERROR(MINUS(DIVIDE(VLOOKUP($B1465,Data!$B$3:$EZ1530,29,FALSE),VLOOKUP($B1465,Data!$B$3:$EZ1530,30,FALSE)),1),"")</f>
        <v>-0.7463479022</v>
      </c>
      <c r="L1465" s="48">
        <f>IFERROR(MINUS(DIVIDE(VLOOKUP($B1465,Data!$B$3:$EZ1530,34,FALSE),VLOOKUP($B1465,Data!$B$3:$EZ1530,35,FALSE)),1),"")</f>
        <v>0.1433257919</v>
      </c>
      <c r="M1465" s="48">
        <f>IFERROR(MINUS(DIVIDE(VLOOKUP($B1465,Data!$B$3:$EZ1530,39,FALSE),VLOOKUP($B1465,Data!$B$3:$EZ1530,40,FALSE)),1),"")</f>
        <v>-0.760841404</v>
      </c>
      <c r="N1465" s="48">
        <f>IFERROR(MINUS(DIVIDE(VLOOKUP($B1465,Data!$B$3:$EZ1530,44,FALSE),VLOOKUP($B1465,Data!$B$3:$EZ1530,45,FALSE)),1),"")</f>
        <v>-0.212659007</v>
      </c>
      <c r="O1465" s="50">
        <f>IFERROR(VLOOKUP($B1465,Data!$B$3:$D1530,2,FALSE),"")</f>
        <v>1880000</v>
      </c>
      <c r="P1465" s="50">
        <f>IFERROR(VLOOKUP($B1465,Data!$B$3:$D1530,3,FALSE),"")</f>
        <v>1900000</v>
      </c>
      <c r="Q1465" s="48">
        <f t="shared" si="2"/>
        <v>-0.01052631579</v>
      </c>
      <c r="R1465" s="48"/>
      <c r="S1465" s="48"/>
      <c r="T1465" s="48"/>
      <c r="U1465" s="48"/>
      <c r="V1465" s="48"/>
      <c r="W1465" s="50"/>
      <c r="Z1465" s="12"/>
      <c r="AA1465" s="12"/>
    </row>
    <row r="1466">
      <c r="A1466" s="9">
        <f t="shared" si="1"/>
        <v>1463</v>
      </c>
      <c r="B1466" s="47" t="s">
        <v>1600</v>
      </c>
      <c r="C1466" s="48" t="str">
        <f>IFERROR(DIVIDE(VLOOKUP($B1466,Data!$B$3:$AB$1535,9,FALSE),VLOOKUP($B1466,Data!$B$3:$AB$1535,4,FALSE)),"")</f>
        <v/>
      </c>
      <c r="D1466" s="48" t="str">
        <f>IFERROR(DIVIDE(VLOOKUP($B1466,Data!$B$3:$AB$1535,24,FALSE),VLOOKUP($B1466,Data!$B$3:$AB$1535,4,FALSE)),"")</f>
        <v/>
      </c>
      <c r="E1466" s="48" t="str">
        <f>IFERROR(DIVIDE(VLOOKUP($B1466,Data!$B$3:$EZ1530,29,FALSE),VLOOKUP($B1466,Data!$B$3:$EZ1530,4,FALSE)),"")</f>
        <v/>
      </c>
      <c r="F1466" s="48" t="str">
        <f>IFERROR(DIVIDE(VLOOKUP($B1466,Data!$B$3:$EZ1530,34,FALSE),VLOOKUP($B1466,Data!$B$3:$EZ1530,4,FALSE)),"")</f>
        <v/>
      </c>
      <c r="G1466" s="48" t="str">
        <f>IFERROR(DIVIDE(VLOOKUP($B1466,Data!$B$3:$EZ1530,39,FALSE),VLOOKUP($B1466,Data!$B$3:$EZ1530,4,FALSE)),"")</f>
        <v/>
      </c>
      <c r="H1466" s="48" t="str">
        <f>IFERROR(DIVIDE(VLOOKUP($B1466,Data!$B$3:$EZ1530,44,FALSE),VLOOKUP($B1466,Data!$B$3:$EZ1530,4,FALSE)),"")</f>
        <v/>
      </c>
      <c r="I1466" s="48" t="str">
        <f>IFERROR(MINUS(DIVIDE(VLOOKUP($B1466,Data!$B$3:$EZ1530,9,FALSE),VLOOKUP($B1466,Data!$B$3:$EZ1530,10,FALSE)),1),"")</f>
        <v/>
      </c>
      <c r="J1466" s="48" t="str">
        <f>IFERROR(MINUS(DIVIDE(VLOOKUP($B1466,Data!$B$3:$EZ1530,24,FALSE),VLOOKUP($B1466,Data!$B$3:$EZ1530,25,FALSE)),1),"")</f>
        <v/>
      </c>
      <c r="K1466" s="48" t="str">
        <f>IFERROR(MINUS(DIVIDE(VLOOKUP($B1466,Data!$B$3:$EZ1530,29,FALSE),VLOOKUP($B1466,Data!$B$3:$EZ1530,30,FALSE)),1),"")</f>
        <v/>
      </c>
      <c r="L1466" s="48" t="str">
        <f>IFERROR(MINUS(DIVIDE(VLOOKUP($B1466,Data!$B$3:$EZ1530,34,FALSE),VLOOKUP($B1466,Data!$B$3:$EZ1530,35,FALSE)),1),"")</f>
        <v/>
      </c>
      <c r="M1466" s="48" t="str">
        <f>IFERROR(MINUS(DIVIDE(VLOOKUP($B1466,Data!$B$3:$EZ1530,39,FALSE),VLOOKUP($B1466,Data!$B$3:$EZ1530,40,FALSE)),1),"")</f>
        <v/>
      </c>
      <c r="N1466" s="48" t="str">
        <f>IFERROR(MINUS(DIVIDE(VLOOKUP($B1466,Data!$B$3:$EZ1530,44,FALSE),VLOOKUP($B1466,Data!$B$3:$EZ1530,45,FALSE)),1),"")</f>
        <v/>
      </c>
      <c r="O1466" s="50">
        <f>IFERROR(VLOOKUP($B1466,Data!$B$3:$D1530,2,FALSE),"")</f>
        <v>3820000</v>
      </c>
      <c r="P1466" s="50">
        <f>IFERROR(VLOOKUP($B1466,Data!$B$3:$D1530,3,FALSE),"")</f>
        <v>3820000</v>
      </c>
      <c r="Q1466" s="48">
        <f t="shared" si="2"/>
        <v>0</v>
      </c>
      <c r="R1466" s="48"/>
      <c r="S1466" s="48"/>
      <c r="T1466" s="48"/>
      <c r="U1466" s="48"/>
      <c r="V1466" s="48"/>
      <c r="W1466" s="50"/>
      <c r="Z1466" s="11"/>
      <c r="AA1466" s="11"/>
    </row>
    <row r="1467">
      <c r="A1467" s="9">
        <f t="shared" si="1"/>
        <v>1464</v>
      </c>
      <c r="B1467" s="47" t="s">
        <v>1601</v>
      </c>
      <c r="C1467" s="48">
        <f>IFERROR(DIVIDE(VLOOKUP($B1467,Data!$B$3:$AB$1535,9,FALSE),VLOOKUP($B1467,Data!$B$3:$AB$1535,4,FALSE)),"")</f>
        <v>0</v>
      </c>
      <c r="D1467" s="48">
        <f>IFERROR(DIVIDE(VLOOKUP($B1467,Data!$B$3:$AB$1535,24,FALSE),VLOOKUP($B1467,Data!$B$3:$AB$1535,4,FALSE)),"")</f>
        <v>-7.27173913</v>
      </c>
      <c r="E1467" s="48">
        <f>IFERROR(DIVIDE(VLOOKUP($B1467,Data!$B$3:$EZ1530,29,FALSE),VLOOKUP($B1467,Data!$B$3:$EZ1530,4,FALSE)),"")</f>
        <v>-7.913043478</v>
      </c>
      <c r="F1467" s="48">
        <f>IFERROR(DIVIDE(VLOOKUP($B1467,Data!$B$3:$EZ1530,34,FALSE),VLOOKUP($B1467,Data!$B$3:$EZ1530,4,FALSE)),"")</f>
        <v>-7.554347826</v>
      </c>
      <c r="G1467" s="48">
        <f>IFERROR(DIVIDE(VLOOKUP($B1467,Data!$B$3:$EZ1530,39,FALSE),VLOOKUP($B1467,Data!$B$3:$EZ1530,4,FALSE)),"")</f>
        <v>-6.489130435</v>
      </c>
      <c r="H1467" s="48">
        <f>IFERROR(DIVIDE(VLOOKUP($B1467,Data!$B$3:$EZ1530,44,FALSE),VLOOKUP($B1467,Data!$B$3:$EZ1530,4,FALSE)),"")</f>
        <v>-8.34057971</v>
      </c>
      <c r="I1467" s="48" t="str">
        <f>IFERROR(MINUS(DIVIDE(VLOOKUP($B1467,Data!$B$3:$EZ1530,9,FALSE),VLOOKUP($B1467,Data!$B$3:$EZ1530,10,FALSE)),1),"")</f>
        <v/>
      </c>
      <c r="J1467" s="48">
        <f>IFERROR(MINUS(DIVIDE(VLOOKUP($B1467,Data!$B$3:$EZ1530,24,FALSE),VLOOKUP($B1467,Data!$B$3:$EZ1530,25,FALSE)),1),"")</f>
        <v>-0.01906158358</v>
      </c>
      <c r="K1467" s="48">
        <f>IFERROR(MINUS(DIVIDE(VLOOKUP($B1467,Data!$B$3:$EZ1530,29,FALSE),VLOOKUP($B1467,Data!$B$3:$EZ1530,30,FALSE)),1),"")</f>
        <v>-0.07653276956</v>
      </c>
      <c r="L1467" s="48">
        <f>IFERROR(MINUS(DIVIDE(VLOOKUP($B1467,Data!$B$3:$EZ1530,34,FALSE),VLOOKUP($B1467,Data!$B$3:$EZ1530,35,FALSE)),1),"")</f>
        <v>0.06323304437</v>
      </c>
      <c r="M1467" s="48">
        <f>IFERROR(MINUS(DIVIDE(VLOOKUP($B1467,Data!$B$3:$EZ1530,39,FALSE),VLOOKUP($B1467,Data!$B$3:$EZ1530,40,FALSE)),1),"")</f>
        <v>1.070520231</v>
      </c>
      <c r="N1467" s="48">
        <f>IFERROR(MINUS(DIVIDE(VLOOKUP($B1467,Data!$B$3:$EZ1530,44,FALSE),VLOOKUP($B1467,Data!$B$3:$EZ1530,45,FALSE)),1),"")</f>
        <v>-0.1429635145</v>
      </c>
      <c r="O1467" s="50">
        <f>IFERROR(VLOOKUP($B1467,Data!$B$3:$D1530,2,FALSE),"")</f>
        <v>2500</v>
      </c>
      <c r="P1467" s="50" t="str">
        <f>IFERROR(VLOOKUP($B1467,Data!$B$3:$D1530,3,FALSE),"")</f>
        <v/>
      </c>
      <c r="Q1467" s="48" t="str">
        <f t="shared" si="2"/>
        <v/>
      </c>
      <c r="R1467" s="48"/>
      <c r="S1467" s="48"/>
      <c r="T1467" s="48"/>
      <c r="U1467" s="48"/>
      <c r="V1467" s="48"/>
      <c r="W1467" s="50"/>
      <c r="Z1467" s="15"/>
      <c r="AA1467" s="15"/>
    </row>
    <row r="1468">
      <c r="A1468" s="9">
        <f t="shared" si="1"/>
        <v>1465</v>
      </c>
      <c r="B1468" s="47" t="s">
        <v>1602</v>
      </c>
      <c r="C1468" s="48">
        <f>IFERROR(DIVIDE(VLOOKUP($B1468,Data!$B$3:$AB$1535,9,FALSE),VLOOKUP($B1468,Data!$B$3:$AB$1535,4,FALSE)),"")</f>
        <v>-1.026986507</v>
      </c>
      <c r="D1468" s="48">
        <f>IFERROR(DIVIDE(VLOOKUP($B1468,Data!$B$3:$AB$1535,24,FALSE),VLOOKUP($B1468,Data!$B$3:$AB$1535,4,FALSE)),"")</f>
        <v>0</v>
      </c>
      <c r="E1468" s="48">
        <f>IFERROR(DIVIDE(VLOOKUP($B1468,Data!$B$3:$EZ1530,29,FALSE),VLOOKUP($B1468,Data!$B$3:$EZ1530,4,FALSE)),"")</f>
        <v>-3.970014993</v>
      </c>
      <c r="F1468" s="48">
        <f>IFERROR(DIVIDE(VLOOKUP($B1468,Data!$B$3:$EZ1530,34,FALSE),VLOOKUP($B1468,Data!$B$3:$EZ1530,4,FALSE)),"")</f>
        <v>-3.583208396</v>
      </c>
      <c r="G1468" s="48">
        <f>IFERROR(DIVIDE(VLOOKUP($B1468,Data!$B$3:$EZ1530,39,FALSE),VLOOKUP($B1468,Data!$B$3:$EZ1530,4,FALSE)),"")</f>
        <v>-3.970014993</v>
      </c>
      <c r="H1468" s="48">
        <f>IFERROR(DIVIDE(VLOOKUP($B1468,Data!$B$3:$EZ1530,44,FALSE),VLOOKUP($B1468,Data!$B$3:$EZ1530,4,FALSE)),"")</f>
        <v>-3.352323838</v>
      </c>
      <c r="I1468" s="48">
        <f>IFERROR(MINUS(DIVIDE(VLOOKUP($B1468,Data!$B$3:$EZ1530,9,FALSE),VLOOKUP($B1468,Data!$B$3:$EZ1530,10,FALSE)),1),"")</f>
        <v>-23.909699</v>
      </c>
      <c r="J1468" s="48">
        <f>IFERROR(MINUS(DIVIDE(VLOOKUP($B1468,Data!$B$3:$EZ1530,24,FALSE),VLOOKUP($B1468,Data!$B$3:$EZ1530,25,FALSE)),1),"")</f>
        <v>-1</v>
      </c>
      <c r="K1468" s="48">
        <f>IFERROR(MINUS(DIVIDE(VLOOKUP($B1468,Data!$B$3:$EZ1530,29,FALSE),VLOOKUP($B1468,Data!$B$3:$EZ1530,30,FALSE)),1),"")</f>
        <v>0.21023766</v>
      </c>
      <c r="L1468" s="48">
        <f>IFERROR(MINUS(DIVIDE(VLOOKUP($B1468,Data!$B$3:$EZ1530,34,FALSE),VLOOKUP($B1468,Data!$B$3:$EZ1530,35,FALSE)),1),"")</f>
        <v>0.1896465903</v>
      </c>
      <c r="M1468" s="48">
        <f>IFERROR(MINUS(DIVIDE(VLOOKUP($B1468,Data!$B$3:$EZ1530,39,FALSE),VLOOKUP($B1468,Data!$B$3:$EZ1530,40,FALSE)),1),"")</f>
        <v>0.21023766</v>
      </c>
      <c r="N1468" s="48">
        <f>IFERROR(MINUS(DIVIDE(VLOOKUP($B1468,Data!$B$3:$EZ1530,44,FALSE),VLOOKUP($B1468,Data!$B$3:$EZ1530,45,FALSE)),1),"")</f>
        <v>-0.007985803017</v>
      </c>
      <c r="O1468" s="50">
        <f>IFERROR(VLOOKUP($B1468,Data!$B$3:$D1530,2,FALSE),"")</f>
        <v>18240</v>
      </c>
      <c r="P1468" s="50">
        <f>IFERROR(VLOOKUP($B1468,Data!$B$3:$D1530,3,FALSE),"")</f>
        <v>11580</v>
      </c>
      <c r="Q1468" s="48">
        <f t="shared" si="2"/>
        <v>0.5751295337</v>
      </c>
      <c r="R1468" s="48"/>
      <c r="S1468" s="48"/>
      <c r="T1468" s="48"/>
      <c r="U1468" s="48"/>
      <c r="V1468" s="48"/>
      <c r="W1468" s="50"/>
      <c r="Z1468" s="11"/>
      <c r="AA1468" s="11"/>
    </row>
    <row r="1469">
      <c r="A1469" s="9">
        <f t="shared" si="1"/>
        <v>1466</v>
      </c>
      <c r="B1469" s="47" t="s">
        <v>1603</v>
      </c>
      <c r="C1469" s="48">
        <f>IFERROR(DIVIDE(VLOOKUP($B1469,Data!$B$3:$AB$1535,9,FALSE),VLOOKUP($B1469,Data!$B$3:$AB$1535,4,FALSE)),"")</f>
        <v>0.06603649635</v>
      </c>
      <c r="D1469" s="48">
        <f>IFERROR(DIVIDE(VLOOKUP($B1469,Data!$B$3:$AB$1535,24,FALSE),VLOOKUP($B1469,Data!$B$3:$AB$1535,4,FALSE)),"")</f>
        <v>0.03031386861</v>
      </c>
      <c r="E1469" s="48">
        <f>IFERROR(DIVIDE(VLOOKUP($B1469,Data!$B$3:$EZ1530,29,FALSE),VLOOKUP($B1469,Data!$B$3:$EZ1530,4,FALSE)),"")</f>
        <v>0.01905839416</v>
      </c>
      <c r="F1469" s="48">
        <f>IFERROR(DIVIDE(VLOOKUP($B1469,Data!$B$3:$EZ1530,34,FALSE),VLOOKUP($B1469,Data!$B$3:$EZ1530,4,FALSE)),"")</f>
        <v>0.1018029197</v>
      </c>
      <c r="G1469" s="48">
        <f>IFERROR(DIVIDE(VLOOKUP($B1469,Data!$B$3:$EZ1530,39,FALSE),VLOOKUP($B1469,Data!$B$3:$EZ1530,4,FALSE)),"")</f>
        <v>0.0150729927</v>
      </c>
      <c r="H1469" s="48">
        <f>IFERROR(DIVIDE(VLOOKUP($B1469,Data!$B$3:$EZ1530,44,FALSE),VLOOKUP($B1469,Data!$B$3:$EZ1530,4,FALSE)),"")</f>
        <v>0.07893430657</v>
      </c>
      <c r="I1469" s="48">
        <f>IFERROR(MINUS(DIVIDE(VLOOKUP($B1469,Data!$B$3:$EZ1530,9,FALSE),VLOOKUP($B1469,Data!$B$3:$EZ1530,10,FALSE)),1),"")</f>
        <v>0.02795136916</v>
      </c>
      <c r="J1469" s="48">
        <f>IFERROR(MINUS(DIVIDE(VLOOKUP($B1469,Data!$B$3:$EZ1530,24,FALSE),VLOOKUP($B1469,Data!$B$3:$EZ1530,25,FALSE)),1),"")</f>
        <v>-0.4538400842</v>
      </c>
      <c r="K1469" s="48">
        <f>IFERROR(MINUS(DIVIDE(VLOOKUP($B1469,Data!$B$3:$EZ1530,29,FALSE),VLOOKUP($B1469,Data!$B$3:$EZ1530,30,FALSE)),1),"")</f>
        <v>-0.5983694816</v>
      </c>
      <c r="L1469" s="48">
        <f>IFERROR(MINUS(DIVIDE(VLOOKUP($B1469,Data!$B$3:$EZ1530,34,FALSE),VLOOKUP($B1469,Data!$B$3:$EZ1530,35,FALSE)),1),"")</f>
        <v>0.0411316811</v>
      </c>
      <c r="M1469" s="48">
        <f>IFERROR(MINUS(DIVIDE(VLOOKUP($B1469,Data!$B$3:$EZ1530,39,FALSE),VLOOKUP($B1469,Data!$B$3:$EZ1530,40,FALSE)),1),"")</f>
        <v>-0.5604512559</v>
      </c>
      <c r="N1469" s="48">
        <f>IFERROR(MINUS(DIVIDE(VLOOKUP($B1469,Data!$B$3:$EZ1530,44,FALSE),VLOOKUP($B1469,Data!$B$3:$EZ1530,45,FALSE)),1),"")</f>
        <v>0.193598234</v>
      </c>
      <c r="O1469" s="50">
        <f>IFERROR(VLOOKUP($B1469,Data!$B$3:$D1530,2,FALSE),"")</f>
        <v>1310000</v>
      </c>
      <c r="P1469" s="50">
        <f>IFERROR(VLOOKUP($B1469,Data!$B$3:$D1530,3,FALSE),"")</f>
        <v>791700</v>
      </c>
      <c r="Q1469" s="48">
        <f t="shared" si="2"/>
        <v>0.6546671719</v>
      </c>
      <c r="R1469" s="48"/>
      <c r="S1469" s="48"/>
      <c r="T1469" s="48"/>
      <c r="U1469" s="48"/>
      <c r="V1469" s="48"/>
      <c r="W1469" s="50"/>
      <c r="Z1469" s="11"/>
      <c r="AA1469" s="12"/>
    </row>
    <row r="1470">
      <c r="A1470" s="9">
        <f t="shared" si="1"/>
        <v>1467</v>
      </c>
      <c r="B1470" s="47" t="s">
        <v>1604</v>
      </c>
      <c r="C1470" s="48">
        <f>IFERROR(DIVIDE(VLOOKUP($B1470,Data!$B$3:$AB$1535,9,FALSE),VLOOKUP($B1470,Data!$B$3:$AB$1535,4,FALSE)),"")</f>
        <v>0.3389121339</v>
      </c>
      <c r="D1470" s="48">
        <f>IFERROR(DIVIDE(VLOOKUP($B1470,Data!$B$3:$AB$1535,24,FALSE),VLOOKUP($B1470,Data!$B$3:$AB$1535,4,FALSE)),"")</f>
        <v>0.149790795</v>
      </c>
      <c r="E1470" s="48">
        <f>IFERROR(DIVIDE(VLOOKUP($B1470,Data!$B$3:$EZ1530,29,FALSE),VLOOKUP($B1470,Data!$B$3:$EZ1530,4,FALSE)),"")</f>
        <v>0.1108786611</v>
      </c>
      <c r="F1470" s="48">
        <f>IFERROR(DIVIDE(VLOOKUP($B1470,Data!$B$3:$EZ1530,34,FALSE),VLOOKUP($B1470,Data!$B$3:$EZ1530,4,FALSE)),"")</f>
        <v>0.1824267782</v>
      </c>
      <c r="G1470" s="48">
        <f>IFERROR(DIVIDE(VLOOKUP($B1470,Data!$B$3:$EZ1530,39,FALSE),VLOOKUP($B1470,Data!$B$3:$EZ1530,4,FALSE)),"")</f>
        <v>0.0870292887</v>
      </c>
      <c r="H1470" s="48">
        <f>IFERROR(DIVIDE(VLOOKUP($B1470,Data!$B$3:$EZ1530,44,FALSE),VLOOKUP($B1470,Data!$B$3:$EZ1530,4,FALSE)),"")</f>
        <v>0.1359832636</v>
      </c>
      <c r="I1470" s="48">
        <f>IFERROR(MINUS(DIVIDE(VLOOKUP($B1470,Data!$B$3:$EZ1530,9,FALSE),VLOOKUP($B1470,Data!$B$3:$EZ1530,10,FALSE)),1),"")</f>
        <v>0.004962779156</v>
      </c>
      <c r="J1470" s="48">
        <f>IFERROR(MINUS(DIVIDE(VLOOKUP($B1470,Data!$B$3:$EZ1530,24,FALSE),VLOOKUP($B1470,Data!$B$3:$EZ1530,25,FALSE)),1),"")</f>
        <v>-0.01104972376</v>
      </c>
      <c r="K1470" s="48">
        <f>IFERROR(MINUS(DIVIDE(VLOOKUP($B1470,Data!$B$3:$EZ1530,29,FALSE),VLOOKUP($B1470,Data!$B$3:$EZ1530,30,FALSE)),1),"")</f>
        <v>-0.2018072289</v>
      </c>
      <c r="L1470" s="48">
        <f>IFERROR(MINUS(DIVIDE(VLOOKUP($B1470,Data!$B$3:$EZ1530,34,FALSE),VLOOKUP($B1470,Data!$B$3:$EZ1530,35,FALSE)),1),"")</f>
        <v>0.01395348837</v>
      </c>
      <c r="M1470" s="48">
        <f>IFERROR(MINUS(DIVIDE(VLOOKUP($B1470,Data!$B$3:$EZ1530,39,FALSE),VLOOKUP($B1470,Data!$B$3:$EZ1530,40,FALSE)),1),"")</f>
        <v>0.2530120482</v>
      </c>
      <c r="N1470" s="48">
        <f>IFERROR(MINUS(DIVIDE(VLOOKUP($B1470,Data!$B$3:$EZ1530,44,FALSE),VLOOKUP($B1470,Data!$B$3:$EZ1530,45,FALSE)),1),"")</f>
        <v>0.015625</v>
      </c>
      <c r="O1470" s="50">
        <f>IFERROR(VLOOKUP($B1470,Data!$B$3:$D1530,2,FALSE),"")</f>
        <v>2480000</v>
      </c>
      <c r="P1470" s="50">
        <f>IFERROR(VLOOKUP($B1470,Data!$B$3:$D1530,3,FALSE),"")</f>
        <v>2310000</v>
      </c>
      <c r="Q1470" s="48">
        <f t="shared" si="2"/>
        <v>0.07359307359</v>
      </c>
      <c r="R1470" s="48"/>
      <c r="S1470" s="48"/>
      <c r="T1470" s="48"/>
      <c r="U1470" s="48"/>
      <c r="V1470" s="48"/>
      <c r="W1470" s="50"/>
      <c r="Z1470" s="15"/>
      <c r="AA1470" s="15"/>
    </row>
    <row r="1471">
      <c r="A1471" s="9">
        <f t="shared" si="1"/>
        <v>1468</v>
      </c>
      <c r="B1471" s="47" t="s">
        <v>1605</v>
      </c>
      <c r="C1471" s="48">
        <f>IFERROR(DIVIDE(VLOOKUP($B1471,Data!$B$3:$AB$1535,9,FALSE),VLOOKUP($B1471,Data!$B$3:$AB$1535,4,FALSE)),"")</f>
        <v>0</v>
      </c>
      <c r="D1471" s="48">
        <f>IFERROR(DIVIDE(VLOOKUP($B1471,Data!$B$3:$AB$1535,24,FALSE),VLOOKUP($B1471,Data!$B$3:$AB$1535,4,FALSE)),"")</f>
        <v>-1.611561866</v>
      </c>
      <c r="E1471" s="48">
        <f>IFERROR(DIVIDE(VLOOKUP($B1471,Data!$B$3:$EZ1530,29,FALSE),VLOOKUP($B1471,Data!$B$3:$EZ1530,4,FALSE)),"")</f>
        <v>-1.84178499</v>
      </c>
      <c r="F1471" s="48">
        <f>IFERROR(DIVIDE(VLOOKUP($B1471,Data!$B$3:$EZ1530,34,FALSE),VLOOKUP($B1471,Data!$B$3:$EZ1530,4,FALSE)),"")</f>
        <v>-0.7373225152</v>
      </c>
      <c r="G1471" s="48">
        <f>IFERROR(DIVIDE(VLOOKUP($B1471,Data!$B$3:$EZ1530,39,FALSE),VLOOKUP($B1471,Data!$B$3:$EZ1530,4,FALSE)),"")</f>
        <v>-1.89148073</v>
      </c>
      <c r="H1471" s="48">
        <f>IFERROR(DIVIDE(VLOOKUP($B1471,Data!$B$3:$EZ1530,44,FALSE),VLOOKUP($B1471,Data!$B$3:$EZ1530,4,FALSE)),"")</f>
        <v>-1.327586207</v>
      </c>
      <c r="I1471" s="48" t="str">
        <f>IFERROR(MINUS(DIVIDE(VLOOKUP($B1471,Data!$B$3:$EZ1530,9,FALSE),VLOOKUP($B1471,Data!$B$3:$EZ1530,10,FALSE)),1),"")</f>
        <v/>
      </c>
      <c r="J1471" s="48">
        <f>IFERROR(MINUS(DIVIDE(VLOOKUP($B1471,Data!$B$3:$EZ1530,24,FALSE),VLOOKUP($B1471,Data!$B$3:$EZ1530,25,FALSE)),1),"")</f>
        <v>-0.2697610294</v>
      </c>
      <c r="K1471" s="48">
        <f>IFERROR(MINUS(DIVIDE(VLOOKUP($B1471,Data!$B$3:$EZ1530,29,FALSE),VLOOKUP($B1471,Data!$B$3:$EZ1530,30,FALSE)),1),"")</f>
        <v>0.01452513966</v>
      </c>
      <c r="L1471" s="48">
        <f>IFERROR(MINUS(DIVIDE(VLOOKUP($B1471,Data!$B$3:$EZ1530,34,FALSE),VLOOKUP($B1471,Data!$B$3:$EZ1530,35,FALSE)),1),"")</f>
        <v>-0.5481665631</v>
      </c>
      <c r="M1471" s="48">
        <f>IFERROR(MINUS(DIVIDE(VLOOKUP($B1471,Data!$B$3:$EZ1530,39,FALSE),VLOOKUP($B1471,Data!$B$3:$EZ1530,40,FALSE)),1),"")</f>
        <v>0.03553581344</v>
      </c>
      <c r="N1471" s="48">
        <f>IFERROR(MINUS(DIVIDE(VLOOKUP($B1471,Data!$B$3:$EZ1530,44,FALSE),VLOOKUP($B1471,Data!$B$3:$EZ1530,45,FALSE)),1),"")</f>
        <v>-0.1003436426</v>
      </c>
      <c r="O1471" s="50">
        <f>IFERROR(VLOOKUP($B1471,Data!$B$3:$D1530,2,FALSE),"")</f>
        <v>40730</v>
      </c>
      <c r="P1471" s="50">
        <f>IFERROR(VLOOKUP($B1471,Data!$B$3:$D1530,3,FALSE),"")</f>
        <v>7410</v>
      </c>
      <c r="Q1471" s="48">
        <f t="shared" si="2"/>
        <v>4.496626181</v>
      </c>
      <c r="R1471" s="48"/>
      <c r="S1471" s="48"/>
      <c r="T1471" s="48"/>
      <c r="U1471" s="48"/>
      <c r="V1471" s="48"/>
      <c r="W1471" s="50"/>
      <c r="Z1471" s="15"/>
      <c r="AA1471" s="15"/>
    </row>
    <row r="1472">
      <c r="A1472" s="9">
        <f t="shared" si="1"/>
        <v>1469</v>
      </c>
      <c r="B1472" s="47" t="s">
        <v>1606</v>
      </c>
      <c r="C1472" s="48">
        <f>IFERROR(DIVIDE(VLOOKUP($B1472,Data!$B$3:$AB$1535,9,FALSE),VLOOKUP($B1472,Data!$B$3:$AB$1535,4,FALSE)),"")</f>
        <v>0</v>
      </c>
      <c r="D1472" s="48">
        <f>IFERROR(DIVIDE(VLOOKUP($B1472,Data!$B$3:$AB$1535,24,FALSE),VLOOKUP($B1472,Data!$B$3:$AB$1535,4,FALSE)),"")</f>
        <v>0</v>
      </c>
      <c r="E1472" s="48">
        <f>IFERROR(DIVIDE(VLOOKUP($B1472,Data!$B$3:$EZ1530,29,FALSE),VLOOKUP($B1472,Data!$B$3:$EZ1530,4,FALSE)),"")</f>
        <v>-0.4176645273</v>
      </c>
      <c r="F1472" s="48">
        <f>IFERROR(DIVIDE(VLOOKUP($B1472,Data!$B$3:$EZ1530,34,FALSE),VLOOKUP($B1472,Data!$B$3:$EZ1530,4,FALSE)),"")</f>
        <v>-0.4685314685</v>
      </c>
      <c r="G1472" s="48">
        <f>IFERROR(DIVIDE(VLOOKUP($B1472,Data!$B$3:$EZ1530,39,FALSE),VLOOKUP($B1472,Data!$B$3:$EZ1530,4,FALSE)),"")</f>
        <v>-0.4176645273</v>
      </c>
      <c r="H1472" s="48">
        <f>IFERROR(DIVIDE(VLOOKUP($B1472,Data!$B$3:$EZ1530,44,FALSE),VLOOKUP($B1472,Data!$B$3:$EZ1530,4,FALSE)),"")</f>
        <v>0.4901810518</v>
      </c>
      <c r="I1472" s="48" t="str">
        <f>IFERROR(MINUS(DIVIDE(VLOOKUP($B1472,Data!$B$3:$EZ1530,9,FALSE),VLOOKUP($B1472,Data!$B$3:$EZ1530,10,FALSE)),1),"")</f>
        <v/>
      </c>
      <c r="J1472" s="48" t="str">
        <f>IFERROR(MINUS(DIVIDE(VLOOKUP($B1472,Data!$B$3:$EZ1530,24,FALSE),VLOOKUP($B1472,Data!$B$3:$EZ1530,25,FALSE)),1),"")</f>
        <v/>
      </c>
      <c r="K1472" s="48">
        <f>IFERROR(MINUS(DIVIDE(VLOOKUP($B1472,Data!$B$3:$EZ1530,29,FALSE),VLOOKUP($B1472,Data!$B$3:$EZ1530,30,FALSE)),1),"")</f>
        <v>-0.5071775743</v>
      </c>
      <c r="L1472" s="48">
        <f>IFERROR(MINUS(DIVIDE(VLOOKUP($B1472,Data!$B$3:$EZ1530,34,FALSE),VLOOKUP($B1472,Data!$B$3:$EZ1530,35,FALSE)),1),"")</f>
        <v>-0.4503259159</v>
      </c>
      <c r="M1472" s="48">
        <f>IFERROR(MINUS(DIVIDE(VLOOKUP($B1472,Data!$B$3:$EZ1530,39,FALSE),VLOOKUP($B1472,Data!$B$3:$EZ1530,40,FALSE)),1),"")</f>
        <v>-0.5061728395</v>
      </c>
      <c r="N1472" s="48">
        <f>IFERROR(MINUS(DIVIDE(VLOOKUP($B1472,Data!$B$3:$EZ1530,44,FALSE),VLOOKUP($B1472,Data!$B$3:$EZ1530,45,FALSE)),1),"")</f>
        <v>-4.220264317</v>
      </c>
      <c r="O1472" s="50">
        <f>IFERROR(VLOOKUP($B1472,Data!$B$3:$D1530,2,FALSE),"")</f>
        <v>76920</v>
      </c>
      <c r="P1472" s="50">
        <f>IFERROR(VLOOKUP($B1472,Data!$B$3:$D1530,3,FALSE),"")</f>
        <v>99760</v>
      </c>
      <c r="Q1472" s="48">
        <f t="shared" si="2"/>
        <v>-0.2289494787</v>
      </c>
      <c r="R1472" s="48"/>
      <c r="S1472" s="48"/>
      <c r="T1472" s="48"/>
      <c r="U1472" s="48"/>
      <c r="V1472" s="48"/>
      <c r="W1472" s="50"/>
      <c r="Z1472" s="15"/>
      <c r="AA1472" s="15"/>
    </row>
    <row r="1473">
      <c r="A1473" s="9">
        <f t="shared" si="1"/>
        <v>1470</v>
      </c>
      <c r="B1473" s="47" t="s">
        <v>1607</v>
      </c>
      <c r="C1473" s="48">
        <f>IFERROR(DIVIDE(VLOOKUP($B1473,Data!$B$3:$AB$1535,9,FALSE),VLOOKUP($B1473,Data!$B$3:$AB$1535,4,FALSE)),"")</f>
        <v>0.2048659312</v>
      </c>
      <c r="D1473" s="48">
        <f>IFERROR(DIVIDE(VLOOKUP($B1473,Data!$B$3:$AB$1535,24,FALSE),VLOOKUP($B1473,Data!$B$3:$AB$1535,4,FALSE)),"")</f>
        <v>0.0352158983</v>
      </c>
      <c r="E1473" s="48">
        <f>IFERROR(DIVIDE(VLOOKUP($B1473,Data!$B$3:$EZ1530,29,FALSE),VLOOKUP($B1473,Data!$B$3:$EZ1530,4,FALSE)),"")</f>
        <v>0.03309709944</v>
      </c>
      <c r="F1473" s="48">
        <f>IFERROR(DIVIDE(VLOOKUP($B1473,Data!$B$3:$EZ1530,34,FALSE),VLOOKUP($B1473,Data!$B$3:$EZ1530,4,FALSE)),"")</f>
        <v>0.05238547527</v>
      </c>
      <c r="G1473" s="48">
        <f>IFERROR(DIVIDE(VLOOKUP($B1473,Data!$B$3:$EZ1530,39,FALSE),VLOOKUP($B1473,Data!$B$3:$EZ1530,4,FALSE)),"")</f>
        <v>0.02907868781</v>
      </c>
      <c r="H1473" s="48">
        <f>IFERROR(DIVIDE(VLOOKUP($B1473,Data!$B$3:$EZ1530,44,FALSE),VLOOKUP($B1473,Data!$B$3:$EZ1530,4,FALSE)),"")</f>
        <v>0.04084167458</v>
      </c>
      <c r="I1473" s="48">
        <f>IFERROR(MINUS(DIVIDE(VLOOKUP($B1473,Data!$B$3:$EZ1530,9,FALSE),VLOOKUP($B1473,Data!$B$3:$EZ1530,10,FALSE)),1),"")</f>
        <v>-0.03376981392</v>
      </c>
      <c r="J1473" s="48" t="str">
        <f>IFERROR(MINUS(DIVIDE(VLOOKUP($B1473,Data!$B$3:$EZ1530,24,FALSE),VLOOKUP($B1473,Data!$B$3:$EZ1530,25,FALSE)),1),"")</f>
        <v/>
      </c>
      <c r="K1473" s="48">
        <f>IFERROR(MINUS(DIVIDE(VLOOKUP($B1473,Data!$B$3:$EZ1530,29,FALSE),VLOOKUP($B1473,Data!$B$3:$EZ1530,30,FALSE)),1),"")</f>
        <v>-0.2424749164</v>
      </c>
      <c r="L1473" s="48">
        <f>IFERROR(MINUS(DIVIDE(VLOOKUP($B1473,Data!$B$3:$EZ1530,34,FALSE),VLOOKUP($B1473,Data!$B$3:$EZ1530,35,FALSE)),1),"")</f>
        <v>-0.09355246523</v>
      </c>
      <c r="M1473" s="48">
        <f>IFERROR(MINUS(DIVIDE(VLOOKUP($B1473,Data!$B$3:$EZ1530,39,FALSE),VLOOKUP($B1473,Data!$B$3:$EZ1530,40,FALSE)),1),"")</f>
        <v>-0.2071713147</v>
      </c>
      <c r="N1473" s="48">
        <f>IFERROR(MINUS(DIVIDE(VLOOKUP($B1473,Data!$B$3:$EZ1530,44,FALSE),VLOOKUP($B1473,Data!$B$3:$EZ1530,45,FALSE)),1),"")</f>
        <v>-0.3232445521</v>
      </c>
      <c r="O1473" s="50">
        <f>IFERROR(VLOOKUP($B1473,Data!$B$3:$D1530,2,FALSE),"")</f>
        <v>143420000</v>
      </c>
      <c r="P1473" s="50">
        <f>IFERROR(VLOOKUP($B1473,Data!$B$3:$D1530,3,FALSE),"")</f>
        <v>139230000</v>
      </c>
      <c r="Q1473" s="48">
        <f t="shared" si="2"/>
        <v>0.03009408892</v>
      </c>
      <c r="R1473" s="48"/>
      <c r="S1473" s="48"/>
      <c r="T1473" s="48"/>
      <c r="U1473" s="48"/>
      <c r="V1473" s="48"/>
      <c r="W1473" s="50"/>
      <c r="Z1473" s="11"/>
      <c r="AA1473" s="11"/>
    </row>
    <row r="1474">
      <c r="A1474" s="9">
        <f t="shared" si="1"/>
        <v>1471</v>
      </c>
      <c r="B1474" s="47" t="s">
        <v>1608</v>
      </c>
      <c r="C1474" s="48">
        <f>IFERROR(DIVIDE(VLOOKUP($B1474,Data!$B$3:$AB$1535,9,FALSE),VLOOKUP($B1474,Data!$B$3:$AB$1535,4,FALSE)),"")</f>
        <v>0.5424117161</v>
      </c>
      <c r="D1474" s="48">
        <f>IFERROR(DIVIDE(VLOOKUP($B1474,Data!$B$3:$AB$1535,24,FALSE),VLOOKUP($B1474,Data!$B$3:$AB$1535,4,FALSE)),"")</f>
        <v>0</v>
      </c>
      <c r="E1474" s="48">
        <f>IFERROR(DIVIDE(VLOOKUP($B1474,Data!$B$3:$EZ1530,29,FALSE),VLOOKUP($B1474,Data!$B$3:$EZ1530,4,FALSE)),"")</f>
        <v>0.1907877643</v>
      </c>
      <c r="F1474" s="48">
        <f>IFERROR(DIVIDE(VLOOKUP($B1474,Data!$B$3:$EZ1530,34,FALSE),VLOOKUP($B1474,Data!$B$3:$EZ1530,4,FALSE)),"")</f>
        <v>0.2125428133</v>
      </c>
      <c r="G1474" s="48">
        <f>IFERROR(DIVIDE(VLOOKUP($B1474,Data!$B$3:$EZ1530,39,FALSE),VLOOKUP($B1474,Data!$B$3:$EZ1530,4,FALSE)),"")</f>
        <v>0.1312861698</v>
      </c>
      <c r="H1474" s="48">
        <f>IFERROR(DIVIDE(VLOOKUP($B1474,Data!$B$3:$EZ1530,44,FALSE),VLOOKUP($B1474,Data!$B$3:$EZ1530,4,FALSE)),"")</f>
        <v>0.1484587221</v>
      </c>
      <c r="I1474" s="48">
        <f>IFERROR(MINUS(DIVIDE(VLOOKUP($B1474,Data!$B$3:$EZ1530,9,FALSE),VLOOKUP($B1474,Data!$B$3:$EZ1530,10,FALSE)),1),"")</f>
        <v>0.03292699384</v>
      </c>
      <c r="J1474" s="48" t="str">
        <f>IFERROR(MINUS(DIVIDE(VLOOKUP($B1474,Data!$B$3:$EZ1530,24,FALSE),VLOOKUP($B1474,Data!$B$3:$EZ1530,25,FALSE)),1),"")</f>
        <v/>
      </c>
      <c r="K1474" s="48">
        <f>IFERROR(MINUS(DIVIDE(VLOOKUP($B1474,Data!$B$3:$EZ1530,29,FALSE),VLOOKUP($B1474,Data!$B$3:$EZ1530,30,FALSE)),1),"")</f>
        <v>0.07435488162</v>
      </c>
      <c r="L1474" s="48">
        <f>IFERROR(MINUS(DIVIDE(VLOOKUP($B1474,Data!$B$3:$EZ1530,34,FALSE),VLOOKUP($B1474,Data!$B$3:$EZ1530,35,FALSE)),1),"")</f>
        <v>0.04143518519</v>
      </c>
      <c r="M1474" s="48">
        <f>IFERROR(MINUS(DIVIDE(VLOOKUP($B1474,Data!$B$3:$EZ1530,39,FALSE),VLOOKUP($B1474,Data!$B$3:$EZ1530,40,FALSE)),1),"")</f>
        <v>-0.1421515666</v>
      </c>
      <c r="N1474" s="48">
        <f>IFERROR(MINUS(DIVIDE(VLOOKUP($B1474,Data!$B$3:$EZ1530,44,FALSE),VLOOKUP($B1474,Data!$B$3:$EZ1530,45,FALSE)),1),"")</f>
        <v>-0.03039185437</v>
      </c>
      <c r="O1474" s="50">
        <f>IFERROR(VLOOKUP($B1474,Data!$B$3:$D1530,2,FALSE),"")</f>
        <v>422150</v>
      </c>
      <c r="P1474" s="50">
        <f>IFERROR(VLOOKUP($B1474,Data!$B$3:$D1530,3,FALSE),"")</f>
        <v>399350</v>
      </c>
      <c r="Q1474" s="48">
        <f t="shared" si="2"/>
        <v>0.05709277576</v>
      </c>
      <c r="R1474" s="48"/>
      <c r="S1474" s="48"/>
      <c r="T1474" s="48"/>
      <c r="U1474" s="48"/>
      <c r="V1474" s="48"/>
      <c r="W1474" s="50"/>
      <c r="Z1474" s="11"/>
      <c r="AA1474" s="11"/>
    </row>
    <row r="1475">
      <c r="A1475" s="9">
        <f t="shared" si="1"/>
        <v>1472</v>
      </c>
      <c r="B1475" s="47" t="s">
        <v>1609</v>
      </c>
      <c r="C1475" s="48" t="str">
        <f>IFERROR(DIVIDE(VLOOKUP($B1475,Data!$B$3:$AB$1535,9,FALSE),VLOOKUP($B1475,Data!$B$3:$AB$1535,4,FALSE)),"")</f>
        <v/>
      </c>
      <c r="D1475" s="48" t="str">
        <f>IFERROR(DIVIDE(VLOOKUP($B1475,Data!$B$3:$AB$1535,24,FALSE),VLOOKUP($B1475,Data!$B$3:$AB$1535,4,FALSE)),"")</f>
        <v/>
      </c>
      <c r="E1475" s="48" t="str">
        <f>IFERROR(DIVIDE(VLOOKUP($B1475,Data!$B$3:$EZ1530,29,FALSE),VLOOKUP($B1475,Data!$B$3:$EZ1530,4,FALSE)),"")</f>
        <v/>
      </c>
      <c r="F1475" s="48" t="str">
        <f>IFERROR(DIVIDE(VLOOKUP($B1475,Data!$B$3:$EZ1530,34,FALSE),VLOOKUP($B1475,Data!$B$3:$EZ1530,4,FALSE)),"")</f>
        <v/>
      </c>
      <c r="G1475" s="48" t="str">
        <f>IFERROR(DIVIDE(VLOOKUP($B1475,Data!$B$3:$EZ1530,39,FALSE),VLOOKUP($B1475,Data!$B$3:$EZ1530,4,FALSE)),"")</f>
        <v/>
      </c>
      <c r="H1475" s="48" t="str">
        <f>IFERROR(DIVIDE(VLOOKUP($B1475,Data!$B$3:$EZ1530,44,FALSE),VLOOKUP($B1475,Data!$B$3:$EZ1530,4,FALSE)),"")</f>
        <v/>
      </c>
      <c r="I1475" s="48" t="str">
        <f>IFERROR(MINUS(DIVIDE(VLOOKUP($B1475,Data!$B$3:$EZ1530,9,FALSE),VLOOKUP($B1475,Data!$B$3:$EZ1530,10,FALSE)),1),"")</f>
        <v/>
      </c>
      <c r="J1475" s="48" t="str">
        <f>IFERROR(MINUS(DIVIDE(VLOOKUP($B1475,Data!$B$3:$EZ1530,24,FALSE),VLOOKUP($B1475,Data!$B$3:$EZ1530,25,FALSE)),1),"")</f>
        <v/>
      </c>
      <c r="K1475" s="48" t="str">
        <f>IFERROR(MINUS(DIVIDE(VLOOKUP($B1475,Data!$B$3:$EZ1530,29,FALSE),VLOOKUP($B1475,Data!$B$3:$EZ1530,30,FALSE)),1),"")</f>
        <v/>
      </c>
      <c r="L1475" s="48" t="str">
        <f>IFERROR(MINUS(DIVIDE(VLOOKUP($B1475,Data!$B$3:$EZ1530,34,FALSE),VLOOKUP($B1475,Data!$B$3:$EZ1530,35,FALSE)),1),"")</f>
        <v/>
      </c>
      <c r="M1475" s="48" t="str">
        <f>IFERROR(MINUS(DIVIDE(VLOOKUP($B1475,Data!$B$3:$EZ1530,39,FALSE),VLOOKUP($B1475,Data!$B$3:$EZ1530,40,FALSE)),1),"")</f>
        <v/>
      </c>
      <c r="N1475" s="48" t="str">
        <f>IFERROR(MINUS(DIVIDE(VLOOKUP($B1475,Data!$B$3:$EZ1530,44,FALSE),VLOOKUP($B1475,Data!$B$3:$EZ1530,45,FALSE)),1),"")</f>
        <v/>
      </c>
      <c r="O1475" s="50">
        <f>IFERROR(VLOOKUP($B1475,Data!$B$3:$D1530,2,FALSE),"")</f>
        <v>4950000</v>
      </c>
      <c r="P1475" s="50">
        <f>IFERROR(VLOOKUP($B1475,Data!$B$3:$D1530,3,FALSE),"")</f>
        <v>4880000</v>
      </c>
      <c r="Q1475" s="48">
        <f t="shared" si="2"/>
        <v>0.0143442623</v>
      </c>
      <c r="R1475" s="48"/>
      <c r="S1475" s="48"/>
      <c r="T1475" s="48"/>
      <c r="U1475" s="48"/>
      <c r="V1475" s="48"/>
      <c r="W1475" s="50"/>
      <c r="Z1475" s="11"/>
      <c r="AA1475" s="11"/>
    </row>
    <row r="1476">
      <c r="A1476" s="9">
        <f t="shared" si="1"/>
        <v>1473</v>
      </c>
      <c r="B1476" s="47" t="s">
        <v>1610</v>
      </c>
      <c r="C1476" s="48">
        <f>IFERROR(DIVIDE(VLOOKUP($B1476,Data!$B$3:$AB$1535,9,FALSE),VLOOKUP($B1476,Data!$B$3:$AB$1535,4,FALSE)),"")</f>
        <v>0.2772222222</v>
      </c>
      <c r="D1476" s="48">
        <f>IFERROR(DIVIDE(VLOOKUP($B1476,Data!$B$3:$AB$1535,24,FALSE),VLOOKUP($B1476,Data!$B$3:$AB$1535,4,FALSE)),"")</f>
        <v>0.1414502924</v>
      </c>
      <c r="E1476" s="48">
        <f>IFERROR(DIVIDE(VLOOKUP($B1476,Data!$B$3:$EZ1530,29,FALSE),VLOOKUP($B1476,Data!$B$3:$EZ1530,4,FALSE)),"")</f>
        <v>0.1002807018</v>
      </c>
      <c r="F1476" s="48">
        <f>IFERROR(DIVIDE(VLOOKUP($B1476,Data!$B$3:$EZ1530,34,FALSE),VLOOKUP($B1476,Data!$B$3:$EZ1530,4,FALSE)),"")</f>
        <v>0.2371578947</v>
      </c>
      <c r="G1476" s="48">
        <f>IFERROR(DIVIDE(VLOOKUP($B1476,Data!$B$3:$EZ1530,39,FALSE),VLOOKUP($B1476,Data!$B$3:$EZ1530,4,FALSE)),"")</f>
        <v>0.08008187135</v>
      </c>
      <c r="H1476" s="48">
        <f>IFERROR(DIVIDE(VLOOKUP($B1476,Data!$B$3:$EZ1530,44,FALSE),VLOOKUP($B1476,Data!$B$3:$EZ1530,4,FALSE)),"")</f>
        <v>0.1689649123</v>
      </c>
      <c r="I1476" s="48">
        <f>IFERROR(MINUS(DIVIDE(VLOOKUP($B1476,Data!$B$3:$EZ1530,9,FALSE),VLOOKUP($B1476,Data!$B$3:$EZ1530,10,FALSE)),1),"")</f>
        <v>-0.0005270925575</v>
      </c>
      <c r="J1476" s="48">
        <f>IFERROR(MINUS(DIVIDE(VLOOKUP($B1476,Data!$B$3:$EZ1530,24,FALSE),VLOOKUP($B1476,Data!$B$3:$EZ1530,25,FALSE)),1),"")</f>
        <v>0.04814317286</v>
      </c>
      <c r="K1476" s="48">
        <f>IFERROR(MINUS(DIVIDE(VLOOKUP($B1476,Data!$B$3:$EZ1530,29,FALSE),VLOOKUP($B1476,Data!$B$3:$EZ1530,30,FALSE)),1),"")</f>
        <v>-0.7017324149</v>
      </c>
      <c r="L1476" s="48">
        <f>IFERROR(MINUS(DIVIDE(VLOOKUP($B1476,Data!$B$3:$EZ1530,34,FALSE),VLOOKUP($B1476,Data!$B$3:$EZ1530,35,FALSE)),1),"")</f>
        <v>0.05146620343</v>
      </c>
      <c r="M1476" s="48">
        <f>IFERROR(MINUS(DIVIDE(VLOOKUP($B1476,Data!$B$3:$EZ1530,39,FALSE),VLOOKUP($B1476,Data!$B$3:$EZ1530,40,FALSE)),1),"")</f>
        <v>-0.7023819873</v>
      </c>
      <c r="N1476" s="48">
        <f>IFERROR(MINUS(DIVIDE(VLOOKUP($B1476,Data!$B$3:$EZ1530,44,FALSE),VLOOKUP($B1476,Data!$B$3:$EZ1530,45,FALSE)),1),"")</f>
        <v>0.2885430139</v>
      </c>
      <c r="O1476" s="50">
        <f>IFERROR(VLOOKUP($B1476,Data!$B$3:$D1530,2,FALSE),"")</f>
        <v>1760000</v>
      </c>
      <c r="P1476" s="50">
        <f>IFERROR(VLOOKUP($B1476,Data!$B$3:$D1530,3,FALSE),"")</f>
        <v>1720000</v>
      </c>
      <c r="Q1476" s="48">
        <f t="shared" si="2"/>
        <v>0.02325581395</v>
      </c>
      <c r="R1476" s="48"/>
      <c r="S1476" s="48"/>
      <c r="T1476" s="48"/>
      <c r="U1476" s="48"/>
      <c r="V1476" s="48"/>
      <c r="W1476" s="50"/>
      <c r="Z1476" s="15"/>
      <c r="AA1476" s="15"/>
    </row>
    <row r="1477">
      <c r="A1477" s="9">
        <f t="shared" si="1"/>
        <v>1474</v>
      </c>
      <c r="B1477" s="47" t="s">
        <v>1611</v>
      </c>
      <c r="C1477" s="48">
        <f>IFERROR(DIVIDE(VLOOKUP($B1477,Data!$B$3:$AB$1535,9,FALSE),VLOOKUP($B1477,Data!$B$3:$AB$1535,4,FALSE)),"")</f>
        <v>0.137601626</v>
      </c>
      <c r="D1477" s="48">
        <f>IFERROR(DIVIDE(VLOOKUP($B1477,Data!$B$3:$AB$1535,24,FALSE),VLOOKUP($B1477,Data!$B$3:$AB$1535,4,FALSE)),"")</f>
        <v>0</v>
      </c>
      <c r="E1477" s="48">
        <f>IFERROR(DIVIDE(VLOOKUP($B1477,Data!$B$3:$EZ1530,29,FALSE),VLOOKUP($B1477,Data!$B$3:$EZ1530,4,FALSE)),"")</f>
        <v>0.09020731707</v>
      </c>
      <c r="F1477" s="48">
        <f>IFERROR(DIVIDE(VLOOKUP($B1477,Data!$B$3:$EZ1530,34,FALSE),VLOOKUP($B1477,Data!$B$3:$EZ1530,4,FALSE)),"")</f>
        <v>0.1843089431</v>
      </c>
      <c r="G1477" s="48">
        <f>IFERROR(DIVIDE(VLOOKUP($B1477,Data!$B$3:$EZ1530,39,FALSE),VLOOKUP($B1477,Data!$B$3:$EZ1530,4,FALSE)),"")</f>
        <v>0.06786178862</v>
      </c>
      <c r="H1477" s="48">
        <f>IFERROR(DIVIDE(VLOOKUP($B1477,Data!$B$3:$EZ1530,44,FALSE),VLOOKUP($B1477,Data!$B$3:$EZ1530,4,FALSE)),"")</f>
        <v>0.1734308943</v>
      </c>
      <c r="I1477" s="48">
        <f>IFERROR(MINUS(DIVIDE(VLOOKUP($B1477,Data!$B$3:$EZ1530,9,FALSE),VLOOKUP($B1477,Data!$B$3:$EZ1530,10,FALSE)),1),"")</f>
        <v>0.05804394711</v>
      </c>
      <c r="J1477" s="48" t="str">
        <f>IFERROR(MINUS(DIVIDE(VLOOKUP($B1477,Data!$B$3:$EZ1530,24,FALSE),VLOOKUP($B1477,Data!$B$3:$EZ1530,25,FALSE)),1),"")</f>
        <v/>
      </c>
      <c r="K1477" s="48">
        <f>IFERROR(MINUS(DIVIDE(VLOOKUP($B1477,Data!$B$3:$EZ1530,29,FALSE),VLOOKUP($B1477,Data!$B$3:$EZ1530,30,FALSE)),1),"")</f>
        <v>-0.008799356798</v>
      </c>
      <c r="L1477" s="48">
        <f>IFERROR(MINUS(DIVIDE(VLOOKUP($B1477,Data!$B$3:$EZ1530,34,FALSE),VLOOKUP($B1477,Data!$B$3:$EZ1530,35,FALSE)),1),"")</f>
        <v>0.05571984073</v>
      </c>
      <c r="M1477" s="48">
        <f>IFERROR(MINUS(DIVIDE(VLOOKUP($B1477,Data!$B$3:$EZ1530,39,FALSE),VLOOKUP($B1477,Data!$B$3:$EZ1530,40,FALSE)),1),"")</f>
        <v>-0.007195955992</v>
      </c>
      <c r="N1477" s="48">
        <f>IFERROR(MINUS(DIVIDE(VLOOKUP($B1477,Data!$B$3:$EZ1530,44,FALSE),VLOOKUP($B1477,Data!$B$3:$EZ1530,45,FALSE)),1),"")</f>
        <v>0.02027931892</v>
      </c>
      <c r="O1477" s="50">
        <f>IFERROR(VLOOKUP($B1477,Data!$B$3:$D1530,2,FALSE),"")</f>
        <v>2540000</v>
      </c>
      <c r="P1477" s="50">
        <f>IFERROR(VLOOKUP($B1477,Data!$B$3:$D1530,3,FALSE),"")</f>
        <v>2380000</v>
      </c>
      <c r="Q1477" s="48">
        <f t="shared" si="2"/>
        <v>0.06722689076</v>
      </c>
      <c r="R1477" s="48"/>
      <c r="S1477" s="48"/>
      <c r="T1477" s="48"/>
      <c r="U1477" s="48"/>
      <c r="V1477" s="48"/>
      <c r="W1477" s="50"/>
      <c r="Z1477" s="11"/>
      <c r="AA1477" s="11"/>
    </row>
    <row r="1478">
      <c r="A1478" s="9">
        <f t="shared" si="1"/>
        <v>1475</v>
      </c>
      <c r="B1478" s="47" t="s">
        <v>1612</v>
      </c>
      <c r="C1478" s="48">
        <f>IFERROR(DIVIDE(VLOOKUP($B1478,Data!$B$3:$AB$1535,9,FALSE),VLOOKUP($B1478,Data!$B$3:$AB$1535,4,FALSE)),"")</f>
        <v>0.4077497451</v>
      </c>
      <c r="D1478" s="48">
        <f>IFERROR(DIVIDE(VLOOKUP($B1478,Data!$B$3:$AB$1535,24,FALSE),VLOOKUP($B1478,Data!$B$3:$AB$1535,4,FALSE)),"")</f>
        <v>0.08894444262</v>
      </c>
      <c r="E1478" s="48">
        <f>IFERROR(DIVIDE(VLOOKUP($B1478,Data!$B$3:$EZ1530,29,FALSE),VLOOKUP($B1478,Data!$B$3:$EZ1530,4,FALSE)),"")</f>
        <v>0.08907601724</v>
      </c>
      <c r="F1478" s="48">
        <f>IFERROR(DIVIDE(VLOOKUP($B1478,Data!$B$3:$EZ1530,34,FALSE),VLOOKUP($B1478,Data!$B$3:$EZ1530,4,FALSE)),"")</f>
        <v>0.1013782441</v>
      </c>
      <c r="G1478" s="48">
        <f>IFERROR(DIVIDE(VLOOKUP($B1478,Data!$B$3:$EZ1530,39,FALSE),VLOOKUP($B1478,Data!$B$3:$EZ1530,4,FALSE)),"")</f>
        <v>0.06868195125</v>
      </c>
      <c r="H1478" s="48">
        <f>IFERROR(DIVIDE(VLOOKUP($B1478,Data!$B$3:$EZ1530,44,FALSE),VLOOKUP($B1478,Data!$B$3:$EZ1530,4,FALSE)),"")</f>
        <v>0.03088714187</v>
      </c>
      <c r="I1478" s="48">
        <f>IFERROR(MINUS(DIVIDE(VLOOKUP($B1478,Data!$B$3:$EZ1530,9,FALSE),VLOOKUP($B1478,Data!$B$3:$EZ1530,10,FALSE)),1),"")</f>
        <v>0.06522299562</v>
      </c>
      <c r="J1478" s="48">
        <f>IFERROR(MINUS(DIVIDE(VLOOKUP($B1478,Data!$B$3:$EZ1530,24,FALSE),VLOOKUP($B1478,Data!$B$3:$EZ1530,25,FALSE)),1),"")</f>
        <v>0.0620581304</v>
      </c>
      <c r="K1478" s="48">
        <f>IFERROR(MINUS(DIVIDE(VLOOKUP($B1478,Data!$B$3:$EZ1530,29,FALSE),VLOOKUP($B1478,Data!$B$3:$EZ1530,30,FALSE)),1),"")</f>
        <v>0.05124223602</v>
      </c>
      <c r="L1478" s="48">
        <f>IFERROR(MINUS(DIVIDE(VLOOKUP($B1478,Data!$B$3:$EZ1530,34,FALSE),VLOOKUP($B1478,Data!$B$3:$EZ1530,35,FALSE)),1),"")</f>
        <v>0.03631472764</v>
      </c>
      <c r="M1478" s="48">
        <f>IFERROR(MINUS(DIVIDE(VLOOKUP($B1478,Data!$B$3:$EZ1530,39,FALSE),VLOOKUP($B1478,Data!$B$3:$EZ1530,40,FALSE)),1),"")</f>
        <v>0.01953125</v>
      </c>
      <c r="N1478" s="48">
        <f>IFERROR(MINUS(DIVIDE(VLOOKUP($B1478,Data!$B$3:$EZ1530,44,FALSE),VLOOKUP($B1478,Data!$B$3:$EZ1530,45,FALSE)),1),"")</f>
        <v>-0.2804597701</v>
      </c>
      <c r="O1478" s="50">
        <f>IFERROR(VLOOKUP($B1478,Data!$B$3:$D1530,2,FALSE),"")</f>
        <v>297040</v>
      </c>
      <c r="P1478" s="50">
        <f>IFERROR(VLOOKUP($B1478,Data!$B$3:$D1530,3,FALSE),"")</f>
        <v>283750</v>
      </c>
      <c r="Q1478" s="48">
        <f t="shared" si="2"/>
        <v>0.04683700441</v>
      </c>
      <c r="R1478" s="48"/>
      <c r="S1478" s="48"/>
      <c r="T1478" s="48"/>
      <c r="U1478" s="48"/>
      <c r="V1478" s="48"/>
      <c r="W1478" s="50"/>
      <c r="Z1478" s="15"/>
      <c r="AA1478" s="15"/>
    </row>
    <row r="1479">
      <c r="A1479" s="9">
        <f t="shared" si="1"/>
        <v>1476</v>
      </c>
      <c r="B1479" s="47" t="s">
        <v>1613</v>
      </c>
      <c r="C1479" s="48">
        <f>IFERROR(DIVIDE(VLOOKUP($B1479,Data!$B$3:$AB$1535,9,FALSE),VLOOKUP($B1479,Data!$B$3:$AB$1535,4,FALSE)),"")</f>
        <v>0.1503969849</v>
      </c>
      <c r="D1479" s="48">
        <f>IFERROR(DIVIDE(VLOOKUP($B1479,Data!$B$3:$AB$1535,24,FALSE),VLOOKUP($B1479,Data!$B$3:$AB$1535,4,FALSE)),"")</f>
        <v>0.07802512563</v>
      </c>
      <c r="E1479" s="48">
        <f>IFERROR(DIVIDE(VLOOKUP($B1479,Data!$B$3:$EZ1530,29,FALSE),VLOOKUP($B1479,Data!$B$3:$EZ1530,4,FALSE)),"")</f>
        <v>0.0698040201</v>
      </c>
      <c r="F1479" s="48">
        <f>IFERROR(DIVIDE(VLOOKUP($B1479,Data!$B$3:$EZ1530,34,FALSE),VLOOKUP($B1479,Data!$B$3:$EZ1530,4,FALSE)),"")</f>
        <v>0.09071859296</v>
      </c>
      <c r="G1479" s="48">
        <f>IFERROR(DIVIDE(VLOOKUP($B1479,Data!$B$3:$EZ1530,39,FALSE),VLOOKUP($B1479,Data!$B$3:$EZ1530,4,FALSE)),"")</f>
        <v>0.05618090452</v>
      </c>
      <c r="H1479" s="48">
        <f>IFERROR(DIVIDE(VLOOKUP($B1479,Data!$B$3:$EZ1530,44,FALSE),VLOOKUP($B1479,Data!$B$3:$EZ1530,4,FALSE)),"")</f>
        <v>0.06721105528</v>
      </c>
      <c r="I1479" s="48">
        <f>IFERROR(MINUS(DIVIDE(VLOOKUP($B1479,Data!$B$3:$EZ1530,9,FALSE),VLOOKUP($B1479,Data!$B$3:$EZ1530,10,FALSE)),1),"")</f>
        <v>0.03022271178</v>
      </c>
      <c r="J1479" s="48">
        <f>IFERROR(MINUS(DIVIDE(VLOOKUP($B1479,Data!$B$3:$EZ1530,24,FALSE),VLOOKUP($B1479,Data!$B$3:$EZ1530,25,FALSE)),1),"")</f>
        <v>-0.03192218966</v>
      </c>
      <c r="K1479" s="48">
        <f>IFERROR(MINUS(DIVIDE(VLOOKUP($B1479,Data!$B$3:$EZ1530,29,FALSE),VLOOKUP($B1479,Data!$B$3:$EZ1530,30,FALSE)),1),"")</f>
        <v>-0.02614974762</v>
      </c>
      <c r="L1479" s="48">
        <f>IFERROR(MINUS(DIVIDE(VLOOKUP($B1479,Data!$B$3:$EZ1530,34,FALSE),VLOOKUP($B1479,Data!$B$3:$EZ1530,35,FALSE)),1),"")</f>
        <v>-0.006712517194</v>
      </c>
      <c r="M1479" s="48">
        <f>IFERROR(MINUS(DIVIDE(VLOOKUP($B1479,Data!$B$3:$EZ1530,39,FALSE),VLOOKUP($B1479,Data!$B$3:$EZ1530,40,FALSE)),1),"")</f>
        <v>0.09222352481</v>
      </c>
      <c r="N1479" s="48">
        <f>IFERROR(MINUS(DIVIDE(VLOOKUP($B1479,Data!$B$3:$EZ1530,44,FALSE),VLOOKUP($B1479,Data!$B$3:$EZ1530,45,FALSE)),1),"")</f>
        <v>0.6046790642</v>
      </c>
      <c r="O1479" s="50">
        <f>IFERROR(VLOOKUP($B1479,Data!$B$3:$D1530,2,FALSE),"")</f>
        <v>2810000</v>
      </c>
      <c r="P1479" s="50">
        <f>IFERROR(VLOOKUP($B1479,Data!$B$3:$D1530,3,FALSE),"")</f>
        <v>2330000</v>
      </c>
      <c r="Q1479" s="48">
        <f t="shared" si="2"/>
        <v>0.2060085837</v>
      </c>
      <c r="R1479" s="48"/>
      <c r="S1479" s="48"/>
      <c r="T1479" s="48"/>
      <c r="U1479" s="48"/>
      <c r="V1479" s="48"/>
      <c r="W1479" s="50"/>
      <c r="Z1479" s="11"/>
      <c r="AA1479" s="11"/>
    </row>
    <row r="1480">
      <c r="A1480" s="9">
        <f t="shared" si="1"/>
        <v>1477</v>
      </c>
      <c r="B1480" s="47" t="s">
        <v>1614</v>
      </c>
      <c r="C1480" s="48">
        <f>IFERROR(DIVIDE(VLOOKUP($B1480,Data!$B$3:$AB$1535,9,FALSE),VLOOKUP($B1480,Data!$B$3:$AB$1535,4,FALSE)),"")</f>
        <v>0.2897560976</v>
      </c>
      <c r="D1480" s="48">
        <f>IFERROR(DIVIDE(VLOOKUP($B1480,Data!$B$3:$AB$1535,24,FALSE),VLOOKUP($B1480,Data!$B$3:$AB$1535,4,FALSE)),"")</f>
        <v>0.1497560976</v>
      </c>
      <c r="E1480" s="48">
        <f>IFERROR(DIVIDE(VLOOKUP($B1480,Data!$B$3:$EZ1530,29,FALSE),VLOOKUP($B1480,Data!$B$3:$EZ1530,4,FALSE)),"")</f>
        <v>0.1009756098</v>
      </c>
      <c r="F1480" s="48">
        <f>IFERROR(DIVIDE(VLOOKUP($B1480,Data!$B$3:$EZ1530,34,FALSE),VLOOKUP($B1480,Data!$B$3:$EZ1530,4,FALSE)),"")</f>
        <v>0.2795121951</v>
      </c>
      <c r="G1480" s="48">
        <f>IFERROR(DIVIDE(VLOOKUP($B1480,Data!$B$3:$EZ1530,39,FALSE),VLOOKUP($B1480,Data!$B$3:$EZ1530,4,FALSE)),"")</f>
        <v>0.07658536585</v>
      </c>
      <c r="H1480" s="48">
        <f>IFERROR(DIVIDE(VLOOKUP($B1480,Data!$B$3:$EZ1530,44,FALSE),VLOOKUP($B1480,Data!$B$3:$EZ1530,4,FALSE)),"")</f>
        <v>0.0487804878</v>
      </c>
      <c r="I1480" s="48">
        <f>IFERROR(MINUS(DIVIDE(VLOOKUP($B1480,Data!$B$3:$EZ1530,9,FALSE),VLOOKUP($B1480,Data!$B$3:$EZ1530,10,FALSE)),1),"")</f>
        <v>0.1533980583</v>
      </c>
      <c r="J1480" s="48">
        <f>IFERROR(MINUS(DIVIDE(VLOOKUP($B1480,Data!$B$3:$EZ1530,24,FALSE),VLOOKUP($B1480,Data!$B$3:$EZ1530,25,FALSE)),1),"")</f>
        <v>0.08480565371</v>
      </c>
      <c r="K1480" s="48">
        <f>IFERROR(MINUS(DIVIDE(VLOOKUP($B1480,Data!$B$3:$EZ1530,29,FALSE),VLOOKUP($B1480,Data!$B$3:$EZ1530,30,FALSE)),1),"")</f>
        <v>-0.07174887892</v>
      </c>
      <c r="L1480" s="48">
        <f>IFERROR(MINUS(DIVIDE(VLOOKUP($B1480,Data!$B$3:$EZ1530,34,FALSE),VLOOKUP($B1480,Data!$B$3:$EZ1530,35,FALSE)),1),"")</f>
        <v>0.1575757576</v>
      </c>
      <c r="M1480" s="48">
        <f>IFERROR(MINUS(DIVIDE(VLOOKUP($B1480,Data!$B$3:$EZ1530,39,FALSE),VLOOKUP($B1480,Data!$B$3:$EZ1530,40,FALSE)),1),"")</f>
        <v>-0.03086419753</v>
      </c>
      <c r="N1480" s="48">
        <f>IFERROR(MINUS(DIVIDE(VLOOKUP($B1480,Data!$B$3:$EZ1530,44,FALSE),VLOOKUP($B1480,Data!$B$3:$EZ1530,45,FALSE)),1),"")</f>
        <v>-0.5670995671</v>
      </c>
      <c r="O1480" s="50">
        <f>IFERROR(VLOOKUP($B1480,Data!$B$3:$D1530,2,FALSE),"")</f>
        <v>1770000</v>
      </c>
      <c r="P1480" s="50">
        <f>IFERROR(VLOOKUP($B1480,Data!$B$3:$D1530,3,FALSE),"")</f>
        <v>1370000</v>
      </c>
      <c r="Q1480" s="48">
        <f t="shared" si="2"/>
        <v>0.2919708029</v>
      </c>
      <c r="R1480" s="48"/>
      <c r="S1480" s="48"/>
      <c r="T1480" s="48"/>
      <c r="U1480" s="48"/>
      <c r="V1480" s="48"/>
      <c r="W1480" s="50"/>
      <c r="Z1480" s="15"/>
      <c r="AA1480" s="15"/>
    </row>
    <row r="1481">
      <c r="A1481" s="9">
        <f t="shared" si="1"/>
        <v>1478</v>
      </c>
      <c r="B1481" s="47" t="s">
        <v>1615</v>
      </c>
      <c r="C1481" s="48">
        <f>IFERROR(DIVIDE(VLOOKUP($B1481,Data!$B$3:$AB$1535,9,FALSE),VLOOKUP($B1481,Data!$B$3:$AB$1535,4,FALSE)),"")</f>
        <v>0.1601371205</v>
      </c>
      <c r="D1481" s="48">
        <f>IFERROR(DIVIDE(VLOOKUP($B1481,Data!$B$3:$AB$1535,24,FALSE),VLOOKUP($B1481,Data!$B$3:$AB$1535,4,FALSE)),"")</f>
        <v>0.04686581783</v>
      </c>
      <c r="E1481" s="48">
        <f>IFERROR(DIVIDE(VLOOKUP($B1481,Data!$B$3:$EZ1530,29,FALSE),VLOOKUP($B1481,Data!$B$3:$EZ1530,4,FALSE)),"")</f>
        <v>0.07590597453</v>
      </c>
      <c r="F1481" s="48">
        <f>IFERROR(DIVIDE(VLOOKUP($B1481,Data!$B$3:$EZ1530,34,FALSE),VLOOKUP($B1481,Data!$B$3:$EZ1530,4,FALSE)),"")</f>
        <v>0.08325171401</v>
      </c>
      <c r="G1481" s="48">
        <f>IFERROR(DIVIDE(VLOOKUP($B1481,Data!$B$3:$EZ1530,39,FALSE),VLOOKUP($B1481,Data!$B$3:$EZ1530,4,FALSE)),"")</f>
        <v>0.05778648384</v>
      </c>
      <c r="H1481" s="48">
        <f>IFERROR(DIVIDE(VLOOKUP($B1481,Data!$B$3:$EZ1530,44,FALSE),VLOOKUP($B1481,Data!$B$3:$EZ1530,4,FALSE)),"")</f>
        <v>0.06023506366</v>
      </c>
      <c r="I1481" s="48">
        <f>IFERROR(MINUS(DIVIDE(VLOOKUP($B1481,Data!$B$3:$EZ1530,9,FALSE),VLOOKUP($B1481,Data!$B$3:$EZ1530,10,FALSE)),1),"")</f>
        <v>-0.02388059701</v>
      </c>
      <c r="J1481" s="48">
        <f>IFERROR(MINUS(DIVIDE(VLOOKUP($B1481,Data!$B$3:$EZ1530,24,FALSE),VLOOKUP($B1481,Data!$B$3:$EZ1530,25,FALSE)),1),"")</f>
        <v>2.544444444</v>
      </c>
      <c r="K1481" s="48">
        <f>IFERROR(MINUS(DIVIDE(VLOOKUP($B1481,Data!$B$3:$EZ1530,29,FALSE),VLOOKUP($B1481,Data!$B$3:$EZ1530,30,FALSE)),1),"")</f>
        <v>-74.80952381</v>
      </c>
      <c r="L1481" s="48">
        <f>IFERROR(MINUS(DIVIDE(VLOOKUP($B1481,Data!$B$3:$EZ1530,34,FALSE),VLOOKUP($B1481,Data!$B$3:$EZ1530,35,FALSE)),1),"")</f>
        <v>-0.06077348066</v>
      </c>
      <c r="M1481" s="48">
        <f>IFERROR(MINUS(DIVIDE(VLOOKUP($B1481,Data!$B$3:$EZ1530,39,FALSE),VLOOKUP($B1481,Data!$B$3:$EZ1530,40,FALSE)),1),"")</f>
        <v>-7.448087432</v>
      </c>
      <c r="N1481" s="48">
        <f>IFERROR(MINUS(DIVIDE(VLOOKUP($B1481,Data!$B$3:$EZ1530,44,FALSE),VLOOKUP($B1481,Data!$B$3:$EZ1530,45,FALSE)),1),"")</f>
        <v>0</v>
      </c>
      <c r="O1481" s="50">
        <f>IFERROR(VLOOKUP($B1481,Data!$B$3:$D1530,2,FALSE),"")</f>
        <v>18900000</v>
      </c>
      <c r="P1481" s="50">
        <f>IFERROR(VLOOKUP($B1481,Data!$B$3:$D1530,3,FALSE),"")</f>
        <v>17910000</v>
      </c>
      <c r="Q1481" s="48">
        <f t="shared" si="2"/>
        <v>0.05527638191</v>
      </c>
      <c r="R1481" s="48"/>
      <c r="S1481" s="48"/>
      <c r="T1481" s="48"/>
      <c r="U1481" s="48"/>
      <c r="V1481" s="48"/>
      <c r="W1481" s="50"/>
      <c r="Z1481" s="15"/>
      <c r="AA1481" s="15"/>
    </row>
    <row r="1482">
      <c r="A1482" s="9">
        <f t="shared" si="1"/>
        <v>1479</v>
      </c>
      <c r="B1482" s="47" t="s">
        <v>1616</v>
      </c>
      <c r="C1482" s="48">
        <f>IFERROR(DIVIDE(VLOOKUP($B1482,Data!$B$3:$AB$1535,9,FALSE),VLOOKUP($B1482,Data!$B$3:$AB$1535,4,FALSE)),"")</f>
        <v>0.3067363112</v>
      </c>
      <c r="D1482" s="48">
        <f>IFERROR(DIVIDE(VLOOKUP($B1482,Data!$B$3:$AB$1535,24,FALSE),VLOOKUP($B1482,Data!$B$3:$AB$1535,4,FALSE)),"")</f>
        <v>0.1585014409</v>
      </c>
      <c r="E1482" s="48">
        <f>IFERROR(DIVIDE(VLOOKUP($B1482,Data!$B$3:$EZ1530,29,FALSE),VLOOKUP($B1482,Data!$B$3:$EZ1530,4,FALSE)),"")</f>
        <v>0.1648955331</v>
      </c>
      <c r="F1482" s="48">
        <f>IFERROR(DIVIDE(VLOOKUP($B1482,Data!$B$3:$EZ1530,34,FALSE),VLOOKUP($B1482,Data!$B$3:$EZ1530,4,FALSE)),"")</f>
        <v>0.1317543228</v>
      </c>
      <c r="G1482" s="48">
        <f>IFERROR(DIVIDE(VLOOKUP($B1482,Data!$B$3:$EZ1530,39,FALSE),VLOOKUP($B1482,Data!$B$3:$EZ1530,4,FALSE)),"")</f>
        <v>0.1302233429</v>
      </c>
      <c r="H1482" s="48">
        <f>IFERROR(DIVIDE(VLOOKUP($B1482,Data!$B$3:$EZ1530,44,FALSE),VLOOKUP($B1482,Data!$B$3:$EZ1530,4,FALSE)),"")</f>
        <v>-0.006485752882</v>
      </c>
      <c r="I1482" s="48">
        <f>IFERROR(MINUS(DIVIDE(VLOOKUP($B1482,Data!$B$3:$EZ1530,9,FALSE),VLOOKUP($B1482,Data!$B$3:$EZ1530,10,FALSE)),1),"")</f>
        <v>0.2642910171</v>
      </c>
      <c r="J1482" s="48">
        <f>IFERROR(MINUS(DIVIDE(VLOOKUP($B1482,Data!$B$3:$EZ1530,24,FALSE),VLOOKUP($B1482,Data!$B$3:$EZ1530,25,FALSE)),1),"")</f>
        <v>1.634730539</v>
      </c>
      <c r="K1482" s="48">
        <f>IFERROR(MINUS(DIVIDE(VLOOKUP($B1482,Data!$B$3:$EZ1530,29,FALSE),VLOOKUP($B1482,Data!$B$3:$EZ1530,30,FALSE)),1),"")</f>
        <v>1.005476451</v>
      </c>
      <c r="L1482" s="48">
        <f>IFERROR(MINUS(DIVIDE(VLOOKUP($B1482,Data!$B$3:$EZ1530,34,FALSE),VLOOKUP($B1482,Data!$B$3:$EZ1530,35,FALSE)),1),"")</f>
        <v>0.271068636</v>
      </c>
      <c r="M1482" s="48">
        <f>IFERROR(MINUS(DIVIDE(VLOOKUP($B1482,Data!$B$3:$EZ1530,39,FALSE),VLOOKUP($B1482,Data!$B$3:$EZ1530,40,FALSE)),1),"")</f>
        <v>1.083573487</v>
      </c>
      <c r="N1482" s="48">
        <f>IFERROR(MINUS(DIVIDE(VLOOKUP($B1482,Data!$B$3:$EZ1530,44,FALSE),VLOOKUP($B1482,Data!$B$3:$EZ1530,45,FALSE)),1),"")</f>
        <v>-1.095768351</v>
      </c>
      <c r="O1482" s="50" t="str">
        <f>IFERROR(VLOOKUP($B1482,Data!$B$3:$D1530,2,FALSE),"")</f>
        <v/>
      </c>
      <c r="P1482" s="50" t="str">
        <f>IFERROR(VLOOKUP($B1482,Data!$B$3:$D1530,3,FALSE),"")</f>
        <v/>
      </c>
      <c r="Q1482" s="48" t="str">
        <f t="shared" si="2"/>
        <v/>
      </c>
      <c r="R1482" s="48"/>
      <c r="S1482" s="48"/>
      <c r="T1482" s="48"/>
      <c r="U1482" s="48"/>
      <c r="V1482" s="48"/>
      <c r="W1482" s="50"/>
      <c r="Z1482" s="12"/>
      <c r="AA1482" s="12"/>
    </row>
    <row r="1483">
      <c r="A1483" s="9">
        <f t="shared" si="1"/>
        <v>1480</v>
      </c>
      <c r="B1483" s="47" t="s">
        <v>1617</v>
      </c>
      <c r="C1483" s="48">
        <f>IFERROR(DIVIDE(VLOOKUP($B1483,Data!$B$3:$AB$1535,9,FALSE),VLOOKUP($B1483,Data!$B$3:$AB$1535,4,FALSE)),"")</f>
        <v>0.9386084584</v>
      </c>
      <c r="D1483" s="48">
        <f>IFERROR(DIVIDE(VLOOKUP($B1483,Data!$B$3:$AB$1535,24,FALSE),VLOOKUP($B1483,Data!$B$3:$AB$1535,4,FALSE)),"")</f>
        <v>0</v>
      </c>
      <c r="E1483" s="48">
        <f>IFERROR(DIVIDE(VLOOKUP($B1483,Data!$B$3:$EZ1530,29,FALSE),VLOOKUP($B1483,Data!$B$3:$EZ1530,4,FALSE)),"")</f>
        <v>0.5657571623</v>
      </c>
      <c r="F1483" s="48">
        <f>IFERROR(DIVIDE(VLOOKUP($B1483,Data!$B$3:$EZ1530,34,FALSE),VLOOKUP($B1483,Data!$B$3:$EZ1530,4,FALSE)),"")</f>
        <v>0.5986357435</v>
      </c>
      <c r="G1483" s="48">
        <f>IFERROR(DIVIDE(VLOOKUP($B1483,Data!$B$3:$EZ1530,39,FALSE),VLOOKUP($B1483,Data!$B$3:$EZ1530,4,FALSE)),"")</f>
        <v>0.4386084584</v>
      </c>
      <c r="H1483" s="48">
        <f>IFERROR(DIVIDE(VLOOKUP($B1483,Data!$B$3:$EZ1530,44,FALSE),VLOOKUP($B1483,Data!$B$3:$EZ1530,4,FALSE)),"")</f>
        <v>0.6909959072</v>
      </c>
      <c r="I1483" s="48">
        <f>IFERROR(MINUS(DIVIDE(VLOOKUP($B1483,Data!$B$3:$EZ1530,9,FALSE),VLOOKUP($B1483,Data!$B$3:$EZ1530,10,FALSE)),1),"")</f>
        <v>0.0141509434</v>
      </c>
      <c r="J1483" s="48" t="str">
        <f>IFERROR(MINUS(DIVIDE(VLOOKUP($B1483,Data!$B$3:$EZ1530,24,FALSE),VLOOKUP($B1483,Data!$B$3:$EZ1530,25,FALSE)),1),"")</f>
        <v/>
      </c>
      <c r="K1483" s="48">
        <f>IFERROR(MINUS(DIVIDE(VLOOKUP($B1483,Data!$B$3:$EZ1530,29,FALSE),VLOOKUP($B1483,Data!$B$3:$EZ1530,30,FALSE)),1),"")</f>
        <v>0.05575356415</v>
      </c>
      <c r="L1483" s="48">
        <f>IFERROR(MINUS(DIVIDE(VLOOKUP($B1483,Data!$B$3:$EZ1530,34,FALSE),VLOOKUP($B1483,Data!$B$3:$EZ1530,35,FALSE)),1),"")</f>
        <v>0.0427756654</v>
      </c>
      <c r="M1483" s="48">
        <f>IFERROR(MINUS(DIVIDE(VLOOKUP($B1483,Data!$B$3:$EZ1530,39,FALSE),VLOOKUP($B1483,Data!$B$3:$EZ1530,40,FALSE)),1),"")</f>
        <v>0.06704281447</v>
      </c>
      <c r="N1483" s="48">
        <f>IFERROR(MINUS(DIVIDE(VLOOKUP($B1483,Data!$B$3:$EZ1530,44,FALSE),VLOOKUP($B1483,Data!$B$3:$EZ1530,45,FALSE)),1),"")</f>
        <v>0.4496279336</v>
      </c>
      <c r="O1483" s="50" t="str">
        <f>IFERROR(VLOOKUP($B1483,Data!$B$3:$D1530,2,FALSE),"")</f>
        <v/>
      </c>
      <c r="P1483" s="50" t="str">
        <f>IFERROR(VLOOKUP($B1483,Data!$B$3:$D1530,3,FALSE),"")</f>
        <v/>
      </c>
      <c r="Q1483" s="48" t="str">
        <f t="shared" si="2"/>
        <v/>
      </c>
      <c r="R1483" s="48"/>
      <c r="S1483" s="48"/>
      <c r="T1483" s="48"/>
      <c r="U1483" s="48"/>
      <c r="V1483" s="48"/>
      <c r="W1483" s="50"/>
      <c r="Z1483" s="15"/>
      <c r="AA1483" s="15"/>
    </row>
    <row r="1484">
      <c r="A1484" s="9">
        <f t="shared" si="1"/>
        <v>1481</v>
      </c>
      <c r="B1484" s="47" t="s">
        <v>1618</v>
      </c>
      <c r="C1484" s="48">
        <f>IFERROR(DIVIDE(VLOOKUP($B1484,Data!$B$3:$AB$1535,9,FALSE),VLOOKUP($B1484,Data!$B$3:$AB$1535,4,FALSE)),"")</f>
        <v>0.7666766827</v>
      </c>
      <c r="D1484" s="48">
        <f>IFERROR(DIVIDE(VLOOKUP($B1484,Data!$B$3:$AB$1535,24,FALSE),VLOOKUP($B1484,Data!$B$3:$AB$1535,4,FALSE)),"")</f>
        <v>0</v>
      </c>
      <c r="E1484" s="48">
        <f>IFERROR(DIVIDE(VLOOKUP($B1484,Data!$B$3:$EZ1530,29,FALSE),VLOOKUP($B1484,Data!$B$3:$EZ1530,4,FALSE)),"")</f>
        <v>0.1290564904</v>
      </c>
      <c r="F1484" s="48">
        <f>IFERROR(DIVIDE(VLOOKUP($B1484,Data!$B$3:$EZ1530,34,FALSE),VLOOKUP($B1484,Data!$B$3:$EZ1530,4,FALSE)),"")</f>
        <v>0.2423377404</v>
      </c>
      <c r="G1484" s="48">
        <f>IFERROR(DIVIDE(VLOOKUP($B1484,Data!$B$3:$EZ1530,39,FALSE),VLOOKUP($B1484,Data!$B$3:$EZ1530,4,FALSE)),"")</f>
        <v>0.1025641026</v>
      </c>
      <c r="H1484" s="48">
        <f>IFERROR(DIVIDE(VLOOKUP($B1484,Data!$B$3:$EZ1530,44,FALSE),VLOOKUP($B1484,Data!$B$3:$EZ1530,4,FALSE)),"")</f>
        <v>0.1932091346</v>
      </c>
      <c r="I1484" s="48">
        <f>IFERROR(MINUS(DIVIDE(VLOOKUP($B1484,Data!$B$3:$EZ1530,9,FALSE),VLOOKUP($B1484,Data!$B$3:$EZ1530,10,FALSE)),1),"")</f>
        <v>0.3105898468</v>
      </c>
      <c r="J1484" s="48" t="str">
        <f>IFERROR(MINUS(DIVIDE(VLOOKUP($B1484,Data!$B$3:$EZ1530,24,FALSE),VLOOKUP($B1484,Data!$B$3:$EZ1530,25,FALSE)),1),"")</f>
        <v/>
      </c>
      <c r="K1484" s="48">
        <f>IFERROR(MINUS(DIVIDE(VLOOKUP($B1484,Data!$B$3:$EZ1530,29,FALSE),VLOOKUP($B1484,Data!$B$3:$EZ1530,30,FALSE)),1),"")</f>
        <v>-0.04307463795</v>
      </c>
      <c r="L1484" s="48">
        <f>IFERROR(MINUS(DIVIDE(VLOOKUP($B1484,Data!$B$3:$EZ1530,34,FALSE),VLOOKUP($B1484,Data!$B$3:$EZ1530,35,FALSE)),1),"")</f>
        <v>0.1295518207</v>
      </c>
      <c r="M1484" s="48">
        <f>IFERROR(MINUS(DIVIDE(VLOOKUP($B1484,Data!$B$3:$EZ1530,39,FALSE),VLOOKUP($B1484,Data!$B$3:$EZ1530,40,FALSE)),1),"")</f>
        <v>-0.05709023941</v>
      </c>
      <c r="N1484" s="48">
        <f>IFERROR(MINUS(DIVIDE(VLOOKUP($B1484,Data!$B$3:$EZ1530,44,FALSE),VLOOKUP($B1484,Data!$B$3:$EZ1530,45,FALSE)),1),"")</f>
        <v>-0.004900696415</v>
      </c>
      <c r="O1484" s="50">
        <f>IFERROR(VLOOKUP($B1484,Data!$B$3:$D1530,2,FALSE),"")</f>
        <v>272110</v>
      </c>
      <c r="P1484" s="50">
        <f>IFERROR(VLOOKUP($B1484,Data!$B$3:$D1530,3,FALSE),"")</f>
        <v>245870</v>
      </c>
      <c r="Q1484" s="48">
        <f t="shared" si="2"/>
        <v>0.106723065</v>
      </c>
      <c r="R1484" s="48"/>
      <c r="S1484" s="48"/>
      <c r="T1484" s="48"/>
      <c r="U1484" s="48"/>
      <c r="V1484" s="48"/>
      <c r="W1484" s="50"/>
      <c r="Z1484" s="15"/>
      <c r="AA1484" s="15"/>
    </row>
    <row r="1485">
      <c r="A1485" s="9">
        <f t="shared" si="1"/>
        <v>1482</v>
      </c>
      <c r="B1485" s="47" t="s">
        <v>1619</v>
      </c>
      <c r="C1485" s="48">
        <f>IFERROR(DIVIDE(VLOOKUP($B1485,Data!$B$3:$AB$1535,9,FALSE),VLOOKUP($B1485,Data!$B$3:$AB$1535,4,FALSE)),"")</f>
        <v>0.2707063868</v>
      </c>
      <c r="D1485" s="48">
        <f>IFERROR(DIVIDE(VLOOKUP($B1485,Data!$B$3:$AB$1535,24,FALSE),VLOOKUP($B1485,Data!$B$3:$AB$1535,4,FALSE)),"")</f>
        <v>0.0211238998</v>
      </c>
      <c r="E1485" s="48">
        <f>IFERROR(DIVIDE(VLOOKUP($B1485,Data!$B$3:$EZ1530,29,FALSE),VLOOKUP($B1485,Data!$B$3:$EZ1530,4,FALSE)),"")</f>
        <v>0.01051681336</v>
      </c>
      <c r="F1485" s="48">
        <f>IFERROR(DIVIDE(VLOOKUP($B1485,Data!$B$3:$EZ1530,34,FALSE),VLOOKUP($B1485,Data!$B$3:$EZ1530,4,FALSE)),"")</f>
        <v>0.05831640713</v>
      </c>
      <c r="G1485" s="48">
        <f>IFERROR(DIVIDE(VLOOKUP($B1485,Data!$B$3:$EZ1530,39,FALSE),VLOOKUP($B1485,Data!$B$3:$EZ1530,4,FALSE)),"")</f>
        <v>0.0109230422</v>
      </c>
      <c r="H1485" s="48">
        <f>IFERROR(DIVIDE(VLOOKUP($B1485,Data!$B$3:$EZ1530,44,FALSE),VLOOKUP($B1485,Data!$B$3:$EZ1530,4,FALSE)),"")</f>
        <v>0.02622432859</v>
      </c>
      <c r="I1485" s="48">
        <f>IFERROR(MINUS(DIVIDE(VLOOKUP($B1485,Data!$B$3:$EZ1530,9,FALSE),VLOOKUP($B1485,Data!$B$3:$EZ1530,10,FALSE)),1),"")</f>
        <v>0.3801633874</v>
      </c>
      <c r="J1485" s="48" t="str">
        <f>IFERROR(MINUS(DIVIDE(VLOOKUP($B1485,Data!$B$3:$EZ1530,24,FALSE),VLOOKUP($B1485,Data!$B$3:$EZ1530,25,FALSE)),1),"")</f>
        <v/>
      </c>
      <c r="K1485" s="48">
        <f>IFERROR(MINUS(DIVIDE(VLOOKUP($B1485,Data!$B$3:$EZ1530,29,FALSE),VLOOKUP($B1485,Data!$B$3:$EZ1530,30,FALSE)),1),"")</f>
        <v>-0.6167763158</v>
      </c>
      <c r="L1485" s="48">
        <f>IFERROR(MINUS(DIVIDE(VLOOKUP($B1485,Data!$B$3:$EZ1530,34,FALSE),VLOOKUP($B1485,Data!$B$3:$EZ1530,35,FALSE)),1),"")</f>
        <v>0.3614330875</v>
      </c>
      <c r="M1485" s="48">
        <f>IFERROR(MINUS(DIVIDE(VLOOKUP($B1485,Data!$B$3:$EZ1530,39,FALSE),VLOOKUP($B1485,Data!$B$3:$EZ1530,40,FALSE)),1),"")</f>
        <v>-0.517447657</v>
      </c>
      <c r="N1485" s="48">
        <f>IFERROR(MINUS(DIVIDE(VLOOKUP($B1485,Data!$B$3:$EZ1530,44,FALSE),VLOOKUP($B1485,Data!$B$3:$EZ1530,45,FALSE)),1),"")</f>
        <v>0.535006605</v>
      </c>
      <c r="O1485" s="50">
        <f>IFERROR(VLOOKUP($B1485,Data!$B$3:$D1530,2,FALSE),"")</f>
        <v>217070</v>
      </c>
      <c r="P1485" s="50">
        <f>IFERROR(VLOOKUP($B1485,Data!$B$3:$D1530,3,FALSE),"")</f>
        <v>194390</v>
      </c>
      <c r="Q1485" s="48">
        <f t="shared" si="2"/>
        <v>0.1166726683</v>
      </c>
      <c r="R1485" s="48"/>
      <c r="S1485" s="48"/>
      <c r="T1485" s="48"/>
      <c r="U1485" s="48"/>
      <c r="V1485" s="48"/>
      <c r="W1485" s="50"/>
      <c r="Z1485" s="12"/>
      <c r="AA1485" s="12"/>
    </row>
    <row r="1486">
      <c r="A1486" s="9">
        <f t="shared" si="1"/>
        <v>1483</v>
      </c>
      <c r="B1486" s="47" t="s">
        <v>1620</v>
      </c>
      <c r="C1486" s="48">
        <f>IFERROR(DIVIDE(VLOOKUP($B1486,Data!$B$3:$AB$1535,9,FALSE),VLOOKUP($B1486,Data!$B$3:$AB$1535,4,FALSE)),"")</f>
        <v>0.1416256158</v>
      </c>
      <c r="D1486" s="48">
        <f>IFERROR(DIVIDE(VLOOKUP($B1486,Data!$B$3:$AB$1535,24,FALSE),VLOOKUP($B1486,Data!$B$3:$AB$1535,4,FALSE)),"")</f>
        <v>0.08078817734</v>
      </c>
      <c r="E1486" s="48">
        <f>IFERROR(DIVIDE(VLOOKUP($B1486,Data!$B$3:$EZ1530,29,FALSE),VLOOKUP($B1486,Data!$B$3:$EZ1530,4,FALSE)),"")</f>
        <v>0.07019704433</v>
      </c>
      <c r="F1486" s="48">
        <f>IFERROR(DIVIDE(VLOOKUP($B1486,Data!$B$3:$EZ1530,34,FALSE),VLOOKUP($B1486,Data!$B$3:$EZ1530,4,FALSE)),"")</f>
        <v>0.1736453202</v>
      </c>
      <c r="G1486" s="48">
        <f>IFERROR(DIVIDE(VLOOKUP($B1486,Data!$B$3:$EZ1530,39,FALSE),VLOOKUP($B1486,Data!$B$3:$EZ1530,4,FALSE)),"")</f>
        <v>0.05160098522</v>
      </c>
      <c r="H1486" s="48">
        <f>IFERROR(DIVIDE(VLOOKUP($B1486,Data!$B$3:$EZ1530,44,FALSE),VLOOKUP($B1486,Data!$B$3:$EZ1530,4,FALSE)),"")</f>
        <v>0.1600985222</v>
      </c>
      <c r="I1486" s="48">
        <f>IFERROR(MINUS(DIVIDE(VLOOKUP($B1486,Data!$B$3:$EZ1530,9,FALSE),VLOOKUP($B1486,Data!$B$3:$EZ1530,10,FALSE)),1),"")</f>
        <v>-0.3915343915</v>
      </c>
      <c r="J1486" s="48">
        <f>IFERROR(MINUS(DIVIDE(VLOOKUP($B1486,Data!$B$3:$EZ1530,24,FALSE),VLOOKUP($B1486,Data!$B$3:$EZ1530,25,FALSE)),1),"")</f>
        <v>-0.534751773</v>
      </c>
      <c r="K1486" s="48">
        <f>IFERROR(MINUS(DIVIDE(VLOOKUP($B1486,Data!$B$3:$EZ1530,29,FALSE),VLOOKUP($B1486,Data!$B$3:$EZ1530,30,FALSE)),1),"")</f>
        <v>-0.5714285714</v>
      </c>
      <c r="L1486" s="48">
        <f>IFERROR(MINUS(DIVIDE(VLOOKUP($B1486,Data!$B$3:$EZ1530,34,FALSE),VLOOKUP($B1486,Data!$B$3:$EZ1530,35,FALSE)),1),"")</f>
        <v>-0.3221153846</v>
      </c>
      <c r="M1486" s="48">
        <f>IFERROR(MINUS(DIVIDE(VLOOKUP($B1486,Data!$B$3:$EZ1530,39,FALSE),VLOOKUP($B1486,Data!$B$3:$EZ1530,40,FALSE)),1),"")</f>
        <v>-0.5771947528</v>
      </c>
      <c r="N1486" s="48">
        <f>IFERROR(MINUS(DIVIDE(VLOOKUP($B1486,Data!$B$3:$EZ1530,44,FALSE),VLOOKUP($B1486,Data!$B$3:$EZ1530,45,FALSE)),1),"")</f>
        <v>-0.0780141844</v>
      </c>
      <c r="O1486" s="50">
        <f>IFERROR(VLOOKUP($B1486,Data!$B$3:$D1530,2,FALSE),"")</f>
        <v>7610000</v>
      </c>
      <c r="P1486" s="50">
        <f>IFERROR(VLOOKUP($B1486,Data!$B$3:$D1530,3,FALSE),"")</f>
        <v>7180000</v>
      </c>
      <c r="Q1486" s="48">
        <f t="shared" si="2"/>
        <v>0.05988857939</v>
      </c>
      <c r="R1486" s="48"/>
      <c r="S1486" s="48"/>
      <c r="T1486" s="48"/>
      <c r="U1486" s="48"/>
      <c r="V1486" s="48"/>
      <c r="W1486" s="50"/>
      <c r="Z1486" s="15"/>
      <c r="AA1486" s="15"/>
    </row>
    <row r="1487">
      <c r="A1487" s="9">
        <f t="shared" si="1"/>
        <v>1484</v>
      </c>
      <c r="B1487" s="47" t="s">
        <v>1621</v>
      </c>
      <c r="C1487" s="48">
        <f>IFERROR(DIVIDE(VLOOKUP($B1487,Data!$B$3:$AB$1535,9,FALSE),VLOOKUP($B1487,Data!$B$3:$AB$1535,4,FALSE)),"")</f>
        <v>0.3503944954</v>
      </c>
      <c r="D1487" s="48">
        <f>IFERROR(DIVIDE(VLOOKUP($B1487,Data!$B$3:$AB$1535,24,FALSE),VLOOKUP($B1487,Data!$B$3:$AB$1535,4,FALSE)),"")</f>
        <v>0.3212385321</v>
      </c>
      <c r="E1487" s="48">
        <f>IFERROR(DIVIDE(VLOOKUP($B1487,Data!$B$3:$EZ1530,29,FALSE),VLOOKUP($B1487,Data!$B$3:$EZ1530,4,FALSE)),"")</f>
        <v>0.3060733945</v>
      </c>
      <c r="F1487" s="48">
        <f>IFERROR(DIVIDE(VLOOKUP($B1487,Data!$B$3:$EZ1530,34,FALSE),VLOOKUP($B1487,Data!$B$3:$EZ1530,4,FALSE)),"")</f>
        <v>0.4219908257</v>
      </c>
      <c r="G1487" s="48">
        <f>IFERROR(DIVIDE(VLOOKUP($B1487,Data!$B$3:$EZ1530,39,FALSE),VLOOKUP($B1487,Data!$B$3:$EZ1530,4,FALSE)),"")</f>
        <v>0.05594495413</v>
      </c>
      <c r="H1487" s="48">
        <f>IFERROR(DIVIDE(VLOOKUP($B1487,Data!$B$3:$EZ1530,44,FALSE),VLOOKUP($B1487,Data!$B$3:$EZ1530,4,FALSE)),"")</f>
        <v>0.413587156</v>
      </c>
      <c r="I1487" s="48">
        <f>IFERROR(MINUS(DIVIDE(VLOOKUP($B1487,Data!$B$3:$EZ1530,9,FALSE),VLOOKUP($B1487,Data!$B$3:$EZ1530,10,FALSE)),1),"")</f>
        <v>0.0126471524</v>
      </c>
      <c r="J1487" s="48" t="str">
        <f>IFERROR(MINUS(DIVIDE(VLOOKUP($B1487,Data!$B$3:$EZ1530,24,FALSE),VLOOKUP($B1487,Data!$B$3:$EZ1530,25,FALSE)),1),"")</f>
        <v/>
      </c>
      <c r="K1487" s="48">
        <f>IFERROR(MINUS(DIVIDE(VLOOKUP($B1487,Data!$B$3:$EZ1530,29,FALSE),VLOOKUP($B1487,Data!$B$3:$EZ1530,30,FALSE)),1),"")</f>
        <v>0.009165431501</v>
      </c>
      <c r="L1487" s="48">
        <f>IFERROR(MINUS(DIVIDE(VLOOKUP($B1487,Data!$B$3:$EZ1530,34,FALSE),VLOOKUP($B1487,Data!$B$3:$EZ1530,35,FALSE)),1),"")</f>
        <v>0.003403067123</v>
      </c>
      <c r="M1487" s="48">
        <f>IFERROR(MINUS(DIVIDE(VLOOKUP($B1487,Data!$B$3:$EZ1530,39,FALSE),VLOOKUP($B1487,Data!$B$3:$EZ1530,40,FALSE)),1),"")</f>
        <v>0.2356636272</v>
      </c>
      <c r="N1487" s="48">
        <f>IFERROR(MINUS(DIVIDE(VLOOKUP($B1487,Data!$B$3:$EZ1530,44,FALSE),VLOOKUP($B1487,Data!$B$3:$EZ1530,45,FALSE)),1),"")</f>
        <v>0.03361228935</v>
      </c>
      <c r="O1487" s="50">
        <f>IFERROR(VLOOKUP($B1487,Data!$B$3:$D1530,2,FALSE),"")</f>
        <v>1200000</v>
      </c>
      <c r="P1487" s="50">
        <f>IFERROR(VLOOKUP($B1487,Data!$B$3:$D1530,3,FALSE),"")</f>
        <v>1140000</v>
      </c>
      <c r="Q1487" s="48">
        <f t="shared" si="2"/>
        <v>0.05263157895</v>
      </c>
      <c r="R1487" s="48"/>
      <c r="S1487" s="48"/>
      <c r="T1487" s="48"/>
      <c r="U1487" s="48"/>
      <c r="V1487" s="48"/>
      <c r="W1487" s="50"/>
      <c r="Z1487" s="12"/>
      <c r="AA1487" s="12"/>
    </row>
    <row r="1488">
      <c r="A1488" s="9">
        <f t="shared" si="1"/>
        <v>1485</v>
      </c>
      <c r="B1488" s="47" t="s">
        <v>1622</v>
      </c>
      <c r="C1488" s="48">
        <f>IFERROR(DIVIDE(VLOOKUP($B1488,Data!$B$3:$AB$1535,9,FALSE),VLOOKUP($B1488,Data!$B$3:$AB$1535,4,FALSE)),"")</f>
        <v>0.2777937853</v>
      </c>
      <c r="D1488" s="48">
        <f>IFERROR(DIVIDE(VLOOKUP($B1488,Data!$B$3:$AB$1535,24,FALSE),VLOOKUP($B1488,Data!$B$3:$AB$1535,4,FALSE)),"")</f>
        <v>0.02446610169</v>
      </c>
      <c r="E1488" s="48">
        <f>IFERROR(DIVIDE(VLOOKUP($B1488,Data!$B$3:$EZ1530,29,FALSE),VLOOKUP($B1488,Data!$B$3:$EZ1530,4,FALSE)),"")</f>
        <v>0.02503954802</v>
      </c>
      <c r="F1488" s="48">
        <f>IFERROR(DIVIDE(VLOOKUP($B1488,Data!$B$3:$EZ1530,34,FALSE),VLOOKUP($B1488,Data!$B$3:$EZ1530,4,FALSE)),"")</f>
        <v>0.05038135593</v>
      </c>
      <c r="G1488" s="48">
        <f>IFERROR(DIVIDE(VLOOKUP($B1488,Data!$B$3:$EZ1530,39,FALSE),VLOOKUP($B1488,Data!$B$3:$EZ1530,4,FALSE)),"")</f>
        <v>0.01920338983</v>
      </c>
      <c r="H1488" s="48">
        <f>IFERROR(DIVIDE(VLOOKUP($B1488,Data!$B$3:$EZ1530,44,FALSE),VLOOKUP($B1488,Data!$B$3:$EZ1530,4,FALSE)),"")</f>
        <v>0.0485</v>
      </c>
      <c r="I1488" s="48">
        <f>IFERROR(MINUS(DIVIDE(VLOOKUP($B1488,Data!$B$3:$EZ1530,9,FALSE),VLOOKUP($B1488,Data!$B$3:$EZ1530,10,FALSE)),1),"")</f>
        <v>0.01023186053</v>
      </c>
      <c r="J1488" s="48">
        <f>IFERROR(MINUS(DIVIDE(VLOOKUP($B1488,Data!$B$3:$EZ1530,24,FALSE),VLOOKUP($B1488,Data!$B$3:$EZ1530,25,FALSE)),1),"")</f>
        <v>-1604.888889</v>
      </c>
      <c r="K1488" s="48">
        <f>IFERROR(MINUS(DIVIDE(VLOOKUP($B1488,Data!$B$3:$EZ1530,29,FALSE),VLOOKUP($B1488,Data!$B$3:$EZ1530,30,FALSE)),1),"")</f>
        <v>0.07913318724</v>
      </c>
      <c r="L1488" s="48">
        <f>IFERROR(MINUS(DIVIDE(VLOOKUP($B1488,Data!$B$3:$EZ1530,34,FALSE),VLOOKUP($B1488,Data!$B$3:$EZ1530,35,FALSE)),1),"")</f>
        <v>0.006717091894</v>
      </c>
      <c r="M1488" s="48">
        <f>IFERROR(MINUS(DIVIDE(VLOOKUP($B1488,Data!$B$3:$EZ1530,39,FALSE),VLOOKUP($B1488,Data!$B$3:$EZ1530,40,FALSE)),1),"")</f>
        <v>0.08351928594</v>
      </c>
      <c r="N1488" s="48">
        <f>IFERROR(MINUS(DIVIDE(VLOOKUP($B1488,Data!$B$3:$EZ1530,44,FALSE),VLOOKUP($B1488,Data!$B$3:$EZ1530,45,FALSE)),1),"")</f>
        <v>0.1570966438</v>
      </c>
      <c r="O1488" s="50" t="str">
        <f>IFERROR(VLOOKUP($B1488,Data!$B$3:$D1530,2,FALSE),"")</f>
        <v/>
      </c>
      <c r="P1488" s="50" t="str">
        <f>IFERROR(VLOOKUP($B1488,Data!$B$3:$D1530,3,FALSE),"")</f>
        <v/>
      </c>
      <c r="Q1488" s="48" t="str">
        <f t="shared" si="2"/>
        <v/>
      </c>
      <c r="R1488" s="48"/>
      <c r="S1488" s="48"/>
      <c r="T1488" s="48"/>
      <c r="U1488" s="48"/>
      <c r="V1488" s="48"/>
      <c r="W1488" s="50"/>
      <c r="Z1488" s="15"/>
      <c r="AA1488" s="15"/>
    </row>
    <row r="1489">
      <c r="A1489" s="9">
        <f t="shared" si="1"/>
        <v>1486</v>
      </c>
      <c r="B1489" s="47" t="s">
        <v>1623</v>
      </c>
      <c r="C1489" s="48">
        <f>IFERROR(DIVIDE(VLOOKUP($B1489,Data!$B$3:$AB$1535,9,FALSE),VLOOKUP($B1489,Data!$B$3:$AB$1535,4,FALSE)),"")</f>
        <v>0.2468890755</v>
      </c>
      <c r="D1489" s="48">
        <f>IFERROR(DIVIDE(VLOOKUP($B1489,Data!$B$3:$AB$1535,24,FALSE),VLOOKUP($B1489,Data!$B$3:$AB$1535,4,FALSE)),"")</f>
        <v>0.04299946561</v>
      </c>
      <c r="E1489" s="48">
        <f>IFERROR(DIVIDE(VLOOKUP($B1489,Data!$B$3:$EZ1530,29,FALSE),VLOOKUP($B1489,Data!$B$3:$EZ1530,4,FALSE)),"")</f>
        <v>0.03839987785</v>
      </c>
      <c r="F1489" s="48">
        <f>IFERROR(DIVIDE(VLOOKUP($B1489,Data!$B$3:$EZ1530,34,FALSE),VLOOKUP($B1489,Data!$B$3:$EZ1530,4,FALSE)),"")</f>
        <v>0.06195129399</v>
      </c>
      <c r="G1489" s="48">
        <f>IFERROR(DIVIDE(VLOOKUP($B1489,Data!$B$3:$EZ1530,39,FALSE),VLOOKUP($B1489,Data!$B$3:$EZ1530,4,FALSE)),"")</f>
        <v>0.02839911444</v>
      </c>
      <c r="H1489" s="48">
        <f>IFERROR(DIVIDE(VLOOKUP($B1489,Data!$B$3:$EZ1530,44,FALSE),VLOOKUP($B1489,Data!$B$3:$EZ1530,4,FALSE)),"")</f>
        <v>0.04820978701</v>
      </c>
      <c r="I1489" s="48">
        <f>IFERROR(MINUS(DIVIDE(VLOOKUP($B1489,Data!$B$3:$EZ1530,9,FALSE),VLOOKUP($B1489,Data!$B$3:$EZ1530,10,FALSE)),1),"")</f>
        <v>0.00201394268</v>
      </c>
      <c r="J1489" s="48">
        <f>IFERROR(MINUS(DIVIDE(VLOOKUP($B1489,Data!$B$3:$EZ1530,24,FALSE),VLOOKUP($B1489,Data!$B$3:$EZ1530,25,FALSE)),1),"")</f>
        <v>0.6578366446</v>
      </c>
      <c r="K1489" s="48">
        <f>IFERROR(MINUS(DIVIDE(VLOOKUP($B1489,Data!$B$3:$EZ1530,29,FALSE),VLOOKUP($B1489,Data!$B$3:$EZ1530,30,FALSE)),1),"")</f>
        <v>0.7556719023</v>
      </c>
      <c r="L1489" s="48">
        <f>IFERROR(MINUS(DIVIDE(VLOOKUP($B1489,Data!$B$3:$EZ1530,34,FALSE),VLOOKUP($B1489,Data!$B$3:$EZ1530,35,FALSE)),1),"")</f>
        <v>-0.04078014184</v>
      </c>
      <c r="M1489" s="48">
        <f>IFERROR(MINUS(DIVIDE(VLOOKUP($B1489,Data!$B$3:$EZ1530,39,FALSE),VLOOKUP($B1489,Data!$B$3:$EZ1530,40,FALSE)),1),"")</f>
        <v>1.230884558</v>
      </c>
      <c r="N1489" s="48">
        <f>IFERROR(MINUS(DIVIDE(VLOOKUP($B1489,Data!$B$3:$EZ1530,44,FALSE),VLOOKUP($B1489,Data!$B$3:$EZ1530,45,FALSE)),1),"")</f>
        <v>-0.08972972973</v>
      </c>
      <c r="O1489" s="50">
        <f>IFERROR(VLOOKUP($B1489,Data!$B$3:$D1530,2,FALSE),"")</f>
        <v>556250000</v>
      </c>
      <c r="P1489" s="50">
        <f>IFERROR(VLOOKUP($B1489,Data!$B$3:$D1530,3,FALSE),"")</f>
        <v>547070000</v>
      </c>
      <c r="Q1489" s="48">
        <f t="shared" si="2"/>
        <v>0.01678030234</v>
      </c>
      <c r="R1489" s="48"/>
      <c r="S1489" s="48"/>
      <c r="T1489" s="48"/>
      <c r="U1489" s="48"/>
      <c r="V1489" s="48"/>
      <c r="W1489" s="50"/>
      <c r="Z1489" s="15"/>
      <c r="AA1489" s="15"/>
    </row>
    <row r="1490">
      <c r="A1490" s="9">
        <f t="shared" si="1"/>
        <v>1487</v>
      </c>
      <c r="B1490" s="47" t="s">
        <v>1624</v>
      </c>
      <c r="C1490" s="48">
        <f>IFERROR(DIVIDE(VLOOKUP($B1490,Data!$B$3:$AB$1535,9,FALSE),VLOOKUP($B1490,Data!$B$3:$AB$1535,4,FALSE)),"")</f>
        <v>0.1448823529</v>
      </c>
      <c r="D1490" s="48">
        <f>IFERROR(DIVIDE(VLOOKUP($B1490,Data!$B$3:$AB$1535,24,FALSE),VLOOKUP($B1490,Data!$B$3:$AB$1535,4,FALSE)),"")</f>
        <v>0.006032679739</v>
      </c>
      <c r="E1490" s="48">
        <f>IFERROR(DIVIDE(VLOOKUP($B1490,Data!$B$3:$EZ1530,29,FALSE),VLOOKUP($B1490,Data!$B$3:$EZ1530,4,FALSE)),"")</f>
        <v>0.03620588235</v>
      </c>
      <c r="F1490" s="48">
        <f>IFERROR(DIVIDE(VLOOKUP($B1490,Data!$B$3:$EZ1530,34,FALSE),VLOOKUP($B1490,Data!$B$3:$EZ1530,4,FALSE)),"")</f>
        <v>0.06794444444</v>
      </c>
      <c r="G1490" s="48">
        <f>IFERROR(DIVIDE(VLOOKUP($B1490,Data!$B$3:$EZ1530,39,FALSE),VLOOKUP($B1490,Data!$B$3:$EZ1530,4,FALSE)),"")</f>
        <v>0.02575163399</v>
      </c>
      <c r="H1490" s="48">
        <f>IFERROR(DIVIDE(VLOOKUP($B1490,Data!$B$3:$EZ1530,44,FALSE),VLOOKUP($B1490,Data!$B$3:$EZ1530,4,FALSE)),"")</f>
        <v>0.1100424837</v>
      </c>
      <c r="I1490" s="48">
        <f>IFERROR(MINUS(DIVIDE(VLOOKUP($B1490,Data!$B$3:$EZ1530,9,FALSE),VLOOKUP($B1490,Data!$B$3:$EZ1530,10,FALSE)),1),"")</f>
        <v>-0.07890800299</v>
      </c>
      <c r="J1490" s="48">
        <f>IFERROR(MINUS(DIVIDE(VLOOKUP($B1490,Data!$B$3:$EZ1530,24,FALSE),VLOOKUP($B1490,Data!$B$3:$EZ1530,25,FALSE)),1),"")</f>
        <v>-0.8656575213</v>
      </c>
      <c r="K1490" s="48">
        <f>IFERROR(MINUS(DIVIDE(VLOOKUP($B1490,Data!$B$3:$EZ1530,29,FALSE),VLOOKUP($B1490,Data!$B$3:$EZ1530,30,FALSE)),1),"")</f>
        <v>-0.4633827376</v>
      </c>
      <c r="L1490" s="48">
        <f>IFERROR(MINUS(DIVIDE(VLOOKUP($B1490,Data!$B$3:$EZ1530,34,FALSE),VLOOKUP($B1490,Data!$B$3:$EZ1530,35,FALSE)),1),"")</f>
        <v>-0.1283695971</v>
      </c>
      <c r="M1490" s="48">
        <f>IFERROR(MINUS(DIVIDE(VLOOKUP($B1490,Data!$B$3:$EZ1530,39,FALSE),VLOOKUP($B1490,Data!$B$3:$EZ1530,40,FALSE)),1),"")</f>
        <v>-0.486511143</v>
      </c>
      <c r="N1490" s="48">
        <f>IFERROR(MINUS(DIVIDE(VLOOKUP($B1490,Data!$B$3:$EZ1530,44,FALSE),VLOOKUP($B1490,Data!$B$3:$EZ1530,45,FALSE)),1),"")</f>
        <v>0.7018599009</v>
      </c>
      <c r="O1490" s="50">
        <f>IFERROR(VLOOKUP($B1490,Data!$B$3:$D1530,2,FALSE),"")</f>
        <v>3070000</v>
      </c>
      <c r="P1490" s="50">
        <f>IFERROR(VLOOKUP($B1490,Data!$B$3:$D1530,3,FALSE),"")</f>
        <v>2770000</v>
      </c>
      <c r="Q1490" s="48">
        <f t="shared" si="2"/>
        <v>0.1083032491</v>
      </c>
      <c r="R1490" s="48"/>
      <c r="S1490" s="48"/>
      <c r="T1490" s="48"/>
      <c r="U1490" s="48"/>
      <c r="V1490" s="48"/>
      <c r="W1490" s="50"/>
      <c r="Z1490" s="15"/>
      <c r="AA1490" s="15"/>
    </row>
    <row r="1491">
      <c r="A1491" s="9">
        <f t="shared" si="1"/>
        <v>1488</v>
      </c>
      <c r="B1491" s="47" t="s">
        <v>1625</v>
      </c>
      <c r="C1491" s="48">
        <f>IFERROR(DIVIDE(VLOOKUP($B1491,Data!$B$3:$AB$1535,9,FALSE),VLOOKUP($B1491,Data!$B$3:$AB$1535,4,FALSE)),"")</f>
        <v>0.4004473684</v>
      </c>
      <c r="D1491" s="48">
        <f>IFERROR(DIVIDE(VLOOKUP($B1491,Data!$B$3:$AB$1535,24,FALSE),VLOOKUP($B1491,Data!$B$3:$AB$1535,4,FALSE)),"")</f>
        <v>0.1463859649</v>
      </c>
      <c r="E1491" s="48">
        <f>IFERROR(DIVIDE(VLOOKUP($B1491,Data!$B$3:$EZ1530,29,FALSE),VLOOKUP($B1491,Data!$B$3:$EZ1530,4,FALSE)),"")</f>
        <v>0.08989473684</v>
      </c>
      <c r="F1491" s="48">
        <f>IFERROR(DIVIDE(VLOOKUP($B1491,Data!$B$3:$EZ1530,34,FALSE),VLOOKUP($B1491,Data!$B$3:$EZ1530,4,FALSE)),"")</f>
        <v>0.6437982456</v>
      </c>
      <c r="G1491" s="48">
        <f>IFERROR(DIVIDE(VLOOKUP($B1491,Data!$B$3:$EZ1530,39,FALSE),VLOOKUP($B1491,Data!$B$3:$EZ1530,4,FALSE)),"")</f>
        <v>0.1002631579</v>
      </c>
      <c r="H1491" s="48">
        <f>IFERROR(DIVIDE(VLOOKUP($B1491,Data!$B$3:$EZ1530,44,FALSE),VLOOKUP($B1491,Data!$B$3:$EZ1530,4,FALSE)),"")</f>
        <v>0.5839298246</v>
      </c>
      <c r="I1491" s="48">
        <f>IFERROR(MINUS(DIVIDE(VLOOKUP($B1491,Data!$B$3:$EZ1530,9,FALSE),VLOOKUP($B1491,Data!$B$3:$EZ1530,10,FALSE)),1),"")</f>
        <v>0.1944270016</v>
      </c>
      <c r="J1491" s="48">
        <f>IFERROR(MINUS(DIVIDE(VLOOKUP($B1491,Data!$B$3:$EZ1530,24,FALSE),VLOOKUP($B1491,Data!$B$3:$EZ1530,25,FALSE)),1),"")</f>
        <v>-0.4726330426</v>
      </c>
      <c r="K1491" s="48">
        <f>IFERROR(MINUS(DIVIDE(VLOOKUP($B1491,Data!$B$3:$EZ1530,29,FALSE),VLOOKUP($B1491,Data!$B$3:$EZ1530,30,FALSE)),1),"")</f>
        <v>-0.821690185</v>
      </c>
      <c r="L1491" s="48">
        <f>IFERROR(MINUS(DIVIDE(VLOOKUP($B1491,Data!$B$3:$EZ1530,34,FALSE),VLOOKUP($B1491,Data!$B$3:$EZ1530,35,FALSE)),1),"")</f>
        <v>0.1319442302</v>
      </c>
      <c r="M1491" s="48">
        <f>IFERROR(MINUS(DIVIDE(VLOOKUP($B1491,Data!$B$3:$EZ1530,39,FALSE),VLOOKUP($B1491,Data!$B$3:$EZ1530,40,FALSE)),1),"")</f>
        <v>-0.793533237</v>
      </c>
      <c r="N1491" s="48">
        <f>IFERROR(MINUS(DIVIDE(VLOOKUP($B1491,Data!$B$3:$EZ1530,44,FALSE),VLOOKUP($B1491,Data!$B$3:$EZ1530,45,FALSE)),1),"")</f>
        <v>0.07558571659</v>
      </c>
      <c r="O1491" s="50">
        <f>IFERROR(VLOOKUP($B1491,Data!$B$3:$D1530,2,FALSE),"")</f>
        <v>1120000</v>
      </c>
      <c r="P1491" s="50">
        <f>IFERROR(VLOOKUP($B1491,Data!$B$3:$D1530,3,FALSE),"")</f>
        <v>999820</v>
      </c>
      <c r="Q1491" s="48">
        <f t="shared" si="2"/>
        <v>0.1202016363</v>
      </c>
      <c r="R1491" s="48"/>
      <c r="S1491" s="48"/>
      <c r="T1491" s="48"/>
      <c r="U1491" s="48"/>
      <c r="V1491" s="48"/>
      <c r="W1491" s="50"/>
      <c r="Z1491" s="15"/>
      <c r="AA1491" s="15"/>
    </row>
    <row r="1492">
      <c r="A1492" s="9">
        <f t="shared" si="1"/>
        <v>1489</v>
      </c>
      <c r="B1492" s="47" t="s">
        <v>1626</v>
      </c>
      <c r="C1492" s="48">
        <f>IFERROR(DIVIDE(VLOOKUP($B1492,Data!$B$3:$AB$1535,9,FALSE),VLOOKUP($B1492,Data!$B$3:$AB$1535,4,FALSE)),"")</f>
        <v>0.3627118644</v>
      </c>
      <c r="D1492" s="48">
        <f>IFERROR(DIVIDE(VLOOKUP($B1492,Data!$B$3:$AB$1535,24,FALSE),VLOOKUP($B1492,Data!$B$3:$AB$1535,4,FALSE)),"")</f>
        <v>0.07885932203</v>
      </c>
      <c r="E1492" s="48">
        <f>IFERROR(DIVIDE(VLOOKUP($B1492,Data!$B$3:$EZ1530,29,FALSE),VLOOKUP($B1492,Data!$B$3:$EZ1530,4,FALSE)),"")</f>
        <v>0.07746101695</v>
      </c>
      <c r="F1492" s="48">
        <f>IFERROR(DIVIDE(VLOOKUP($B1492,Data!$B$3:$EZ1530,34,FALSE),VLOOKUP($B1492,Data!$B$3:$EZ1530,4,FALSE)),"")</f>
        <v>0.1529169492</v>
      </c>
      <c r="G1492" s="48">
        <f>IFERROR(DIVIDE(VLOOKUP($B1492,Data!$B$3:$EZ1530,39,FALSE),VLOOKUP($B1492,Data!$B$3:$EZ1530,4,FALSE)),"")</f>
        <v>0.06034915254</v>
      </c>
      <c r="H1492" s="48">
        <f>IFERROR(DIVIDE(VLOOKUP($B1492,Data!$B$3:$EZ1530,44,FALSE),VLOOKUP($B1492,Data!$B$3:$EZ1530,4,FALSE)),"")</f>
        <v>0.141279661</v>
      </c>
      <c r="I1492" s="48">
        <f>IFERROR(MINUS(DIVIDE(VLOOKUP($B1492,Data!$B$3:$EZ1530,9,FALSE),VLOOKUP($B1492,Data!$B$3:$EZ1530,10,FALSE)),1),"")</f>
        <v>0.01904761905</v>
      </c>
      <c r="J1492" s="48">
        <f>IFERROR(MINUS(DIVIDE(VLOOKUP($B1492,Data!$B$3:$EZ1530,24,FALSE),VLOOKUP($B1492,Data!$B$3:$EZ1530,25,FALSE)),1),"")</f>
        <v>0.06840727473</v>
      </c>
      <c r="K1492" s="48">
        <f>IFERROR(MINUS(DIVIDE(VLOOKUP($B1492,Data!$B$3:$EZ1530,29,FALSE),VLOOKUP($B1492,Data!$B$3:$EZ1530,30,FALSE)),1),"")</f>
        <v>0.06469423413</v>
      </c>
      <c r="L1492" s="48">
        <f>IFERROR(MINUS(DIVIDE(VLOOKUP($B1492,Data!$B$3:$EZ1530,34,FALSE),VLOOKUP($B1492,Data!$B$3:$EZ1530,35,FALSE)),1),"")</f>
        <v>0.3697658883</v>
      </c>
      <c r="M1492" s="48">
        <f>IFERROR(MINUS(DIVIDE(VLOOKUP($B1492,Data!$B$3:$EZ1530,39,FALSE),VLOOKUP($B1492,Data!$B$3:$EZ1530,40,FALSE)),1),"")</f>
        <v>0.06707024694</v>
      </c>
      <c r="N1492" s="48">
        <f>IFERROR(MINUS(DIVIDE(VLOOKUP($B1492,Data!$B$3:$EZ1530,44,FALSE),VLOOKUP($B1492,Data!$B$3:$EZ1530,45,FALSE)),1),"")</f>
        <v>0.4224645472</v>
      </c>
      <c r="O1492" s="50">
        <f>IFERROR(VLOOKUP($B1492,Data!$B$3:$D1530,2,FALSE),"")</f>
        <v>6130000</v>
      </c>
      <c r="P1492" s="50">
        <f>IFERROR(VLOOKUP($B1492,Data!$B$3:$D1530,3,FALSE),"")</f>
        <v>5960000</v>
      </c>
      <c r="Q1492" s="48">
        <f t="shared" si="2"/>
        <v>0.02852348993</v>
      </c>
      <c r="R1492" s="48"/>
      <c r="S1492" s="48"/>
      <c r="T1492" s="48"/>
      <c r="U1492" s="48"/>
      <c r="V1492" s="48"/>
      <c r="W1492" s="50"/>
      <c r="Z1492" s="15"/>
      <c r="AA1492" s="15"/>
    </row>
    <row r="1493">
      <c r="A1493" s="9">
        <f t="shared" si="1"/>
        <v>1490</v>
      </c>
      <c r="B1493" s="47" t="s">
        <v>1627</v>
      </c>
      <c r="C1493" s="48">
        <f>IFERROR(DIVIDE(VLOOKUP($B1493,Data!$B$3:$AB$1535,9,FALSE),VLOOKUP($B1493,Data!$B$3:$AB$1535,4,FALSE)),"")</f>
        <v>0.2368972746</v>
      </c>
      <c r="D1493" s="48">
        <f>IFERROR(DIVIDE(VLOOKUP($B1493,Data!$B$3:$AB$1535,24,FALSE),VLOOKUP($B1493,Data!$B$3:$AB$1535,4,FALSE)),"")</f>
        <v>0.07466457023</v>
      </c>
      <c r="E1493" s="48">
        <f>IFERROR(DIVIDE(VLOOKUP($B1493,Data!$B$3:$EZ1530,29,FALSE),VLOOKUP($B1493,Data!$B$3:$EZ1530,4,FALSE)),"")</f>
        <v>0.07606918239</v>
      </c>
      <c r="F1493" s="48">
        <f>IFERROR(DIVIDE(VLOOKUP($B1493,Data!$B$3:$EZ1530,34,FALSE),VLOOKUP($B1493,Data!$B$3:$EZ1530,4,FALSE)),"")</f>
        <v>0.07991614256</v>
      </c>
      <c r="G1493" s="48">
        <f>IFERROR(DIVIDE(VLOOKUP($B1493,Data!$B$3:$EZ1530,39,FALSE),VLOOKUP($B1493,Data!$B$3:$EZ1530,4,FALSE)),"")</f>
        <v>0.04728301887</v>
      </c>
      <c r="H1493" s="48">
        <f>IFERROR(DIVIDE(VLOOKUP($B1493,Data!$B$3:$EZ1530,44,FALSE),VLOOKUP($B1493,Data!$B$3:$EZ1530,4,FALSE)),"")</f>
        <v>0.07039203354</v>
      </c>
      <c r="I1493" s="48">
        <f>IFERROR(MINUS(DIVIDE(VLOOKUP($B1493,Data!$B$3:$EZ1530,9,FALSE),VLOOKUP($B1493,Data!$B$3:$EZ1530,10,FALSE)),1),"")</f>
        <v>0.02727272727</v>
      </c>
      <c r="J1493" s="48">
        <f>IFERROR(MINUS(DIVIDE(VLOOKUP($B1493,Data!$B$3:$EZ1530,24,FALSE),VLOOKUP($B1493,Data!$B$3:$EZ1530,25,FALSE)),1),"")</f>
        <v>-0.01776110759</v>
      </c>
      <c r="K1493" s="48">
        <f>IFERROR(MINUS(DIVIDE(VLOOKUP($B1493,Data!$B$3:$EZ1530,29,FALSE),VLOOKUP($B1493,Data!$B$3:$EZ1530,30,FALSE)),1),"")</f>
        <v>-0.01757188498</v>
      </c>
      <c r="L1493" s="48">
        <f>IFERROR(MINUS(DIVIDE(VLOOKUP($B1493,Data!$B$3:$EZ1530,34,FALSE),VLOOKUP($B1493,Data!$B$3:$EZ1530,35,FALSE)),1),"")</f>
        <v>-0.008711480952</v>
      </c>
      <c r="M1493" s="48">
        <f>IFERROR(MINUS(DIVIDE(VLOOKUP($B1493,Data!$B$3:$EZ1530,39,FALSE),VLOOKUP($B1493,Data!$B$3:$EZ1530,40,FALSE)),1),"")</f>
        <v>0.01075557946</v>
      </c>
      <c r="N1493" s="48">
        <f>IFERROR(MINUS(DIVIDE(VLOOKUP($B1493,Data!$B$3:$EZ1530,44,FALSE),VLOOKUP($B1493,Data!$B$3:$EZ1530,45,FALSE)),1),"")</f>
        <v>0.9686327392</v>
      </c>
      <c r="O1493" s="50">
        <f>IFERROR(VLOOKUP($B1493,Data!$B$3:$D1530,2,FALSE),"")</f>
        <v>5080000</v>
      </c>
      <c r="P1493" s="50">
        <f>IFERROR(VLOOKUP($B1493,Data!$B$3:$D1530,3,FALSE),"")</f>
        <v>4860000</v>
      </c>
      <c r="Q1493" s="48">
        <f t="shared" si="2"/>
        <v>0.04526748971</v>
      </c>
      <c r="R1493" s="48"/>
      <c r="S1493" s="48"/>
      <c r="T1493" s="48"/>
      <c r="U1493" s="48"/>
      <c r="V1493" s="48"/>
      <c r="W1493" s="50"/>
      <c r="Z1493" s="15"/>
      <c r="AA1493" s="15"/>
    </row>
    <row r="1494">
      <c r="A1494" s="9">
        <f t="shared" si="1"/>
        <v>1491</v>
      </c>
      <c r="B1494" s="47" t="s">
        <v>1628</v>
      </c>
      <c r="C1494" s="48">
        <f>IFERROR(DIVIDE(VLOOKUP($B1494,Data!$B$3:$AB$1535,9,FALSE),VLOOKUP($B1494,Data!$B$3:$AB$1535,4,FALSE)),"")</f>
        <v>0</v>
      </c>
      <c r="D1494" s="48">
        <f>IFERROR(DIVIDE(VLOOKUP($B1494,Data!$B$3:$AB$1535,24,FALSE),VLOOKUP($B1494,Data!$B$3:$AB$1535,4,FALSE)),"")</f>
        <v>0</v>
      </c>
      <c r="E1494" s="48">
        <f>IFERROR(DIVIDE(VLOOKUP($B1494,Data!$B$3:$EZ1530,29,FALSE),VLOOKUP($B1494,Data!$B$3:$EZ1530,4,FALSE)),"")</f>
        <v>-12.11764706</v>
      </c>
      <c r="F1494" s="48">
        <f>IFERROR(DIVIDE(VLOOKUP($B1494,Data!$B$3:$EZ1530,34,FALSE),VLOOKUP($B1494,Data!$B$3:$EZ1530,4,FALSE)),"")</f>
        <v>-12.46057572</v>
      </c>
      <c r="G1494" s="48">
        <f>IFERROR(DIVIDE(VLOOKUP($B1494,Data!$B$3:$EZ1530,39,FALSE),VLOOKUP($B1494,Data!$B$3:$EZ1530,4,FALSE)),"")</f>
        <v>-12.11764706</v>
      </c>
      <c r="H1494" s="48">
        <f>IFERROR(DIVIDE(VLOOKUP($B1494,Data!$B$3:$EZ1530,44,FALSE),VLOOKUP($B1494,Data!$B$3:$EZ1530,4,FALSE)),"")</f>
        <v>-11.60325407</v>
      </c>
      <c r="I1494" s="48" t="str">
        <f>IFERROR(MINUS(DIVIDE(VLOOKUP($B1494,Data!$B$3:$EZ1530,9,FALSE),VLOOKUP($B1494,Data!$B$3:$EZ1530,10,FALSE)),1),"")</f>
        <v/>
      </c>
      <c r="J1494" s="48" t="str">
        <f>IFERROR(MINUS(DIVIDE(VLOOKUP($B1494,Data!$B$3:$EZ1530,24,FALSE),VLOOKUP($B1494,Data!$B$3:$EZ1530,25,FALSE)),1),"")</f>
        <v/>
      </c>
      <c r="K1494" s="48">
        <f>IFERROR(MINUS(DIVIDE(VLOOKUP($B1494,Data!$B$3:$EZ1530,29,FALSE),VLOOKUP($B1494,Data!$B$3:$EZ1530,30,FALSE)),1),"")</f>
        <v>0.3210533497</v>
      </c>
      <c r="L1494" s="48">
        <f>IFERROR(MINUS(DIVIDE(VLOOKUP($B1494,Data!$B$3:$EZ1530,34,FALSE),VLOOKUP($B1494,Data!$B$3:$EZ1530,35,FALSE)),1),"")</f>
        <v>0.2934909705</v>
      </c>
      <c r="M1494" s="48">
        <f>IFERROR(MINUS(DIVIDE(VLOOKUP($B1494,Data!$B$3:$EZ1530,39,FALSE),VLOOKUP($B1494,Data!$B$3:$EZ1530,40,FALSE)),1),"")</f>
        <v>0.3204227753</v>
      </c>
      <c r="N1494" s="48">
        <f>IFERROR(MINUS(DIVIDE(VLOOKUP($B1494,Data!$B$3:$EZ1530,44,FALSE),VLOOKUP($B1494,Data!$B$3:$EZ1530,45,FALSE)),1),"")</f>
        <v>7.111111111</v>
      </c>
      <c r="O1494" s="50">
        <f>IFERROR(VLOOKUP($B1494,Data!$B$3:$D1530,2,FALSE),"")</f>
        <v>59580</v>
      </c>
      <c r="P1494" s="50">
        <f>IFERROR(VLOOKUP($B1494,Data!$B$3:$D1530,3,FALSE),"")</f>
        <v>33050</v>
      </c>
      <c r="Q1494" s="48">
        <f t="shared" si="2"/>
        <v>0.8027231467</v>
      </c>
      <c r="R1494" s="48"/>
      <c r="S1494" s="48"/>
      <c r="T1494" s="48"/>
      <c r="U1494" s="48"/>
      <c r="V1494" s="48"/>
      <c r="W1494" s="50"/>
      <c r="Z1494" s="15"/>
      <c r="AA1494" s="15"/>
    </row>
    <row r="1495">
      <c r="A1495" s="9">
        <f t="shared" si="1"/>
        <v>1492</v>
      </c>
      <c r="B1495" s="47" t="s">
        <v>1629</v>
      </c>
      <c r="C1495" s="48">
        <f>IFERROR(DIVIDE(VLOOKUP($B1495,Data!$B$3:$AB$1535,9,FALSE),VLOOKUP($B1495,Data!$B$3:$AB$1535,4,FALSE)),"")</f>
        <v>0.2439793103</v>
      </c>
      <c r="D1495" s="48">
        <f>IFERROR(DIVIDE(VLOOKUP($B1495,Data!$B$3:$AB$1535,24,FALSE),VLOOKUP($B1495,Data!$B$3:$AB$1535,4,FALSE)),"")</f>
        <v>0.1058448276</v>
      </c>
      <c r="E1495" s="48">
        <f>IFERROR(DIVIDE(VLOOKUP($B1495,Data!$B$3:$EZ1530,29,FALSE),VLOOKUP($B1495,Data!$B$3:$EZ1530,4,FALSE)),"")</f>
        <v>0.1105551724</v>
      </c>
      <c r="F1495" s="48">
        <f>IFERROR(DIVIDE(VLOOKUP($B1495,Data!$B$3:$EZ1530,34,FALSE),VLOOKUP($B1495,Data!$B$3:$EZ1530,4,FALSE)),"")</f>
        <v>0.1529517241</v>
      </c>
      <c r="G1495" s="48">
        <f>IFERROR(DIVIDE(VLOOKUP($B1495,Data!$B$3:$EZ1530,39,FALSE),VLOOKUP($B1495,Data!$B$3:$EZ1530,4,FALSE)),"")</f>
        <v>0.08951724138</v>
      </c>
      <c r="H1495" s="48">
        <f>IFERROR(DIVIDE(VLOOKUP($B1495,Data!$B$3:$EZ1530,44,FALSE),VLOOKUP($B1495,Data!$B$3:$EZ1530,4,FALSE)),"")</f>
        <v>0.1339206897</v>
      </c>
      <c r="I1495" s="48">
        <f>IFERROR(MINUS(DIVIDE(VLOOKUP($B1495,Data!$B$3:$EZ1530,9,FALSE),VLOOKUP($B1495,Data!$B$3:$EZ1530,10,FALSE)),1),"")</f>
        <v>0.1732303049</v>
      </c>
      <c r="J1495" s="48">
        <f>IFERROR(MINUS(DIVIDE(VLOOKUP($B1495,Data!$B$3:$EZ1530,24,FALSE),VLOOKUP($B1495,Data!$B$3:$EZ1530,25,FALSE)),1),"")</f>
        <v>-9.670903955</v>
      </c>
      <c r="K1495" s="48">
        <f>IFERROR(MINUS(DIVIDE(VLOOKUP($B1495,Data!$B$3:$EZ1530,29,FALSE),VLOOKUP($B1495,Data!$B$3:$EZ1530,30,FALSE)),1),"")</f>
        <v>0.4601056563</v>
      </c>
      <c r="L1495" s="48">
        <f>IFERROR(MINUS(DIVIDE(VLOOKUP($B1495,Data!$B$3:$EZ1530,34,FALSE),VLOOKUP($B1495,Data!$B$3:$EZ1530,35,FALSE)),1),"")</f>
        <v>0.1279338843</v>
      </c>
      <c r="M1495" s="48">
        <f>IFERROR(MINUS(DIVIDE(VLOOKUP($B1495,Data!$B$3:$EZ1530,39,FALSE),VLOOKUP($B1495,Data!$B$3:$EZ1530,40,FALSE)),1),"")</f>
        <v>0.439183945</v>
      </c>
      <c r="N1495" s="48">
        <f>IFERROR(MINUS(DIVIDE(VLOOKUP($B1495,Data!$B$3:$EZ1530,44,FALSE),VLOOKUP($B1495,Data!$B$3:$EZ1530,45,FALSE)),1),"")</f>
        <v>0.2976377427</v>
      </c>
      <c r="O1495" s="50">
        <f>IFERROR(VLOOKUP($B1495,Data!$B$3:$D1530,2,FALSE),"")</f>
        <v>2420000</v>
      </c>
      <c r="P1495" s="50">
        <f>IFERROR(VLOOKUP($B1495,Data!$B$3:$D1530,3,FALSE),"")</f>
        <v>2480000</v>
      </c>
      <c r="Q1495" s="48">
        <f t="shared" si="2"/>
        <v>-0.02419354839</v>
      </c>
      <c r="R1495" s="48"/>
      <c r="S1495" s="48"/>
      <c r="T1495" s="48"/>
      <c r="U1495" s="48"/>
      <c r="V1495" s="48"/>
      <c r="W1495" s="50"/>
      <c r="Z1495" s="12"/>
      <c r="AA1495" s="12"/>
    </row>
    <row r="1496">
      <c r="A1496" s="9">
        <f t="shared" si="1"/>
        <v>1493</v>
      </c>
      <c r="B1496" s="47" t="s">
        <v>1630</v>
      </c>
      <c r="C1496" s="48">
        <f>IFERROR(DIVIDE(VLOOKUP($B1496,Data!$B$3:$AB$1535,9,FALSE),VLOOKUP($B1496,Data!$B$3:$AB$1535,4,FALSE)),"")</f>
        <v>0.3023197701</v>
      </c>
      <c r="D1496" s="48">
        <f>IFERROR(DIVIDE(VLOOKUP($B1496,Data!$B$3:$AB$1535,24,FALSE),VLOOKUP($B1496,Data!$B$3:$AB$1535,4,FALSE)),"")</f>
        <v>0.1248594394</v>
      </c>
      <c r="E1496" s="48">
        <f>IFERROR(DIVIDE(VLOOKUP($B1496,Data!$B$3:$EZ1530,29,FALSE),VLOOKUP($B1496,Data!$B$3:$EZ1530,4,FALSE)),"")</f>
        <v>0.09857981758</v>
      </c>
      <c r="F1496" s="48">
        <f>IFERROR(DIVIDE(VLOOKUP($B1496,Data!$B$3:$EZ1530,34,FALSE),VLOOKUP($B1496,Data!$B$3:$EZ1530,4,FALSE)),"")</f>
        <v>0.2089979593</v>
      </c>
      <c r="G1496" s="48">
        <f>IFERROR(DIVIDE(VLOOKUP($B1496,Data!$B$3:$EZ1530,39,FALSE),VLOOKUP($B1496,Data!$B$3:$EZ1530,4,FALSE)),"")</f>
        <v>0.08023405939</v>
      </c>
      <c r="H1496" s="48">
        <f>IFERROR(DIVIDE(VLOOKUP($B1496,Data!$B$3:$EZ1530,44,FALSE),VLOOKUP($B1496,Data!$B$3:$EZ1530,4,FALSE)),"")</f>
        <v>0.1259631002</v>
      </c>
      <c r="I1496" s="48">
        <f>IFERROR(MINUS(DIVIDE(VLOOKUP($B1496,Data!$B$3:$EZ1530,9,FALSE),VLOOKUP($B1496,Data!$B$3:$EZ1530,10,FALSE)),1),"")</f>
        <v>-0.04003702847</v>
      </c>
      <c r="J1496" s="48">
        <f>IFERROR(MINUS(DIVIDE(VLOOKUP($B1496,Data!$B$3:$EZ1530,24,FALSE),VLOOKUP($B1496,Data!$B$3:$EZ1530,25,FALSE)),1),"")</f>
        <v>0.02451943614</v>
      </c>
      <c r="K1496" s="48">
        <f>IFERROR(MINUS(DIVIDE(VLOOKUP($B1496,Data!$B$3:$EZ1530,29,FALSE),VLOOKUP($B1496,Data!$B$3:$EZ1530,30,FALSE)),1),"")</f>
        <v>-0.1071293851</v>
      </c>
      <c r="L1496" s="48">
        <f>IFERROR(MINUS(DIVIDE(VLOOKUP($B1496,Data!$B$3:$EZ1530,34,FALSE),VLOOKUP($B1496,Data!$B$3:$EZ1530,35,FALSE)),1),"")</f>
        <v>0.07728224118</v>
      </c>
      <c r="M1496" s="48">
        <f>IFERROR(MINUS(DIVIDE(VLOOKUP($B1496,Data!$B$3:$EZ1530,39,FALSE),VLOOKUP($B1496,Data!$B$3:$EZ1530,40,FALSE)),1),"")</f>
        <v>-0.2262275329</v>
      </c>
      <c r="N1496" s="48">
        <f>IFERROR(MINUS(DIVIDE(VLOOKUP($B1496,Data!$B$3:$EZ1530,44,FALSE),VLOOKUP($B1496,Data!$B$3:$EZ1530,45,FALSE)),1),"")</f>
        <v>-0.3520779777</v>
      </c>
      <c r="O1496" s="50">
        <f>IFERROR(VLOOKUP($B1496,Data!$B$3:$D1530,2,FALSE),"")</f>
        <v>1170000</v>
      </c>
      <c r="P1496" s="50">
        <f>IFERROR(VLOOKUP($B1496,Data!$B$3:$D1530,3,FALSE),"")</f>
        <v>1040000</v>
      </c>
      <c r="Q1496" s="48">
        <f t="shared" si="2"/>
        <v>0.125</v>
      </c>
      <c r="R1496" s="48"/>
      <c r="S1496" s="48"/>
      <c r="T1496" s="48"/>
      <c r="U1496" s="48"/>
      <c r="V1496" s="48"/>
      <c r="W1496" s="50"/>
      <c r="Z1496" s="11"/>
      <c r="AA1496" s="11"/>
    </row>
    <row r="1497">
      <c r="A1497" s="9">
        <f t="shared" si="1"/>
        <v>1494</v>
      </c>
      <c r="B1497" s="47" t="s">
        <v>1631</v>
      </c>
      <c r="C1497" s="48" t="str">
        <f>IFERROR(DIVIDE(VLOOKUP($B1497,Data!$B$3:$AB$1535,9,FALSE),VLOOKUP($B1497,Data!$B$3:$AB$1535,4,FALSE)),"")</f>
        <v/>
      </c>
      <c r="D1497" s="48" t="str">
        <f>IFERROR(DIVIDE(VLOOKUP($B1497,Data!$B$3:$AB$1535,24,FALSE),VLOOKUP($B1497,Data!$B$3:$AB$1535,4,FALSE)),"")</f>
        <v/>
      </c>
      <c r="E1497" s="48" t="str">
        <f>IFERROR(DIVIDE(VLOOKUP($B1497,Data!$B$3:$EZ1530,29,FALSE),VLOOKUP($B1497,Data!$B$3:$EZ1530,4,FALSE)),"")</f>
        <v/>
      </c>
      <c r="F1497" s="48" t="str">
        <f>IFERROR(DIVIDE(VLOOKUP($B1497,Data!$B$3:$EZ1530,34,FALSE),VLOOKUP($B1497,Data!$B$3:$EZ1530,4,FALSE)),"")</f>
        <v/>
      </c>
      <c r="G1497" s="48" t="str">
        <f>IFERROR(DIVIDE(VLOOKUP($B1497,Data!$B$3:$EZ1530,39,FALSE),VLOOKUP($B1497,Data!$B$3:$EZ1530,4,FALSE)),"")</f>
        <v/>
      </c>
      <c r="H1497" s="48" t="str">
        <f>IFERROR(DIVIDE(VLOOKUP($B1497,Data!$B$3:$EZ1530,44,FALSE),VLOOKUP($B1497,Data!$B$3:$EZ1530,4,FALSE)),"")</f>
        <v/>
      </c>
      <c r="I1497" s="48">
        <f>IFERROR(MINUS(DIVIDE(VLOOKUP($B1497,Data!$B$3:$EZ1530,9,FALSE),VLOOKUP($B1497,Data!$B$3:$EZ1530,10,FALSE)),1),"")</f>
        <v>-1</v>
      </c>
      <c r="J1497" s="48">
        <f>IFERROR(MINUS(DIVIDE(VLOOKUP($B1497,Data!$B$3:$EZ1530,24,FALSE),VLOOKUP($B1497,Data!$B$3:$EZ1530,25,FALSE)),1),"")</f>
        <v>-0.6970873786</v>
      </c>
      <c r="K1497" s="48">
        <f>IFERROR(MINUS(DIVIDE(VLOOKUP($B1497,Data!$B$3:$EZ1530,29,FALSE),VLOOKUP($B1497,Data!$B$3:$EZ1530,30,FALSE)),1),"")</f>
        <v>-0.7037556054</v>
      </c>
      <c r="L1497" s="48">
        <f>IFERROR(MINUS(DIVIDE(VLOOKUP($B1497,Data!$B$3:$EZ1530,34,FALSE),VLOOKUP($B1497,Data!$B$3:$EZ1530,35,FALSE)),1),"")</f>
        <v>-0.1798165138</v>
      </c>
      <c r="M1497" s="48">
        <f>IFERROR(MINUS(DIVIDE(VLOOKUP($B1497,Data!$B$3:$EZ1530,39,FALSE),VLOOKUP($B1497,Data!$B$3:$EZ1530,40,FALSE)),1),"")</f>
        <v>-0.7037556054</v>
      </c>
      <c r="N1497" s="48">
        <f>IFERROR(MINUS(DIVIDE(VLOOKUP($B1497,Data!$B$3:$EZ1530,44,FALSE),VLOOKUP($B1497,Data!$B$3:$EZ1530,45,FALSE)),1),"")</f>
        <v>-0.1373390558</v>
      </c>
      <c r="O1497" s="50" t="str">
        <f>IFERROR(VLOOKUP($B1497,Data!$B$3:$D1530,2,FALSE),"")</f>
        <v/>
      </c>
      <c r="P1497" s="50" t="str">
        <f>IFERROR(VLOOKUP($B1497,Data!$B$3:$D1530,3,FALSE),"")</f>
        <v/>
      </c>
      <c r="Q1497" s="48" t="str">
        <f t="shared" si="2"/>
        <v/>
      </c>
      <c r="R1497" s="48"/>
      <c r="S1497" s="48"/>
      <c r="T1497" s="48"/>
      <c r="U1497" s="48"/>
      <c r="V1497" s="48"/>
      <c r="W1497" s="50"/>
      <c r="Z1497" s="11"/>
      <c r="AA1497" s="11"/>
    </row>
    <row r="1498">
      <c r="A1498" s="9">
        <f t="shared" si="1"/>
        <v>1495</v>
      </c>
      <c r="B1498" s="47" t="s">
        <v>1632</v>
      </c>
      <c r="C1498" s="48">
        <f>IFERROR(DIVIDE(VLOOKUP($B1498,Data!$B$3:$AB$1535,9,FALSE),VLOOKUP($B1498,Data!$B$3:$AB$1535,4,FALSE)),"")</f>
        <v>0.373215859</v>
      </c>
      <c r="D1498" s="48">
        <f>IFERROR(DIVIDE(VLOOKUP($B1498,Data!$B$3:$AB$1535,24,FALSE),VLOOKUP($B1498,Data!$B$3:$AB$1535,4,FALSE)),"")</f>
        <v>0</v>
      </c>
      <c r="E1498" s="48">
        <f>IFERROR(DIVIDE(VLOOKUP($B1498,Data!$B$3:$EZ1530,29,FALSE),VLOOKUP($B1498,Data!$B$3:$EZ1530,4,FALSE)),"")</f>
        <v>0.06427312775</v>
      </c>
      <c r="F1498" s="48">
        <f>IFERROR(DIVIDE(VLOOKUP($B1498,Data!$B$3:$EZ1530,34,FALSE),VLOOKUP($B1498,Data!$B$3:$EZ1530,4,FALSE)),"")</f>
        <v>0.1265198238</v>
      </c>
      <c r="G1498" s="48">
        <f>IFERROR(DIVIDE(VLOOKUP($B1498,Data!$B$3:$EZ1530,39,FALSE),VLOOKUP($B1498,Data!$B$3:$EZ1530,4,FALSE)),"")</f>
        <v>0.05546255507</v>
      </c>
      <c r="H1498" s="48">
        <f>IFERROR(DIVIDE(VLOOKUP($B1498,Data!$B$3:$EZ1530,44,FALSE),VLOOKUP($B1498,Data!$B$3:$EZ1530,4,FALSE)),"")</f>
        <v>0.09806167401</v>
      </c>
      <c r="I1498" s="48">
        <f>IFERROR(MINUS(DIVIDE(VLOOKUP($B1498,Data!$B$3:$EZ1530,9,FALSE),VLOOKUP($B1498,Data!$B$3:$EZ1530,10,FALSE)),1),"")</f>
        <v>-0.06490066225</v>
      </c>
      <c r="J1498" s="48">
        <f>IFERROR(MINUS(DIVIDE(VLOOKUP($B1498,Data!$B$3:$EZ1530,24,FALSE),VLOOKUP($B1498,Data!$B$3:$EZ1530,25,FALSE)),1),"")</f>
        <v>-1</v>
      </c>
      <c r="K1498" s="48">
        <f>IFERROR(MINUS(DIVIDE(VLOOKUP($B1498,Data!$B$3:$EZ1530,29,FALSE),VLOOKUP($B1498,Data!$B$3:$EZ1530,30,FALSE)),1),"")</f>
        <v>-0.3583992964</v>
      </c>
      <c r="L1498" s="48">
        <f>IFERROR(MINUS(DIVIDE(VLOOKUP($B1498,Data!$B$3:$EZ1530,34,FALSE),VLOOKUP($B1498,Data!$B$3:$EZ1530,35,FALSE)),1),"")</f>
        <v>-0.03850016739</v>
      </c>
      <c r="M1498" s="48">
        <f>IFERROR(MINUS(DIVIDE(VLOOKUP($B1498,Data!$B$3:$EZ1530,39,FALSE),VLOOKUP($B1498,Data!$B$3:$EZ1530,40,FALSE)),1),"")</f>
        <v>-0.3463136033</v>
      </c>
      <c r="N1498" s="48">
        <f>IFERROR(MINUS(DIVIDE(VLOOKUP($B1498,Data!$B$3:$EZ1530,44,FALSE),VLOOKUP($B1498,Data!$B$3:$EZ1530,45,FALSE)),1),"")</f>
        <v>1.283076923</v>
      </c>
      <c r="O1498" s="50">
        <f>IFERROR(VLOOKUP($B1498,Data!$B$3:$D1530,2,FALSE),"")</f>
        <v>2180000</v>
      </c>
      <c r="P1498" s="50">
        <f>IFERROR(VLOOKUP($B1498,Data!$B$3:$D1530,3,FALSE),"")</f>
        <v>1790000</v>
      </c>
      <c r="Q1498" s="48">
        <f t="shared" si="2"/>
        <v>0.217877095</v>
      </c>
      <c r="R1498" s="48"/>
      <c r="S1498" s="48"/>
      <c r="T1498" s="48"/>
      <c r="U1498" s="48"/>
      <c r="V1498" s="48"/>
      <c r="W1498" s="50"/>
      <c r="Z1498" s="15"/>
      <c r="AA1498" s="15"/>
    </row>
    <row r="1499">
      <c r="A1499" s="9">
        <f t="shared" si="1"/>
        <v>1496</v>
      </c>
      <c r="B1499" s="47" t="s">
        <v>1633</v>
      </c>
      <c r="C1499" s="48">
        <f>IFERROR(DIVIDE(VLOOKUP($B1499,Data!$B$3:$AB$1535,9,FALSE),VLOOKUP($B1499,Data!$B$3:$AB$1535,4,FALSE)),"")</f>
        <v>0.1262739503</v>
      </c>
      <c r="D1499" s="48">
        <f>IFERROR(DIVIDE(VLOOKUP($B1499,Data!$B$3:$AB$1535,24,FALSE),VLOOKUP($B1499,Data!$B$3:$AB$1535,4,FALSE)),"")</f>
        <v>0.01390134529</v>
      </c>
      <c r="E1499" s="48">
        <f>IFERROR(DIVIDE(VLOOKUP($B1499,Data!$B$3:$EZ1530,29,FALSE),VLOOKUP($B1499,Data!$B$3:$EZ1530,4,FALSE)),"")</f>
        <v>0.01465552385</v>
      </c>
      <c r="F1499" s="48">
        <f>IFERROR(DIVIDE(VLOOKUP($B1499,Data!$B$3:$EZ1530,34,FALSE),VLOOKUP($B1499,Data!$B$3:$EZ1530,4,FALSE)),"")</f>
        <v>0.02187117815</v>
      </c>
      <c r="G1499" s="48">
        <f>IFERROR(DIVIDE(VLOOKUP($B1499,Data!$B$3:$EZ1530,39,FALSE),VLOOKUP($B1499,Data!$B$3:$EZ1530,4,FALSE)),"")</f>
        <v>0.0124949042</v>
      </c>
      <c r="H1499" s="48">
        <f>IFERROR(DIVIDE(VLOOKUP($B1499,Data!$B$3:$EZ1530,44,FALSE),VLOOKUP($B1499,Data!$B$3:$EZ1530,4,FALSE)),"")</f>
        <v>0.02653893192</v>
      </c>
      <c r="I1499" s="48">
        <f>IFERROR(MINUS(DIVIDE(VLOOKUP($B1499,Data!$B$3:$EZ1530,9,FALSE),VLOOKUP($B1499,Data!$B$3:$EZ1530,10,FALSE)),1),"")</f>
        <v>0.004214621495</v>
      </c>
      <c r="J1499" s="48">
        <f>IFERROR(MINUS(DIVIDE(VLOOKUP($B1499,Data!$B$3:$EZ1530,24,FALSE),VLOOKUP($B1499,Data!$B$3:$EZ1530,25,FALSE)),1),"")</f>
        <v>-0.2538293217</v>
      </c>
      <c r="K1499" s="48">
        <f>IFERROR(MINUS(DIVIDE(VLOOKUP($B1499,Data!$B$3:$EZ1530,29,FALSE),VLOOKUP($B1499,Data!$B$3:$EZ1530,30,FALSE)),1),"")</f>
        <v>-0.2218614719</v>
      </c>
      <c r="L1499" s="48">
        <f>IFERROR(MINUS(DIVIDE(VLOOKUP($B1499,Data!$B$3:$EZ1530,34,FALSE),VLOOKUP($B1499,Data!$B$3:$EZ1530,35,FALSE)),1),"")</f>
        <v>-0.142971246</v>
      </c>
      <c r="M1499" s="48">
        <f>IFERROR(MINUS(DIVIDE(VLOOKUP($B1499,Data!$B$3:$EZ1530,39,FALSE),VLOOKUP($B1499,Data!$B$3:$EZ1530,40,FALSE)),1),"")</f>
        <v>-0.2049286641</v>
      </c>
      <c r="N1499" s="48">
        <f>IFERROR(MINUS(DIVIDE(VLOOKUP($B1499,Data!$B$3:$EZ1530,44,FALSE),VLOOKUP($B1499,Data!$B$3:$EZ1530,45,FALSE)),1),"")</f>
        <v>6.569767442</v>
      </c>
      <c r="O1499" s="50" t="str">
        <f>IFERROR(VLOOKUP($B1499,Data!$B$3:$D1530,2,FALSE),"")</f>
        <v/>
      </c>
      <c r="P1499" s="50" t="str">
        <f>IFERROR(VLOOKUP($B1499,Data!$B$3:$D1530,3,FALSE),"")</f>
        <v/>
      </c>
      <c r="Q1499" s="48" t="str">
        <f t="shared" si="2"/>
        <v/>
      </c>
      <c r="R1499" s="48"/>
      <c r="S1499" s="48"/>
      <c r="T1499" s="48"/>
      <c r="U1499" s="48"/>
      <c r="V1499" s="48"/>
      <c r="W1499" s="50"/>
      <c r="Z1499" s="12"/>
      <c r="AA1499" s="12"/>
    </row>
    <row r="1500">
      <c r="A1500" s="9">
        <f t="shared" si="1"/>
        <v>1497</v>
      </c>
      <c r="B1500" s="47" t="s">
        <v>1634</v>
      </c>
      <c r="C1500" s="48">
        <f>IFERROR(DIVIDE(VLOOKUP($B1500,Data!$B$3:$AB$1535,9,FALSE),VLOOKUP($B1500,Data!$B$3:$AB$1535,4,FALSE)),"")</f>
        <v>0.2904689864</v>
      </c>
      <c r="D1500" s="48">
        <f>IFERROR(DIVIDE(VLOOKUP($B1500,Data!$B$3:$AB$1535,24,FALSE),VLOOKUP($B1500,Data!$B$3:$AB$1535,4,FALSE)),"")</f>
        <v>0.1459379728</v>
      </c>
      <c r="E1500" s="48">
        <f>IFERROR(DIVIDE(VLOOKUP($B1500,Data!$B$3:$EZ1530,29,FALSE),VLOOKUP($B1500,Data!$B$3:$EZ1530,4,FALSE)),"")</f>
        <v>0.07386081694</v>
      </c>
      <c r="F1500" s="48">
        <f>IFERROR(DIVIDE(VLOOKUP($B1500,Data!$B$3:$EZ1530,34,FALSE),VLOOKUP($B1500,Data!$B$3:$EZ1530,4,FALSE)),"")</f>
        <v>0.243570348</v>
      </c>
      <c r="G1500" s="48">
        <f>IFERROR(DIVIDE(VLOOKUP($B1500,Data!$B$3:$EZ1530,39,FALSE),VLOOKUP($B1500,Data!$B$3:$EZ1530,4,FALSE)),"")</f>
        <v>0.01860665658</v>
      </c>
      <c r="H1500" s="48">
        <f>IFERROR(DIVIDE(VLOOKUP($B1500,Data!$B$3:$EZ1530,44,FALSE),VLOOKUP($B1500,Data!$B$3:$EZ1530,4,FALSE)),"")</f>
        <v>0.1363192133</v>
      </c>
      <c r="I1500" s="48">
        <f>IFERROR(MINUS(DIVIDE(VLOOKUP($B1500,Data!$B$3:$EZ1530,9,FALSE),VLOOKUP($B1500,Data!$B$3:$EZ1530,10,FALSE)),1),"")</f>
        <v>-0.07692307692</v>
      </c>
      <c r="J1500" s="48">
        <f>IFERROR(MINUS(DIVIDE(VLOOKUP($B1500,Data!$B$3:$EZ1530,24,FALSE),VLOOKUP($B1500,Data!$B$3:$EZ1530,25,FALSE)),1),"")</f>
        <v>0.3486138489</v>
      </c>
      <c r="K1500" s="48">
        <f>IFERROR(MINUS(DIVIDE(VLOOKUP($B1500,Data!$B$3:$EZ1530,29,FALSE),VLOOKUP($B1500,Data!$B$3:$EZ1530,30,FALSE)),1),"")</f>
        <v>0.5968469942</v>
      </c>
      <c r="L1500" s="48">
        <f>IFERROR(MINUS(DIVIDE(VLOOKUP($B1500,Data!$B$3:$EZ1530,34,FALSE),VLOOKUP($B1500,Data!$B$3:$EZ1530,35,FALSE)),1),"")</f>
        <v>-0.1055555556</v>
      </c>
      <c r="M1500" s="48">
        <f>IFERROR(MINUS(DIVIDE(VLOOKUP($B1500,Data!$B$3:$EZ1530,39,FALSE),VLOOKUP($B1500,Data!$B$3:$EZ1530,40,FALSE)),1),"")</f>
        <v>-0.7851440351</v>
      </c>
      <c r="N1500" s="48">
        <f>IFERROR(MINUS(DIVIDE(VLOOKUP($B1500,Data!$B$3:$EZ1530,44,FALSE),VLOOKUP($B1500,Data!$B$3:$EZ1530,45,FALSE)),1),"")</f>
        <v>-0.06283996713</v>
      </c>
      <c r="O1500" s="50">
        <f>IFERROR(VLOOKUP($B1500,Data!$B$3:$D1530,2,FALSE),"")</f>
        <v>5900000</v>
      </c>
      <c r="P1500" s="50">
        <f>IFERROR(VLOOKUP($B1500,Data!$B$3:$D1530,3,FALSE),"")</f>
        <v>3540000</v>
      </c>
      <c r="Q1500" s="48">
        <f t="shared" si="2"/>
        <v>0.6666666667</v>
      </c>
      <c r="R1500" s="48"/>
      <c r="S1500" s="48"/>
      <c r="T1500" s="48"/>
      <c r="U1500" s="48"/>
      <c r="V1500" s="48"/>
      <c r="W1500" s="50"/>
      <c r="Z1500" s="15"/>
      <c r="AA1500" s="15"/>
    </row>
    <row r="1501">
      <c r="A1501" s="9">
        <f t="shared" si="1"/>
        <v>1498</v>
      </c>
      <c r="B1501" s="47" t="s">
        <v>1635</v>
      </c>
      <c r="C1501" s="48">
        <f>IFERROR(DIVIDE(VLOOKUP($B1501,Data!$B$3:$AB$1535,9,FALSE),VLOOKUP($B1501,Data!$B$3:$AB$1535,4,FALSE)),"")</f>
        <v>0.0200927357</v>
      </c>
      <c r="D1501" s="48">
        <f>IFERROR(DIVIDE(VLOOKUP($B1501,Data!$B$3:$AB$1535,24,FALSE),VLOOKUP($B1501,Data!$B$3:$AB$1535,4,FALSE)),"")</f>
        <v>-0.02217928903</v>
      </c>
      <c r="E1501" s="48">
        <f>IFERROR(DIVIDE(VLOOKUP($B1501,Data!$B$3:$EZ1530,29,FALSE),VLOOKUP($B1501,Data!$B$3:$EZ1530,4,FALSE)),"")</f>
        <v>-0.03493044822</v>
      </c>
      <c r="F1501" s="48">
        <f>IFERROR(DIVIDE(VLOOKUP($B1501,Data!$B$3:$EZ1530,34,FALSE),VLOOKUP($B1501,Data!$B$3:$EZ1530,4,FALSE)),"")</f>
        <v>0.04536321484</v>
      </c>
      <c r="G1501" s="48">
        <f>IFERROR(DIVIDE(VLOOKUP($B1501,Data!$B$3:$EZ1530,39,FALSE),VLOOKUP($B1501,Data!$B$3:$EZ1530,4,FALSE)),"")</f>
        <v>-0.0486862442</v>
      </c>
      <c r="H1501" s="48">
        <f>IFERROR(DIVIDE(VLOOKUP($B1501,Data!$B$3:$EZ1530,44,FALSE),VLOOKUP($B1501,Data!$B$3:$EZ1530,4,FALSE)),"")</f>
        <v>0.05270479134</v>
      </c>
      <c r="I1501" s="48">
        <f>IFERROR(MINUS(DIVIDE(VLOOKUP($B1501,Data!$B$3:$EZ1530,9,FALSE),VLOOKUP($B1501,Data!$B$3:$EZ1530,10,FALSE)),1),"")</f>
        <v>-0.8102189781</v>
      </c>
      <c r="J1501" s="48">
        <f>IFERROR(MINUS(DIVIDE(VLOOKUP($B1501,Data!$B$3:$EZ1530,24,FALSE),VLOOKUP($B1501,Data!$B$3:$EZ1530,25,FALSE)),1),"")</f>
        <v>-1.298026999</v>
      </c>
      <c r="K1501" s="48">
        <f>IFERROR(MINUS(DIVIDE(VLOOKUP($B1501,Data!$B$3:$EZ1530,29,FALSE),VLOOKUP($B1501,Data!$B$3:$EZ1530,30,FALSE)),1),"")</f>
        <v>-1.556650246</v>
      </c>
      <c r="L1501" s="48">
        <f>IFERROR(MINUS(DIVIDE(VLOOKUP($B1501,Data!$B$3:$EZ1530,34,FALSE),VLOOKUP($B1501,Data!$B$3:$EZ1530,35,FALSE)),1),"")</f>
        <v>-0.6237179487</v>
      </c>
      <c r="M1501" s="48">
        <f>IFERROR(MINUS(DIVIDE(VLOOKUP($B1501,Data!$B$3:$EZ1530,39,FALSE),VLOOKUP($B1501,Data!$B$3:$EZ1530,40,FALSE)),1),"")</f>
        <v>-1.5625</v>
      </c>
      <c r="N1501" s="48">
        <f>IFERROR(MINUS(DIVIDE(VLOOKUP($B1501,Data!$B$3:$EZ1530,44,FALSE),VLOOKUP($B1501,Data!$B$3:$EZ1530,45,FALSE)),1),"")</f>
        <v>-0.2729211087</v>
      </c>
      <c r="O1501" s="50">
        <f>IFERROR(VLOOKUP($B1501,Data!$B$3:$D1530,2,FALSE),"")</f>
        <v>10240000</v>
      </c>
      <c r="P1501" s="50">
        <f>IFERROR(VLOOKUP($B1501,Data!$B$3:$D1530,3,FALSE),"")</f>
        <v>8930000</v>
      </c>
      <c r="Q1501" s="48">
        <f t="shared" si="2"/>
        <v>0.1466965286</v>
      </c>
      <c r="R1501" s="48"/>
      <c r="S1501" s="48"/>
      <c r="T1501" s="48"/>
      <c r="U1501" s="48"/>
      <c r="V1501" s="48"/>
      <c r="W1501" s="50"/>
      <c r="Z1501" s="12"/>
      <c r="AA1501" s="12"/>
    </row>
    <row r="1502">
      <c r="A1502" s="9">
        <f t="shared" si="1"/>
        <v>1499</v>
      </c>
      <c r="B1502" s="47" t="s">
        <v>1636</v>
      </c>
      <c r="C1502" s="48" t="str">
        <f>IFERROR(DIVIDE(VLOOKUP($B1502,Data!$B$3:$AB$1535,9,FALSE),VLOOKUP($B1502,Data!$B$3:$AB$1535,4,FALSE)),"")</f>
        <v/>
      </c>
      <c r="D1502" s="48" t="str">
        <f>IFERROR(DIVIDE(VLOOKUP($B1502,Data!$B$3:$AB$1535,24,FALSE),VLOOKUP($B1502,Data!$B$3:$AB$1535,4,FALSE)),"")</f>
        <v/>
      </c>
      <c r="E1502" s="48" t="str">
        <f>IFERROR(DIVIDE(VLOOKUP($B1502,Data!$B$3:$EZ1530,29,FALSE),VLOOKUP($B1502,Data!$B$3:$EZ1530,4,FALSE)),"")</f>
        <v/>
      </c>
      <c r="F1502" s="48" t="str">
        <f>IFERROR(DIVIDE(VLOOKUP($B1502,Data!$B$3:$EZ1530,34,FALSE),VLOOKUP($B1502,Data!$B$3:$EZ1530,4,FALSE)),"")</f>
        <v/>
      </c>
      <c r="G1502" s="48" t="str">
        <f>IFERROR(DIVIDE(VLOOKUP($B1502,Data!$B$3:$EZ1530,39,FALSE),VLOOKUP($B1502,Data!$B$3:$EZ1530,4,FALSE)),"")</f>
        <v/>
      </c>
      <c r="H1502" s="48" t="str">
        <f>IFERROR(DIVIDE(VLOOKUP($B1502,Data!$B$3:$EZ1530,44,FALSE),VLOOKUP($B1502,Data!$B$3:$EZ1530,4,FALSE)),"")</f>
        <v/>
      </c>
      <c r="I1502" s="48">
        <f>IFERROR(MINUS(DIVIDE(VLOOKUP($B1502,Data!$B$3:$EZ1530,9,FALSE),VLOOKUP($B1502,Data!$B$3:$EZ1530,10,FALSE)),1),"")</f>
        <v>-0.02880658436</v>
      </c>
      <c r="J1502" s="48" t="str">
        <f>IFERROR(MINUS(DIVIDE(VLOOKUP($B1502,Data!$B$3:$EZ1530,24,FALSE),VLOOKUP($B1502,Data!$B$3:$EZ1530,25,FALSE)),1),"")</f>
        <v/>
      </c>
      <c r="K1502" s="48">
        <f>IFERROR(MINUS(DIVIDE(VLOOKUP($B1502,Data!$B$3:$EZ1530,29,FALSE),VLOOKUP($B1502,Data!$B$3:$EZ1530,30,FALSE)),1),"")</f>
        <v>-34.98533586</v>
      </c>
      <c r="L1502" s="48">
        <f>IFERROR(MINUS(DIVIDE(VLOOKUP($B1502,Data!$B$3:$EZ1530,34,FALSE),VLOOKUP($B1502,Data!$B$3:$EZ1530,35,FALSE)),1),"")</f>
        <v>0.5554956897</v>
      </c>
      <c r="M1502" s="48">
        <f>IFERROR(MINUS(DIVIDE(VLOOKUP($B1502,Data!$B$3:$EZ1530,39,FALSE),VLOOKUP($B1502,Data!$B$3:$EZ1530,40,FALSE)),1),"")</f>
        <v>-32.62866604</v>
      </c>
      <c r="N1502" s="48">
        <f>IFERROR(MINUS(DIVIDE(VLOOKUP($B1502,Data!$B$3:$EZ1530,44,FALSE),VLOOKUP($B1502,Data!$B$3:$EZ1530,45,FALSE)),1),"")</f>
        <v>0.1045949214</v>
      </c>
      <c r="O1502" s="50">
        <f>IFERROR(VLOOKUP($B1502,Data!$B$3:$D1530,2,FALSE),"")</f>
        <v>28000</v>
      </c>
      <c r="P1502" s="50">
        <f>IFERROR(VLOOKUP($B1502,Data!$B$3:$D1530,3,FALSE),"")</f>
        <v>28000</v>
      </c>
      <c r="Q1502" s="48">
        <f t="shared" si="2"/>
        <v>0</v>
      </c>
      <c r="R1502" s="48"/>
      <c r="S1502" s="48"/>
      <c r="T1502" s="48"/>
      <c r="U1502" s="48"/>
      <c r="V1502" s="48"/>
      <c r="W1502" s="50"/>
      <c r="Z1502" s="15"/>
      <c r="AA1502" s="15"/>
    </row>
    <row r="1503">
      <c r="A1503" s="9">
        <f t="shared" si="1"/>
        <v>1500</v>
      </c>
      <c r="B1503" s="47" t="s">
        <v>1637</v>
      </c>
      <c r="C1503" s="48">
        <f>IFERROR(DIVIDE(VLOOKUP($B1503,Data!$B$3:$AB$1535,9,FALSE),VLOOKUP($B1503,Data!$B$3:$AB$1535,4,FALSE)),"")</f>
        <v>0</v>
      </c>
      <c r="D1503" s="48">
        <f>IFERROR(DIVIDE(VLOOKUP($B1503,Data!$B$3:$AB$1535,24,FALSE),VLOOKUP($B1503,Data!$B$3:$AB$1535,4,FALSE)),"")</f>
        <v>0</v>
      </c>
      <c r="E1503" s="48">
        <f>IFERROR(DIVIDE(VLOOKUP($B1503,Data!$B$3:$EZ1530,29,FALSE),VLOOKUP($B1503,Data!$B$3:$EZ1530,4,FALSE)),"")</f>
        <v>-6.093704246</v>
      </c>
      <c r="F1503" s="48">
        <f>IFERROR(DIVIDE(VLOOKUP($B1503,Data!$B$3:$EZ1530,34,FALSE),VLOOKUP($B1503,Data!$B$3:$EZ1530,4,FALSE)),"")</f>
        <v>-6.206442167</v>
      </c>
      <c r="G1503" s="48">
        <f>IFERROR(DIVIDE(VLOOKUP($B1503,Data!$B$3:$EZ1530,39,FALSE),VLOOKUP($B1503,Data!$B$3:$EZ1530,4,FALSE)),"")</f>
        <v>-6.090775988</v>
      </c>
      <c r="H1503" s="48">
        <f>IFERROR(DIVIDE(VLOOKUP($B1503,Data!$B$3:$EZ1530,44,FALSE),VLOOKUP($B1503,Data!$B$3:$EZ1530,4,FALSE)),"")</f>
        <v>-0.6778916545</v>
      </c>
      <c r="I1503" s="48">
        <f>IFERROR(MINUS(DIVIDE(VLOOKUP($B1503,Data!$B$3:$EZ1530,9,FALSE),VLOOKUP($B1503,Data!$B$3:$EZ1530,10,FALSE)),1),"")</f>
        <v>-1</v>
      </c>
      <c r="J1503" s="48">
        <f>IFERROR(MINUS(DIVIDE(VLOOKUP($B1503,Data!$B$3:$EZ1530,24,FALSE),VLOOKUP($B1503,Data!$B$3:$EZ1530,25,FALSE)),1),"")</f>
        <v>-1</v>
      </c>
      <c r="K1503" s="48">
        <f>IFERROR(MINUS(DIVIDE(VLOOKUP($B1503,Data!$B$3:$EZ1530,29,FALSE),VLOOKUP($B1503,Data!$B$3:$EZ1530,30,FALSE)),1),"")</f>
        <v>0.2056778679</v>
      </c>
      <c r="L1503" s="48">
        <f>IFERROR(MINUS(DIVIDE(VLOOKUP($B1503,Data!$B$3:$EZ1530,34,FALSE),VLOOKUP($B1503,Data!$B$3:$EZ1530,35,FALSE)),1),"")</f>
        <v>0.3478537361</v>
      </c>
      <c r="M1503" s="48">
        <f>IFERROR(MINUS(DIVIDE(VLOOKUP($B1503,Data!$B$3:$EZ1530,39,FALSE),VLOOKUP($B1503,Data!$B$3:$EZ1530,40,FALSE)),1),"")</f>
        <v>0.2057971014</v>
      </c>
      <c r="N1503" s="48">
        <f>IFERROR(MINUS(DIVIDE(VLOOKUP($B1503,Data!$B$3:$EZ1530,44,FALSE),VLOOKUP($B1503,Data!$B$3:$EZ1530,45,FALSE)),1),"")</f>
        <v>-0.8666474654</v>
      </c>
      <c r="O1503" s="50">
        <f>IFERROR(VLOOKUP($B1503,Data!$B$3:$D1530,2,FALSE),"")</f>
        <v>19270</v>
      </c>
      <c r="P1503" s="50">
        <f>IFERROR(VLOOKUP($B1503,Data!$B$3:$D1530,3,FALSE),"")</f>
        <v>35110</v>
      </c>
      <c r="Q1503" s="48">
        <f t="shared" si="2"/>
        <v>-0.4511535175</v>
      </c>
      <c r="R1503" s="48"/>
      <c r="S1503" s="48"/>
      <c r="T1503" s="48"/>
      <c r="U1503" s="48"/>
      <c r="V1503" s="48"/>
      <c r="W1503" s="50"/>
      <c r="Z1503" s="15"/>
      <c r="AA1503" s="15"/>
    </row>
    <row r="1504">
      <c r="A1504" s="9">
        <f t="shared" si="1"/>
        <v>1501</v>
      </c>
      <c r="B1504" s="47" t="s">
        <v>1638</v>
      </c>
      <c r="C1504" s="48">
        <f>IFERROR(DIVIDE(VLOOKUP($B1504,Data!$B$3:$AB$1535,9,FALSE),VLOOKUP($B1504,Data!$B$3:$AB$1535,4,FALSE)),"")</f>
        <v>0.01507352941</v>
      </c>
      <c r="D1504" s="48">
        <f>IFERROR(DIVIDE(VLOOKUP($B1504,Data!$B$3:$AB$1535,24,FALSE),VLOOKUP($B1504,Data!$B$3:$AB$1535,4,FALSE)),"")</f>
        <v>-44.73897059</v>
      </c>
      <c r="E1504" s="48">
        <f>IFERROR(DIVIDE(VLOOKUP($B1504,Data!$B$3:$EZ1530,29,FALSE),VLOOKUP($B1504,Data!$B$3:$EZ1530,4,FALSE)),"")</f>
        <v>-46.33823529</v>
      </c>
      <c r="F1504" s="48">
        <f>IFERROR(DIVIDE(VLOOKUP($B1504,Data!$B$3:$EZ1530,34,FALSE),VLOOKUP($B1504,Data!$B$3:$EZ1530,4,FALSE)),"")</f>
        <v>-44.59558824</v>
      </c>
      <c r="G1504" s="48">
        <f>IFERROR(DIVIDE(VLOOKUP($B1504,Data!$B$3:$EZ1530,39,FALSE),VLOOKUP($B1504,Data!$B$3:$EZ1530,4,FALSE)),"")</f>
        <v>-46.16911765</v>
      </c>
      <c r="H1504" s="48">
        <f>IFERROR(DIVIDE(VLOOKUP($B1504,Data!$B$3:$EZ1530,44,FALSE),VLOOKUP($B1504,Data!$B$3:$EZ1530,4,FALSE)),"")</f>
        <v>-38.36397059</v>
      </c>
      <c r="I1504" s="48">
        <f>IFERROR(MINUS(DIVIDE(VLOOKUP($B1504,Data!$B$3:$EZ1530,9,FALSE),VLOOKUP($B1504,Data!$B$3:$EZ1530,10,FALSE)),1),"")</f>
        <v>-0.9804761905</v>
      </c>
      <c r="J1504" s="48">
        <f>IFERROR(MINUS(DIVIDE(VLOOKUP($B1504,Data!$B$3:$EZ1530,24,FALSE),VLOOKUP($B1504,Data!$B$3:$EZ1530,25,FALSE)),1),"")</f>
        <v>-621.8673469</v>
      </c>
      <c r="K1504" s="48">
        <f>IFERROR(MINUS(DIVIDE(VLOOKUP($B1504,Data!$B$3:$EZ1530,29,FALSE),VLOOKUP($B1504,Data!$B$3:$EZ1530,30,FALSE)),1),"")</f>
        <v>1.097869507</v>
      </c>
      <c r="L1504" s="48">
        <f>IFERROR(MINUS(DIVIDE(VLOOKUP($B1504,Data!$B$3:$EZ1530,34,FALSE),VLOOKUP($B1504,Data!$B$3:$EZ1530,35,FALSE)),1),"")</f>
        <v>1.055235513</v>
      </c>
      <c r="M1504" s="48">
        <f>IFERROR(MINUS(DIVIDE(VLOOKUP($B1504,Data!$B$3:$EZ1530,39,FALSE),VLOOKUP($B1504,Data!$B$3:$EZ1530,40,FALSE)),1),"")</f>
        <v>1.090213049</v>
      </c>
      <c r="N1504" s="48">
        <f>IFERROR(MINUS(DIVIDE(VLOOKUP($B1504,Data!$B$3:$EZ1530,44,FALSE),VLOOKUP($B1504,Data!$B$3:$EZ1530,45,FALSE)),1),"")</f>
        <v>0.8541222459</v>
      </c>
      <c r="O1504" s="50">
        <f>IFERROR(VLOOKUP($B1504,Data!$B$3:$D1530,2,FALSE),"")</f>
        <v>56960</v>
      </c>
      <c r="P1504" s="50">
        <f>IFERROR(VLOOKUP($B1504,Data!$B$3:$D1530,3,FALSE),"")</f>
        <v>14680</v>
      </c>
      <c r="Q1504" s="48">
        <f t="shared" si="2"/>
        <v>2.880108992</v>
      </c>
      <c r="R1504" s="48"/>
      <c r="S1504" s="48"/>
      <c r="T1504" s="48"/>
      <c r="U1504" s="48"/>
      <c r="V1504" s="48"/>
      <c r="W1504" s="50"/>
      <c r="Z1504" s="11"/>
      <c r="AA1504" s="11"/>
    </row>
    <row r="1505">
      <c r="A1505" s="9">
        <f t="shared" si="1"/>
        <v>1502</v>
      </c>
      <c r="B1505" s="47" t="s">
        <v>1639</v>
      </c>
      <c r="C1505" s="48">
        <f>IFERROR(DIVIDE(VLOOKUP($B1505,Data!$B$3:$AB$1535,9,FALSE),VLOOKUP($B1505,Data!$B$3:$AB$1535,4,FALSE)),"")</f>
        <v>0.534290666</v>
      </c>
      <c r="D1505" s="48">
        <f>IFERROR(DIVIDE(VLOOKUP($B1505,Data!$B$3:$AB$1535,24,FALSE),VLOOKUP($B1505,Data!$B$3:$AB$1535,4,FALSE)),"")</f>
        <v>-0.2235701906</v>
      </c>
      <c r="E1505" s="48">
        <f>IFERROR(DIVIDE(VLOOKUP($B1505,Data!$B$3:$EZ1530,29,FALSE),VLOOKUP($B1505,Data!$B$3:$EZ1530,4,FALSE)),"")</f>
        <v>-0.2973508294</v>
      </c>
      <c r="F1505" s="48">
        <f>IFERROR(DIVIDE(VLOOKUP($B1505,Data!$B$3:$EZ1530,34,FALSE),VLOOKUP($B1505,Data!$B$3:$EZ1530,4,FALSE)),"")</f>
        <v>-0.2156474375</v>
      </c>
      <c r="G1505" s="48">
        <f>IFERROR(DIVIDE(VLOOKUP($B1505,Data!$B$3:$EZ1530,39,FALSE),VLOOKUP($B1505,Data!$B$3:$EZ1530,4,FALSE)),"")</f>
        <v>-0.6348105967</v>
      </c>
      <c r="H1505" s="48">
        <f>IFERROR(DIVIDE(VLOOKUP($B1505,Data!$B$3:$EZ1530,44,FALSE),VLOOKUP($B1505,Data!$B$3:$EZ1530,4,FALSE)),"")</f>
        <v>-0.2404060411</v>
      </c>
      <c r="I1505" s="48">
        <f>IFERROR(MINUS(DIVIDE(VLOOKUP($B1505,Data!$B$3:$EZ1530,9,FALSE),VLOOKUP($B1505,Data!$B$3:$EZ1530,10,FALSE)),1),"")</f>
        <v>0.2754137116</v>
      </c>
      <c r="J1505" s="48">
        <f>IFERROR(MINUS(DIVIDE(VLOOKUP($B1505,Data!$B$3:$EZ1530,24,FALSE),VLOOKUP($B1505,Data!$B$3:$EZ1530,25,FALSE)),1),"")</f>
        <v>0.7365384615</v>
      </c>
      <c r="K1505" s="48">
        <f>IFERROR(MINUS(DIVIDE(VLOOKUP($B1505,Data!$B$3:$EZ1530,29,FALSE),VLOOKUP($B1505,Data!$B$3:$EZ1530,30,FALSE)),1),"")</f>
        <v>0.5106918239</v>
      </c>
      <c r="L1505" s="48">
        <f>IFERROR(MINUS(DIVIDE(VLOOKUP($B1505,Data!$B$3:$EZ1530,34,FALSE),VLOOKUP($B1505,Data!$B$3:$EZ1530,35,FALSE)),1),"")</f>
        <v>1.098795181</v>
      </c>
      <c r="M1505" s="48">
        <f>IFERROR(MINUS(DIVIDE(VLOOKUP($B1505,Data!$B$3:$EZ1530,39,FALSE),VLOOKUP($B1505,Data!$B$3:$EZ1530,40,FALSE)),1),"")</f>
        <v>1.799126638</v>
      </c>
      <c r="N1505" s="48">
        <f>IFERROR(MINUS(DIVIDE(VLOOKUP($B1505,Data!$B$3:$EZ1530,44,FALSE),VLOOKUP($B1505,Data!$B$3:$EZ1530,45,FALSE)),1),"")</f>
        <v>0.04408602151</v>
      </c>
      <c r="O1505" s="50">
        <f>IFERROR(VLOOKUP($B1505,Data!$B$3:$D1530,2,FALSE),"")</f>
        <v>58260</v>
      </c>
      <c r="P1505" s="50">
        <f>IFERROR(VLOOKUP($B1505,Data!$B$3:$D1530,3,FALSE),"")</f>
        <v>38290</v>
      </c>
      <c r="Q1505" s="48">
        <f t="shared" si="2"/>
        <v>0.5215460956</v>
      </c>
      <c r="R1505" s="48"/>
      <c r="S1505" s="48"/>
      <c r="T1505" s="48"/>
      <c r="U1505" s="48"/>
      <c r="V1505" s="48"/>
      <c r="W1505" s="50"/>
      <c r="Z1505" s="11"/>
      <c r="AA1505" s="11"/>
    </row>
    <row r="1506">
      <c r="A1506" s="9">
        <f t="shared" si="1"/>
        <v>1503</v>
      </c>
      <c r="B1506" s="47" t="s">
        <v>1640</v>
      </c>
      <c r="C1506" s="48">
        <f>IFERROR(DIVIDE(VLOOKUP($B1506,Data!$B$3:$AB$1535,9,FALSE),VLOOKUP($B1506,Data!$B$3:$AB$1535,4,FALSE)),"")</f>
        <v>0.667721519</v>
      </c>
      <c r="D1506" s="48">
        <f>IFERROR(DIVIDE(VLOOKUP($B1506,Data!$B$3:$AB$1535,24,FALSE),VLOOKUP($B1506,Data!$B$3:$AB$1535,4,FALSE)),"")</f>
        <v>0.2505949367</v>
      </c>
      <c r="E1506" s="48">
        <f>IFERROR(DIVIDE(VLOOKUP($B1506,Data!$B$3:$EZ1530,29,FALSE),VLOOKUP($B1506,Data!$B$3:$EZ1530,4,FALSE)),"")</f>
        <v>0.2639177215</v>
      </c>
      <c r="F1506" s="48">
        <f>IFERROR(DIVIDE(VLOOKUP($B1506,Data!$B$3:$EZ1530,34,FALSE),VLOOKUP($B1506,Data!$B$3:$EZ1530,4,FALSE)),"")</f>
        <v>0.3094240506</v>
      </c>
      <c r="G1506" s="48">
        <f>IFERROR(DIVIDE(VLOOKUP($B1506,Data!$B$3:$EZ1530,39,FALSE),VLOOKUP($B1506,Data!$B$3:$EZ1530,4,FALSE)),"")</f>
        <v>0.2508607595</v>
      </c>
      <c r="H1506" s="48">
        <f>IFERROR(DIVIDE(VLOOKUP($B1506,Data!$B$3:$EZ1530,44,FALSE),VLOOKUP($B1506,Data!$B$3:$EZ1530,4,FALSE)),"")</f>
        <v>0.3765822785</v>
      </c>
      <c r="I1506" s="48">
        <f>IFERROR(MINUS(DIVIDE(VLOOKUP($B1506,Data!$B$3:$EZ1530,9,FALSE),VLOOKUP($B1506,Data!$B$3:$EZ1530,10,FALSE)),1),"")</f>
        <v>0.004761904762</v>
      </c>
      <c r="J1506" s="48">
        <f>IFERROR(MINUS(DIVIDE(VLOOKUP($B1506,Data!$B$3:$EZ1530,24,FALSE),VLOOKUP($B1506,Data!$B$3:$EZ1530,25,FALSE)),1),"")</f>
        <v>-0.1723662207</v>
      </c>
      <c r="K1506" s="48">
        <f>IFERROR(MINUS(DIVIDE(VLOOKUP($B1506,Data!$B$3:$EZ1530,29,FALSE),VLOOKUP($B1506,Data!$B$3:$EZ1530,30,FALSE)),1),"")</f>
        <v>-0.1387440232</v>
      </c>
      <c r="L1506" s="48">
        <f>IFERROR(MINUS(DIVIDE(VLOOKUP($B1506,Data!$B$3:$EZ1530,34,FALSE),VLOOKUP($B1506,Data!$B$3:$EZ1530,35,FALSE)),1),"")</f>
        <v>-0.07756603774</v>
      </c>
      <c r="M1506" s="48">
        <f>IFERROR(MINUS(DIVIDE(VLOOKUP($B1506,Data!$B$3:$EZ1530,39,FALSE),VLOOKUP($B1506,Data!$B$3:$EZ1530,40,FALSE)),1),"")</f>
        <v>-0.1090531048</v>
      </c>
      <c r="N1506" s="48">
        <f>IFERROR(MINUS(DIVIDE(VLOOKUP($B1506,Data!$B$3:$EZ1530,44,FALSE),VLOOKUP($B1506,Data!$B$3:$EZ1530,45,FALSE)),1),"")</f>
        <v>0.09174311927</v>
      </c>
      <c r="O1506" s="50">
        <f>IFERROR(VLOOKUP($B1506,Data!$B$3:$D1530,2,FALSE),"")</f>
        <v>3330000</v>
      </c>
      <c r="P1506" s="50">
        <f>IFERROR(VLOOKUP($B1506,Data!$B$3:$D1530,3,FALSE),"")</f>
        <v>2910000</v>
      </c>
      <c r="Q1506" s="48">
        <f t="shared" si="2"/>
        <v>0.1443298969</v>
      </c>
      <c r="R1506" s="48"/>
      <c r="S1506" s="48"/>
      <c r="T1506" s="48"/>
      <c r="U1506" s="48"/>
      <c r="V1506" s="48"/>
      <c r="W1506" s="50"/>
      <c r="Z1506" s="11"/>
      <c r="AA1506" s="11"/>
    </row>
    <row r="1507">
      <c r="A1507" s="9">
        <f t="shared" si="1"/>
        <v>1504</v>
      </c>
      <c r="B1507" s="47" t="s">
        <v>1641</v>
      </c>
      <c r="C1507" s="48">
        <f>IFERROR(DIVIDE(VLOOKUP($B1507,Data!$B$3:$AB$1535,9,FALSE),VLOOKUP($B1507,Data!$B$3:$AB$1535,4,FALSE)),"")</f>
        <v>0</v>
      </c>
      <c r="D1507" s="48">
        <f>IFERROR(DIVIDE(VLOOKUP($B1507,Data!$B$3:$AB$1535,24,FALSE),VLOOKUP($B1507,Data!$B$3:$AB$1535,4,FALSE)),"")</f>
        <v>-1.849033653</v>
      </c>
      <c r="E1507" s="48">
        <f>IFERROR(DIVIDE(VLOOKUP($B1507,Data!$B$3:$EZ1530,29,FALSE),VLOOKUP($B1507,Data!$B$3:$EZ1530,4,FALSE)),"")</f>
        <v>-1.688336262</v>
      </c>
      <c r="F1507" s="48">
        <f>IFERROR(DIVIDE(VLOOKUP($B1507,Data!$B$3:$EZ1530,34,FALSE),VLOOKUP($B1507,Data!$B$3:$EZ1530,4,FALSE)),"")</f>
        <v>-1.790782538</v>
      </c>
      <c r="G1507" s="48">
        <f>IFERROR(DIVIDE(VLOOKUP($B1507,Data!$B$3:$EZ1530,39,FALSE),VLOOKUP($B1507,Data!$B$3:$EZ1530,4,FALSE)),"")</f>
        <v>-1.687525341</v>
      </c>
      <c r="H1507" s="48">
        <f>IFERROR(DIVIDE(VLOOKUP($B1507,Data!$B$3:$EZ1530,44,FALSE),VLOOKUP($B1507,Data!$B$3:$EZ1530,4,FALSE)),"")</f>
        <v>-1.195702122</v>
      </c>
      <c r="I1507" s="48" t="str">
        <f>IFERROR(MINUS(DIVIDE(VLOOKUP($B1507,Data!$B$3:$EZ1530,9,FALSE),VLOOKUP($B1507,Data!$B$3:$EZ1530,10,FALSE)),1),"")</f>
        <v/>
      </c>
      <c r="J1507" s="48">
        <f>IFERROR(MINUS(DIVIDE(VLOOKUP($B1507,Data!$B$3:$EZ1530,24,FALSE),VLOOKUP($B1507,Data!$B$3:$EZ1530,25,FALSE)),1),"")</f>
        <v>0.09914035511</v>
      </c>
      <c r="K1507" s="48">
        <f>IFERROR(MINUS(DIVIDE(VLOOKUP($B1507,Data!$B$3:$EZ1530,29,FALSE),VLOOKUP($B1507,Data!$B$3:$EZ1530,30,FALSE)),1),"")</f>
        <v>0.05063078217</v>
      </c>
      <c r="L1507" s="48">
        <f>IFERROR(MINUS(DIVIDE(VLOOKUP($B1507,Data!$B$3:$EZ1530,34,FALSE),VLOOKUP($B1507,Data!$B$3:$EZ1530,35,FALSE)),1),"")</f>
        <v>0.09803596586</v>
      </c>
      <c r="M1507" s="48">
        <f>IFERROR(MINUS(DIVIDE(VLOOKUP($B1507,Data!$B$3:$EZ1530,39,FALSE),VLOOKUP($B1507,Data!$B$3:$EZ1530,40,FALSE)),1),"")</f>
        <v>0.05039118365</v>
      </c>
      <c r="N1507" s="48">
        <f>IFERROR(MINUS(DIVIDE(VLOOKUP($B1507,Data!$B$3:$EZ1530,44,FALSE),VLOOKUP($B1507,Data!$B$3:$EZ1530,45,FALSE)),1),"")</f>
        <v>-0.06588533418</v>
      </c>
      <c r="O1507" s="50">
        <f>IFERROR(VLOOKUP($B1507,Data!$B$3:$D1530,2,FALSE),"")</f>
        <v>142500</v>
      </c>
      <c r="P1507" s="50">
        <f>IFERROR(VLOOKUP($B1507,Data!$B$3:$D1530,3,FALSE),"")</f>
        <v>101640</v>
      </c>
      <c r="Q1507" s="48">
        <f t="shared" si="2"/>
        <v>0.4020070838</v>
      </c>
      <c r="R1507" s="48"/>
      <c r="S1507" s="48"/>
      <c r="T1507" s="48"/>
      <c r="U1507" s="48"/>
      <c r="V1507" s="48"/>
      <c r="W1507" s="50"/>
      <c r="Z1507" s="11"/>
      <c r="AA1507" s="11"/>
    </row>
    <row r="1508">
      <c r="A1508" s="9">
        <f t="shared" si="1"/>
        <v>1505</v>
      </c>
      <c r="B1508" s="47" t="s">
        <v>1642</v>
      </c>
      <c r="C1508" s="48">
        <f>IFERROR(DIVIDE(VLOOKUP($B1508,Data!$B$3:$AB$1535,9,FALSE),VLOOKUP($B1508,Data!$B$3:$AB$1535,4,FALSE)),"")</f>
        <v>0</v>
      </c>
      <c r="D1508" s="48">
        <f>IFERROR(DIVIDE(VLOOKUP($B1508,Data!$B$3:$AB$1535,24,FALSE),VLOOKUP($B1508,Data!$B$3:$AB$1535,4,FALSE)),"")</f>
        <v>0.08819400128</v>
      </c>
      <c r="E1508" s="48">
        <f>IFERROR(DIVIDE(VLOOKUP($B1508,Data!$B$3:$EZ1530,29,FALSE),VLOOKUP($B1508,Data!$B$3:$EZ1530,4,FALSE)),"")</f>
        <v>0.1735162731</v>
      </c>
      <c r="F1508" s="48">
        <f>IFERROR(DIVIDE(VLOOKUP($B1508,Data!$B$3:$EZ1530,34,FALSE),VLOOKUP($B1508,Data!$B$3:$EZ1530,4,FALSE)),"")</f>
        <v>0.1169112955</v>
      </c>
      <c r="G1508" s="48">
        <f>IFERROR(DIVIDE(VLOOKUP($B1508,Data!$B$3:$EZ1530,39,FALSE),VLOOKUP($B1508,Data!$B$3:$EZ1530,4,FALSE)),"")</f>
        <v>0.1715379706</v>
      </c>
      <c r="H1508" s="48">
        <f>IFERROR(DIVIDE(VLOOKUP($B1508,Data!$B$3:$EZ1530,44,FALSE),VLOOKUP($B1508,Data!$B$3:$EZ1530,4,FALSE)),"")</f>
        <v>0.4107849394</v>
      </c>
      <c r="I1508" s="48" t="str">
        <f>IFERROR(MINUS(DIVIDE(VLOOKUP($B1508,Data!$B$3:$EZ1530,9,FALSE),VLOOKUP($B1508,Data!$B$3:$EZ1530,10,FALSE)),1),"")</f>
        <v/>
      </c>
      <c r="J1508" s="48" t="str">
        <f>IFERROR(MINUS(DIVIDE(VLOOKUP($B1508,Data!$B$3:$EZ1530,24,FALSE),VLOOKUP($B1508,Data!$B$3:$EZ1530,25,FALSE)),1),"")</f>
        <v/>
      </c>
      <c r="K1508" s="48">
        <f>IFERROR(MINUS(DIVIDE(VLOOKUP($B1508,Data!$B$3:$EZ1530,29,FALSE),VLOOKUP($B1508,Data!$B$3:$EZ1530,30,FALSE)),1),"")</f>
        <v>-1.386166738</v>
      </c>
      <c r="L1508" s="48">
        <f>IFERROR(MINUS(DIVIDE(VLOOKUP($B1508,Data!$B$3:$EZ1530,34,FALSE),VLOOKUP($B1508,Data!$B$3:$EZ1530,35,FALSE)),1),"")</f>
        <v>-1.240672622</v>
      </c>
      <c r="M1508" s="48">
        <f>IFERROR(MINUS(DIVIDE(VLOOKUP($B1508,Data!$B$3:$EZ1530,39,FALSE),VLOOKUP($B1508,Data!$B$3:$EZ1530,40,FALSE)),1),"")</f>
        <v>-1.381763954</v>
      </c>
      <c r="N1508" s="48">
        <f>IFERROR(MINUS(DIVIDE(VLOOKUP($B1508,Data!$B$3:$EZ1530,44,FALSE),VLOOKUP($B1508,Data!$B$3:$EZ1530,45,FALSE)),1),"")</f>
        <v>-1.807046138</v>
      </c>
      <c r="O1508" s="50">
        <f>IFERROR(VLOOKUP($B1508,Data!$B$3:$D1530,2,FALSE),"")</f>
        <v>104780</v>
      </c>
      <c r="P1508" s="50">
        <f>IFERROR(VLOOKUP($B1508,Data!$B$3:$D1530,3,FALSE),"")</f>
        <v>93190</v>
      </c>
      <c r="Q1508" s="48">
        <f t="shared" si="2"/>
        <v>0.1243695676</v>
      </c>
      <c r="R1508" s="48"/>
      <c r="S1508" s="48"/>
      <c r="T1508" s="48"/>
      <c r="U1508" s="48"/>
      <c r="V1508" s="48"/>
      <c r="W1508" s="50"/>
      <c r="Z1508" s="15"/>
      <c r="AA1508" s="15"/>
    </row>
    <row r="1509">
      <c r="A1509" s="9">
        <f t="shared" si="1"/>
        <v>1506</v>
      </c>
      <c r="B1509" s="47" t="s">
        <v>1643</v>
      </c>
      <c r="C1509" s="48">
        <f>IFERROR(DIVIDE(VLOOKUP($B1509,Data!$B$3:$AB$1535,9,FALSE),VLOOKUP($B1509,Data!$B$3:$AB$1535,4,FALSE)),"")</f>
        <v>0</v>
      </c>
      <c r="D1509" s="48">
        <f>IFERROR(DIVIDE(VLOOKUP($B1509,Data!$B$3:$AB$1535,24,FALSE),VLOOKUP($B1509,Data!$B$3:$AB$1535,4,FALSE)),"")</f>
        <v>-0.2155688623</v>
      </c>
      <c r="E1509" s="48">
        <f>IFERROR(DIVIDE(VLOOKUP($B1509,Data!$B$3:$EZ1530,29,FALSE),VLOOKUP($B1509,Data!$B$3:$EZ1530,4,FALSE)),"")</f>
        <v>-0.1077844311</v>
      </c>
      <c r="F1509" s="48">
        <f>IFERROR(DIVIDE(VLOOKUP($B1509,Data!$B$3:$EZ1530,34,FALSE),VLOOKUP($B1509,Data!$B$3:$EZ1530,4,FALSE)),"")</f>
        <v>-0.1072400653</v>
      </c>
      <c r="G1509" s="48">
        <f>IFERROR(DIVIDE(VLOOKUP($B1509,Data!$B$3:$EZ1530,39,FALSE),VLOOKUP($B1509,Data!$B$3:$EZ1530,4,FALSE)),"")</f>
        <v>-0.1077844311</v>
      </c>
      <c r="H1509" s="48">
        <f>IFERROR(DIVIDE(VLOOKUP($B1509,Data!$B$3:$EZ1530,44,FALSE),VLOOKUP($B1509,Data!$B$3:$EZ1530,4,FALSE)),"")</f>
        <v>0.1045182363</v>
      </c>
      <c r="I1509" s="48" t="str">
        <f>IFERROR(MINUS(DIVIDE(VLOOKUP($B1509,Data!$B$3:$EZ1530,9,FALSE),VLOOKUP($B1509,Data!$B$3:$EZ1530,10,FALSE)),1),"")</f>
        <v/>
      </c>
      <c r="J1509" s="48">
        <f>IFERROR(MINUS(DIVIDE(VLOOKUP($B1509,Data!$B$3:$EZ1530,24,FALSE),VLOOKUP($B1509,Data!$B$3:$EZ1530,25,FALSE)),1),"")</f>
        <v>-0.7726750861</v>
      </c>
      <c r="K1509" s="48">
        <f>IFERROR(MINUS(DIVIDE(VLOOKUP($B1509,Data!$B$3:$EZ1530,29,FALSE),VLOOKUP($B1509,Data!$B$3:$EZ1530,30,FALSE)),1),"")</f>
        <v>-0.8526785714</v>
      </c>
      <c r="L1509" s="48">
        <f>IFERROR(MINUS(DIVIDE(VLOOKUP($B1509,Data!$B$3:$EZ1530,34,FALSE),VLOOKUP($B1509,Data!$B$3:$EZ1530,35,FALSE)),1),"")</f>
        <v>-0.8679624665</v>
      </c>
      <c r="M1509" s="48">
        <f>IFERROR(MINUS(DIVIDE(VLOOKUP($B1509,Data!$B$3:$EZ1530,39,FALSE),VLOOKUP($B1509,Data!$B$3:$EZ1530,40,FALSE)),1),"")</f>
        <v>-0.8515742129</v>
      </c>
      <c r="N1509" s="48">
        <f>IFERROR(MINUS(DIVIDE(VLOOKUP($B1509,Data!$B$3:$EZ1530,44,FALSE),VLOOKUP($B1509,Data!$B$3:$EZ1530,45,FALSE)),1),"")</f>
        <v>-1.151898734</v>
      </c>
      <c r="O1509" s="50">
        <f>IFERROR(VLOOKUP($B1509,Data!$B$3:$D1530,2,FALSE),"")</f>
        <v>14180</v>
      </c>
      <c r="P1509" s="50">
        <f>IFERROR(VLOOKUP($B1509,Data!$B$3:$D1530,3,FALSE),"")</f>
        <v>7220</v>
      </c>
      <c r="Q1509" s="48">
        <f t="shared" si="2"/>
        <v>0.9639889197</v>
      </c>
      <c r="R1509" s="48"/>
      <c r="S1509" s="48"/>
      <c r="T1509" s="48"/>
      <c r="U1509" s="48"/>
      <c r="V1509" s="48"/>
      <c r="W1509" s="50"/>
      <c r="Z1509" s="11"/>
      <c r="AA1509" s="11"/>
    </row>
    <row r="1510">
      <c r="A1510" s="9">
        <f t="shared" si="1"/>
        <v>1507</v>
      </c>
      <c r="B1510" s="47" t="s">
        <v>1644</v>
      </c>
      <c r="C1510" s="48" t="str">
        <f>IFERROR(DIVIDE(VLOOKUP($B1510,Data!$B$3:$AB$1535,9,FALSE),VLOOKUP($B1510,Data!$B$3:$AB$1535,4,FALSE)),"")</f>
        <v/>
      </c>
      <c r="D1510" s="48" t="str">
        <f>IFERROR(DIVIDE(VLOOKUP($B1510,Data!$B$3:$AB$1535,24,FALSE),VLOOKUP($B1510,Data!$B$3:$AB$1535,4,FALSE)),"")</f>
        <v/>
      </c>
      <c r="E1510" s="48" t="str">
        <f>IFERROR(DIVIDE(VLOOKUP($B1510,Data!$B$3:$EZ1530,29,FALSE),VLOOKUP($B1510,Data!$B$3:$EZ1530,4,FALSE)),"")</f>
        <v/>
      </c>
      <c r="F1510" s="48" t="str">
        <f>IFERROR(DIVIDE(VLOOKUP($B1510,Data!$B$3:$EZ1530,34,FALSE),VLOOKUP($B1510,Data!$B$3:$EZ1530,4,FALSE)),"")</f>
        <v/>
      </c>
      <c r="G1510" s="48" t="str">
        <f>IFERROR(DIVIDE(VLOOKUP($B1510,Data!$B$3:$EZ1530,39,FALSE),VLOOKUP($B1510,Data!$B$3:$EZ1530,4,FALSE)),"")</f>
        <v/>
      </c>
      <c r="H1510" s="48" t="str">
        <f>IFERROR(DIVIDE(VLOOKUP($B1510,Data!$B$3:$EZ1530,44,FALSE),VLOOKUP($B1510,Data!$B$3:$EZ1530,4,FALSE)),"")</f>
        <v/>
      </c>
      <c r="I1510" s="48" t="str">
        <f>IFERROR(MINUS(DIVIDE(VLOOKUP($B1510,Data!$B$3:$EZ1530,9,FALSE),VLOOKUP($B1510,Data!$B$3:$EZ1530,10,FALSE)),1),"")</f>
        <v/>
      </c>
      <c r="J1510" s="48" t="str">
        <f>IFERROR(MINUS(DIVIDE(VLOOKUP($B1510,Data!$B$3:$EZ1530,24,FALSE),VLOOKUP($B1510,Data!$B$3:$EZ1530,25,FALSE)),1),"")</f>
        <v/>
      </c>
      <c r="K1510" s="48" t="str">
        <f>IFERROR(MINUS(DIVIDE(VLOOKUP($B1510,Data!$B$3:$EZ1530,29,FALSE),VLOOKUP($B1510,Data!$B$3:$EZ1530,30,FALSE)),1),"")</f>
        <v/>
      </c>
      <c r="L1510" s="48" t="str">
        <f>IFERROR(MINUS(DIVIDE(VLOOKUP($B1510,Data!$B$3:$EZ1530,34,FALSE),VLOOKUP($B1510,Data!$B$3:$EZ1530,35,FALSE)),1),"")</f>
        <v/>
      </c>
      <c r="M1510" s="48" t="str">
        <f>IFERROR(MINUS(DIVIDE(VLOOKUP($B1510,Data!$B$3:$EZ1530,39,FALSE),VLOOKUP($B1510,Data!$B$3:$EZ1530,40,FALSE)),1),"")</f>
        <v/>
      </c>
      <c r="N1510" s="48" t="str">
        <f>IFERROR(MINUS(DIVIDE(VLOOKUP($B1510,Data!$B$3:$EZ1530,44,FALSE),VLOOKUP($B1510,Data!$B$3:$EZ1530,45,FALSE)),1),"")</f>
        <v/>
      </c>
      <c r="O1510" s="50">
        <f>IFERROR(VLOOKUP($B1510,Data!$B$3:$D1530,2,FALSE),"")</f>
        <v>1070000</v>
      </c>
      <c r="P1510" s="50">
        <f>IFERROR(VLOOKUP($B1510,Data!$B$3:$D1530,3,FALSE),"")</f>
        <v>772000</v>
      </c>
      <c r="Q1510" s="48">
        <f t="shared" si="2"/>
        <v>0.3860103627</v>
      </c>
      <c r="R1510" s="48"/>
      <c r="S1510" s="48"/>
      <c r="T1510" s="48"/>
      <c r="U1510" s="48"/>
      <c r="V1510" s="48"/>
      <c r="W1510" s="50"/>
      <c r="Z1510" s="11"/>
      <c r="AA1510" s="11"/>
    </row>
    <row r="1511">
      <c r="A1511" s="9">
        <f t="shared" si="1"/>
        <v>1508</v>
      </c>
      <c r="B1511" s="47" t="s">
        <v>1645</v>
      </c>
      <c r="C1511" s="48" t="str">
        <f>IFERROR(DIVIDE(VLOOKUP($B1511,Data!$B$3:$AB$1535,9,FALSE),VLOOKUP($B1511,Data!$B$3:$AB$1535,4,FALSE)),"")</f>
        <v/>
      </c>
      <c r="D1511" s="48" t="str">
        <f>IFERROR(DIVIDE(VLOOKUP($B1511,Data!$B$3:$AB$1535,24,FALSE),VLOOKUP($B1511,Data!$B$3:$AB$1535,4,FALSE)),"")</f>
        <v/>
      </c>
      <c r="E1511" s="48" t="str">
        <f>IFERROR(DIVIDE(VLOOKUP($B1511,Data!$B$3:$EZ1530,29,FALSE),VLOOKUP($B1511,Data!$B$3:$EZ1530,4,FALSE)),"")</f>
        <v/>
      </c>
      <c r="F1511" s="48" t="str">
        <f>IFERROR(DIVIDE(VLOOKUP($B1511,Data!$B$3:$EZ1530,34,FALSE),VLOOKUP($B1511,Data!$B$3:$EZ1530,4,FALSE)),"")</f>
        <v/>
      </c>
      <c r="G1511" s="48" t="str">
        <f>IFERROR(DIVIDE(VLOOKUP($B1511,Data!$B$3:$EZ1530,39,FALSE),VLOOKUP($B1511,Data!$B$3:$EZ1530,4,FALSE)),"")</f>
        <v/>
      </c>
      <c r="H1511" s="48" t="str">
        <f>IFERROR(DIVIDE(VLOOKUP($B1511,Data!$B$3:$EZ1530,44,FALSE),VLOOKUP($B1511,Data!$B$3:$EZ1530,4,FALSE)),"")</f>
        <v/>
      </c>
      <c r="I1511" s="48" t="str">
        <f>IFERROR(MINUS(DIVIDE(VLOOKUP($B1511,Data!$B$3:$EZ1530,9,FALSE),VLOOKUP($B1511,Data!$B$3:$EZ1530,10,FALSE)),1),"")</f>
        <v/>
      </c>
      <c r="J1511" s="48">
        <f>IFERROR(MINUS(DIVIDE(VLOOKUP($B1511,Data!$B$3:$EZ1530,24,FALSE),VLOOKUP($B1511,Data!$B$3:$EZ1530,25,FALSE)),1),"")</f>
        <v>-0.06068601583</v>
      </c>
      <c r="K1511" s="48">
        <f>IFERROR(MINUS(DIVIDE(VLOOKUP($B1511,Data!$B$3:$EZ1530,29,FALSE),VLOOKUP($B1511,Data!$B$3:$EZ1530,30,FALSE)),1),"")</f>
        <v>-0.08611111111</v>
      </c>
      <c r="L1511" s="48">
        <f>IFERROR(MINUS(DIVIDE(VLOOKUP($B1511,Data!$B$3:$EZ1530,34,FALSE),VLOOKUP($B1511,Data!$B$3:$EZ1530,35,FALSE)),1),"")</f>
        <v>0.0110701107</v>
      </c>
      <c r="M1511" s="48">
        <f>IFERROR(MINUS(DIVIDE(VLOOKUP($B1511,Data!$B$3:$EZ1530,39,FALSE),VLOOKUP($B1511,Data!$B$3:$EZ1530,40,FALSE)),1),"")</f>
        <v>-0.08611111111</v>
      </c>
      <c r="N1511" s="48">
        <f>IFERROR(MINUS(DIVIDE(VLOOKUP($B1511,Data!$B$3:$EZ1530,44,FALSE),VLOOKUP($B1511,Data!$B$3:$EZ1530,45,FALSE)),1),"")</f>
        <v>0.9411764706</v>
      </c>
      <c r="O1511" s="50" t="str">
        <f>IFERROR(VLOOKUP($B1511,Data!$B$3:$D1530,2,FALSE),"")</f>
        <v/>
      </c>
      <c r="P1511" s="50" t="str">
        <f>IFERROR(VLOOKUP($B1511,Data!$B$3:$D1530,3,FALSE),"")</f>
        <v/>
      </c>
      <c r="Q1511" s="48" t="str">
        <f t="shared" si="2"/>
        <v/>
      </c>
      <c r="R1511" s="48"/>
      <c r="S1511" s="48"/>
      <c r="T1511" s="48"/>
      <c r="U1511" s="48"/>
      <c r="V1511" s="48"/>
      <c r="W1511" s="50"/>
      <c r="Z1511" s="11"/>
      <c r="AA1511" s="11"/>
    </row>
    <row r="1512">
      <c r="A1512" s="9">
        <f t="shared" si="1"/>
        <v>1509</v>
      </c>
      <c r="B1512" s="47" t="s">
        <v>1646</v>
      </c>
      <c r="C1512" s="48">
        <f>IFERROR(DIVIDE(VLOOKUP($B1512,Data!$B$3:$AB$1535,9,FALSE),VLOOKUP($B1512,Data!$B$3:$AB$1535,4,FALSE)),"")</f>
        <v>0.1507507508</v>
      </c>
      <c r="D1512" s="48">
        <f>IFERROR(DIVIDE(VLOOKUP($B1512,Data!$B$3:$AB$1535,24,FALSE),VLOOKUP($B1512,Data!$B$3:$AB$1535,4,FALSE)),"")</f>
        <v>0.04846846847</v>
      </c>
      <c r="E1512" s="48">
        <f>IFERROR(DIVIDE(VLOOKUP($B1512,Data!$B$3:$EZ1530,29,FALSE),VLOOKUP($B1512,Data!$B$3:$EZ1530,4,FALSE)),"")</f>
        <v>0.03417417417</v>
      </c>
      <c r="F1512" s="48">
        <f>IFERROR(DIVIDE(VLOOKUP($B1512,Data!$B$3:$EZ1530,34,FALSE),VLOOKUP($B1512,Data!$B$3:$EZ1530,4,FALSE)),"")</f>
        <v>0.0960960961</v>
      </c>
      <c r="G1512" s="48">
        <f>IFERROR(DIVIDE(VLOOKUP($B1512,Data!$B$3:$EZ1530,39,FALSE),VLOOKUP($B1512,Data!$B$3:$EZ1530,4,FALSE)),"")</f>
        <v>0.02294294294</v>
      </c>
      <c r="H1512" s="48">
        <f>IFERROR(DIVIDE(VLOOKUP($B1512,Data!$B$3:$EZ1530,44,FALSE),VLOOKUP($B1512,Data!$B$3:$EZ1530,4,FALSE)),"")</f>
        <v>0.04750750751</v>
      </c>
      <c r="I1512" s="48">
        <f>IFERROR(MINUS(DIVIDE(VLOOKUP($B1512,Data!$B$3:$EZ1530,9,FALSE),VLOOKUP($B1512,Data!$B$3:$EZ1530,10,FALSE)),1),"")</f>
        <v>0.05462184874</v>
      </c>
      <c r="J1512" s="48">
        <f>IFERROR(MINUS(DIVIDE(VLOOKUP($B1512,Data!$B$3:$EZ1530,24,FALSE),VLOOKUP($B1512,Data!$B$3:$EZ1530,25,FALSE)),1),"")</f>
        <v>0.1578192253</v>
      </c>
      <c r="K1512" s="48">
        <f>IFERROR(MINUS(DIVIDE(VLOOKUP($B1512,Data!$B$3:$EZ1530,29,FALSE),VLOOKUP($B1512,Data!$B$3:$EZ1530,30,FALSE)),1),"")</f>
        <v>0.005300353357</v>
      </c>
      <c r="L1512" s="48">
        <f>IFERROR(MINUS(DIVIDE(VLOOKUP($B1512,Data!$B$3:$EZ1530,34,FALSE),VLOOKUP($B1512,Data!$B$3:$EZ1530,35,FALSE)),1),"")</f>
        <v>0.1188811189</v>
      </c>
      <c r="M1512" s="48">
        <f>IFERROR(MINUS(DIVIDE(VLOOKUP($B1512,Data!$B$3:$EZ1530,39,FALSE),VLOOKUP($B1512,Data!$B$3:$EZ1530,40,FALSE)),1),"")</f>
        <v>-0.02798982188</v>
      </c>
      <c r="N1512" s="48">
        <f>IFERROR(MINUS(DIVIDE(VLOOKUP($B1512,Data!$B$3:$EZ1530,44,FALSE),VLOOKUP($B1512,Data!$B$3:$EZ1530,45,FALSE)),1),"")</f>
        <v>-0.2809090909</v>
      </c>
      <c r="O1512" s="50">
        <f>IFERROR(VLOOKUP($B1512,Data!$B$3:$D1530,2,FALSE),"")</f>
        <v>16430000</v>
      </c>
      <c r="P1512" s="50">
        <f>IFERROR(VLOOKUP($B1512,Data!$B$3:$D1530,3,FALSE),"")</f>
        <v>15270000</v>
      </c>
      <c r="Q1512" s="48">
        <f t="shared" si="2"/>
        <v>0.0759659463</v>
      </c>
      <c r="R1512" s="48"/>
      <c r="S1512" s="48"/>
      <c r="T1512" s="48"/>
      <c r="U1512" s="48"/>
      <c r="V1512" s="48"/>
      <c r="W1512" s="50"/>
      <c r="Z1512" s="15"/>
      <c r="AA1512" s="15"/>
    </row>
    <row r="1513">
      <c r="A1513" s="9">
        <f t="shared" si="1"/>
        <v>1510</v>
      </c>
      <c r="B1513" s="47" t="s">
        <v>1647</v>
      </c>
      <c r="C1513" s="48" t="str">
        <f>IFERROR(DIVIDE(VLOOKUP($B1513,Data!$B$3:$AB$1535,9,FALSE),VLOOKUP($B1513,Data!$B$3:$AB$1535,4,FALSE)),"")</f>
        <v/>
      </c>
      <c r="D1513" s="48" t="str">
        <f>IFERROR(DIVIDE(VLOOKUP($B1513,Data!$B$3:$AB$1535,24,FALSE),VLOOKUP($B1513,Data!$B$3:$AB$1535,4,FALSE)),"")</f>
        <v/>
      </c>
      <c r="E1513" s="48" t="str">
        <f>IFERROR(DIVIDE(VLOOKUP($B1513,Data!$B$3:$EZ1530,29,FALSE),VLOOKUP($B1513,Data!$B$3:$EZ1530,4,FALSE)),"")</f>
        <v/>
      </c>
      <c r="F1513" s="48" t="str">
        <f>IFERROR(DIVIDE(VLOOKUP($B1513,Data!$B$3:$EZ1530,34,FALSE),VLOOKUP($B1513,Data!$B$3:$EZ1530,4,FALSE)),"")</f>
        <v/>
      </c>
      <c r="G1513" s="48" t="str">
        <f>IFERROR(DIVIDE(VLOOKUP($B1513,Data!$B$3:$EZ1530,39,FALSE),VLOOKUP($B1513,Data!$B$3:$EZ1530,4,FALSE)),"")</f>
        <v/>
      </c>
      <c r="H1513" s="48" t="str">
        <f>IFERROR(DIVIDE(VLOOKUP($B1513,Data!$B$3:$EZ1530,44,FALSE),VLOOKUP($B1513,Data!$B$3:$EZ1530,4,FALSE)),"")</f>
        <v/>
      </c>
      <c r="I1513" s="48" t="str">
        <f>IFERROR(MINUS(DIVIDE(VLOOKUP($B1513,Data!$B$3:$EZ1530,9,FALSE),VLOOKUP($B1513,Data!$B$3:$EZ1530,10,FALSE)),1),"")</f>
        <v/>
      </c>
      <c r="J1513" s="48">
        <f>IFERROR(MINUS(DIVIDE(VLOOKUP($B1513,Data!$B$3:$EZ1530,24,FALSE),VLOOKUP($B1513,Data!$B$3:$EZ1530,25,FALSE)),1),"")</f>
        <v>-1.478672986</v>
      </c>
      <c r="K1513" s="48">
        <f>IFERROR(MINUS(DIVIDE(VLOOKUP($B1513,Data!$B$3:$EZ1530,29,FALSE),VLOOKUP($B1513,Data!$B$3:$EZ1530,30,FALSE)),1),"")</f>
        <v>-1.446927374</v>
      </c>
      <c r="L1513" s="48" t="str">
        <f>IFERROR(MINUS(DIVIDE(VLOOKUP($B1513,Data!$B$3:$EZ1530,34,FALSE),VLOOKUP($B1513,Data!$B$3:$EZ1530,35,FALSE)),1),"")</f>
        <v/>
      </c>
      <c r="M1513" s="48">
        <f>IFERROR(MINUS(DIVIDE(VLOOKUP($B1513,Data!$B$3:$EZ1530,39,FALSE),VLOOKUP($B1513,Data!$B$3:$EZ1530,40,FALSE)),1),"")</f>
        <v>-1.446927374</v>
      </c>
      <c r="N1513" s="48">
        <f>IFERROR(MINUS(DIVIDE(VLOOKUP($B1513,Data!$B$3:$EZ1530,44,FALSE),VLOOKUP($B1513,Data!$B$3:$EZ1530,45,FALSE)),1),"")</f>
        <v>0.0861423221</v>
      </c>
      <c r="O1513" s="50" t="str">
        <f>IFERROR(VLOOKUP($B1513,Data!$B$3:$D1530,2,FALSE),"")</f>
        <v/>
      </c>
      <c r="P1513" s="50" t="str">
        <f>IFERROR(VLOOKUP($B1513,Data!$B$3:$D1530,3,FALSE),"")</f>
        <v/>
      </c>
      <c r="Q1513" s="48" t="str">
        <f t="shared" si="2"/>
        <v/>
      </c>
      <c r="R1513" s="48"/>
      <c r="S1513" s="48"/>
      <c r="T1513" s="48"/>
      <c r="U1513" s="48"/>
      <c r="V1513" s="48"/>
      <c r="W1513" s="50"/>
      <c r="Z1513" s="12"/>
      <c r="AA1513" s="12"/>
    </row>
    <row r="1514">
      <c r="A1514" s="9">
        <f t="shared" si="1"/>
        <v>1511</v>
      </c>
      <c r="B1514" s="47" t="s">
        <v>1648</v>
      </c>
      <c r="C1514" s="48">
        <f>IFERROR(DIVIDE(VLOOKUP($B1514,Data!$B$3:$AB$1535,9,FALSE),VLOOKUP($B1514,Data!$B$3:$AB$1535,4,FALSE)),"")</f>
        <v>0.2824362468</v>
      </c>
      <c r="D1514" s="48">
        <f>IFERROR(DIVIDE(VLOOKUP($B1514,Data!$B$3:$AB$1535,24,FALSE),VLOOKUP($B1514,Data!$B$3:$AB$1535,4,FALSE)),"")</f>
        <v>0.05647751606</v>
      </c>
      <c r="E1514" s="48">
        <f>IFERROR(DIVIDE(VLOOKUP($B1514,Data!$B$3:$EZ1530,29,FALSE),VLOOKUP($B1514,Data!$B$3:$EZ1530,4,FALSE)),"")</f>
        <v>0.05995717345</v>
      </c>
      <c r="F1514" s="48">
        <f>IFERROR(DIVIDE(VLOOKUP($B1514,Data!$B$3:$EZ1530,34,FALSE),VLOOKUP($B1514,Data!$B$3:$EZ1530,4,FALSE)),"")</f>
        <v>0.09755207319</v>
      </c>
      <c r="G1514" s="48">
        <f>IFERROR(DIVIDE(VLOOKUP($B1514,Data!$B$3:$EZ1530,39,FALSE),VLOOKUP($B1514,Data!$B$3:$EZ1530,4,FALSE)),"")</f>
        <v>0.03788689897</v>
      </c>
      <c r="H1514" s="48">
        <f>IFERROR(DIVIDE(VLOOKUP($B1514,Data!$B$3:$EZ1530,44,FALSE),VLOOKUP($B1514,Data!$B$3:$EZ1530,4,FALSE)),"")</f>
        <v>0.05226786062</v>
      </c>
      <c r="I1514" s="48">
        <f>IFERROR(MINUS(DIVIDE(VLOOKUP($B1514,Data!$B$3:$EZ1530,9,FALSE),VLOOKUP($B1514,Data!$B$3:$EZ1530,10,FALSE)),1),"")</f>
        <v>-0.2153190914</v>
      </c>
      <c r="J1514" s="48">
        <f>IFERROR(MINUS(DIVIDE(VLOOKUP($B1514,Data!$B$3:$EZ1530,24,FALSE),VLOOKUP($B1514,Data!$B$3:$EZ1530,25,FALSE)),1),"")</f>
        <v>29.53947368</v>
      </c>
      <c r="K1514" s="48">
        <f>IFERROR(MINUS(DIVIDE(VLOOKUP($B1514,Data!$B$3:$EZ1530,29,FALSE),VLOOKUP($B1514,Data!$B$3:$EZ1530,30,FALSE)),1),"")</f>
        <v>-0.5524069028</v>
      </c>
      <c r="L1514" s="48">
        <f>IFERROR(MINUS(DIVIDE(VLOOKUP($B1514,Data!$B$3:$EZ1530,34,FALSE),VLOOKUP($B1514,Data!$B$3:$EZ1530,35,FALSE)),1),"")</f>
        <v>-0.4012843489</v>
      </c>
      <c r="M1514" s="48">
        <f>IFERROR(MINUS(DIVIDE(VLOOKUP($B1514,Data!$B$3:$EZ1530,39,FALSE),VLOOKUP($B1514,Data!$B$3:$EZ1530,40,FALSE)),1),"")</f>
        <v>-0.6338193791</v>
      </c>
      <c r="N1514" s="48">
        <f>IFERROR(MINUS(DIVIDE(VLOOKUP($B1514,Data!$B$3:$EZ1530,44,FALSE),VLOOKUP($B1514,Data!$B$3:$EZ1530,45,FALSE)),1),"")</f>
        <v>-0.3746724891</v>
      </c>
      <c r="O1514" s="50" t="str">
        <f>IFERROR(VLOOKUP($B1514,Data!$B$3:$D1530,2,FALSE),"")</f>
        <v/>
      </c>
      <c r="P1514" s="50" t="str">
        <f>IFERROR(VLOOKUP($B1514,Data!$B$3:$D1530,3,FALSE),"")</f>
        <v/>
      </c>
      <c r="Q1514" s="48" t="str">
        <f t="shared" si="2"/>
        <v/>
      </c>
      <c r="R1514" s="48"/>
      <c r="S1514" s="48"/>
      <c r="T1514" s="48"/>
      <c r="U1514" s="48"/>
      <c r="V1514" s="48"/>
      <c r="W1514" s="50"/>
      <c r="Z1514" s="11"/>
      <c r="AA1514" s="11"/>
    </row>
    <row r="1515">
      <c r="A1515" s="9">
        <f t="shared" si="1"/>
        <v>1512</v>
      </c>
      <c r="B1515" s="47" t="s">
        <v>1649</v>
      </c>
      <c r="C1515" s="48" t="str">
        <f>IFERROR(DIVIDE(VLOOKUP($B1515,Data!$B$3:$AB$1535,9,FALSE),VLOOKUP($B1515,Data!$B$3:$AB$1535,4,FALSE)),"")</f>
        <v/>
      </c>
      <c r="D1515" s="48" t="str">
        <f>IFERROR(DIVIDE(VLOOKUP($B1515,Data!$B$3:$AB$1535,24,FALSE),VLOOKUP($B1515,Data!$B$3:$AB$1535,4,FALSE)),"")</f>
        <v/>
      </c>
      <c r="E1515" s="48" t="str">
        <f>IFERROR(DIVIDE(VLOOKUP($B1515,Data!$B$3:$EZ1530,29,FALSE),VLOOKUP($B1515,Data!$B$3:$EZ1530,4,FALSE)),"")</f>
        <v/>
      </c>
      <c r="F1515" s="48" t="str">
        <f>IFERROR(DIVIDE(VLOOKUP($B1515,Data!$B$3:$EZ1530,34,FALSE),VLOOKUP($B1515,Data!$B$3:$EZ1530,4,FALSE)),"")</f>
        <v/>
      </c>
      <c r="G1515" s="48" t="str">
        <f>IFERROR(DIVIDE(VLOOKUP($B1515,Data!$B$3:$EZ1530,39,FALSE),VLOOKUP($B1515,Data!$B$3:$EZ1530,4,FALSE)),"")</f>
        <v/>
      </c>
      <c r="H1515" s="48" t="str">
        <f>IFERROR(DIVIDE(VLOOKUP($B1515,Data!$B$3:$EZ1530,44,FALSE),VLOOKUP($B1515,Data!$B$3:$EZ1530,4,FALSE)),"")</f>
        <v/>
      </c>
      <c r="I1515" s="48">
        <f>IFERROR(MINUS(DIVIDE(VLOOKUP($B1515,Data!$B$3:$EZ1530,9,FALSE),VLOOKUP($B1515,Data!$B$3:$EZ1530,10,FALSE)),1),"")</f>
        <v>4.724137931</v>
      </c>
      <c r="J1515" s="48" t="str">
        <f>IFERROR(MINUS(DIVIDE(VLOOKUP($B1515,Data!$B$3:$EZ1530,24,FALSE),VLOOKUP($B1515,Data!$B$3:$EZ1530,25,FALSE)),1),"")</f>
        <v/>
      </c>
      <c r="K1515" s="48">
        <f>IFERROR(MINUS(DIVIDE(VLOOKUP($B1515,Data!$B$3:$EZ1530,29,FALSE),VLOOKUP($B1515,Data!$B$3:$EZ1530,30,FALSE)),1),"")</f>
        <v>0.8726600416</v>
      </c>
      <c r="L1515" s="48">
        <f>IFERROR(MINUS(DIVIDE(VLOOKUP($B1515,Data!$B$3:$EZ1530,34,FALSE),VLOOKUP($B1515,Data!$B$3:$EZ1530,35,FALSE)),1),"")</f>
        <v>0.9175925926</v>
      </c>
      <c r="M1515" s="48">
        <f>IFERROR(MINUS(DIVIDE(VLOOKUP($B1515,Data!$B$3:$EZ1530,39,FALSE),VLOOKUP($B1515,Data!$B$3:$EZ1530,40,FALSE)),1),"")</f>
        <v>0.8726600416</v>
      </c>
      <c r="N1515" s="48">
        <f>IFERROR(MINUS(DIVIDE(VLOOKUP($B1515,Data!$B$3:$EZ1530,44,FALSE),VLOOKUP($B1515,Data!$B$3:$EZ1530,45,FALSE)),1),"")</f>
        <v>0.7826825127</v>
      </c>
      <c r="O1515" s="50">
        <f>IFERROR(VLOOKUP($B1515,Data!$B$3:$D1530,2,FALSE),"")</f>
        <v>78340</v>
      </c>
      <c r="P1515" s="50">
        <f>IFERROR(VLOOKUP($B1515,Data!$B$3:$D1530,3,FALSE),"")</f>
        <v>3200</v>
      </c>
      <c r="Q1515" s="48">
        <f t="shared" si="2"/>
        <v>23.48125</v>
      </c>
      <c r="R1515" s="48"/>
      <c r="S1515" s="48"/>
      <c r="T1515" s="48"/>
      <c r="U1515" s="48"/>
      <c r="V1515" s="48"/>
      <c r="W1515" s="50"/>
      <c r="Z1515" s="12"/>
      <c r="AA1515" s="12"/>
    </row>
    <row r="1516">
      <c r="A1516" s="9">
        <f t="shared" si="1"/>
        <v>1513</v>
      </c>
      <c r="B1516" s="47" t="s">
        <v>1650</v>
      </c>
      <c r="C1516" s="48">
        <f>IFERROR(DIVIDE(VLOOKUP($B1516,Data!$B$3:$AB$1535,9,FALSE),VLOOKUP($B1516,Data!$B$3:$AB$1535,4,FALSE)),"")</f>
        <v>0.002197125257</v>
      </c>
      <c r="D1516" s="48">
        <f>IFERROR(DIVIDE(VLOOKUP($B1516,Data!$B$3:$AB$1535,24,FALSE),VLOOKUP($B1516,Data!$B$3:$AB$1535,4,FALSE)),"")</f>
        <v>-0.001786447639</v>
      </c>
      <c r="E1516" s="48">
        <f>IFERROR(DIVIDE(VLOOKUP($B1516,Data!$B$3:$EZ1530,29,FALSE),VLOOKUP($B1516,Data!$B$3:$EZ1530,4,FALSE)),"")</f>
        <v>-0.02223819302</v>
      </c>
      <c r="F1516" s="48">
        <f>IFERROR(DIVIDE(VLOOKUP($B1516,Data!$B$3:$EZ1530,34,FALSE),VLOOKUP($B1516,Data!$B$3:$EZ1530,4,FALSE)),"")</f>
        <v>0.03349075975</v>
      </c>
      <c r="G1516" s="48">
        <f>IFERROR(DIVIDE(VLOOKUP($B1516,Data!$B$3:$EZ1530,39,FALSE),VLOOKUP($B1516,Data!$B$3:$EZ1530,4,FALSE)),"")</f>
        <v>-0.02135523614</v>
      </c>
      <c r="H1516" s="48">
        <f>IFERROR(DIVIDE(VLOOKUP($B1516,Data!$B$3:$EZ1530,44,FALSE),VLOOKUP($B1516,Data!$B$3:$EZ1530,4,FALSE)),"")</f>
        <v>0.004414784394</v>
      </c>
      <c r="I1516" s="48">
        <f>IFERROR(MINUS(DIVIDE(VLOOKUP($B1516,Data!$B$3:$EZ1530,9,FALSE),VLOOKUP($B1516,Data!$B$3:$EZ1530,10,FALSE)),1),"")</f>
        <v>-0.9123669124</v>
      </c>
      <c r="J1516" s="48" t="str">
        <f>IFERROR(MINUS(DIVIDE(VLOOKUP($B1516,Data!$B$3:$EZ1530,24,FALSE),VLOOKUP($B1516,Data!$B$3:$EZ1530,25,FALSE)),1),"")</f>
        <v/>
      </c>
      <c r="K1516" s="48">
        <f>IFERROR(MINUS(DIVIDE(VLOOKUP($B1516,Data!$B$3:$EZ1530,29,FALSE),VLOOKUP($B1516,Data!$B$3:$EZ1530,30,FALSE)),1),"")</f>
        <v>-4.460063898</v>
      </c>
      <c r="L1516" s="48">
        <f>IFERROR(MINUS(DIVIDE(VLOOKUP($B1516,Data!$B$3:$EZ1530,34,FALSE),VLOOKUP($B1516,Data!$B$3:$EZ1530,35,FALSE)),1),"")</f>
        <v>-0.3954781319</v>
      </c>
      <c r="M1516" s="48">
        <f>IFERROR(MINUS(DIVIDE(VLOOKUP($B1516,Data!$B$3:$EZ1530,39,FALSE),VLOOKUP($B1516,Data!$B$3:$EZ1530,40,FALSE)),1),"")</f>
        <v>-6.148514851</v>
      </c>
      <c r="N1516" s="48">
        <f>IFERROR(MINUS(DIVIDE(VLOOKUP($B1516,Data!$B$3:$EZ1530,44,FALSE),VLOOKUP($B1516,Data!$B$3:$EZ1530,45,FALSE)),1),"")</f>
        <v>-0.9043594306</v>
      </c>
      <c r="O1516" s="50">
        <f>IFERROR(VLOOKUP($B1516,Data!$B$3:$D1530,2,FALSE),"")</f>
        <v>4740000</v>
      </c>
      <c r="P1516" s="50">
        <f>IFERROR(VLOOKUP($B1516,Data!$B$3:$D1530,3,FALSE),"")</f>
        <v>4510000</v>
      </c>
      <c r="Q1516" s="48">
        <f t="shared" si="2"/>
        <v>0.05099778271</v>
      </c>
      <c r="R1516" s="48"/>
      <c r="S1516" s="48"/>
      <c r="T1516" s="48"/>
      <c r="U1516" s="48"/>
      <c r="V1516" s="48"/>
      <c r="W1516" s="50"/>
      <c r="Z1516" s="12"/>
      <c r="AA1516" s="12"/>
    </row>
    <row r="1517">
      <c r="A1517" s="9">
        <f t="shared" si="1"/>
        <v>1514</v>
      </c>
      <c r="B1517" s="47" t="s">
        <v>1651</v>
      </c>
      <c r="C1517" s="48">
        <f>IFERROR(DIVIDE(VLOOKUP($B1517,Data!$B$3:$AB$1535,9,FALSE),VLOOKUP($B1517,Data!$B$3:$AB$1535,4,FALSE)),"")</f>
        <v>0.5017857143</v>
      </c>
      <c r="D1517" s="48">
        <f>IFERROR(DIVIDE(VLOOKUP($B1517,Data!$B$3:$AB$1535,24,FALSE),VLOOKUP($B1517,Data!$B$3:$AB$1535,4,FALSE)),"")</f>
        <v>0.3232142857</v>
      </c>
      <c r="E1517" s="48">
        <f>IFERROR(DIVIDE(VLOOKUP($B1517,Data!$B$3:$EZ1530,29,FALSE),VLOOKUP($B1517,Data!$B$3:$EZ1530,4,FALSE)),"")</f>
        <v>0.2446428571</v>
      </c>
      <c r="F1517" s="48">
        <f>IFERROR(DIVIDE(VLOOKUP($B1517,Data!$B$3:$EZ1530,34,FALSE),VLOOKUP($B1517,Data!$B$3:$EZ1530,4,FALSE)),"")</f>
        <v>0.3678571429</v>
      </c>
      <c r="G1517" s="48">
        <f>IFERROR(DIVIDE(VLOOKUP($B1517,Data!$B$3:$EZ1530,39,FALSE),VLOOKUP($B1517,Data!$B$3:$EZ1530,4,FALSE)),"")</f>
        <v>0.2303571429</v>
      </c>
      <c r="H1517" s="48">
        <f>IFERROR(DIVIDE(VLOOKUP($B1517,Data!$B$3:$EZ1530,44,FALSE),VLOOKUP($B1517,Data!$B$3:$EZ1530,4,FALSE)),"")</f>
        <v>0.2357142857</v>
      </c>
      <c r="I1517" s="48">
        <f>IFERROR(MINUS(DIVIDE(VLOOKUP($B1517,Data!$B$3:$EZ1530,9,FALSE),VLOOKUP($B1517,Data!$B$3:$EZ1530,10,FALSE)),1),"")</f>
        <v>0.05639097744</v>
      </c>
      <c r="J1517" s="48">
        <f>IFERROR(MINUS(DIVIDE(VLOOKUP($B1517,Data!$B$3:$EZ1530,24,FALSE),VLOOKUP($B1517,Data!$B$3:$EZ1530,25,FALSE)),1),"")</f>
        <v>0.02840909091</v>
      </c>
      <c r="K1517" s="48">
        <f>IFERROR(MINUS(DIVIDE(VLOOKUP($B1517,Data!$B$3:$EZ1530,29,FALSE),VLOOKUP($B1517,Data!$B$3:$EZ1530,30,FALSE)),1),"")</f>
        <v>-0.2554347826</v>
      </c>
      <c r="L1517" s="48">
        <f>IFERROR(MINUS(DIVIDE(VLOOKUP($B1517,Data!$B$3:$EZ1530,34,FALSE),VLOOKUP($B1517,Data!$B$3:$EZ1530,35,FALSE)),1),"")</f>
        <v>0.05641025641</v>
      </c>
      <c r="M1517" s="48">
        <f>IFERROR(MINUS(DIVIDE(VLOOKUP($B1517,Data!$B$3:$EZ1530,39,FALSE),VLOOKUP($B1517,Data!$B$3:$EZ1530,40,FALSE)),1),"")</f>
        <v>-0.1623376623</v>
      </c>
      <c r="N1517" s="48">
        <f>IFERROR(MINUS(DIVIDE(VLOOKUP($B1517,Data!$B$3:$EZ1530,44,FALSE),VLOOKUP($B1517,Data!$B$3:$EZ1530,45,FALSE)),1),"")</f>
        <v>0.1186440678</v>
      </c>
      <c r="O1517" s="50">
        <f>IFERROR(VLOOKUP($B1517,Data!$B$3:$D1530,2,FALSE),"")</f>
        <v>6110000</v>
      </c>
      <c r="P1517" s="50">
        <f>IFERROR(VLOOKUP($B1517,Data!$B$3:$D1530,3,FALSE),"")</f>
        <v>5500000</v>
      </c>
      <c r="Q1517" s="48">
        <f t="shared" si="2"/>
        <v>0.1109090909</v>
      </c>
      <c r="R1517" s="48"/>
      <c r="S1517" s="48"/>
      <c r="T1517" s="48"/>
      <c r="U1517" s="48"/>
      <c r="V1517" s="48"/>
      <c r="W1517" s="50"/>
      <c r="Z1517" s="11"/>
      <c r="AA1517" s="11"/>
    </row>
    <row r="1518">
      <c r="A1518" s="9">
        <f t="shared" si="1"/>
        <v>1515</v>
      </c>
      <c r="B1518" s="47" t="s">
        <v>1652</v>
      </c>
      <c r="C1518" s="48">
        <f>IFERROR(DIVIDE(VLOOKUP($B1518,Data!$B$3:$AB$1535,9,FALSE),VLOOKUP($B1518,Data!$B$3:$AB$1535,4,FALSE)),"")</f>
        <v>0.159453303</v>
      </c>
      <c r="D1518" s="48">
        <f>IFERROR(DIVIDE(VLOOKUP($B1518,Data!$B$3:$AB$1535,24,FALSE),VLOOKUP($B1518,Data!$B$3:$AB$1535,4,FALSE)),"")</f>
        <v>0.1071753986</v>
      </c>
      <c r="E1518" s="48">
        <f>IFERROR(DIVIDE(VLOOKUP($B1518,Data!$B$3:$EZ1530,29,FALSE),VLOOKUP($B1518,Data!$B$3:$EZ1530,4,FALSE)),"")</f>
        <v>0.1063781321</v>
      </c>
      <c r="F1518" s="48">
        <f>IFERROR(DIVIDE(VLOOKUP($B1518,Data!$B$3:$EZ1530,34,FALSE),VLOOKUP($B1518,Data!$B$3:$EZ1530,4,FALSE)),"")</f>
        <v>0.1913439636</v>
      </c>
      <c r="G1518" s="48">
        <f>IFERROR(DIVIDE(VLOOKUP($B1518,Data!$B$3:$EZ1530,39,FALSE),VLOOKUP($B1518,Data!$B$3:$EZ1530,4,FALSE)),"")</f>
        <v>0.08120728929</v>
      </c>
      <c r="H1518" s="48">
        <f>IFERROR(DIVIDE(VLOOKUP($B1518,Data!$B$3:$EZ1530,44,FALSE),VLOOKUP($B1518,Data!$B$3:$EZ1530,4,FALSE)),"")</f>
        <v>0.1355353075</v>
      </c>
      <c r="I1518" s="48">
        <f>IFERROR(MINUS(DIVIDE(VLOOKUP($B1518,Data!$B$3:$EZ1530,9,FALSE),VLOOKUP($B1518,Data!$B$3:$EZ1530,10,FALSE)),1),"")</f>
        <v>0.06060606061</v>
      </c>
      <c r="J1518" s="48">
        <f>IFERROR(MINUS(DIVIDE(VLOOKUP($B1518,Data!$B$3:$EZ1530,24,FALSE),VLOOKUP($B1518,Data!$B$3:$EZ1530,25,FALSE)),1),"")</f>
        <v>0.05849268841</v>
      </c>
      <c r="K1518" s="48">
        <f>IFERROR(MINUS(DIVIDE(VLOOKUP($B1518,Data!$B$3:$EZ1530,29,FALSE),VLOOKUP($B1518,Data!$B$3:$EZ1530,30,FALSE)),1),"")</f>
        <v>0.05536723164</v>
      </c>
      <c r="L1518" s="48">
        <f>IFERROR(MINUS(DIVIDE(VLOOKUP($B1518,Data!$B$3:$EZ1530,34,FALSE),VLOOKUP($B1518,Data!$B$3:$EZ1530,35,FALSE)),1),"")</f>
        <v>0.2923076923</v>
      </c>
      <c r="M1518" s="48">
        <f>IFERROR(MINUS(DIVIDE(VLOOKUP($B1518,Data!$B$3:$EZ1530,39,FALSE),VLOOKUP($B1518,Data!$B$3:$EZ1530,40,FALSE)),1),"")</f>
        <v>0.007062146893</v>
      </c>
      <c r="N1518" s="48">
        <f>IFERROR(MINUS(DIVIDE(VLOOKUP($B1518,Data!$B$3:$EZ1530,44,FALSE),VLOOKUP($B1518,Data!$B$3:$EZ1530,45,FALSE)),1),"")</f>
        <v>-0.1052631579</v>
      </c>
      <c r="O1518" s="50">
        <f>IFERROR(VLOOKUP($B1518,Data!$B$3:$D1530,2,FALSE),"")</f>
        <v>9530000</v>
      </c>
      <c r="P1518" s="50">
        <f>IFERROR(VLOOKUP($B1518,Data!$B$3:$D1530,3,FALSE),"")</f>
        <v>8080000</v>
      </c>
      <c r="Q1518" s="48">
        <f t="shared" si="2"/>
        <v>0.1794554455</v>
      </c>
      <c r="R1518" s="48"/>
      <c r="S1518" s="48"/>
      <c r="T1518" s="48"/>
      <c r="U1518" s="48"/>
      <c r="V1518" s="48"/>
      <c r="W1518" s="50"/>
      <c r="Z1518" s="11"/>
      <c r="AA1518" s="11"/>
    </row>
    <row r="1519">
      <c r="A1519" s="9">
        <f t="shared" si="1"/>
        <v>1516</v>
      </c>
      <c r="B1519" s="47" t="s">
        <v>1653</v>
      </c>
      <c r="C1519" s="48">
        <f>IFERROR(DIVIDE(VLOOKUP($B1519,Data!$B$3:$AB$1535,9,FALSE),VLOOKUP($B1519,Data!$B$3:$AB$1535,4,FALSE)),"")</f>
        <v>0.6624727801</v>
      </c>
      <c r="D1519" s="48">
        <f>IFERROR(DIVIDE(VLOOKUP($B1519,Data!$B$3:$AB$1535,24,FALSE),VLOOKUP($B1519,Data!$B$3:$AB$1535,4,FALSE)),"")</f>
        <v>-14.16743286</v>
      </c>
      <c r="E1519" s="48">
        <f>IFERROR(DIVIDE(VLOOKUP($B1519,Data!$B$3:$EZ1530,29,FALSE),VLOOKUP($B1519,Data!$B$3:$EZ1530,4,FALSE)),"")</f>
        <v>-13.95306073</v>
      </c>
      <c r="F1519" s="48">
        <f>IFERROR(DIVIDE(VLOOKUP($B1519,Data!$B$3:$EZ1530,34,FALSE),VLOOKUP($B1519,Data!$B$3:$EZ1530,4,FALSE)),"")</f>
        <v>-13.90854101</v>
      </c>
      <c r="G1519" s="48">
        <f>IFERROR(DIVIDE(VLOOKUP($B1519,Data!$B$3:$EZ1530,39,FALSE),VLOOKUP($B1519,Data!$B$3:$EZ1530,4,FALSE)),"")</f>
        <v>-13.82869586</v>
      </c>
      <c r="H1519" s="48">
        <f>IFERROR(DIVIDE(VLOOKUP($B1519,Data!$B$3:$EZ1530,44,FALSE),VLOOKUP($B1519,Data!$B$3:$EZ1530,4,FALSE)),"")</f>
        <v>-9.885797242</v>
      </c>
      <c r="I1519" s="48">
        <f>IFERROR(MINUS(DIVIDE(VLOOKUP($B1519,Data!$B$3:$EZ1530,9,FALSE),VLOOKUP($B1519,Data!$B$3:$EZ1530,10,FALSE)),1),"")</f>
        <v>-0.09066755231</v>
      </c>
      <c r="J1519" s="48">
        <f>IFERROR(MINUS(DIVIDE(VLOOKUP($B1519,Data!$B$3:$EZ1530,24,FALSE),VLOOKUP($B1519,Data!$B$3:$EZ1530,25,FALSE)),1),"")</f>
        <v>-1.90031828</v>
      </c>
      <c r="K1519" s="48">
        <f>IFERROR(MINUS(DIVIDE(VLOOKUP($B1519,Data!$B$3:$EZ1530,29,FALSE),VLOOKUP($B1519,Data!$B$3:$EZ1530,30,FALSE)),1),"")</f>
        <v>-1.92259943</v>
      </c>
      <c r="L1519" s="48">
        <f>IFERROR(MINUS(DIVIDE(VLOOKUP($B1519,Data!$B$3:$EZ1530,34,FALSE),VLOOKUP($B1519,Data!$B$3:$EZ1530,35,FALSE)),1),"")</f>
        <v>-1.875919972</v>
      </c>
      <c r="M1519" s="48">
        <f>IFERROR(MINUS(DIVIDE(VLOOKUP($B1519,Data!$B$3:$EZ1530,39,FALSE),VLOOKUP($B1519,Data!$B$3:$EZ1530,40,FALSE)),1),"")</f>
        <v>-1.983243876</v>
      </c>
      <c r="N1519" s="48">
        <f>IFERROR(MINUS(DIVIDE(VLOOKUP($B1519,Data!$B$3:$EZ1530,44,FALSE),VLOOKUP($B1519,Data!$B$3:$EZ1530,45,FALSE)),1),"")</f>
        <v>-0.1125543006</v>
      </c>
      <c r="O1519" s="50">
        <f>IFERROR(VLOOKUP($B1519,Data!$B$3:$D1530,2,FALSE),"")</f>
        <v>37050</v>
      </c>
      <c r="P1519" s="50">
        <f>IFERROR(VLOOKUP($B1519,Data!$B$3:$D1530,3,FALSE),"")</f>
        <v>60280</v>
      </c>
      <c r="Q1519" s="48">
        <f t="shared" si="2"/>
        <v>-0.3853682814</v>
      </c>
      <c r="R1519" s="48"/>
      <c r="S1519" s="48"/>
      <c r="T1519" s="48"/>
      <c r="U1519" s="48"/>
      <c r="V1519" s="48"/>
      <c r="W1519" s="50"/>
      <c r="Z1519" s="15"/>
      <c r="AA1519" s="15"/>
    </row>
    <row r="1520">
      <c r="A1520" s="9">
        <f t="shared" si="1"/>
        <v>1517</v>
      </c>
      <c r="B1520" s="47" t="s">
        <v>1654</v>
      </c>
      <c r="C1520" s="48">
        <f>IFERROR(DIVIDE(VLOOKUP($B1520,Data!$B$3:$AB$1535,9,FALSE),VLOOKUP($B1520,Data!$B$3:$AB$1535,4,FALSE)),"")</f>
        <v>0</v>
      </c>
      <c r="D1520" s="48">
        <f>IFERROR(DIVIDE(VLOOKUP($B1520,Data!$B$3:$AB$1535,24,FALSE),VLOOKUP($B1520,Data!$B$3:$AB$1535,4,FALSE)),"")</f>
        <v>-117.7205479</v>
      </c>
      <c r="E1520" s="48">
        <f>IFERROR(DIVIDE(VLOOKUP($B1520,Data!$B$3:$EZ1530,29,FALSE),VLOOKUP($B1520,Data!$B$3:$EZ1530,4,FALSE)),"")</f>
        <v>-114.9315068</v>
      </c>
      <c r="F1520" s="48">
        <f>IFERROR(DIVIDE(VLOOKUP($B1520,Data!$B$3:$EZ1530,34,FALSE),VLOOKUP($B1520,Data!$B$3:$EZ1530,4,FALSE)),"")</f>
        <v>-46.99178082</v>
      </c>
      <c r="G1520" s="48">
        <f>IFERROR(DIVIDE(VLOOKUP($B1520,Data!$B$3:$EZ1530,39,FALSE),VLOOKUP($B1520,Data!$B$3:$EZ1530,4,FALSE)),"")</f>
        <v>-114.9315068</v>
      </c>
      <c r="H1520" s="48">
        <f>IFERROR(DIVIDE(VLOOKUP($B1520,Data!$B$3:$EZ1530,44,FALSE),VLOOKUP($B1520,Data!$B$3:$EZ1530,4,FALSE)),"")</f>
        <v>-33.76438356</v>
      </c>
      <c r="I1520" s="48">
        <f>IFERROR(MINUS(DIVIDE(VLOOKUP($B1520,Data!$B$3:$EZ1530,9,FALSE),VLOOKUP($B1520,Data!$B$3:$EZ1530,10,FALSE)),1),"")</f>
        <v>-1</v>
      </c>
      <c r="J1520" s="48">
        <f>IFERROR(MINUS(DIVIDE(VLOOKUP($B1520,Data!$B$3:$EZ1530,24,FALSE),VLOOKUP($B1520,Data!$B$3:$EZ1530,25,FALSE)),1),"")</f>
        <v>2.047159776</v>
      </c>
      <c r="K1520" s="48">
        <f>IFERROR(MINUS(DIVIDE(VLOOKUP($B1520,Data!$B$3:$EZ1530,29,FALSE),VLOOKUP($B1520,Data!$B$3:$EZ1530,30,FALSE)),1),"")</f>
        <v>2.390720983</v>
      </c>
      <c r="L1520" s="48">
        <f>IFERROR(MINUS(DIVIDE(VLOOKUP($B1520,Data!$B$3:$EZ1530,34,FALSE),VLOOKUP($B1520,Data!$B$3:$EZ1530,35,FALSE)),1),"")</f>
        <v>0.2275980532</v>
      </c>
      <c r="M1520" s="48">
        <f>IFERROR(MINUS(DIVIDE(VLOOKUP($B1520,Data!$B$3:$EZ1530,39,FALSE),VLOOKUP($B1520,Data!$B$3:$EZ1530,40,FALSE)),1),"")</f>
        <v>2.390720983</v>
      </c>
      <c r="N1520" s="48">
        <f>IFERROR(MINUS(DIVIDE(VLOOKUP($B1520,Data!$B$3:$EZ1530,44,FALSE),VLOOKUP($B1520,Data!$B$3:$EZ1530,45,FALSE)),1),"")</f>
        <v>0.103707684</v>
      </c>
      <c r="O1520" s="50">
        <f>IFERROR(VLOOKUP($B1520,Data!$B$3:$D1530,2,FALSE),"")</f>
        <v>100830</v>
      </c>
      <c r="P1520" s="50">
        <f>IFERROR(VLOOKUP($B1520,Data!$B$3:$D1530,3,FALSE),"")</f>
        <v>13580</v>
      </c>
      <c r="Q1520" s="48">
        <f t="shared" si="2"/>
        <v>6.424889543</v>
      </c>
      <c r="R1520" s="48"/>
      <c r="S1520" s="48"/>
      <c r="T1520" s="48"/>
      <c r="U1520" s="48"/>
      <c r="V1520" s="48"/>
      <c r="W1520" s="50"/>
      <c r="Z1520" s="15"/>
      <c r="AA1520" s="15"/>
    </row>
    <row r="1521">
      <c r="A1521" s="9">
        <f t="shared" si="1"/>
        <v>1518</v>
      </c>
      <c r="B1521" s="47" t="s">
        <v>1655</v>
      </c>
      <c r="C1521" s="48" t="str">
        <f>IFERROR(DIVIDE(VLOOKUP($B1521,Data!$B$3:$AB$1535,9,FALSE),VLOOKUP($B1521,Data!$B$3:$AB$1535,4,FALSE)),"")</f>
        <v/>
      </c>
      <c r="D1521" s="48" t="str">
        <f>IFERROR(DIVIDE(VLOOKUP($B1521,Data!$B$3:$AB$1535,24,FALSE),VLOOKUP($B1521,Data!$B$3:$AB$1535,4,FALSE)),"")</f>
        <v/>
      </c>
      <c r="E1521" s="48" t="str">
        <f>IFERROR(DIVIDE(VLOOKUP($B1521,Data!$B$3:$EZ1530,29,FALSE),VLOOKUP($B1521,Data!$B$3:$EZ1530,4,FALSE)),"")</f>
        <v/>
      </c>
      <c r="F1521" s="48" t="str">
        <f>IFERROR(DIVIDE(VLOOKUP($B1521,Data!$B$3:$EZ1530,34,FALSE),VLOOKUP($B1521,Data!$B$3:$EZ1530,4,FALSE)),"")</f>
        <v/>
      </c>
      <c r="G1521" s="48" t="str">
        <f>IFERROR(DIVIDE(VLOOKUP($B1521,Data!$B$3:$EZ1530,39,FALSE),VLOOKUP($B1521,Data!$B$3:$EZ1530,4,FALSE)),"")</f>
        <v/>
      </c>
      <c r="H1521" s="48" t="str">
        <f>IFERROR(DIVIDE(VLOOKUP($B1521,Data!$B$3:$EZ1530,44,FALSE),VLOOKUP($B1521,Data!$B$3:$EZ1530,4,FALSE)),"")</f>
        <v/>
      </c>
      <c r="I1521" s="48" t="str">
        <f>IFERROR(MINUS(DIVIDE(VLOOKUP($B1521,Data!$B$3:$EZ1530,9,FALSE),VLOOKUP($B1521,Data!$B$3:$EZ1530,10,FALSE)),1),"")</f>
        <v/>
      </c>
      <c r="J1521" s="48">
        <f>IFERROR(MINUS(DIVIDE(VLOOKUP($B1521,Data!$B$3:$EZ1530,24,FALSE),VLOOKUP($B1521,Data!$B$3:$EZ1530,25,FALSE)),1),"")</f>
        <v>1.206697674</v>
      </c>
      <c r="K1521" s="48">
        <f>IFERROR(MINUS(DIVIDE(VLOOKUP($B1521,Data!$B$3:$EZ1530,29,FALSE),VLOOKUP($B1521,Data!$B$3:$EZ1530,30,FALSE)),1),"")</f>
        <v>1.217620482</v>
      </c>
      <c r="L1521" s="48">
        <f>IFERROR(MINUS(DIVIDE(VLOOKUP($B1521,Data!$B$3:$EZ1530,34,FALSE),VLOOKUP($B1521,Data!$B$3:$EZ1530,35,FALSE)),1),"")</f>
        <v>0.0731295706</v>
      </c>
      <c r="M1521" s="48">
        <f>IFERROR(MINUS(DIVIDE(VLOOKUP($B1521,Data!$B$3:$EZ1530,39,FALSE),VLOOKUP($B1521,Data!$B$3:$EZ1530,40,FALSE)),1),"")</f>
        <v>1.217620482</v>
      </c>
      <c r="N1521" s="48">
        <f>IFERROR(MINUS(DIVIDE(VLOOKUP($B1521,Data!$B$3:$EZ1530,44,FALSE),VLOOKUP($B1521,Data!$B$3:$EZ1530,45,FALSE)),1),"")</f>
        <v>-0.1740800647</v>
      </c>
      <c r="O1521" s="50" t="str">
        <f>IFERROR(VLOOKUP($B1521,Data!$B$3:$D1530,2,FALSE),"")</f>
        <v/>
      </c>
      <c r="P1521" s="50" t="str">
        <f>IFERROR(VLOOKUP($B1521,Data!$B$3:$D1530,3,FALSE),"")</f>
        <v/>
      </c>
      <c r="Q1521" s="48" t="str">
        <f t="shared" si="2"/>
        <v/>
      </c>
      <c r="R1521" s="48"/>
      <c r="S1521" s="48"/>
      <c r="T1521" s="48"/>
      <c r="U1521" s="48"/>
      <c r="V1521" s="48"/>
      <c r="W1521" s="50"/>
      <c r="Z1521" s="11"/>
      <c r="AA1521" s="11"/>
    </row>
    <row r="1522">
      <c r="A1522" s="9">
        <f t="shared" si="1"/>
        <v>1519</v>
      </c>
      <c r="B1522" s="47" t="s">
        <v>1656</v>
      </c>
      <c r="C1522" s="48">
        <f>IFERROR(DIVIDE(VLOOKUP($B1522,Data!$B$3:$AB$1535,9,FALSE),VLOOKUP($B1522,Data!$B$3:$AB$1535,4,FALSE)),"")</f>
        <v>0.2098385857</v>
      </c>
      <c r="D1522" s="48">
        <f>IFERROR(DIVIDE(VLOOKUP($B1522,Data!$B$3:$AB$1535,24,FALSE),VLOOKUP($B1522,Data!$B$3:$AB$1535,4,FALSE)),"")</f>
        <v>0</v>
      </c>
      <c r="E1522" s="48">
        <f>IFERROR(DIVIDE(VLOOKUP($B1522,Data!$B$3:$EZ1530,29,FALSE),VLOOKUP($B1522,Data!$B$3:$EZ1530,4,FALSE)),"")</f>
        <v>-14.96156802</v>
      </c>
      <c r="F1522" s="48">
        <f>IFERROR(DIVIDE(VLOOKUP($B1522,Data!$B$3:$EZ1530,34,FALSE),VLOOKUP($B1522,Data!$B$3:$EZ1530,4,FALSE)),"")</f>
        <v>-15.14450423</v>
      </c>
      <c r="G1522" s="48">
        <f>IFERROR(DIVIDE(VLOOKUP($B1522,Data!$B$3:$EZ1530,39,FALSE),VLOOKUP($B1522,Data!$B$3:$EZ1530,4,FALSE)),"")</f>
        <v>-15.01998463</v>
      </c>
      <c r="H1522" s="48">
        <f>IFERROR(DIVIDE(VLOOKUP($B1522,Data!$B$3:$EZ1530,44,FALSE),VLOOKUP($B1522,Data!$B$3:$EZ1530,4,FALSE)),"")</f>
        <v>-14.51960031</v>
      </c>
      <c r="I1522" s="48">
        <f>IFERROR(MINUS(DIVIDE(VLOOKUP($B1522,Data!$B$3:$EZ1530,9,FALSE),VLOOKUP($B1522,Data!$B$3:$EZ1530,10,FALSE)),1),"")</f>
        <v>-2.75</v>
      </c>
      <c r="J1522" s="48" t="str">
        <f>IFERROR(MINUS(DIVIDE(VLOOKUP($B1522,Data!$B$3:$EZ1530,24,FALSE),VLOOKUP($B1522,Data!$B$3:$EZ1530,25,FALSE)),1),"")</f>
        <v/>
      </c>
      <c r="K1522" s="48">
        <f>IFERROR(MINUS(DIVIDE(VLOOKUP($B1522,Data!$B$3:$EZ1530,29,FALSE),VLOOKUP($B1522,Data!$B$3:$EZ1530,30,FALSE)),1),"")</f>
        <v>0.4068372362</v>
      </c>
      <c r="L1522" s="48">
        <f>IFERROR(MINUS(DIVIDE(VLOOKUP($B1522,Data!$B$3:$EZ1530,34,FALSE),VLOOKUP($B1522,Data!$B$3:$EZ1530,35,FALSE)),1),"")</f>
        <v>0.4074576755</v>
      </c>
      <c r="M1522" s="48">
        <f>IFERROR(MINUS(DIVIDE(VLOOKUP($B1522,Data!$B$3:$EZ1530,39,FALSE),VLOOKUP($B1522,Data!$B$3:$EZ1530,40,FALSE)),1),"")</f>
        <v>0.4063332134</v>
      </c>
      <c r="N1522" s="48">
        <f>IFERROR(MINUS(DIVIDE(VLOOKUP($B1522,Data!$B$3:$EZ1530,44,FALSE),VLOOKUP($B1522,Data!$B$3:$EZ1530,45,FALSE)),1),"")</f>
        <v>0.9384299641</v>
      </c>
      <c r="O1522" s="50">
        <f>IFERROR(VLOOKUP($B1522,Data!$B$3:$D1530,2,FALSE),"")</f>
        <v>146270</v>
      </c>
      <c r="P1522" s="50">
        <f>IFERROR(VLOOKUP($B1522,Data!$B$3:$D1530,3,FALSE),"")</f>
        <v>47940</v>
      </c>
      <c r="Q1522" s="48">
        <f t="shared" si="2"/>
        <v>2.051105549</v>
      </c>
      <c r="R1522" s="48"/>
      <c r="S1522" s="48"/>
      <c r="T1522" s="48"/>
      <c r="U1522" s="48"/>
      <c r="V1522" s="48"/>
      <c r="W1522" s="50"/>
      <c r="Z1522" s="11"/>
      <c r="AA1522" s="11"/>
    </row>
    <row r="1523">
      <c r="A1523" s="9">
        <f t="shared" si="1"/>
        <v>1520</v>
      </c>
      <c r="B1523" s="47" t="s">
        <v>1657</v>
      </c>
      <c r="C1523" s="48">
        <f>IFERROR(DIVIDE(VLOOKUP($B1523,Data!$B$3:$AB$1535,9,FALSE),VLOOKUP($B1523,Data!$B$3:$AB$1535,4,FALSE)),"")</f>
        <v>0.1266929539</v>
      </c>
      <c r="D1523" s="48">
        <f>IFERROR(DIVIDE(VLOOKUP($B1523,Data!$B$3:$AB$1535,24,FALSE),VLOOKUP($B1523,Data!$B$3:$AB$1535,4,FALSE)),"")</f>
        <v>0.03874507115</v>
      </c>
      <c r="E1523" s="48">
        <f>IFERROR(DIVIDE(VLOOKUP($B1523,Data!$B$3:$EZ1530,29,FALSE),VLOOKUP($B1523,Data!$B$3:$EZ1530,4,FALSE)),"")</f>
        <v>0.02497285559</v>
      </c>
      <c r="F1523" s="48">
        <f>IFERROR(DIVIDE(VLOOKUP($B1523,Data!$B$3:$EZ1530,34,FALSE),VLOOKUP($B1523,Data!$B$3:$EZ1530,4,FALSE)),"")</f>
        <v>0.1962397851</v>
      </c>
      <c r="G1523" s="48">
        <f>IFERROR(DIVIDE(VLOOKUP($B1523,Data!$B$3:$EZ1530,39,FALSE),VLOOKUP($B1523,Data!$B$3:$EZ1530,4,FALSE)),"")</f>
        <v>0.01708669067</v>
      </c>
      <c r="H1523" s="48">
        <f>IFERROR(DIVIDE(VLOOKUP($B1523,Data!$B$3:$EZ1530,44,FALSE),VLOOKUP($B1523,Data!$B$3:$EZ1530,4,FALSE)),"")</f>
        <v>0.2038402194</v>
      </c>
      <c r="I1523" s="48">
        <f>IFERROR(MINUS(DIVIDE(VLOOKUP($B1523,Data!$B$3:$EZ1530,9,FALSE),VLOOKUP($B1523,Data!$B$3:$EZ1530,10,FALSE)),1),"")</f>
        <v>0.1445534331</v>
      </c>
      <c r="J1523" s="48">
        <f>IFERROR(MINUS(DIVIDE(VLOOKUP($B1523,Data!$B$3:$EZ1530,24,FALSE),VLOOKUP($B1523,Data!$B$3:$EZ1530,25,FALSE)),1),"")</f>
        <v>0.6865671642</v>
      </c>
      <c r="K1523" s="48">
        <f>IFERROR(MINUS(DIVIDE(VLOOKUP($B1523,Data!$B$3:$EZ1530,29,FALSE),VLOOKUP($B1523,Data!$B$3:$EZ1530,30,FALSE)),1),"")</f>
        <v>-0.05411255411</v>
      </c>
      <c r="L1523" s="48">
        <f>IFERROR(MINUS(DIVIDE(VLOOKUP($B1523,Data!$B$3:$EZ1530,34,FALSE),VLOOKUP($B1523,Data!$B$3:$EZ1530,35,FALSE)),1),"")</f>
        <v>0.6710462287</v>
      </c>
      <c r="M1523" s="48">
        <f>IFERROR(MINUS(DIVIDE(VLOOKUP($B1523,Data!$B$3:$EZ1530,39,FALSE),VLOOKUP($B1523,Data!$B$3:$EZ1530,40,FALSE)),1),"")</f>
        <v>-0.1282798834</v>
      </c>
      <c r="N1523" s="48">
        <f>IFERROR(MINUS(DIVIDE(VLOOKUP($B1523,Data!$B$3:$EZ1530,44,FALSE),VLOOKUP($B1523,Data!$B$3:$EZ1530,45,FALSE)),1),"")</f>
        <v>0.921875</v>
      </c>
      <c r="O1523" s="50" t="str">
        <f>IFERROR(VLOOKUP($B1523,Data!$B$3:$D1530,2,FALSE),"")</f>
        <v/>
      </c>
      <c r="P1523" s="50" t="str">
        <f>IFERROR(VLOOKUP($B1523,Data!$B$3:$D1530,3,FALSE),"")</f>
        <v/>
      </c>
      <c r="Q1523" s="48" t="str">
        <f t="shared" si="2"/>
        <v/>
      </c>
      <c r="R1523" s="48"/>
      <c r="S1523" s="48"/>
      <c r="T1523" s="48"/>
      <c r="U1523" s="48"/>
      <c r="V1523" s="48"/>
      <c r="W1523" s="50"/>
      <c r="Z1523" s="12"/>
      <c r="AA1523" s="12"/>
    </row>
    <row r="1524">
      <c r="A1524" s="9">
        <f t="shared" si="1"/>
        <v>1521</v>
      </c>
      <c r="B1524" s="47" t="s">
        <v>1658</v>
      </c>
      <c r="C1524" s="48" t="str">
        <f>IFERROR(DIVIDE(VLOOKUP($B1524,Data!$B$3:$AB$1535,9,FALSE),VLOOKUP($B1524,Data!$B$3:$AB$1535,4,FALSE)),"")</f>
        <v/>
      </c>
      <c r="D1524" s="48" t="str">
        <f>IFERROR(DIVIDE(VLOOKUP($B1524,Data!$B$3:$AB$1535,24,FALSE),VLOOKUP($B1524,Data!$B$3:$AB$1535,4,FALSE)),"")</f>
        <v/>
      </c>
      <c r="E1524" s="48" t="str">
        <f>IFERROR(DIVIDE(VLOOKUP($B1524,Data!$B$3:$EZ1530,29,FALSE),VLOOKUP($B1524,Data!$B$3:$EZ1530,4,FALSE)),"")</f>
        <v/>
      </c>
      <c r="F1524" s="48" t="str">
        <f>IFERROR(DIVIDE(VLOOKUP($B1524,Data!$B$3:$EZ1530,34,FALSE),VLOOKUP($B1524,Data!$B$3:$EZ1530,4,FALSE)),"")</f>
        <v/>
      </c>
      <c r="G1524" s="48" t="str">
        <f>IFERROR(DIVIDE(VLOOKUP($B1524,Data!$B$3:$EZ1530,39,FALSE),VLOOKUP($B1524,Data!$B$3:$EZ1530,4,FALSE)),"")</f>
        <v/>
      </c>
      <c r="H1524" s="48" t="str">
        <f>IFERROR(DIVIDE(VLOOKUP($B1524,Data!$B$3:$EZ1530,44,FALSE),VLOOKUP($B1524,Data!$B$3:$EZ1530,4,FALSE)),"")</f>
        <v/>
      </c>
      <c r="I1524" s="48" t="str">
        <f>IFERROR(MINUS(DIVIDE(VLOOKUP($B1524,Data!$B$3:$EZ1530,9,FALSE),VLOOKUP($B1524,Data!$B$3:$EZ1530,10,FALSE)),1),"")</f>
        <v/>
      </c>
      <c r="J1524" s="48" t="str">
        <f>IFERROR(MINUS(DIVIDE(VLOOKUP($B1524,Data!$B$3:$EZ1530,24,FALSE),VLOOKUP($B1524,Data!$B$3:$EZ1530,25,FALSE)),1),"")</f>
        <v/>
      </c>
      <c r="K1524" s="48">
        <f>IFERROR(MINUS(DIVIDE(VLOOKUP($B1524,Data!$B$3:$EZ1530,29,FALSE),VLOOKUP($B1524,Data!$B$3:$EZ1530,30,FALSE)),1),"")</f>
        <v>0.9786598378</v>
      </c>
      <c r="L1524" s="48">
        <f>IFERROR(MINUS(DIVIDE(VLOOKUP($B1524,Data!$B$3:$EZ1530,34,FALSE),VLOOKUP($B1524,Data!$B$3:$EZ1530,35,FALSE)),1),"")</f>
        <v>0.9692372524</v>
      </c>
      <c r="M1524" s="48">
        <f>IFERROR(MINUS(DIVIDE(VLOOKUP($B1524,Data!$B$3:$EZ1530,39,FALSE),VLOOKUP($B1524,Data!$B$3:$EZ1530,40,FALSE)),1),"")</f>
        <v>1.167062174</v>
      </c>
      <c r="N1524" s="48">
        <f>IFERROR(MINUS(DIVIDE(VLOOKUP($B1524,Data!$B$3:$EZ1530,44,FALSE),VLOOKUP($B1524,Data!$B$3:$EZ1530,45,FALSE)),1),"")</f>
        <v>0.6140206186</v>
      </c>
      <c r="O1524" s="50" t="str">
        <f>IFERROR(VLOOKUP($B1524,Data!$B$3:$D1530,2,FALSE),"")</f>
        <v/>
      </c>
      <c r="P1524" s="50" t="str">
        <f>IFERROR(VLOOKUP($B1524,Data!$B$3:$D1530,3,FALSE),"")</f>
        <v/>
      </c>
      <c r="Q1524" s="48" t="str">
        <f t="shared" si="2"/>
        <v/>
      </c>
      <c r="R1524" s="48"/>
      <c r="S1524" s="48"/>
      <c r="T1524" s="48"/>
      <c r="U1524" s="48"/>
      <c r="V1524" s="48"/>
      <c r="W1524" s="50"/>
      <c r="Z1524" s="11"/>
      <c r="AA1524" s="11"/>
    </row>
    <row r="1525">
      <c r="A1525" s="9">
        <f t="shared" si="1"/>
        <v>1522</v>
      </c>
      <c r="B1525" s="47" t="s">
        <v>1659</v>
      </c>
      <c r="C1525" s="48" t="str">
        <f>IFERROR(DIVIDE(VLOOKUP($B1525,Data!$B$3:$AB$1535,9,FALSE),VLOOKUP($B1525,Data!$B$3:$AB$1535,4,FALSE)),"")</f>
        <v/>
      </c>
      <c r="D1525" s="48" t="str">
        <f>IFERROR(DIVIDE(VLOOKUP($B1525,Data!$B$3:$AB$1535,24,FALSE),VLOOKUP($B1525,Data!$B$3:$AB$1535,4,FALSE)),"")</f>
        <v/>
      </c>
      <c r="E1525" s="48" t="str">
        <f>IFERROR(DIVIDE(VLOOKUP($B1525,Data!$B$3:$EZ1530,29,FALSE),VLOOKUP($B1525,Data!$B$3:$EZ1530,4,FALSE)),"")</f>
        <v/>
      </c>
      <c r="F1525" s="48" t="str">
        <f>IFERROR(DIVIDE(VLOOKUP($B1525,Data!$B$3:$EZ1530,34,FALSE),VLOOKUP($B1525,Data!$B$3:$EZ1530,4,FALSE)),"")</f>
        <v/>
      </c>
      <c r="G1525" s="48" t="str">
        <f>IFERROR(DIVIDE(VLOOKUP($B1525,Data!$B$3:$EZ1530,39,FALSE),VLOOKUP($B1525,Data!$B$3:$EZ1530,4,FALSE)),"")</f>
        <v/>
      </c>
      <c r="H1525" s="48" t="str">
        <f>IFERROR(DIVIDE(VLOOKUP($B1525,Data!$B$3:$EZ1530,44,FALSE),VLOOKUP($B1525,Data!$B$3:$EZ1530,4,FALSE)),"")</f>
        <v/>
      </c>
      <c r="I1525" s="48">
        <f>IFERROR(MINUS(DIVIDE(VLOOKUP($B1525,Data!$B$3:$EZ1530,9,FALSE),VLOOKUP($B1525,Data!$B$3:$EZ1530,10,FALSE)),1),"")</f>
        <v>0.9895287958</v>
      </c>
      <c r="J1525" s="48">
        <f>IFERROR(MINUS(DIVIDE(VLOOKUP($B1525,Data!$B$3:$EZ1530,24,FALSE),VLOOKUP($B1525,Data!$B$3:$EZ1530,25,FALSE)),1),"")</f>
        <v>-1</v>
      </c>
      <c r="K1525" s="48">
        <f>IFERROR(MINUS(DIVIDE(VLOOKUP($B1525,Data!$B$3:$EZ1530,29,FALSE),VLOOKUP($B1525,Data!$B$3:$EZ1530,30,FALSE)),1),"")</f>
        <v>0.06306561086</v>
      </c>
      <c r="L1525" s="48">
        <f>IFERROR(MINUS(DIVIDE(VLOOKUP($B1525,Data!$B$3:$EZ1530,34,FALSE),VLOOKUP($B1525,Data!$B$3:$EZ1530,35,FALSE)),1),"")</f>
        <v>0.04604105572</v>
      </c>
      <c r="M1525" s="48">
        <f>IFERROR(MINUS(DIVIDE(VLOOKUP($B1525,Data!$B$3:$EZ1530,39,FALSE),VLOOKUP($B1525,Data!$B$3:$EZ1530,40,FALSE)),1),"")</f>
        <v>0.06306561086</v>
      </c>
      <c r="N1525" s="48">
        <f>IFERROR(MINUS(DIVIDE(VLOOKUP($B1525,Data!$B$3:$EZ1530,44,FALSE),VLOOKUP($B1525,Data!$B$3:$EZ1530,45,FALSE)),1),"")</f>
        <v>0.1624313187</v>
      </c>
      <c r="O1525" s="50">
        <f>IFERROR(VLOOKUP($B1525,Data!$B$3:$D1530,2,FALSE),"")</f>
        <v>39040</v>
      </c>
      <c r="P1525" s="50">
        <f>IFERROR(VLOOKUP($B1525,Data!$B$3:$D1530,3,FALSE),"")</f>
        <v>2640</v>
      </c>
      <c r="Q1525" s="48">
        <f t="shared" si="2"/>
        <v>13.78787879</v>
      </c>
      <c r="R1525" s="48"/>
      <c r="S1525" s="48"/>
      <c r="T1525" s="48"/>
      <c r="U1525" s="48"/>
      <c r="V1525" s="48"/>
      <c r="W1525" s="50"/>
      <c r="Z1525" s="12"/>
      <c r="AA1525" s="12"/>
    </row>
    <row r="1526">
      <c r="A1526" s="9">
        <f t="shared" si="1"/>
        <v>1523</v>
      </c>
      <c r="B1526" s="47" t="s">
        <v>1660</v>
      </c>
      <c r="C1526" s="48">
        <f>IFERROR(DIVIDE(VLOOKUP($B1526,Data!$B$3:$AB$1535,9,FALSE),VLOOKUP($B1526,Data!$B$3:$AB$1535,4,FALSE)),"")</f>
        <v>0.6565495208</v>
      </c>
      <c r="D1526" s="48">
        <f>IFERROR(DIVIDE(VLOOKUP($B1526,Data!$B$3:$AB$1535,24,FALSE),VLOOKUP($B1526,Data!$B$3:$AB$1535,4,FALSE)),"")</f>
        <v>0.3178913738</v>
      </c>
      <c r="E1526" s="48">
        <f>IFERROR(DIVIDE(VLOOKUP($B1526,Data!$B$3:$EZ1530,29,FALSE),VLOOKUP($B1526,Data!$B$3:$EZ1530,4,FALSE)),"")</f>
        <v>0.2875399361</v>
      </c>
      <c r="F1526" s="48">
        <f>IFERROR(DIVIDE(VLOOKUP($B1526,Data!$B$3:$EZ1530,34,FALSE),VLOOKUP($B1526,Data!$B$3:$EZ1530,4,FALSE)),"")</f>
        <v>0.3881789137</v>
      </c>
      <c r="G1526" s="48">
        <f>IFERROR(DIVIDE(VLOOKUP($B1526,Data!$B$3:$EZ1530,39,FALSE),VLOOKUP($B1526,Data!$B$3:$EZ1530,4,FALSE)),"")</f>
        <v>0.2396166134</v>
      </c>
      <c r="H1526" s="48">
        <f>IFERROR(DIVIDE(VLOOKUP($B1526,Data!$B$3:$EZ1530,44,FALSE),VLOOKUP($B1526,Data!$B$3:$EZ1530,4,FALSE)),"")</f>
        <v>0.2875399361</v>
      </c>
      <c r="I1526" s="48">
        <f>IFERROR(MINUS(DIVIDE(VLOOKUP($B1526,Data!$B$3:$EZ1530,9,FALSE),VLOOKUP($B1526,Data!$B$3:$EZ1530,10,FALSE)),1),"")</f>
        <v>0.08157894737</v>
      </c>
      <c r="J1526" s="48">
        <f>IFERROR(MINUS(DIVIDE(VLOOKUP($B1526,Data!$B$3:$EZ1530,24,FALSE),VLOOKUP($B1526,Data!$B$3:$EZ1530,25,FALSE)),1),"")</f>
        <v>0.08743169399</v>
      </c>
      <c r="K1526" s="48">
        <f>IFERROR(MINUS(DIVIDE(VLOOKUP($B1526,Data!$B$3:$EZ1530,29,FALSE),VLOOKUP($B1526,Data!$B$3:$EZ1530,30,FALSE)),1),"")</f>
        <v>0.0650887574</v>
      </c>
      <c r="L1526" s="48">
        <f>IFERROR(MINUS(DIVIDE(VLOOKUP($B1526,Data!$B$3:$EZ1530,34,FALSE),VLOOKUP($B1526,Data!$B$3:$EZ1530,35,FALSE)),1),"")</f>
        <v>0.1095890411</v>
      </c>
      <c r="M1526" s="48">
        <f>IFERROR(MINUS(DIVIDE(VLOOKUP($B1526,Data!$B$3:$EZ1530,39,FALSE),VLOOKUP($B1526,Data!$B$3:$EZ1530,40,FALSE)),1),"")</f>
        <v>0.04895104895</v>
      </c>
      <c r="N1526" s="48">
        <f>IFERROR(MINUS(DIVIDE(VLOOKUP($B1526,Data!$B$3:$EZ1530,44,FALSE),VLOOKUP($B1526,Data!$B$3:$EZ1530,45,FALSE)),1),"")</f>
        <v>0.005586592179</v>
      </c>
      <c r="O1526" s="50">
        <f>IFERROR(VLOOKUP($B1526,Data!$B$3:$D1530,2,FALSE),"")</f>
        <v>6760000</v>
      </c>
      <c r="P1526" s="50">
        <f>IFERROR(VLOOKUP($B1526,Data!$B$3:$D1530,3,FALSE),"")</f>
        <v>6180000</v>
      </c>
      <c r="Q1526" s="48">
        <f t="shared" si="2"/>
        <v>0.09385113269</v>
      </c>
      <c r="R1526" s="48"/>
      <c r="S1526" s="48"/>
      <c r="T1526" s="48"/>
      <c r="U1526" s="48"/>
      <c r="V1526" s="48"/>
      <c r="W1526" s="50"/>
      <c r="Z1526" s="12"/>
      <c r="AA1526" s="12"/>
    </row>
    <row r="1527">
      <c r="A1527" s="9">
        <f t="shared" si="1"/>
        <v>1524</v>
      </c>
      <c r="B1527" s="47" t="s">
        <v>1661</v>
      </c>
      <c r="C1527" s="48">
        <f>IFERROR(DIVIDE(VLOOKUP($B1527,Data!$B$3:$AB$1535,9,FALSE),VLOOKUP($B1527,Data!$B$3:$AB$1535,4,FALSE)),"")</f>
        <v>0.3326213592</v>
      </c>
      <c r="D1527" s="48">
        <f>IFERROR(DIVIDE(VLOOKUP($B1527,Data!$B$3:$AB$1535,24,FALSE),VLOOKUP($B1527,Data!$B$3:$AB$1535,4,FALSE)),"")</f>
        <v>0.08331067961</v>
      </c>
      <c r="E1527" s="48">
        <f>IFERROR(DIVIDE(VLOOKUP($B1527,Data!$B$3:$EZ1530,29,FALSE),VLOOKUP($B1527,Data!$B$3:$EZ1530,4,FALSE)),"")</f>
        <v>0.08833980583</v>
      </c>
      <c r="F1527" s="48">
        <f>IFERROR(DIVIDE(VLOOKUP($B1527,Data!$B$3:$EZ1530,34,FALSE),VLOOKUP($B1527,Data!$B$3:$EZ1530,4,FALSE)),"")</f>
        <v>0.1644271845</v>
      </c>
      <c r="G1527" s="48">
        <f>IFERROR(DIVIDE(VLOOKUP($B1527,Data!$B$3:$EZ1530,39,FALSE),VLOOKUP($B1527,Data!$B$3:$EZ1530,4,FALSE)),"")</f>
        <v>0.06493203883</v>
      </c>
      <c r="H1527" s="48">
        <f>IFERROR(DIVIDE(VLOOKUP($B1527,Data!$B$3:$EZ1530,44,FALSE),VLOOKUP($B1527,Data!$B$3:$EZ1530,4,FALSE)),"")</f>
        <v>0.1629708738</v>
      </c>
      <c r="I1527" s="48">
        <f>IFERROR(MINUS(DIVIDE(VLOOKUP($B1527,Data!$B$3:$EZ1530,9,FALSE),VLOOKUP($B1527,Data!$B$3:$EZ1530,10,FALSE)),1),"")</f>
        <v>0.1016431397</v>
      </c>
      <c r="J1527" s="48">
        <f>IFERROR(MINUS(DIVIDE(VLOOKUP($B1527,Data!$B$3:$EZ1530,24,FALSE),VLOOKUP($B1527,Data!$B$3:$EZ1530,25,FALSE)),1),"")</f>
        <v>0.4048788474</v>
      </c>
      <c r="K1527" s="48">
        <f>IFERROR(MINUS(DIVIDE(VLOOKUP($B1527,Data!$B$3:$EZ1530,29,FALSE),VLOOKUP($B1527,Data!$B$3:$EZ1530,30,FALSE)),1),"")</f>
        <v>0.4598106851</v>
      </c>
      <c r="L1527" s="48">
        <f>IFERROR(MINUS(DIVIDE(VLOOKUP($B1527,Data!$B$3:$EZ1530,34,FALSE),VLOOKUP($B1527,Data!$B$3:$EZ1530,35,FALSE)),1),"")</f>
        <v>0.9027075609</v>
      </c>
      <c r="M1527" s="48">
        <f>IFERROR(MINUS(DIVIDE(VLOOKUP($B1527,Data!$B$3:$EZ1530,39,FALSE),VLOOKUP($B1527,Data!$B$3:$EZ1530,40,FALSE)),1),"")</f>
        <v>0.4793187348</v>
      </c>
      <c r="N1527" s="48">
        <f>IFERROR(MINUS(DIVIDE(VLOOKUP($B1527,Data!$B$3:$EZ1530,44,FALSE),VLOOKUP($B1527,Data!$B$3:$EZ1530,45,FALSE)),1),"")</f>
        <v>1.569810165</v>
      </c>
      <c r="O1527" s="50">
        <f>IFERROR(VLOOKUP($B1527,Data!$B$3:$D1530,2,FALSE),"")</f>
        <v>1040000</v>
      </c>
      <c r="P1527" s="50">
        <f>IFERROR(VLOOKUP($B1527,Data!$B$3:$D1530,3,FALSE),"")</f>
        <v>960080</v>
      </c>
      <c r="Q1527" s="48">
        <f t="shared" si="2"/>
        <v>0.08324306308</v>
      </c>
      <c r="R1527" s="48"/>
      <c r="S1527" s="48"/>
      <c r="T1527" s="48"/>
      <c r="U1527" s="48"/>
      <c r="V1527" s="48"/>
      <c r="W1527" s="50"/>
      <c r="Z1527" s="11"/>
      <c r="AA1527" s="11"/>
    </row>
    <row r="1528">
      <c r="A1528" s="9">
        <f t="shared" si="1"/>
        <v>1525</v>
      </c>
      <c r="B1528" s="47" t="s">
        <v>1662</v>
      </c>
      <c r="C1528" s="48" t="str">
        <f>IFERROR(DIVIDE(VLOOKUP($B1528,Data!$B$3:$AB$1535,9,FALSE),VLOOKUP($B1528,Data!$B$3:$AB$1535,4,FALSE)),"")</f>
        <v/>
      </c>
      <c r="D1528" s="48" t="str">
        <f>IFERROR(DIVIDE(VLOOKUP($B1528,Data!$B$3:$AB$1535,24,FALSE),VLOOKUP($B1528,Data!$B$3:$AB$1535,4,FALSE)),"")</f>
        <v/>
      </c>
      <c r="E1528" s="48" t="str">
        <f>IFERROR(DIVIDE(VLOOKUP($B1528,Data!$B$3:$EZ1530,29,FALSE),VLOOKUP($B1528,Data!$B$3:$EZ1530,4,FALSE)),"")</f>
        <v/>
      </c>
      <c r="F1528" s="48" t="str">
        <f>IFERROR(DIVIDE(VLOOKUP($B1528,Data!$B$3:$EZ1530,34,FALSE),VLOOKUP($B1528,Data!$B$3:$EZ1530,4,FALSE)),"")</f>
        <v/>
      </c>
      <c r="G1528" s="48" t="str">
        <f>IFERROR(DIVIDE(VLOOKUP($B1528,Data!$B$3:$EZ1530,39,FALSE),VLOOKUP($B1528,Data!$B$3:$EZ1530,4,FALSE)),"")</f>
        <v/>
      </c>
      <c r="H1528" s="48" t="str">
        <f>IFERROR(DIVIDE(VLOOKUP($B1528,Data!$B$3:$EZ1530,44,FALSE),VLOOKUP($B1528,Data!$B$3:$EZ1530,4,FALSE)),"")</f>
        <v/>
      </c>
      <c r="I1528" s="48" t="str">
        <f>IFERROR(MINUS(DIVIDE(VLOOKUP($B1528,Data!$B$3:$EZ1530,9,FALSE),VLOOKUP($B1528,Data!$B$3:$EZ1530,10,FALSE)),1),"")</f>
        <v/>
      </c>
      <c r="J1528" s="48" t="str">
        <f>IFERROR(MINUS(DIVIDE(VLOOKUP($B1528,Data!$B$3:$EZ1530,24,FALSE),VLOOKUP($B1528,Data!$B$3:$EZ1530,25,FALSE)),1),"")</f>
        <v/>
      </c>
      <c r="K1528" s="48">
        <f>IFERROR(MINUS(DIVIDE(VLOOKUP($B1528,Data!$B$3:$EZ1530,29,FALSE),VLOOKUP($B1528,Data!$B$3:$EZ1530,30,FALSE)),1),"")</f>
        <v>-0.1746429466</v>
      </c>
      <c r="L1528" s="48">
        <f>IFERROR(MINUS(DIVIDE(VLOOKUP($B1528,Data!$B$3:$EZ1530,34,FALSE),VLOOKUP($B1528,Data!$B$3:$EZ1530,35,FALSE)),1),"")</f>
        <v>-0.1516129032</v>
      </c>
      <c r="M1528" s="48">
        <f>IFERROR(MINUS(DIVIDE(VLOOKUP($B1528,Data!$B$3:$EZ1530,39,FALSE),VLOOKUP($B1528,Data!$B$3:$EZ1530,40,FALSE)),1),"")</f>
        <v>-0.1746429466</v>
      </c>
      <c r="N1528" s="48">
        <f>IFERROR(MINUS(DIVIDE(VLOOKUP($B1528,Data!$B$3:$EZ1530,44,FALSE),VLOOKUP($B1528,Data!$B$3:$EZ1530,45,FALSE)),1),"")</f>
        <v>0.0787037037</v>
      </c>
      <c r="O1528" s="50" t="str">
        <f>IFERROR(VLOOKUP($B1528,Data!$B$3:$D1530,2,FALSE),"")</f>
        <v/>
      </c>
      <c r="P1528" s="50" t="str">
        <f>IFERROR(VLOOKUP($B1528,Data!$B$3:$D1530,3,FALSE),"")</f>
        <v/>
      </c>
      <c r="Q1528" s="48" t="str">
        <f t="shared" si="2"/>
        <v/>
      </c>
      <c r="R1528" s="48"/>
      <c r="S1528" s="48"/>
      <c r="T1528" s="48"/>
      <c r="U1528" s="48"/>
      <c r="V1528" s="48"/>
      <c r="W1528" s="50"/>
      <c r="Z1528" s="11"/>
      <c r="AA1528" s="11"/>
    </row>
    <row r="1529">
      <c r="A1529" s="9"/>
      <c r="B1529" s="47"/>
      <c r="C1529" s="48"/>
      <c r="D1529" s="48"/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50"/>
      <c r="Z1529" s="15"/>
      <c r="AA1529" s="15"/>
    </row>
    <row r="1530">
      <c r="A1530" s="9"/>
      <c r="B1530" s="47"/>
      <c r="C1530" s="48"/>
      <c r="D1530" s="48"/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50"/>
      <c r="Z1530" s="12"/>
      <c r="AA1530" s="12"/>
    </row>
  </sheetData>
  <mergeCells count="5">
    <mergeCell ref="C1:H1"/>
    <mergeCell ref="I1:N1"/>
    <mergeCell ref="O1:Q1"/>
    <mergeCell ref="C2:H2"/>
    <mergeCell ref="I2:N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cols>
    <col customWidth="1" min="1" max="1" width="5.0"/>
    <col customWidth="1" min="2" max="2" width="6.71"/>
    <col customWidth="1" min="3" max="4" width="6.57"/>
    <col customWidth="1" min="5" max="5" width="4.86"/>
    <col customWidth="1" min="6" max="6" width="6.14"/>
    <col customWidth="1" min="7" max="7" width="6.71"/>
  </cols>
  <sheetData>
    <row r="1">
      <c r="A1" s="57"/>
      <c r="B1" s="58"/>
      <c r="C1" s="57"/>
      <c r="D1" s="57"/>
      <c r="E1" s="59" t="s">
        <v>1686</v>
      </c>
      <c r="F1" s="60">
        <f t="shared" ref="F1:G1" si="1">average(F$5:F1529)</f>
        <v>0.8282685944</v>
      </c>
      <c r="G1" s="61">
        <f t="shared" si="1"/>
        <v>0.2349710338</v>
      </c>
    </row>
    <row r="2">
      <c r="A2" s="57"/>
      <c r="B2" s="58"/>
      <c r="C2" s="57"/>
      <c r="D2" s="57"/>
      <c r="E2" s="59" t="s">
        <v>1687</v>
      </c>
      <c r="F2" s="62">
        <f t="shared" ref="F2:G2" si="2">MEDIAN(F$5:F1529)</f>
        <v>0.5960509292</v>
      </c>
      <c r="G2" s="63">
        <f t="shared" si="2"/>
        <v>0.02660217654</v>
      </c>
    </row>
    <row r="3">
      <c r="A3" s="57"/>
      <c r="B3" s="58"/>
      <c r="C3" s="57"/>
      <c r="D3" s="57"/>
      <c r="E3" s="59" t="s">
        <v>1688</v>
      </c>
      <c r="F3" s="64">
        <f t="shared" ref="F3:G3" si="3">Stdev(F$5:F1529)</f>
        <v>1.106472173</v>
      </c>
      <c r="G3" s="65">
        <f t="shared" si="3"/>
        <v>1.458361921</v>
      </c>
    </row>
    <row r="4">
      <c r="A4" s="66"/>
      <c r="B4" s="66"/>
      <c r="C4" s="67" t="s">
        <v>1689</v>
      </c>
      <c r="D4" s="67" t="s">
        <v>1690</v>
      </c>
      <c r="E4" s="68" t="s">
        <v>1691</v>
      </c>
      <c r="F4" s="69" t="s">
        <v>1692</v>
      </c>
      <c r="G4" s="70" t="s">
        <v>1693</v>
      </c>
    </row>
    <row r="5">
      <c r="A5" s="71">
        <f t="shared" ref="A5:A1529" si="4">if($B5="","",row()-4)</f>
        <v>1</v>
      </c>
      <c r="B5" s="47" t="s">
        <v>136</v>
      </c>
      <c r="C5" s="72">
        <f>IFERROR(__xludf.DUMMYFUNCTION("iferror(divide(googlefinance($B5,""marketcap""),1000000),"""")"),30707.675529)</f>
        <v>30707.67553</v>
      </c>
      <c r="D5" s="72">
        <f>IFERROR(__xludf.DUMMYFUNCTION("iferror(divide(googlefinance($B5,""shares""),1000),"""")"),308310.0)</f>
        <v>308310</v>
      </c>
      <c r="E5" s="72">
        <f>IFERROR(__xludf.DUMMYFUNCTION("iferror(divide(googlefinance($B5,""volumeavg""),1000),"""")"),1330.282)</f>
        <v>1330.282</v>
      </c>
      <c r="F5" s="73">
        <f>IFERROR(__xludf.DUMMYFUNCTION("iferror(MINUS(divide(GOOGLEFINANCE($B5), INDEX(GOOGLEFINANCE($B5,""price"",today()-182),2,2)),1),"""")"),0.49864580198615704)</f>
        <v>0.498645802</v>
      </c>
      <c r="G5" s="61">
        <f>IFERROR(__xludf.DUMMYFUNCTION("iferror(MINUS(divide(GOOGLEFINANCE($B5), INDEX(GOOGLEFINANCE($B5,""price"",today()-364),2,2)),1),"""")"),0.27741439015005764)</f>
        <v>0.2774143902</v>
      </c>
    </row>
    <row r="6">
      <c r="A6" s="71">
        <f t="shared" si="4"/>
        <v>2</v>
      </c>
      <c r="B6" s="47" t="s">
        <v>137</v>
      </c>
      <c r="C6" s="72">
        <f>IFERROR(__xludf.DUMMYFUNCTION("iferror(divide(googlefinance($B6,""marketcap""),1000000),"""")"),2500.677764)</f>
        <v>2500.677764</v>
      </c>
      <c r="D6" s="72">
        <f>IFERROR(__xludf.DUMMYFUNCTION("iferror(divide(googlefinance($B6,""shares""),1000),"""")"),185924.0)</f>
        <v>185924</v>
      </c>
      <c r="E6" s="72">
        <f>IFERROR(__xludf.DUMMYFUNCTION("iferror(divide(googlefinance($B6,""volumeavg""),1000),"""")"),4722.644)</f>
        <v>4722.644</v>
      </c>
      <c r="F6" s="73">
        <f>IFERROR(__xludf.DUMMYFUNCTION("iferror(MINUS(divide(GOOGLEFINANCE($B6), INDEX(GOOGLEFINANCE($B6,""price"",today()-182),2,2)),1),"""")"),1.4543795620437954)</f>
        <v>1.454379562</v>
      </c>
      <c r="G6" s="61">
        <f>IFERROR(__xludf.DUMMYFUNCTION("iferror(MINUS(divide(GOOGLEFINANCE($B6), INDEX(GOOGLEFINANCE($B6,""price"",today()-364),2,2)),1),"""")"),-0.380184331797235)</f>
        <v>-0.3801843318</v>
      </c>
    </row>
    <row r="7">
      <c r="A7" s="71">
        <f t="shared" si="4"/>
        <v>3</v>
      </c>
      <c r="B7" s="52" t="s">
        <v>138</v>
      </c>
      <c r="C7" s="72">
        <f>IFERROR(__xludf.DUMMYFUNCTION("iferror(divide(googlefinance($B7,""marketcap""),1000000),"""")"),6931.700118)</f>
        <v>6931.700118</v>
      </c>
      <c r="D7" s="72">
        <f>IFERROR(__xludf.DUMMYFUNCTION("iferror(divide(googlefinance($B7,""shares""),1000),"""")"),508562.0)</f>
        <v>508562</v>
      </c>
      <c r="E7" s="72">
        <f>IFERROR(__xludf.DUMMYFUNCTION("iferror(divide(googlefinance($B7,""volumeavg""),1000),"""")"),69295.119)</f>
        <v>69295.119</v>
      </c>
      <c r="F7" s="73">
        <f>IFERROR(__xludf.DUMMYFUNCTION("iferror(MINUS(divide(GOOGLEFINANCE($B7), INDEX(GOOGLEFINANCE($B7,""price"",today()-182),2,2)),1),"""")"),0.31310211946050104)</f>
        <v>0.3131021195</v>
      </c>
      <c r="G7" s="61">
        <f>IFERROR(__xludf.DUMMYFUNCTION("iferror(MINUS(divide(GOOGLEFINANCE($B7), INDEX(GOOGLEFINANCE($B7,""price"",today()-364),2,2)),1),"""")"),-0.5130403715612718)</f>
        <v>-0.5130403716</v>
      </c>
    </row>
    <row r="8">
      <c r="A8" s="71">
        <f t="shared" si="4"/>
        <v>4</v>
      </c>
      <c r="B8" s="47" t="s">
        <v>139</v>
      </c>
      <c r="C8" s="72">
        <f>IFERROR(__xludf.DUMMYFUNCTION("iferror(divide(googlefinance($B8,""marketcap""),1000000),"""")"),3810.25175)</f>
        <v>3810.25175</v>
      </c>
      <c r="D8" s="72">
        <f>IFERROR(__xludf.DUMMYFUNCTION("iferror(divide(googlefinance($B8,""shares""),1000),"""")"),67141.0)</f>
        <v>67141</v>
      </c>
      <c r="E8" s="72">
        <f>IFERROR(__xludf.DUMMYFUNCTION("iferror(divide(googlefinance($B8,""volumeavg""),1000),"""")"),688.178)</f>
        <v>688.178</v>
      </c>
      <c r="F8" s="73">
        <f>IFERROR(__xludf.DUMMYFUNCTION("iferror(MINUS(divide(GOOGLEFINANCE($B8), INDEX(GOOGLEFINANCE($B8,""price"",today()-182),2,2)),1),"""")"),2.783333333333333)</f>
        <v>2.783333333</v>
      </c>
      <c r="G8" s="61">
        <f>IFERROR(__xludf.DUMMYFUNCTION("iferror(MINUS(divide(GOOGLEFINANCE($B8), INDEX(GOOGLEFINANCE($B8,""price"",today()-364),2,2)),1),"""")"),-0.057308970099667844)</f>
        <v>-0.0573089701</v>
      </c>
    </row>
    <row r="9">
      <c r="A9" s="71">
        <f t="shared" si="4"/>
        <v>5</v>
      </c>
      <c r="B9" s="47" t="s">
        <v>140</v>
      </c>
      <c r="C9" s="72">
        <f>IFERROR(__xludf.DUMMYFUNCTION("iferror(divide(googlefinance($B9,""marketcap""),1000000),"""")"),237.532826)</f>
        <v>237.532826</v>
      </c>
      <c r="D9" s="72">
        <f>IFERROR(__xludf.DUMMYFUNCTION("iferror(divide(googlefinance($B9,""shares""),1000),"""")"),22774.0)</f>
        <v>22774</v>
      </c>
      <c r="E9" s="72">
        <f>IFERROR(__xludf.DUMMYFUNCTION("iferror(divide(googlefinance($B9,""volumeavg""),1000),"""")"),1008.28)</f>
        <v>1008.28</v>
      </c>
      <c r="F9" s="73">
        <f>IFERROR(__xludf.DUMMYFUNCTION("iferror(MINUS(divide(GOOGLEFINANCE($B9), INDEX(GOOGLEFINANCE($B9,""price"",today()-182),2,2)),1),"""")"),0.5474777448071215)</f>
        <v>0.5474777448</v>
      </c>
      <c r="G9" s="61">
        <f>IFERROR(__xludf.DUMMYFUNCTION("iferror(MINUS(divide(GOOGLEFINANCE($B9), INDEX(GOOGLEFINANCE($B9,""price"",today()-364),2,2)),1),"""")"),-0.06457399103139017)</f>
        <v>-0.06457399103</v>
      </c>
    </row>
    <row r="10">
      <c r="A10" s="71">
        <f t="shared" si="4"/>
        <v>6</v>
      </c>
      <c r="B10" s="47" t="s">
        <v>141</v>
      </c>
      <c r="C10" s="72">
        <f>IFERROR(__xludf.DUMMYFUNCTION("iferror(divide(googlefinance($B10,""marketcap""),1000000),"""")"),3021.266291)</f>
        <v>3021.266291</v>
      </c>
      <c r="D10" s="72">
        <f>IFERROR(__xludf.DUMMYFUNCTION("iferror(divide(googlefinance($B10,""shares""),1000),"""")"),52262.0)</f>
        <v>52262</v>
      </c>
      <c r="E10" s="72">
        <f>IFERROR(__xludf.DUMMYFUNCTION("iferror(divide(googlefinance($B10,""volumeavg""),1000),"""")"),194.28)</f>
        <v>194.28</v>
      </c>
      <c r="F10" s="73">
        <f>IFERROR(__xludf.DUMMYFUNCTION("iferror(MINUS(divide(GOOGLEFINANCE($B10), INDEX(GOOGLEFINANCE($B10,""price"",today()-182),2,2)),1),"""")"),0.2736285525446134)</f>
        <v>0.2736285525</v>
      </c>
      <c r="G10" s="61">
        <f>IFERROR(__xludf.DUMMYFUNCTION("iferror(MINUS(divide(GOOGLEFINANCE($B10), INDEX(GOOGLEFINANCE($B10,""price"",today()-364),2,2)),1),"""")"),0.18220858895705527)</f>
        <v>0.182208589</v>
      </c>
    </row>
    <row r="11">
      <c r="A11" s="71">
        <f t="shared" si="4"/>
        <v>7</v>
      </c>
      <c r="B11" s="47" t="s">
        <v>142</v>
      </c>
      <c r="C11" s="72">
        <f>IFERROR(__xludf.DUMMYFUNCTION("iferror(divide(googlefinance($B11,""marketcap""),1000000),"""")"),10699.95126)</f>
        <v>10699.95126</v>
      </c>
      <c r="D11" s="72">
        <f>IFERROR(__xludf.DUMMYFUNCTION("iferror(divide(googlefinance($B11,""shares""),1000),"""")"),69139.0)</f>
        <v>69139</v>
      </c>
      <c r="E11" s="72">
        <f>IFERROR(__xludf.DUMMYFUNCTION("iferror(divide(googlefinance($B11,""volumeavg""),1000),"""")"),844.919)</f>
        <v>844.919</v>
      </c>
      <c r="F11" s="73">
        <f>IFERROR(__xludf.DUMMYFUNCTION("iferror(MINUS(divide(GOOGLEFINANCE($B11), INDEX(GOOGLEFINANCE($B11,""price"",today()-182),2,2)),1),"""")"),1.0626416100226574)</f>
        <v>1.06264161</v>
      </c>
      <c r="G11" s="61">
        <f>IFERROR(__xludf.DUMMYFUNCTION("iferror(MINUS(divide(GOOGLEFINANCE($B11), INDEX(GOOGLEFINANCE($B11,""price"",today()-364),2,2)),1),"""")"),-0.005973408696769211)</f>
        <v>-0.005973408697</v>
      </c>
    </row>
    <row r="12">
      <c r="A12" s="71">
        <f t="shared" si="4"/>
        <v>8</v>
      </c>
      <c r="B12" s="47" t="s">
        <v>143</v>
      </c>
      <c r="C12" s="72">
        <f>IFERROR(__xludf.DUMMYFUNCTION("iferror(divide(googlefinance($B12,""marketcap""),1000000),"""")"),1597.170975)</f>
        <v>1597.170975</v>
      </c>
      <c r="D12" s="72">
        <f>IFERROR(__xludf.DUMMYFUNCTION("iferror(divide(googlefinance($B12,""shares""),1000),"""")"),26136.0)</f>
        <v>26136</v>
      </c>
      <c r="E12" s="72">
        <f>IFERROR(__xludf.DUMMYFUNCTION("iferror(divide(googlefinance($B12,""volumeavg""),1000),"""")"),547.875)</f>
        <v>547.875</v>
      </c>
      <c r="F12" s="73">
        <f>IFERROR(__xludf.DUMMYFUNCTION("iferror(MINUS(divide(GOOGLEFINANCE($B12), INDEX(GOOGLEFINANCE($B12,""price"",today()-182),2,2)),1),"""")"),1.6650675970344526)</f>
        <v>1.665067597</v>
      </c>
      <c r="G12" s="61">
        <f>IFERROR(__xludf.DUMMYFUNCTION("iferror(MINUS(divide(GOOGLEFINANCE($B12), INDEX(GOOGLEFINANCE($B12,""price"",today()-364),2,2)),1),"""")"),1.4912352221769263)</f>
        <v>1.491235222</v>
      </c>
    </row>
    <row r="13">
      <c r="A13" s="71">
        <f t="shared" si="4"/>
        <v>9</v>
      </c>
      <c r="B13" s="47" t="s">
        <v>144</v>
      </c>
      <c r="C13" s="72">
        <f>IFERROR(__xludf.DUMMYFUNCTION("iferror(divide(googlefinance($B13,""marketcap""),1000000),"""")"),56523.617698)</f>
        <v>56523.6177</v>
      </c>
      <c r="D13" s="72">
        <f>IFERROR(__xludf.DUMMYFUNCTION("iferror(divide(googlefinance($B13,""shares""),1000),"""")"),2168148.0)</f>
        <v>2168148</v>
      </c>
      <c r="E13" s="72">
        <f>IFERROR(__xludf.DUMMYFUNCTION("iferror(divide(googlefinance($B13,""volumeavg""),1000),"""")"),1413.649)</f>
        <v>1413.649</v>
      </c>
      <c r="F13" s="73">
        <f>IFERROR(__xludf.DUMMYFUNCTION("iferror(MINUS(divide(GOOGLEFINANCE($B13), INDEX(GOOGLEFINANCE($B13,""price"",today()-182),2,2)),1),"""")"),0.6334586466165413)</f>
        <v>0.6334586466</v>
      </c>
      <c r="G13" s="61">
        <f>IFERROR(__xludf.DUMMYFUNCTION("iferror(MINUS(divide(GOOGLEFINANCE($B13), INDEX(GOOGLEFINANCE($B13,""price"",today()-364),2,2)),1),"""")"),0.29895366218236163)</f>
        <v>0.2989536622</v>
      </c>
    </row>
    <row r="14">
      <c r="A14" s="71">
        <f t="shared" si="4"/>
        <v>10</v>
      </c>
      <c r="B14" s="47" t="s">
        <v>145</v>
      </c>
      <c r="C14" s="72">
        <f>IFERROR(__xludf.DUMMYFUNCTION("iferror(divide(googlefinance($B14,""marketcap""),1000000),"""")"),158181.976942)</f>
        <v>158181.9769</v>
      </c>
      <c r="D14" s="72">
        <f>IFERROR(__xludf.DUMMYFUNCTION("iferror(divide(googlefinance($B14,""shares""),1000),"""")"),1764833.0)</f>
        <v>1764833</v>
      </c>
      <c r="E14" s="72">
        <f>IFERROR(__xludf.DUMMYFUNCTION("iferror(divide(googlefinance($B14,""volumeavg""),1000),"""")"),7102.294)</f>
        <v>7102.294</v>
      </c>
      <c r="F14" s="73">
        <f>IFERROR(__xludf.DUMMYFUNCTION("iferror(MINUS(divide(GOOGLEFINANCE($B14), INDEX(GOOGLEFINANCE($B14,""price"",today()-182),2,2)),1),"""")"),0.30238302818947993)</f>
        <v>0.3023830282</v>
      </c>
      <c r="G14" s="61">
        <f>IFERROR(__xludf.DUMMYFUNCTION("iferror(MINUS(divide(GOOGLEFINANCE($B14), INDEX(GOOGLEFINANCE($B14,""price"",today()-364),2,2)),1),"""")"),0.23815444122116314)</f>
        <v>0.2381544412</v>
      </c>
    </row>
    <row r="15">
      <c r="A15" s="71">
        <f t="shared" si="4"/>
        <v>11</v>
      </c>
      <c r="B15" s="47" t="s">
        <v>146</v>
      </c>
      <c r="C15" s="72">
        <f>IFERROR(__xludf.DUMMYFUNCTION("iferror(divide(googlefinance($B15,""marketcap""),1000000),"""")"),19762.986521)</f>
        <v>19762.98652</v>
      </c>
      <c r="D15" s="72">
        <f>IFERROR(__xludf.DUMMYFUNCTION("iferror(divide(googlefinance($B15,""shares""),1000),"""")"),204142.0)</f>
        <v>204142</v>
      </c>
      <c r="E15" s="72">
        <f>IFERROR(__xludf.DUMMYFUNCTION("iferror(divide(googlefinance($B15,""volumeavg""),1000),"""")"),883.281)</f>
        <v>883.281</v>
      </c>
      <c r="F15" s="73">
        <f>IFERROR(__xludf.DUMMYFUNCTION("iferror(MINUS(divide(GOOGLEFINANCE($B15), INDEX(GOOGLEFINANCE($B15,""price"",today()-182),2,2)),1),"""")"),0.2009676218831411)</f>
        <v>0.2009676219</v>
      </c>
      <c r="G15" s="61">
        <f>IFERROR(__xludf.DUMMYFUNCTION("iferror(MINUS(divide(GOOGLEFINANCE($B15), INDEX(GOOGLEFINANCE($B15,""price"",today()-364),2,2)),1),"""")"),0.13733552631578938)</f>
        <v>0.1373355263</v>
      </c>
    </row>
    <row r="16">
      <c r="A16" s="71">
        <f t="shared" si="4"/>
        <v>12</v>
      </c>
      <c r="B16" s="47" t="s">
        <v>147</v>
      </c>
      <c r="C16" s="72">
        <f>IFERROR(__xludf.DUMMYFUNCTION("iferror(divide(googlefinance($B16,""marketcap""),1000000),"""")"),166.164334)</f>
        <v>166.164334</v>
      </c>
      <c r="D16" s="72">
        <f>IFERROR(__xludf.DUMMYFUNCTION("iferror(divide(googlefinance($B16,""shares""),1000),"""")"),84778.0)</f>
        <v>84778</v>
      </c>
      <c r="E16" s="72">
        <f>IFERROR(__xludf.DUMMYFUNCTION("iferror(divide(googlefinance($B16,""volumeavg""),1000),"""")"),766.628)</f>
        <v>766.628</v>
      </c>
      <c r="F16" s="73">
        <f>IFERROR(__xludf.DUMMYFUNCTION("iferror(MINUS(divide(GOOGLEFINANCE($B16), INDEX(GOOGLEFINANCE($B16,""price"",today()-182),2,2)),1),"""")"),-0.07981220657276988)</f>
        <v>-0.07981220657</v>
      </c>
      <c r="G16" s="61">
        <f>IFERROR(__xludf.DUMMYFUNCTION("iferror(MINUS(divide(GOOGLEFINANCE($B16), INDEX(GOOGLEFINANCE($B16,""price"",today()-364),2,2)),1),"""")"),-0.39877300613496924)</f>
        <v>-0.3987730061</v>
      </c>
    </row>
    <row r="17">
      <c r="A17" s="71">
        <f t="shared" si="4"/>
        <v>13</v>
      </c>
      <c r="B17" s="47" t="s">
        <v>148</v>
      </c>
      <c r="C17" s="72">
        <f>IFERROR(__xludf.DUMMYFUNCTION("iferror(divide(googlefinance($B17,""marketcap""),1000000),"""")"),207074.045199)</f>
        <v>207074.0452</v>
      </c>
      <c r="D17" s="72">
        <f>IFERROR(__xludf.DUMMYFUNCTION("iferror(divide(googlefinance($B17,""shares""),1000),"""")"),1.573512E7)</f>
        <v>15735120</v>
      </c>
      <c r="E17" s="72">
        <f>IFERROR(__xludf.DUMMYFUNCTION("iferror(divide(googlefinance($B17,""volumeavg""),1000),"""")"),22548.378)</f>
        <v>22548.378</v>
      </c>
      <c r="F17" s="73">
        <f>IFERROR(__xludf.DUMMYFUNCTION("iferror(MINUS(divide(GOOGLEFINANCE($B17), INDEX(GOOGLEFINANCE($B17,""price"",today()-182),2,2)),1),"""")"),0.05833333333333335)</f>
        <v>0.05833333333</v>
      </c>
      <c r="G17" s="61">
        <f>IFERROR(__xludf.DUMMYFUNCTION("iferror(MINUS(divide(GOOGLEFINANCE($B17), INDEX(GOOGLEFINANCE($B17,""price"",today()-364),2,2)),1),"""")"),-0.4514038876889849)</f>
        <v>-0.4514038877</v>
      </c>
    </row>
    <row r="18">
      <c r="A18" s="71">
        <f t="shared" si="4"/>
        <v>14</v>
      </c>
      <c r="B18" s="47" t="s">
        <v>149</v>
      </c>
      <c r="C18" s="72">
        <f>IFERROR(__xludf.DUMMYFUNCTION("iferror(divide(googlefinance($B18,""marketcap""),1000000),"""")"),1949.924939)</f>
        <v>1949.924939</v>
      </c>
      <c r="D18" s="72">
        <f>IFERROR(__xludf.DUMMYFUNCTION("iferror(divide(googlefinance($B18,""shares""),1000),"""")"),19289.0)</f>
        <v>19289</v>
      </c>
      <c r="E18" s="72">
        <f>IFERROR(__xludf.DUMMYFUNCTION("iferror(divide(googlefinance($B18,""volumeavg""),1000),"""")"),173.46)</f>
        <v>173.46</v>
      </c>
      <c r="F18" s="73">
        <f>IFERROR(__xludf.DUMMYFUNCTION("iferror(MINUS(divide(GOOGLEFINANCE($B18), INDEX(GOOGLEFINANCE($B18,""price"",today()-182),2,2)),1),"""")"),0.9978260869565216)</f>
        <v>0.997826087</v>
      </c>
      <c r="G18" s="61">
        <f>IFERROR(__xludf.DUMMYFUNCTION("iferror(MINUS(divide(GOOGLEFINANCE($B18), INDEX(GOOGLEFINANCE($B18,""price"",today()-364),2,2)),1),"""")"),0.0015852571088872391)</f>
        <v>0.001585257109</v>
      </c>
    </row>
    <row r="19">
      <c r="A19" s="71">
        <f t="shared" si="4"/>
        <v>15</v>
      </c>
      <c r="B19" s="47" t="s">
        <v>150</v>
      </c>
      <c r="C19" s="72">
        <f>IFERROR(__xludf.DUMMYFUNCTION("iferror(divide(googlefinance($B19,""marketcap""),1000000),"""")"),188844.736283)</f>
        <v>188844.7363</v>
      </c>
      <c r="D19" s="72">
        <f>IFERROR(__xludf.DUMMYFUNCTION("iferror(divide(googlefinance($B19,""shares""),1000),"""")"),1770530.0)</f>
        <v>1770530</v>
      </c>
      <c r="E19" s="72">
        <f>IFERROR(__xludf.DUMMYFUNCTION("iferror(divide(googlefinance($B19,""volumeavg""),1000),"""")"),5654.913)</f>
        <v>5654.913</v>
      </c>
      <c r="F19" s="73">
        <f>IFERROR(__xludf.DUMMYFUNCTION("iferror(MINUS(divide(GOOGLEFINANCE($B19), INDEX(GOOGLEFINANCE($B19,""price"",today()-182),2,2)),1),"""")"),0.5685294117647057)</f>
        <v>0.5685294118</v>
      </c>
      <c r="G19" s="61">
        <f>IFERROR(__xludf.DUMMYFUNCTION("iferror(MINUS(divide(GOOGLEFINANCE($B19), INDEX(GOOGLEFINANCE($B19,""price"",today()-364),2,2)),1),"""")"),0.27614261785116057)</f>
        <v>0.2761426179</v>
      </c>
    </row>
    <row r="20">
      <c r="A20" s="71">
        <f t="shared" si="4"/>
        <v>16</v>
      </c>
      <c r="B20" s="47" t="s">
        <v>151</v>
      </c>
      <c r="C20" s="72">
        <f>IFERROR(__xludf.DUMMYFUNCTION("iferror(divide(googlefinance($B20,""marketcap""),1000000),"""")"),241.109626)</f>
        <v>241.109626</v>
      </c>
      <c r="D20" s="72">
        <f>IFERROR(__xludf.DUMMYFUNCTION("iferror(divide(googlefinance($B20,""shares""),1000),"""")"),82909.0)</f>
        <v>82909</v>
      </c>
      <c r="E20" s="72">
        <f>IFERROR(__xludf.DUMMYFUNCTION("iferror(divide(googlefinance($B20,""volumeavg""),1000),"""")"),3970.184)</f>
        <v>3970.184</v>
      </c>
      <c r="F20" s="73">
        <f>IFERROR(__xludf.DUMMYFUNCTION("iferror(MINUS(divide(GOOGLEFINANCE($B20), INDEX(GOOGLEFINANCE($B20,""price"",today()-182),2,2)),1),"""")"),1.0694444444444446)</f>
        <v>1.069444444</v>
      </c>
      <c r="G20" s="61">
        <f>IFERROR(__xludf.DUMMYFUNCTION("iferror(MINUS(divide(GOOGLEFINANCE($B20), INDEX(GOOGLEFINANCE($B20,""price"",today()-364),2,2)),1),"""")"),0.8060606060606061)</f>
        <v>0.8060606061</v>
      </c>
    </row>
    <row r="21">
      <c r="A21" s="71">
        <f t="shared" si="4"/>
        <v>17</v>
      </c>
      <c r="B21" s="47" t="s">
        <v>152</v>
      </c>
      <c r="C21" s="72">
        <f>IFERROR(__xludf.DUMMYFUNCTION("iferror(divide(googlefinance($B21,""marketcap""),1000000),"""")"),51811.938814)</f>
        <v>51811.93881</v>
      </c>
      <c r="D21" s="72">
        <f>IFERROR(__xludf.DUMMYFUNCTION("iferror(divide(googlefinance($B21,""shares""),1000),"""")"),1778035.0)</f>
        <v>1778035</v>
      </c>
      <c r="E21" s="72" t="str">
        <f>IFERROR(__xludf.DUMMYFUNCTION("iferror(divide(googlefinance($B21,""volumeavg""),1000),"""")"),"")</f>
        <v/>
      </c>
      <c r="F21" s="73">
        <f>IFERROR(__xludf.DUMMYFUNCTION("iferror(MINUS(divide(GOOGLEFINANCE($B21), INDEX(GOOGLEFINANCE($B21,""price"",today()-182),2,2)),1),"""")"),0.6738272687417799)</f>
        <v>0.6738272687</v>
      </c>
      <c r="G21" s="61">
        <f>IFERROR(__xludf.DUMMYFUNCTION("iferror(MINUS(divide(GOOGLEFINANCE($B21), INDEX(GOOGLEFINANCE($B21,""price"",today()-364),2,2)),1),"""")"),0.5602778912954638)</f>
        <v>0.5602778913</v>
      </c>
    </row>
    <row r="22">
      <c r="A22" s="71">
        <f t="shared" si="4"/>
        <v>18</v>
      </c>
      <c r="B22" s="47" t="s">
        <v>153</v>
      </c>
      <c r="C22" s="72">
        <f>IFERROR(__xludf.DUMMYFUNCTION("iferror(divide(googlefinance($B22,""marketcap""),1000000),"""")"),6474.929533)</f>
        <v>6474.929533</v>
      </c>
      <c r="D22" s="72">
        <f>IFERROR(__xludf.DUMMYFUNCTION("iferror(divide(googlefinance($B22,""shares""),1000),"""")"),158855.0)</f>
        <v>158855</v>
      </c>
      <c r="E22" s="72">
        <f>IFERROR(__xludf.DUMMYFUNCTION("iferror(divide(googlefinance($B22,""volumeavg""),1000),"""")"),1360.475)</f>
        <v>1360.475</v>
      </c>
      <c r="F22" s="73">
        <f>IFERROR(__xludf.DUMMYFUNCTION("iferror(MINUS(divide(GOOGLEFINANCE($B22), INDEX(GOOGLEFINANCE($B22,""price"",today()-182),2,2)),1),"""")"),0.22145639796224148)</f>
        <v>0.221456398</v>
      </c>
      <c r="G22" s="61">
        <f>IFERROR(__xludf.DUMMYFUNCTION("iferror(MINUS(divide(GOOGLEFINANCE($B22), INDEX(GOOGLEFINANCE($B22,""price"",today()-364),2,2)),1),"""")"),4.909180166912108E-4)</f>
        <v>0.0004909180167</v>
      </c>
    </row>
    <row r="23">
      <c r="A23" s="71">
        <f t="shared" si="4"/>
        <v>19</v>
      </c>
      <c r="B23" s="47" t="s">
        <v>154</v>
      </c>
      <c r="C23" s="72">
        <f>IFERROR(__xludf.DUMMYFUNCTION("iferror(divide(googlefinance($B23,""marketcap""),1000000),"""")"),52152.239588)</f>
        <v>52152.23959</v>
      </c>
      <c r="D23" s="72">
        <f>IFERROR(__xludf.DUMMYFUNCTION("iferror(divide(googlefinance($B23,""shares""),1000),"""")"),3943966.0)</f>
        <v>3943966</v>
      </c>
      <c r="E23" s="72">
        <f>IFERROR(__xludf.DUMMYFUNCTION("iferror(divide(googlefinance($B23,""volumeavg""),1000),"""")"),62.747)</f>
        <v>62.747</v>
      </c>
      <c r="F23" s="73">
        <f>IFERROR(__xludf.DUMMYFUNCTION("iferror(MINUS(divide(GOOGLEFINANCE($B23), INDEX(GOOGLEFINANCE($B23,""price"",today()-182),2,2)),1),"""")"),0.18367346938775508)</f>
        <v>0.1836734694</v>
      </c>
      <c r="G23" s="61">
        <f>IFERROR(__xludf.DUMMYFUNCTION("iferror(MINUS(divide(GOOGLEFINANCE($B23), INDEX(GOOGLEFINANCE($B23,""price"",today()-364),2,2)),1),"""")"),-0.2900856793145655)</f>
        <v>-0.2900856793</v>
      </c>
    </row>
    <row r="24">
      <c r="A24" s="71">
        <f t="shared" si="4"/>
        <v>20</v>
      </c>
      <c r="B24" s="47" t="s">
        <v>156</v>
      </c>
      <c r="C24" s="72">
        <f>IFERROR(__xludf.DUMMYFUNCTION("iferror(divide(googlefinance($B24,""marketcap""),1000000),"""")"),2663.552267)</f>
        <v>2663.552267</v>
      </c>
      <c r="D24" s="72">
        <f>IFERROR(__xludf.DUMMYFUNCTION("iferror(divide(googlefinance($B24,""shares""),1000),"""")"),88963.0)</f>
        <v>88963</v>
      </c>
      <c r="E24" s="72">
        <f>IFERROR(__xludf.DUMMYFUNCTION("iferror(divide(googlefinance($B24,""volumeavg""),1000),"""")"),423.546)</f>
        <v>423.546</v>
      </c>
      <c r="F24" s="73">
        <f>IFERROR(__xludf.DUMMYFUNCTION("iferror(MINUS(divide(GOOGLEFINANCE($B24), INDEX(GOOGLEFINANCE($B24,""price"",today()-182),2,2)),1),"""")"),1.3780778395552025)</f>
        <v>1.37807784</v>
      </c>
      <c r="G24" s="61">
        <f>IFERROR(__xludf.DUMMYFUNCTION("iferror(MINUS(divide(GOOGLEFINANCE($B24), INDEX(GOOGLEFINANCE($B24,""price"",today()-364),2,2)),1),"""")"),-0.086080586080586)</f>
        <v>-0.08608058608</v>
      </c>
    </row>
    <row r="25">
      <c r="A25" s="71">
        <f t="shared" si="4"/>
        <v>21</v>
      </c>
      <c r="B25" s="47" t="s">
        <v>157</v>
      </c>
      <c r="C25" s="72">
        <f>IFERROR(__xludf.DUMMYFUNCTION("iferror(divide(googlefinance($B25,""marketcap""),1000000),"""")"),52152.239588)</f>
        <v>52152.23959</v>
      </c>
      <c r="D25" s="72">
        <f>IFERROR(__xludf.DUMMYFUNCTION("iferror(divide(googlefinance($B25,""shares""),1000),"""")"),3943965.968)</f>
        <v>3943965.968</v>
      </c>
      <c r="E25" s="72" t="str">
        <f>IFERROR(__xludf.DUMMYFUNCTION("iferror(divide(googlefinance($B25,""volumeavg""),1000),"""")"),"")</f>
        <v/>
      </c>
      <c r="F25" s="73" t="str">
        <f>IFERROR(__xludf.DUMMYFUNCTION("iferror(MINUS(divide(GOOGLEFINANCE($B25), INDEX(GOOGLEFINANCE($B25,""price"",today()-182),2,2)),1),"""")"),"")</f>
        <v/>
      </c>
      <c r="G25" s="61" t="str">
        <f>IFERROR(__xludf.DUMMYFUNCTION("iferror(MINUS(divide(GOOGLEFINANCE($B25), INDEX(GOOGLEFINANCE($B25,""price"",today()-364),2,2)),1),"""")"),"")</f>
        <v/>
      </c>
    </row>
    <row r="26">
      <c r="A26" s="71">
        <f t="shared" si="4"/>
        <v>22</v>
      </c>
      <c r="B26" s="47" t="s">
        <v>158</v>
      </c>
      <c r="C26" s="72">
        <f>IFERROR(__xludf.DUMMYFUNCTION("iferror(divide(googlefinance($B26,""marketcap""),1000000),"""")"),643.138036)</f>
        <v>643.138036</v>
      </c>
      <c r="D26" s="72">
        <f>IFERROR(__xludf.DUMMYFUNCTION("iferror(divide(googlefinance($B26,""shares""),1000),"""")"),71859.0)</f>
        <v>71859</v>
      </c>
      <c r="E26" s="72">
        <f>IFERROR(__xludf.DUMMYFUNCTION("iferror(divide(googlefinance($B26,""volumeavg""),1000),"""")"),292.709)</f>
        <v>292.709</v>
      </c>
      <c r="F26" s="73">
        <f>IFERROR(__xludf.DUMMYFUNCTION("iferror(MINUS(divide(GOOGLEFINANCE($B26), INDEX(GOOGLEFINANCE($B26,""price"",today()-182),2,2)),1),"""")"),0.8881856540084385)</f>
        <v>0.888185654</v>
      </c>
      <c r="G26" s="61">
        <f>IFERROR(__xludf.DUMMYFUNCTION("iferror(MINUS(divide(GOOGLEFINANCE($B26), INDEX(GOOGLEFINANCE($B26,""price"",today()-364),2,2)),1),"""")"),0.660482374768089)</f>
        <v>0.6604823748</v>
      </c>
    </row>
    <row r="27">
      <c r="A27" s="71">
        <f t="shared" si="4"/>
        <v>23</v>
      </c>
      <c r="B27" s="47" t="s">
        <v>159</v>
      </c>
      <c r="C27" s="72">
        <f>IFERROR(__xludf.DUMMYFUNCTION("iferror(divide(googlefinance($B27,""marketcap""),1000000),"""")"),746.269474)</f>
        <v>746.269474</v>
      </c>
      <c r="D27" s="72">
        <f>IFERROR(__xludf.DUMMYFUNCTION("iferror(divide(googlefinance($B27,""shares""),1000),"""")"),33465.0)</f>
        <v>33465</v>
      </c>
      <c r="E27" s="72">
        <f>IFERROR(__xludf.DUMMYFUNCTION("iferror(divide(googlefinance($B27,""volumeavg""),1000),"""")"),405.108)</f>
        <v>405.108</v>
      </c>
      <c r="F27" s="73">
        <f>IFERROR(__xludf.DUMMYFUNCTION("iferror(MINUS(divide(GOOGLEFINANCE($B27), INDEX(GOOGLEFINANCE($B27,""price"",today()-182),2,2)),1),"""")"),0.6397058823529413)</f>
        <v>0.6397058824</v>
      </c>
      <c r="G27" s="61">
        <f>IFERROR(__xludf.DUMMYFUNCTION("iferror(MINUS(divide(GOOGLEFINANCE($B27), INDEX(GOOGLEFINANCE($B27,""price"",today()-364),2,2)),1),"""")"),0.22392974753018668)</f>
        <v>0.2239297475</v>
      </c>
    </row>
    <row r="28">
      <c r="A28" s="71">
        <f t="shared" si="4"/>
        <v>24</v>
      </c>
      <c r="B28" s="47" t="s">
        <v>160</v>
      </c>
      <c r="C28" s="72">
        <f>IFERROR(__xludf.DUMMYFUNCTION("iferror(divide(googlefinance($B28,""marketcap""),1000000),"""")"),6439.606549)</f>
        <v>6439.606549</v>
      </c>
      <c r="D28" s="72">
        <f>IFERROR(__xludf.DUMMYFUNCTION("iferror(divide(googlefinance($B28,""shares""),1000),"""")"),160389.0)</f>
        <v>160389</v>
      </c>
      <c r="E28" s="72">
        <f>IFERROR(__xludf.DUMMYFUNCTION("iferror(divide(googlefinance($B28,""volumeavg""),1000),"""")"),1011.991)</f>
        <v>1011.991</v>
      </c>
      <c r="F28" s="73">
        <f>IFERROR(__xludf.DUMMYFUNCTION("iferror(MINUS(divide(GOOGLEFINANCE($B28), INDEX(GOOGLEFINANCE($B28,""price"",today()-182),2,2)),1),"""")"),0.5714285714285714)</f>
        <v>0.5714285714</v>
      </c>
      <c r="G28" s="61">
        <f>IFERROR(__xludf.DUMMYFUNCTION("iferror(MINUS(divide(GOOGLEFINANCE($B28), INDEX(GOOGLEFINANCE($B28,""price"",today()-364),2,2)),1),"""")"),0.06895633652822131)</f>
        <v>0.06895633653</v>
      </c>
    </row>
    <row r="29">
      <c r="A29" s="71">
        <f t="shared" si="4"/>
        <v>25</v>
      </c>
      <c r="B29" s="47" t="s">
        <v>161</v>
      </c>
      <c r="C29" s="72">
        <f>IFERROR(__xludf.DUMMYFUNCTION("iferror(divide(googlefinance($B29,""marketcap""),1000000),"""")"),1271.56989)</f>
        <v>1271.56989</v>
      </c>
      <c r="D29" s="72">
        <f>IFERROR(__xludf.DUMMYFUNCTION("iferror(divide(googlefinance($B29,""shares""),1000),"""")"),16272.0)</f>
        <v>16272</v>
      </c>
      <c r="E29" s="72">
        <f>IFERROR(__xludf.DUMMYFUNCTION("iferror(divide(googlefinance($B29,""volumeavg""),1000),"""")"),413.325)</f>
        <v>413.325</v>
      </c>
      <c r="F29" s="73">
        <f>IFERROR(__xludf.DUMMYFUNCTION("iferror(MINUS(divide(GOOGLEFINANCE($B29), INDEX(GOOGLEFINANCE($B29,""price"",today()-182),2,2)),1),"""")"),2.1875849569551424)</f>
        <v>2.187584957</v>
      </c>
      <c r="G29" s="61">
        <f>IFERROR(__xludf.DUMMYFUNCTION("iferror(MINUS(divide(GOOGLEFINANCE($B29), INDEX(GOOGLEFINANCE($B29,""price"",today()-364),2,2)),1),"""")"),3.888811674774148)</f>
        <v>3.888811675</v>
      </c>
    </row>
    <row r="30">
      <c r="A30" s="71">
        <f t="shared" si="4"/>
        <v>26</v>
      </c>
      <c r="B30" s="47" t="s">
        <v>162</v>
      </c>
      <c r="C30" s="72">
        <f>IFERROR(__xludf.DUMMYFUNCTION("iferror(divide(googlefinance($B30,""marketcap""),1000000),"""")"),108.516418)</f>
        <v>108.516418</v>
      </c>
      <c r="D30" s="72">
        <f>IFERROR(__xludf.DUMMYFUNCTION("iferror(divide(googlefinance($B30,""shares""),1000),"""")"),42723.0)</f>
        <v>42723</v>
      </c>
      <c r="E30" s="72">
        <f>IFERROR(__xludf.DUMMYFUNCTION("iferror(divide(googlefinance($B30,""volumeavg""),1000),"""")"),442.476)</f>
        <v>442.476</v>
      </c>
      <c r="F30" s="73">
        <f>IFERROR(__xludf.DUMMYFUNCTION("iferror(MINUS(divide(GOOGLEFINANCE($B30), INDEX(GOOGLEFINANCE($B30,""price"",today()-182),2,2)),1),"""")"),1.8222222222222224)</f>
        <v>1.822222222</v>
      </c>
      <c r="G30" s="61">
        <f>IFERROR(__xludf.DUMMYFUNCTION("iferror(MINUS(divide(GOOGLEFINANCE($B30), INDEX(GOOGLEFINANCE($B30,""price"",today()-364),2,2)),1),"""")"),0.7887323943661972)</f>
        <v>0.7887323944</v>
      </c>
    </row>
    <row r="31">
      <c r="A31" s="71">
        <f t="shared" si="4"/>
        <v>27</v>
      </c>
      <c r="B31" s="47" t="s">
        <v>163</v>
      </c>
      <c r="C31" s="72">
        <f>IFERROR(__xludf.DUMMYFUNCTION("iferror(divide(googlefinance($B31,""marketcap""),1000000),"""")"),123.744072)</f>
        <v>123.744072</v>
      </c>
      <c r="D31" s="72">
        <f>IFERROR(__xludf.DUMMYFUNCTION("iferror(divide(googlefinance($B31,""shares""),1000),"""")"),90324.0)</f>
        <v>90324</v>
      </c>
      <c r="E31" s="72">
        <f>IFERROR(__xludf.DUMMYFUNCTION("iferror(divide(googlefinance($B31,""volumeavg""),1000),"""")"),1034.773)</f>
        <v>1034.773</v>
      </c>
      <c r="F31" s="73">
        <f>IFERROR(__xludf.DUMMYFUNCTION("iferror(MINUS(divide(GOOGLEFINANCE($B31), INDEX(GOOGLEFINANCE($B31,""price"",today()-182),2,2)),1),"""")"),0.6309523809523812)</f>
        <v>0.630952381</v>
      </c>
      <c r="G31" s="61">
        <f>IFERROR(__xludf.DUMMYFUNCTION("iferror(MINUS(divide(GOOGLEFINANCE($B31), INDEX(GOOGLEFINANCE($B31,""price"",today()-364),2,2)),1),"""")"),-0.45199999999999996)</f>
        <v>-0.452</v>
      </c>
    </row>
    <row r="32">
      <c r="A32" s="71">
        <f t="shared" si="4"/>
        <v>28</v>
      </c>
      <c r="B32" s="47" t="s">
        <v>164</v>
      </c>
      <c r="C32" s="72">
        <f>IFERROR(__xludf.DUMMYFUNCTION("iferror(divide(googlefinance($B32,""marketcap""),1000000),"""")"),25.192179)</f>
        <v>25.192179</v>
      </c>
      <c r="D32" s="72">
        <f>IFERROR(__xludf.DUMMYFUNCTION("iferror(divide(googlefinance($B32,""shares""),1000),"""")"),96893.0)</f>
        <v>96893</v>
      </c>
      <c r="E32" s="72">
        <f>IFERROR(__xludf.DUMMYFUNCTION("iferror(divide(googlefinance($B32,""volumeavg""),1000),"""")"),6970.535)</f>
        <v>6970.535</v>
      </c>
      <c r="F32" s="73">
        <f>IFERROR(__xludf.DUMMYFUNCTION("iferror(MINUS(divide(GOOGLEFINANCE($B32), INDEX(GOOGLEFINANCE($B32,""price"",today()-182),2,2)),1),"""")"),-0.3870967741935484)</f>
        <v>-0.3870967742</v>
      </c>
      <c r="G32" s="61">
        <f>IFERROR(__xludf.DUMMYFUNCTION("iferror(MINUS(divide(GOOGLEFINANCE($B32), INDEX(GOOGLEFINANCE($B32,""price"",today()-364),2,2)),1),"""")"),-0.909952606635071)</f>
        <v>-0.9099526066</v>
      </c>
    </row>
    <row r="33">
      <c r="A33" s="71">
        <f t="shared" si="4"/>
        <v>29</v>
      </c>
      <c r="B33" s="47" t="s">
        <v>165</v>
      </c>
      <c r="C33" s="72">
        <f>IFERROR(__xludf.DUMMYFUNCTION("iferror(divide(googlefinance($B33,""marketcap""),1000000),"""")"),9975.656)</f>
        <v>9975.656</v>
      </c>
      <c r="D33" s="72">
        <f>IFERROR(__xludf.DUMMYFUNCTION("iferror(divide(googlefinance($B33,""shares""),1000),"""")"),927968.0)</f>
        <v>927968</v>
      </c>
      <c r="E33" s="72">
        <f>IFERROR(__xludf.DUMMYFUNCTION("iferror(divide(googlefinance($B33,""volumeavg""),1000),"""")"),714.021)</f>
        <v>714.021</v>
      </c>
      <c r="F33" s="73">
        <f>IFERROR(__xludf.DUMMYFUNCTION("iferror(MINUS(divide(GOOGLEFINANCE($B33), INDEX(GOOGLEFINANCE($B33,""price"",today()-182),2,2)),1),"""")"),3.1030534351145036)</f>
        <v>3.103053435</v>
      </c>
      <c r="G33" s="61">
        <f>IFERROR(__xludf.DUMMYFUNCTION("iferror(MINUS(divide(GOOGLEFINANCE($B33), INDEX(GOOGLEFINANCE($B33,""price"",today()-364),2,2)),1),"""")"),5.073446327683616)</f>
        <v>5.073446328</v>
      </c>
    </row>
    <row r="34">
      <c r="A34" s="71">
        <f t="shared" si="4"/>
        <v>30</v>
      </c>
      <c r="B34" s="47" t="s">
        <v>166</v>
      </c>
      <c r="C34" s="72">
        <f>IFERROR(__xludf.DUMMYFUNCTION("iferror(divide(googlefinance($B34,""marketcap""),1000000),"""")"),3185.048704)</f>
        <v>3185.048704</v>
      </c>
      <c r="D34" s="72">
        <f>IFERROR(__xludf.DUMMYFUNCTION("iferror(divide(googlefinance($B34,""shares""),1000),"""")"),70716.0)</f>
        <v>70716</v>
      </c>
      <c r="E34" s="72">
        <f>IFERROR(__xludf.DUMMYFUNCTION("iferror(divide(googlefinance($B34,""volumeavg""),1000),"""")"),133.296)</f>
        <v>133.296</v>
      </c>
      <c r="F34" s="73" t="str">
        <f>IFERROR(__xludf.DUMMYFUNCTION("iferror(MINUS(divide(GOOGLEFINANCE($B34), INDEX(GOOGLEFINANCE($B34,""price"",today()-182),2,2)),1),"""")"),"")</f>
        <v/>
      </c>
      <c r="G34" s="61" t="str">
        <f>IFERROR(__xludf.DUMMYFUNCTION("iferror(MINUS(divide(GOOGLEFINANCE($B34), INDEX(GOOGLEFINANCE($B34,""price"",today()-364),2,2)),1),"""")"),"")</f>
        <v/>
      </c>
    </row>
    <row r="35">
      <c r="A35" s="71">
        <f t="shared" si="4"/>
        <v>31</v>
      </c>
      <c r="B35" s="47" t="s">
        <v>167</v>
      </c>
      <c r="C35" s="72">
        <f>IFERROR(__xludf.DUMMYFUNCTION("iferror(divide(googlefinance($B35,""marketcap""),1000000),"""")"),42680.48361)</f>
        <v>42680.48361</v>
      </c>
      <c r="D35" s="72">
        <f>IFERROR(__xludf.DUMMYFUNCTION("iferror(divide(googlefinance($B35,""shares""),1000),"""")"),369560.0)</f>
        <v>369560</v>
      </c>
      <c r="E35" s="72">
        <f>IFERROR(__xludf.DUMMYFUNCTION("iferror(divide(googlefinance($B35,""volumeavg""),1000),"""")"),3272.498)</f>
        <v>3272.498</v>
      </c>
      <c r="F35" s="73">
        <f>IFERROR(__xludf.DUMMYFUNCTION("iferror(MINUS(divide(GOOGLEFINANCE($B35), INDEX(GOOGLEFINANCE($B35,""price"",today()-182),2,2)),1),"""")"),0.35742830277385984)</f>
        <v>0.3574283028</v>
      </c>
      <c r="G35" s="61">
        <f>IFERROR(__xludf.DUMMYFUNCTION("iferror(MINUS(divide(GOOGLEFINANCE($B35), INDEX(GOOGLEFINANCE($B35,""price"",today()-364),2,2)),1),"""")"),0.0013873233330443657)</f>
        <v>0.001387323333</v>
      </c>
    </row>
    <row r="36">
      <c r="A36" s="71">
        <f t="shared" si="4"/>
        <v>32</v>
      </c>
      <c r="B36" s="47" t="s">
        <v>168</v>
      </c>
      <c r="C36" s="72">
        <f>IFERROR(__xludf.DUMMYFUNCTION("iferror(divide(googlefinance($B36,""marketcap""),1000000),"""")"),26543.257444)</f>
        <v>26543.25744</v>
      </c>
      <c r="D36" s="72">
        <f>IFERROR(__xludf.DUMMYFUNCTION("iferror(divide(googlefinance($B36,""shares""),1000),"""")"),555647.0)</f>
        <v>555647</v>
      </c>
      <c r="E36" s="72">
        <f>IFERROR(__xludf.DUMMYFUNCTION("iferror(divide(googlefinance($B36,""volumeavg""),1000),"""")"),2658.993)</f>
        <v>2658.993</v>
      </c>
      <c r="F36" s="73">
        <f>IFERROR(__xludf.DUMMYFUNCTION("iferror(MINUS(divide(GOOGLEFINANCE($B36), INDEX(GOOGLEFINANCE($B36,""price"",today()-182),2,2)),1),"""")"),0.5606011107481217)</f>
        <v>0.5606011107</v>
      </c>
      <c r="G36" s="61">
        <f>IFERROR(__xludf.DUMMYFUNCTION("iferror(MINUS(divide(GOOGLEFINANCE($B36), INDEX(GOOGLEFINANCE($B36,""price"",today()-364),2,2)),1),"""")"),0.16797066014669948)</f>
        <v>0.1679706601</v>
      </c>
    </row>
    <row r="37">
      <c r="A37" s="71">
        <f t="shared" si="4"/>
        <v>33</v>
      </c>
      <c r="B37" s="47" t="s">
        <v>169</v>
      </c>
      <c r="C37" s="72">
        <f>IFERROR(__xludf.DUMMYFUNCTION("iferror(divide(googlefinance($B37,""marketcap""),1000000),"""")"),208.103386)</f>
        <v>208.103386</v>
      </c>
      <c r="D37" s="72">
        <f>IFERROR(__xludf.DUMMYFUNCTION("iferror(divide(googlefinance($B37,""shares""),1000),"""")"),86350.0)</f>
        <v>86350</v>
      </c>
      <c r="E37" s="72">
        <f>IFERROR(__xludf.DUMMYFUNCTION("iferror(divide(googlefinance($B37,""volumeavg""),1000),"""")"),7648.452)</f>
        <v>7648.452</v>
      </c>
      <c r="F37" s="73">
        <f>IFERROR(__xludf.DUMMYFUNCTION("iferror(MINUS(divide(GOOGLEFINANCE($B37), INDEX(GOOGLEFINANCE($B37,""price"",today()-182),2,2)),1),"""")"),0.07111111111111112)</f>
        <v>0.07111111111</v>
      </c>
      <c r="G37" s="61">
        <f>IFERROR(__xludf.DUMMYFUNCTION("iferror(MINUS(divide(GOOGLEFINANCE($B37), INDEX(GOOGLEFINANCE($B37,""price"",today()-364),2,2)),1),"""")"),-0.5469924812030076)</f>
        <v>-0.5469924812</v>
      </c>
    </row>
    <row r="38">
      <c r="A38" s="71">
        <f t="shared" si="4"/>
        <v>34</v>
      </c>
      <c r="B38" s="47" t="s">
        <v>170</v>
      </c>
      <c r="C38" s="72">
        <f>IFERROR(__xludf.DUMMYFUNCTION("iferror(divide(googlefinance($B38,""marketcap""),1000000),"""")"),130.380023)</f>
        <v>130.380023</v>
      </c>
      <c r="D38" s="72">
        <f>IFERROR(__xludf.DUMMYFUNCTION("iferror(divide(googlefinance($B38,""shares""),1000),"""")"),28282.0)</f>
        <v>28282</v>
      </c>
      <c r="E38" s="72">
        <f>IFERROR(__xludf.DUMMYFUNCTION("iferror(divide(googlefinance($B38,""volumeavg""),1000),"""")"),823.226)</f>
        <v>823.226</v>
      </c>
      <c r="F38" s="73">
        <f>IFERROR(__xludf.DUMMYFUNCTION("iferror(MINUS(divide(GOOGLEFINANCE($B38), INDEX(GOOGLEFINANCE($B38,""price"",today()-182),2,2)),1),"""")"),0.9128630705394192)</f>
        <v>0.9128630705</v>
      </c>
      <c r="G38" s="61">
        <f>IFERROR(__xludf.DUMMYFUNCTION("iferror(MINUS(divide(GOOGLEFINANCE($B38), INDEX(GOOGLEFINANCE($B38,""price"",today()-364),2,2)),1),"""")"),-0.3710777626193724)</f>
        <v>-0.3710777626</v>
      </c>
    </row>
    <row r="39">
      <c r="A39" s="71">
        <f t="shared" si="4"/>
        <v>35</v>
      </c>
      <c r="B39" s="47" t="s">
        <v>171</v>
      </c>
      <c r="C39" s="72">
        <f>IFERROR(__xludf.DUMMYFUNCTION("iferror(divide(googlefinance($B39,""marketcap""),1000000),"""")"),6093.076634)</f>
        <v>6093.076634</v>
      </c>
      <c r="D39" s="72">
        <f>IFERROR(__xludf.DUMMYFUNCTION("iferror(divide(googlefinance($B39,""shares""),1000),"""")"),135794.0)</f>
        <v>135794</v>
      </c>
      <c r="E39" s="72">
        <f>IFERROR(__xludf.DUMMYFUNCTION("iferror(divide(googlefinance($B39,""volumeavg""),1000),"""")"),857.766)</f>
        <v>857.766</v>
      </c>
      <c r="F39" s="73">
        <f>IFERROR(__xludf.DUMMYFUNCTION("iferror(MINUS(divide(GOOGLEFINANCE($B39), INDEX(GOOGLEFINANCE($B39,""price"",today()-182),2,2)),1),"""")"),0.9568251199302222)</f>
        <v>0.9568251199</v>
      </c>
      <c r="G39" s="61">
        <f>IFERROR(__xludf.DUMMYFUNCTION("iferror(MINUS(divide(GOOGLEFINANCE($B39), INDEX(GOOGLEFINANCE($B39,""price"",today()-364),2,2)),1),"""")"),0.11616915422885565)</f>
        <v>0.1161691542</v>
      </c>
    </row>
    <row r="40">
      <c r="A40" s="71">
        <f t="shared" si="4"/>
        <v>36</v>
      </c>
      <c r="B40" s="47" t="s">
        <v>172</v>
      </c>
      <c r="C40" s="72">
        <f>IFERROR(__xludf.DUMMYFUNCTION("iferror(divide(googlefinance($B40,""marketcap""),1000000),"""")"),202.108619)</f>
        <v>202.108619</v>
      </c>
      <c r="D40" s="72">
        <f>IFERROR(__xludf.DUMMYFUNCTION("iferror(divide(googlefinance($B40,""shares""),1000),"""")"),81168.0)</f>
        <v>81168</v>
      </c>
      <c r="E40" s="72">
        <f>IFERROR(__xludf.DUMMYFUNCTION("iferror(divide(googlefinance($B40,""volumeavg""),1000),"""")"),585.521)</f>
        <v>585.521</v>
      </c>
      <c r="F40" s="73">
        <f>IFERROR(__xludf.DUMMYFUNCTION("iferror(MINUS(divide(GOOGLEFINANCE($B40), INDEX(GOOGLEFINANCE($B40,""price"",today()-182),2,2)),1),"""")"),-0.0039999999999998925)</f>
        <v>-0.004</v>
      </c>
      <c r="G40" s="61">
        <f>IFERROR(__xludf.DUMMYFUNCTION("iferror(MINUS(divide(GOOGLEFINANCE($B40), INDEX(GOOGLEFINANCE($B40,""price"",today()-364),2,2)),1),"""")"),1.1101694915254239)</f>
        <v>1.110169492</v>
      </c>
    </row>
    <row r="41">
      <c r="A41" s="71">
        <f t="shared" si="4"/>
        <v>37</v>
      </c>
      <c r="B41" s="47" t="s">
        <v>173</v>
      </c>
      <c r="C41" s="72">
        <f>IFERROR(__xludf.DUMMYFUNCTION("iferror(divide(googlefinance($B41,""marketcap""),1000000),"""")"),1220.864302)</f>
        <v>1220.864302</v>
      </c>
      <c r="D41" s="72">
        <f>IFERROR(__xludf.DUMMYFUNCTION("iferror(divide(googlefinance($B41,""shares""),1000),"""")"),95157.0)</f>
        <v>95157</v>
      </c>
      <c r="E41" s="72">
        <f>IFERROR(__xludf.DUMMYFUNCTION("iferror(divide(googlefinance($B41,""volumeavg""),1000),"""")"),1531.645)</f>
        <v>1531.645</v>
      </c>
      <c r="F41" s="73">
        <f>IFERROR(__xludf.DUMMYFUNCTION("iferror(MINUS(divide(GOOGLEFINANCE($B41), INDEX(GOOGLEFINANCE($B41,""price"",today()-182),2,2)),1),"""")"),0.22190476190476183)</f>
        <v>0.2219047619</v>
      </c>
      <c r="G41" s="61">
        <f>IFERROR(__xludf.DUMMYFUNCTION("iferror(MINUS(divide(GOOGLEFINANCE($B41), INDEX(GOOGLEFINANCE($B41,""price"",today()-364),2,2)),1),"""")"),0.9922360248447204)</f>
        <v>0.9922360248</v>
      </c>
    </row>
    <row r="42">
      <c r="A42" s="71">
        <f t="shared" si="4"/>
        <v>38</v>
      </c>
      <c r="B42" s="47" t="s">
        <v>174</v>
      </c>
      <c r="C42" s="72">
        <f>IFERROR(__xludf.DUMMYFUNCTION("iferror(divide(googlefinance($B42,""marketcap""),1000000),"""")"),462.488121)</f>
        <v>462.488121</v>
      </c>
      <c r="D42" s="72">
        <f>IFERROR(__xludf.DUMMYFUNCTION("iferror(divide(googlefinance($B42,""shares""),1000),"""")"),30771.0)</f>
        <v>30771</v>
      </c>
      <c r="E42" s="72">
        <f>IFERROR(__xludf.DUMMYFUNCTION("iferror(divide(googlefinance($B42,""volumeavg""),1000),"""")"),87.524)</f>
        <v>87.524</v>
      </c>
      <c r="F42" s="73">
        <f>IFERROR(__xludf.DUMMYFUNCTION("iferror(MINUS(divide(GOOGLEFINANCE($B42), INDEX(GOOGLEFINANCE($B42,""price"",today()-182),2,2)),1),"""")"),0.07664756446991383)</f>
        <v>0.07664756447</v>
      </c>
      <c r="G42" s="61">
        <f>IFERROR(__xludf.DUMMYFUNCTION("iferror(MINUS(divide(GOOGLEFINANCE($B42), INDEX(GOOGLEFINANCE($B42,""price"",today()-364),2,2)),1),"""")"),-0.2756626506024097)</f>
        <v>-0.2756626506</v>
      </c>
    </row>
    <row r="43">
      <c r="A43" s="71">
        <f t="shared" si="4"/>
        <v>39</v>
      </c>
      <c r="B43" s="47" t="s">
        <v>175</v>
      </c>
      <c r="C43" s="72">
        <f>IFERROR(__xludf.DUMMYFUNCTION("iferror(divide(googlefinance($B43,""marketcap""),1000000),"""")"),35.169409)</f>
        <v>35.169409</v>
      </c>
      <c r="D43" s="72">
        <f>IFERROR(__xludf.DUMMYFUNCTION("iferror(divide(googlefinance($B43,""shares""),1000),"""")"),23291.0)</f>
        <v>23291</v>
      </c>
      <c r="E43" s="72">
        <f>IFERROR(__xludf.DUMMYFUNCTION("iferror(divide(googlefinance($B43,""volumeavg""),1000),"""")"),104.542)</f>
        <v>104.542</v>
      </c>
      <c r="F43" s="73">
        <f>IFERROR(__xludf.DUMMYFUNCTION("iferror(MINUS(divide(GOOGLEFINANCE($B43), INDEX(GOOGLEFINANCE($B43,""price"",today()-182),2,2)),1),"""")"),0.22764227642276436)</f>
        <v>0.2276422764</v>
      </c>
      <c r="G43" s="61">
        <f>IFERROR(__xludf.DUMMYFUNCTION("iferror(MINUS(divide(GOOGLEFINANCE($B43), INDEX(GOOGLEFINANCE($B43,""price"",today()-364),2,2)),1),"""")"),0.05594405594405605)</f>
        <v>0.05594405594</v>
      </c>
    </row>
    <row r="44">
      <c r="A44" s="71">
        <f t="shared" si="4"/>
        <v>40</v>
      </c>
      <c r="B44" s="47" t="s">
        <v>176</v>
      </c>
      <c r="C44" s="72">
        <f>IFERROR(__xludf.DUMMYFUNCTION("iferror(divide(googlefinance($B44,""marketcap""),1000000),"""")"),20325.975596)</f>
        <v>20325.9756</v>
      </c>
      <c r="D44" s="72">
        <f>IFERROR(__xludf.DUMMYFUNCTION("iferror(divide(googlefinance($B44,""shares""),1000),"""")"),241602.0)</f>
        <v>241602</v>
      </c>
      <c r="E44" s="72">
        <f>IFERROR(__xludf.DUMMYFUNCTION("iferror(divide(googlefinance($B44,""volumeavg""),1000),"""")"),1259.523)</f>
        <v>1259.523</v>
      </c>
      <c r="F44" s="73">
        <f>IFERROR(__xludf.DUMMYFUNCTION("iferror(MINUS(divide(GOOGLEFINANCE($B44), INDEX(GOOGLEFINANCE($B44,""price"",today()-182),2,2)),1),"""")"),1.2861413043478263)</f>
        <v>1.286141304</v>
      </c>
      <c r="G44" s="61">
        <f>IFERROR(__xludf.DUMMYFUNCTION("iferror(MINUS(divide(GOOGLEFINANCE($B44), INDEX(GOOGLEFINANCE($B44,""price"",today()-364),2,2)),1),"""")"),0.4455326460481097)</f>
        <v>0.445532646</v>
      </c>
    </row>
    <row r="45">
      <c r="A45" s="71">
        <f t="shared" si="4"/>
        <v>41</v>
      </c>
      <c r="B45" s="47" t="s">
        <v>177</v>
      </c>
      <c r="C45" s="72">
        <f>IFERROR(__xludf.DUMMYFUNCTION("iferror(divide(googlefinance($B45,""marketcap""),1000000),"""")"),2473.437517)</f>
        <v>2473.437517</v>
      </c>
      <c r="D45" s="72">
        <f>IFERROR(__xludf.DUMMYFUNCTION("iferror(divide(googlefinance($B45,""shares""),1000),"""")"),166114.0)</f>
        <v>166114</v>
      </c>
      <c r="E45" s="72">
        <f>IFERROR(__xludf.DUMMYFUNCTION("iferror(divide(googlefinance($B45,""volumeavg""),1000),"""")"),7777.6)</f>
        <v>7777.6</v>
      </c>
      <c r="F45" s="73">
        <f>IFERROR(__xludf.DUMMYFUNCTION("iferror(MINUS(divide(GOOGLEFINANCE($B45), INDEX(GOOGLEFINANCE($B45,""price"",today()-182),2,2)),1),"""")"),0.7036613272311214)</f>
        <v>0.7036613272</v>
      </c>
      <c r="G45" s="61">
        <f>IFERROR(__xludf.DUMMYFUNCTION("iferror(MINUS(divide(GOOGLEFINANCE($B45), INDEX(GOOGLEFINANCE($B45,""price"",today()-364),2,2)),1),"""")"),-0.08312807881773387)</f>
        <v>-0.08312807882</v>
      </c>
    </row>
    <row r="46">
      <c r="A46" s="71">
        <f t="shared" si="4"/>
        <v>42</v>
      </c>
      <c r="B46" s="47" t="s">
        <v>178</v>
      </c>
      <c r="C46" s="72">
        <f>IFERROR(__xludf.DUMMYFUNCTION("iferror(divide(googlefinance($B46,""marketcap""),1000000),"""")"),548.400058)</f>
        <v>548.400058</v>
      </c>
      <c r="D46" s="72">
        <f>IFERROR(__xludf.DUMMYFUNCTION("iferror(divide(googlefinance($B46,""shares""),1000),"""")"),46514.0)</f>
        <v>46514</v>
      </c>
      <c r="E46" s="72">
        <f>IFERROR(__xludf.DUMMYFUNCTION("iferror(divide(googlefinance($B46,""volumeavg""),1000),"""")"),782.961)</f>
        <v>782.961</v>
      </c>
      <c r="F46" s="73">
        <f>IFERROR(__xludf.DUMMYFUNCTION("iferror(MINUS(divide(GOOGLEFINANCE($B46), INDEX(GOOGLEFINANCE($B46,""price"",today()-182),2,2)),1),"""")"),-0.004222972972973027)</f>
        <v>-0.004222972973</v>
      </c>
      <c r="G46" s="61">
        <f>IFERROR(__xludf.DUMMYFUNCTION("iferror(MINUS(divide(GOOGLEFINANCE($B46), INDEX(GOOGLEFINANCE($B46,""price"",today()-364),2,2)),1),"""")"),-0.4946420917273896)</f>
        <v>-0.4946420917</v>
      </c>
    </row>
    <row r="47">
      <c r="A47" s="71">
        <f t="shared" si="4"/>
        <v>43</v>
      </c>
      <c r="B47" s="47" t="s">
        <v>179</v>
      </c>
      <c r="C47" s="72">
        <f>IFERROR(__xludf.DUMMYFUNCTION("iferror(divide(googlefinance($B47,""marketcap""),1000000),"""")"),282.125003)</f>
        <v>282.125003</v>
      </c>
      <c r="D47" s="72">
        <f>IFERROR(__xludf.DUMMYFUNCTION("iferror(divide(googlefinance($B47,""shares""),1000),"""")"),76250.0)</f>
        <v>76250</v>
      </c>
      <c r="E47" s="72">
        <f>IFERROR(__xludf.DUMMYFUNCTION("iferror(divide(googlefinance($B47,""volumeavg""),1000),"""")"),1036.316)</f>
        <v>1036.316</v>
      </c>
      <c r="F47" s="73">
        <f>IFERROR(__xludf.DUMMYFUNCTION("iferror(MINUS(divide(GOOGLEFINANCE($B47), INDEX(GOOGLEFINANCE($B47,""price"",today()-182),2,2)),1),"""")"),0.989247311827957)</f>
        <v>0.9892473118</v>
      </c>
      <c r="G47" s="61">
        <f>IFERROR(__xludf.DUMMYFUNCTION("iferror(MINUS(divide(GOOGLEFINANCE($B47), INDEX(GOOGLEFINANCE($B47,""price"",today()-364),2,2)),1),"""")"),0.07871720116618075)</f>
        <v>0.07871720117</v>
      </c>
    </row>
    <row r="48">
      <c r="A48" s="71">
        <f t="shared" si="4"/>
        <v>44</v>
      </c>
      <c r="B48" s="47" t="s">
        <v>180</v>
      </c>
      <c r="C48" s="72">
        <f>IFERROR(__xludf.DUMMYFUNCTION("iferror(divide(googlefinance($B48,""marketcap""),1000000),"""")"),3426.559341)</f>
        <v>3426.559341</v>
      </c>
      <c r="D48" s="72">
        <f>IFERROR(__xludf.DUMMYFUNCTION("iferror(divide(googlefinance($B48,""shares""),1000),"""")"),214428.0)</f>
        <v>214428</v>
      </c>
      <c r="E48" s="72">
        <f>IFERROR(__xludf.DUMMYFUNCTION("iferror(divide(googlefinance($B48,""volumeavg""),1000),"""")"),6591.471)</f>
        <v>6591.471</v>
      </c>
      <c r="F48" s="73">
        <f>IFERROR(__xludf.DUMMYFUNCTION("iferror(MINUS(divide(GOOGLEFINANCE($B48), INDEX(GOOGLEFINANCE($B48,""price"",today()-182),2,2)),1),"""")"),1.206896551724138)</f>
        <v>1.206896552</v>
      </c>
      <c r="G48" s="61">
        <f>IFERROR(__xludf.DUMMYFUNCTION("iferror(MINUS(divide(GOOGLEFINANCE($B48), INDEX(GOOGLEFINANCE($B48,""price"",today()-364),2,2)),1),"""")"),0.20515361744301286)</f>
        <v>0.2051536174</v>
      </c>
    </row>
    <row r="49">
      <c r="A49" s="71">
        <f t="shared" si="4"/>
        <v>45</v>
      </c>
      <c r="B49" s="47" t="s">
        <v>181</v>
      </c>
      <c r="C49" s="72">
        <f>IFERROR(__xludf.DUMMYFUNCTION("iferror(divide(googlefinance($B49,""marketcap""),1000000),"""")"),952.067104)</f>
        <v>952.067104</v>
      </c>
      <c r="D49" s="72">
        <f>IFERROR(__xludf.DUMMYFUNCTION("iferror(divide(googlefinance($B49,""shares""),1000),"""")"),183443.0)</f>
        <v>183443</v>
      </c>
      <c r="E49" s="72">
        <f>IFERROR(__xludf.DUMMYFUNCTION("iferror(divide(googlefinance($B49,""volumeavg""),1000),"""")"),3185.217)</f>
        <v>3185.217</v>
      </c>
      <c r="F49" s="73">
        <f>IFERROR(__xludf.DUMMYFUNCTION("iferror(MINUS(divide(GOOGLEFINANCE($B49), INDEX(GOOGLEFINANCE($B49,""price"",today()-182),2,2)),1),"""")"),1.7031250000000004)</f>
        <v>1.703125</v>
      </c>
      <c r="G49" s="61">
        <f>IFERROR(__xludf.DUMMYFUNCTION("iferror(MINUS(divide(GOOGLEFINANCE($B49), INDEX(GOOGLEFINANCE($B49,""price"",today()-364),2,2)),1),"""")"),0.7128712871287131)</f>
        <v>0.7128712871</v>
      </c>
    </row>
    <row r="50">
      <c r="A50" s="71">
        <f t="shared" si="4"/>
        <v>46</v>
      </c>
      <c r="B50" s="47" t="s">
        <v>182</v>
      </c>
      <c r="C50" s="72">
        <f>IFERROR(__xludf.DUMMYFUNCTION("iferror(divide(googlefinance($B50,""marketcap""),1000000),"""")"),160.211521)</f>
        <v>160.211521</v>
      </c>
      <c r="D50" s="72">
        <f>IFERROR(__xludf.DUMMYFUNCTION("iferror(divide(googlefinance($B50,""shares""),1000),"""")"),52875.0)</f>
        <v>52875</v>
      </c>
      <c r="E50" s="72">
        <f>IFERROR(__xludf.DUMMYFUNCTION("iferror(divide(googlefinance($B50,""volumeavg""),1000),"""")"),75.234)</f>
        <v>75.234</v>
      </c>
      <c r="F50" s="73">
        <f>IFERROR(__xludf.DUMMYFUNCTION("iferror(MINUS(divide(GOOGLEFINANCE($B50), INDEX(GOOGLEFINANCE($B50,""price"",today()-182),2,2)),1),"""")"),1.634782608695652)</f>
        <v>1.634782609</v>
      </c>
      <c r="G50" s="61">
        <f>IFERROR(__xludf.DUMMYFUNCTION("iferror(MINUS(divide(GOOGLEFINANCE($B50), INDEX(GOOGLEFINANCE($B50,""price"",today()-364),2,2)),1),"""")"),0.3526785714285712)</f>
        <v>0.3526785714</v>
      </c>
    </row>
    <row r="51">
      <c r="A51" s="71">
        <f t="shared" si="4"/>
        <v>47</v>
      </c>
      <c r="B51" s="47" t="s">
        <v>183</v>
      </c>
      <c r="C51" s="72">
        <f>IFERROR(__xludf.DUMMYFUNCTION("iferror(divide(googlefinance($B51,""marketcap""),1000000),"""")"),4967.259225)</f>
        <v>4967.259225</v>
      </c>
      <c r="D51" s="72">
        <f>IFERROR(__xludf.DUMMYFUNCTION("iferror(divide(googlefinance($B51,""shares""),1000),"""")"),391431.0)</f>
        <v>391431</v>
      </c>
      <c r="E51" s="72">
        <f>IFERROR(__xludf.DUMMYFUNCTION("iferror(divide(googlefinance($B51,""volumeavg""),1000),"""")"),2544.097)</f>
        <v>2544.097</v>
      </c>
      <c r="F51" s="73">
        <f>IFERROR(__xludf.DUMMYFUNCTION("iferror(MINUS(divide(GOOGLEFINANCE($B51), INDEX(GOOGLEFINANCE($B51,""price"",today()-182),2,2)),1),"""")"),1.1685393258426968)</f>
        <v>1.168539326</v>
      </c>
      <c r="G51" s="61">
        <f>IFERROR(__xludf.DUMMYFUNCTION("iferror(MINUS(divide(GOOGLEFINANCE($B51), INDEX(GOOGLEFINANCE($B51,""price"",today()-364),2,2)),1),"""")"),0.48006134969325176)</f>
        <v>0.4800613497</v>
      </c>
    </row>
    <row r="52">
      <c r="A52" s="71">
        <f t="shared" si="4"/>
        <v>48</v>
      </c>
      <c r="B52" s="47" t="s">
        <v>184</v>
      </c>
      <c r="C52" s="72">
        <f>IFERROR(__xludf.DUMMYFUNCTION("iferror(divide(googlefinance($B52,""marketcap""),1000000),"""")"),2672.139023)</f>
        <v>2672.139023</v>
      </c>
      <c r="D52" s="72">
        <f>IFERROR(__xludf.DUMMYFUNCTION("iferror(divide(googlefinance($B52,""shares""),1000),"""")"),69110.0)</f>
        <v>69110</v>
      </c>
      <c r="E52" s="72">
        <f>IFERROR(__xludf.DUMMYFUNCTION("iferror(divide(googlefinance($B52,""volumeavg""),1000),"""")"),597.019)</f>
        <v>597.019</v>
      </c>
      <c r="F52" s="73">
        <f>IFERROR(__xludf.DUMMYFUNCTION("iferror(MINUS(divide(GOOGLEFINANCE($B52), INDEX(GOOGLEFINANCE($B52,""price"",today()-182),2,2)),1),"""")"),0.1612612612612614)</f>
        <v>0.1612612613</v>
      </c>
      <c r="G52" s="61">
        <f>IFERROR(__xludf.DUMMYFUNCTION("iferror(MINUS(divide(GOOGLEFINANCE($B52), INDEX(GOOGLEFINANCE($B52,""price"",today()-364),2,2)),1),"""")"),0.06499586890663722)</f>
        <v>0.06499586891</v>
      </c>
    </row>
    <row r="53">
      <c r="A53" s="71">
        <f t="shared" si="4"/>
        <v>49</v>
      </c>
      <c r="B53" s="47" t="s">
        <v>185</v>
      </c>
      <c r="C53" s="72">
        <f>IFERROR(__xludf.DUMMYFUNCTION("iferror(divide(googlefinance($B53,""marketcap""),1000000),"""")"),346.541999)</f>
        <v>346.541999</v>
      </c>
      <c r="D53" s="72">
        <f>IFERROR(__xludf.DUMMYFUNCTION("iferror(divide(googlefinance($B53,""shares""),1000),"""")"),44600.0)</f>
        <v>44600</v>
      </c>
      <c r="E53" s="72">
        <f>IFERROR(__xludf.DUMMYFUNCTION("iferror(divide(googlefinance($B53,""volumeavg""),1000),"""")"),293.857)</f>
        <v>293.857</v>
      </c>
      <c r="F53" s="73">
        <f>IFERROR(__xludf.DUMMYFUNCTION("iferror(MINUS(divide(GOOGLEFINANCE($B53), INDEX(GOOGLEFINANCE($B53,""price"",today()-182),2,2)),1),"""")"),0.9473684210526314)</f>
        <v>0.9473684211</v>
      </c>
      <c r="G53" s="61">
        <f>IFERROR(__xludf.DUMMYFUNCTION("iferror(MINUS(divide(GOOGLEFINANCE($B53), INDEX(GOOGLEFINANCE($B53,""price"",today()-364),2,2)),1),"""")"),-0.10277136258660513)</f>
        <v>-0.1027713626</v>
      </c>
    </row>
    <row r="54">
      <c r="A54" s="71">
        <f t="shared" si="4"/>
        <v>50</v>
      </c>
      <c r="B54" s="47" t="s">
        <v>186</v>
      </c>
      <c r="C54" s="72">
        <f>IFERROR(__xludf.DUMMYFUNCTION("iferror(divide(googlefinance($B54,""marketcap""),1000000),"""")"),592.126917)</f>
        <v>592.126917</v>
      </c>
      <c r="D54" s="72">
        <f>IFERROR(__xludf.DUMMYFUNCTION("iferror(divide(googlefinance($B54,""shares""),1000),"""")"),118189.0)</f>
        <v>118189</v>
      </c>
      <c r="E54" s="72">
        <f>IFERROR(__xludf.DUMMYFUNCTION("iferror(divide(googlefinance($B54,""volumeavg""),1000),"""")"),274.449)</f>
        <v>274.449</v>
      </c>
      <c r="F54" s="73">
        <f>IFERROR(__xludf.DUMMYFUNCTION("iferror(MINUS(divide(GOOGLEFINANCE($B54), INDEX(GOOGLEFINANCE($B54,""price"",today()-182),2,2)),1),"""")"),0.2279411764705881)</f>
        <v>0.2279411765</v>
      </c>
      <c r="G54" s="61">
        <f>IFERROR(__xludf.DUMMYFUNCTION("iferror(MINUS(divide(GOOGLEFINANCE($B54), INDEX(GOOGLEFINANCE($B54,""price"",today()-364),2,2)),1),"""")"),-0.19193548387096782)</f>
        <v>-0.1919354839</v>
      </c>
    </row>
    <row r="55">
      <c r="A55" s="71">
        <f t="shared" si="4"/>
        <v>51</v>
      </c>
      <c r="B55" s="47" t="s">
        <v>187</v>
      </c>
      <c r="C55" s="72">
        <f>IFERROR(__xludf.DUMMYFUNCTION("iferror(divide(googlefinance($B55,""marketcap""),1000000),"""")"),322.128185)</f>
        <v>322.128185</v>
      </c>
      <c r="D55" s="72">
        <f>IFERROR(__xludf.DUMMYFUNCTION("iferror(divide(googlefinance($B55,""shares""),1000),"""")"),87298.0)</f>
        <v>87298</v>
      </c>
      <c r="E55" s="72">
        <f>IFERROR(__xludf.DUMMYFUNCTION("iferror(divide(googlefinance($B55,""volumeavg""),1000),"""")"),1486.07)</f>
        <v>1486.07</v>
      </c>
      <c r="F55" s="73">
        <f>IFERROR(__xludf.DUMMYFUNCTION("iferror(MINUS(divide(GOOGLEFINANCE($B55), INDEX(GOOGLEFINANCE($B55,""price"",today()-182),2,2)),1),"""")"),1.2777777777777777)</f>
        <v>1.277777778</v>
      </c>
      <c r="G55" s="61">
        <f>IFERROR(__xludf.DUMMYFUNCTION("iferror(MINUS(divide(GOOGLEFINANCE($B55), INDEX(GOOGLEFINANCE($B55,""price"",today()-364),2,2)),1),"""")"),2.181034482758621)</f>
        <v>2.181034483</v>
      </c>
    </row>
    <row r="56">
      <c r="A56" s="71">
        <f t="shared" si="4"/>
        <v>52</v>
      </c>
      <c r="B56" s="47" t="s">
        <v>188</v>
      </c>
      <c r="C56" s="72">
        <f>IFERROR(__xludf.DUMMYFUNCTION("iferror(divide(googlefinance($B56,""marketcap""),1000000),"""")"),131.028438)</f>
        <v>131.028438</v>
      </c>
      <c r="D56" s="72">
        <f>IFERROR(__xludf.DUMMYFUNCTION("iferror(divide(googlefinance($B56,""shares""),1000),"""")"),25793.0)</f>
        <v>25793</v>
      </c>
      <c r="E56" s="72">
        <f>IFERROR(__xludf.DUMMYFUNCTION("iferror(divide(googlefinance($B56,""volumeavg""),1000),"""")"),360.798)</f>
        <v>360.798</v>
      </c>
      <c r="F56" s="73">
        <f>IFERROR(__xludf.DUMMYFUNCTION("iferror(MINUS(divide(GOOGLEFINANCE($B56), INDEX(GOOGLEFINANCE($B56,""price"",today()-182),2,2)),1),"""")"),0.7457044673539519)</f>
        <v>0.7457044674</v>
      </c>
      <c r="G56" s="61">
        <f>IFERROR(__xludf.DUMMYFUNCTION("iferror(MINUS(divide(GOOGLEFINANCE($B56), INDEX(GOOGLEFINANCE($B56,""price"",today()-364),2,2)),1),"""")"),0.48538011695906436)</f>
        <v>0.485380117</v>
      </c>
    </row>
    <row r="57">
      <c r="A57" s="71">
        <f t="shared" si="4"/>
        <v>53</v>
      </c>
      <c r="B57" s="47" t="s">
        <v>189</v>
      </c>
      <c r="C57" s="72">
        <f>IFERROR(__xludf.DUMMYFUNCTION("iferror(divide(googlefinance($B57,""marketcap""),1000000),"""")"),719.8784)</f>
        <v>719.8784</v>
      </c>
      <c r="D57" s="72">
        <f>IFERROR(__xludf.DUMMYFUNCTION("iferror(divide(googlefinance($B57,""shares""),1000),"""")"),15670.0)</f>
        <v>15670</v>
      </c>
      <c r="E57" s="72">
        <f>IFERROR(__xludf.DUMMYFUNCTION("iferror(divide(googlefinance($B57,""volumeavg""),1000),"""")"),66.73)</f>
        <v>66.73</v>
      </c>
      <c r="F57" s="73">
        <f>IFERROR(__xludf.DUMMYFUNCTION("iferror(MINUS(divide(GOOGLEFINANCE($B57), INDEX(GOOGLEFINANCE($B57,""price"",today()-182),2,2)),1),"""")"),0.2051416579223504)</f>
        <v>0.2051416579</v>
      </c>
      <c r="G57" s="61">
        <f>IFERROR(__xludf.DUMMYFUNCTION("iferror(MINUS(divide(GOOGLEFINANCE($B57), INDEX(GOOGLEFINANCE($B57,""price"",today()-364),2,2)),1),"""")"),0.18402061855670104)</f>
        <v>0.1840206186</v>
      </c>
    </row>
    <row r="58">
      <c r="A58" s="71">
        <f t="shared" si="4"/>
        <v>54</v>
      </c>
      <c r="B58" s="47" t="s">
        <v>190</v>
      </c>
      <c r="C58" s="72">
        <f>IFERROR(__xludf.DUMMYFUNCTION("iferror(divide(googlefinance($B58,""marketcap""),1000000),"""")"),102.007645)</f>
        <v>102.007645</v>
      </c>
      <c r="D58" s="72">
        <f>IFERROR(__xludf.DUMMYFUNCTION("iferror(divide(googlefinance($B58,""shares""),1000),"""")"),70839.0)</f>
        <v>70839</v>
      </c>
      <c r="E58" s="72">
        <f>IFERROR(__xludf.DUMMYFUNCTION("iferror(divide(googlefinance($B58,""volumeavg""),1000),"""")"),47.411)</f>
        <v>47.411</v>
      </c>
      <c r="F58" s="73">
        <f>IFERROR(__xludf.DUMMYFUNCTION("iferror(MINUS(divide(GOOGLEFINANCE($B58), INDEX(GOOGLEFINANCE($B58,""price"",today()-182),2,2)),1),"""")"),-0.500578034682081)</f>
        <v>-0.5005780347</v>
      </c>
      <c r="G58" s="61" t="str">
        <f>IFERROR(__xludf.DUMMYFUNCTION("iferror(MINUS(divide(GOOGLEFINANCE($B58), INDEX(GOOGLEFINANCE($B58,""price"",today()-364),2,2)),1),"""")"),"")</f>
        <v/>
      </c>
    </row>
    <row r="59">
      <c r="A59" s="71">
        <f t="shared" si="4"/>
        <v>55</v>
      </c>
      <c r="B59" s="47" t="s">
        <v>191</v>
      </c>
      <c r="C59" s="72">
        <f>IFERROR(__xludf.DUMMYFUNCTION("iferror(divide(googlefinance($B59,""marketcap""),1000000),"""")"),2244.280559)</f>
        <v>2244.280559</v>
      </c>
      <c r="D59" s="72">
        <f>IFERROR(__xludf.DUMMYFUNCTION("iferror(divide(googlefinance($B59,""shares""),1000),"""")"),65450.0)</f>
        <v>65450</v>
      </c>
      <c r="E59" s="72">
        <f>IFERROR(__xludf.DUMMYFUNCTION("iferror(divide(googlefinance($B59,""volumeavg""),1000),"""")"),3115.596)</f>
        <v>3115.596</v>
      </c>
      <c r="F59" s="73">
        <f>IFERROR(__xludf.DUMMYFUNCTION("iferror(MINUS(divide(GOOGLEFINANCE($B59), INDEX(GOOGLEFINANCE($B59,""price"",today()-182),2,2)),1),"""")"),1.9791485664639445)</f>
        <v>1.979148566</v>
      </c>
      <c r="G59" s="61">
        <f>IFERROR(__xludf.DUMMYFUNCTION("iferror(MINUS(divide(GOOGLEFINANCE($B59), INDEX(GOOGLEFINANCE($B59,""price"",today()-364),2,2)),1),"""")"),0.5132391879964695)</f>
        <v>0.513239188</v>
      </c>
    </row>
    <row r="60">
      <c r="A60" s="71">
        <f t="shared" si="4"/>
        <v>56</v>
      </c>
      <c r="B60" s="54" t="s">
        <v>192</v>
      </c>
      <c r="C60" s="72">
        <f>IFERROR(__xludf.DUMMYFUNCTION("iferror(divide(googlefinance($B60,""marketcap""),1000000),"""")"),1652.682176)</f>
        <v>1652.682176</v>
      </c>
      <c r="D60" s="72">
        <f>IFERROR(__xludf.DUMMYFUNCTION("iferror(divide(googlefinance($B60,""shares""),1000),"""")"),30719.0)</f>
        <v>30719</v>
      </c>
      <c r="E60" s="72">
        <f>IFERROR(__xludf.DUMMYFUNCTION("iferror(divide(googlefinance($B60,""volumeavg""),1000),"""")"),192.175)</f>
        <v>192.175</v>
      </c>
      <c r="F60" s="73">
        <f>IFERROR(__xludf.DUMMYFUNCTION("iferror(MINUS(divide(GOOGLEFINANCE($B60), INDEX(GOOGLEFINANCE($B60,""price"",today()-182),2,2)),1),"""")"),0.43275632490013316)</f>
        <v>0.4327563249</v>
      </c>
      <c r="G60" s="61">
        <f>IFERROR(__xludf.DUMMYFUNCTION("iferror(MINUS(divide(GOOGLEFINANCE($B60), INDEX(GOOGLEFINANCE($B60,""price"",today()-364),2,2)),1),"""")"),-0.38787120263966324)</f>
        <v>-0.3878712026</v>
      </c>
    </row>
    <row r="61">
      <c r="A61" s="71">
        <f t="shared" si="4"/>
        <v>57</v>
      </c>
      <c r="B61" s="47" t="s">
        <v>193</v>
      </c>
      <c r="C61" s="72">
        <f>IFERROR(__xludf.DUMMYFUNCTION("iferror(divide(googlefinance($B61,""marketcap""),1000000),"""")"),703.941838)</f>
        <v>703.941838</v>
      </c>
      <c r="D61" s="72">
        <f>IFERROR(__xludf.DUMMYFUNCTION("iferror(divide(googlefinance($B61,""shares""),1000),"""")"),35303.0)</f>
        <v>35303</v>
      </c>
      <c r="E61" s="72">
        <f>IFERROR(__xludf.DUMMYFUNCTION("iferror(divide(googlefinance($B61,""volumeavg""),1000),"""")"),277.13)</f>
        <v>277.13</v>
      </c>
      <c r="F61" s="73">
        <f>IFERROR(__xludf.DUMMYFUNCTION("iferror(MINUS(divide(GOOGLEFINANCE($B61), INDEX(GOOGLEFINANCE($B61,""price"",today()-182),2,2)),1),"""")"),0.4913986537023187)</f>
        <v>0.4913986537</v>
      </c>
      <c r="G61" s="61">
        <f>IFERROR(__xludf.DUMMYFUNCTION("iferror(MINUS(divide(GOOGLEFINANCE($B61), INDEX(GOOGLEFINANCE($B61,""price"",today()-364),2,2)),1),"""")"),-0.5600176522506619)</f>
        <v>-0.5600176523</v>
      </c>
    </row>
    <row r="62">
      <c r="A62" s="71">
        <f t="shared" si="4"/>
        <v>58</v>
      </c>
      <c r="B62" s="47" t="s">
        <v>194</v>
      </c>
      <c r="C62" s="72">
        <f>IFERROR(__xludf.DUMMYFUNCTION("iferror(divide(googlefinance($B62,""marketcap""),1000000),"""")"),3144.064319)</f>
        <v>3144.064319</v>
      </c>
      <c r="D62" s="72">
        <f>IFERROR(__xludf.DUMMYFUNCTION("iferror(divide(googlefinance($B62,""shares""),1000),"""")"),78621.0)</f>
        <v>78621</v>
      </c>
      <c r="E62" s="72">
        <f>IFERROR(__xludf.DUMMYFUNCTION("iferror(divide(googlefinance($B62,""volumeavg""),1000),"""")"),403.728)</f>
        <v>403.728</v>
      </c>
      <c r="F62" s="73">
        <f>IFERROR(__xludf.DUMMYFUNCTION("iferror(MINUS(divide(GOOGLEFINANCE($B62), INDEX(GOOGLEFINANCE($B62,""price"",today()-182),2,2)),1),"""")"),0.03547384774728135)</f>
        <v>0.03547384775</v>
      </c>
      <c r="G62" s="61">
        <f>IFERROR(__xludf.DUMMYFUNCTION("iferror(MINUS(divide(GOOGLEFINANCE($B62), INDEX(GOOGLEFINANCE($B62,""price"",today()-364),2,2)),1),"""")"),-0.22349514563106787)</f>
        <v>-0.2234951456</v>
      </c>
    </row>
    <row r="63">
      <c r="A63" s="71">
        <f t="shared" si="4"/>
        <v>59</v>
      </c>
      <c r="B63" s="47" t="s">
        <v>195</v>
      </c>
      <c r="C63" s="72">
        <f>IFERROR(__xludf.DUMMYFUNCTION("iferror(divide(googlefinance($B63,""marketcap""),1000000),"""")"),422.785156)</f>
        <v>422.785156</v>
      </c>
      <c r="D63" s="72">
        <f>IFERROR(__xludf.DUMMYFUNCTION("iferror(divide(googlefinance($B63,""shares""),1000),"""")"),143317.0)</f>
        <v>143317</v>
      </c>
      <c r="E63" s="72">
        <f>IFERROR(__xludf.DUMMYFUNCTION("iferror(divide(googlefinance($B63,""volumeavg""),1000),"""")"),6147.231)</f>
        <v>6147.231</v>
      </c>
      <c r="F63" s="73">
        <f>IFERROR(__xludf.DUMMYFUNCTION("iferror(MINUS(divide(GOOGLEFINANCE($B63), INDEX(GOOGLEFINANCE($B63,""price"",today()-182),2,2)),1),"""")"),-0.49486301369863006)</f>
        <v>-0.4948630137</v>
      </c>
      <c r="G63" s="61">
        <f>IFERROR(__xludf.DUMMYFUNCTION("iferror(MINUS(divide(GOOGLEFINANCE($B63), INDEX(GOOGLEFINANCE($B63,""price"",today()-364),2,2)),1),"""")"),-0.34589800443458973)</f>
        <v>-0.3458980044</v>
      </c>
    </row>
    <row r="64">
      <c r="A64" s="71">
        <f t="shared" si="4"/>
        <v>60</v>
      </c>
      <c r="B64" s="47" t="s">
        <v>196</v>
      </c>
      <c r="C64" s="72">
        <f>IFERROR(__xludf.DUMMYFUNCTION("iferror(divide(googlefinance($B64,""marketcap""),1000000),"""")"),1843.296037)</f>
        <v>1843.296037</v>
      </c>
      <c r="D64" s="72">
        <f>IFERROR(__xludf.DUMMYFUNCTION("iferror(divide(googlefinance($B64,""shares""),1000),"""")"),101615.0)</f>
        <v>101615</v>
      </c>
      <c r="E64" s="72">
        <f>IFERROR(__xludf.DUMMYFUNCTION("iferror(divide(googlefinance($B64,""volumeavg""),1000),"""")"),664.198)</f>
        <v>664.198</v>
      </c>
      <c r="F64" s="73">
        <f>IFERROR(__xludf.DUMMYFUNCTION("iferror(MINUS(divide(GOOGLEFINANCE($B64), INDEX(GOOGLEFINANCE($B64,""price"",today()-182),2,2)),1),"""")"),0.4700162074554295)</f>
        <v>0.4700162075</v>
      </c>
      <c r="G64" s="61">
        <f>IFERROR(__xludf.DUMMYFUNCTION("iferror(MINUS(divide(GOOGLEFINANCE($B64), INDEX(GOOGLEFINANCE($B64,""price"",today()-364),2,2)),1),"""")"),-0.1923419412288513)</f>
        <v>-0.1923419412</v>
      </c>
    </row>
    <row r="65">
      <c r="A65" s="71">
        <f t="shared" si="4"/>
        <v>61</v>
      </c>
      <c r="B65" s="47" t="s">
        <v>197</v>
      </c>
      <c r="C65" s="72">
        <f>IFERROR(__xludf.DUMMYFUNCTION("iferror(divide(googlefinance($B65,""marketcap""),1000000),"""")"),34.455907)</f>
        <v>34.455907</v>
      </c>
      <c r="D65" s="72">
        <f>IFERROR(__xludf.DUMMYFUNCTION("iferror(divide(googlefinance($B65,""shares""),1000),"""")"),127614.467)</f>
        <v>127614.467</v>
      </c>
      <c r="E65" s="72">
        <f>IFERROR(__xludf.DUMMYFUNCTION("iferror(divide(googlefinance($B65,""volumeavg""),1000),"""")"),117.879)</f>
        <v>117.879</v>
      </c>
      <c r="F65" s="73">
        <f>IFERROR(__xludf.DUMMYFUNCTION("iferror(MINUS(divide(GOOGLEFINANCE($B65), INDEX(GOOGLEFINANCE($B65,""price"",today()-182),2,2)),1),"""")"),0.2272727272727273)</f>
        <v>0.2272727273</v>
      </c>
      <c r="G65" s="61">
        <f>IFERROR(__xludf.DUMMYFUNCTION("iferror(MINUS(divide(GOOGLEFINANCE($B65), INDEX(GOOGLEFINANCE($B65,""price"",today()-364),2,2)),1),"""")"),-0.578125)</f>
        <v>-0.578125</v>
      </c>
    </row>
    <row r="66">
      <c r="A66" s="71">
        <f t="shared" si="4"/>
        <v>62</v>
      </c>
      <c r="B66" s="47" t="s">
        <v>198</v>
      </c>
      <c r="C66" s="72">
        <f>IFERROR(__xludf.DUMMYFUNCTION("iferror(divide(googlefinance($B66,""marketcap""),1000000),"""")"),1254.788154)</f>
        <v>1254.788154</v>
      </c>
      <c r="D66" s="72">
        <f>IFERROR(__xludf.DUMMYFUNCTION("iferror(divide(googlefinance($B66,""shares""),1000),"""")"),34701.0)</f>
        <v>34701</v>
      </c>
      <c r="E66" s="72">
        <f>IFERROR(__xludf.DUMMYFUNCTION("iferror(divide(googlefinance($B66,""volumeavg""),1000),"""")"),158.56)</f>
        <v>158.56</v>
      </c>
      <c r="F66" s="73">
        <f>IFERROR(__xludf.DUMMYFUNCTION("iferror(MINUS(divide(GOOGLEFINANCE($B66), INDEX(GOOGLEFINANCE($B66,""price"",today()-182),2,2)),1),"""")"),1.1421800947867298)</f>
        <v>1.142180095</v>
      </c>
      <c r="G66" s="61">
        <f>IFERROR(__xludf.DUMMYFUNCTION("iferror(MINUS(divide(GOOGLEFINANCE($B66), INDEX(GOOGLEFINANCE($B66,""price"",today()-364),2,2)),1),"""")"),0.9152542372881356)</f>
        <v>0.9152542373</v>
      </c>
    </row>
    <row r="67">
      <c r="A67" s="71">
        <f t="shared" si="4"/>
        <v>63</v>
      </c>
      <c r="B67" s="47" t="s">
        <v>199</v>
      </c>
      <c r="C67" s="72">
        <f>IFERROR(__xludf.DUMMYFUNCTION("iferror(divide(googlefinance($B67,""marketcap""),1000000),"""")"),6095.831238)</f>
        <v>6095.831238</v>
      </c>
      <c r="D67" s="72">
        <f>IFERROR(__xludf.DUMMYFUNCTION("iferror(divide(googlefinance($B67,""shares""),1000),"""")"),3386573.0)</f>
        <v>3386573</v>
      </c>
      <c r="E67" s="72">
        <f>IFERROR(__xludf.DUMMYFUNCTION("iferror(divide(googlefinance($B67,""volumeavg""),1000),"""")"),196.01)</f>
        <v>196.01</v>
      </c>
      <c r="F67" s="73">
        <f>IFERROR(__xludf.DUMMYFUNCTION("iferror(MINUS(divide(GOOGLEFINANCE($B67), INDEX(GOOGLEFINANCE($B67,""price"",today()-182),2,2)),1),"""")"),0.4876033057851241)</f>
        <v>0.4876033058</v>
      </c>
      <c r="G67" s="61">
        <f>IFERROR(__xludf.DUMMYFUNCTION("iferror(MINUS(divide(GOOGLEFINANCE($B67), INDEX(GOOGLEFINANCE($B67,""price"",today()-364),2,2)),1),"""")"),-0.07216494845360821)</f>
        <v>-0.07216494845</v>
      </c>
    </row>
    <row r="68">
      <c r="A68" s="71">
        <f t="shared" si="4"/>
        <v>64</v>
      </c>
      <c r="B68" s="47" t="s">
        <v>200</v>
      </c>
      <c r="C68" s="72">
        <f>IFERROR(__xludf.DUMMYFUNCTION("iferror(divide(googlefinance($B68,""marketcap""),1000000),"""")"),803.593951)</f>
        <v>803.593951</v>
      </c>
      <c r="D68" s="72">
        <f>IFERROR(__xludf.DUMMYFUNCTION("iferror(divide(googlefinance($B68,""shares""),1000),"""")"),34371.0)</f>
        <v>34371</v>
      </c>
      <c r="E68" s="72">
        <f>IFERROR(__xludf.DUMMYFUNCTION("iferror(divide(googlefinance($B68,""volumeavg""),1000),"""")"),138.157)</f>
        <v>138.157</v>
      </c>
      <c r="F68" s="73" t="str">
        <f>IFERROR(__xludf.DUMMYFUNCTION("iferror(MINUS(divide(GOOGLEFINANCE($B68), INDEX(GOOGLEFINANCE($B68,""price"",today()-182),2,2)),1),"""")"),"")</f>
        <v/>
      </c>
      <c r="G68" s="61" t="str">
        <f>IFERROR(__xludf.DUMMYFUNCTION("iferror(MINUS(divide(GOOGLEFINANCE($B68), INDEX(GOOGLEFINANCE($B68,""price"",today()-364),2,2)),1),"""")"),"")</f>
        <v/>
      </c>
    </row>
    <row r="69">
      <c r="A69" s="71">
        <f t="shared" si="4"/>
        <v>65</v>
      </c>
      <c r="B69" s="47" t="s">
        <v>201</v>
      </c>
      <c r="C69" s="72">
        <f>IFERROR(__xludf.DUMMYFUNCTION("iferror(divide(googlefinance($B69,""marketcap""),1000000),"""")"),10683.660775)</f>
        <v>10683.66078</v>
      </c>
      <c r="D69" s="72">
        <f>IFERROR(__xludf.DUMMYFUNCTION("iferror(divide(googlefinance($B69,""shares""),1000),"""")"),106358.0)</f>
        <v>106358</v>
      </c>
      <c r="E69" s="72">
        <f>IFERROR(__xludf.DUMMYFUNCTION("iferror(divide(googlefinance($B69,""volumeavg""),1000),"""")"),999.789)</f>
        <v>999.789</v>
      </c>
      <c r="F69" s="73">
        <f>IFERROR(__xludf.DUMMYFUNCTION("iferror(MINUS(divide(GOOGLEFINANCE($B69), INDEX(GOOGLEFINANCE($B69,""price"",today()-182),2,2)),1),"""")"),0.8793264733395696)</f>
        <v>0.8793264733</v>
      </c>
      <c r="G69" s="61">
        <f>IFERROR(__xludf.DUMMYFUNCTION("iferror(MINUS(divide(GOOGLEFINANCE($B69), INDEX(GOOGLEFINANCE($B69,""price"",today()-364),2,2)),1),"""")"),0.45875689805402264)</f>
        <v>0.4587568981</v>
      </c>
    </row>
    <row r="70">
      <c r="A70" s="71">
        <f t="shared" si="4"/>
        <v>66</v>
      </c>
      <c r="B70" s="47" t="s">
        <v>202</v>
      </c>
      <c r="C70" s="72">
        <f>IFERROR(__xludf.DUMMYFUNCTION("iferror(divide(googlefinance($B70,""marketcap""),1000000),"""")"),741.521216)</f>
        <v>741.521216</v>
      </c>
      <c r="D70" s="72">
        <f>IFERROR(__xludf.DUMMYFUNCTION("iferror(divide(googlefinance($B70,""shares""),1000),"""")"),18991.0)</f>
        <v>18991</v>
      </c>
      <c r="E70" s="72">
        <f>IFERROR(__xludf.DUMMYFUNCTION("iferror(divide(googlefinance($B70,""volumeavg""),1000),"""")"),627.246)</f>
        <v>627.246</v>
      </c>
      <c r="F70" s="73">
        <f>IFERROR(__xludf.DUMMYFUNCTION("iferror(MINUS(divide(GOOGLEFINANCE($B70), INDEX(GOOGLEFINANCE($B70,""price"",today()-182),2,2)),1),"""")"),1.542317708333333)</f>
        <v>1.542317708</v>
      </c>
      <c r="G70" s="61">
        <f>IFERROR(__xludf.DUMMYFUNCTION("iferror(MINUS(divide(GOOGLEFINANCE($B70), INDEX(GOOGLEFINANCE($B70,""price"",today()-364),2,2)),1),"""")"),0.6624095359727544)</f>
        <v>0.662409536</v>
      </c>
    </row>
    <row r="71">
      <c r="A71" s="71">
        <f t="shared" si="4"/>
        <v>67</v>
      </c>
      <c r="B71" s="47" t="s">
        <v>203</v>
      </c>
      <c r="C71" s="72">
        <f>IFERROR(__xludf.DUMMYFUNCTION("iferror(divide(googlefinance($B71,""marketcap""),1000000),"""")"),227.681875)</f>
        <v>227.681875</v>
      </c>
      <c r="D71" s="72">
        <f>IFERROR(__xludf.DUMMYFUNCTION("iferror(divide(googlefinance($B71,""shares""),1000),"""")"),7492.0)</f>
        <v>7492</v>
      </c>
      <c r="E71" s="72">
        <f>IFERROR(__xludf.DUMMYFUNCTION("iferror(divide(googlefinance($B71,""volumeavg""),1000),"""")"),14.745)</f>
        <v>14.745</v>
      </c>
      <c r="F71" s="73">
        <f>IFERROR(__xludf.DUMMYFUNCTION("iferror(MINUS(divide(GOOGLEFINANCE($B71), INDEX(GOOGLEFINANCE($B71,""price"",today()-182),2,2)),1),"""")"),0.05010366275051825)</f>
        <v>0.05010366275</v>
      </c>
      <c r="G71" s="61">
        <f>IFERROR(__xludf.DUMMYFUNCTION("iferror(MINUS(divide(GOOGLEFINANCE($B71), INDEX(GOOGLEFINANCE($B71,""price"",today()-364),2,2)),1),"""")"),-0.0827044974343496)</f>
        <v>-0.08270449743</v>
      </c>
    </row>
    <row r="72">
      <c r="A72" s="71">
        <f t="shared" si="4"/>
        <v>68</v>
      </c>
      <c r="B72" s="47" t="s">
        <v>204</v>
      </c>
      <c r="C72" s="72">
        <f>IFERROR(__xludf.DUMMYFUNCTION("iferror(divide(googlefinance($B72,""marketcap""),1000000),"""")"),274.680635)</f>
        <v>274.680635</v>
      </c>
      <c r="D72" s="72">
        <f>IFERROR(__xludf.DUMMYFUNCTION("iferror(divide(googlefinance($B72,""shares""),1000),"""")"),38633.0)</f>
        <v>38633</v>
      </c>
      <c r="E72" s="72">
        <f>IFERROR(__xludf.DUMMYFUNCTION("iferror(divide(googlefinance($B72,""volumeavg""),1000),"""")"),672.214)</f>
        <v>672.214</v>
      </c>
      <c r="F72" s="73">
        <f>IFERROR(__xludf.DUMMYFUNCTION("iferror(MINUS(divide(GOOGLEFINANCE($B72), INDEX(GOOGLEFINANCE($B72,""price"",today()-182),2,2)),1),"""")"),2.742105263157895)</f>
        <v>2.742105263</v>
      </c>
      <c r="G72" s="61">
        <f>IFERROR(__xludf.DUMMYFUNCTION("iferror(MINUS(divide(GOOGLEFINANCE($B72), INDEX(GOOGLEFINANCE($B72,""price"",today()-364),2,2)),1),"""")"),0.2010135135135136)</f>
        <v>0.2010135135</v>
      </c>
    </row>
    <row r="73">
      <c r="A73" s="71">
        <f t="shared" si="4"/>
        <v>69</v>
      </c>
      <c r="B73" s="47" t="s">
        <v>205</v>
      </c>
      <c r="C73" s="72">
        <f>IFERROR(__xludf.DUMMYFUNCTION("iferror(divide(googlefinance($B73,""marketcap""),1000000),"""")"),1117.59423)</f>
        <v>1117.59423</v>
      </c>
      <c r="D73" s="72">
        <f>IFERROR(__xludf.DUMMYFUNCTION("iferror(divide(googlefinance($B73,""shares""),1000),"""")"),79262.0)</f>
        <v>79262</v>
      </c>
      <c r="E73" s="72">
        <f>IFERROR(__xludf.DUMMYFUNCTION("iferror(divide(googlefinance($B73,""volumeavg""),1000),"""")"),756.418)</f>
        <v>756.418</v>
      </c>
      <c r="F73" s="73">
        <f>IFERROR(__xludf.DUMMYFUNCTION("iferror(MINUS(divide(GOOGLEFINANCE($B73), INDEX(GOOGLEFINANCE($B73,""price"",today()-182),2,2)),1),"""")"),-0.518935516888434)</f>
        <v>-0.5189355169</v>
      </c>
      <c r="G73" s="61">
        <f>IFERROR(__xludf.DUMMYFUNCTION("iferror(MINUS(divide(GOOGLEFINANCE($B73), INDEX(GOOGLEFINANCE($B73,""price"",today()-364),2,2)),1),"""")"),-0.29216867469879526)</f>
        <v>-0.2921686747</v>
      </c>
    </row>
    <row r="74">
      <c r="A74" s="71">
        <f t="shared" si="4"/>
        <v>70</v>
      </c>
      <c r="B74" s="52" t="s">
        <v>206</v>
      </c>
      <c r="C74" s="72">
        <f>IFERROR(__xludf.DUMMYFUNCTION("iferror(divide(googlefinance($B74,""marketcap""),1000000),"""")"),2249.67933)</f>
        <v>2249.67933</v>
      </c>
      <c r="D74" s="72">
        <f>IFERROR(__xludf.DUMMYFUNCTION("iferror(divide(googlefinance($B74,""shares""),1000),"""")"),16242.0)</f>
        <v>16242</v>
      </c>
      <c r="E74" s="72">
        <f>IFERROR(__xludf.DUMMYFUNCTION("iferror(divide(googlefinance($B74,""volumeavg""),1000),"""")"),211.665)</f>
        <v>211.665</v>
      </c>
      <c r="F74" s="73">
        <f>IFERROR(__xludf.DUMMYFUNCTION("iferror(MINUS(divide(GOOGLEFINANCE($B74), INDEX(GOOGLEFINANCE($B74,""price"",today()-182),2,2)),1),"""")"),1.0126416739319968)</f>
        <v>1.012641674</v>
      </c>
      <c r="G74" s="61">
        <f>IFERROR(__xludf.DUMMYFUNCTION("iferror(MINUS(divide(GOOGLEFINANCE($B74), INDEX(GOOGLEFINANCE($B74,""price"",today()-364),2,2)),1),"""")"),-0.07832046845887686)</f>
        <v>-0.07832046846</v>
      </c>
    </row>
    <row r="75">
      <c r="A75" s="71">
        <f t="shared" si="4"/>
        <v>71</v>
      </c>
      <c r="B75" s="52" t="s">
        <v>207</v>
      </c>
      <c r="C75" s="72">
        <f>IFERROR(__xludf.DUMMYFUNCTION("iferror(divide(googlefinance($B75,""marketcap""),1000000),"""")"),5211.426188)</f>
        <v>5211.426188</v>
      </c>
      <c r="D75" s="72">
        <f>IFERROR(__xludf.DUMMYFUNCTION("iferror(divide(googlefinance($B75,""shares""),1000),"""")"),123640.0)</f>
        <v>123640</v>
      </c>
      <c r="E75" s="72">
        <f>IFERROR(__xludf.DUMMYFUNCTION("iferror(divide(googlefinance($B75,""volumeavg""),1000),"""")"),2406.277)</f>
        <v>2406.277</v>
      </c>
      <c r="F75" s="73">
        <f>IFERROR(__xludf.DUMMYFUNCTION("iferror(MINUS(divide(GOOGLEFINANCE($B75), INDEX(GOOGLEFINANCE($B75,""price"",today()-182),2,2)),1),"""")"),0.7890492359932089)</f>
        <v>0.789049236</v>
      </c>
      <c r="G75" s="61">
        <f>IFERROR(__xludf.DUMMYFUNCTION("iferror(MINUS(divide(GOOGLEFINANCE($B75), INDEX(GOOGLEFINANCE($B75,""price"",today()-364),2,2)),1),"""")"),-0.3515384615384616)</f>
        <v>-0.3515384615</v>
      </c>
    </row>
    <row r="76">
      <c r="A76" s="71">
        <f t="shared" si="4"/>
        <v>72</v>
      </c>
      <c r="B76" s="47" t="s">
        <v>208</v>
      </c>
      <c r="C76" s="72">
        <f>IFERROR(__xludf.DUMMYFUNCTION("iferror(divide(googlefinance($B76,""marketcap""),1000000),"""")"),2934.354541)</f>
        <v>2934.354541</v>
      </c>
      <c r="D76" s="72">
        <f>IFERROR(__xludf.DUMMYFUNCTION("iferror(divide(googlefinance($B76,""shares""),1000),"""")"),159044.0)</f>
        <v>159044</v>
      </c>
      <c r="E76" s="72">
        <f>IFERROR(__xludf.DUMMYFUNCTION("iferror(divide(googlefinance($B76,""volumeavg""),1000),"""")"),1043.898)</f>
        <v>1043.898</v>
      </c>
      <c r="F76" s="73">
        <f>IFERROR(__xludf.DUMMYFUNCTION("iferror(MINUS(divide(GOOGLEFINANCE($B76), INDEX(GOOGLEFINANCE($B76,""price"",today()-182),2,2)),1),"""")"),0.37892376681614337)</f>
        <v>0.3789237668</v>
      </c>
      <c r="G76" s="61">
        <f>IFERROR(__xludf.DUMMYFUNCTION("iferror(MINUS(divide(GOOGLEFINANCE($B76), INDEX(GOOGLEFINANCE($B76,""price"",today()-364),2,2)),1),"""")"),-0.12971698113207553)</f>
        <v>-0.1297169811</v>
      </c>
    </row>
    <row r="77">
      <c r="A77" s="71">
        <f t="shared" si="4"/>
        <v>73</v>
      </c>
      <c r="B77" s="47" t="s">
        <v>209</v>
      </c>
      <c r="C77" s="72">
        <f>IFERROR(__xludf.DUMMYFUNCTION("iferror(divide(googlefinance($B77,""marketcap""),1000000),"""")"),3973.284384)</f>
        <v>3973.284384</v>
      </c>
      <c r="D77" s="72">
        <f>IFERROR(__xludf.DUMMYFUNCTION("iferror(divide(googlefinance($B77,""shares""),1000),"""")"),48914.0)</f>
        <v>48914</v>
      </c>
      <c r="E77" s="72">
        <f>IFERROR(__xludf.DUMMYFUNCTION("iferror(divide(googlefinance($B77,""volumeavg""),1000),"""")"),164.289)</f>
        <v>164.289</v>
      </c>
      <c r="F77" s="73">
        <f>IFERROR(__xludf.DUMMYFUNCTION("iferror(MINUS(divide(GOOGLEFINANCE($B77), INDEX(GOOGLEFINANCE($B77,""price"",today()-182),2,2)),1),"""")"),0.37864901561439246)</f>
        <v>0.3786490156</v>
      </c>
      <c r="G77" s="61">
        <f>IFERROR(__xludf.DUMMYFUNCTION("iferror(MINUS(divide(GOOGLEFINANCE($B77), INDEX(GOOGLEFINANCE($B77,""price"",today()-364),2,2)),1),"""")"),-0.07027583838846285)</f>
        <v>-0.07027583839</v>
      </c>
    </row>
    <row r="78">
      <c r="A78" s="71">
        <f t="shared" si="4"/>
        <v>74</v>
      </c>
      <c r="B78" s="47" t="s">
        <v>210</v>
      </c>
      <c r="C78" s="72">
        <f>IFERROR(__xludf.DUMMYFUNCTION("iferror(divide(googlefinance($B78,""marketcap""),1000000),"""")"),5178.876602)</f>
        <v>5178.876602</v>
      </c>
      <c r="D78" s="72">
        <f>IFERROR(__xludf.DUMMYFUNCTION("iferror(divide(googlefinance($B78,""shares""),1000),"""")"),139292.0)</f>
        <v>139292</v>
      </c>
      <c r="E78" s="72">
        <f>IFERROR(__xludf.DUMMYFUNCTION("iferror(divide(googlefinance($B78,""volumeavg""),1000),"""")"),585.369)</f>
        <v>585.369</v>
      </c>
      <c r="F78" s="73">
        <f>IFERROR(__xludf.DUMMYFUNCTION("iferror(MINUS(divide(GOOGLEFINANCE($B78), INDEX(GOOGLEFINANCE($B78,""price"",today()-182),2,2)),1),"""")"),0.9314285714285715)</f>
        <v>0.9314285714</v>
      </c>
      <c r="G78" s="61">
        <f>IFERROR(__xludf.DUMMYFUNCTION("iferror(MINUS(divide(GOOGLEFINANCE($B78), INDEX(GOOGLEFINANCE($B78,""price"",today()-364),2,2)),1),"""")"),0.1270081842982722)</f>
        <v>0.1270081843</v>
      </c>
    </row>
    <row r="79">
      <c r="A79" s="71">
        <f t="shared" si="4"/>
        <v>75</v>
      </c>
      <c r="B79" s="47" t="s">
        <v>211</v>
      </c>
      <c r="C79" s="72">
        <f>IFERROR(__xludf.DUMMYFUNCTION("iferror(divide(googlefinance($B79,""marketcap""),1000000),"""")"),15194.389895)</f>
        <v>15194.3899</v>
      </c>
      <c r="D79" s="72">
        <f>IFERROR(__xludf.DUMMYFUNCTION("iferror(divide(googlefinance($B79,""shares""),1000),"""")"),115970.0)</f>
        <v>115970</v>
      </c>
      <c r="E79" s="72">
        <f>IFERROR(__xludf.DUMMYFUNCTION("iferror(divide(googlefinance($B79,""volumeavg""),1000),"""")"),454.378)</f>
        <v>454.378</v>
      </c>
      <c r="F79" s="73">
        <f>IFERROR(__xludf.DUMMYFUNCTION("iferror(MINUS(divide(GOOGLEFINANCE($B79), INDEX(GOOGLEFINANCE($B79,""price"",today()-182),2,2)),1),"""")"),0.26162734713529145)</f>
        <v>0.2616273471</v>
      </c>
      <c r="G79" s="61">
        <f>IFERROR(__xludf.DUMMYFUNCTION("iferror(MINUS(divide(GOOGLEFINANCE($B79), INDEX(GOOGLEFINANCE($B79,""price"",today()-364),2,2)),1),"""")"),0.5146820809248556)</f>
        <v>0.5146820809</v>
      </c>
    </row>
    <row r="80">
      <c r="A80" s="71">
        <f t="shared" si="4"/>
        <v>76</v>
      </c>
      <c r="B80" s="47" t="s">
        <v>212</v>
      </c>
      <c r="C80" s="72">
        <f>IFERROR(__xludf.DUMMYFUNCTION("iferror(divide(googlefinance($B80,""marketcap""),1000000),"""")"),198.129048)</f>
        <v>198.129048</v>
      </c>
      <c r="D80" s="72">
        <f>IFERROR(__xludf.DUMMYFUNCTION("iferror(divide(googlefinance($B80,""shares""),1000),"""")"),23785.0)</f>
        <v>23785</v>
      </c>
      <c r="E80" s="72">
        <f>IFERROR(__xludf.DUMMYFUNCTION("iferror(divide(googlefinance($B80,""volumeavg""),1000),"""")"),64.541)</f>
        <v>64.541</v>
      </c>
      <c r="F80" s="73">
        <f>IFERROR(__xludf.DUMMYFUNCTION("iferror(MINUS(divide(GOOGLEFINANCE($B80), INDEX(GOOGLEFINANCE($B80,""price"",today()-182),2,2)),1),"""")"),2.5147679324894514)</f>
        <v>2.514767932</v>
      </c>
      <c r="G80" s="61">
        <f>IFERROR(__xludf.DUMMYFUNCTION("iferror(MINUS(divide(GOOGLEFINANCE($B80), INDEX(GOOGLEFINANCE($B80,""price"",today()-364),2,2)),1),"""")"),0.9149425287356323)</f>
        <v>0.9149425287</v>
      </c>
    </row>
    <row r="81">
      <c r="A81" s="71">
        <f t="shared" si="4"/>
        <v>77</v>
      </c>
      <c r="B81" s="47" t="s">
        <v>213</v>
      </c>
      <c r="C81" s="72">
        <f>IFERROR(__xludf.DUMMYFUNCTION("iferror(divide(googlefinance($B81,""marketcap""),1000000),"""")"),461.423871)</f>
        <v>461.423871</v>
      </c>
      <c r="D81" s="72">
        <f>IFERROR(__xludf.DUMMYFUNCTION("iferror(divide(googlefinance($B81,""shares""),1000),"""")"),32912.0)</f>
        <v>32912</v>
      </c>
      <c r="E81" s="72">
        <f>IFERROR(__xludf.DUMMYFUNCTION("iferror(divide(googlefinance($B81,""volumeavg""),1000),"""")"),1485.864)</f>
        <v>1485.864</v>
      </c>
      <c r="F81" s="73">
        <f>IFERROR(__xludf.DUMMYFUNCTION("iferror(MINUS(divide(GOOGLEFINANCE($B81), INDEX(GOOGLEFINANCE($B81,""price"",today()-182),2,2)),1),"""")"),3.7687074829931975)</f>
        <v>3.768707483</v>
      </c>
      <c r="G81" s="61">
        <f>IFERROR(__xludf.DUMMYFUNCTION("iferror(MINUS(divide(GOOGLEFINANCE($B81), INDEX(GOOGLEFINANCE($B81,""price"",today()-364),2,2)),1),"""")"),5.644549763033176)</f>
        <v>5.644549763</v>
      </c>
    </row>
    <row r="82">
      <c r="A82" s="71">
        <f t="shared" si="4"/>
        <v>78</v>
      </c>
      <c r="B82" s="47" t="s">
        <v>214</v>
      </c>
      <c r="C82" s="72">
        <f>IFERROR(__xludf.DUMMYFUNCTION("iferror(divide(googlefinance($B82,""marketcap""),1000000),"""")"),25014.213888)</f>
        <v>25014.21389</v>
      </c>
      <c r="D82" s="72">
        <f>IFERROR(__xludf.DUMMYFUNCTION("iferror(divide(googlefinance($B82,""shares""),1000),"""")"),219173.0)</f>
        <v>219173</v>
      </c>
      <c r="E82" s="72">
        <f>IFERROR(__xludf.DUMMYFUNCTION("iferror(divide(googlefinance($B82,""volumeavg""),1000),"""")"),1964.266)</f>
        <v>1964.266</v>
      </c>
      <c r="F82" s="73">
        <f>IFERROR(__xludf.DUMMYFUNCTION("iferror(MINUS(divide(GOOGLEFINANCE($B82), INDEX(GOOGLEFINANCE($B82,""price"",today()-182),2,2)),1),"""")"),0.4204107031736155)</f>
        <v>0.4204107032</v>
      </c>
      <c r="G82" s="61">
        <f>IFERROR(__xludf.DUMMYFUNCTION("iferror(MINUS(divide(GOOGLEFINANCE($B82), INDEX(GOOGLEFINANCE($B82,""price"",today()-364),2,2)),1),"""")"),0.07345748683220465)</f>
        <v>0.07345748683</v>
      </c>
    </row>
    <row r="83">
      <c r="A83" s="71">
        <f t="shared" si="4"/>
        <v>79</v>
      </c>
      <c r="B83" s="47" t="s">
        <v>215</v>
      </c>
      <c r="C83" s="72">
        <f>IFERROR(__xludf.DUMMYFUNCTION("iferror(divide(googlefinance($B83,""marketcap""),1000000),"""")"),1412.878785)</f>
        <v>1412.878785</v>
      </c>
      <c r="D83" s="72">
        <f>IFERROR(__xludf.DUMMYFUNCTION("iferror(divide(googlefinance($B83,""shares""),1000),"""")"),36967.0)</f>
        <v>36967</v>
      </c>
      <c r="E83" s="72">
        <f>IFERROR(__xludf.DUMMYFUNCTION("iferror(divide(googlefinance($B83,""volumeavg""),1000),"""")"),104.522)</f>
        <v>104.522</v>
      </c>
      <c r="F83" s="73" t="str">
        <f>IFERROR(__xludf.DUMMYFUNCTION("iferror(MINUS(divide(GOOGLEFINANCE($B83), INDEX(GOOGLEFINANCE($B83,""price"",today()-182),2,2)),1),"""")"),"")</f>
        <v/>
      </c>
      <c r="G83" s="61" t="str">
        <f>IFERROR(__xludf.DUMMYFUNCTION("iferror(MINUS(divide(GOOGLEFINANCE($B83), INDEX(GOOGLEFINANCE($B83,""price"",today()-364),2,2)),1),"""")"),"")</f>
        <v/>
      </c>
    </row>
    <row r="84">
      <c r="A84" s="71">
        <f t="shared" si="4"/>
        <v>80</v>
      </c>
      <c r="B84" s="47" t="s">
        <v>216</v>
      </c>
      <c r="C84" s="72">
        <f>IFERROR(__xludf.DUMMYFUNCTION("iferror(divide(googlefinance($B84,""marketcap""),1000000),"""")"),325.835993)</f>
        <v>325.835993</v>
      </c>
      <c r="D84" s="72">
        <f>IFERROR(__xludf.DUMMYFUNCTION("iferror(divide(googlefinance($B84,""shares""),1000),"""")"),34480.0)</f>
        <v>34480</v>
      </c>
      <c r="E84" s="72">
        <f>IFERROR(__xludf.DUMMYFUNCTION("iferror(divide(googlefinance($B84,""volumeavg""),1000),"""")"),411.265)</f>
        <v>411.265</v>
      </c>
      <c r="F84" s="73">
        <f>IFERROR(__xludf.DUMMYFUNCTION("iferror(MINUS(divide(GOOGLEFINANCE($B84), INDEX(GOOGLEFINANCE($B84,""price"",today()-182),2,2)),1),"""")"),0.7119565217391304)</f>
        <v>0.7119565217</v>
      </c>
      <c r="G84" s="61">
        <f>IFERROR(__xludf.DUMMYFUNCTION("iferror(MINUS(divide(GOOGLEFINANCE($B84), INDEX(GOOGLEFINANCE($B84,""price"",today()-364),2,2)),1),"""")"),-0.27807486631016043)</f>
        <v>-0.2780748663</v>
      </c>
    </row>
    <row r="85">
      <c r="A85" s="71">
        <f t="shared" si="4"/>
        <v>81</v>
      </c>
      <c r="B85" s="47" t="s">
        <v>217</v>
      </c>
      <c r="C85" s="72">
        <f>IFERROR(__xludf.DUMMYFUNCTION("iferror(divide(googlefinance($B85,""marketcap""),1000000),"""")"),51454.364359)</f>
        <v>51454.36436</v>
      </c>
      <c r="D85" s="72">
        <f>IFERROR(__xludf.DUMMYFUNCTION("iferror(divide(googlefinance($B85,""shares""),1000),"""")"),913283.0)</f>
        <v>913283</v>
      </c>
      <c r="E85" s="72">
        <f>IFERROR(__xludf.DUMMYFUNCTION("iferror(divide(googlefinance($B85,""volumeavg""),1000),"""")"),9249.246)</f>
        <v>9249.246</v>
      </c>
      <c r="F85" s="73">
        <f>IFERROR(__xludf.DUMMYFUNCTION("iferror(MINUS(divide(GOOGLEFINANCE($B85), INDEX(GOOGLEFINANCE($B85,""price"",today()-182),2,2)),1),"""")"),0.4830218478546986)</f>
        <v>0.4830218479</v>
      </c>
      <c r="G85" s="61">
        <f>IFERROR(__xludf.DUMMYFUNCTION("iferror(MINUS(divide(GOOGLEFINANCE($B85), INDEX(GOOGLEFINANCE($B85,""price"",today()-364),2,2)),1),"""")"),0.10557299843014123)</f>
        <v>0.1055729984</v>
      </c>
    </row>
    <row r="86">
      <c r="A86" s="71">
        <f t="shared" si="4"/>
        <v>82</v>
      </c>
      <c r="B86" s="47" t="s">
        <v>218</v>
      </c>
      <c r="C86" s="72">
        <f>IFERROR(__xludf.DUMMYFUNCTION("iferror(divide(googlefinance($B86,""marketcap""),1000000),"""")"),1806.504612)</f>
        <v>1806.504612</v>
      </c>
      <c r="D86" s="72">
        <f>IFERROR(__xludf.DUMMYFUNCTION("iferror(divide(googlefinance($B86,""shares""),1000),"""")"),34614.0)</f>
        <v>34614</v>
      </c>
      <c r="E86" s="72">
        <f>IFERROR(__xludf.DUMMYFUNCTION("iferror(divide(googlefinance($B86,""volumeavg""),1000),"""")"),693.979)</f>
        <v>693.979</v>
      </c>
      <c r="F86" s="73">
        <f>IFERROR(__xludf.DUMMYFUNCTION("iferror(MINUS(divide(GOOGLEFINANCE($B86), INDEX(GOOGLEFINANCE($B86,""price"",today()-182),2,2)),1),"""")"),0.2947159513768294)</f>
        <v>0.2947159514</v>
      </c>
      <c r="G86" s="61">
        <f>IFERROR(__xludf.DUMMYFUNCTION("iferror(MINUS(divide(GOOGLEFINANCE($B86), INDEX(GOOGLEFINANCE($B86,""price"",today()-364),2,2)),1),"""")"),-0.18146173149309908)</f>
        <v>-0.1814617315</v>
      </c>
    </row>
    <row r="87">
      <c r="A87" s="71">
        <f t="shared" si="4"/>
        <v>83</v>
      </c>
      <c r="B87" s="47" t="s">
        <v>219</v>
      </c>
      <c r="C87" s="72">
        <f>IFERROR(__xludf.DUMMYFUNCTION("iferror(divide(googlefinance($B87,""marketcap""),1000000),"""")"),625.306373)</f>
        <v>625.306373</v>
      </c>
      <c r="D87" s="72">
        <f>IFERROR(__xludf.DUMMYFUNCTION("iferror(divide(googlefinance($B87,""shares""),1000),"""")"),57550.0)</f>
        <v>57550</v>
      </c>
      <c r="E87" s="72">
        <f>IFERROR(__xludf.DUMMYFUNCTION("iferror(divide(googlefinance($B87,""volumeavg""),1000),"""")"),9976.998)</f>
        <v>9976.998</v>
      </c>
      <c r="F87" s="73">
        <f>IFERROR(__xludf.DUMMYFUNCTION("iferror(MINUS(divide(GOOGLEFINANCE($B87), INDEX(GOOGLEFINANCE($B87,""price"",today()-182),2,2)),1),"""")"),0.7931034482758621)</f>
        <v>0.7931034483</v>
      </c>
      <c r="G87" s="61">
        <f>IFERROR(__xludf.DUMMYFUNCTION("iferror(MINUS(divide(GOOGLEFINANCE($B87), INDEX(GOOGLEFINANCE($B87,""price"",today()-364),2,2)),1),"""")"),-0.4728110599078341)</f>
        <v>-0.4728110599</v>
      </c>
    </row>
    <row r="88">
      <c r="A88" s="71">
        <f t="shared" si="4"/>
        <v>84</v>
      </c>
      <c r="B88" s="47" t="s">
        <v>220</v>
      </c>
      <c r="C88" s="72">
        <f>IFERROR(__xludf.DUMMYFUNCTION("iferror(divide(googlefinance($B88,""marketcap""),1000000),"""")"),89874.066932)</f>
        <v>89874.06693</v>
      </c>
      <c r="D88" s="72">
        <f>IFERROR(__xludf.DUMMYFUNCTION("iferror(divide(googlefinance($B88,""shares""),1000),"""")"),1174057.0)</f>
        <v>1174057</v>
      </c>
      <c r="E88" s="72">
        <f>IFERROR(__xludf.DUMMYFUNCTION("iferror(divide(googlefinance($B88,""volumeavg""),1000),"""")"),55252.808)</f>
        <v>55252.808</v>
      </c>
      <c r="F88" s="73">
        <f>IFERROR(__xludf.DUMMYFUNCTION("iferror(MINUS(divide(GOOGLEFINANCE($B88), INDEX(GOOGLEFINANCE($B88,""price"",today()-182),2,2)),1),"""")"),0.9325927796011109)</f>
        <v>0.9325927796</v>
      </c>
      <c r="G88" s="61">
        <f>IFERROR(__xludf.DUMMYFUNCTION("iferror(MINUS(divide(GOOGLEFINANCE($B88), INDEX(GOOGLEFINANCE($B88,""price"",today()-364),2,2)),1),"""")"),1.5474209650582362)</f>
        <v>1.547420965</v>
      </c>
    </row>
    <row r="89">
      <c r="A89" s="71">
        <f t="shared" si="4"/>
        <v>85</v>
      </c>
      <c r="B89" s="47" t="s">
        <v>221</v>
      </c>
      <c r="C89" s="72">
        <f>IFERROR(__xludf.DUMMYFUNCTION("iferror(divide(googlefinance($B89,""marketcap""),1000000),"""")"),145298.968592)</f>
        <v>145298.9686</v>
      </c>
      <c r="D89" s="72">
        <f>IFERROR(__xludf.DUMMYFUNCTION("iferror(divide(googlefinance($B89,""shares""),1000),"""")"),585694.0)</f>
        <v>585694</v>
      </c>
      <c r="E89" s="72">
        <f>IFERROR(__xludf.DUMMYFUNCTION("iferror(divide(googlefinance($B89,""volumeavg""),1000),"""")"),2713.729)</f>
        <v>2713.729</v>
      </c>
      <c r="F89" s="73">
        <f>IFERROR(__xludf.DUMMYFUNCTION("iferror(MINUS(divide(GOOGLEFINANCE($B89), INDEX(GOOGLEFINANCE($B89,""price"",today()-182),2,2)),1),"""")"),0.3178220451527225)</f>
        <v>0.3178220452</v>
      </c>
      <c r="G89" s="61">
        <f>IFERROR(__xludf.DUMMYFUNCTION("iferror(MINUS(divide(GOOGLEFINANCE($B89), INDEX(GOOGLEFINANCE($B89,""price"",today()-364),2,2)),1),"""")"),0.2596729968518332)</f>
        <v>0.2596729969</v>
      </c>
    </row>
    <row r="90">
      <c r="A90" s="71">
        <f t="shared" si="4"/>
        <v>86</v>
      </c>
      <c r="B90" s="47" t="s">
        <v>222</v>
      </c>
      <c r="C90" s="72">
        <f>IFERROR(__xludf.DUMMYFUNCTION("iferror(divide(googlefinance($B90,""marketcap""),1000000),"""")"),2770.927489)</f>
        <v>2770.927489</v>
      </c>
      <c r="D90" s="72">
        <f>IFERROR(__xludf.DUMMYFUNCTION("iferror(divide(googlefinance($B90,""shares""),1000),"""")"),241370.0)</f>
        <v>241370</v>
      </c>
      <c r="E90" s="72">
        <f>IFERROR(__xludf.DUMMYFUNCTION("iferror(divide(googlefinance($B90,""volumeavg""),1000),"""")"),1044.59)</f>
        <v>1044.59</v>
      </c>
      <c r="F90" s="73">
        <f>IFERROR(__xludf.DUMMYFUNCTION("iferror(MINUS(divide(GOOGLEFINANCE($B90), INDEX(GOOGLEFINANCE($B90,""price"",today()-182),2,2)),1),"""")"),0.6517985611510793)</f>
        <v>0.6517985612</v>
      </c>
      <c r="G90" s="61">
        <f>IFERROR(__xludf.DUMMYFUNCTION("iferror(MINUS(divide(GOOGLEFINANCE($B90), INDEX(GOOGLEFINANCE($B90,""price"",today()-364),2,2)),1),"""")"),0.26991150442477885)</f>
        <v>0.2699115044</v>
      </c>
    </row>
    <row r="91">
      <c r="A91" s="71">
        <f t="shared" si="4"/>
        <v>87</v>
      </c>
      <c r="B91" s="47" t="s">
        <v>223</v>
      </c>
      <c r="C91" s="72" t="str">
        <f>IFERROR(__xludf.DUMMYFUNCTION("iferror(divide(googlefinance($B91,""marketcap""),1000000),"""")"),"")</f>
        <v/>
      </c>
      <c r="D91" s="72" t="str">
        <f>IFERROR(__xludf.DUMMYFUNCTION("iferror(divide(googlefinance($B91,""shares""),1000),"""")"),"")</f>
        <v/>
      </c>
      <c r="E91" s="72" t="str">
        <f>IFERROR(__xludf.DUMMYFUNCTION("iferror(divide(googlefinance($B91,""volumeavg""),1000),"""")"),"")</f>
        <v/>
      </c>
      <c r="F91" s="73" t="str">
        <f>IFERROR(__xludf.DUMMYFUNCTION("iferror(MINUS(divide(GOOGLEFINANCE($B91), INDEX(GOOGLEFINANCE($B91,""price"",today()-182),2,2)),1),"""")"),"")</f>
        <v/>
      </c>
      <c r="G91" s="61" t="str">
        <f>IFERROR(__xludf.DUMMYFUNCTION("iferror(MINUS(divide(GOOGLEFINANCE($B91), INDEX(GOOGLEFINANCE($B91,""price"",today()-364),2,2)),1),"""")"),"")</f>
        <v/>
      </c>
    </row>
    <row r="92">
      <c r="A92" s="71">
        <f t="shared" si="4"/>
        <v>88</v>
      </c>
      <c r="B92" s="47" t="s">
        <v>224</v>
      </c>
      <c r="C92" s="72">
        <f>IFERROR(__xludf.DUMMYFUNCTION("iferror(divide(googlefinance($B92,""marketcap""),1000000),"""")"),2687.221923)</f>
        <v>2687.221923</v>
      </c>
      <c r="D92" s="72">
        <f>IFERROR(__xludf.DUMMYFUNCTION("iferror(divide(googlefinance($B92,""shares""),1000),"""")"),46988.0)</f>
        <v>46988</v>
      </c>
      <c r="E92" s="72">
        <f>IFERROR(__xludf.DUMMYFUNCTION("iferror(divide(googlefinance($B92,""volumeavg""),1000),"""")"),423.108)</f>
        <v>423.108</v>
      </c>
      <c r="F92" s="73">
        <f>IFERROR(__xludf.DUMMYFUNCTION("iferror(MINUS(divide(GOOGLEFINANCE($B92), INDEX(GOOGLEFINANCE($B92,""price"",today()-182),2,2)),1),"""")"),-0.08860557768924304)</f>
        <v>-0.08860557769</v>
      </c>
      <c r="G92" s="61">
        <f>IFERROR(__xludf.DUMMYFUNCTION("iferror(MINUS(divide(GOOGLEFINANCE($B92), INDEX(GOOGLEFINANCE($B92,""price"",today()-364),2,2)),1),"""")"),0.014546744722370164)</f>
        <v>0.01454674472</v>
      </c>
    </row>
    <row r="93">
      <c r="A93" s="71">
        <f t="shared" si="4"/>
        <v>89</v>
      </c>
      <c r="B93" s="47" t="s">
        <v>225</v>
      </c>
      <c r="C93" s="72">
        <f>IFERROR(__xludf.DUMMYFUNCTION("iferror(divide(googlefinance($B93,""marketcap""),1000000),"""")"),923.602736)</f>
        <v>923.602736</v>
      </c>
      <c r="D93" s="72">
        <f>IFERROR(__xludf.DUMMYFUNCTION("iferror(divide(googlefinance($B93,""shares""),1000),"""")"),47486.0)</f>
        <v>47486</v>
      </c>
      <c r="E93" s="72">
        <f>IFERROR(__xludf.DUMMYFUNCTION("iferror(divide(googlefinance($B93,""volumeavg""),1000),"""")"),207.135)</f>
        <v>207.135</v>
      </c>
      <c r="F93" s="73">
        <f>IFERROR(__xludf.DUMMYFUNCTION("iferror(MINUS(divide(GOOGLEFINANCE($B93), INDEX(GOOGLEFINANCE($B93,""price"",today()-182),2,2)),1),"""")"),0.5363349131121642)</f>
        <v>0.5363349131</v>
      </c>
      <c r="G93" s="61">
        <f>IFERROR(__xludf.DUMMYFUNCTION("iferror(MINUS(divide(GOOGLEFINANCE($B93), INDEX(GOOGLEFINANCE($B93,""price"",today()-364),2,2)),1),"""")"),-0.061746261456825935)</f>
        <v>-0.06174626146</v>
      </c>
    </row>
    <row r="94">
      <c r="A94" s="71">
        <f t="shared" si="4"/>
        <v>90</v>
      </c>
      <c r="B94" s="47" t="s">
        <v>226</v>
      </c>
      <c r="C94" s="72">
        <f>IFERROR(__xludf.DUMMYFUNCTION("iferror(divide(googlefinance($B94,""marketcap""),1000000),"""")"),1472.845991)</f>
        <v>1472.845991</v>
      </c>
      <c r="D94" s="72">
        <f>IFERROR(__xludf.DUMMYFUNCTION("iferror(divide(googlefinance($B94,""shares""),1000),"""")"),29727.0)</f>
        <v>29727</v>
      </c>
      <c r="E94" s="72">
        <f>IFERROR(__xludf.DUMMYFUNCTION("iferror(divide(googlefinance($B94,""volumeavg""),1000),"""")"),299.239)</f>
        <v>299.239</v>
      </c>
      <c r="F94" s="73">
        <f>IFERROR(__xludf.DUMMYFUNCTION("iferror(MINUS(divide(GOOGLEFINANCE($B94), INDEX(GOOGLEFINANCE($B94,""price"",today()-182),2,2)),1),"""")"),0.8897734231475813)</f>
        <v>0.8897734231</v>
      </c>
      <c r="G94" s="61">
        <f>IFERROR(__xludf.DUMMYFUNCTION("iferror(MINUS(divide(GOOGLEFINANCE($B94), INDEX(GOOGLEFINANCE($B94,""price"",today()-364),2,2)),1),"""")"),1.026263952724885)</f>
        <v>1.026263953</v>
      </c>
    </row>
    <row r="95">
      <c r="A95" s="71">
        <f t="shared" si="4"/>
        <v>91</v>
      </c>
      <c r="B95" s="47" t="s">
        <v>227</v>
      </c>
      <c r="C95" s="72">
        <f>IFERROR(__xludf.DUMMYFUNCTION("iferror(divide(googlefinance($B95,""marketcap""),1000000),"""")"),1619.502706)</f>
        <v>1619.502706</v>
      </c>
      <c r="D95" s="72">
        <f>IFERROR(__xludf.DUMMYFUNCTION("iferror(divide(googlefinance($B95,""shares""),1000),"""")"),388673.0)</f>
        <v>388673</v>
      </c>
      <c r="E95" s="72">
        <f>IFERROR(__xludf.DUMMYFUNCTION("iferror(divide(googlefinance($B95,""volumeavg""),1000),"""")"),10668.458)</f>
        <v>10668.458</v>
      </c>
      <c r="F95" s="73">
        <f>IFERROR(__xludf.DUMMYFUNCTION("iferror(MINUS(divide(GOOGLEFINANCE($B95), INDEX(GOOGLEFINANCE($B95,""price"",today()-182),2,2)),1),"""")"),-0.6052631578947368)</f>
        <v>-0.6052631579</v>
      </c>
      <c r="G95" s="61">
        <f>IFERROR(__xludf.DUMMYFUNCTION("iferror(MINUS(divide(GOOGLEFINANCE($B95), INDEX(GOOGLEFINANCE($B95,""price"",today()-364),2,2)),1),"""")"),-0.7505938242280285)</f>
        <v>-0.7505938242</v>
      </c>
    </row>
    <row r="96">
      <c r="A96" s="71">
        <f t="shared" si="4"/>
        <v>92</v>
      </c>
      <c r="B96" s="47" t="s">
        <v>228</v>
      </c>
      <c r="C96" s="72">
        <f>IFERROR(__xludf.DUMMYFUNCTION("iferror(divide(googlefinance($B96,""marketcap""),1000000),"""")"),591.672322)</f>
        <v>591.672322</v>
      </c>
      <c r="D96" s="72">
        <f>IFERROR(__xludf.DUMMYFUNCTION("iferror(divide(googlefinance($B96,""shares""),1000),"""")"),204731.0)</f>
        <v>204731</v>
      </c>
      <c r="E96" s="72">
        <f>IFERROR(__xludf.DUMMYFUNCTION("iferror(divide(googlefinance($B96,""volumeavg""),1000),"""")"),3116.429)</f>
        <v>3116.429</v>
      </c>
      <c r="F96" s="73">
        <f>IFERROR(__xludf.DUMMYFUNCTION("iferror(MINUS(divide(GOOGLEFINANCE($B96), INDEX(GOOGLEFINANCE($B96,""price"",today()-182),2,2)),1),"""")"),0.2959641255605381)</f>
        <v>0.2959641256</v>
      </c>
      <c r="G96" s="61">
        <f>IFERROR(__xludf.DUMMYFUNCTION("iferror(MINUS(divide(GOOGLEFINANCE($B96), INDEX(GOOGLEFINANCE($B96,""price"",today()-364),2,2)),1),"""")"),-0.34168564920273337)</f>
        <v>-0.3416856492</v>
      </c>
    </row>
    <row r="97">
      <c r="A97" s="71">
        <f t="shared" si="4"/>
        <v>93</v>
      </c>
      <c r="B97" s="47" t="s">
        <v>229</v>
      </c>
      <c r="C97" s="72">
        <f>IFERROR(__xludf.DUMMYFUNCTION("iferror(divide(googlefinance($B97,""marketcap""),1000000),"""")"),1150.431451)</f>
        <v>1150.431451</v>
      </c>
      <c r="D97" s="72">
        <f>IFERROR(__xludf.DUMMYFUNCTION("iferror(divide(googlefinance($B97,""shares""),1000),"""")"),34851.0)</f>
        <v>34851</v>
      </c>
      <c r="E97" s="72">
        <f>IFERROR(__xludf.DUMMYFUNCTION("iferror(divide(googlefinance($B97,""volumeavg""),1000),"""")"),260.8)</f>
        <v>260.8</v>
      </c>
      <c r="F97" s="73" t="str">
        <f>IFERROR(__xludf.DUMMYFUNCTION("iferror(MINUS(divide(GOOGLEFINANCE($B97), INDEX(GOOGLEFINANCE($B97,""price"",today()-182),2,2)),1),"""")"),"")</f>
        <v/>
      </c>
      <c r="G97" s="61" t="str">
        <f>IFERROR(__xludf.DUMMYFUNCTION("iferror(MINUS(divide(GOOGLEFINANCE($B97), INDEX(GOOGLEFINANCE($B97,""price"",today()-364),2,2)),1),"""")"),"")</f>
        <v/>
      </c>
    </row>
    <row r="98">
      <c r="A98" s="71">
        <f t="shared" si="4"/>
        <v>94</v>
      </c>
      <c r="B98" s="47" t="s">
        <v>230</v>
      </c>
      <c r="C98" s="72">
        <f>IFERROR(__xludf.DUMMYFUNCTION("iferror(divide(googlefinance($B98,""marketcap""),1000000),"""")"),54.277244)</f>
        <v>54.277244</v>
      </c>
      <c r="D98" s="72">
        <f>IFERROR(__xludf.DUMMYFUNCTION("iferror(divide(googlefinance($B98,""shares""),1000),"""")"),20796.0)</f>
        <v>20796</v>
      </c>
      <c r="E98" s="72">
        <f>IFERROR(__xludf.DUMMYFUNCTION("iferror(divide(googlefinance($B98,""volumeavg""),1000),"""")"),3486.288)</f>
        <v>3486.288</v>
      </c>
      <c r="F98" s="73">
        <f>IFERROR(__xludf.DUMMYFUNCTION("iferror(MINUS(divide(GOOGLEFINANCE($B98), INDEX(GOOGLEFINANCE($B98,""price"",today()-182),2,2)),1),"""")"),2.676056338028169)</f>
        <v>2.676056338</v>
      </c>
      <c r="G98" s="61">
        <f>IFERROR(__xludf.DUMMYFUNCTION("iferror(MINUS(divide(GOOGLEFINANCE($B98), INDEX(GOOGLEFINANCE($B98,""price"",today()-364),2,2)),1),"""")"),1.19327731092437)</f>
        <v>1.193277311</v>
      </c>
    </row>
    <row r="99">
      <c r="A99" s="71">
        <f t="shared" si="4"/>
        <v>95</v>
      </c>
      <c r="B99" s="47" t="s">
        <v>231</v>
      </c>
      <c r="C99" s="72">
        <f>IFERROR(__xludf.DUMMYFUNCTION("iferror(divide(googlefinance($B99,""marketcap""),1000000),"""")"),1392.236495)</f>
        <v>1392.236495</v>
      </c>
      <c r="D99" s="72">
        <f>IFERROR(__xludf.DUMMYFUNCTION("iferror(divide(googlefinance($B99,""shares""),1000),"""")"),16993.0)</f>
        <v>16993</v>
      </c>
      <c r="E99" s="72">
        <f>IFERROR(__xludf.DUMMYFUNCTION("iferror(divide(googlefinance($B99,""volumeavg""),1000),"""")"),124.261)</f>
        <v>124.261</v>
      </c>
      <c r="F99" s="73">
        <f>IFERROR(__xludf.DUMMYFUNCTION("iferror(MINUS(divide(GOOGLEFINANCE($B99), INDEX(GOOGLEFINANCE($B99,""price"",today()-182),2,2)),1),"""")"),0.9044630404463041)</f>
        <v>0.9044630404</v>
      </c>
      <c r="G99" s="61">
        <f>IFERROR(__xludf.DUMMYFUNCTION("iferror(MINUS(divide(GOOGLEFINANCE($B99), INDEX(GOOGLEFINANCE($B99,""price"",today()-364),2,2)),1),"""")"),-0.03052893148739788)</f>
        <v>-0.03052893149</v>
      </c>
    </row>
    <row r="100">
      <c r="A100" s="71">
        <f t="shared" si="4"/>
        <v>96</v>
      </c>
      <c r="B100" s="47" t="s">
        <v>232</v>
      </c>
      <c r="C100" s="72">
        <f>IFERROR(__xludf.DUMMYFUNCTION("iferror(divide(googlefinance($B100,""marketcap""),1000000),"""")"),4720.948043)</f>
        <v>4720.948043</v>
      </c>
      <c r="D100" s="72">
        <f>IFERROR(__xludf.DUMMYFUNCTION("iferror(divide(googlefinance($B100,""shares""),1000),"""")"),87215.0)</f>
        <v>87215</v>
      </c>
      <c r="E100" s="72">
        <f>IFERROR(__xludf.DUMMYFUNCTION("iferror(divide(googlefinance($B100,""volumeavg""),1000),"""")"),653.828)</f>
        <v>653.828</v>
      </c>
      <c r="F100" s="73">
        <f>IFERROR(__xludf.DUMMYFUNCTION("iferror(MINUS(divide(GOOGLEFINANCE($B100), INDEX(GOOGLEFINANCE($B100,""price"",today()-182),2,2)),1),"""")"),1.0426415094339623)</f>
        <v>1.042641509</v>
      </c>
      <c r="G100" s="61">
        <f>IFERROR(__xludf.DUMMYFUNCTION("iferror(MINUS(divide(GOOGLEFINANCE($B100), INDEX(GOOGLEFINANCE($B100,""price"",today()-364),2,2)),1),"""")"),0.0716689764403089)</f>
        <v>0.07166897644</v>
      </c>
    </row>
    <row r="101">
      <c r="A101" s="71">
        <f t="shared" si="4"/>
        <v>97</v>
      </c>
      <c r="B101" s="47" t="s">
        <v>233</v>
      </c>
      <c r="C101" s="72">
        <f>IFERROR(__xludf.DUMMYFUNCTION("iferror(divide(googlefinance($B101,""marketcap""),1000000),"""")"),431.676251)</f>
        <v>431.676251</v>
      </c>
      <c r="D101" s="72">
        <f>IFERROR(__xludf.DUMMYFUNCTION("iferror(divide(googlefinance($B101,""shares""),1000),"""")"),27304.0)</f>
        <v>27304</v>
      </c>
      <c r="E101" s="72">
        <f>IFERROR(__xludf.DUMMYFUNCTION("iferror(divide(googlefinance($B101,""volumeavg""),1000),"""")"),204.333)</f>
        <v>204.333</v>
      </c>
      <c r="F101" s="73">
        <f>IFERROR(__xludf.DUMMYFUNCTION("iferror(MINUS(divide(GOOGLEFINANCE($B101), INDEX(GOOGLEFINANCE($B101,""price"",today()-182),2,2)),1),"""")"),0.19320754716981137)</f>
        <v>0.1932075472</v>
      </c>
      <c r="G101" s="61">
        <f>IFERROR(__xludf.DUMMYFUNCTION("iferror(MINUS(divide(GOOGLEFINANCE($B101), INDEX(GOOGLEFINANCE($B101,""price"",today()-364),2,2)),1),"""")"),-0.6163552535792283)</f>
        <v>-0.6163552536</v>
      </c>
    </row>
    <row r="102">
      <c r="A102" s="71">
        <f t="shared" si="4"/>
        <v>98</v>
      </c>
      <c r="B102" s="47" t="s">
        <v>234</v>
      </c>
      <c r="C102" s="72">
        <f>IFERROR(__xludf.DUMMYFUNCTION("iferror(divide(googlefinance($B102,""marketcap""),1000000),"""")"),646.470005)</f>
        <v>646.470005</v>
      </c>
      <c r="D102" s="72">
        <f>IFERROR(__xludf.DUMMYFUNCTION("iferror(divide(googlefinance($B102,""shares""),1000),"""")"),33000.0)</f>
        <v>33000</v>
      </c>
      <c r="E102" s="72">
        <f>IFERROR(__xludf.DUMMYFUNCTION("iferror(divide(googlefinance($B102,""volumeavg""),1000),"""")"),201.22)</f>
        <v>201.22</v>
      </c>
      <c r="F102" s="73">
        <f>IFERROR(__xludf.DUMMYFUNCTION("iferror(MINUS(divide(GOOGLEFINANCE($B102), INDEX(GOOGLEFINANCE($B102,""price"",today()-182),2,2)),1),"""")"),0.1284562211981568)</f>
        <v>0.1284562212</v>
      </c>
      <c r="G102" s="61">
        <f>IFERROR(__xludf.DUMMYFUNCTION("iferror(MINUS(divide(GOOGLEFINANCE($B102), INDEX(GOOGLEFINANCE($B102,""price"",today()-364),2,2)),1),"""")"),-0.2528604118993135)</f>
        <v>-0.2528604119</v>
      </c>
    </row>
    <row r="103">
      <c r="A103" s="71">
        <f t="shared" si="4"/>
        <v>99</v>
      </c>
      <c r="B103" s="47" t="s">
        <v>235</v>
      </c>
      <c r="C103" s="72">
        <f>IFERROR(__xludf.DUMMYFUNCTION("iferror(divide(googlefinance($B103,""marketcap""),1000000),"""")"),957.425573)</f>
        <v>957.425573</v>
      </c>
      <c r="D103" s="72">
        <f>IFERROR(__xludf.DUMMYFUNCTION("iferror(divide(googlefinance($B103,""shares""),1000),"""")"),62373.0)</f>
        <v>62373</v>
      </c>
      <c r="E103" s="72">
        <f>IFERROR(__xludf.DUMMYFUNCTION("iferror(divide(googlefinance($B103,""volumeavg""),1000),"""")"),2995.899)</f>
        <v>2995.899</v>
      </c>
      <c r="F103" s="73">
        <f>IFERROR(__xludf.DUMMYFUNCTION("iferror(MINUS(divide(GOOGLEFINANCE($B103), INDEX(GOOGLEFINANCE($B103,""price"",today()-182),2,2)),1),"""")"),0.7663981588032223)</f>
        <v>0.7663981588</v>
      </c>
      <c r="G103" s="61">
        <f>IFERROR(__xludf.DUMMYFUNCTION("iferror(MINUS(divide(GOOGLEFINANCE($B103), INDEX(GOOGLEFINANCE($B103,""price"",today()-364),2,2)),1),"""")"),-0.023536895674300284)</f>
        <v>-0.02353689567</v>
      </c>
    </row>
    <row r="104">
      <c r="A104" s="71">
        <f t="shared" si="4"/>
        <v>100</v>
      </c>
      <c r="B104" s="47" t="s">
        <v>236</v>
      </c>
      <c r="C104" s="72">
        <f>IFERROR(__xludf.DUMMYFUNCTION("iferror(divide(googlefinance($B104,""marketcap""),1000000),"""")"),367.481093)</f>
        <v>367.481093</v>
      </c>
      <c r="D104" s="72">
        <f>IFERROR(__xludf.DUMMYFUNCTION("iferror(divide(googlefinance($B104,""shares""),1000),"""")"),12304.0)</f>
        <v>12304</v>
      </c>
      <c r="E104" s="72">
        <f>IFERROR(__xludf.DUMMYFUNCTION("iferror(divide(googlefinance($B104,""volumeavg""),1000),"""")"),82.528)</f>
        <v>82.528</v>
      </c>
      <c r="F104" s="73">
        <f>IFERROR(__xludf.DUMMYFUNCTION("iferror(MINUS(divide(GOOGLEFINANCE($B104), INDEX(GOOGLEFINANCE($B104,""price"",today()-182),2,2)),1),"""")"),-0.1924221921515562)</f>
        <v>-0.1924221922</v>
      </c>
      <c r="G104" s="61">
        <f>IFERROR(__xludf.DUMMYFUNCTION("iferror(MINUS(divide(GOOGLEFINANCE($B104), INDEX(GOOGLEFINANCE($B104,""price"",today()-364),2,2)),1),"""")"),-0.587959127312897)</f>
        <v>-0.5879591273</v>
      </c>
    </row>
    <row r="105">
      <c r="A105" s="71">
        <f t="shared" si="4"/>
        <v>101</v>
      </c>
      <c r="B105" s="47" t="s">
        <v>237</v>
      </c>
      <c r="C105" s="72">
        <f>IFERROR(__xludf.DUMMYFUNCTION("iferror(divide(googlefinance($B105,""marketcap""),1000000),"""")"),319.893128)</f>
        <v>319.893128</v>
      </c>
      <c r="D105" s="72">
        <f>IFERROR(__xludf.DUMMYFUNCTION("iferror(divide(googlefinance($B105,""shares""),1000),"""")"),25308.0)</f>
        <v>25308</v>
      </c>
      <c r="E105" s="72">
        <f>IFERROR(__xludf.DUMMYFUNCTION("iferror(divide(googlefinance($B105,""volumeavg""),1000),"""")"),135.892)</f>
        <v>135.892</v>
      </c>
      <c r="F105" s="73">
        <f>IFERROR(__xludf.DUMMYFUNCTION("iferror(MINUS(divide(GOOGLEFINANCE($B105), INDEX(GOOGLEFINANCE($B105,""price"",today()-182),2,2)),1),"""")"),1.1496598639455784)</f>
        <v>1.149659864</v>
      </c>
      <c r="G105" s="61">
        <f>IFERROR(__xludf.DUMMYFUNCTION("iferror(MINUS(divide(GOOGLEFINANCE($B105), INDEX(GOOGLEFINANCE($B105,""price"",today()-364),2,2)),1),"""")"),-0.030674846625766805)</f>
        <v>-0.03067484663</v>
      </c>
    </row>
    <row r="106">
      <c r="A106" s="71">
        <f t="shared" si="4"/>
        <v>102</v>
      </c>
      <c r="B106" s="47" t="s">
        <v>238</v>
      </c>
      <c r="C106" s="72">
        <f>IFERROR(__xludf.DUMMYFUNCTION("iferror(divide(googlefinance($B106,""marketcap""),1000000),"""")"),66705.572546)</f>
        <v>66705.57255</v>
      </c>
      <c r="D106" s="72">
        <f>IFERROR(__xludf.DUMMYFUNCTION("iferror(divide(googlefinance($B106,""shares""),1000),"""")"),220894.0)</f>
        <v>220894</v>
      </c>
      <c r="E106" s="72">
        <f>IFERROR(__xludf.DUMMYFUNCTION("iferror(divide(googlefinance($B106,""volumeavg""),1000),"""")"),853.258)</f>
        <v>853.258</v>
      </c>
      <c r="F106" s="73">
        <f>IFERROR(__xludf.DUMMYFUNCTION("iferror(MINUS(divide(GOOGLEFINANCE($B106), INDEX(GOOGLEFINANCE($B106,""price"",today()-182),2,2)),1),"""")"),0.5965107057890564)</f>
        <v>0.5965107058</v>
      </c>
      <c r="G106" s="61">
        <f>IFERROR(__xludf.DUMMYFUNCTION("iferror(MINUS(divide(GOOGLEFINANCE($B106), INDEX(GOOGLEFINANCE($B106,""price"",today()-364),2,2)),1),"""")"),0.3630331753554503)</f>
        <v>0.3630331754</v>
      </c>
    </row>
    <row r="107">
      <c r="A107" s="71">
        <f t="shared" si="4"/>
        <v>103</v>
      </c>
      <c r="B107" s="47" t="s">
        <v>239</v>
      </c>
      <c r="C107" s="72">
        <f>IFERROR(__xludf.DUMMYFUNCTION("iferror(divide(googlefinance($B107,""marketcap""),1000000),"""")"),2412.523628)</f>
        <v>2412.523628</v>
      </c>
      <c r="D107" s="72">
        <f>IFERROR(__xludf.DUMMYFUNCTION("iferror(divide(googlefinance($B107,""shares""),1000),"""")"),75604.0)</f>
        <v>75604</v>
      </c>
      <c r="E107" s="72">
        <f>IFERROR(__xludf.DUMMYFUNCTION("iferror(divide(googlefinance($B107,""volumeavg""),1000),"""")"),548.169)</f>
        <v>548.169</v>
      </c>
      <c r="F107" s="73">
        <f>IFERROR(__xludf.DUMMYFUNCTION("iferror(MINUS(divide(GOOGLEFINANCE($B107), INDEX(GOOGLEFINANCE($B107,""price"",today()-182),2,2)),1),"""")"),0.30725112658746423)</f>
        <v>0.3072511266</v>
      </c>
      <c r="G107" s="61">
        <f>IFERROR(__xludf.DUMMYFUNCTION("iferror(MINUS(divide(GOOGLEFINANCE($B107), INDEX(GOOGLEFINANCE($B107,""price"",today()-364),2,2)),1),"""")"),0.24794681267109886)</f>
        <v>0.2479468127</v>
      </c>
    </row>
    <row r="108">
      <c r="A108" s="71">
        <f t="shared" si="4"/>
        <v>104</v>
      </c>
      <c r="B108" s="47" t="s">
        <v>240</v>
      </c>
      <c r="C108" s="72">
        <f>IFERROR(__xludf.DUMMYFUNCTION("iferror(divide(googlefinance($B108,""marketcap""),1000000),"""")"),537.318267)</f>
        <v>537.318267</v>
      </c>
      <c r="D108" s="72">
        <f>IFERROR(__xludf.DUMMYFUNCTION("iferror(divide(googlefinance($B108,""shares""),1000),"""")"),22435.0)</f>
        <v>22435</v>
      </c>
      <c r="E108" s="72">
        <f>IFERROR(__xludf.DUMMYFUNCTION("iferror(divide(googlefinance($B108,""volumeavg""),1000),"""")"),165.723)</f>
        <v>165.723</v>
      </c>
      <c r="F108" s="73">
        <f>IFERROR(__xludf.DUMMYFUNCTION("iferror(MINUS(divide(GOOGLEFINANCE($B108), INDEX(GOOGLEFINANCE($B108,""price"",today()-182),2,2)),1),"""")"),-0.11296296296296304)</f>
        <v>-0.112962963</v>
      </c>
      <c r="G108" s="61">
        <f>IFERROR(__xludf.DUMMYFUNCTION("iferror(MINUS(divide(GOOGLEFINANCE($B108), INDEX(GOOGLEFINANCE($B108,""price"",today()-364),2,2)),1),"""")"),1.2766159695817492)</f>
        <v>1.27661597</v>
      </c>
    </row>
    <row r="109">
      <c r="A109" s="71">
        <f t="shared" si="4"/>
        <v>105</v>
      </c>
      <c r="B109" s="47" t="s">
        <v>241</v>
      </c>
      <c r="C109" s="72">
        <f>IFERROR(__xludf.DUMMYFUNCTION("iferror(divide(googlefinance($B109,""marketcap""),1000000),"""")"),619.3895)</f>
        <v>619.3895</v>
      </c>
      <c r="D109" s="72">
        <f>IFERROR(__xludf.DUMMYFUNCTION("iferror(divide(googlefinance($B109,""shares""),1000),"""")"),26357.0)</f>
        <v>26357</v>
      </c>
      <c r="E109" s="72">
        <f>IFERROR(__xludf.DUMMYFUNCTION("iferror(divide(googlefinance($B109,""volumeavg""),1000),"""")"),175.472)</f>
        <v>175.472</v>
      </c>
      <c r="F109" s="73">
        <f>IFERROR(__xludf.DUMMYFUNCTION("iferror(MINUS(divide(GOOGLEFINANCE($B109), INDEX(GOOGLEFINANCE($B109,""price"",today()-182),2,2)),1),"""")"),0.5532055518836747)</f>
        <v>0.5532055519</v>
      </c>
      <c r="G109" s="61">
        <f>IFERROR(__xludf.DUMMYFUNCTION("iferror(MINUS(divide(GOOGLEFINANCE($B109), INDEX(GOOGLEFINANCE($B109,""price"",today()-364),2,2)),1),"""")"),-0.4240196078431372)</f>
        <v>-0.4240196078</v>
      </c>
    </row>
    <row r="110">
      <c r="A110" s="71">
        <f t="shared" si="4"/>
        <v>106</v>
      </c>
      <c r="B110" s="47" t="s">
        <v>242</v>
      </c>
      <c r="C110" s="72">
        <f>IFERROR(__xludf.DUMMYFUNCTION("iferror(divide(googlefinance($B110,""marketcap""),1000000),"""")"),174.7348)</f>
        <v>174.7348</v>
      </c>
      <c r="D110" s="72">
        <f>IFERROR(__xludf.DUMMYFUNCTION("iferror(divide(googlefinance($B110,""shares""),1000),"""")"),337533.0)</f>
        <v>337533</v>
      </c>
      <c r="E110" s="72">
        <f>IFERROR(__xludf.DUMMYFUNCTION("iferror(divide(googlefinance($B110,""volumeavg""),1000),"""")"),123.473)</f>
        <v>123.473</v>
      </c>
      <c r="F110" s="73">
        <f>IFERROR(__xludf.DUMMYFUNCTION("iferror(MINUS(divide(GOOGLEFINANCE($B110), INDEX(GOOGLEFINANCE($B110,""price"",today()-182),2,2)),1),"""")"),0.4177215189873418)</f>
        <v>0.417721519</v>
      </c>
      <c r="G110" s="61">
        <f>IFERROR(__xludf.DUMMYFUNCTION("iferror(MINUS(divide(GOOGLEFINANCE($B110), INDEX(GOOGLEFINANCE($B110,""price"",today()-364),2,2)),1),"""")"),-0.13513513513513498)</f>
        <v>-0.1351351351</v>
      </c>
    </row>
    <row r="111">
      <c r="A111" s="71">
        <f t="shared" si="4"/>
        <v>107</v>
      </c>
      <c r="B111" s="47" t="s">
        <v>243</v>
      </c>
      <c r="C111" s="72">
        <f>IFERROR(__xludf.DUMMYFUNCTION("iferror(divide(googlefinance($B111,""marketcap""),1000000),"""")"),619.931624)</f>
        <v>619.931624</v>
      </c>
      <c r="D111" s="72">
        <f>IFERROR(__xludf.DUMMYFUNCTION("iferror(divide(googlefinance($B111,""shares""),1000),"""")"),21187.0)</f>
        <v>21187</v>
      </c>
      <c r="E111" s="72">
        <f>IFERROR(__xludf.DUMMYFUNCTION("iferror(divide(googlefinance($B111,""volumeavg""),1000),"""")"),59.688)</f>
        <v>59.688</v>
      </c>
      <c r="F111" s="73">
        <f>IFERROR(__xludf.DUMMYFUNCTION("iferror(MINUS(divide(GOOGLEFINANCE($B111), INDEX(GOOGLEFINANCE($B111,""price"",today()-182),2,2)),1),"""")"),-0.10245398773006131)</f>
        <v>-0.1024539877</v>
      </c>
      <c r="G111" s="61" t="str">
        <f>IFERROR(__xludf.DUMMYFUNCTION("iferror(MINUS(divide(GOOGLEFINANCE($B111), INDEX(GOOGLEFINANCE($B111,""price"",today()-364),2,2)),1),"""")"),"")</f>
        <v/>
      </c>
    </row>
    <row r="112">
      <c r="A112" s="71">
        <f t="shared" si="4"/>
        <v>108</v>
      </c>
      <c r="B112" s="47" t="s">
        <v>244</v>
      </c>
      <c r="C112" s="72">
        <f>IFERROR(__xludf.DUMMYFUNCTION("iferror(divide(googlefinance($B112,""marketcap""),1000000),"""")"),121.557671)</f>
        <v>121.557671</v>
      </c>
      <c r="D112" s="72">
        <f>IFERROR(__xludf.DUMMYFUNCTION("iferror(divide(googlefinance($B112,""shares""),1000),"""")"),13887.0)</f>
        <v>13887</v>
      </c>
      <c r="E112" s="72">
        <f>IFERROR(__xludf.DUMMYFUNCTION("iferror(divide(googlefinance($B112,""volumeavg""),1000),"""")"),1227.027)</f>
        <v>1227.027</v>
      </c>
      <c r="F112" s="73">
        <f>IFERROR(__xludf.DUMMYFUNCTION("iferror(MINUS(divide(GOOGLEFINANCE($B112), INDEX(GOOGLEFINANCE($B112,""price"",today()-182),2,2)),1),"""")"),-0.3172413793103449)</f>
        <v>-0.3172413793</v>
      </c>
      <c r="G112" s="61">
        <f>IFERROR(__xludf.DUMMYFUNCTION("iferror(MINUS(divide(GOOGLEFINANCE($B112), INDEX(GOOGLEFINANCE($B112,""price"",today()-364),2,2)),1),"""")"),-0.2524271844660194)</f>
        <v>-0.2524271845</v>
      </c>
    </row>
    <row r="113">
      <c r="A113" s="71">
        <f t="shared" si="4"/>
        <v>109</v>
      </c>
      <c r="B113" s="47" t="s">
        <v>245</v>
      </c>
      <c r="C113" s="72">
        <f>IFERROR(__xludf.DUMMYFUNCTION("iferror(divide(googlefinance($B113,""marketcap""),1000000),"""")"),513.531069)</f>
        <v>513.531069</v>
      </c>
      <c r="D113" s="72">
        <f>IFERROR(__xludf.DUMMYFUNCTION("iferror(divide(googlefinance($B113,""shares""),1000),"""")"),87484.0)</f>
        <v>87484</v>
      </c>
      <c r="E113" s="72">
        <f>IFERROR(__xludf.DUMMYFUNCTION("iferror(divide(googlefinance($B113,""volumeavg""),1000),"""")"),888.288)</f>
        <v>888.288</v>
      </c>
      <c r="F113" s="73">
        <f>IFERROR(__xludf.DUMMYFUNCTION("iferror(MINUS(divide(GOOGLEFINANCE($B113), INDEX(GOOGLEFINANCE($B113,""price"",today()-182),2,2)),1),"""")"),0.12667946257197693)</f>
        <v>0.1266794626</v>
      </c>
      <c r="G113" s="61">
        <f>IFERROR(__xludf.DUMMYFUNCTION("iferror(MINUS(divide(GOOGLEFINANCE($B113), INDEX(GOOGLEFINANCE($B113,""price"",today()-364),2,2)),1),"""")"),1.4872881355932206)</f>
        <v>1.487288136</v>
      </c>
    </row>
    <row r="114">
      <c r="A114" s="71">
        <f t="shared" si="4"/>
        <v>110</v>
      </c>
      <c r="B114" s="47" t="s">
        <v>246</v>
      </c>
      <c r="C114" s="72">
        <f>IFERROR(__xludf.DUMMYFUNCTION("iferror(divide(googlefinance($B114,""marketcap""),1000000),"""")"),161.083093)</f>
        <v>161.083093</v>
      </c>
      <c r="D114" s="72">
        <f>IFERROR(__xludf.DUMMYFUNCTION("iferror(divide(googlefinance($B114,""shares""),1000),"""")"),46963.0)</f>
        <v>46963</v>
      </c>
      <c r="E114" s="72">
        <f>IFERROR(__xludf.DUMMYFUNCTION("iferror(divide(googlefinance($B114,""volumeavg""),1000),"""")"),202.541)</f>
        <v>202.541</v>
      </c>
      <c r="F114" s="73">
        <f>IFERROR(__xludf.DUMMYFUNCTION("iferror(MINUS(divide(GOOGLEFINANCE($B114), INDEX(GOOGLEFINANCE($B114,""price"",today()-182),2,2)),1),"""")"),0.6103286384976527)</f>
        <v>0.6103286385</v>
      </c>
      <c r="G114" s="61">
        <f>IFERROR(__xludf.DUMMYFUNCTION("iferror(MINUS(divide(GOOGLEFINANCE($B114), INDEX(GOOGLEFINANCE($B114,""price"",today()-364),2,2)),1),"""")"),-0.10909090909090902)</f>
        <v>-0.1090909091</v>
      </c>
    </row>
    <row r="115">
      <c r="A115" s="71">
        <f t="shared" si="4"/>
        <v>111</v>
      </c>
      <c r="B115" s="47" t="s">
        <v>247</v>
      </c>
      <c r="C115" s="72">
        <f>IFERROR(__xludf.DUMMYFUNCTION("iferror(divide(googlefinance($B115,""marketcap""),1000000),"""")"),299.554194)</f>
        <v>299.554194</v>
      </c>
      <c r="D115" s="72">
        <f>IFERROR(__xludf.DUMMYFUNCTION("iferror(divide(googlefinance($B115,""shares""),1000),"""")"),33620.0)</f>
        <v>33620</v>
      </c>
      <c r="E115" s="72">
        <f>IFERROR(__xludf.DUMMYFUNCTION("iferror(divide(googlefinance($B115,""volumeavg""),1000),"""")"),1128.227)</f>
        <v>1128.227</v>
      </c>
      <c r="F115" s="73">
        <f>IFERROR(__xludf.DUMMYFUNCTION("iferror(MINUS(divide(GOOGLEFINANCE($B115), INDEX(GOOGLEFINANCE($B115,""price"",today()-182),2,2)),1),"""")"),3.790322580645161)</f>
        <v>3.790322581</v>
      </c>
      <c r="G115" s="61">
        <f>IFERROR(__xludf.DUMMYFUNCTION("iferror(MINUS(divide(GOOGLEFINANCE($B115), INDEX(GOOGLEFINANCE($B115,""price"",today()-364),2,2)),1),"""")"),1.864951768488746)</f>
        <v>1.864951768</v>
      </c>
    </row>
    <row r="116">
      <c r="A116" s="71">
        <f t="shared" si="4"/>
        <v>112</v>
      </c>
      <c r="B116" s="47" t="s">
        <v>248</v>
      </c>
      <c r="C116" s="72">
        <f>IFERROR(__xludf.DUMMYFUNCTION("iferror(divide(googlefinance($B116,""marketcap""),1000000),"""")"),93.413179)</f>
        <v>93.413179</v>
      </c>
      <c r="D116" s="72">
        <f>IFERROR(__xludf.DUMMYFUNCTION("iferror(divide(googlefinance($B116,""shares""),1000),"""")"),16078.0)</f>
        <v>16078</v>
      </c>
      <c r="E116" s="72">
        <f>IFERROR(__xludf.DUMMYFUNCTION("iferror(divide(googlefinance($B116,""volumeavg""),1000),"""")"),255.722)</f>
        <v>255.722</v>
      </c>
      <c r="F116" s="73">
        <f>IFERROR(__xludf.DUMMYFUNCTION("iferror(MINUS(divide(GOOGLEFINANCE($B116), INDEX(GOOGLEFINANCE($B116,""price"",today()-182),2,2)),1),"""")"),0.596153846153846)</f>
        <v>0.5961538462</v>
      </c>
      <c r="G116" s="61">
        <f>IFERROR(__xludf.DUMMYFUNCTION("iferror(MINUS(divide(GOOGLEFINANCE($B116), INDEX(GOOGLEFINANCE($B116,""price"",today()-364),2,2)),1),"""")"),-0.3041916167664671)</f>
        <v>-0.3041916168</v>
      </c>
    </row>
    <row r="117">
      <c r="A117" s="71">
        <f t="shared" si="4"/>
        <v>113</v>
      </c>
      <c r="B117" s="47" t="s">
        <v>249</v>
      </c>
      <c r="C117" s="72">
        <f>IFERROR(__xludf.DUMMYFUNCTION("iferror(divide(googlefinance($B117,""marketcap""),1000000),"""")"),214.315291)</f>
        <v>214.315291</v>
      </c>
      <c r="D117" s="72">
        <f>IFERROR(__xludf.DUMMYFUNCTION("iferror(divide(googlefinance($B117,""shares""),1000),"""")"),91198.0)</f>
        <v>91198</v>
      </c>
      <c r="E117" s="72">
        <f>IFERROR(__xludf.DUMMYFUNCTION("iferror(divide(googlefinance($B117,""volumeavg""),1000),"""")"),449.717)</f>
        <v>449.717</v>
      </c>
      <c r="F117" s="73">
        <f>IFERROR(__xludf.DUMMYFUNCTION("iferror(MINUS(divide(GOOGLEFINANCE($B117), INDEX(GOOGLEFINANCE($B117,""price"",today()-182),2,2)),1),"""")"),0.5064102564102564)</f>
        <v>0.5064102564</v>
      </c>
      <c r="G117" s="61">
        <f>IFERROR(__xludf.DUMMYFUNCTION("iferror(MINUS(divide(GOOGLEFINANCE($B117), INDEX(GOOGLEFINANCE($B117,""price"",today()-364),2,2)),1),"""")"),-0.2087542087542088)</f>
        <v>-0.2087542088</v>
      </c>
    </row>
    <row r="118">
      <c r="A118" s="71">
        <f t="shared" si="4"/>
        <v>114</v>
      </c>
      <c r="B118" s="47" t="s">
        <v>250</v>
      </c>
      <c r="C118" s="72">
        <f>IFERROR(__xludf.DUMMYFUNCTION("iferror(divide(googlefinance($B118,""marketcap""),1000000),"""")"),804.062009)</f>
        <v>804.062009</v>
      </c>
      <c r="D118" s="72">
        <f>IFERROR(__xludf.DUMMYFUNCTION("iferror(divide(googlefinance($B118,""shares""),1000),"""")"),25445.0)</f>
        <v>25445</v>
      </c>
      <c r="E118" s="72">
        <f>IFERROR(__xludf.DUMMYFUNCTION("iferror(divide(googlefinance($B118,""volumeavg""),1000),"""")"),169.185)</f>
        <v>169.185</v>
      </c>
      <c r="F118" s="73">
        <f>IFERROR(__xludf.DUMMYFUNCTION("iferror(MINUS(divide(GOOGLEFINANCE($B118), INDEX(GOOGLEFINANCE($B118,""price"",today()-182),2,2)),1),"""")"),0.638154484188699)</f>
        <v>0.6381544842</v>
      </c>
      <c r="G118" s="61">
        <f>IFERROR(__xludf.DUMMYFUNCTION("iferror(MINUS(divide(GOOGLEFINANCE($B118), INDEX(GOOGLEFINANCE($B118,""price"",today()-364),2,2)),1),"""")"),0.02965135223199744)</f>
        <v>0.02965135223</v>
      </c>
    </row>
    <row r="119">
      <c r="A119" s="71">
        <f t="shared" si="4"/>
        <v>115</v>
      </c>
      <c r="B119" s="47" t="s">
        <v>251</v>
      </c>
      <c r="C119" s="72">
        <f>IFERROR(__xludf.DUMMYFUNCTION("iferror(divide(googlefinance($B119,""marketcap""),1000000),"""")"),740.48793)</f>
        <v>740.48793</v>
      </c>
      <c r="D119" s="72">
        <f>IFERROR(__xludf.DUMMYFUNCTION("iferror(divide(googlefinance($B119,""shares""),1000),"""")"),15146.0)</f>
        <v>15146</v>
      </c>
      <c r="E119" s="72">
        <f>IFERROR(__xludf.DUMMYFUNCTION("iferror(divide(googlefinance($B119,""volumeavg""),1000),"""")"),275.75)</f>
        <v>275.75</v>
      </c>
      <c r="F119" s="73">
        <f>IFERROR(__xludf.DUMMYFUNCTION("iferror(MINUS(divide(GOOGLEFINANCE($B119), INDEX(GOOGLEFINANCE($B119,""price"",today()-182),2,2)),1),"""")"),0.4694920348662457)</f>
        <v>0.4694920349</v>
      </c>
      <c r="G119" s="61">
        <f>IFERROR(__xludf.DUMMYFUNCTION("iferror(MINUS(divide(GOOGLEFINANCE($B119), INDEX(GOOGLEFINANCE($B119,""price"",today()-364),2,2)),1),"""")"),-0.3204058938003892)</f>
        <v>-0.3204058938</v>
      </c>
    </row>
    <row r="120">
      <c r="A120" s="71">
        <f t="shared" si="4"/>
        <v>116</v>
      </c>
      <c r="B120" s="47" t="s">
        <v>252</v>
      </c>
      <c r="C120" s="72">
        <f>IFERROR(__xludf.DUMMYFUNCTION("iferror(divide(googlefinance($B120,""marketcap""),1000000),"""")"),878.44233)</f>
        <v>878.44233</v>
      </c>
      <c r="D120" s="72">
        <f>IFERROR(__xludf.DUMMYFUNCTION("iferror(divide(googlefinance($B120,""shares""),1000),"""")"),124536.0)</f>
        <v>124536</v>
      </c>
      <c r="E120" s="72">
        <f>IFERROR(__xludf.DUMMYFUNCTION("iferror(divide(googlefinance($B120,""volumeavg""),1000),"""")"),1298.401)</f>
        <v>1298.401</v>
      </c>
      <c r="F120" s="73">
        <f>IFERROR(__xludf.DUMMYFUNCTION("iferror(MINUS(divide(GOOGLEFINANCE($B120), INDEX(GOOGLEFINANCE($B120,""price"",today()-182),2,2)),1),"""")"),0.2165242165242165)</f>
        <v>0.2165242165</v>
      </c>
      <c r="G120" s="61">
        <f>IFERROR(__xludf.DUMMYFUNCTION("iferror(MINUS(divide(GOOGLEFINANCE($B120), INDEX(GOOGLEFINANCE($B120,""price"",today()-364),2,2)),1),"""")"),-0.34307692307692317)</f>
        <v>-0.3430769231</v>
      </c>
    </row>
    <row r="121">
      <c r="A121" s="71">
        <f t="shared" si="4"/>
        <v>117</v>
      </c>
      <c r="B121" s="47" t="s">
        <v>253</v>
      </c>
      <c r="C121" s="72">
        <f>IFERROR(__xludf.DUMMYFUNCTION("iferror(divide(googlefinance($B121,""marketcap""),1000000),"""")"),534.846)</f>
        <v>534.846</v>
      </c>
      <c r="D121" s="72">
        <f>IFERROR(__xludf.DUMMYFUNCTION("iferror(divide(googlefinance($B121,""shares""),1000),"""")"),89141.0)</f>
        <v>89141</v>
      </c>
      <c r="E121" s="72">
        <f>IFERROR(__xludf.DUMMYFUNCTION("iferror(divide(googlefinance($B121,""volumeavg""),1000),"""")"),494.082)</f>
        <v>494.082</v>
      </c>
      <c r="F121" s="73">
        <f>IFERROR(__xludf.DUMMYFUNCTION("iferror(MINUS(divide(GOOGLEFINANCE($B121), INDEX(GOOGLEFINANCE($B121,""price"",today()-182),2,2)),1),"""")"),0.12570356472795496)</f>
        <v>0.1257035647</v>
      </c>
      <c r="G121" s="61">
        <f>IFERROR(__xludf.DUMMYFUNCTION("iferror(MINUS(divide(GOOGLEFINANCE($B121), INDEX(GOOGLEFINANCE($B121,""price"",today()-364),2,2)),1),"""")"),0.16054158607350089)</f>
        <v>0.1605415861</v>
      </c>
    </row>
    <row r="122">
      <c r="A122" s="71">
        <f t="shared" si="4"/>
        <v>118</v>
      </c>
      <c r="B122" s="47" t="s">
        <v>254</v>
      </c>
      <c r="C122" s="72">
        <f>IFERROR(__xludf.DUMMYFUNCTION("iferror(divide(googlefinance($B122,""marketcap""),1000000),"""")"),7674.194858)</f>
        <v>7674.194858</v>
      </c>
      <c r="D122" s="72">
        <f>IFERROR(__xludf.DUMMYFUNCTION("iferror(divide(googlefinance($B122,""shares""),1000),"""")"),47008.0)</f>
        <v>47008</v>
      </c>
      <c r="E122" s="72">
        <f>IFERROR(__xludf.DUMMYFUNCTION("iferror(divide(googlefinance($B122,""volumeavg""),1000),"""")"),192.78)</f>
        <v>192.78</v>
      </c>
      <c r="F122" s="73">
        <f>IFERROR(__xludf.DUMMYFUNCTION("iferror(MINUS(divide(GOOGLEFINANCE($B122), INDEX(GOOGLEFINANCE($B122,""price"",today()-182),2,2)),1),"""")"),1.0570514978121843)</f>
        <v>1.057051498</v>
      </c>
      <c r="G122" s="61">
        <f>IFERROR(__xludf.DUMMYFUNCTION("iferror(MINUS(divide(GOOGLEFINANCE($B122), INDEX(GOOGLEFINANCE($B122,""price"",today()-364),2,2)),1),"""")"),0.9499082715163116)</f>
        <v>0.9499082715</v>
      </c>
    </row>
    <row r="123">
      <c r="A123" s="71">
        <f t="shared" si="4"/>
        <v>119</v>
      </c>
      <c r="B123" s="47" t="s">
        <v>255</v>
      </c>
      <c r="C123" s="72">
        <f>IFERROR(__xludf.DUMMYFUNCTION("iferror(divide(googlefinance($B123,""marketcap""),1000000),"""")"),409.568547)</f>
        <v>409.568547</v>
      </c>
      <c r="D123" s="72">
        <f>IFERROR(__xludf.DUMMYFUNCTION("iferror(divide(googlefinance($B123,""shares""),1000),"""")"),127195.0)</f>
        <v>127195</v>
      </c>
      <c r="E123" s="72">
        <f>IFERROR(__xludf.DUMMYFUNCTION("iferror(divide(googlefinance($B123,""volumeavg""),1000),"""")"),518.586)</f>
        <v>518.586</v>
      </c>
      <c r="F123" s="73">
        <f>IFERROR(__xludf.DUMMYFUNCTION("iferror(MINUS(divide(GOOGLEFINANCE($B123), INDEX(GOOGLEFINANCE($B123,""price"",today()-182),2,2)),1),"""")"),-0.1701030927835051)</f>
        <v>-0.1701030928</v>
      </c>
      <c r="G123" s="61">
        <f>IFERROR(__xludf.DUMMYFUNCTION("iferror(MINUS(divide(GOOGLEFINANCE($B123), INDEX(GOOGLEFINANCE($B123,""price"",today()-364),2,2)),1),"""")"),-0.7984981226533167)</f>
        <v>-0.7984981227</v>
      </c>
    </row>
    <row r="124">
      <c r="A124" s="71">
        <f t="shared" si="4"/>
        <v>120</v>
      </c>
      <c r="B124" s="47" t="s">
        <v>256</v>
      </c>
      <c r="C124" s="72">
        <f>IFERROR(__xludf.DUMMYFUNCTION("iferror(divide(googlefinance($B124,""marketcap""),1000000),"""")"),7144.042182)</f>
        <v>7144.042182</v>
      </c>
      <c r="D124" s="72">
        <f>IFERROR(__xludf.DUMMYFUNCTION("iferror(divide(googlefinance($B124,""shares""),1000),"""")"),252976.0)</f>
        <v>252976</v>
      </c>
      <c r="E124" s="72">
        <f>IFERROR(__xludf.DUMMYFUNCTION("iferror(divide(googlefinance($B124,""volumeavg""),1000),"""")"),2754.347)</f>
        <v>2754.347</v>
      </c>
      <c r="F124" s="73">
        <f>IFERROR(__xludf.DUMMYFUNCTION("iferror(MINUS(divide(GOOGLEFINANCE($B124), INDEX(GOOGLEFINANCE($B124,""price"",today()-182),2,2)),1),"""")"),0.45342254246011326)</f>
        <v>0.4534225425</v>
      </c>
      <c r="G124" s="61">
        <f>IFERROR(__xludf.DUMMYFUNCTION("iferror(MINUS(divide(GOOGLEFINANCE($B124), INDEX(GOOGLEFINANCE($B124,""price"",today()-364),2,2)),1),"""")"),-0.3311226906679299)</f>
        <v>-0.3311226907</v>
      </c>
    </row>
    <row r="125">
      <c r="A125" s="71">
        <f t="shared" si="4"/>
        <v>121</v>
      </c>
      <c r="B125" s="47" t="s">
        <v>257</v>
      </c>
      <c r="C125" s="72">
        <f>IFERROR(__xludf.DUMMYFUNCTION("iferror(divide(googlefinance($B125,""marketcap""),1000000),"""")"),4068.720424)</f>
        <v>4068.720424</v>
      </c>
      <c r="D125" s="72">
        <f>IFERROR(__xludf.DUMMYFUNCTION("iferror(divide(googlefinance($B125,""shares""),1000),"""")"),57647.0)</f>
        <v>57647</v>
      </c>
      <c r="E125" s="72">
        <f>IFERROR(__xludf.DUMMYFUNCTION("iferror(divide(googlefinance($B125,""volumeavg""),1000),"""")"),514.893)</f>
        <v>514.893</v>
      </c>
      <c r="F125" s="73">
        <f>IFERROR(__xludf.DUMMYFUNCTION("iferror(MINUS(divide(GOOGLEFINANCE($B125), INDEX(GOOGLEFINANCE($B125,""price"",today()-182),2,2)),1),"""")"),0.8510359297141357)</f>
        <v>0.8510359297</v>
      </c>
      <c r="G125" s="61">
        <f>IFERROR(__xludf.DUMMYFUNCTION("iferror(MINUS(divide(GOOGLEFINANCE($B125), INDEX(GOOGLEFINANCE($B125,""price"",today()-364),2,2)),1),"""")"),0.38202467201879764)</f>
        <v>0.382024672</v>
      </c>
    </row>
    <row r="126">
      <c r="A126" s="71">
        <f t="shared" si="4"/>
        <v>122</v>
      </c>
      <c r="B126" s="47" t="s">
        <v>258</v>
      </c>
      <c r="C126" s="72">
        <f>IFERROR(__xludf.DUMMYFUNCTION("iferror(divide(googlefinance($B126,""marketcap""),1000000),"""")"),2310.081453)</f>
        <v>2310.081453</v>
      </c>
      <c r="D126" s="72">
        <f>IFERROR(__xludf.DUMMYFUNCTION("iferror(divide(googlefinance($B126,""shares""),1000),"""")"),109069.0)</f>
        <v>109069</v>
      </c>
      <c r="E126" s="72">
        <f>IFERROR(__xludf.DUMMYFUNCTION("iferror(divide(googlefinance($B126,""volumeavg""),1000),"""")"),875.383)</f>
        <v>875.383</v>
      </c>
      <c r="F126" s="73">
        <f>IFERROR(__xludf.DUMMYFUNCTION("iferror(MINUS(divide(GOOGLEFINANCE($B126), INDEX(GOOGLEFINANCE($B126,""price"",today()-182),2,2)),1),"""")"),0.5984905660377358)</f>
        <v>0.598490566</v>
      </c>
      <c r="G126" s="61">
        <f>IFERROR(__xludf.DUMMYFUNCTION("iferror(MINUS(divide(GOOGLEFINANCE($B126), INDEX(GOOGLEFINANCE($B126,""price"",today()-364),2,2)),1),"""")"),-0.20733532934131738)</f>
        <v>-0.2073353293</v>
      </c>
    </row>
    <row r="127">
      <c r="A127" s="71">
        <f t="shared" si="4"/>
        <v>123</v>
      </c>
      <c r="B127" s="47" t="s">
        <v>259</v>
      </c>
      <c r="C127" s="72">
        <f>IFERROR(__xludf.DUMMYFUNCTION("iferror(divide(googlefinance($B127,""marketcap""),1000000),"""")"),1039.504553)</f>
        <v>1039.504553</v>
      </c>
      <c r="D127" s="72">
        <f>IFERROR(__xludf.DUMMYFUNCTION("iferror(divide(googlefinance($B127,""shares""),1000),"""")"),38189.0)</f>
        <v>38189</v>
      </c>
      <c r="E127" s="72">
        <f>IFERROR(__xludf.DUMMYFUNCTION("iferror(divide(googlefinance($B127,""volumeavg""),1000),"""")"),125.346)</f>
        <v>125.346</v>
      </c>
      <c r="F127" s="73">
        <f>IFERROR(__xludf.DUMMYFUNCTION("iferror(MINUS(divide(GOOGLEFINANCE($B127), INDEX(GOOGLEFINANCE($B127,""price"",today()-182),2,2)),1),"""")"),-0.18307322929171677)</f>
        <v>-0.1830732293</v>
      </c>
      <c r="G127" s="61" t="str">
        <f>IFERROR(__xludf.DUMMYFUNCTION("iferror(MINUS(divide(GOOGLEFINANCE($B127), INDEX(GOOGLEFINANCE($B127,""price"",today()-364),2,2)),1),"""")"),"")</f>
        <v/>
      </c>
    </row>
    <row r="128">
      <c r="A128" s="71">
        <f t="shared" si="4"/>
        <v>124</v>
      </c>
      <c r="B128" s="47" t="s">
        <v>260</v>
      </c>
      <c r="C128" s="72" t="str">
        <f>IFERROR(__xludf.DUMMYFUNCTION("iferror(divide(googlefinance($B128,""marketcap""),1000000),"""")"),"")</f>
        <v/>
      </c>
      <c r="D128" s="72" t="str">
        <f>IFERROR(__xludf.DUMMYFUNCTION("iferror(divide(googlefinance($B128,""shares""),1000),"""")"),"")</f>
        <v/>
      </c>
      <c r="E128" s="72" t="str">
        <f>IFERROR(__xludf.DUMMYFUNCTION("iferror(divide(googlefinance($B128,""volumeavg""),1000),"""")"),"")</f>
        <v/>
      </c>
      <c r="F128" s="73" t="str">
        <f>IFERROR(__xludf.DUMMYFUNCTION("iferror(MINUS(divide(GOOGLEFINANCE($B128), INDEX(GOOGLEFINANCE($B128,""price"",today()-182),2,2)),1),"""")"),"")</f>
        <v/>
      </c>
      <c r="G128" s="61" t="str">
        <f>IFERROR(__xludf.DUMMYFUNCTION("iferror(MINUS(divide(GOOGLEFINANCE($B128), INDEX(GOOGLEFINANCE($B128,""price"",today()-364),2,2)),1),"""")"),"")</f>
        <v/>
      </c>
    </row>
    <row r="129">
      <c r="A129" s="71">
        <f t="shared" si="4"/>
        <v>125</v>
      </c>
      <c r="B129" s="47" t="s">
        <v>261</v>
      </c>
      <c r="C129" s="72">
        <f>IFERROR(__xludf.DUMMYFUNCTION("iferror(divide(googlefinance($B129,""marketcap""),1000000),"""")"),1052.363148)</f>
        <v>1052.363148</v>
      </c>
      <c r="D129" s="72">
        <f>IFERROR(__xludf.DUMMYFUNCTION("iferror(divide(googlefinance($B129,""shares""),1000),"""")"),39238.0)</f>
        <v>39238</v>
      </c>
      <c r="E129" s="72">
        <f>IFERROR(__xludf.DUMMYFUNCTION("iferror(divide(googlefinance($B129,""volumeavg""),1000),"""")"),396.255)</f>
        <v>396.255</v>
      </c>
      <c r="F129" s="73">
        <f>IFERROR(__xludf.DUMMYFUNCTION("iferror(MINUS(divide(GOOGLEFINANCE($B129), INDEX(GOOGLEFINANCE($B129,""price"",today()-182),2,2)),1),"""")"),-0.3246033744648703)</f>
        <v>-0.3246033745</v>
      </c>
      <c r="G129" s="61">
        <f>IFERROR(__xludf.DUMMYFUNCTION("iferror(MINUS(divide(GOOGLEFINANCE($B129), INDEX(GOOGLEFINANCE($B129,""price"",today()-364),2,2)),1),"""")"),0.09514087382605152)</f>
        <v>0.09514087383</v>
      </c>
    </row>
    <row r="130">
      <c r="A130" s="71">
        <f t="shared" si="4"/>
        <v>126</v>
      </c>
      <c r="B130" s="47" t="s">
        <v>262</v>
      </c>
      <c r="C130" s="72">
        <f>IFERROR(__xludf.DUMMYFUNCTION("iferror(divide(googlefinance($B130,""marketcap""),1000000),"""")"),4679.845275)</f>
        <v>4679.845275</v>
      </c>
      <c r="D130" s="72">
        <f>IFERROR(__xludf.DUMMYFUNCTION("iferror(divide(googlefinance($B130,""shares""),1000),"""")"),102292.0)</f>
        <v>102292</v>
      </c>
      <c r="E130" s="72">
        <f>IFERROR(__xludf.DUMMYFUNCTION("iferror(divide(googlefinance($B130,""volumeavg""),1000),"""")"),1754.431)</f>
        <v>1754.431</v>
      </c>
      <c r="F130" s="73">
        <f>IFERROR(__xludf.DUMMYFUNCTION("iferror(MINUS(divide(GOOGLEFINANCE($B130), INDEX(GOOGLEFINANCE($B130,""price"",today()-182),2,2)),1),"""")"),0.6462756387189637)</f>
        <v>0.6462756387</v>
      </c>
      <c r="G130" s="61">
        <f>IFERROR(__xludf.DUMMYFUNCTION("iferror(MINUS(divide(GOOGLEFINANCE($B130), INDEX(GOOGLEFINANCE($B130,""price"",today()-364),2,2)),1),"""")"),0.5852390852390852)</f>
        <v>0.5852390852</v>
      </c>
    </row>
    <row r="131">
      <c r="A131" s="71">
        <f t="shared" si="4"/>
        <v>127</v>
      </c>
      <c r="B131" s="47" t="s">
        <v>263</v>
      </c>
      <c r="C131" s="72">
        <f>IFERROR(__xludf.DUMMYFUNCTION("iferror(divide(googlefinance($B131,""marketcap""),1000000),"""")"),124.26524)</f>
        <v>124.26524</v>
      </c>
      <c r="D131" s="72">
        <f>IFERROR(__xludf.DUMMYFUNCTION("iferror(divide(googlefinance($B131,""shares""),1000),"""")"),33226.0)</f>
        <v>33226</v>
      </c>
      <c r="E131" s="72">
        <f>IFERROR(__xludf.DUMMYFUNCTION("iferror(divide(googlefinance($B131,""volumeavg""),1000),"""")"),366.597)</f>
        <v>366.597</v>
      </c>
      <c r="F131" s="73">
        <f>IFERROR(__xludf.DUMMYFUNCTION("iferror(MINUS(divide(GOOGLEFINANCE($B131), INDEX(GOOGLEFINANCE($B131,""price"",today()-182),2,2)),1),"""")"),-0.08108108108108114)</f>
        <v>-0.08108108108</v>
      </c>
      <c r="G131" s="61">
        <f>IFERROR(__xludf.DUMMYFUNCTION("iferror(MINUS(divide(GOOGLEFINANCE($B131), INDEX(GOOGLEFINANCE($B131,""price"",today()-364),2,2)),1),"""")"),-0.44345238095238093)</f>
        <v>-0.443452381</v>
      </c>
    </row>
    <row r="132">
      <c r="A132" s="71">
        <f t="shared" si="4"/>
        <v>128</v>
      </c>
      <c r="B132" s="47" t="s">
        <v>264</v>
      </c>
      <c r="C132" s="72">
        <f>IFERROR(__xludf.DUMMYFUNCTION("iferror(divide(googlefinance($B132,""marketcap""),1000000),"""")"),4382.260973)</f>
        <v>4382.260973</v>
      </c>
      <c r="D132" s="72">
        <f>IFERROR(__xludf.DUMMYFUNCTION("iferror(divide(googlefinance($B132,""shares""),1000),"""")"),60470.0)</f>
        <v>60470</v>
      </c>
      <c r="E132" s="72">
        <f>IFERROR(__xludf.DUMMYFUNCTION("iferror(divide(googlefinance($B132,""volumeavg""),1000),"""")"),389.891)</f>
        <v>389.891</v>
      </c>
      <c r="F132" s="73">
        <f>IFERROR(__xludf.DUMMYFUNCTION("iferror(MINUS(divide(GOOGLEFINANCE($B132), INDEX(GOOGLEFINANCE($B132,""price"",today()-182),2,2)),1),"""")"),0.7007744660877728)</f>
        <v>0.7007744661</v>
      </c>
      <c r="G132" s="61">
        <f>IFERROR(__xludf.DUMMYFUNCTION("iferror(MINUS(divide(GOOGLEFINANCE($B132), INDEX(GOOGLEFINANCE($B132,""price"",today()-364),2,2)),1),"""")"),-0.06670959433354806)</f>
        <v>-0.06670959433</v>
      </c>
    </row>
    <row r="133">
      <c r="A133" s="71">
        <f t="shared" si="4"/>
        <v>129</v>
      </c>
      <c r="B133" s="47" t="s">
        <v>265</v>
      </c>
      <c r="C133" s="72">
        <f>IFERROR(__xludf.DUMMYFUNCTION("iferror(divide(googlefinance($B133,""marketcap""),1000000),"""")"),591.38838)</f>
        <v>591.38838</v>
      </c>
      <c r="D133" s="72">
        <f>IFERROR(__xludf.DUMMYFUNCTION("iferror(divide(googlefinance($B133,""shares""),1000),"""")"),32855.0)</f>
        <v>32855</v>
      </c>
      <c r="E133" s="72">
        <f>IFERROR(__xludf.DUMMYFUNCTION("iferror(divide(googlefinance($B133,""volumeavg""),1000),"""")"),217.292)</f>
        <v>217.292</v>
      </c>
      <c r="F133" s="73">
        <f>IFERROR(__xludf.DUMMYFUNCTION("iferror(MINUS(divide(GOOGLEFINANCE($B133), INDEX(GOOGLEFINANCE($B133,""price"",today()-182),2,2)),1),"""")"),0.23456790123456783)</f>
        <v>0.2345679012</v>
      </c>
      <c r="G133" s="61">
        <f>IFERROR(__xludf.DUMMYFUNCTION("iferror(MINUS(divide(GOOGLEFINANCE($B133), INDEX(GOOGLEFINANCE($B133,""price"",today()-364),2,2)),1),"""")"),0.2756909992912828)</f>
        <v>0.2756909993</v>
      </c>
    </row>
    <row r="134">
      <c r="A134" s="71">
        <f t="shared" si="4"/>
        <v>130</v>
      </c>
      <c r="B134" s="47" t="s">
        <v>266</v>
      </c>
      <c r="C134" s="72">
        <f>IFERROR(__xludf.DUMMYFUNCTION("iferror(divide(googlefinance($B134,""marketcap""),1000000),"""")"),159404.857019)</f>
        <v>159404.857</v>
      </c>
      <c r="D134" s="72">
        <f>IFERROR(__xludf.DUMMYFUNCTION("iferror(divide(googlefinance($B134,""shares""),1000),"""")"),425660.0)</f>
        <v>425660</v>
      </c>
      <c r="E134" s="72">
        <f>IFERROR(__xludf.DUMMYFUNCTION("iferror(divide(googlefinance($B134,""volumeavg""),1000),"""")"),658.006)</f>
        <v>658.006</v>
      </c>
      <c r="F134" s="73">
        <f>IFERROR(__xludf.DUMMYFUNCTION("iferror(MINUS(divide(GOOGLEFINANCE($B134), INDEX(GOOGLEFINANCE($B134,""price"",today()-182),2,2)),1),"""")"),0.6970846830171218)</f>
        <v>0.697084683</v>
      </c>
      <c r="G134" s="61">
        <f>IFERROR(__xludf.DUMMYFUNCTION("iferror(MINUS(divide(GOOGLEFINANCE($B134), INDEX(GOOGLEFINANCE($B134,""price"",today()-364),2,2)),1),"""")"),0.49208674071361735)</f>
        <v>0.4920867407</v>
      </c>
    </row>
    <row r="135">
      <c r="A135" s="71">
        <f t="shared" si="4"/>
        <v>131</v>
      </c>
      <c r="B135" s="47" t="s">
        <v>267</v>
      </c>
      <c r="C135" s="72">
        <f>IFERROR(__xludf.DUMMYFUNCTION("iferror(divide(googlefinance($B135,""marketcap""),1000000),"""")"),7700.045304)</f>
        <v>7700.045304</v>
      </c>
      <c r="D135" s="72">
        <f>IFERROR(__xludf.DUMMYFUNCTION("iferror(divide(googlefinance($B135,""shares""),1000),"""")"),52845.0)</f>
        <v>52845</v>
      </c>
      <c r="E135" s="72">
        <f>IFERROR(__xludf.DUMMYFUNCTION("iferror(divide(googlefinance($B135,""volumeavg""),1000),"""")"),152.095)</f>
        <v>152.095</v>
      </c>
      <c r="F135" s="73">
        <f>IFERROR(__xludf.DUMMYFUNCTION("iferror(MINUS(divide(GOOGLEFINANCE($B135), INDEX(GOOGLEFINANCE($B135,""price"",today()-182),2,2)),1),"""")"),0.42183840749414525)</f>
        <v>0.4218384075</v>
      </c>
      <c r="G135" s="61">
        <f>IFERROR(__xludf.DUMMYFUNCTION("iferror(MINUS(divide(GOOGLEFINANCE($B135), INDEX(GOOGLEFINANCE($B135,""price"",today()-364),2,2)),1),"""")"),0.3308064663439585)</f>
        <v>0.3308064663</v>
      </c>
    </row>
    <row r="136">
      <c r="A136" s="71">
        <f t="shared" si="4"/>
        <v>132</v>
      </c>
      <c r="B136" s="47" t="s">
        <v>268</v>
      </c>
      <c r="C136" s="72">
        <f>IFERROR(__xludf.DUMMYFUNCTION("iferror(divide(googlefinance($B136,""marketcap""),1000000),"""")"),295.026543)</f>
        <v>295.026543</v>
      </c>
      <c r="D136" s="72">
        <f>IFERROR(__xludf.DUMMYFUNCTION("iferror(divide(googlefinance($B136,""shares""),1000),"""")"),26845.0)</f>
        <v>26845</v>
      </c>
      <c r="E136" s="72">
        <f>IFERROR(__xludf.DUMMYFUNCTION("iferror(divide(googlefinance($B136,""volumeavg""),1000),"""")"),126.391)</f>
        <v>126.391</v>
      </c>
      <c r="F136" s="73">
        <f>IFERROR(__xludf.DUMMYFUNCTION("iferror(MINUS(divide(GOOGLEFINANCE($B136), INDEX(GOOGLEFINANCE($B136,""price"",today()-182),2,2)),1),"""")"),1.1094049904030712)</f>
        <v>1.10940499</v>
      </c>
      <c r="G136" s="61">
        <f>IFERROR(__xludf.DUMMYFUNCTION("iferror(MINUS(divide(GOOGLEFINANCE($B136), INDEX(GOOGLEFINANCE($B136,""price"",today()-364),2,2)),1),"""")"),0.7527910685805423)</f>
        <v>0.7527910686</v>
      </c>
    </row>
    <row r="137">
      <c r="A137" s="71">
        <f t="shared" si="4"/>
        <v>133</v>
      </c>
      <c r="B137" s="47" t="s">
        <v>269</v>
      </c>
      <c r="C137" s="72">
        <f>IFERROR(__xludf.DUMMYFUNCTION("iferror(divide(googlefinance($B137,""marketcap""),1000000),"""")"),3405.999981)</f>
        <v>3405.999981</v>
      </c>
      <c r="D137" s="72">
        <f>IFERROR(__xludf.DUMMYFUNCTION("iferror(divide(googlefinance($B137,""shares""),1000),"""")"),277050.0)</f>
        <v>277050</v>
      </c>
      <c r="E137" s="72">
        <f>IFERROR(__xludf.DUMMYFUNCTION("iferror(divide(googlefinance($B137,""volumeavg""),1000),"""")"),60.823)</f>
        <v>60.823</v>
      </c>
      <c r="F137" s="73">
        <f>IFERROR(__xludf.DUMMYFUNCTION("iferror(MINUS(divide(GOOGLEFINANCE($B137), INDEX(GOOGLEFINANCE($B137,""price"",today()-182),2,2)),1),"""")"),0.36605461393596994)</f>
        <v>0.3660546139</v>
      </c>
      <c r="G137" s="61">
        <f>IFERROR(__xludf.DUMMYFUNCTION("iferror(MINUS(divide(GOOGLEFINANCE($B137), INDEX(GOOGLEFINANCE($B137,""price"",today()-364),2,2)),1),"""")"),-0.2657683304864933)</f>
        <v>-0.2657683305</v>
      </c>
    </row>
    <row r="138">
      <c r="A138" s="71">
        <f t="shared" si="4"/>
        <v>134</v>
      </c>
      <c r="B138" s="47" t="s">
        <v>270</v>
      </c>
      <c r="C138" s="72">
        <f>IFERROR(__xludf.DUMMYFUNCTION("iferror(divide(googlefinance($B138,""marketcap""),1000000),"""")"),1213.329046)</f>
        <v>1213.329046</v>
      </c>
      <c r="D138" s="72">
        <f>IFERROR(__xludf.DUMMYFUNCTION("iferror(divide(googlefinance($B138,""shares""),1000),"""")"),22603.0)</f>
        <v>22603</v>
      </c>
      <c r="E138" s="72">
        <f>IFERROR(__xludf.DUMMYFUNCTION("iferror(divide(googlefinance($B138,""volumeavg""),1000),"""")"),143.489)</f>
        <v>143.489</v>
      </c>
      <c r="F138" s="73">
        <f>IFERROR(__xludf.DUMMYFUNCTION("iferror(MINUS(divide(GOOGLEFINANCE($B138), INDEX(GOOGLEFINANCE($B138,""price"",today()-182),2,2)),1),"""")"),0.8775795732773697)</f>
        <v>0.8775795733</v>
      </c>
      <c r="G138" s="61">
        <f>IFERROR(__xludf.DUMMYFUNCTION("iferror(MINUS(divide(GOOGLEFINANCE($B138), INDEX(GOOGLEFINANCE($B138,""price"",today()-364),2,2)),1),"""")"),0.672795263321907)</f>
        <v>0.6727952633</v>
      </c>
    </row>
    <row r="139">
      <c r="A139" s="71">
        <f t="shared" si="4"/>
        <v>135</v>
      </c>
      <c r="B139" s="47" t="s">
        <v>271</v>
      </c>
      <c r="C139" s="72">
        <f>IFERROR(__xludf.DUMMYFUNCTION("iferror(divide(googlefinance($B139,""marketcap""),1000000),"""")"),271580.45298)</f>
        <v>271580.453</v>
      </c>
      <c r="D139" s="72">
        <f>IFERROR(__xludf.DUMMYFUNCTION("iferror(divide(googlefinance($B139,""shares""),1000),"""")"),4338345.0)</f>
        <v>4338345</v>
      </c>
      <c r="E139" s="72">
        <f>IFERROR(__xludf.DUMMYFUNCTION("iferror(divide(googlefinance($B139,""volumeavg""),1000),"""")"),720.778)</f>
        <v>720.778</v>
      </c>
      <c r="F139" s="73">
        <f>IFERROR(__xludf.DUMMYFUNCTION("iferror(MINUS(divide(GOOGLEFINANCE($B139), INDEX(GOOGLEFINANCE($B139,""price"",today()-182),2,2)),1),"""")"),0.25)</f>
        <v>0.25</v>
      </c>
      <c r="G139" s="61">
        <f>IFERROR(__xludf.DUMMYFUNCTION("iferror(MINUS(divide(GOOGLEFINANCE($B139), INDEX(GOOGLEFINANCE($B139,""price"",today()-364),2,2)),1),"""")"),-0.05973451327433621)</f>
        <v>-0.05973451327</v>
      </c>
    </row>
    <row r="140">
      <c r="A140" s="71">
        <f t="shared" si="4"/>
        <v>136</v>
      </c>
      <c r="B140" s="47" t="s">
        <v>272</v>
      </c>
      <c r="C140" s="72">
        <f>IFERROR(__xludf.DUMMYFUNCTION("iferror(divide(googlefinance($B140,""marketcap""),1000000),"""")"),76.141082)</f>
        <v>76.141082</v>
      </c>
      <c r="D140" s="72">
        <f>IFERROR(__xludf.DUMMYFUNCTION("iferror(divide(googlefinance($B140,""shares""),1000),"""")"),14048.0)</f>
        <v>14048</v>
      </c>
      <c r="E140" s="72">
        <f>IFERROR(__xludf.DUMMYFUNCTION("iferror(divide(googlefinance($B140,""volumeavg""),1000),"""")"),60.39)</f>
        <v>60.39</v>
      </c>
      <c r="F140" s="73">
        <f>IFERROR(__xludf.DUMMYFUNCTION("iferror(MINUS(divide(GOOGLEFINANCE($B140), INDEX(GOOGLEFINANCE($B140,""price"",today()-182),2,2)),1),"""")"),0.34158415841584167)</f>
        <v>0.3415841584</v>
      </c>
      <c r="G140" s="61">
        <f>IFERROR(__xludf.DUMMYFUNCTION("iferror(MINUS(divide(GOOGLEFINANCE($B140), INDEX(GOOGLEFINANCE($B140,""price"",today()-364),2,2)),1),"""")"),0.028462998102466885)</f>
        <v>0.0284629981</v>
      </c>
    </row>
    <row r="141">
      <c r="A141" s="71">
        <f t="shared" si="4"/>
        <v>137</v>
      </c>
      <c r="B141" s="47" t="s">
        <v>273</v>
      </c>
      <c r="C141" s="72">
        <f>IFERROR(__xludf.DUMMYFUNCTION("iferror(divide(googlefinance($B141,""marketcap""),1000000),"""")"),406.651198)</f>
        <v>406.651198</v>
      </c>
      <c r="D141" s="72">
        <f>IFERROR(__xludf.DUMMYFUNCTION("iferror(divide(googlefinance($B141,""shares""),1000),"""")"),197404.0)</f>
        <v>197404</v>
      </c>
      <c r="E141" s="72">
        <f>IFERROR(__xludf.DUMMYFUNCTION("iferror(divide(googlefinance($B141,""volumeavg""),1000),"""")"),2008.177)</f>
        <v>2008.177</v>
      </c>
      <c r="F141" s="73">
        <f>IFERROR(__xludf.DUMMYFUNCTION("iferror(MINUS(divide(GOOGLEFINANCE($B141), INDEX(GOOGLEFINANCE($B141,""price"",today()-182),2,2)),1),"""")"),0.1573033707865168)</f>
        <v>0.1573033708</v>
      </c>
      <c r="G141" s="61">
        <f>IFERROR(__xludf.DUMMYFUNCTION("iferror(MINUS(divide(GOOGLEFINANCE($B141), INDEX(GOOGLEFINANCE($B141,""price"",today()-364),2,2)),1),"""")"),0.4305555555555556)</f>
        <v>0.4305555556</v>
      </c>
    </row>
    <row r="142">
      <c r="A142" s="71">
        <f t="shared" si="4"/>
        <v>138</v>
      </c>
      <c r="B142" s="47" t="s">
        <v>274</v>
      </c>
      <c r="C142" s="72">
        <f>IFERROR(__xludf.DUMMYFUNCTION("iferror(divide(googlefinance($B142,""marketcap""),1000000),"""")"),1233.376171)</f>
        <v>1233.376171</v>
      </c>
      <c r="D142" s="72">
        <f>IFERROR(__xludf.DUMMYFUNCTION("iferror(divide(googlefinance($B142,""shares""),1000),"""")"),126630.0)</f>
        <v>126630</v>
      </c>
      <c r="E142" s="72">
        <f>IFERROR(__xludf.DUMMYFUNCTION("iferror(divide(googlefinance($B142,""volumeavg""),1000),"""")"),2181.605)</f>
        <v>2181.605</v>
      </c>
      <c r="F142" s="73">
        <f>IFERROR(__xludf.DUMMYFUNCTION("iferror(MINUS(divide(GOOGLEFINANCE($B142), INDEX(GOOGLEFINANCE($B142,""price"",today()-182),2,2)),1),"""")"),0.5584)</f>
        <v>0.5584</v>
      </c>
      <c r="G142" s="61">
        <f>IFERROR(__xludf.DUMMYFUNCTION("iferror(MINUS(divide(GOOGLEFINANCE($B142), INDEX(GOOGLEFINANCE($B142,""price"",today()-364),2,2)),1),"""")"),-0.5230166503428012)</f>
        <v>-0.5230166503</v>
      </c>
    </row>
    <row r="143">
      <c r="A143" s="71">
        <f t="shared" si="4"/>
        <v>139</v>
      </c>
      <c r="B143" s="47" t="s">
        <v>275</v>
      </c>
      <c r="C143" s="72">
        <f>IFERROR(__xludf.DUMMYFUNCTION("iferror(divide(googlefinance($B143,""marketcap""),1000000),"""")"),1197.941598)</f>
        <v>1197.941598</v>
      </c>
      <c r="D143" s="72">
        <f>IFERROR(__xludf.DUMMYFUNCTION("iferror(divide(googlefinance($B143,""shares""),1000),"""")"),91726.0)</f>
        <v>91726</v>
      </c>
      <c r="E143" s="72">
        <f>IFERROR(__xludf.DUMMYFUNCTION("iferror(divide(googlefinance($B143,""volumeavg""),1000),"""")"),1079.012)</f>
        <v>1079.012</v>
      </c>
      <c r="F143" s="73">
        <f>IFERROR(__xludf.DUMMYFUNCTION("iferror(MINUS(divide(GOOGLEFINANCE($B143), INDEX(GOOGLEFINANCE($B143,""price"",today()-182),2,2)),1),"""")"),0.9878234398782344)</f>
        <v>0.9878234399</v>
      </c>
      <c r="G143" s="61">
        <f>IFERROR(__xludf.DUMMYFUNCTION("iferror(MINUS(divide(GOOGLEFINANCE($B143), INDEX(GOOGLEFINANCE($B143,""price"",today()-364),2,2)),1),"""")"),-0.0828651685393258)</f>
        <v>-0.08286516854</v>
      </c>
    </row>
    <row r="144">
      <c r="A144" s="71">
        <f t="shared" si="4"/>
        <v>140</v>
      </c>
      <c r="B144" s="47" t="s">
        <v>276</v>
      </c>
      <c r="C144" s="72">
        <f>IFERROR(__xludf.DUMMYFUNCTION("iferror(divide(googlefinance($B144,""marketcap""),1000000),"""")"),207.974735)</f>
        <v>207.974735</v>
      </c>
      <c r="D144" s="72">
        <f>IFERROR(__xludf.DUMMYFUNCTION("iferror(divide(googlefinance($B144,""shares""),1000),"""")"),19826.0)</f>
        <v>19826</v>
      </c>
      <c r="E144" s="72">
        <f>IFERROR(__xludf.DUMMYFUNCTION("iferror(divide(googlefinance($B144,""volumeavg""),1000),"""")"),970.798)</f>
        <v>970.798</v>
      </c>
      <c r="F144" s="73">
        <f>IFERROR(__xludf.DUMMYFUNCTION("iferror(MINUS(divide(GOOGLEFINANCE($B144), INDEX(GOOGLEFINANCE($B144,""price"",today()-182),2,2)),1),"""")"),2.943609022556391)</f>
        <v>2.943609023</v>
      </c>
      <c r="G144" s="61">
        <f>IFERROR(__xludf.DUMMYFUNCTION("iferror(MINUS(divide(GOOGLEFINANCE($B144), INDEX(GOOGLEFINANCE($B144,""price"",today()-364),2,2)),1),"""")"),1.8661202185792347)</f>
        <v>1.866120219</v>
      </c>
    </row>
    <row r="145">
      <c r="A145" s="71">
        <f t="shared" si="4"/>
        <v>141</v>
      </c>
      <c r="B145" s="47" t="s">
        <v>277</v>
      </c>
      <c r="C145" s="72">
        <f>IFERROR(__xludf.DUMMYFUNCTION("iferror(divide(googlefinance($B145,""marketcap""),1000000),"""")"),1174.066414)</f>
        <v>1174.066414</v>
      </c>
      <c r="D145" s="72">
        <f>IFERROR(__xludf.DUMMYFUNCTION("iferror(divide(googlefinance($B145,""shares""),1000),"""")"),74308.0)</f>
        <v>74308</v>
      </c>
      <c r="E145" s="72">
        <f>IFERROR(__xludf.DUMMYFUNCTION("iferror(divide(googlefinance($B145,""volumeavg""),1000),"""")"),821.113)</f>
        <v>821.113</v>
      </c>
      <c r="F145" s="73">
        <f>IFERROR(__xludf.DUMMYFUNCTION("iferror(MINUS(divide(GOOGLEFINANCE($B145), INDEX(GOOGLEFINANCE($B145,""price"",today()-182),2,2)),1),"""")"),0.9506172839506175)</f>
        <v>0.950617284</v>
      </c>
      <c r="G145" s="61">
        <f>IFERROR(__xludf.DUMMYFUNCTION("iferror(MINUS(divide(GOOGLEFINANCE($B145), INDEX(GOOGLEFINANCE($B145,""price"",today()-364),2,2)),1),"""")"),-6.325110689436864E-4)</f>
        <v>-0.0006325110689</v>
      </c>
    </row>
    <row r="146">
      <c r="A146" s="71">
        <f t="shared" si="4"/>
        <v>142</v>
      </c>
      <c r="B146" s="47" t="s">
        <v>278</v>
      </c>
      <c r="C146" s="72">
        <f>IFERROR(__xludf.DUMMYFUNCTION("iferror(divide(googlefinance($B146,""marketcap""),1000000),"""")"),259.564929)</f>
        <v>259.564929</v>
      </c>
      <c r="D146" s="72">
        <f>IFERROR(__xludf.DUMMYFUNCTION("iferror(divide(googlefinance($B146,""shares""),1000),"""")"),23586.0)</f>
        <v>23586</v>
      </c>
      <c r="E146" s="72">
        <f>IFERROR(__xludf.DUMMYFUNCTION("iferror(divide(googlefinance($B146,""volumeavg""),1000),"""")"),228.555)</f>
        <v>228.555</v>
      </c>
      <c r="F146" s="73">
        <f>IFERROR(__xludf.DUMMYFUNCTION("iferror(MINUS(divide(GOOGLEFINANCE($B146), INDEX(GOOGLEFINANCE($B146,""price"",today()-182),2,2)),1),"""")"),0.15875169606512873)</f>
        <v>0.1587516961</v>
      </c>
      <c r="G146" s="61">
        <f>IFERROR(__xludf.DUMMYFUNCTION("iferror(MINUS(divide(GOOGLEFINANCE($B146), INDEX(GOOGLEFINANCE($B146,""price"",today()-364),2,2)),1),"""")"),-0.7261942930426419)</f>
        <v>-0.726194293</v>
      </c>
    </row>
    <row r="147">
      <c r="A147" s="71">
        <f t="shared" si="4"/>
        <v>143</v>
      </c>
      <c r="B147" s="47" t="s">
        <v>279</v>
      </c>
      <c r="C147" s="72">
        <f>IFERROR(__xludf.DUMMYFUNCTION("iferror(divide(googlefinance($B147,""marketcap""),1000000),"""")"),460.079822)</f>
        <v>460.079822</v>
      </c>
      <c r="D147" s="72">
        <f>IFERROR(__xludf.DUMMYFUNCTION("iferror(divide(googlefinance($B147,""shares""),1000),"""")"),166094.0)</f>
        <v>166094</v>
      </c>
      <c r="E147" s="72">
        <f>IFERROR(__xludf.DUMMYFUNCTION("iferror(divide(googlefinance($B147,""volumeavg""),1000),"""")"),978.06)</f>
        <v>978.06</v>
      </c>
      <c r="F147" s="73">
        <f>IFERROR(__xludf.DUMMYFUNCTION("iferror(MINUS(divide(GOOGLEFINANCE($B147), INDEX(GOOGLEFINANCE($B147,""price"",today()-182),2,2)),1),"""")"),0.5738636363636365)</f>
        <v>0.5738636364</v>
      </c>
      <c r="G147" s="61">
        <f>IFERROR(__xludf.DUMMYFUNCTION("iferror(MINUS(divide(GOOGLEFINANCE($B147), INDEX(GOOGLEFINANCE($B147,""price"",today()-364),2,2)),1),"""")"),-0.21971830985915486)</f>
        <v>-0.2197183099</v>
      </c>
    </row>
    <row r="148">
      <c r="A148" s="71">
        <f t="shared" si="4"/>
        <v>144</v>
      </c>
      <c r="B148" s="47" t="s">
        <v>280</v>
      </c>
      <c r="C148" s="72">
        <f>IFERROR(__xludf.DUMMYFUNCTION("iferror(divide(googlefinance($B148,""marketcap""),1000000),"""")"),1504.051586)</f>
        <v>1504.051586</v>
      </c>
      <c r="D148" s="72">
        <f>IFERROR(__xludf.DUMMYFUNCTION("iferror(divide(googlefinance($B148,""shares""),1000),"""")"),59590.0)</f>
        <v>59590</v>
      </c>
      <c r="E148" s="72">
        <f>IFERROR(__xludf.DUMMYFUNCTION("iferror(divide(googlefinance($B148,""volumeavg""),1000),"""")"),440.754)</f>
        <v>440.754</v>
      </c>
      <c r="F148" s="73">
        <f>IFERROR(__xludf.DUMMYFUNCTION("iferror(MINUS(divide(GOOGLEFINANCE($B148), INDEX(GOOGLEFINANCE($B148,""price"",today()-182),2,2)),1),"""")"),0.44063926940639253)</f>
        <v>0.4406392694</v>
      </c>
      <c r="G148" s="61">
        <f>IFERROR(__xludf.DUMMYFUNCTION("iferror(MINUS(divide(GOOGLEFINANCE($B148), INDEX(GOOGLEFINANCE($B148,""price"",today()-364),2,2)),1),"""")"),0.16099356025758982)</f>
        <v>0.1609935603</v>
      </c>
    </row>
    <row r="149">
      <c r="A149" s="71">
        <f t="shared" si="4"/>
        <v>145</v>
      </c>
      <c r="B149" s="47" t="s">
        <v>281</v>
      </c>
      <c r="C149" s="72">
        <f>IFERROR(__xludf.DUMMYFUNCTION("iferror(divide(googlefinance($B149,""marketcap""),1000000),"""")"),754.669774)</f>
        <v>754.669774</v>
      </c>
      <c r="D149" s="72">
        <f>IFERROR(__xludf.DUMMYFUNCTION("iferror(divide(googlefinance($B149,""shares""),1000),"""")"),51619.0)</f>
        <v>51619</v>
      </c>
      <c r="E149" s="72">
        <f>IFERROR(__xludf.DUMMYFUNCTION("iferror(divide(googlefinance($B149,""volumeavg""),1000),"""")"),2.768)</f>
        <v>2.768</v>
      </c>
      <c r="F149" s="73">
        <f>IFERROR(__xludf.DUMMYFUNCTION("iferror(MINUS(divide(GOOGLEFINANCE($B149), INDEX(GOOGLEFINANCE($B149,""price"",today()-182),2,2)),1),"""")"),0.49488752556237214)</f>
        <v>0.4948875256</v>
      </c>
      <c r="G149" s="61">
        <f>IFERROR(__xludf.DUMMYFUNCTION("iferror(MINUS(divide(GOOGLEFINANCE($B149), INDEX(GOOGLEFINANCE($B149,""price"",today()-364),2,2)),1),"""")"),-0.1645714285714286)</f>
        <v>-0.1645714286</v>
      </c>
    </row>
    <row r="150">
      <c r="A150" s="71">
        <f t="shared" si="4"/>
        <v>146</v>
      </c>
      <c r="B150" s="47" t="s">
        <v>282</v>
      </c>
      <c r="C150" s="72">
        <f>IFERROR(__xludf.DUMMYFUNCTION("iferror(divide(googlefinance($B150,""marketcap""),1000000),"""")"),60800.354848)</f>
        <v>60800.35485</v>
      </c>
      <c r="D150" s="72">
        <f>IFERROR(__xludf.DUMMYFUNCTION("iferror(divide(googlefinance($B150,""shares""),1000),"""")"),771872.0)</f>
        <v>771872</v>
      </c>
      <c r="E150" s="72">
        <f>IFERROR(__xludf.DUMMYFUNCTION("iferror(divide(googlefinance($B150,""volumeavg""),1000),"""")"),6918.856)</f>
        <v>6918.856</v>
      </c>
      <c r="F150" s="73">
        <f>IFERROR(__xludf.DUMMYFUNCTION("iferror(MINUS(divide(GOOGLEFINANCE($B150), INDEX(GOOGLEFINANCE($B150,""price"",today()-182),2,2)),1),"""")"),0.5133525456292027)</f>
        <v>0.5133525456</v>
      </c>
      <c r="G150" s="61">
        <f>IFERROR(__xludf.DUMMYFUNCTION("iferror(MINUS(divide(GOOGLEFINANCE($B150), INDEX(GOOGLEFINANCE($B150,""price"",today()-364),2,2)),1),"""")"),0.4384587289992694)</f>
        <v>0.438458729</v>
      </c>
    </row>
    <row r="151">
      <c r="A151" s="71">
        <f t="shared" si="4"/>
        <v>147</v>
      </c>
      <c r="B151" s="47" t="s">
        <v>283</v>
      </c>
      <c r="C151" s="72">
        <f>IFERROR(__xludf.DUMMYFUNCTION("iferror(divide(googlefinance($B151,""marketcap""),1000000),"""")"),186.405477)</f>
        <v>186.405477</v>
      </c>
      <c r="D151" s="72">
        <f>IFERROR(__xludf.DUMMYFUNCTION("iferror(divide(googlefinance($B151,""shares""),1000),"""")"),16703.0)</f>
        <v>16703</v>
      </c>
      <c r="E151" s="72">
        <f>IFERROR(__xludf.DUMMYFUNCTION("iferror(divide(googlefinance($B151,""volumeavg""),1000),"""")"),34.481)</f>
        <v>34.481</v>
      </c>
      <c r="F151" s="73">
        <f>IFERROR(__xludf.DUMMYFUNCTION("iferror(MINUS(divide(GOOGLEFINANCE($B151), INDEX(GOOGLEFINANCE($B151,""price"",today()-182),2,2)),1),"""")"),0.6197387518142237)</f>
        <v>0.6197387518</v>
      </c>
      <c r="G151" s="61">
        <f>IFERROR(__xludf.DUMMYFUNCTION("iferror(MINUS(divide(GOOGLEFINANCE($B151), INDEX(GOOGLEFINANCE($B151,""price"",today()-364),2,2)),1),"""")"),0.802907915993538)</f>
        <v>0.802907916</v>
      </c>
    </row>
    <row r="152">
      <c r="A152" s="71">
        <f t="shared" si="4"/>
        <v>148</v>
      </c>
      <c r="B152" s="47" t="s">
        <v>284</v>
      </c>
      <c r="C152" s="72">
        <f>IFERROR(__xludf.DUMMYFUNCTION("iferror(divide(googlefinance($B152,""marketcap""),1000000),"""")"),11577.372291)</f>
        <v>11577.37229</v>
      </c>
      <c r="D152" s="72">
        <f>IFERROR(__xludf.DUMMYFUNCTION("iferror(divide(googlefinance($B152,""shares""),1000),"""")"),416829.0)</f>
        <v>416829</v>
      </c>
      <c r="E152" s="72">
        <f>IFERROR(__xludf.DUMMYFUNCTION("iferror(divide(googlefinance($B152,""volumeavg""),1000),"""")"),2909.188)</f>
        <v>2909.188</v>
      </c>
      <c r="F152" s="73">
        <f>IFERROR(__xludf.DUMMYFUNCTION("iferror(MINUS(divide(GOOGLEFINANCE($B152), INDEX(GOOGLEFINANCE($B152,""price"",today()-182),2,2)),1),"""")"),0.9886120996441281)</f>
        <v>0.9886120996</v>
      </c>
      <c r="G152" s="61">
        <f>IFERROR(__xludf.DUMMYFUNCTION("iferror(MINUS(divide(GOOGLEFINANCE($B152), INDEX(GOOGLEFINANCE($B152,""price"",today()-364),2,2)),1),"""")"),0.3818001978239369)</f>
        <v>0.3818001978</v>
      </c>
    </row>
    <row r="153">
      <c r="A153" s="71">
        <f t="shared" si="4"/>
        <v>149</v>
      </c>
      <c r="B153" s="47" t="s">
        <v>285</v>
      </c>
      <c r="C153" s="72">
        <f>IFERROR(__xludf.DUMMYFUNCTION("iferror(divide(googlefinance($B153,""marketcap""),1000000),"""")"),2483.376849)</f>
        <v>2483.376849</v>
      </c>
      <c r="D153" s="72">
        <f>IFERROR(__xludf.DUMMYFUNCTION("iferror(divide(googlefinance($B153,""shares""),1000),"""")"),126252.0)</f>
        <v>126252</v>
      </c>
      <c r="E153" s="72">
        <f>IFERROR(__xludf.DUMMYFUNCTION("iferror(divide(googlefinance($B153,""volumeavg""),1000),"""")"),1072.132)</f>
        <v>1072.132</v>
      </c>
      <c r="F153" s="73">
        <f>IFERROR(__xludf.DUMMYFUNCTION("iferror(MINUS(divide(GOOGLEFINANCE($B153), INDEX(GOOGLEFINANCE($B153,""price"",today()-182),2,2)),1),"""")"),0.23553719008264462)</f>
        <v>0.2355371901</v>
      </c>
      <c r="G153" s="61">
        <f>IFERROR(__xludf.DUMMYFUNCTION("iferror(MINUS(divide(GOOGLEFINANCE($B153), INDEX(GOOGLEFINANCE($B153,""price"",today()-364),2,2)),1),"""")"),1.4669966996699668)</f>
        <v>1.4669967</v>
      </c>
    </row>
    <row r="154">
      <c r="A154" s="71">
        <f t="shared" si="4"/>
        <v>150</v>
      </c>
      <c r="B154" s="47" t="s">
        <v>286</v>
      </c>
      <c r="C154" s="72">
        <f>IFERROR(__xludf.DUMMYFUNCTION("iferror(divide(googlefinance($B154,""marketcap""),1000000),"""")"),731.5056)</f>
        <v>731.5056</v>
      </c>
      <c r="D154" s="72">
        <f>IFERROR(__xludf.DUMMYFUNCTION("iferror(divide(googlefinance($B154,""shares""),1000),"""")"),52250.0)</f>
        <v>52250</v>
      </c>
      <c r="E154" s="72">
        <f>IFERROR(__xludf.DUMMYFUNCTION("iferror(divide(googlefinance($B154,""volumeavg""),1000),"""")"),132.599)</f>
        <v>132.599</v>
      </c>
      <c r="F154" s="73">
        <f>IFERROR(__xludf.DUMMYFUNCTION("iferror(MINUS(divide(GOOGLEFINANCE($B154), INDEX(GOOGLEFINANCE($B154,""price"",today()-182),2,2)),1),"""")"),2.1180400890868594)</f>
        <v>2.118040089</v>
      </c>
      <c r="G154" s="61">
        <f>IFERROR(__xludf.DUMMYFUNCTION("iferror(MINUS(divide(GOOGLEFINANCE($B154), INDEX(GOOGLEFINANCE($B154,""price"",today()-364),2,2)),1),"""")"),0.06951871657754016)</f>
        <v>0.06951871658</v>
      </c>
    </row>
    <row r="155">
      <c r="A155" s="71">
        <f t="shared" si="4"/>
        <v>151</v>
      </c>
      <c r="B155" s="47" t="s">
        <v>287</v>
      </c>
      <c r="C155" s="72">
        <f>IFERROR(__xludf.DUMMYFUNCTION("iferror(divide(googlefinance($B155,""marketcap""),1000000),"""")"),5852.73369)</f>
        <v>5852.73369</v>
      </c>
      <c r="D155" s="72">
        <f>IFERROR(__xludf.DUMMYFUNCTION("iferror(divide(googlefinance($B155,""shares""),1000),"""")"),951664.0)</f>
        <v>951664</v>
      </c>
      <c r="E155" s="72">
        <f>IFERROR(__xludf.DUMMYFUNCTION("iferror(divide(googlefinance($B155,""volumeavg""),1000),"""")"),16977.183)</f>
        <v>16977.183</v>
      </c>
      <c r="F155" s="73">
        <f>IFERROR(__xludf.DUMMYFUNCTION("iferror(MINUS(divide(GOOGLEFINANCE($B155), INDEX(GOOGLEFINANCE($B155,""price"",today()-182),2,2)),1),"""")"),1.3929961089494167)</f>
        <v>1.392996109</v>
      </c>
      <c r="G155" s="61">
        <f>IFERROR(__xludf.DUMMYFUNCTION("iferror(MINUS(divide(GOOGLEFINANCE($B155), INDEX(GOOGLEFINANCE($B155,""price"",today()-364),2,2)),1),"""")"),0.7723342939481268)</f>
        <v>0.7723342939</v>
      </c>
    </row>
    <row r="156">
      <c r="A156" s="71">
        <f t="shared" si="4"/>
        <v>152</v>
      </c>
      <c r="B156" s="47" t="s">
        <v>288</v>
      </c>
      <c r="C156" s="72">
        <f>IFERROR(__xludf.DUMMYFUNCTION("iferror(divide(googlefinance($B156,""marketcap""),1000000),"""")"),1552.538728)</f>
        <v>1552.538728</v>
      </c>
      <c r="D156" s="72">
        <f>IFERROR(__xludf.DUMMYFUNCTION("iferror(divide(googlefinance($B156,""shares""),1000),"""")"),24104.0)</f>
        <v>24104</v>
      </c>
      <c r="E156" s="72">
        <f>IFERROR(__xludf.DUMMYFUNCTION("iferror(divide(googlefinance($B156,""volumeavg""),1000),"""")"),179.461)</f>
        <v>179.461</v>
      </c>
      <c r="F156" s="73">
        <f>IFERROR(__xludf.DUMMYFUNCTION("iferror(MINUS(divide(GOOGLEFINANCE($B156), INDEX(GOOGLEFINANCE($B156,""price"",today()-182),2,2)),1),"""")"),0.20505144995322722)</f>
        <v>0.20505145</v>
      </c>
      <c r="G156" s="61">
        <f>IFERROR(__xludf.DUMMYFUNCTION("iferror(MINUS(divide(GOOGLEFINANCE($B156), INDEX(GOOGLEFINANCE($B156,""price"",today()-364),2,2)),1),"""")"),0.051248571894891404)</f>
        <v>0.05124857189</v>
      </c>
    </row>
    <row r="157">
      <c r="A157" s="71">
        <f t="shared" si="4"/>
        <v>153</v>
      </c>
      <c r="B157" s="47" t="s">
        <v>289</v>
      </c>
      <c r="C157" s="72">
        <f>IFERROR(__xludf.DUMMYFUNCTION("iferror(divide(googlefinance($B157,""marketcap""),1000000),"""")"),436.991906)</f>
        <v>436.991906</v>
      </c>
      <c r="D157" s="72">
        <f>IFERROR(__xludf.DUMMYFUNCTION("iferror(divide(googlefinance($B157,""shares""),1000),"""")"),30179.0)</f>
        <v>30179</v>
      </c>
      <c r="E157" s="72">
        <f>IFERROR(__xludf.DUMMYFUNCTION("iferror(divide(googlefinance($B157,""volumeavg""),1000),"""")"),85.156)</f>
        <v>85.156</v>
      </c>
      <c r="F157" s="73">
        <f>IFERROR(__xludf.DUMMYFUNCTION("iferror(MINUS(divide(GOOGLEFINANCE($B157), INDEX(GOOGLEFINANCE($B157,""price"",today()-182),2,2)),1),"""")"),0.2026578073089702)</f>
        <v>0.2026578073</v>
      </c>
      <c r="G157" s="61">
        <f>IFERROR(__xludf.DUMMYFUNCTION("iferror(MINUS(divide(GOOGLEFINANCE($B157), INDEX(GOOGLEFINANCE($B157,""price"",today()-364),2,2)),1),"""")"),-0.10672424429364591)</f>
        <v>-0.1067242443</v>
      </c>
    </row>
    <row r="158">
      <c r="A158" s="71">
        <f t="shared" si="4"/>
        <v>154</v>
      </c>
      <c r="B158" s="47" t="s">
        <v>290</v>
      </c>
      <c r="C158" s="72">
        <f>IFERROR(__xludf.DUMMYFUNCTION("iferror(divide(googlefinance($B158,""marketcap""),1000000),"""")"),344.083914)</f>
        <v>344.083914</v>
      </c>
      <c r="D158" s="72">
        <f>IFERROR(__xludf.DUMMYFUNCTION("iferror(divide(googlefinance($B158,""shares""),1000),"""")"),58129.0)</f>
        <v>58129</v>
      </c>
      <c r="E158" s="72">
        <f>IFERROR(__xludf.DUMMYFUNCTION("iferror(divide(googlefinance($B158,""volumeavg""),1000),"""")"),1009.688)</f>
        <v>1009.688</v>
      </c>
      <c r="F158" s="73">
        <f>IFERROR(__xludf.DUMMYFUNCTION("iferror(MINUS(divide(GOOGLEFINANCE($B158), INDEX(GOOGLEFINANCE($B158,""price"",today()-182),2,2)),1),"""")"),-0.029556650246305383)</f>
        <v>-0.02955665025</v>
      </c>
      <c r="G158" s="61">
        <f>IFERROR(__xludf.DUMMYFUNCTION("iferror(MINUS(divide(GOOGLEFINANCE($B158), INDEX(GOOGLEFINANCE($B158,""price"",today()-364),2,2)),1),"""")"),0.7537091988130564)</f>
        <v>0.7537091988</v>
      </c>
    </row>
    <row r="159">
      <c r="A159" s="71">
        <f t="shared" si="4"/>
        <v>155</v>
      </c>
      <c r="B159" s="47" t="s">
        <v>291</v>
      </c>
      <c r="C159" s="72">
        <f>IFERROR(__xludf.DUMMYFUNCTION("iferror(divide(googlefinance($B159,""marketcap""),1000000),"""")"),157.170723)</f>
        <v>157.170723</v>
      </c>
      <c r="D159" s="72">
        <f>IFERROR(__xludf.DUMMYFUNCTION("iferror(divide(googlefinance($B159,""shares""),1000),"""")"),25808.0)</f>
        <v>25808</v>
      </c>
      <c r="E159" s="72">
        <f>IFERROR(__xludf.DUMMYFUNCTION("iferror(divide(googlefinance($B159,""volumeavg""),1000),"""")"),506.928)</f>
        <v>506.928</v>
      </c>
      <c r="F159" s="73">
        <f>IFERROR(__xludf.DUMMYFUNCTION("iferror(MINUS(divide(GOOGLEFINANCE($B159), INDEX(GOOGLEFINANCE($B159,""price"",today()-182),2,2)),1),"""")"),1.3244274809160306)</f>
        <v>1.324427481</v>
      </c>
      <c r="G159" s="61">
        <f>IFERROR(__xludf.DUMMYFUNCTION("iferror(MINUS(divide(GOOGLEFINANCE($B159), INDEX(GOOGLEFINANCE($B159,""price"",today()-364),2,2)),1),"""")"),-0.3760245901639344)</f>
        <v>-0.3760245902</v>
      </c>
    </row>
    <row r="160">
      <c r="A160" s="71">
        <f t="shared" si="4"/>
        <v>156</v>
      </c>
      <c r="B160" s="47" t="s">
        <v>292</v>
      </c>
      <c r="C160" s="72">
        <f>IFERROR(__xludf.DUMMYFUNCTION("iferror(divide(googlefinance($B160,""marketcap""),1000000),"""")"),148015.011351)</f>
        <v>148015.0114</v>
      </c>
      <c r="D160" s="72">
        <f>IFERROR(__xludf.DUMMYFUNCTION("iferror(divide(googlefinance($B160,""shares""),1000),"""")"),404501.0)</f>
        <v>404501</v>
      </c>
      <c r="E160" s="72">
        <f>IFERROR(__xludf.DUMMYFUNCTION("iferror(divide(googlefinance($B160,""volumeavg""),1000),"""")"),1918.599)</f>
        <v>1918.599</v>
      </c>
      <c r="F160" s="73">
        <f>IFERROR(__xludf.DUMMYFUNCTION("iferror(MINUS(divide(GOOGLEFINANCE($B160), INDEX(GOOGLEFINANCE($B160,""price"",today()-182),2,2)),1),"""")"),0.9036520653417959)</f>
        <v>0.9036520653</v>
      </c>
      <c r="G160" s="61">
        <f>IFERROR(__xludf.DUMMYFUNCTION("iferror(MINUS(divide(GOOGLEFINANCE($B160), INDEX(GOOGLEFINANCE($B160,""price"",today()-364),2,2)),1),"""")"),0.28727221557728844)</f>
        <v>0.2872722156</v>
      </c>
    </row>
    <row r="161">
      <c r="A161" s="71">
        <f t="shared" si="4"/>
        <v>157</v>
      </c>
      <c r="B161" s="47" t="s">
        <v>293</v>
      </c>
      <c r="C161" s="72">
        <f>IFERROR(__xludf.DUMMYFUNCTION("iferror(divide(googlefinance($B161,""marketcap""),1000000),"""")"),168.643042)</f>
        <v>168.643042</v>
      </c>
      <c r="D161" s="72">
        <f>IFERROR(__xludf.DUMMYFUNCTION("iferror(divide(googlefinance($B161,""shares""),1000),"""")"),21551.827)</f>
        <v>21551.827</v>
      </c>
      <c r="E161" s="72">
        <f>IFERROR(__xludf.DUMMYFUNCTION("iferror(divide(googlefinance($B161,""volumeavg""),1000),"""")"),593.531)</f>
        <v>593.531</v>
      </c>
      <c r="F161" s="73">
        <f>IFERROR(__xludf.DUMMYFUNCTION("iferror(MINUS(divide(GOOGLEFINANCE($B161), INDEX(GOOGLEFINANCE($B161,""price"",today()-182),2,2)),1),"""")"),0.08749999999999991)</f>
        <v>0.0875</v>
      </c>
      <c r="G161" s="61">
        <f>IFERROR(__xludf.DUMMYFUNCTION("iferror(MINUS(divide(GOOGLEFINANCE($B161), INDEX(GOOGLEFINANCE($B161,""price"",today()-364),2,2)),1),"""")"),-0.3420168067226891)</f>
        <v>-0.3420168067</v>
      </c>
    </row>
    <row r="162">
      <c r="A162" s="71">
        <f t="shared" si="4"/>
        <v>158</v>
      </c>
      <c r="B162" s="47" t="s">
        <v>294</v>
      </c>
      <c r="C162" s="72">
        <f>IFERROR(__xludf.DUMMYFUNCTION("iferror(divide(googlefinance($B162,""marketcap""),1000000),"""")"),598.758501)</f>
        <v>598.758501</v>
      </c>
      <c r="D162" s="72">
        <f>IFERROR(__xludf.DUMMYFUNCTION("iferror(divide(googlefinance($B162,""shares""),1000),"""")"),36443.0)</f>
        <v>36443</v>
      </c>
      <c r="E162" s="72">
        <f>IFERROR(__xludf.DUMMYFUNCTION("iferror(divide(googlefinance($B162,""volumeavg""),1000),"""")"),151.651)</f>
        <v>151.651</v>
      </c>
      <c r="F162" s="73">
        <f>IFERROR(__xludf.DUMMYFUNCTION("iferror(MINUS(divide(GOOGLEFINANCE($B162), INDEX(GOOGLEFINANCE($B162,""price"",today()-182),2,2)),1),"""")"),0.2036630036630036)</f>
        <v>0.2036630037</v>
      </c>
      <c r="G162" s="61">
        <f>IFERROR(__xludf.DUMMYFUNCTION("iferror(MINUS(divide(GOOGLEFINANCE($B162), INDEX(GOOGLEFINANCE($B162,""price"",today()-364),2,2)),1),"""")"),-0.0892461197339246)</f>
        <v>-0.08924611973</v>
      </c>
    </row>
    <row r="163">
      <c r="A163" s="71">
        <f t="shared" si="4"/>
        <v>159</v>
      </c>
      <c r="B163" s="47" t="s">
        <v>295</v>
      </c>
      <c r="C163" s="72">
        <f>IFERROR(__xludf.DUMMYFUNCTION("iferror(divide(googlefinance($B163,""marketcap""),1000000),"""")"),12968.323106)</f>
        <v>12968.32311</v>
      </c>
      <c r="D163" s="72">
        <f>IFERROR(__xludf.DUMMYFUNCTION("iferror(divide(googlefinance($B163,""shares""),1000),"""")"),576626.0)</f>
        <v>576626</v>
      </c>
      <c r="E163" s="72">
        <f>IFERROR(__xludf.DUMMYFUNCTION("iferror(divide(googlefinance($B163,""volumeavg""),1000),"""")"),5041.032)</f>
        <v>5041.032</v>
      </c>
      <c r="F163" s="73">
        <f>IFERROR(__xludf.DUMMYFUNCTION("iferror(MINUS(divide(GOOGLEFINANCE($B163), INDEX(GOOGLEFINANCE($B163,""price"",today()-182),2,2)),1),"""")"),1.1604226705091256)</f>
        <v>1.160422671</v>
      </c>
      <c r="G163" s="61">
        <f>IFERROR(__xludf.DUMMYFUNCTION("iferror(MINUS(divide(GOOGLEFINANCE($B163), INDEX(GOOGLEFINANCE($B163,""price"",today()-364),2,2)),1),"""")"),0.46133853151397)</f>
        <v>0.4613385315</v>
      </c>
    </row>
    <row r="164">
      <c r="A164" s="71">
        <f t="shared" si="4"/>
        <v>160</v>
      </c>
      <c r="B164" s="47" t="s">
        <v>296</v>
      </c>
      <c r="C164" s="72">
        <f>IFERROR(__xludf.DUMMYFUNCTION("iferror(divide(googlefinance($B164,""marketcap""),1000000),"""")"),252.200293)</f>
        <v>252.200293</v>
      </c>
      <c r="D164" s="72">
        <f>IFERROR(__xludf.DUMMYFUNCTION("iferror(divide(googlefinance($B164,""shares""),1000),"""")"),60191.0)</f>
        <v>60191</v>
      </c>
      <c r="E164" s="72">
        <f>IFERROR(__xludf.DUMMYFUNCTION("iferror(divide(googlefinance($B164,""volumeavg""),1000),"""")"),627.95)</f>
        <v>627.95</v>
      </c>
      <c r="F164" s="73">
        <f>IFERROR(__xludf.DUMMYFUNCTION("iferror(MINUS(divide(GOOGLEFINANCE($B164), INDEX(GOOGLEFINANCE($B164,""price"",today()-182),2,2)),1),"""")"),0.7242798353909465)</f>
        <v>0.7242798354</v>
      </c>
      <c r="G164" s="61">
        <f>IFERROR(__xludf.DUMMYFUNCTION("iferror(MINUS(divide(GOOGLEFINANCE($B164), INDEX(GOOGLEFINANCE($B164,""price"",today()-364),2,2)),1),"""")"),0.18696883852691237)</f>
        <v>0.1869688385</v>
      </c>
    </row>
    <row r="165">
      <c r="A165" s="71">
        <f t="shared" si="4"/>
        <v>161</v>
      </c>
      <c r="B165" s="47" t="s">
        <v>297</v>
      </c>
      <c r="C165" s="72">
        <f>IFERROR(__xludf.DUMMYFUNCTION("iferror(divide(googlefinance($B165,""marketcap""),1000000),"""")"),3234.311307)</f>
        <v>3234.311307</v>
      </c>
      <c r="D165" s="72">
        <f>IFERROR(__xludf.DUMMYFUNCTION("iferror(divide(googlefinance($B165,""shares""),1000),"""")"),47859.0)</f>
        <v>47859</v>
      </c>
      <c r="E165" s="72">
        <f>IFERROR(__xludf.DUMMYFUNCTION("iferror(divide(googlefinance($B165,""volumeavg""),1000),"""")"),347.976)</f>
        <v>347.976</v>
      </c>
      <c r="F165" s="73">
        <f>IFERROR(__xludf.DUMMYFUNCTION("iferror(MINUS(divide(GOOGLEFINANCE($B165), INDEX(GOOGLEFINANCE($B165,""price"",today()-182),2,2)),1),"""")"),0.008957897879964039)</f>
        <v>0.00895789788</v>
      </c>
      <c r="G165" s="61">
        <f>IFERROR(__xludf.DUMMYFUNCTION("iferror(MINUS(divide(GOOGLEFINANCE($B165), INDEX(GOOGLEFINANCE($B165,""price"",today()-364),2,2)),1),"""")"),-0.30708499948733725)</f>
        <v>-0.3070849995</v>
      </c>
    </row>
    <row r="166">
      <c r="A166" s="71">
        <f t="shared" si="4"/>
        <v>162</v>
      </c>
      <c r="B166" s="47" t="s">
        <v>298</v>
      </c>
      <c r="C166" s="72">
        <f>IFERROR(__xludf.DUMMYFUNCTION("iferror(divide(googlefinance($B166,""marketcap""),1000000),"""")"),622.159197)</f>
        <v>622.159197</v>
      </c>
      <c r="D166" s="72">
        <f>IFERROR(__xludf.DUMMYFUNCTION("iferror(divide(googlefinance($B166,""shares""),1000),"""")"),56355.0)</f>
        <v>56355</v>
      </c>
      <c r="E166" s="72">
        <f>IFERROR(__xludf.DUMMYFUNCTION("iferror(divide(googlefinance($B166,""volumeavg""),1000),"""")"),382.238)</f>
        <v>382.238</v>
      </c>
      <c r="F166" s="73">
        <f>IFERROR(__xludf.DUMMYFUNCTION("iferror(MINUS(divide(GOOGLEFINANCE($B166), INDEX(GOOGLEFINANCE($B166,""price"",today()-182),2,2)),1),"""")"),1.3896103896103895)</f>
        <v>1.38961039</v>
      </c>
      <c r="G166" s="61">
        <f>IFERROR(__xludf.DUMMYFUNCTION("iferror(MINUS(divide(GOOGLEFINANCE($B166), INDEX(GOOGLEFINANCE($B166,""price"",today()-364),2,2)),1),"""")"),-0.4838709677419355)</f>
        <v>-0.4838709677</v>
      </c>
    </row>
    <row r="167">
      <c r="A167" s="71">
        <f t="shared" si="4"/>
        <v>163</v>
      </c>
      <c r="B167" s="47" t="s">
        <v>299</v>
      </c>
      <c r="C167" s="72">
        <f>IFERROR(__xludf.DUMMYFUNCTION("iferror(divide(googlefinance($B167,""marketcap""),1000000),"""")"),503.457443)</f>
        <v>503.457443</v>
      </c>
      <c r="D167" s="72">
        <f>IFERROR(__xludf.DUMMYFUNCTION("iferror(divide(googlefinance($B167,""shares""),1000),"""")"),40084.0)</f>
        <v>40084</v>
      </c>
      <c r="E167" s="72">
        <f>IFERROR(__xludf.DUMMYFUNCTION("iferror(divide(googlefinance($B167,""volumeavg""),1000),"""")"),277.309)</f>
        <v>277.309</v>
      </c>
      <c r="F167" s="73">
        <f>IFERROR(__xludf.DUMMYFUNCTION("iferror(MINUS(divide(GOOGLEFINANCE($B167), INDEX(GOOGLEFINANCE($B167,""price"",today()-182),2,2)),1),"""")"),0.49880668257756544)</f>
        <v>0.4988066826</v>
      </c>
      <c r="G167" s="61">
        <f>IFERROR(__xludf.DUMMYFUNCTION("iferror(MINUS(divide(GOOGLEFINANCE($B167), INDEX(GOOGLEFINANCE($B167,""price"",today()-364),2,2)),1),"""")"),-0.1123674911660777)</f>
        <v>-0.1123674912</v>
      </c>
    </row>
    <row r="168">
      <c r="A168" s="71">
        <f t="shared" si="4"/>
        <v>164</v>
      </c>
      <c r="B168" s="47" t="s">
        <v>300</v>
      </c>
      <c r="C168" s="72">
        <f>IFERROR(__xludf.DUMMYFUNCTION("iferror(divide(googlefinance($B168,""marketcap""),1000000),"""")"),174.034428)</f>
        <v>174.034428</v>
      </c>
      <c r="D168" s="72">
        <f>IFERROR(__xludf.DUMMYFUNCTION("iferror(divide(googlefinance($B168,""shares""),1000),"""")"),36447.0)</f>
        <v>36447</v>
      </c>
      <c r="E168" s="72">
        <f>IFERROR(__xludf.DUMMYFUNCTION("iferror(divide(googlefinance($B168,""volumeavg""),1000),"""")"),269.939)</f>
        <v>269.939</v>
      </c>
      <c r="F168" s="73">
        <f>IFERROR(__xludf.DUMMYFUNCTION("iferror(MINUS(divide(GOOGLEFINANCE($B168), INDEX(GOOGLEFINANCE($B168,""price"",today()-182),2,2)),1),"""")"),0.5933333333333335)</f>
        <v>0.5933333333</v>
      </c>
      <c r="G168" s="61">
        <f>IFERROR(__xludf.DUMMYFUNCTION("iferror(MINUS(divide(GOOGLEFINANCE($B168), INDEX(GOOGLEFINANCE($B168,""price"",today()-364),2,2)),1),"""")"),-0.24006359300476943)</f>
        <v>-0.240063593</v>
      </c>
    </row>
    <row r="169">
      <c r="A169" s="71">
        <f t="shared" si="4"/>
        <v>165</v>
      </c>
      <c r="B169" s="47" t="s">
        <v>301</v>
      </c>
      <c r="C169" s="72">
        <f>IFERROR(__xludf.DUMMYFUNCTION("iferror(divide(googlefinance($B169,""marketcap""),1000000),"""")"),2948.418788)</f>
        <v>2948.418788</v>
      </c>
      <c r="D169" s="72">
        <f>IFERROR(__xludf.DUMMYFUNCTION("iferror(divide(googlefinance($B169,""shares""),1000),"""")"),37284.0)</f>
        <v>37284</v>
      </c>
      <c r="E169" s="72">
        <f>IFERROR(__xludf.DUMMYFUNCTION("iferror(divide(googlefinance($B169,""volumeavg""),1000),"""")"),417.076)</f>
        <v>417.076</v>
      </c>
      <c r="F169" s="73">
        <f>IFERROR(__xludf.DUMMYFUNCTION("iferror(MINUS(divide(GOOGLEFINANCE($B169), INDEX(GOOGLEFINANCE($B169,""price"",today()-182),2,2)),1),"""")"),0.45367647058823524)</f>
        <v>0.4536764706</v>
      </c>
      <c r="G169" s="61">
        <f>IFERROR(__xludf.DUMMYFUNCTION("iferror(MINUS(divide(GOOGLEFINANCE($B169), INDEX(GOOGLEFINANCE($B169,""price"",today()-364),2,2)),1),"""")"),1.8112335584784929)</f>
        <v>1.811233558</v>
      </c>
    </row>
    <row r="170">
      <c r="A170" s="71">
        <f t="shared" si="4"/>
        <v>166</v>
      </c>
      <c r="B170" s="47" t="s">
        <v>302</v>
      </c>
      <c r="C170" s="72">
        <f>IFERROR(__xludf.DUMMYFUNCTION("iferror(divide(googlefinance($B170,""marketcap""),1000000),"""")"),5799.270256)</f>
        <v>5799.270256</v>
      </c>
      <c r="D170" s="72">
        <f>IFERROR(__xludf.DUMMYFUNCTION("iferror(divide(googlefinance($B170,""shares""),1000),"""")"),235360.0)</f>
        <v>235360</v>
      </c>
      <c r="E170" s="72">
        <f>IFERROR(__xludf.DUMMYFUNCTION("iferror(divide(googlefinance($B170,""volumeavg""),1000),"""")"),2319.43)</f>
        <v>2319.43</v>
      </c>
      <c r="F170" s="73">
        <f>IFERROR(__xludf.DUMMYFUNCTION("iferror(MINUS(divide(GOOGLEFINANCE($B170), INDEX(GOOGLEFINANCE($B170,""price"",today()-182),2,2)),1),"""")"),0.6659905341446926)</f>
        <v>0.6659905341</v>
      </c>
      <c r="G170" s="61">
        <f>IFERROR(__xludf.DUMMYFUNCTION("iferror(MINUS(divide(GOOGLEFINANCE($B170), INDEX(GOOGLEFINANCE($B170,""price"",today()-364),2,2)),1),"""")"),-0.19053876478318)</f>
        <v>-0.1905387648</v>
      </c>
    </row>
    <row r="171">
      <c r="A171" s="71">
        <f t="shared" si="4"/>
        <v>167</v>
      </c>
      <c r="B171" s="47" t="s">
        <v>303</v>
      </c>
      <c r="C171" s="72">
        <f>IFERROR(__xludf.DUMMYFUNCTION("iferror(divide(googlefinance($B171,""marketcap""),1000000),"""")"),232.863691)</f>
        <v>232.863691</v>
      </c>
      <c r="D171" s="72">
        <f>IFERROR(__xludf.DUMMYFUNCTION("iferror(divide(googlefinance($B171,""shares""),1000),"""")"),40997.0)</f>
        <v>40997</v>
      </c>
      <c r="E171" s="72">
        <f>IFERROR(__xludf.DUMMYFUNCTION("iferror(divide(googlefinance($B171,""volumeavg""),1000),"""")"),561.221)</f>
        <v>561.221</v>
      </c>
      <c r="F171" s="73">
        <f>IFERROR(__xludf.DUMMYFUNCTION("iferror(MINUS(divide(GOOGLEFINANCE($B171), INDEX(GOOGLEFINANCE($B171,""price"",today()-182),2,2)),1),"""")"),1.2719999999999998)</f>
        <v>1.272</v>
      </c>
      <c r="G171" s="61">
        <f>IFERROR(__xludf.DUMMYFUNCTION("iferror(MINUS(divide(GOOGLEFINANCE($B171), INDEX(GOOGLEFINANCE($B171,""price"",today()-364),2,2)),1),"""")"),0.5309973045822103)</f>
        <v>0.5309973046</v>
      </c>
    </row>
    <row r="172">
      <c r="A172" s="71">
        <f t="shared" si="4"/>
        <v>168</v>
      </c>
      <c r="B172" s="47" t="s">
        <v>304</v>
      </c>
      <c r="C172" s="72">
        <f>IFERROR(__xludf.DUMMYFUNCTION("iferror(divide(googlefinance($B172,""marketcap""),1000000),"""")"),4211.43125)</f>
        <v>4211.43125</v>
      </c>
      <c r="D172" s="72">
        <f>IFERROR(__xludf.DUMMYFUNCTION("iferror(divide(googlefinance($B172,""shares""),1000),"""")"),39637.0)</f>
        <v>39637</v>
      </c>
      <c r="E172" s="72">
        <f>IFERROR(__xludf.DUMMYFUNCTION("iferror(divide(googlefinance($B172,""volumeavg""),1000),"""")"),352.789)</f>
        <v>352.789</v>
      </c>
      <c r="F172" s="73">
        <f>IFERROR(__xludf.DUMMYFUNCTION("iferror(MINUS(divide(GOOGLEFINANCE($B172), INDEX(GOOGLEFINANCE($B172,""price"",today()-182),2,2)),1),"""")"),0.38834444008885405)</f>
        <v>0.3883444401</v>
      </c>
      <c r="G172" s="61">
        <f>IFERROR(__xludf.DUMMYFUNCTION("iferror(MINUS(divide(GOOGLEFINANCE($B172), INDEX(GOOGLEFINANCE($B172,""price"",today()-364),2,2)),1),"""")"),-0.21627203658626537)</f>
        <v>-0.2162720366</v>
      </c>
    </row>
    <row r="173">
      <c r="A173" s="71">
        <f t="shared" si="4"/>
        <v>169</v>
      </c>
      <c r="B173" s="47" t="s">
        <v>305</v>
      </c>
      <c r="C173" s="72">
        <f>IFERROR(__xludf.DUMMYFUNCTION("iferror(divide(googlefinance($B173,""marketcap""),1000000),"""")"),182.10075)</f>
        <v>182.10075</v>
      </c>
      <c r="D173" s="72">
        <f>IFERROR(__xludf.DUMMYFUNCTION("iferror(divide(googlefinance($B173,""shares""),1000),"""")"),12779.0)</f>
        <v>12779</v>
      </c>
      <c r="E173" s="72">
        <f>IFERROR(__xludf.DUMMYFUNCTION("iferror(divide(googlefinance($B173,""volumeavg""),1000),"""")"),8.152)</f>
        <v>8.152</v>
      </c>
      <c r="F173" s="73" t="str">
        <f>IFERROR(__xludf.DUMMYFUNCTION("iferror(MINUS(divide(GOOGLEFINANCE($B173), INDEX(GOOGLEFINANCE($B173,""price"",today()-182),2,2)),1),"""")"),"")</f>
        <v/>
      </c>
      <c r="G173" s="61" t="str">
        <f>IFERROR(__xludf.DUMMYFUNCTION("iferror(MINUS(divide(GOOGLEFINANCE($B173), INDEX(GOOGLEFINANCE($B173,""price"",today()-364),2,2)),1),"""")"),"")</f>
        <v/>
      </c>
    </row>
    <row r="174">
      <c r="A174" s="71">
        <f t="shared" si="4"/>
        <v>170</v>
      </c>
      <c r="B174" s="47" t="s">
        <v>306</v>
      </c>
      <c r="C174" s="72">
        <f>IFERROR(__xludf.DUMMYFUNCTION("iferror(divide(googlefinance($B174,""marketcap""),1000000),"""")"),165.960731)</f>
        <v>165.960731</v>
      </c>
      <c r="D174" s="72">
        <f>IFERROR(__xludf.DUMMYFUNCTION("iferror(divide(googlefinance($B174,""shares""),1000),"""")"),120615.0)</f>
        <v>120615</v>
      </c>
      <c r="E174" s="72">
        <f>IFERROR(__xludf.DUMMYFUNCTION("iferror(divide(googlefinance($B174,""volumeavg""),1000),"""")"),3589.431)</f>
        <v>3589.431</v>
      </c>
      <c r="F174" s="73">
        <f>IFERROR(__xludf.DUMMYFUNCTION("iferror(MINUS(divide(GOOGLEFINANCE($B174), INDEX(GOOGLEFINANCE($B174,""price"",today()-182),2,2)),1),"""")"),0.014705882352941124)</f>
        <v>0.01470588235</v>
      </c>
      <c r="G174" s="61">
        <f>IFERROR(__xludf.DUMMYFUNCTION("iferror(MINUS(divide(GOOGLEFINANCE($B174), INDEX(GOOGLEFINANCE($B174,""price"",today()-364),2,2)),1),"""")"),0.022222222222222143)</f>
        <v>0.02222222222</v>
      </c>
    </row>
    <row r="175">
      <c r="A175" s="71">
        <f t="shared" si="4"/>
        <v>171</v>
      </c>
      <c r="B175" s="47" t="s">
        <v>307</v>
      </c>
      <c r="C175" s="72">
        <f>IFERROR(__xludf.DUMMYFUNCTION("iferror(divide(googlefinance($B175,""marketcap""),1000000),"""")"),28594.218965)</f>
        <v>28594.21897</v>
      </c>
      <c r="D175" s="72">
        <f>IFERROR(__xludf.DUMMYFUNCTION("iferror(divide(googlefinance($B175,""shares""),1000),"""")"),23359.0)</f>
        <v>23359</v>
      </c>
      <c r="E175" s="72">
        <f>IFERROR(__xludf.DUMMYFUNCTION("iferror(divide(googlefinance($B175,""volumeavg""),1000),"""")"),167.745)</f>
        <v>167.745</v>
      </c>
      <c r="F175" s="73">
        <f>IFERROR(__xludf.DUMMYFUNCTION("iferror(MINUS(divide(GOOGLEFINANCE($B175), INDEX(GOOGLEFINANCE($B175,""price"",today()-182),2,2)),1),"""")"),0.6811833051790201)</f>
        <v>0.6811833052</v>
      </c>
      <c r="G175" s="61">
        <f>IFERROR(__xludf.DUMMYFUNCTION("iferror(MINUS(divide(GOOGLEFINANCE($B175), INDEX(GOOGLEFINANCE($B175,""price"",today()-364),2,2)),1),"""")"),0.05584929746327738)</f>
        <v>0.05584929746</v>
      </c>
    </row>
    <row r="176">
      <c r="A176" s="71">
        <f t="shared" si="4"/>
        <v>172</v>
      </c>
      <c r="B176" s="47" t="s">
        <v>308</v>
      </c>
      <c r="C176" s="72">
        <f>IFERROR(__xludf.DUMMYFUNCTION("iferror(divide(googlefinance($B176,""marketcap""),1000000),"""")"),9531.728134)</f>
        <v>9531.728134</v>
      </c>
      <c r="D176" s="72">
        <f>IFERROR(__xludf.DUMMYFUNCTION("iferror(divide(googlefinance($B176,""shares""),1000),"""")"),329704.0)</f>
        <v>329704</v>
      </c>
      <c r="E176" s="72">
        <f>IFERROR(__xludf.DUMMYFUNCTION("iferror(divide(googlefinance($B176,""volumeavg""),1000),"""")"),2475.57)</f>
        <v>2475.57</v>
      </c>
      <c r="F176" s="73">
        <f>IFERROR(__xludf.DUMMYFUNCTION("iferror(MINUS(divide(GOOGLEFINANCE($B176), INDEX(GOOGLEFINANCE($B176,""price"",today()-182),2,2)),1),"""")"),1.1511627906976742)</f>
        <v>1.151162791</v>
      </c>
      <c r="G176" s="61">
        <f>IFERROR(__xludf.DUMMYFUNCTION("iferror(MINUS(divide(GOOGLEFINANCE($B176), INDEX(GOOGLEFINANCE($B176,""price"",today()-364),2,2)),1),"""")"),-0.5236051502145924)</f>
        <v>-0.5236051502</v>
      </c>
    </row>
    <row r="177">
      <c r="A177" s="71">
        <f t="shared" si="4"/>
        <v>173</v>
      </c>
      <c r="B177" s="47" t="s">
        <v>309</v>
      </c>
      <c r="C177" s="72">
        <f>IFERROR(__xludf.DUMMYFUNCTION("iferror(divide(googlefinance($B177,""marketcap""),1000000),"""")"),1921.150623)</f>
        <v>1921.150623</v>
      </c>
      <c r="D177" s="72">
        <f>IFERROR(__xludf.DUMMYFUNCTION("iferror(divide(googlefinance($B177,""shares""),1000),"""")"),50530.0)</f>
        <v>50530</v>
      </c>
      <c r="E177" s="72">
        <f>IFERROR(__xludf.DUMMYFUNCTION("iferror(divide(googlefinance($B177,""volumeavg""),1000),"""")"),207.891)</f>
        <v>207.891</v>
      </c>
      <c r="F177" s="73">
        <f>IFERROR(__xludf.DUMMYFUNCTION("iferror(MINUS(divide(GOOGLEFINANCE($B177), INDEX(GOOGLEFINANCE($B177,""price"",today()-182),2,2)),1),"""")"),0.1584399756246193)</f>
        <v>0.1584399756</v>
      </c>
      <c r="G177" s="61">
        <f>IFERROR(__xludf.DUMMYFUNCTION("iferror(MINUS(divide(GOOGLEFINANCE($B177), INDEX(GOOGLEFINANCE($B177,""price"",today()-364),2,2)),1),"""")"),-0.30161645848640695)</f>
        <v>-0.3016164585</v>
      </c>
    </row>
    <row r="178">
      <c r="A178" s="71">
        <f t="shared" si="4"/>
        <v>174</v>
      </c>
      <c r="B178" s="47" t="s">
        <v>310</v>
      </c>
      <c r="C178" s="72">
        <f>IFERROR(__xludf.DUMMYFUNCTION("iferror(divide(googlefinance($B178,""marketcap""),1000000),"""")"),94562.14028)</f>
        <v>94562.14028</v>
      </c>
      <c r="D178" s="72">
        <f>IFERROR(__xludf.DUMMYFUNCTION("iferror(divide(googlefinance($B178,""shares""),1000),"""")"),564449.0)</f>
        <v>564449</v>
      </c>
      <c r="E178" s="72">
        <f>IFERROR(__xludf.DUMMYFUNCTION("iferror(divide(googlefinance($B178,""volumeavg""),1000),"""")"),25514.162)</f>
        <v>25514.162</v>
      </c>
      <c r="F178" s="73">
        <f>IFERROR(__xludf.DUMMYFUNCTION("iferror(MINUS(divide(GOOGLEFINANCE($B178), INDEX(GOOGLEFINANCE($B178,""price"",today()-182),2,2)),1),"""")"),0.7632880749394799)</f>
        <v>0.7632880749</v>
      </c>
      <c r="G178" s="61">
        <f>IFERROR(__xludf.DUMMYFUNCTION("iferror(MINUS(divide(GOOGLEFINANCE($B178), INDEX(GOOGLEFINANCE($B178,""price"",today()-364),2,2)),1),"""")"),-0.5584227312264425)</f>
        <v>-0.5584227312</v>
      </c>
    </row>
    <row r="179">
      <c r="A179" s="71">
        <f t="shared" si="4"/>
        <v>175</v>
      </c>
      <c r="B179" s="47" t="s">
        <v>311</v>
      </c>
      <c r="C179" s="72">
        <f>IFERROR(__xludf.DUMMYFUNCTION("iferror(divide(googlefinance($B179,""marketcap""),1000000),"""")"),11688.399525)</f>
        <v>11688.39953</v>
      </c>
      <c r="D179" s="72">
        <f>IFERROR(__xludf.DUMMYFUNCTION("iferror(divide(googlefinance($B179,""shares""),1000),"""")"),137802.0)</f>
        <v>137802</v>
      </c>
      <c r="E179" s="72">
        <f>IFERROR(__xludf.DUMMYFUNCTION("iferror(divide(googlefinance($B179,""volumeavg""),1000),"""")"),785.314)</f>
        <v>785.314</v>
      </c>
      <c r="F179" s="73">
        <f>IFERROR(__xludf.DUMMYFUNCTION("iferror(MINUS(divide(GOOGLEFINANCE($B179), INDEX(GOOGLEFINANCE($B179,""price"",today()-182),2,2)),1),"""")"),0.4636755823986194)</f>
        <v>0.4636755824</v>
      </c>
      <c r="G179" s="61">
        <f>IFERROR(__xludf.DUMMYFUNCTION("iferror(MINUS(divide(GOOGLEFINANCE($B179), INDEX(GOOGLEFINANCE($B179,""price"",today()-364),2,2)),1),"""")"),0.2086064405813619)</f>
        <v>0.2086064406</v>
      </c>
    </row>
    <row r="180">
      <c r="A180" s="71">
        <f t="shared" si="4"/>
        <v>176</v>
      </c>
      <c r="B180" s="47" t="s">
        <v>312</v>
      </c>
      <c r="C180" s="72">
        <f>IFERROR(__xludf.DUMMYFUNCTION("iferror(divide(googlefinance($B180,""marketcap""),1000000),"""")"),18230.150848)</f>
        <v>18230.15085</v>
      </c>
      <c r="D180" s="72">
        <f>IFERROR(__xludf.DUMMYFUNCTION("iferror(divide(googlefinance($B180,""shares""),1000),"""")"),345050.0)</f>
        <v>345050</v>
      </c>
      <c r="E180" s="72">
        <f>IFERROR(__xludf.DUMMYFUNCTION("iferror(divide(googlefinance($B180,""volumeavg""),1000),"""")"),45.032)</f>
        <v>45.032</v>
      </c>
      <c r="F180" s="73">
        <f>IFERROR(__xludf.DUMMYFUNCTION("iferror(MINUS(divide(GOOGLEFINANCE($B180), INDEX(GOOGLEFINANCE($B180,""price"",today()-182),2,2)),1),"""")"),0.8614072494669509)</f>
        <v>0.8614072495</v>
      </c>
      <c r="G180" s="61">
        <f>IFERROR(__xludf.DUMMYFUNCTION("iferror(MINUS(divide(GOOGLEFINANCE($B180), INDEX(GOOGLEFINANCE($B180,""price"",today()-364),2,2)),1),"""")"),-0.4375)</f>
        <v>-0.4375</v>
      </c>
    </row>
    <row r="181">
      <c r="A181" s="71">
        <f t="shared" si="4"/>
        <v>177</v>
      </c>
      <c r="B181" s="47" t="s">
        <v>313</v>
      </c>
      <c r="C181" s="72" t="str">
        <f>IFERROR(__xludf.DUMMYFUNCTION("iferror(divide(googlefinance($B181,""marketcap""),1000000),"""")"),"")</f>
        <v/>
      </c>
      <c r="D181" s="72" t="str">
        <f>IFERROR(__xludf.DUMMYFUNCTION("iferror(divide(googlefinance($B181,""shares""),1000),"""")"),"")</f>
        <v/>
      </c>
      <c r="E181" s="72" t="str">
        <f>IFERROR(__xludf.DUMMYFUNCTION("iferror(divide(googlefinance($B181,""volumeavg""),1000),"""")"),"")</f>
        <v/>
      </c>
      <c r="F181" s="73" t="str">
        <f>IFERROR(__xludf.DUMMYFUNCTION("iferror(MINUS(divide(GOOGLEFINANCE($B181), INDEX(GOOGLEFINANCE($B181,""price"",today()-182),2,2)),1),"""")"),"")</f>
        <v/>
      </c>
      <c r="G181" s="61" t="str">
        <f>IFERROR(__xludf.DUMMYFUNCTION("iferror(MINUS(divide(GOOGLEFINANCE($B181), INDEX(GOOGLEFINANCE($B181,""price"",today()-364),2,2)),1),"""")"),"")</f>
        <v/>
      </c>
    </row>
    <row r="182">
      <c r="A182" s="71">
        <f t="shared" si="4"/>
        <v>178</v>
      </c>
      <c r="B182" s="47" t="s">
        <v>314</v>
      </c>
      <c r="C182" s="72">
        <f>IFERROR(__xludf.DUMMYFUNCTION("iferror(divide(googlefinance($B182,""marketcap""),1000000),"""")"),41673.018085)</f>
        <v>41673.01809</v>
      </c>
      <c r="D182" s="72">
        <f>IFERROR(__xludf.DUMMYFUNCTION("iferror(divide(googlefinance($B182,""shares""),1000),"""")"),506232.0)</f>
        <v>506232</v>
      </c>
      <c r="E182" s="72">
        <f>IFERROR(__xludf.DUMMYFUNCTION("iferror(divide(googlefinance($B182,""volumeavg""),1000),"""")"),3207.718)</f>
        <v>3207.718</v>
      </c>
      <c r="F182" s="73">
        <f>IFERROR(__xludf.DUMMYFUNCTION("iferror(MINUS(divide(GOOGLEFINANCE($B182), INDEX(GOOGLEFINANCE($B182,""price"",today()-182),2,2)),1),"""")"),0.08673267326732659)</f>
        <v>0.08673267327</v>
      </c>
      <c r="G182" s="61">
        <f>IFERROR(__xludf.DUMMYFUNCTION("iferror(MINUS(divide(GOOGLEFINANCE($B182), INDEX(GOOGLEFINANCE($B182,""price"",today()-364),2,2)),1),"""")"),-0.058123569794050534)</f>
        <v>-0.05812356979</v>
      </c>
    </row>
    <row r="183">
      <c r="A183" s="71">
        <f t="shared" si="4"/>
        <v>179</v>
      </c>
      <c r="B183" s="47" t="s">
        <v>315</v>
      </c>
      <c r="C183" s="72">
        <f>IFERROR(__xludf.DUMMYFUNCTION("iferror(divide(googlefinance($B183,""marketcap""),1000000),"""")"),1604.412762)</f>
        <v>1604.412762</v>
      </c>
      <c r="D183" s="72">
        <f>IFERROR(__xludf.DUMMYFUNCTION("iferror(divide(googlefinance($B183,""shares""),1000),"""")"),126034.0)</f>
        <v>126034</v>
      </c>
      <c r="E183" s="72">
        <f>IFERROR(__xludf.DUMMYFUNCTION("iferror(divide(googlefinance($B183,""volumeavg""),1000),"""")"),6803.28)</f>
        <v>6803.28</v>
      </c>
      <c r="F183" s="73">
        <f>IFERROR(__xludf.DUMMYFUNCTION("iferror(MINUS(divide(GOOGLEFINANCE($B183), INDEX(GOOGLEFINANCE($B183,""price"",today()-182),2,2)),1),"""")"),1.5460000000000003)</f>
        <v>1.546</v>
      </c>
      <c r="G183" s="61">
        <f>IFERROR(__xludf.DUMMYFUNCTION("iferror(MINUS(divide(GOOGLEFINANCE($B183), INDEX(GOOGLEFINANCE($B183,""price"",today()-364),2,2)),1),"""")"),0.29633401221995936)</f>
        <v>0.2963340122</v>
      </c>
    </row>
    <row r="184">
      <c r="A184" s="71">
        <f t="shared" si="4"/>
        <v>180</v>
      </c>
      <c r="B184" s="47" t="s">
        <v>316</v>
      </c>
      <c r="C184" s="72">
        <f>IFERROR(__xludf.DUMMYFUNCTION("iferror(divide(googlefinance($B184,""marketcap""),1000000),"""")"),4706.042407)</f>
        <v>4706.042407</v>
      </c>
      <c r="D184" s="72">
        <f>IFERROR(__xludf.DUMMYFUNCTION("iferror(divide(googlefinance($B184,""shares""),1000),"""")"),122362.0)</f>
        <v>122362</v>
      </c>
      <c r="E184" s="72">
        <f>IFERROR(__xludf.DUMMYFUNCTION("iferror(divide(googlefinance($B184,""volumeavg""),1000),"""")"),419.53)</f>
        <v>419.53</v>
      </c>
      <c r="F184" s="73">
        <f>IFERROR(__xludf.DUMMYFUNCTION("iferror(MINUS(divide(GOOGLEFINANCE($B184), INDEX(GOOGLEFINANCE($B184,""price"",today()-182),2,2)),1),"""")"),0.444778362133734)</f>
        <v>0.4447783621</v>
      </c>
      <c r="G184" s="61">
        <f>IFERROR(__xludf.DUMMYFUNCTION("iferror(MINUS(divide(GOOGLEFINANCE($B184), INDEX(GOOGLEFINANCE($B184,""price"",today()-364),2,2)),1),"""")"),0.46402740768937956)</f>
        <v>0.4640274077</v>
      </c>
    </row>
    <row r="185">
      <c r="A185" s="71">
        <f t="shared" si="4"/>
        <v>181</v>
      </c>
      <c r="B185" s="47" t="s">
        <v>317</v>
      </c>
      <c r="C185" s="72">
        <f>IFERROR(__xludf.DUMMYFUNCTION("iferror(divide(googlefinance($B185,""marketcap""),1000000),"""")"),129254.00173)</f>
        <v>129254.0017</v>
      </c>
      <c r="D185" s="72">
        <f>IFERROR(__xludf.DUMMYFUNCTION("iferror(divide(googlefinance($B185,""shares""),1000),"""")"),2112072.0)</f>
        <v>2112072</v>
      </c>
      <c r="E185" s="72">
        <f>IFERROR(__xludf.DUMMYFUNCTION("iferror(divide(googlefinance($B185,""volumeavg""),1000),"""")"),1378.649)</f>
        <v>1378.649</v>
      </c>
      <c r="F185" s="73">
        <f>IFERROR(__xludf.DUMMYFUNCTION("iferror(MINUS(divide(GOOGLEFINANCE($B185), INDEX(GOOGLEFINANCE($B185,""price"",today()-182),2,2)),1),"""")"),0.8422320353271779)</f>
        <v>0.8422320353</v>
      </c>
      <c r="G185" s="61">
        <f>IFERROR(__xludf.DUMMYFUNCTION("iferror(MINUS(divide(GOOGLEFINANCE($B185), INDEX(GOOGLEFINANCE($B185,""price"",today()-364),2,2)),1),"""")"),0.03332582751632529)</f>
        <v>0.03332582752</v>
      </c>
    </row>
    <row r="186">
      <c r="A186" s="71">
        <f t="shared" si="4"/>
        <v>182</v>
      </c>
      <c r="B186" s="47" t="s">
        <v>318</v>
      </c>
      <c r="C186" s="72">
        <f>IFERROR(__xludf.DUMMYFUNCTION("iferror(divide(googlefinance($B186,""marketcap""),1000000),"""")"),52.077278)</f>
        <v>52.077278</v>
      </c>
      <c r="D186" s="72">
        <f>IFERROR(__xludf.DUMMYFUNCTION("iferror(divide(googlefinance($B186,""shares""),1000),"""")"),15592.0)</f>
        <v>15592</v>
      </c>
      <c r="E186" s="72">
        <f>IFERROR(__xludf.DUMMYFUNCTION("iferror(divide(googlefinance($B186,""volumeavg""),1000),"""")"),135.151)</f>
        <v>135.151</v>
      </c>
      <c r="F186" s="73">
        <f>IFERROR(__xludf.DUMMYFUNCTION("iferror(MINUS(divide(GOOGLEFINANCE($B186), INDEX(GOOGLEFINANCE($B186,""price"",today()-182),2,2)),1),"""")"),0.6616915422885574)</f>
        <v>0.6616915423</v>
      </c>
      <c r="G186" s="61">
        <f>IFERROR(__xludf.DUMMYFUNCTION("iferror(MINUS(divide(GOOGLEFINANCE($B186), INDEX(GOOGLEFINANCE($B186,""price"",today()-364),2,2)),1),"""")"),0.15172413793103456)</f>
        <v>0.1517241379</v>
      </c>
    </row>
    <row r="187">
      <c r="A187" s="71">
        <f t="shared" si="4"/>
        <v>183</v>
      </c>
      <c r="B187" s="47" t="s">
        <v>319</v>
      </c>
      <c r="C187" s="72">
        <f>IFERROR(__xludf.DUMMYFUNCTION("iferror(divide(googlefinance($B187,""marketcap""),1000000),"""")"),27340.423449)</f>
        <v>27340.42345</v>
      </c>
      <c r="D187" s="72">
        <f>IFERROR(__xludf.DUMMYFUNCTION("iferror(divide(googlefinance($B187,""shares""),1000),"""")"),258832.0)</f>
        <v>258832</v>
      </c>
      <c r="E187" s="72">
        <f>IFERROR(__xludf.DUMMYFUNCTION("iferror(divide(googlefinance($B187,""volumeavg""),1000),"""")"),2705.96)</f>
        <v>2705.96</v>
      </c>
      <c r="F187" s="73">
        <f>IFERROR(__xludf.DUMMYFUNCTION("iferror(MINUS(divide(GOOGLEFINANCE($B187), INDEX(GOOGLEFINANCE($B187,""price"",today()-182),2,2)),1),"""")"),1.0451113262342693)</f>
        <v>1.045111326</v>
      </c>
      <c r="G187" s="61">
        <f>IFERROR(__xludf.DUMMYFUNCTION("iferror(MINUS(divide(GOOGLEFINANCE($B187), INDEX(GOOGLEFINANCE($B187,""price"",today()-364),2,2)),1),"""")"),0.5819979032499625)</f>
        <v>0.5819979032</v>
      </c>
    </row>
    <row r="188">
      <c r="A188" s="71">
        <f t="shared" si="4"/>
        <v>184</v>
      </c>
      <c r="B188" s="47" t="s">
        <v>320</v>
      </c>
      <c r="C188" s="72">
        <f>IFERROR(__xludf.DUMMYFUNCTION("iferror(divide(googlefinance($B188,""marketcap""),1000000),"""")"),4849.463987)</f>
        <v>4849.463987</v>
      </c>
      <c r="D188" s="72">
        <f>IFERROR(__xludf.DUMMYFUNCTION("iferror(divide(googlefinance($B188,""shares""),1000),"""")"),79162.0)</f>
        <v>79162</v>
      </c>
      <c r="E188" s="72">
        <f>IFERROR(__xludf.DUMMYFUNCTION("iferror(divide(googlefinance($B188,""volumeavg""),1000),"""")"),822.865)</f>
        <v>822.865</v>
      </c>
      <c r="F188" s="73">
        <f>IFERROR(__xludf.DUMMYFUNCTION("iferror(MINUS(divide(GOOGLEFINANCE($B188), INDEX(GOOGLEFINANCE($B188,""price"",today()-182),2,2)),1),"""")"),1.2341356673960608)</f>
        <v>1.234135667</v>
      </c>
      <c r="G188" s="61">
        <f>IFERROR(__xludf.DUMMYFUNCTION("iferror(MINUS(divide(GOOGLEFINANCE($B188), INDEX(GOOGLEFINANCE($B188,""price"",today()-364),2,2)),1),"""")"),0.1710953928503154)</f>
        <v>0.1710953929</v>
      </c>
    </row>
    <row r="189">
      <c r="A189" s="71">
        <f t="shared" si="4"/>
        <v>185</v>
      </c>
      <c r="B189" s="47" t="s">
        <v>321</v>
      </c>
      <c r="C189" s="72">
        <f>IFERROR(__xludf.DUMMYFUNCTION("iferror(divide(googlefinance($B189,""marketcap""),1000000),"""")"),1589.422505)</f>
        <v>1589.422505</v>
      </c>
      <c r="D189" s="72">
        <f>IFERROR(__xludf.DUMMYFUNCTION("iferror(divide(googlefinance($B189,""shares""),1000),"""")"),39197.0)</f>
        <v>39197</v>
      </c>
      <c r="E189" s="72">
        <f>IFERROR(__xludf.DUMMYFUNCTION("iferror(divide(googlefinance($B189,""volumeavg""),1000),"""")"),307.226)</f>
        <v>307.226</v>
      </c>
      <c r="F189" s="73">
        <f>IFERROR(__xludf.DUMMYFUNCTION("iferror(MINUS(divide(GOOGLEFINANCE($B189), INDEX(GOOGLEFINANCE($B189,""price"",today()-182),2,2)),1),"""")"),0.963680387409201)</f>
        <v>0.9636803874</v>
      </c>
      <c r="G189" s="61">
        <f>IFERROR(__xludf.DUMMYFUNCTION("iferror(MINUS(divide(GOOGLEFINANCE($B189), INDEX(GOOGLEFINANCE($B189,""price"",today()-364),2,2)),1),"""")"),0.2881194409148664)</f>
        <v>0.2881194409</v>
      </c>
    </row>
    <row r="190">
      <c r="A190" s="71">
        <f t="shared" si="4"/>
        <v>186</v>
      </c>
      <c r="B190" s="47" t="s">
        <v>322</v>
      </c>
      <c r="C190" s="72">
        <f>IFERROR(__xludf.DUMMYFUNCTION("iferror(divide(googlefinance($B190,""marketcap""),1000000),"""")"),427.69068)</f>
        <v>427.69068</v>
      </c>
      <c r="D190" s="72">
        <f>IFERROR(__xludf.DUMMYFUNCTION("iferror(divide(googlefinance($B190,""shares""),1000),"""")"),29314.0)</f>
        <v>29314</v>
      </c>
      <c r="E190" s="72">
        <f>IFERROR(__xludf.DUMMYFUNCTION("iferror(divide(googlefinance($B190,""volumeavg""),1000),"""")"),237.825)</f>
        <v>237.825</v>
      </c>
      <c r="F190" s="73">
        <f>IFERROR(__xludf.DUMMYFUNCTION("iferror(MINUS(divide(GOOGLEFINANCE($B190), INDEX(GOOGLEFINANCE($B190,""price"",today()-182),2,2)),1),"""")"),-0.10819070904645478)</f>
        <v>-0.108190709</v>
      </c>
      <c r="G190" s="61">
        <f>IFERROR(__xludf.DUMMYFUNCTION("iferror(MINUS(divide(GOOGLEFINANCE($B190), INDEX(GOOGLEFINANCE($B190,""price"",today()-364),2,2)),1),"""")"),0.25128644939965694)</f>
        <v>0.2512864494</v>
      </c>
    </row>
    <row r="191">
      <c r="A191" s="71">
        <f t="shared" si="4"/>
        <v>187</v>
      </c>
      <c r="B191" s="47" t="s">
        <v>323</v>
      </c>
      <c r="C191" s="72">
        <f>IFERROR(__xludf.DUMMYFUNCTION("iferror(divide(googlefinance($B191,""marketcap""),1000000),"""")"),460.939356)</f>
        <v>460.939356</v>
      </c>
      <c r="D191" s="72">
        <f>IFERROR(__xludf.DUMMYFUNCTION("iferror(divide(googlefinance($B191,""shares""),1000),"""")"),31528.0)</f>
        <v>31528</v>
      </c>
      <c r="E191" s="72">
        <f>IFERROR(__xludf.DUMMYFUNCTION("iferror(divide(googlefinance($B191,""volumeavg""),1000),"""")"),407.508)</f>
        <v>407.508</v>
      </c>
      <c r="F191" s="73">
        <f>IFERROR(__xludf.DUMMYFUNCTION("iferror(MINUS(divide(GOOGLEFINANCE($B191), INDEX(GOOGLEFINANCE($B191,""price"",today()-182),2,2)),1),"""")"),2.1782608695652175)</f>
        <v>2.17826087</v>
      </c>
      <c r="G191" s="61">
        <f>IFERROR(__xludf.DUMMYFUNCTION("iferror(MINUS(divide(GOOGLEFINANCE($B191), INDEX(GOOGLEFINANCE($B191,""price"",today()-364),2,2)),1),"""")"),2.63681592039801)</f>
        <v>2.63681592</v>
      </c>
    </row>
    <row r="192">
      <c r="A192" s="71">
        <f t="shared" si="4"/>
        <v>188</v>
      </c>
      <c r="B192" s="47" t="s">
        <v>324</v>
      </c>
      <c r="C192" s="72">
        <f>IFERROR(__xludf.DUMMYFUNCTION("iferror(divide(googlefinance($B192,""marketcap""),1000000),"""")"),3081.793851)</f>
        <v>3081.793851</v>
      </c>
      <c r="D192" s="72">
        <f>IFERROR(__xludf.DUMMYFUNCTION("iferror(divide(googlefinance($B192,""shares""),1000),"""")"),32348.0)</f>
        <v>32348</v>
      </c>
      <c r="E192" s="72">
        <f>IFERROR(__xludf.DUMMYFUNCTION("iferror(divide(googlefinance($B192,""volumeavg""),1000),"""")"),90.563)</f>
        <v>90.563</v>
      </c>
      <c r="F192" s="73">
        <f>IFERROR(__xludf.DUMMYFUNCTION("iferror(MINUS(divide(GOOGLEFINANCE($B192), INDEX(GOOGLEFINANCE($B192,""price"",today()-182),2,2)),1),"""")"),0.010822281167108816)</f>
        <v>0.01082228117</v>
      </c>
      <c r="G192" s="61">
        <f>IFERROR(__xludf.DUMMYFUNCTION("iferror(MINUS(divide(GOOGLEFINANCE($B192), INDEX(GOOGLEFINANCE($B192,""price"",today()-364),2,2)),1),"""")"),-0.028848114169215067)</f>
        <v>-0.02884811417</v>
      </c>
    </row>
    <row r="193">
      <c r="A193" s="71">
        <f t="shared" si="4"/>
        <v>189</v>
      </c>
      <c r="B193" s="47" t="s">
        <v>325</v>
      </c>
      <c r="C193" s="72">
        <f>IFERROR(__xludf.DUMMYFUNCTION("iferror(divide(googlefinance($B193,""marketcap""),1000000),"""")"),704.498341)</f>
        <v>704.498341</v>
      </c>
      <c r="D193" s="72">
        <f>IFERROR(__xludf.DUMMYFUNCTION("iferror(divide(googlefinance($B193,""shares""),1000),"""")"),176566.0)</f>
        <v>176566</v>
      </c>
      <c r="E193" s="72">
        <f>IFERROR(__xludf.DUMMYFUNCTION("iferror(divide(googlefinance($B193,""volumeavg""),1000),"""")"),5934.264)</f>
        <v>5934.264</v>
      </c>
      <c r="F193" s="73">
        <f>IFERROR(__xludf.DUMMYFUNCTION("iferror(MINUS(divide(GOOGLEFINANCE($B193), INDEX(GOOGLEFINANCE($B193,""price"",today()-182),2,2)),1),"""")"),1.1336898395721926)</f>
        <v>1.13368984</v>
      </c>
      <c r="G193" s="61">
        <f>IFERROR(__xludf.DUMMYFUNCTION("iferror(MINUS(divide(GOOGLEFINANCE($B193), INDEX(GOOGLEFINANCE($B193,""price"",today()-364),2,2)),1),"""")"),0.3951048951048952)</f>
        <v>0.3951048951</v>
      </c>
    </row>
    <row r="194">
      <c r="A194" s="71">
        <f t="shared" si="4"/>
        <v>190</v>
      </c>
      <c r="B194" s="47" t="s">
        <v>326</v>
      </c>
      <c r="C194" s="72">
        <f>IFERROR(__xludf.DUMMYFUNCTION("iferror(divide(googlefinance($B194,""marketcap""),1000000),"""")"),398.222026)</f>
        <v>398.222026</v>
      </c>
      <c r="D194" s="72">
        <f>IFERROR(__xludf.DUMMYFUNCTION("iferror(divide(googlefinance($B194,""shares""),1000),"""")"),18088.0)</f>
        <v>18088</v>
      </c>
      <c r="E194" s="72">
        <f>IFERROR(__xludf.DUMMYFUNCTION("iferror(divide(googlefinance($B194,""volumeavg""),1000),"""")"),68.583)</f>
        <v>68.583</v>
      </c>
      <c r="F194" s="73">
        <f>IFERROR(__xludf.DUMMYFUNCTION("iferror(MINUS(divide(GOOGLEFINANCE($B194), INDEX(GOOGLEFINANCE($B194,""price"",today()-182),2,2)),1),"""")"),0.9155844155844155)</f>
        <v>0.9155844156</v>
      </c>
      <c r="G194" s="61">
        <f>IFERROR(__xludf.DUMMYFUNCTION("iferror(MINUS(divide(GOOGLEFINANCE($B194), INDEX(GOOGLEFINANCE($B194,""price"",today()-364),2,2)),1),"""")"),1.1736842105263157)</f>
        <v>1.173684211</v>
      </c>
    </row>
    <row r="195">
      <c r="A195" s="71">
        <f t="shared" si="4"/>
        <v>191</v>
      </c>
      <c r="B195" s="47" t="s">
        <v>327</v>
      </c>
      <c r="C195" s="72">
        <f>IFERROR(__xludf.DUMMYFUNCTION("iferror(divide(googlefinance($B195,""marketcap""),1000000),"""")"),408.783934)</f>
        <v>408.783934</v>
      </c>
      <c r="D195" s="72">
        <f>IFERROR(__xludf.DUMMYFUNCTION("iferror(divide(googlefinance($B195,""shares""),1000),"""")"),100934.0)</f>
        <v>100934</v>
      </c>
      <c r="E195" s="72">
        <f>IFERROR(__xludf.DUMMYFUNCTION("iferror(divide(googlefinance($B195,""volumeavg""),1000),"""")"),1452.114)</f>
        <v>1452.114</v>
      </c>
      <c r="F195" s="73">
        <f>IFERROR(__xludf.DUMMYFUNCTION("iferror(MINUS(divide(GOOGLEFINANCE($B195), INDEX(GOOGLEFINANCE($B195,""price"",today()-182),2,2)),1),"""")"),0.24999999999999978)</f>
        <v>0.25</v>
      </c>
      <c r="G195" s="61">
        <f>IFERROR(__xludf.DUMMYFUNCTION("iferror(MINUS(divide(GOOGLEFINANCE($B195), INDEX(GOOGLEFINANCE($B195,""price"",today()-364),2,2)),1),"""")"),-0.11956521739130432)</f>
        <v>-0.1195652174</v>
      </c>
    </row>
    <row r="196">
      <c r="A196" s="71">
        <f t="shared" si="4"/>
        <v>192</v>
      </c>
      <c r="B196" s="47" t="s">
        <v>328</v>
      </c>
      <c r="C196" s="72">
        <f>IFERROR(__xludf.DUMMYFUNCTION("iferror(divide(googlefinance($B196,""marketcap""),1000000),"""")"),1125.154287)</f>
        <v>1125.154287</v>
      </c>
      <c r="D196" s="72">
        <f>IFERROR(__xludf.DUMMYFUNCTION("iferror(divide(googlefinance($B196,""shares""),1000),"""")"),35913.0)</f>
        <v>35913</v>
      </c>
      <c r="E196" s="72">
        <f>IFERROR(__xludf.DUMMYFUNCTION("iferror(divide(googlefinance($B196,""volumeavg""),1000),"""")"),155.808)</f>
        <v>155.808</v>
      </c>
      <c r="F196" s="73">
        <f>IFERROR(__xludf.DUMMYFUNCTION("iferror(MINUS(divide(GOOGLEFINANCE($B196), INDEX(GOOGLEFINANCE($B196,""price"",today()-182),2,2)),1),"""")"),0.41253381424706936)</f>
        <v>0.4125338142</v>
      </c>
      <c r="G196" s="61" t="str">
        <f>IFERROR(__xludf.DUMMYFUNCTION("iferror(MINUS(divide(GOOGLEFINANCE($B196), INDEX(GOOGLEFINANCE($B196,""price"",today()-364),2,2)),1),"""")"),"")</f>
        <v/>
      </c>
    </row>
    <row r="197">
      <c r="A197" s="71">
        <f t="shared" si="4"/>
        <v>193</v>
      </c>
      <c r="B197" s="47" t="s">
        <v>329</v>
      </c>
      <c r="C197" s="72">
        <f>IFERROR(__xludf.DUMMYFUNCTION("iferror(divide(googlefinance($B197,""marketcap""),1000000),"""")"),66032.045184)</f>
        <v>66032.04518</v>
      </c>
      <c r="D197" s="72">
        <f>IFERROR(__xludf.DUMMYFUNCTION("iferror(divide(googlefinance($B197,""shares""),1000),"""")"),289869.0)</f>
        <v>289869</v>
      </c>
      <c r="E197" s="72">
        <f>IFERROR(__xludf.DUMMYFUNCTION("iferror(divide(googlefinance($B197,""volumeavg""),1000),"""")"),1620.276)</f>
        <v>1620.276</v>
      </c>
      <c r="F197" s="73">
        <f>IFERROR(__xludf.DUMMYFUNCTION("iferror(MINUS(divide(GOOGLEFINANCE($B197), INDEX(GOOGLEFINANCE($B197,""price"",today()-182),2,2)),1),"""")"),0.034890059967290554)</f>
        <v>0.03489005997</v>
      </c>
      <c r="G197" s="61">
        <f>IFERROR(__xludf.DUMMYFUNCTION("iferror(MINUS(divide(GOOGLEFINANCE($B197), INDEX(GOOGLEFINANCE($B197,""price"",today()-364),2,2)),1),"""")"),-0.10155787813054629)</f>
        <v>-0.1015578781</v>
      </c>
    </row>
    <row r="198">
      <c r="A198" s="71">
        <f t="shared" si="4"/>
        <v>194</v>
      </c>
      <c r="B198" s="47" t="s">
        <v>330</v>
      </c>
      <c r="C198" s="72">
        <f>IFERROR(__xludf.DUMMYFUNCTION("iferror(divide(googlefinance($B198,""marketcap""),1000000),"""")"),1468.671448)</f>
        <v>1468.671448</v>
      </c>
      <c r="D198" s="72">
        <f>IFERROR(__xludf.DUMMYFUNCTION("iferror(divide(googlefinance($B198,""shares""),1000),"""")"),51732.0)</f>
        <v>51732</v>
      </c>
      <c r="E198" s="72">
        <f>IFERROR(__xludf.DUMMYFUNCTION("iferror(divide(googlefinance($B198,""volumeavg""),1000),"""")"),681.109)</f>
        <v>681.109</v>
      </c>
      <c r="F198" s="73">
        <f>IFERROR(__xludf.DUMMYFUNCTION("iferror(MINUS(divide(GOOGLEFINANCE($B198), INDEX(GOOGLEFINANCE($B198,""price"",today()-182),2,2)),1),"""")"),0.46340206185567023)</f>
        <v>0.4634020619</v>
      </c>
      <c r="G198" s="61" t="str">
        <f>IFERROR(__xludf.DUMMYFUNCTION("iferror(MINUS(divide(GOOGLEFINANCE($B198), INDEX(GOOGLEFINANCE($B198,""price"",today()-364),2,2)),1),"""")"),"")</f>
        <v/>
      </c>
    </row>
    <row r="199">
      <c r="A199" s="71">
        <f t="shared" si="4"/>
        <v>195</v>
      </c>
      <c r="B199" s="47" t="s">
        <v>331</v>
      </c>
      <c r="C199" s="72">
        <f>IFERROR(__xludf.DUMMYFUNCTION("iferror(divide(googlefinance($B199,""marketcap""),1000000),"""")"),2095.944171)</f>
        <v>2095.944171</v>
      </c>
      <c r="D199" s="72">
        <f>IFERROR(__xludf.DUMMYFUNCTION("iferror(divide(googlefinance($B199,""shares""),1000),"""")"),68878.0)</f>
        <v>68878</v>
      </c>
      <c r="E199" s="72">
        <f>IFERROR(__xludf.DUMMYFUNCTION("iferror(divide(googlefinance($B199,""volumeavg""),1000),"""")"),536.769)</f>
        <v>536.769</v>
      </c>
      <c r="F199" s="73">
        <f>IFERROR(__xludf.DUMMYFUNCTION("iferror(MINUS(divide(GOOGLEFINANCE($B199), INDEX(GOOGLEFINANCE($B199,""price"",today()-182),2,2)),1),"""")"),1.1986994219653178)</f>
        <v>1.198699422</v>
      </c>
      <c r="G199" s="61">
        <f>IFERROR(__xludf.DUMMYFUNCTION("iferror(MINUS(divide(GOOGLEFINANCE($B199), INDEX(GOOGLEFINANCE($B199,""price"",today()-364),2,2)),1),"""")"),-0.11822660098522164)</f>
        <v>-0.118226601</v>
      </c>
    </row>
    <row r="200">
      <c r="A200" s="71">
        <f t="shared" si="4"/>
        <v>196</v>
      </c>
      <c r="B200" s="47" t="s">
        <v>332</v>
      </c>
      <c r="C200" s="72">
        <f>IFERROR(__xludf.DUMMYFUNCTION("iferror(divide(googlefinance($B200,""marketcap""),1000000),"""")"),5.25283)</f>
        <v>5.25283</v>
      </c>
      <c r="D200" s="72">
        <f>IFERROR(__xludf.DUMMYFUNCTION("iferror(divide(googlefinance($B200,""shares""),1000),"""")"),76127.918)</f>
        <v>76127.918</v>
      </c>
      <c r="E200" s="72">
        <f>IFERROR(__xludf.DUMMYFUNCTION("iferror(divide(googlefinance($B200,""volumeavg""),1000),"""")"),319.394)</f>
        <v>319.394</v>
      </c>
      <c r="F200" s="73" t="str">
        <f>IFERROR(__xludf.DUMMYFUNCTION("iferror(MINUS(divide(GOOGLEFINANCE($B200), INDEX(GOOGLEFINANCE($B200,""price"",today()-182),2,2)),1),"""")"),"")</f>
        <v/>
      </c>
      <c r="G200" s="61">
        <f>IFERROR(__xludf.DUMMYFUNCTION("iferror(MINUS(divide(GOOGLEFINANCE($B200), INDEX(GOOGLEFINANCE($B200,""price"",today()-364),2,2)),1),"""")"),0.16666666666666674)</f>
        <v>0.1666666667</v>
      </c>
    </row>
    <row r="201">
      <c r="A201" s="71">
        <f t="shared" si="4"/>
        <v>197</v>
      </c>
      <c r="B201" s="47" t="s">
        <v>333</v>
      </c>
      <c r="C201" s="72">
        <f>IFERROR(__xludf.DUMMYFUNCTION("iferror(divide(googlefinance($B201,""marketcap""),1000000),"""")"),167.521069)</f>
        <v>167.521069</v>
      </c>
      <c r="D201" s="72">
        <f>IFERROR(__xludf.DUMMYFUNCTION("iferror(divide(googlefinance($B201,""shares""),1000),"""")"),44849.0)</f>
        <v>44849</v>
      </c>
      <c r="E201" s="72">
        <f>IFERROR(__xludf.DUMMYFUNCTION("iferror(divide(googlefinance($B201,""volumeavg""),1000),"""")"),1610.963)</f>
        <v>1610.963</v>
      </c>
      <c r="F201" s="73" t="str">
        <f>IFERROR(__xludf.DUMMYFUNCTION("iferror(MINUS(divide(GOOGLEFINANCE($B201), INDEX(GOOGLEFINANCE($B201,""price"",today()-182),2,2)),1),"""")"),"")</f>
        <v/>
      </c>
      <c r="G201" s="61" t="str">
        <f>IFERROR(__xludf.DUMMYFUNCTION("iferror(MINUS(divide(GOOGLEFINANCE($B201), INDEX(GOOGLEFINANCE($B201,""price"",today()-364),2,2)),1),"""")"),"")</f>
        <v/>
      </c>
    </row>
    <row r="202">
      <c r="A202" s="71">
        <f t="shared" si="4"/>
        <v>198</v>
      </c>
      <c r="B202" s="47" t="s">
        <v>334</v>
      </c>
      <c r="C202" s="72">
        <f>IFERROR(__xludf.DUMMYFUNCTION("iferror(divide(googlefinance($B202,""marketcap""),1000000),"""")"),6609.298712)</f>
        <v>6609.298712</v>
      </c>
      <c r="D202" s="72">
        <f>IFERROR(__xludf.DUMMYFUNCTION("iferror(divide(googlefinance($B202,""shares""),1000),"""")"),139643.0)</f>
        <v>139643</v>
      </c>
      <c r="E202" s="72">
        <f>IFERROR(__xludf.DUMMYFUNCTION("iferror(divide(googlefinance($B202,""volumeavg""),1000),"""")"),804.129)</f>
        <v>804.129</v>
      </c>
      <c r="F202" s="73">
        <f>IFERROR(__xludf.DUMMYFUNCTION("iferror(MINUS(divide(GOOGLEFINANCE($B202), INDEX(GOOGLEFINANCE($B202,""price"",today()-182),2,2)),1),"""")"),0.48930144745122717)</f>
        <v>0.4893014475</v>
      </c>
      <c r="G202" s="61">
        <f>IFERROR(__xludf.DUMMYFUNCTION("iferror(MINUS(divide(GOOGLEFINANCE($B202), INDEX(GOOGLEFINANCE($B202,""price"",today()-364),2,2)),1),"""")"),-0.15421729807005002)</f>
        <v>-0.1542172981</v>
      </c>
    </row>
    <row r="203">
      <c r="A203" s="71">
        <f t="shared" si="4"/>
        <v>199</v>
      </c>
      <c r="B203" s="47" t="s">
        <v>335</v>
      </c>
      <c r="C203" s="72">
        <f>IFERROR(__xludf.DUMMYFUNCTION("iferror(divide(googlefinance($B203,""marketcap""),1000000),"""")"),137.538284)</f>
        <v>137.538284</v>
      </c>
      <c r="D203" s="72">
        <f>IFERROR(__xludf.DUMMYFUNCTION("iferror(divide(googlefinance($B203,""shares""),1000),"""")"),21901.0)</f>
        <v>21901</v>
      </c>
      <c r="E203" s="72">
        <f>IFERROR(__xludf.DUMMYFUNCTION("iferror(divide(googlefinance($B203,""volumeavg""),1000),"""")"),1545.784)</f>
        <v>1545.784</v>
      </c>
      <c r="F203" s="73">
        <f>IFERROR(__xludf.DUMMYFUNCTION("iferror(MINUS(divide(GOOGLEFINANCE($B203), INDEX(GOOGLEFINANCE($B203,""price"",today()-182),2,2)),1),"""")"),6.056179775280899)</f>
        <v>6.056179775</v>
      </c>
      <c r="G203" s="61">
        <f>IFERROR(__xludf.DUMMYFUNCTION("iferror(MINUS(divide(GOOGLEFINANCE($B203), INDEX(GOOGLEFINANCE($B203,""price"",today()-364),2,2)),1),"""")"),1.8545454545454545)</f>
        <v>1.854545455</v>
      </c>
    </row>
    <row r="204">
      <c r="A204" s="71">
        <f t="shared" si="4"/>
        <v>200</v>
      </c>
      <c r="B204" s="47" t="s">
        <v>336</v>
      </c>
      <c r="C204" s="72">
        <f>IFERROR(__xludf.DUMMYFUNCTION("iferror(divide(googlefinance($B204,""marketcap""),1000000),"""")"),11.340239)</f>
        <v>11.340239</v>
      </c>
      <c r="D204" s="72">
        <f>IFERROR(__xludf.DUMMYFUNCTION("iferror(divide(googlefinance($B204,""shares""),1000),"""")"),10253.0)</f>
        <v>10253</v>
      </c>
      <c r="E204" s="72">
        <f>IFERROR(__xludf.DUMMYFUNCTION("iferror(divide(googlefinance($B204,""volumeavg""),1000),"""")"),318.713)</f>
        <v>318.713</v>
      </c>
      <c r="F204" s="73">
        <f>IFERROR(__xludf.DUMMYFUNCTION("iferror(MINUS(divide(GOOGLEFINANCE($B204), INDEX(GOOGLEFINANCE($B204,""price"",today()-182),2,2)),1),"""")"),0.3695652173913042)</f>
        <v>0.3695652174</v>
      </c>
      <c r="G204" s="61" t="str">
        <f>IFERROR(__xludf.DUMMYFUNCTION("iferror(MINUS(divide(GOOGLEFINANCE($B204), INDEX(GOOGLEFINANCE($B204,""price"",today()-364),2,2)),1),"""")"),"")</f>
        <v/>
      </c>
    </row>
    <row r="205">
      <c r="A205" s="71">
        <f t="shared" si="4"/>
        <v>201</v>
      </c>
      <c r="B205" s="47" t="s">
        <v>337</v>
      </c>
      <c r="C205" s="72">
        <f>IFERROR(__xludf.DUMMYFUNCTION("iferror(divide(googlefinance($B205,""marketcap""),1000000),"""")"),196260.028584)</f>
        <v>196260.0286</v>
      </c>
      <c r="D205" s="72">
        <f>IFERROR(__xludf.DUMMYFUNCTION("iferror(divide(googlefinance($B205,""shares""),1000),"""")"),1175210.0)</f>
        <v>1175210</v>
      </c>
      <c r="E205" s="72">
        <f>IFERROR(__xludf.DUMMYFUNCTION("iferror(divide(googlefinance($B205,""volumeavg""),1000),"""")"),229.049)</f>
        <v>229.049</v>
      </c>
      <c r="F205" s="73">
        <f>IFERROR(__xludf.DUMMYFUNCTION("iferror(MINUS(divide(GOOGLEFINANCE($B205), INDEX(GOOGLEFINANCE($B205,""price"",today()-182),2,2)),1),"""")"),1.0842857142857145)</f>
        <v>1.084285714</v>
      </c>
      <c r="G205" s="61">
        <f>IFERROR(__xludf.DUMMYFUNCTION("iferror(MINUS(divide(GOOGLEFINANCE($B205), INDEX(GOOGLEFINANCE($B205,""price"",today()-364),2,2)),1),"""")"),0.9378689492325856)</f>
        <v>0.9378689492</v>
      </c>
    </row>
    <row r="206">
      <c r="A206" s="71">
        <f t="shared" si="4"/>
        <v>202</v>
      </c>
      <c r="B206" s="47" t="s">
        <v>338</v>
      </c>
      <c r="C206" s="72">
        <f>IFERROR(__xludf.DUMMYFUNCTION("iferror(divide(googlefinance($B206,""marketcap""),1000000),"""")"),1732.455)</f>
        <v>1732.455</v>
      </c>
      <c r="D206" s="72">
        <f>IFERROR(__xludf.DUMMYFUNCTION("iferror(divide(googlefinance($B206,""shares""),1000),"""")"),64165.0)</f>
        <v>64165</v>
      </c>
      <c r="E206" s="72">
        <f>IFERROR(__xludf.DUMMYFUNCTION("iferror(divide(googlefinance($B206,""volumeavg""),1000),"""")"),1029.407)</f>
        <v>1029.407</v>
      </c>
      <c r="F206" s="73">
        <f>IFERROR(__xludf.DUMMYFUNCTION("iferror(MINUS(divide(GOOGLEFINANCE($B206), INDEX(GOOGLEFINANCE($B206,""price"",today()-182),2,2)),1),"""")"),0.5332197614991483)</f>
        <v>0.5332197615</v>
      </c>
      <c r="G206" s="61">
        <f>IFERROR(__xludf.DUMMYFUNCTION("iferror(MINUS(divide(GOOGLEFINANCE($B206), INDEX(GOOGLEFINANCE($B206,""price"",today()-364),2,2)),1),"""")"),0.3803680981595092)</f>
        <v>0.3803680982</v>
      </c>
    </row>
    <row r="207">
      <c r="A207" s="71">
        <f t="shared" si="4"/>
        <v>203</v>
      </c>
      <c r="B207" s="47" t="s">
        <v>339</v>
      </c>
      <c r="C207" s="72">
        <f>IFERROR(__xludf.DUMMYFUNCTION("iferror(divide(googlefinance($B207,""marketcap""),1000000),"""")"),296.729057)</f>
        <v>296.729057</v>
      </c>
      <c r="D207" s="72">
        <f>IFERROR(__xludf.DUMMYFUNCTION("iferror(divide(googlefinance($B207,""shares""),1000),"""")"),2069.0)</f>
        <v>2069</v>
      </c>
      <c r="E207" s="72">
        <f>IFERROR(__xludf.DUMMYFUNCTION("iferror(divide(googlefinance($B207,""volumeavg""),1000),"""")"),11.683)</f>
        <v>11.683</v>
      </c>
      <c r="F207" s="73">
        <f>IFERROR(__xludf.DUMMYFUNCTION("iferror(MINUS(divide(GOOGLEFINANCE($B207), INDEX(GOOGLEFINANCE($B207,""price"",today()-182),2,2)),1),"""")"),1.2975540251721682)</f>
        <v>1.297554025</v>
      </c>
      <c r="G207" s="61">
        <f>IFERROR(__xludf.DUMMYFUNCTION("iferror(MINUS(divide(GOOGLEFINANCE($B207), INDEX(GOOGLEFINANCE($B207,""price"",today()-364),2,2)),1),"""")"),-0.13623783590750826)</f>
        <v>-0.1362378359</v>
      </c>
    </row>
    <row r="208">
      <c r="A208" s="71">
        <f t="shared" si="4"/>
        <v>204</v>
      </c>
      <c r="B208" s="47" t="s">
        <v>340</v>
      </c>
      <c r="C208" s="72">
        <f>IFERROR(__xludf.DUMMYFUNCTION("iferror(divide(googlefinance($B208,""marketcap""),1000000),"""")"),176981.943967)</f>
        <v>176981.944</v>
      </c>
      <c r="D208" s="72">
        <f>IFERROR(__xludf.DUMMYFUNCTION("iferror(divide(googlefinance($B208,""shares""),1000),"""")"),2945851.0)</f>
        <v>2945851</v>
      </c>
      <c r="E208" s="72">
        <f>IFERROR(__xludf.DUMMYFUNCTION("iferror(divide(googlefinance($B208,""volumeavg""),1000),"""")"),1933.419)</f>
        <v>1933.419</v>
      </c>
      <c r="F208" s="73">
        <f>IFERROR(__xludf.DUMMYFUNCTION("iferror(MINUS(divide(GOOGLEFINANCE($B208), INDEX(GOOGLEFINANCE($B208,""price"",today()-182),2,2)),1),"""")"),0.7632666031140771)</f>
        <v>0.7632666031</v>
      </c>
      <c r="G208" s="61">
        <f>IFERROR(__xludf.DUMMYFUNCTION("iferror(MINUS(divide(GOOGLEFINANCE($B208), INDEX(GOOGLEFINANCE($B208,""price"",today()-364),2,2)),1),"""")"),0.08825259854873502)</f>
        <v>0.08825259855</v>
      </c>
    </row>
    <row r="209">
      <c r="A209" s="71">
        <f t="shared" si="4"/>
        <v>205</v>
      </c>
      <c r="B209" s="47" t="s">
        <v>341</v>
      </c>
      <c r="C209" s="72">
        <f>IFERROR(__xludf.DUMMYFUNCTION("iferror(divide(googlefinance($B209,""marketcap""),1000000),"""")"),1777.55827)</f>
        <v>1777.55827</v>
      </c>
      <c r="D209" s="72">
        <f>IFERROR(__xludf.DUMMYFUNCTION("iferror(divide(googlefinance($B209,""shares""),1000),"""")"),39257.0)</f>
        <v>39257</v>
      </c>
      <c r="E209" s="72">
        <f>IFERROR(__xludf.DUMMYFUNCTION("iferror(divide(googlefinance($B209,""volumeavg""),1000),"""")"),1564.67)</f>
        <v>1564.67</v>
      </c>
      <c r="F209" s="73">
        <f>IFERROR(__xludf.DUMMYFUNCTION("iferror(MINUS(divide(GOOGLEFINANCE($B209), INDEX(GOOGLEFINANCE($B209,""price"",today()-182),2,2)),1),"""")"),2.7421487603305787)</f>
        <v>2.74214876</v>
      </c>
      <c r="G209" s="61">
        <f>IFERROR(__xludf.DUMMYFUNCTION("iferror(MINUS(divide(GOOGLEFINANCE($B209), INDEX(GOOGLEFINANCE($B209,""price"",today()-364),2,2)),1),"""")"),0.9772925764192142)</f>
        <v>0.9772925764</v>
      </c>
    </row>
    <row r="210">
      <c r="A210" s="71">
        <f t="shared" si="4"/>
        <v>206</v>
      </c>
      <c r="B210" s="47" t="s">
        <v>342</v>
      </c>
      <c r="C210" s="72">
        <f>IFERROR(__xludf.DUMMYFUNCTION("iferror(divide(googlefinance($B210,""marketcap""),1000000),"""")"),43594.760184)</f>
        <v>43594.76018</v>
      </c>
      <c r="D210" s="72">
        <f>IFERROR(__xludf.DUMMYFUNCTION("iferror(divide(googlefinance($B210,""shares""),1000),"""")"),158313.0)</f>
        <v>158313</v>
      </c>
      <c r="E210" s="72">
        <f>IFERROR(__xludf.DUMMYFUNCTION("iferror(divide(googlefinance($B210,""volumeavg""),1000),"""")"),1239.062)</f>
        <v>1239.062</v>
      </c>
      <c r="F210" s="73">
        <f>IFERROR(__xludf.DUMMYFUNCTION("iferror(MINUS(divide(GOOGLEFINANCE($B210), INDEX(GOOGLEFINANCE($B210,""price"",today()-182),2,2)),1),"""")"),-0.01219643433654971)</f>
        <v>-0.01219643434</v>
      </c>
      <c r="G210" s="61">
        <f>IFERROR(__xludf.DUMMYFUNCTION("iferror(MINUS(divide(GOOGLEFINANCE($B210), INDEX(GOOGLEFINANCE($B210,""price"",today()-364),2,2)),1),"""")"),0.15318899451400814)</f>
        <v>0.1531889945</v>
      </c>
    </row>
    <row r="211">
      <c r="A211" s="71">
        <f t="shared" si="4"/>
        <v>207</v>
      </c>
      <c r="B211" s="47" t="s">
        <v>343</v>
      </c>
      <c r="C211" s="72">
        <f>IFERROR(__xludf.DUMMYFUNCTION("iferror(divide(googlefinance($B211,""marketcap""),1000000),"""")"),767.991627)</f>
        <v>767.991627</v>
      </c>
      <c r="D211" s="72">
        <f>IFERROR(__xludf.DUMMYFUNCTION("iferror(divide(googlefinance($B211,""shares""),1000),"""")"),22280.0)</f>
        <v>22280</v>
      </c>
      <c r="E211" s="72">
        <f>IFERROR(__xludf.DUMMYFUNCTION("iferror(divide(googlefinance($B211,""volumeavg""),1000),"""")"),489.071)</f>
        <v>489.071</v>
      </c>
      <c r="F211" s="73">
        <f>IFERROR(__xludf.DUMMYFUNCTION("iferror(MINUS(divide(GOOGLEFINANCE($B211), INDEX(GOOGLEFINANCE($B211,""price"",today()-182),2,2)),1),"""")"),3.2036585365853663)</f>
        <v>3.203658537</v>
      </c>
      <c r="G211" s="61">
        <f>IFERROR(__xludf.DUMMYFUNCTION("iferror(MINUS(divide(GOOGLEFINANCE($B211), INDEX(GOOGLEFINANCE($B211,""price"",today()-364),2,2)),1),"""")"),-0.03634330444506584)</f>
        <v>-0.03634330445</v>
      </c>
    </row>
    <row r="212">
      <c r="A212" s="71">
        <f t="shared" si="4"/>
        <v>208</v>
      </c>
      <c r="B212" s="47" t="s">
        <v>344</v>
      </c>
      <c r="C212" s="72">
        <f>IFERROR(__xludf.DUMMYFUNCTION("iferror(divide(googlefinance($B212,""marketcap""),1000000),"""")"),1073.141726)</f>
        <v>1073.141726</v>
      </c>
      <c r="D212" s="72">
        <f>IFERROR(__xludf.DUMMYFUNCTION("iferror(divide(googlefinance($B212,""shares""),1000),"""")"),49408.0)</f>
        <v>49408</v>
      </c>
      <c r="E212" s="72">
        <f>IFERROR(__xludf.DUMMYFUNCTION("iferror(divide(googlefinance($B212,""volumeavg""),1000),"""")"),621.598)</f>
        <v>621.598</v>
      </c>
      <c r="F212" s="73">
        <f>IFERROR(__xludf.DUMMYFUNCTION("iferror(MINUS(divide(GOOGLEFINANCE($B212), INDEX(GOOGLEFINANCE($B212,""price"",today()-182),2,2)),1),"""")"),0.3887468030690535)</f>
        <v>0.3887468031</v>
      </c>
      <c r="G212" s="61">
        <f>IFERROR(__xludf.DUMMYFUNCTION("iferror(MINUS(divide(GOOGLEFINANCE($B212), INDEX(GOOGLEFINANCE($B212,""price"",today()-364),2,2)),1),"""")"),0.11670951156812337)</f>
        <v>0.1167095116</v>
      </c>
    </row>
    <row r="213">
      <c r="A213" s="71">
        <f t="shared" si="4"/>
        <v>209</v>
      </c>
      <c r="B213" s="47" t="s">
        <v>345</v>
      </c>
      <c r="C213" s="72" t="str">
        <f>IFERROR(__xludf.DUMMYFUNCTION("iferror(divide(googlefinance($B213,""marketcap""),1000000),"""")"),"")</f>
        <v/>
      </c>
      <c r="D213" s="72">
        <f>IFERROR(__xludf.DUMMYFUNCTION("iferror(divide(googlefinance($B213,""shares""),1000),"""")"),10411.451)</f>
        <v>10411.451</v>
      </c>
      <c r="E213" s="72" t="str">
        <f>IFERROR(__xludf.DUMMYFUNCTION("iferror(divide(googlefinance($B213,""volumeavg""),1000),"""")"),"")</f>
        <v/>
      </c>
      <c r="F213" s="73" t="str">
        <f>IFERROR(__xludf.DUMMYFUNCTION("iferror(MINUS(divide(GOOGLEFINANCE($B213), INDEX(GOOGLEFINANCE($B213,""price"",today()-182),2,2)),1),"""")"),"")</f>
        <v/>
      </c>
      <c r="G213" s="61" t="str">
        <f>IFERROR(__xludf.DUMMYFUNCTION("iferror(MINUS(divide(GOOGLEFINANCE($B213), INDEX(GOOGLEFINANCE($B213,""price"",today()-364),2,2)),1),"""")"),"")</f>
        <v/>
      </c>
    </row>
    <row r="214">
      <c r="A214" s="71">
        <f t="shared" si="4"/>
        <v>210</v>
      </c>
      <c r="B214" s="47" t="s">
        <v>346</v>
      </c>
      <c r="C214" s="72">
        <f>IFERROR(__xludf.DUMMYFUNCTION("iferror(divide(googlefinance($B214,""marketcap""),1000000),"""")"),5334.31125)</f>
        <v>5334.31125</v>
      </c>
      <c r="D214" s="72">
        <f>IFERROR(__xludf.DUMMYFUNCTION("iferror(divide(googlefinance($B214,""shares""),1000),"""")"),33081.0)</f>
        <v>33081</v>
      </c>
      <c r="E214" s="72">
        <f>IFERROR(__xludf.DUMMYFUNCTION("iferror(divide(googlefinance($B214,""volumeavg""),1000),"""")"),289.652)</f>
        <v>289.652</v>
      </c>
      <c r="F214" s="73">
        <f>IFERROR(__xludf.DUMMYFUNCTION("iferror(MINUS(divide(GOOGLEFINANCE($B214), INDEX(GOOGLEFINANCE($B214,""price"",today()-182),2,2)),1),"""")"),1.4354327140915273)</f>
        <v>1.435432714</v>
      </c>
      <c r="G214" s="61">
        <f>IFERROR(__xludf.DUMMYFUNCTION("iferror(MINUS(divide(GOOGLEFINANCE($B214), INDEX(GOOGLEFINANCE($B214,""price"",today()-364),2,2)),1),"""")"),0.6952270815811605)</f>
        <v>0.6952270816</v>
      </c>
    </row>
    <row r="215">
      <c r="A215" s="71">
        <f t="shared" si="4"/>
        <v>211</v>
      </c>
      <c r="B215" s="47" t="s">
        <v>347</v>
      </c>
      <c r="C215" s="72">
        <f>IFERROR(__xludf.DUMMYFUNCTION("iferror(divide(googlefinance($B215,""marketcap""),1000000),"""")"),3767.818297)</f>
        <v>3767.818297</v>
      </c>
      <c r="D215" s="72">
        <f>IFERROR(__xludf.DUMMYFUNCTION("iferror(divide(googlefinance($B215,""shares""),1000),"""")"),116723.0)</f>
        <v>116723</v>
      </c>
      <c r="E215" s="72">
        <f>IFERROR(__xludf.DUMMYFUNCTION("iferror(divide(googlefinance($B215,""volumeavg""),1000),"""")"),3760.358)</f>
        <v>3760.358</v>
      </c>
      <c r="F215" s="73">
        <f>IFERROR(__xludf.DUMMYFUNCTION("iferror(MINUS(divide(GOOGLEFINANCE($B215), INDEX(GOOGLEFINANCE($B215,""price"",today()-182),2,2)),1),"""")"),1.831578947368421)</f>
        <v>1.831578947</v>
      </c>
      <c r="G215" s="61">
        <f>IFERROR(__xludf.DUMMYFUNCTION("iferror(MINUS(divide(GOOGLEFINANCE($B215), INDEX(GOOGLEFINANCE($B215,""price"",today()-364),2,2)),1),"""")"),0.5932872655478776)</f>
        <v>0.5932872655</v>
      </c>
    </row>
    <row r="216">
      <c r="A216" s="71">
        <f t="shared" si="4"/>
        <v>212</v>
      </c>
      <c r="B216" s="47" t="s">
        <v>348</v>
      </c>
      <c r="C216" s="72">
        <f>IFERROR(__xludf.DUMMYFUNCTION("iferror(divide(googlefinance($B216,""marketcap""),1000000),"""")"),813.800189)</f>
        <v>813.800189</v>
      </c>
      <c r="D216" s="72">
        <f>IFERROR(__xludf.DUMMYFUNCTION("iferror(divide(googlefinance($B216,""shares""),1000),"""")"),32002.0)</f>
        <v>32002</v>
      </c>
      <c r="E216" s="72">
        <f>IFERROR(__xludf.DUMMYFUNCTION("iferror(divide(googlefinance($B216,""volumeavg""),1000),"""")"),305.821)</f>
        <v>305.821</v>
      </c>
      <c r="F216" s="73">
        <f>IFERROR(__xludf.DUMMYFUNCTION("iferror(MINUS(divide(GOOGLEFINANCE($B216), INDEX(GOOGLEFINANCE($B216,""price"",today()-182),2,2)),1),"""")"),1.7883771929824563)</f>
        <v>1.788377193</v>
      </c>
      <c r="G216" s="61">
        <f>IFERROR(__xludf.DUMMYFUNCTION("iferror(MINUS(divide(GOOGLEFINANCE($B216), INDEX(GOOGLEFINANCE($B216,""price"",today()-364),2,2)),1),"""")"),0.2261330761812923)</f>
        <v>0.2261330762</v>
      </c>
    </row>
    <row r="217">
      <c r="A217" s="71">
        <f t="shared" si="4"/>
        <v>213</v>
      </c>
      <c r="B217" s="47" t="s">
        <v>349</v>
      </c>
      <c r="C217" s="72">
        <f>IFERROR(__xludf.DUMMYFUNCTION("iferror(divide(googlefinance($B217,""marketcap""),1000000),"""")"),4239.148006)</f>
        <v>4239.148006</v>
      </c>
      <c r="D217" s="72">
        <f>IFERROR(__xludf.DUMMYFUNCTION("iferror(divide(googlefinance($B217,""shares""),1000),"""")"),63737.0)</f>
        <v>63737</v>
      </c>
      <c r="E217" s="72">
        <f>IFERROR(__xludf.DUMMYFUNCTION("iferror(divide(googlefinance($B217,""volumeavg""),1000),"""")"),158.975)</f>
        <v>158.975</v>
      </c>
      <c r="F217" s="73" t="str">
        <f>IFERROR(__xludf.DUMMYFUNCTION("iferror(MINUS(divide(GOOGLEFINANCE($B217), INDEX(GOOGLEFINANCE($B217,""price"",today()-182),2,2)),1),"""")"),"")</f>
        <v/>
      </c>
      <c r="G217" s="61" t="str">
        <f>IFERROR(__xludf.DUMMYFUNCTION("iferror(MINUS(divide(GOOGLEFINANCE($B217), INDEX(GOOGLEFINANCE($B217,""price"",today()-364),2,2)),1),"""")"),"")</f>
        <v/>
      </c>
    </row>
    <row r="218">
      <c r="A218" s="71">
        <f t="shared" si="4"/>
        <v>214</v>
      </c>
      <c r="B218" s="47" t="s">
        <v>350</v>
      </c>
      <c r="C218" s="72">
        <f>IFERROR(__xludf.DUMMYFUNCTION("iferror(divide(googlefinance($B218,""marketcap""),1000000),"""")"),27464.275791)</f>
        <v>27464.27579</v>
      </c>
      <c r="D218" s="72">
        <f>IFERROR(__xludf.DUMMYFUNCTION("iferror(divide(googlefinance($B218,""shares""),1000),"""")"),326567.0)</f>
        <v>326567</v>
      </c>
      <c r="E218" s="72">
        <f>IFERROR(__xludf.DUMMYFUNCTION("iferror(divide(googlefinance($B218,""volumeavg""),1000),"""")"),1546.315)</f>
        <v>1546.315</v>
      </c>
      <c r="F218" s="73">
        <f>IFERROR(__xludf.DUMMYFUNCTION("iferror(MINUS(divide(GOOGLEFINANCE($B218), INDEX(GOOGLEFINANCE($B218,""price"",today()-182),2,2)),1),"""")"),0.5321552195299688)</f>
        <v>0.5321552195</v>
      </c>
      <c r="G218" s="61">
        <f>IFERROR(__xludf.DUMMYFUNCTION("iferror(MINUS(divide(GOOGLEFINANCE($B218), INDEX(GOOGLEFINANCE($B218,""price"",today()-364),2,2)),1),"""")"),0.13894907908992393)</f>
        <v>0.1389490791</v>
      </c>
    </row>
    <row r="219">
      <c r="A219" s="71">
        <f t="shared" si="4"/>
        <v>215</v>
      </c>
      <c r="B219" s="47" t="s">
        <v>351</v>
      </c>
      <c r="C219" s="72">
        <f>IFERROR(__xludf.DUMMYFUNCTION("iferror(divide(googlefinance($B219,""marketcap""),1000000),"""")"),1372.736986)</f>
        <v>1372.736986</v>
      </c>
      <c r="D219" s="72">
        <f>IFERROR(__xludf.DUMMYFUNCTION("iferror(divide(googlefinance($B219,""shares""),1000),"""")"),87547.0)</f>
        <v>87547</v>
      </c>
      <c r="E219" s="72">
        <f>IFERROR(__xludf.DUMMYFUNCTION("iferror(divide(googlefinance($B219,""volumeavg""),1000),"""")"),2726.519)</f>
        <v>2726.519</v>
      </c>
      <c r="F219" s="73">
        <f>IFERROR(__xludf.DUMMYFUNCTION("iferror(MINUS(divide(GOOGLEFINANCE($B219), INDEX(GOOGLEFINANCE($B219,""price"",today()-182),2,2)),1),"""")"),2.2463768115942027)</f>
        <v>2.246376812</v>
      </c>
      <c r="G219" s="61">
        <f>IFERROR(__xludf.DUMMYFUNCTION("iferror(MINUS(divide(GOOGLEFINANCE($B219), INDEX(GOOGLEFINANCE($B219,""price"",today()-364),2,2)),1),"""")"),-0.20927887039838622)</f>
        <v>-0.2092788704</v>
      </c>
    </row>
    <row r="220">
      <c r="A220" s="71">
        <f t="shared" si="4"/>
        <v>216</v>
      </c>
      <c r="B220" s="47" t="s">
        <v>352</v>
      </c>
      <c r="C220" s="72">
        <f>IFERROR(__xludf.DUMMYFUNCTION("iferror(divide(googlefinance($B220,""marketcap""),1000000),"""")"),102.483419)</f>
        <v>102.483419</v>
      </c>
      <c r="D220" s="72">
        <f>IFERROR(__xludf.DUMMYFUNCTION("iferror(divide(googlefinance($B220,""shares""),1000),"""")"),9498.0)</f>
        <v>9498</v>
      </c>
      <c r="E220" s="72">
        <f>IFERROR(__xludf.DUMMYFUNCTION("iferror(divide(googlefinance($B220,""volumeavg""),1000),"""")"),70.281)</f>
        <v>70.281</v>
      </c>
      <c r="F220" s="73">
        <f>IFERROR(__xludf.DUMMYFUNCTION("iferror(MINUS(divide(GOOGLEFINANCE($B220), INDEX(GOOGLEFINANCE($B220,""price"",today()-182),2,2)),1),"""")"),-0.40055555555555555)</f>
        <v>-0.4005555556</v>
      </c>
      <c r="G220" s="61">
        <f>IFERROR(__xludf.DUMMYFUNCTION("iferror(MINUS(divide(GOOGLEFINANCE($B220), INDEX(GOOGLEFINANCE($B220,""price"",today()-364),2,2)),1),"""")"),0.21645997745208567)</f>
        <v>0.2164599775</v>
      </c>
    </row>
    <row r="221">
      <c r="A221" s="71">
        <f t="shared" si="4"/>
        <v>217</v>
      </c>
      <c r="B221" s="47" t="s">
        <v>353</v>
      </c>
      <c r="C221" s="72">
        <f>IFERROR(__xludf.DUMMYFUNCTION("iferror(divide(googlefinance($B221,""marketcap""),1000000),"""")"),116.939552)</f>
        <v>116.939552</v>
      </c>
      <c r="D221" s="72">
        <f>IFERROR(__xludf.DUMMYFUNCTION("iferror(divide(googlefinance($B221,""shares""),1000),"""")"),296509.0)</f>
        <v>296509</v>
      </c>
      <c r="E221" s="72">
        <f>IFERROR(__xludf.DUMMYFUNCTION("iferror(divide(googlefinance($B221,""volumeavg""),1000),"""")"),311.626)</f>
        <v>311.626</v>
      </c>
      <c r="F221" s="73">
        <f>IFERROR(__xludf.DUMMYFUNCTION("iferror(MINUS(divide(GOOGLEFINANCE($B221), INDEX(GOOGLEFINANCE($B221,""price"",today()-182),2,2)),1),"""")"),0.47899159663865554)</f>
        <v>0.4789915966</v>
      </c>
      <c r="G221" s="61">
        <f>IFERROR(__xludf.DUMMYFUNCTION("iferror(MINUS(divide(GOOGLEFINANCE($B221), INDEX(GOOGLEFINANCE($B221,""price"",today()-364),2,2)),1),"""")"),-0.3736654804270463)</f>
        <v>-0.3736654804</v>
      </c>
    </row>
    <row r="222">
      <c r="A222" s="71">
        <f t="shared" si="4"/>
        <v>218</v>
      </c>
      <c r="B222" s="47" t="s">
        <v>354</v>
      </c>
      <c r="C222" s="72">
        <f>IFERROR(__xludf.DUMMYFUNCTION("iferror(divide(googlefinance($B222,""marketcap""),1000000),"""")"),3703.187801)</f>
        <v>3703.187801</v>
      </c>
      <c r="D222" s="72">
        <f>IFERROR(__xludf.DUMMYFUNCTION("iferror(divide(googlefinance($B222,""shares""),1000),"""")"),66223.0)</f>
        <v>66223</v>
      </c>
      <c r="E222" s="72">
        <f>IFERROR(__xludf.DUMMYFUNCTION("iferror(divide(googlefinance($B222,""volumeavg""),1000),"""")"),672.839)</f>
        <v>672.839</v>
      </c>
      <c r="F222" s="73">
        <f>IFERROR(__xludf.DUMMYFUNCTION("iferror(MINUS(divide(GOOGLEFINANCE($B222), INDEX(GOOGLEFINANCE($B222,""price"",today()-182),2,2)),1),"""")"),0.15061728395061724)</f>
        <v>0.150617284</v>
      </c>
      <c r="G222" s="61">
        <f>IFERROR(__xludf.DUMMYFUNCTION("iferror(MINUS(divide(GOOGLEFINANCE($B222), INDEX(GOOGLEFINANCE($B222,""price"",today()-364),2,2)),1),"""")"),-0.4764535155884281)</f>
        <v>-0.4764535156</v>
      </c>
    </row>
    <row r="223">
      <c r="A223" s="71">
        <f t="shared" si="4"/>
        <v>219</v>
      </c>
      <c r="B223" s="47" t="s">
        <v>355</v>
      </c>
      <c r="C223" s="72">
        <f>IFERROR(__xludf.DUMMYFUNCTION("iferror(divide(googlefinance($B223,""marketcap""),1000000),"""")"),2819.605224)</f>
        <v>2819.605224</v>
      </c>
      <c r="D223" s="72">
        <f>IFERROR(__xludf.DUMMYFUNCTION("iferror(divide(googlefinance($B223,""shares""),1000),"""")"),67078.0)</f>
        <v>67078</v>
      </c>
      <c r="E223" s="72">
        <f>IFERROR(__xludf.DUMMYFUNCTION("iferror(divide(googlefinance($B223,""volumeavg""),1000),"""")"),1085.405)</f>
        <v>1085.405</v>
      </c>
      <c r="F223" s="73">
        <f>IFERROR(__xludf.DUMMYFUNCTION("iferror(MINUS(divide(GOOGLEFINANCE($B223), INDEX(GOOGLEFINANCE($B223,""price"",today()-182),2,2)),1),"""")"),1.6275)</f>
        <v>1.6275</v>
      </c>
      <c r="G223" s="61">
        <f>IFERROR(__xludf.DUMMYFUNCTION("iferror(MINUS(divide(GOOGLEFINANCE($B223), INDEX(GOOGLEFINANCE($B223,""price"",today()-364),2,2)),1),"""")"),0.6564223798266351)</f>
        <v>0.6564223798</v>
      </c>
    </row>
    <row r="224">
      <c r="A224" s="71">
        <f t="shared" si="4"/>
        <v>220</v>
      </c>
      <c r="B224" s="47" t="s">
        <v>356</v>
      </c>
      <c r="C224" s="72">
        <f>IFERROR(__xludf.DUMMYFUNCTION("iferror(divide(googlefinance($B224,""marketcap""),1000000),"""")"),14210.58611)</f>
        <v>14210.58611</v>
      </c>
      <c r="D224" s="72">
        <f>IFERROR(__xludf.DUMMYFUNCTION("iferror(divide(googlefinance($B224,""shares""),1000),"""")"),181350.0)</f>
        <v>181350</v>
      </c>
      <c r="E224" s="72">
        <f>IFERROR(__xludf.DUMMYFUNCTION("iferror(divide(googlefinance($B224,""volumeavg""),1000),"""")"),3363.946)</f>
        <v>3363.946</v>
      </c>
      <c r="F224" s="73">
        <f>IFERROR(__xludf.DUMMYFUNCTION("iferror(MINUS(divide(GOOGLEFINANCE($B224), INDEX(GOOGLEFINANCE($B224,""price"",today()-182),2,2)),1),"""")"),0.07268993839835725)</f>
        <v>0.0726899384</v>
      </c>
      <c r="G224" s="61">
        <f>IFERROR(__xludf.DUMMYFUNCTION("iferror(MINUS(divide(GOOGLEFINANCE($B224), INDEX(GOOGLEFINANCE($B224,""price"",today()-364),2,2)),1),"""")"),0.04549699799866569)</f>
        <v>0.045496998</v>
      </c>
    </row>
    <row r="225">
      <c r="A225" s="71">
        <f t="shared" si="4"/>
        <v>221</v>
      </c>
      <c r="B225" s="47" t="s">
        <v>357</v>
      </c>
      <c r="C225" s="72">
        <f>IFERROR(__xludf.DUMMYFUNCTION("iferror(divide(googlefinance($B225,""marketcap""),1000000),"""")"),133883.683039)</f>
        <v>133883.683</v>
      </c>
      <c r="D225" s="72">
        <f>IFERROR(__xludf.DUMMYFUNCTION("iferror(divide(googlefinance($B225,""shares""),1000),"""")"),2253935.0)</f>
        <v>2253935</v>
      </c>
      <c r="E225" s="72">
        <f>IFERROR(__xludf.DUMMYFUNCTION("iferror(divide(googlefinance($B225,""volumeavg""),1000),"""")"),9713.121)</f>
        <v>9713.121</v>
      </c>
      <c r="F225" s="73">
        <f>IFERROR(__xludf.DUMMYFUNCTION("iferror(MINUS(divide(GOOGLEFINANCE($B225), INDEX(GOOGLEFINANCE($B225,""price"",today()-182),2,2)),1),"""")"),0.2272727272727273)</f>
        <v>0.2272727273</v>
      </c>
      <c r="G225" s="61">
        <f>IFERROR(__xludf.DUMMYFUNCTION("iferror(MINUS(divide(GOOGLEFINANCE($B225), INDEX(GOOGLEFINANCE($B225,""price"",today()-364),2,2)),1),"""")"),0.1746094522444137)</f>
        <v>0.1746094522</v>
      </c>
    </row>
    <row r="226">
      <c r="A226" s="71">
        <f t="shared" si="4"/>
        <v>222</v>
      </c>
      <c r="B226" s="47" t="s">
        <v>358</v>
      </c>
      <c r="C226" s="72">
        <f>IFERROR(__xludf.DUMMYFUNCTION("iferror(divide(googlefinance($B226,""marketcap""),1000000),"""")"),109.42425)</f>
        <v>109.42425</v>
      </c>
      <c r="D226" s="72">
        <f>IFERROR(__xludf.DUMMYFUNCTION("iferror(divide(googlefinance($B226,""shares""),1000),"""")"),48633.0)</f>
        <v>48633</v>
      </c>
      <c r="E226" s="72">
        <f>IFERROR(__xludf.DUMMYFUNCTION("iferror(divide(googlefinance($B226,""volumeavg""),1000),"""")"),509.187)</f>
        <v>509.187</v>
      </c>
      <c r="F226" s="73">
        <f>IFERROR(__xludf.DUMMYFUNCTION("iferror(MINUS(divide(GOOGLEFINANCE($B226), INDEX(GOOGLEFINANCE($B226,""price"",today()-182),2,2)),1),"""")"),0.6187050359712232)</f>
        <v>0.618705036</v>
      </c>
      <c r="G226" s="61">
        <f>IFERROR(__xludf.DUMMYFUNCTION("iferror(MINUS(divide(GOOGLEFINANCE($B226), INDEX(GOOGLEFINANCE($B226,""price"",today()-364),2,2)),1),"""")"),-0.27884615384615385)</f>
        <v>-0.2788461538</v>
      </c>
    </row>
    <row r="227">
      <c r="A227" s="71">
        <f t="shared" si="4"/>
        <v>223</v>
      </c>
      <c r="B227" s="47" t="s">
        <v>359</v>
      </c>
      <c r="C227" s="72">
        <f>IFERROR(__xludf.DUMMYFUNCTION("iferror(divide(googlefinance($B227,""marketcap""),1000000),"""")"),15905.212683)</f>
        <v>15905.21268</v>
      </c>
      <c r="D227" s="72">
        <f>IFERROR(__xludf.DUMMYFUNCTION("iferror(divide(googlefinance($B227,""shares""),1000),"""")"),238173.0)</f>
        <v>238173</v>
      </c>
      <c r="E227" s="72">
        <f>IFERROR(__xludf.DUMMYFUNCTION("iferror(divide(googlefinance($B227,""volumeavg""),1000),"""")"),2803.219)</f>
        <v>2803.219</v>
      </c>
      <c r="F227" s="73">
        <f>IFERROR(__xludf.DUMMYFUNCTION("iferror(MINUS(divide(GOOGLEFINANCE($B227), INDEX(GOOGLEFINANCE($B227,""price"",today()-182),2,2)),1),"""")"),0.43612903225806443)</f>
        <v>0.4361290323</v>
      </c>
      <c r="G227" s="61" t="str">
        <f>IFERROR(__xludf.DUMMYFUNCTION("iferror(MINUS(divide(GOOGLEFINANCE($B227), INDEX(GOOGLEFINANCE($B227,""price"",today()-364),2,2)),1),"""")"),"")</f>
        <v/>
      </c>
    </row>
    <row r="228">
      <c r="A228" s="71">
        <f t="shared" si="4"/>
        <v>224</v>
      </c>
      <c r="B228" s="47" t="s">
        <v>360</v>
      </c>
      <c r="C228" s="72">
        <f>IFERROR(__xludf.DUMMYFUNCTION("iferror(divide(googlefinance($B228,""marketcap""),1000000),"""")"),849.520655)</f>
        <v>849.520655</v>
      </c>
      <c r="D228" s="72" t="str">
        <f>IFERROR(__xludf.DUMMYFUNCTION("iferror(divide(googlefinance($B228,""shares""),1000),"""")"),"")</f>
        <v/>
      </c>
      <c r="E228" s="72">
        <f>IFERROR(__xludf.DUMMYFUNCTION("iferror(divide(googlefinance($B228,""volumeavg""),1000),"""")"),877.886)</f>
        <v>877.886</v>
      </c>
      <c r="F228" s="73">
        <f>IFERROR(__xludf.DUMMYFUNCTION("iferror(MINUS(divide(GOOGLEFINANCE($B228), INDEX(GOOGLEFINANCE($B228,""price"",today()-182),2,2)),1),"""")"),1.3495610534716684)</f>
        <v>1.349561053</v>
      </c>
      <c r="G228" s="61">
        <f>IFERROR(__xludf.DUMMYFUNCTION("iferror(MINUS(divide(GOOGLEFINANCE($B228), INDEX(GOOGLEFINANCE($B228,""price"",today()-364),2,2)),1),"""")"),-0.18380925977266427)</f>
        <v>-0.1838092598</v>
      </c>
    </row>
    <row r="229">
      <c r="A229" s="71">
        <f t="shared" si="4"/>
        <v>225</v>
      </c>
      <c r="B229" s="47" t="s">
        <v>361</v>
      </c>
      <c r="C229" s="72">
        <f>IFERROR(__xludf.DUMMYFUNCTION("iferror(divide(googlefinance($B229,""marketcap""),1000000),"""")"),4330.008277)</f>
        <v>4330.008277</v>
      </c>
      <c r="D229" s="72">
        <f>IFERROR(__xludf.DUMMYFUNCTION("iferror(divide(googlefinance($B229,""shares""),1000),"""")"),55272.0)</f>
        <v>55272</v>
      </c>
      <c r="E229" s="72">
        <f>IFERROR(__xludf.DUMMYFUNCTION("iferror(divide(googlefinance($B229,""volumeavg""),1000),"""")"),348.541)</f>
        <v>348.541</v>
      </c>
      <c r="F229" s="73">
        <f>IFERROR(__xludf.DUMMYFUNCTION("iferror(MINUS(divide(GOOGLEFINANCE($B229), INDEX(GOOGLEFINANCE($B229,""price"",today()-182),2,2)),1),"""")"),0.4651206283897513)</f>
        <v>0.4651206284</v>
      </c>
      <c r="G229" s="61">
        <f>IFERROR(__xludf.DUMMYFUNCTION("iferror(MINUS(divide(GOOGLEFINANCE($B229), INDEX(GOOGLEFINANCE($B229,""price"",today()-364),2,2)),1),"""")"),-0.0316440049443758)</f>
        <v>-0.03164400494</v>
      </c>
    </row>
    <row r="230">
      <c r="A230" s="71">
        <f t="shared" si="4"/>
        <v>226</v>
      </c>
      <c r="B230" s="47" t="s">
        <v>362</v>
      </c>
      <c r="C230" s="72">
        <f>IFERROR(__xludf.DUMMYFUNCTION("iferror(divide(googlefinance($B230,""marketcap""),1000000),"""")"),303.729299)</f>
        <v>303.729299</v>
      </c>
      <c r="D230" s="72">
        <f>IFERROR(__xludf.DUMMYFUNCTION("iferror(divide(googlefinance($B230,""shares""),1000),"""")"),19545.0)</f>
        <v>19545</v>
      </c>
      <c r="E230" s="72">
        <f>IFERROR(__xludf.DUMMYFUNCTION("iferror(divide(googlefinance($B230,""volumeavg""),1000),"""")"),121.34)</f>
        <v>121.34</v>
      </c>
      <c r="F230" s="73">
        <f>IFERROR(__xludf.DUMMYFUNCTION("iferror(MINUS(divide(GOOGLEFINANCE($B230), INDEX(GOOGLEFINANCE($B230,""price"",today()-182),2,2)),1),"""")"),0.21311475409836045)</f>
        <v>0.2131147541</v>
      </c>
      <c r="G230" s="61">
        <f>IFERROR(__xludf.DUMMYFUNCTION("iferror(MINUS(divide(GOOGLEFINANCE($B230), INDEX(GOOGLEFINANCE($B230,""price"",today()-364),2,2)),1),"""")"),0.8813559322033897)</f>
        <v>0.8813559322</v>
      </c>
    </row>
    <row r="231">
      <c r="A231" s="71">
        <f t="shared" si="4"/>
        <v>227</v>
      </c>
      <c r="B231" s="47" t="s">
        <v>363</v>
      </c>
      <c r="C231" s="72">
        <f>IFERROR(__xludf.DUMMYFUNCTION("iferror(divide(googlefinance($B231,""marketcap""),1000000),"""")"),17354.42903)</f>
        <v>17354.42903</v>
      </c>
      <c r="D231" s="72">
        <f>IFERROR(__xludf.DUMMYFUNCTION("iferror(divide(googlefinance($B231,""shares""),1000),"""")"),812473.0)</f>
        <v>812473</v>
      </c>
      <c r="E231" s="72">
        <f>IFERROR(__xludf.DUMMYFUNCTION("iferror(divide(googlefinance($B231,""volumeavg""),1000),"""")"),3240.333)</f>
        <v>3240.333</v>
      </c>
      <c r="F231" s="73">
        <f>IFERROR(__xludf.DUMMYFUNCTION("iferror(MINUS(divide(GOOGLEFINANCE($B231), INDEX(GOOGLEFINANCE($B231,""price"",today()-182),2,2)),1),"""")"),0.492753623188406)</f>
        <v>0.4927536232</v>
      </c>
      <c r="G231" s="61">
        <f>IFERROR(__xludf.DUMMYFUNCTION("iferror(MINUS(divide(GOOGLEFINANCE($B231), INDEX(GOOGLEFINANCE($B231,""price"",today()-364),2,2)),1),"""")"),-0.5521739130434782)</f>
        <v>-0.552173913</v>
      </c>
    </row>
    <row r="232">
      <c r="A232" s="71">
        <f t="shared" si="4"/>
        <v>228</v>
      </c>
      <c r="B232" s="47" t="s">
        <v>364</v>
      </c>
      <c r="C232" s="72">
        <f>IFERROR(__xludf.DUMMYFUNCTION("iferror(divide(googlefinance($B232,""marketcap""),1000000),"""")"),163.567544)</f>
        <v>163.567544</v>
      </c>
      <c r="D232" s="72">
        <f>IFERROR(__xludf.DUMMYFUNCTION("iferror(divide(googlefinance($B232,""shares""),1000),"""")"),9077.0)</f>
        <v>9077</v>
      </c>
      <c r="E232" s="72">
        <f>IFERROR(__xludf.DUMMYFUNCTION("iferror(divide(googlefinance($B232,""volumeavg""),1000),"""")"),2.15)</f>
        <v>2.15</v>
      </c>
      <c r="F232" s="73">
        <f>IFERROR(__xludf.DUMMYFUNCTION("iferror(MINUS(divide(GOOGLEFINANCE($B232), INDEX(GOOGLEFINANCE($B232,""price"",today()-182),2,2)),1),"""")"),0.10552147239263787)</f>
        <v>0.1055214724</v>
      </c>
      <c r="G232" s="61">
        <f>IFERROR(__xludf.DUMMYFUNCTION("iferror(MINUS(divide(GOOGLEFINANCE($B232), INDEX(GOOGLEFINANCE($B232,""price"",today()-364),2,2)),1),"""")"),-0.48366762177650424)</f>
        <v>-0.4836676218</v>
      </c>
    </row>
    <row r="233">
      <c r="A233" s="71">
        <f t="shared" si="4"/>
        <v>229</v>
      </c>
      <c r="B233" s="47" t="s">
        <v>365</v>
      </c>
      <c r="C233" s="72">
        <f>IFERROR(__xludf.DUMMYFUNCTION("iferror(divide(googlefinance($B233,""marketcap""),1000000),"""")"),5976.43854)</f>
        <v>5976.43854</v>
      </c>
      <c r="D233" s="72">
        <f>IFERROR(__xludf.DUMMYFUNCTION("iferror(divide(googlefinance($B233,""shares""),1000),"""")"),153085.0)</f>
        <v>153085</v>
      </c>
      <c r="E233" s="72">
        <f>IFERROR(__xludf.DUMMYFUNCTION("iferror(divide(googlefinance($B233,""volumeavg""),1000),"""")"),359.111)</f>
        <v>359.111</v>
      </c>
      <c r="F233" s="73">
        <f>IFERROR(__xludf.DUMMYFUNCTION("iferror(MINUS(divide(GOOGLEFINANCE($B233), INDEX(GOOGLEFINANCE($B233,""price"",today()-182),2,2)),1),"""")"),0.13587430899039865)</f>
        <v>0.135874309</v>
      </c>
      <c r="G233" s="61">
        <f>IFERROR(__xludf.DUMMYFUNCTION("iferror(MINUS(divide(GOOGLEFINANCE($B233), INDEX(GOOGLEFINANCE($B233,""price"",today()-364),2,2)),1),"""")"),-0.10335323840146993)</f>
        <v>-0.1033532384</v>
      </c>
    </row>
    <row r="234">
      <c r="A234" s="71">
        <f t="shared" si="4"/>
        <v>230</v>
      </c>
      <c r="B234" s="47" t="s">
        <v>366</v>
      </c>
      <c r="C234" s="72">
        <f>IFERROR(__xludf.DUMMYFUNCTION("iferror(divide(googlefinance($B234,""marketcap""),1000000),"""")"),3367.144112)</f>
        <v>3367.144112</v>
      </c>
      <c r="D234" s="72">
        <f>IFERROR(__xludf.DUMMYFUNCTION("iferror(divide(googlefinance($B234,""shares""),1000),"""")"),73760.0)</f>
        <v>73760</v>
      </c>
      <c r="E234" s="72">
        <f>IFERROR(__xludf.DUMMYFUNCTION("iferror(divide(googlefinance($B234,""volumeavg""),1000),"""")"),373.007)</f>
        <v>373.007</v>
      </c>
      <c r="F234" s="73">
        <f>IFERROR(__xludf.DUMMYFUNCTION("iferror(MINUS(divide(GOOGLEFINANCE($B234), INDEX(GOOGLEFINANCE($B234,""price"",today()-182),2,2)),1),"""")"),0.9847826086956522)</f>
        <v>0.9847826087</v>
      </c>
      <c r="G234" s="61">
        <f>IFERROR(__xludf.DUMMYFUNCTION("iferror(MINUS(divide(GOOGLEFINANCE($B234), INDEX(GOOGLEFINANCE($B234,""price"",today()-364),2,2)),1),"""")"),0.15862944162436543)</f>
        <v>0.1586294416</v>
      </c>
    </row>
    <row r="235">
      <c r="A235" s="71">
        <f t="shared" si="4"/>
        <v>231</v>
      </c>
      <c r="B235" s="47" t="s">
        <v>367</v>
      </c>
      <c r="C235" s="72">
        <f>IFERROR(__xludf.DUMMYFUNCTION("iferror(divide(googlefinance($B235,""marketcap""),1000000),"""")"),139.93)</f>
        <v>139.93</v>
      </c>
      <c r="D235" s="72">
        <f>IFERROR(__xludf.DUMMYFUNCTION("iferror(divide(googlefinance($B235,""shares""),1000),"""")"),9995.0)</f>
        <v>9995</v>
      </c>
      <c r="E235" s="72">
        <f>IFERROR(__xludf.DUMMYFUNCTION("iferror(divide(googlefinance($B235,""volumeavg""),1000),"""")"),91.428)</f>
        <v>91.428</v>
      </c>
      <c r="F235" s="73">
        <f>IFERROR(__xludf.DUMMYFUNCTION("iferror(MINUS(divide(GOOGLEFINANCE($B235), INDEX(GOOGLEFINANCE($B235,""price"",today()-182),2,2)),1),"""")"),1.393162393162393)</f>
        <v>1.393162393</v>
      </c>
      <c r="G235" s="61">
        <f>IFERROR(__xludf.DUMMYFUNCTION("iferror(MINUS(divide(GOOGLEFINANCE($B235), INDEX(GOOGLEFINANCE($B235,""price"",today()-364),2,2)),1),"""")"),-0.07834101382488479)</f>
        <v>-0.07834101382</v>
      </c>
    </row>
    <row r="236">
      <c r="A236" s="71">
        <f t="shared" si="4"/>
        <v>232</v>
      </c>
      <c r="B236" s="47" t="s">
        <v>368</v>
      </c>
      <c r="C236" s="72">
        <f>IFERROR(__xludf.DUMMYFUNCTION("iferror(divide(googlefinance($B236,""marketcap""),1000000),"""")"),253.032642)</f>
        <v>253.032642</v>
      </c>
      <c r="D236" s="72">
        <f>IFERROR(__xludf.DUMMYFUNCTION("iferror(divide(googlefinance($B236,""shares""),1000),"""")"),29804.0)</f>
        <v>29804</v>
      </c>
      <c r="E236" s="72">
        <f>IFERROR(__xludf.DUMMYFUNCTION("iferror(divide(googlefinance($B236,""volumeavg""),1000),"""")"),520.345)</f>
        <v>520.345</v>
      </c>
      <c r="F236" s="73">
        <f>IFERROR(__xludf.DUMMYFUNCTION("iferror(MINUS(divide(GOOGLEFINANCE($B236), INDEX(GOOGLEFINANCE($B236,""price"",today()-182),2,2)),1),"""")"),1.8682432432432434)</f>
        <v>1.868243243</v>
      </c>
      <c r="G236" s="61">
        <f>IFERROR(__xludf.DUMMYFUNCTION("iferror(MINUS(divide(GOOGLEFINANCE($B236), INDEX(GOOGLEFINANCE($B236,""price"",today()-364),2,2)),1),"""")"),0.026602176541717037)</f>
        <v>0.02660217654</v>
      </c>
    </row>
    <row r="237">
      <c r="A237" s="71">
        <f t="shared" si="4"/>
        <v>233</v>
      </c>
      <c r="B237" s="47" t="s">
        <v>369</v>
      </c>
      <c r="C237" s="72">
        <f>IFERROR(__xludf.DUMMYFUNCTION("iferror(divide(googlefinance($B237,""marketcap""),1000000),"""")"),408.308551)</f>
        <v>408.308551</v>
      </c>
      <c r="D237" s="72">
        <f>IFERROR(__xludf.DUMMYFUNCTION("iferror(divide(googlefinance($B237,""shares""),1000),"""")"),7345.0)</f>
        <v>7345</v>
      </c>
      <c r="E237" s="72">
        <f>IFERROR(__xludf.DUMMYFUNCTION("iferror(divide(googlefinance($B237,""volumeavg""),1000),"""")"),32.782)</f>
        <v>32.782</v>
      </c>
      <c r="F237" s="73">
        <f>IFERROR(__xludf.DUMMYFUNCTION("iferror(MINUS(divide(GOOGLEFINANCE($B237), INDEX(GOOGLEFINANCE($B237,""price"",today()-182),2,2)),1),"""")"),0.2500562176748371)</f>
        <v>0.2500562177</v>
      </c>
      <c r="G237" s="61">
        <f>IFERROR(__xludf.DUMMYFUNCTION("iferror(MINUS(divide(GOOGLEFINANCE($B237), INDEX(GOOGLEFINANCE($B237,""price"",today()-364),2,2)),1),"""")"),-0.037402597402597326)</f>
        <v>-0.0374025974</v>
      </c>
    </row>
    <row r="238">
      <c r="A238" s="71">
        <f t="shared" si="4"/>
        <v>234</v>
      </c>
      <c r="B238" s="47" t="s">
        <v>370</v>
      </c>
      <c r="C238" s="72">
        <f>IFERROR(__xludf.DUMMYFUNCTION("iferror(divide(googlefinance($B238,""marketcap""),1000000),"""")"),56754.87463)</f>
        <v>56754.87463</v>
      </c>
      <c r="D238" s="72">
        <f>IFERROR(__xludf.DUMMYFUNCTION("iferror(divide(googlefinance($B238,""shares""),1000),"""")"),1430675.0)</f>
        <v>1430675</v>
      </c>
      <c r="E238" s="72">
        <f>IFERROR(__xludf.DUMMYFUNCTION("iferror(divide(googlefinance($B238,""volumeavg""),1000),"""")"),6599.626)</f>
        <v>6599.626</v>
      </c>
      <c r="F238" s="73">
        <f>IFERROR(__xludf.DUMMYFUNCTION("iferror(MINUS(divide(GOOGLEFINANCE($B238), INDEX(GOOGLEFINANCE($B238,""price"",today()-182),2,2)),1),"""")"),0.45631424375917784)</f>
        <v>0.4563142438</v>
      </c>
      <c r="G238" s="61">
        <f>IFERROR(__xludf.DUMMYFUNCTION("iferror(MINUS(divide(GOOGLEFINANCE($B238), INDEX(GOOGLEFINANCE($B238,""price"",today()-364),2,2)),1),"""")"),-0.08362208362208357)</f>
        <v>-0.08362208362</v>
      </c>
    </row>
    <row r="239">
      <c r="A239" s="71">
        <f t="shared" si="4"/>
        <v>235</v>
      </c>
      <c r="B239" s="47" t="s">
        <v>371</v>
      </c>
      <c r="C239" s="72">
        <f>IFERROR(__xludf.DUMMYFUNCTION("iferror(divide(googlefinance($B239,""marketcap""),1000000),"""")"),1079.52297)</f>
        <v>1079.52297</v>
      </c>
      <c r="D239" s="72">
        <f>IFERROR(__xludf.DUMMYFUNCTION("iferror(divide(googlefinance($B239,""shares""),1000),"""")"),22355.0)</f>
        <v>22355</v>
      </c>
      <c r="E239" s="72">
        <f>IFERROR(__xludf.DUMMYFUNCTION("iferror(divide(googlefinance($B239,""volumeavg""),1000),"""")"),648.093)</f>
        <v>648.093</v>
      </c>
      <c r="F239" s="73">
        <f>IFERROR(__xludf.DUMMYFUNCTION("iferror(MINUS(divide(GOOGLEFINANCE($B239), INDEX(GOOGLEFINANCE($B239,""price"",today()-182),2,2)),1),"""")"),1.7977983777520277)</f>
        <v>1.797798378</v>
      </c>
      <c r="G239" s="61">
        <f>IFERROR(__xludf.DUMMYFUNCTION("iferror(MINUS(divide(GOOGLEFINANCE($B239), INDEX(GOOGLEFINANCE($B239,""price"",today()-364),2,2)),1),"""")"),3.5257731958762886)</f>
        <v>3.525773196</v>
      </c>
    </row>
    <row r="240">
      <c r="A240" s="71">
        <f t="shared" si="4"/>
        <v>236</v>
      </c>
      <c r="B240" s="47" t="s">
        <v>372</v>
      </c>
      <c r="C240" s="72">
        <f>IFERROR(__xludf.DUMMYFUNCTION("iferror(divide(googlefinance($B240,""marketcap""),1000000),"""")"),9595.652358)</f>
        <v>9595.652358</v>
      </c>
      <c r="D240" s="72">
        <f>IFERROR(__xludf.DUMMYFUNCTION("iferror(divide(googlefinance($B240,""shares""),1000),"""")"),1045278.0)</f>
        <v>1045278</v>
      </c>
      <c r="E240" s="72">
        <f>IFERROR(__xludf.DUMMYFUNCTION("iferror(divide(googlefinance($B240,""volumeavg""),1000),"""")"),8410.123)</f>
        <v>8410.123</v>
      </c>
      <c r="F240" s="73">
        <f>IFERROR(__xludf.DUMMYFUNCTION("iferror(MINUS(divide(GOOGLEFINANCE($B240), INDEX(GOOGLEFINANCE($B240,""price"",today()-182),2,2)),1),"""")"),1.5719557195571956)</f>
        <v>1.57195572</v>
      </c>
      <c r="G240" s="61">
        <f>IFERROR(__xludf.DUMMYFUNCTION("iferror(MINUS(divide(GOOGLEFINANCE($B240), INDEX(GOOGLEFINANCE($B240,""price"",today()-364),2,2)),1),"""")"),1.0261627906976742)</f>
        <v>1.026162791</v>
      </c>
    </row>
    <row r="241">
      <c r="A241" s="71">
        <f t="shared" si="4"/>
        <v>237</v>
      </c>
      <c r="B241" s="47" t="s">
        <v>373</v>
      </c>
      <c r="C241" s="72">
        <f>IFERROR(__xludf.DUMMYFUNCTION("iferror(divide(googlefinance($B241,""marketcap""),1000000),"""")"),80229.29584)</f>
        <v>80229.29584</v>
      </c>
      <c r="D241" s="72">
        <f>IFERROR(__xludf.DUMMYFUNCTION("iferror(divide(googlefinance($B241,""shares""),1000),"""")"),2294232.0)</f>
        <v>2294232</v>
      </c>
      <c r="E241" s="72">
        <f>IFERROR(__xludf.DUMMYFUNCTION("iferror(divide(googlefinance($B241,""volumeavg""),1000),"""")"),2657.481)</f>
        <v>2657.481</v>
      </c>
      <c r="F241" s="73">
        <f>IFERROR(__xludf.DUMMYFUNCTION("iferror(MINUS(divide(GOOGLEFINANCE($B241), INDEX(GOOGLEFINANCE($B241,""price"",today()-182),2,2)),1),"""")"),0.17034805890227567)</f>
        <v>0.1703480589</v>
      </c>
      <c r="G241" s="61">
        <f>IFERROR(__xludf.DUMMYFUNCTION("iferror(MINUS(divide(GOOGLEFINANCE($B241), INDEX(GOOGLEFINANCE($B241,""price"",today()-364),2,2)),1),"""")"),-0.036373656654725806)</f>
        <v>-0.03637365665</v>
      </c>
    </row>
    <row r="242">
      <c r="A242" s="71">
        <f t="shared" si="4"/>
        <v>238</v>
      </c>
      <c r="B242" s="47" t="s">
        <v>374</v>
      </c>
      <c r="C242" s="72">
        <f>IFERROR(__xludf.DUMMYFUNCTION("iferror(divide(googlefinance($B242,""marketcap""),1000000),"""")"),25.143)</f>
        <v>25.143</v>
      </c>
      <c r="D242" s="72">
        <f>IFERROR(__xludf.DUMMYFUNCTION("iferror(divide(googlefinance($B242,""shares""),1000),"""")"),14790.0)</f>
        <v>14790</v>
      </c>
      <c r="E242" s="72">
        <f>IFERROR(__xludf.DUMMYFUNCTION("iferror(divide(googlefinance($B242,""volumeavg""),1000),"""")"),32.302)</f>
        <v>32.302</v>
      </c>
      <c r="F242" s="73">
        <f>IFERROR(__xludf.DUMMYFUNCTION("iferror(MINUS(divide(GOOGLEFINANCE($B242), INDEX(GOOGLEFINANCE($B242,""price"",today()-182),2,2)),1),"""")"),0.10389610389610393)</f>
        <v>0.1038961039</v>
      </c>
      <c r="G242" s="61">
        <f>IFERROR(__xludf.DUMMYFUNCTION("iferror(MINUS(divide(GOOGLEFINANCE($B242), INDEX(GOOGLEFINANCE($B242,""price"",today()-364),2,2)),1),"""")"),-0.4178082191780822)</f>
        <v>-0.4178082192</v>
      </c>
    </row>
    <row r="243">
      <c r="A243" s="71">
        <f t="shared" si="4"/>
        <v>239</v>
      </c>
      <c r="B243" s="47" t="s">
        <v>375</v>
      </c>
      <c r="C243" s="72">
        <f>IFERROR(__xludf.DUMMYFUNCTION("iferror(divide(googlefinance($B243,""marketcap""),1000000),"""")"),98638.454)</f>
        <v>98638.454</v>
      </c>
      <c r="D243" s="72">
        <f>IFERROR(__xludf.DUMMYFUNCTION("iferror(divide(googlefinance($B243,""shares""),1000),"""")"),1693242.0)</f>
        <v>1693242</v>
      </c>
      <c r="E243" s="72">
        <f>IFERROR(__xludf.DUMMYFUNCTION("iferror(divide(googlefinance($B243,""volumeavg""),1000),"""")"),1479.398)</f>
        <v>1479.398</v>
      </c>
      <c r="F243" s="73">
        <f>IFERROR(__xludf.DUMMYFUNCTION("iferror(MINUS(divide(GOOGLEFINANCE($B243), INDEX(GOOGLEFINANCE($B243,""price"",today()-182),2,2)),1),"""")"),0.43920595533498763)</f>
        <v>0.4392059553</v>
      </c>
      <c r="G243" s="61">
        <f>IFERROR(__xludf.DUMMYFUNCTION("iferror(MINUS(divide(GOOGLEFINANCE($B243), INDEX(GOOGLEFINANCE($B243,""price"",today()-364),2,2)),1),"""")"),-0.3978405315614617)</f>
        <v>-0.3978405316</v>
      </c>
    </row>
    <row r="244">
      <c r="A244" s="71">
        <f t="shared" si="4"/>
        <v>240</v>
      </c>
      <c r="B244" s="47" t="s">
        <v>376</v>
      </c>
      <c r="C244" s="72">
        <f>IFERROR(__xludf.DUMMYFUNCTION("iferror(divide(googlefinance($B244,""marketcap""),1000000),"""")"),14131.968517)</f>
        <v>14131.96852</v>
      </c>
      <c r="D244" s="72">
        <f>IFERROR(__xludf.DUMMYFUNCTION("iferror(divide(googlefinance($B244,""shares""),1000),"""")"),66164.0)</f>
        <v>66164</v>
      </c>
      <c r="E244" s="72">
        <f>IFERROR(__xludf.DUMMYFUNCTION("iferror(divide(googlefinance($B244,""volumeavg""),1000),"""")"),1163.656)</f>
        <v>1163.656</v>
      </c>
      <c r="F244" s="73">
        <f>IFERROR(__xludf.DUMMYFUNCTION("iferror(MINUS(divide(GOOGLEFINANCE($B244), INDEX(GOOGLEFINANCE($B244,""price"",today()-182),2,2)),1),"""")"),0.5476414752554164)</f>
        <v>0.5476414753</v>
      </c>
      <c r="G244" s="61">
        <f>IFERROR(__xludf.DUMMYFUNCTION("iferror(MINUS(divide(GOOGLEFINANCE($B244), INDEX(GOOGLEFINANCE($B244,""price"",today()-364),2,2)),1),"""")"),0.06752299080367852)</f>
        <v>0.0675229908</v>
      </c>
    </row>
    <row r="245">
      <c r="A245" s="71">
        <f t="shared" si="4"/>
        <v>241</v>
      </c>
      <c r="B245" s="47" t="s">
        <v>377</v>
      </c>
      <c r="C245" s="72">
        <f>IFERROR(__xludf.DUMMYFUNCTION("iferror(divide(googlefinance($B245,""marketcap""),1000000),"""")"),3334.415731)</f>
        <v>3334.415731</v>
      </c>
      <c r="D245" s="72">
        <f>IFERROR(__xludf.DUMMYFUNCTION("iferror(divide(googlefinance($B245,""shares""),1000),"""")"),274890.0)</f>
        <v>274890</v>
      </c>
      <c r="E245" s="72">
        <f>IFERROR(__xludf.DUMMYFUNCTION("iferror(divide(googlefinance($B245,""volumeavg""),1000),"""")"),1636.6)</f>
        <v>1636.6</v>
      </c>
      <c r="F245" s="73">
        <f>IFERROR(__xludf.DUMMYFUNCTION("iferror(MINUS(divide(GOOGLEFINANCE($B245), INDEX(GOOGLEFINANCE($B245,""price"",today()-182),2,2)),1),"""")"),0.6685006877579094)</f>
        <v>0.6685006878</v>
      </c>
      <c r="G245" s="61">
        <f>IFERROR(__xludf.DUMMYFUNCTION("iferror(MINUS(divide(GOOGLEFINANCE($B245), INDEX(GOOGLEFINANCE($B245,""price"",today()-364),2,2)),1),"""")"),-0.1820633850303438)</f>
        <v>-0.182063385</v>
      </c>
    </row>
    <row r="246">
      <c r="A246" s="71">
        <f t="shared" si="4"/>
        <v>242</v>
      </c>
      <c r="B246" s="47" t="s">
        <v>378</v>
      </c>
      <c r="C246" s="72">
        <f>IFERROR(__xludf.DUMMYFUNCTION("iferror(divide(googlefinance($B246,""marketcap""),1000000),"""")"),10692.078398)</f>
        <v>10692.0784</v>
      </c>
      <c r="D246" s="72">
        <f>IFERROR(__xludf.DUMMYFUNCTION("iferror(divide(googlefinance($B246,""shares""),1000),"""")"),261420.0)</f>
        <v>261420</v>
      </c>
      <c r="E246" s="72">
        <f>IFERROR(__xludf.DUMMYFUNCTION("iferror(divide(googlefinance($B246,""volumeavg""),1000),"""")"),74.152)</f>
        <v>74.152</v>
      </c>
      <c r="F246" s="73">
        <f>IFERROR(__xludf.DUMMYFUNCTION("iferror(MINUS(divide(GOOGLEFINANCE($B246), INDEX(GOOGLEFINANCE($B246,""price"",today()-182),2,2)),1),"""")"),5.596774193548387)</f>
        <v>5.596774194</v>
      </c>
      <c r="G246" s="61">
        <f>IFERROR(__xludf.DUMMYFUNCTION("iferror(MINUS(divide(GOOGLEFINANCE($B246), INDEX(GOOGLEFINANCE($B246,""price"",today()-364),2,2)),1),"""")"),6.25177304964539)</f>
        <v>6.25177305</v>
      </c>
    </row>
    <row r="247">
      <c r="A247" s="71">
        <f t="shared" si="4"/>
        <v>243</v>
      </c>
      <c r="B247" s="47" t="s">
        <v>379</v>
      </c>
      <c r="C247" s="72">
        <f>IFERROR(__xludf.DUMMYFUNCTION("iferror(divide(googlefinance($B247,""marketcap""),1000000),"""")"),230.1587)</f>
        <v>230.1587</v>
      </c>
      <c r="D247" s="72">
        <f>IFERROR(__xludf.DUMMYFUNCTION("iferror(divide(googlefinance($B247,""shares""),1000),"""")"),22251.0)</f>
        <v>22251</v>
      </c>
      <c r="E247" s="72">
        <f>IFERROR(__xludf.DUMMYFUNCTION("iferror(divide(googlefinance($B247,""volumeavg""),1000),"""")"),42.965)</f>
        <v>42.965</v>
      </c>
      <c r="F247" s="73">
        <f>IFERROR(__xludf.DUMMYFUNCTION("iferror(MINUS(divide(GOOGLEFINANCE($B247), INDEX(GOOGLEFINANCE($B247,""price"",today()-182),2,2)),1),"""")"),0.02393162393162407)</f>
        <v>0.02393162393</v>
      </c>
      <c r="G247" s="61">
        <f>IFERROR(__xludf.DUMMYFUNCTION("iferror(MINUS(divide(GOOGLEFINANCE($B247), INDEX(GOOGLEFINANCE($B247,""price"",today()-364),2,2)),1),"""")"),-0.4223722275795564)</f>
        <v>-0.4223722276</v>
      </c>
    </row>
    <row r="248">
      <c r="A248" s="71">
        <f t="shared" si="4"/>
        <v>244</v>
      </c>
      <c r="B248" s="47" t="s">
        <v>380</v>
      </c>
      <c r="C248" s="72" t="str">
        <f>IFERROR(__xludf.DUMMYFUNCTION("iferror(divide(googlefinance($B248,""marketcap""),1000000),"""")"),"")</f>
        <v/>
      </c>
      <c r="D248" s="72" t="str">
        <f>IFERROR(__xludf.DUMMYFUNCTION("iferror(divide(googlefinance($B248,""shares""),1000),"""")"),"")</f>
        <v/>
      </c>
      <c r="E248" s="72" t="str">
        <f>IFERROR(__xludf.DUMMYFUNCTION("iferror(divide(googlefinance($B248,""volumeavg""),1000),"""")"),"")</f>
        <v/>
      </c>
      <c r="F248" s="73" t="str">
        <f>IFERROR(__xludf.DUMMYFUNCTION("iferror(MINUS(divide(GOOGLEFINANCE($B248), INDEX(GOOGLEFINANCE($B248,""price"",today()-182),2,2)),1),"""")"),"")</f>
        <v/>
      </c>
      <c r="G248" s="61" t="str">
        <f>IFERROR(__xludf.DUMMYFUNCTION("iferror(MINUS(divide(GOOGLEFINANCE($B248), INDEX(GOOGLEFINANCE($B248,""price"",today()-364),2,2)),1),"""")"),"")</f>
        <v/>
      </c>
    </row>
    <row r="249">
      <c r="A249" s="71">
        <f t="shared" si="4"/>
        <v>245</v>
      </c>
      <c r="B249" s="47" t="s">
        <v>381</v>
      </c>
      <c r="C249" s="72">
        <f>IFERROR(__xludf.DUMMYFUNCTION("iferror(divide(googlefinance($B249,""marketcap""),1000000),"""")"),5566.783205)</f>
        <v>5566.783205</v>
      </c>
      <c r="D249" s="72">
        <f>IFERROR(__xludf.DUMMYFUNCTION("iferror(divide(googlefinance($B249,""shares""),1000),"""")"),95289.0)</f>
        <v>95289</v>
      </c>
      <c r="E249" s="72">
        <f>IFERROR(__xludf.DUMMYFUNCTION("iferror(divide(googlefinance($B249,""volumeavg""),1000),"""")"),508.663)</f>
        <v>508.663</v>
      </c>
      <c r="F249" s="73">
        <f>IFERROR(__xludf.DUMMYFUNCTION("iferror(MINUS(divide(GOOGLEFINANCE($B249), INDEX(GOOGLEFINANCE($B249,""price"",today()-182),2,2)),1),"""")"),0.3652722598738023)</f>
        <v>0.3652722599</v>
      </c>
      <c r="G249" s="61">
        <f>IFERROR(__xludf.DUMMYFUNCTION("iferror(MINUS(divide(GOOGLEFINANCE($B249), INDEX(GOOGLEFINANCE($B249,""price"",today()-364),2,2)),1),"""")"),-0.02029179942981718)</f>
        <v>-0.02029179943</v>
      </c>
    </row>
    <row r="250">
      <c r="A250" s="71">
        <f t="shared" si="4"/>
        <v>246</v>
      </c>
      <c r="B250" s="47" t="s">
        <v>382</v>
      </c>
      <c r="C250" s="72">
        <f>IFERROR(__xludf.DUMMYFUNCTION("iferror(divide(googlefinance($B250,""marketcap""),1000000),"""")"),173.325517)</f>
        <v>173.325517</v>
      </c>
      <c r="D250" s="72">
        <f>IFERROR(__xludf.DUMMYFUNCTION("iferror(divide(googlefinance($B250,""shares""),1000),"""")"),9461.0)</f>
        <v>9461</v>
      </c>
      <c r="E250" s="72">
        <f>IFERROR(__xludf.DUMMYFUNCTION("iferror(divide(googlefinance($B250,""volumeavg""),1000),"""")"),230.308)</f>
        <v>230.308</v>
      </c>
      <c r="F250" s="73">
        <f>IFERROR(__xludf.DUMMYFUNCTION("iferror(MINUS(divide(GOOGLEFINANCE($B250), INDEX(GOOGLEFINANCE($B250,""price"",today()-182),2,2)),1),"""")"),2.0893760539629005)</f>
        <v>2.089376054</v>
      </c>
      <c r="G250" s="61">
        <f>IFERROR(__xludf.DUMMYFUNCTION("iferror(MINUS(divide(GOOGLEFINANCE($B250), INDEX(GOOGLEFINANCE($B250,""price"",today()-364),2,2)),1),"""")"),-0.40052356020942403)</f>
        <v>-0.4005235602</v>
      </c>
    </row>
    <row r="251">
      <c r="A251" s="71">
        <f t="shared" si="4"/>
        <v>247</v>
      </c>
      <c r="B251" s="47" t="s">
        <v>383</v>
      </c>
      <c r="C251" s="72">
        <f>IFERROR(__xludf.DUMMYFUNCTION("iferror(divide(googlefinance($B251,""marketcap""),1000000),"""")"),391.413606)</f>
        <v>391.413606</v>
      </c>
      <c r="D251" s="72">
        <f>IFERROR(__xludf.DUMMYFUNCTION("iferror(divide(googlefinance($B251,""shares""),1000),"""")"),72484.0)</f>
        <v>72484</v>
      </c>
      <c r="E251" s="72">
        <f>IFERROR(__xludf.DUMMYFUNCTION("iferror(divide(googlefinance($B251,""volumeavg""),1000),"""")"),93.422)</f>
        <v>93.422</v>
      </c>
      <c r="F251" s="73">
        <f>IFERROR(__xludf.DUMMYFUNCTION("iferror(MINUS(divide(GOOGLEFINANCE($B251), INDEX(GOOGLEFINANCE($B251,""price"",today()-182),2,2)),1),"""")"),0.2949640287769786)</f>
        <v>0.2949640288</v>
      </c>
      <c r="G251" s="61">
        <f>IFERROR(__xludf.DUMMYFUNCTION("iferror(MINUS(divide(GOOGLEFINANCE($B251), INDEX(GOOGLEFINANCE($B251,""price"",today()-364),2,2)),1),"""")"),-0.4421487603305785)</f>
        <v>-0.4421487603</v>
      </c>
    </row>
    <row r="252">
      <c r="A252" s="71">
        <f t="shared" si="4"/>
        <v>248</v>
      </c>
      <c r="B252" s="47" t="s">
        <v>384</v>
      </c>
      <c r="C252" s="72">
        <f>IFERROR(__xludf.DUMMYFUNCTION("iferror(divide(googlefinance($B252,""marketcap""),1000000),"""")"),3096.558515)</f>
        <v>3096.558515</v>
      </c>
      <c r="D252" s="72">
        <f>IFERROR(__xludf.DUMMYFUNCTION("iferror(divide(googlefinance($B252,""shares""),1000),"""")"),111387.0)</f>
        <v>111387</v>
      </c>
      <c r="E252" s="72">
        <f>IFERROR(__xludf.DUMMYFUNCTION("iferror(divide(googlefinance($B252,""volumeavg""),1000),"""")"),1350.543)</f>
        <v>1350.543</v>
      </c>
      <c r="F252" s="73">
        <f>IFERROR(__xludf.DUMMYFUNCTION("iferror(MINUS(divide(GOOGLEFINANCE($B252), INDEX(GOOGLEFINANCE($B252,""price"",today()-182),2,2)),1),"""")"),1.396551724137931)</f>
        <v>1.396551724</v>
      </c>
      <c r="G252" s="61">
        <f>IFERROR(__xludf.DUMMYFUNCTION("iferror(MINUS(divide(GOOGLEFINANCE($B252), INDEX(GOOGLEFINANCE($B252,""price"",today()-364),2,2)),1),"""")"),0.0750193348801238)</f>
        <v>0.07501933488</v>
      </c>
    </row>
    <row r="253">
      <c r="A253" s="71">
        <f t="shared" si="4"/>
        <v>249</v>
      </c>
      <c r="B253" s="47" t="s">
        <v>385</v>
      </c>
      <c r="C253" s="72">
        <f>IFERROR(__xludf.DUMMYFUNCTION("iferror(divide(googlefinance($B253,""marketcap""),1000000),"""")"),454.480624)</f>
        <v>454.480624</v>
      </c>
      <c r="D253" s="72">
        <f>IFERROR(__xludf.DUMMYFUNCTION("iferror(divide(googlefinance($B253,""shares""),1000),"""")"),30118.0)</f>
        <v>30118</v>
      </c>
      <c r="E253" s="72">
        <f>IFERROR(__xludf.DUMMYFUNCTION("iferror(divide(googlefinance($B253,""volumeavg""),1000),"""")"),150.203)</f>
        <v>150.203</v>
      </c>
      <c r="F253" s="73">
        <f>IFERROR(__xludf.DUMMYFUNCTION("iferror(MINUS(divide(GOOGLEFINANCE($B253), INDEX(GOOGLEFINANCE($B253,""price"",today()-182),2,2)),1),"""")"),0.06492589978828511)</f>
        <v>0.06492589979</v>
      </c>
      <c r="G253" s="61">
        <f>IFERROR(__xludf.DUMMYFUNCTION("iferror(MINUS(divide(GOOGLEFINANCE($B253), INDEX(GOOGLEFINANCE($B253,""price"",today()-364),2,2)),1),"""")"),-0.1489001692047378)</f>
        <v>-0.1489001692</v>
      </c>
    </row>
    <row r="254">
      <c r="A254" s="71">
        <f t="shared" si="4"/>
        <v>250</v>
      </c>
      <c r="B254" s="47" t="s">
        <v>386</v>
      </c>
      <c r="C254" s="72">
        <f>IFERROR(__xludf.DUMMYFUNCTION("iferror(divide(googlefinance($B254,""marketcap""),1000000),"""")"),367.669961)</f>
        <v>367.669961</v>
      </c>
      <c r="D254" s="72">
        <f>IFERROR(__xludf.DUMMYFUNCTION("iferror(divide(googlefinance($B254,""shares""),1000),"""")"),31027.0)</f>
        <v>31027</v>
      </c>
      <c r="E254" s="72">
        <f>IFERROR(__xludf.DUMMYFUNCTION("iferror(divide(googlefinance($B254,""volumeavg""),1000),"""")"),490.725)</f>
        <v>490.725</v>
      </c>
      <c r="F254" s="73">
        <f>IFERROR(__xludf.DUMMYFUNCTION("iferror(MINUS(divide(GOOGLEFINANCE($B254), INDEX(GOOGLEFINANCE($B254,""price"",today()-182),2,2)),1),"""")"),1.4894957983193278)</f>
        <v>1.489495798</v>
      </c>
      <c r="G254" s="61">
        <f>IFERROR(__xludf.DUMMYFUNCTION("iferror(MINUS(divide(GOOGLEFINANCE($B254), INDEX(GOOGLEFINANCE($B254,""price"",today()-364),2,2)),1),"""")"),-0.1474820143884893)</f>
        <v>-0.1474820144</v>
      </c>
    </row>
    <row r="255">
      <c r="A255" s="71">
        <f t="shared" si="4"/>
        <v>251</v>
      </c>
      <c r="B255" s="47" t="s">
        <v>387</v>
      </c>
      <c r="C255" s="72">
        <f>IFERROR(__xludf.DUMMYFUNCTION("iferror(divide(googlefinance($B255,""marketcap""),1000000),"""")"),360.0495)</f>
        <v>360.0495</v>
      </c>
      <c r="D255" s="72">
        <f>IFERROR(__xludf.DUMMYFUNCTION("iferror(divide(googlefinance($B255,""shares""),1000),"""")"),160022.0)</f>
        <v>160022</v>
      </c>
      <c r="E255" s="72">
        <f>IFERROR(__xludf.DUMMYFUNCTION("iferror(divide(googlefinance($B255,""volumeavg""),1000),"""")"),138.339)</f>
        <v>138.339</v>
      </c>
      <c r="F255" s="73">
        <f>IFERROR(__xludf.DUMMYFUNCTION("iferror(MINUS(divide(GOOGLEFINANCE($B255), INDEX(GOOGLEFINANCE($B255,""price"",today()-182),2,2)),1),"""")"),0.27840909090909083)</f>
        <v>0.2784090909</v>
      </c>
      <c r="G255" s="61">
        <f>IFERROR(__xludf.DUMMYFUNCTION("iferror(MINUS(divide(GOOGLEFINANCE($B255), INDEX(GOOGLEFINANCE($B255,""price"",today()-364),2,2)),1),"""")"),-0.5490981963927856)</f>
        <v>-0.5490981964</v>
      </c>
    </row>
    <row r="256">
      <c r="A256" s="71">
        <f t="shared" si="4"/>
        <v>252</v>
      </c>
      <c r="B256" s="47" t="s">
        <v>388</v>
      </c>
      <c r="C256" s="72">
        <f>IFERROR(__xludf.DUMMYFUNCTION("iferror(divide(googlefinance($B256,""marketcap""),1000000),"""")"),282.950811)</f>
        <v>282.950811</v>
      </c>
      <c r="D256" s="72">
        <f>IFERROR(__xludf.DUMMYFUNCTION("iferror(divide(googlefinance($B256,""shares""),1000),"""")"),24040.0)</f>
        <v>24040</v>
      </c>
      <c r="E256" s="72">
        <f>IFERROR(__xludf.DUMMYFUNCTION("iferror(divide(googlefinance($B256,""volumeavg""),1000),"""")"),88.348)</f>
        <v>88.348</v>
      </c>
      <c r="F256" s="73">
        <f>IFERROR(__xludf.DUMMYFUNCTION("iferror(MINUS(divide(GOOGLEFINANCE($B256), INDEX(GOOGLEFINANCE($B256,""price"",today()-182),2,2)),1),"""")"),0.6057298772169166)</f>
        <v>0.6057298772</v>
      </c>
      <c r="G256" s="61" t="str">
        <f>IFERROR(__xludf.DUMMYFUNCTION("iferror(MINUS(divide(GOOGLEFINANCE($B256), INDEX(GOOGLEFINANCE($B256,""price"",today()-364),2,2)),1),"""")"),"")</f>
        <v/>
      </c>
    </row>
    <row r="257">
      <c r="A257" s="71">
        <f t="shared" si="4"/>
        <v>253</v>
      </c>
      <c r="B257" s="47" t="s">
        <v>389</v>
      </c>
      <c r="C257" s="72">
        <f>IFERROR(__xludf.DUMMYFUNCTION("iferror(divide(googlefinance($B257,""marketcap""),1000000),"""")"),5554.719055)</f>
        <v>5554.719055</v>
      </c>
      <c r="D257" s="72">
        <f>IFERROR(__xludf.DUMMYFUNCTION("iferror(divide(googlefinance($B257,""shares""),1000),"""")"),25097.0)</f>
        <v>25097</v>
      </c>
      <c r="E257" s="72">
        <f>IFERROR(__xludf.DUMMYFUNCTION("iferror(divide(googlefinance($B257,""volumeavg""),1000),"""")"),202.63)</f>
        <v>202.63</v>
      </c>
      <c r="F257" s="73">
        <f>IFERROR(__xludf.DUMMYFUNCTION("iferror(MINUS(divide(GOOGLEFINANCE($B257), INDEX(GOOGLEFINANCE($B257,""price"",today()-182),2,2)),1),"""")"),0.198905801419208)</f>
        <v>0.1989058014</v>
      </c>
      <c r="G257" s="61">
        <f>IFERROR(__xludf.DUMMYFUNCTION("iferror(MINUS(divide(GOOGLEFINANCE($B257), INDEX(GOOGLEFINANCE($B257,""price"",today()-364),2,2)),1),"""")"),-0.028402107111501262)</f>
        <v>-0.02840210711</v>
      </c>
    </row>
    <row r="258">
      <c r="A258" s="71">
        <f t="shared" si="4"/>
        <v>254</v>
      </c>
      <c r="B258" s="47" t="s">
        <v>390</v>
      </c>
      <c r="C258" s="72">
        <f>IFERROR(__xludf.DUMMYFUNCTION("iferror(divide(googlefinance($B258,""marketcap""),1000000),"""")"),4055.75708)</f>
        <v>4055.75708</v>
      </c>
      <c r="D258" s="72">
        <f>IFERROR(__xludf.DUMMYFUNCTION("iferror(divide(googlefinance($B258,""shares""),1000),"""")"),265777.0)</f>
        <v>265777</v>
      </c>
      <c r="E258" s="72">
        <f>IFERROR(__xludf.DUMMYFUNCTION("iferror(divide(googlefinance($B258,""volumeavg""),1000),"""")"),361.839)</f>
        <v>361.839</v>
      </c>
      <c r="F258" s="73">
        <f>IFERROR(__xludf.DUMMYFUNCTION("iferror(MINUS(divide(GOOGLEFINANCE($B258), INDEX(GOOGLEFINANCE($B258,""price"",today()-182),2,2)),1),"""")"),0.29103214890016926)</f>
        <v>0.2910321489</v>
      </c>
      <c r="G258" s="61">
        <f>IFERROR(__xludf.DUMMYFUNCTION("iferror(MINUS(divide(GOOGLEFINANCE($B258), INDEX(GOOGLEFINANCE($B258,""price"",today()-364),2,2)),1),"""")"),-0.39299920445505176)</f>
        <v>-0.3929992045</v>
      </c>
    </row>
    <row r="259">
      <c r="A259" s="71">
        <f t="shared" si="4"/>
        <v>255</v>
      </c>
      <c r="B259" s="47" t="s">
        <v>391</v>
      </c>
      <c r="C259" s="72">
        <f>IFERROR(__xludf.DUMMYFUNCTION("iferror(divide(googlefinance($B259,""marketcap""),1000000),"""")"),16999.103627)</f>
        <v>16999.10363</v>
      </c>
      <c r="D259" s="72">
        <f>IFERROR(__xludf.DUMMYFUNCTION("iferror(divide(googlefinance($B259,""shares""),1000),"""")"),488480.0)</f>
        <v>488480</v>
      </c>
      <c r="E259" s="72">
        <f>IFERROR(__xludf.DUMMYFUNCTION("iferror(divide(googlefinance($B259,""volumeavg""),1000),"""")"),2543.01)</f>
        <v>2543.01</v>
      </c>
      <c r="F259" s="73">
        <f>IFERROR(__xludf.DUMMYFUNCTION("iferror(MINUS(divide(GOOGLEFINANCE($B259), INDEX(GOOGLEFINANCE($B259,""price"",today()-182),2,2)),1),"""")"),0.33589251439539325)</f>
        <v>0.3358925144</v>
      </c>
      <c r="G259" s="61">
        <f>IFERROR(__xludf.DUMMYFUNCTION("iferror(MINUS(divide(GOOGLEFINANCE($B259), INDEX(GOOGLEFINANCE($B259,""price"",today()-364),2,2)),1),"""")"),0.16739349211673926)</f>
        <v>0.1673934921</v>
      </c>
    </row>
    <row r="260">
      <c r="A260" s="71">
        <f t="shared" si="4"/>
        <v>256</v>
      </c>
      <c r="B260" s="47" t="s">
        <v>392</v>
      </c>
      <c r="C260" s="72">
        <f>IFERROR(__xludf.DUMMYFUNCTION("iferror(divide(googlefinance($B260,""marketcap""),1000000),"""")"),13832.600976)</f>
        <v>13832.60098</v>
      </c>
      <c r="D260" s="72">
        <f>IFERROR(__xludf.DUMMYFUNCTION("iferror(divide(googlefinance($B260,""shares""),1000),"""")"),292444.0)</f>
        <v>292444</v>
      </c>
      <c r="E260" s="72">
        <f>IFERROR(__xludf.DUMMYFUNCTION("iferror(divide(googlefinance($B260,""volumeavg""),1000),"""")"),2299.544)</f>
        <v>2299.544</v>
      </c>
      <c r="F260" s="73">
        <f>IFERROR(__xludf.DUMMYFUNCTION("iferror(MINUS(divide(GOOGLEFINANCE($B260), INDEX(GOOGLEFINANCE($B260,""price"",today()-182),2,2)),1),"""")"),0.09162243249480717)</f>
        <v>0.09162243249</v>
      </c>
      <c r="G260" s="61">
        <f>IFERROR(__xludf.DUMMYFUNCTION("iferror(MINUS(divide(GOOGLEFINANCE($B260), INDEX(GOOGLEFINANCE($B260,""price"",today()-364),2,2)),1),"""")"),-0.012319899770307008)</f>
        <v>-0.01231989977</v>
      </c>
    </row>
    <row r="261">
      <c r="A261" s="71">
        <f t="shared" si="4"/>
        <v>257</v>
      </c>
      <c r="B261" s="47" t="s">
        <v>393</v>
      </c>
      <c r="C261" s="72">
        <f>IFERROR(__xludf.DUMMYFUNCTION("iferror(divide(googlefinance($B261,""marketcap""),1000000),"""")"),455.331573)</f>
        <v>455.331573</v>
      </c>
      <c r="D261" s="72">
        <f>IFERROR(__xludf.DUMMYFUNCTION("iferror(divide(googlefinance($B261,""shares""),1000),"""")"),17553.0)</f>
        <v>17553</v>
      </c>
      <c r="E261" s="72">
        <f>IFERROR(__xludf.DUMMYFUNCTION("iferror(divide(googlefinance($B261,""volumeavg""),1000),"""")"),90.286)</f>
        <v>90.286</v>
      </c>
      <c r="F261" s="73">
        <f>IFERROR(__xludf.DUMMYFUNCTION("iferror(MINUS(divide(GOOGLEFINANCE($B261), INDEX(GOOGLEFINANCE($B261,""price"",today()-182),2,2)),1),"""")"),0.8769898697539797)</f>
        <v>0.8769898698</v>
      </c>
      <c r="G261" s="61">
        <f>IFERROR(__xludf.DUMMYFUNCTION("iferror(MINUS(divide(GOOGLEFINANCE($B261), INDEX(GOOGLEFINANCE($B261,""price"",today()-364),2,2)),1),"""")"),0.1488042515500445)</f>
        <v>0.1488042516</v>
      </c>
    </row>
    <row r="262">
      <c r="A262" s="71">
        <f t="shared" si="4"/>
        <v>258</v>
      </c>
      <c r="B262" s="47" t="s">
        <v>394</v>
      </c>
      <c r="C262" s="72">
        <f>IFERROR(__xludf.DUMMYFUNCTION("iferror(divide(googlefinance($B262,""marketcap""),1000000),"""")"),2308743.753)</f>
        <v>2308743.753</v>
      </c>
      <c r="D262" s="72">
        <f>IFERROR(__xludf.DUMMYFUNCTION("iferror(divide(googlefinance($B262,""shares""),1000),"""")"),1333763.0)</f>
        <v>1333763</v>
      </c>
      <c r="E262" s="72">
        <f>IFERROR(__xludf.DUMMYFUNCTION("iferror(divide(googlefinance($B262,""volumeavg""),1000),"""")"),506.553)</f>
        <v>506.553</v>
      </c>
      <c r="F262" s="73">
        <f>IFERROR(__xludf.DUMMYFUNCTION("iferror(MINUS(divide(GOOGLEFINANCE($B262), INDEX(GOOGLEFINANCE($B262,""price"",today()-182),2,2)),1),"""")"),-0.2054924242424242)</f>
        <v>-0.2054924242</v>
      </c>
      <c r="G262" s="61">
        <f>IFERROR(__xludf.DUMMYFUNCTION("iferror(MINUS(divide(GOOGLEFINANCE($B262), INDEX(GOOGLEFINANCE($B262,""price"",today()-364),2,2)),1),"""")"),-0.37458069325382026)</f>
        <v>-0.3745806933</v>
      </c>
    </row>
    <row r="263">
      <c r="A263" s="71">
        <f t="shared" si="4"/>
        <v>259</v>
      </c>
      <c r="B263" s="47" t="s">
        <v>395</v>
      </c>
      <c r="C263" s="72">
        <f>IFERROR(__xludf.DUMMYFUNCTION("iferror(divide(googlefinance($B263,""marketcap""),1000000),"""")"),1331.135882)</f>
        <v>1331.135882</v>
      </c>
      <c r="D263" s="72">
        <f>IFERROR(__xludf.DUMMYFUNCTION("iferror(divide(googlefinance($B263,""shares""),1000),"""")"),45462.0)</f>
        <v>45462</v>
      </c>
      <c r="E263" s="72">
        <f>IFERROR(__xludf.DUMMYFUNCTION("iferror(divide(googlefinance($B263,""volumeavg""),1000),"""")"),1483.39)</f>
        <v>1483.39</v>
      </c>
      <c r="F263" s="73">
        <f>IFERROR(__xludf.DUMMYFUNCTION("iferror(MINUS(divide(GOOGLEFINANCE($B263), INDEX(GOOGLEFINANCE($B263,""price"",today()-182),2,2)),1),"""")"),0.8484848484848486)</f>
        <v>0.8484848485</v>
      </c>
      <c r="G263" s="61">
        <f>IFERROR(__xludf.DUMMYFUNCTION("iferror(MINUS(divide(GOOGLEFINANCE($B263), INDEX(GOOGLEFINANCE($B263,""price"",today()-364),2,2)),1),"""")"),-0.2685485885585811)</f>
        <v>-0.2685485886</v>
      </c>
    </row>
    <row r="264">
      <c r="A264" s="71">
        <f t="shared" si="4"/>
        <v>260</v>
      </c>
      <c r="B264" s="47" t="s">
        <v>396</v>
      </c>
      <c r="C264" s="72">
        <f>IFERROR(__xludf.DUMMYFUNCTION("iferror(divide(googlefinance($B264,""marketcap""),1000000),"""")"),413.619914)</f>
        <v>413.619914</v>
      </c>
      <c r="D264" s="72">
        <f>IFERROR(__xludf.DUMMYFUNCTION("iferror(divide(googlefinance($B264,""shares""),1000),"""")"),37912.0)</f>
        <v>37912</v>
      </c>
      <c r="E264" s="72">
        <f>IFERROR(__xludf.DUMMYFUNCTION("iferror(divide(googlefinance($B264,""volumeavg""),1000),"""")"),1007.146)</f>
        <v>1007.146</v>
      </c>
      <c r="F264" s="73">
        <f>IFERROR(__xludf.DUMMYFUNCTION("iferror(MINUS(divide(GOOGLEFINANCE($B264), INDEX(GOOGLEFINANCE($B264,""price"",today()-182),2,2)),1),"""")"),1.1350293542074361)</f>
        <v>1.135029354</v>
      </c>
      <c r="G264" s="61">
        <f>IFERROR(__xludf.DUMMYFUNCTION("iferror(MINUS(divide(GOOGLEFINANCE($B264), INDEX(GOOGLEFINANCE($B264,""price"",today()-364),2,2)),1),"""")"),-0.4956079519186315)</f>
        <v>-0.4956079519</v>
      </c>
    </row>
    <row r="265">
      <c r="A265" s="71">
        <f t="shared" si="4"/>
        <v>261</v>
      </c>
      <c r="B265" s="47" t="s">
        <v>397</v>
      </c>
      <c r="C265" s="72">
        <f>IFERROR(__xludf.DUMMYFUNCTION("iferror(divide(googlefinance($B265,""marketcap""),1000000),"""")"),258.950434)</f>
        <v>258.950434</v>
      </c>
      <c r="D265" s="72">
        <f>IFERROR(__xludf.DUMMYFUNCTION("iferror(divide(googlefinance($B265,""shares""),1000),"""")"),70559.0)</f>
        <v>70559</v>
      </c>
      <c r="E265" s="72">
        <f>IFERROR(__xludf.DUMMYFUNCTION("iferror(divide(googlefinance($B265,""volumeavg""),1000),"""")"),629.2)</f>
        <v>629.2</v>
      </c>
      <c r="F265" s="73">
        <f>IFERROR(__xludf.DUMMYFUNCTION("iferror(MINUS(divide(GOOGLEFINANCE($B265), INDEX(GOOGLEFINANCE($B265,""price"",today()-182),2,2)),1),"""")"),-0.09382716049382711)</f>
        <v>-0.09382716049</v>
      </c>
      <c r="G265" s="61">
        <f>IFERROR(__xludf.DUMMYFUNCTION("iferror(MINUS(divide(GOOGLEFINANCE($B265), INDEX(GOOGLEFINANCE($B265,""price"",today()-364),2,2)),1),"""")"),-0.054123711340206215)</f>
        <v>-0.05412371134</v>
      </c>
    </row>
    <row r="266">
      <c r="A266" s="71">
        <f t="shared" si="4"/>
        <v>262</v>
      </c>
      <c r="B266" s="47" t="s">
        <v>398</v>
      </c>
      <c r="C266" s="72">
        <f>IFERROR(__xludf.DUMMYFUNCTION("iferror(divide(googlefinance($B266,""marketcap""),1000000),"""")"),1913.6101)</f>
        <v>1913.6101</v>
      </c>
      <c r="D266" s="72">
        <f>IFERROR(__xludf.DUMMYFUNCTION("iferror(divide(googlefinance($B266,""shares""),1000),"""")"),43701.0)</f>
        <v>43701</v>
      </c>
      <c r="E266" s="72">
        <f>IFERROR(__xludf.DUMMYFUNCTION("iferror(divide(googlefinance($B266,""volumeavg""),1000),"""")"),672.8)</f>
        <v>672.8</v>
      </c>
      <c r="F266" s="73">
        <f>IFERROR(__xludf.DUMMYFUNCTION("iferror(MINUS(divide(GOOGLEFINANCE($B266), INDEX(GOOGLEFINANCE($B266,""price"",today()-182),2,2)),1),"""")"),-0.017478152309612915)</f>
        <v>-0.01747815231</v>
      </c>
      <c r="G266" s="61">
        <f>IFERROR(__xludf.DUMMYFUNCTION("iferror(MINUS(divide(GOOGLEFINANCE($B266), INDEX(GOOGLEFINANCE($B266,""price"",today()-364),2,2)),1),"""")"),-0.10750737128600596)</f>
        <v>-0.1075073713</v>
      </c>
    </row>
    <row r="267">
      <c r="A267" s="71">
        <f t="shared" si="4"/>
        <v>263</v>
      </c>
      <c r="B267" s="47" t="s">
        <v>399</v>
      </c>
      <c r="C267" s="72">
        <f>IFERROR(__xludf.DUMMYFUNCTION("iferror(divide(googlefinance($B267,""marketcap""),1000000),"""")"),5182.355)</f>
        <v>5182.355</v>
      </c>
      <c r="D267" s="72">
        <f>IFERROR(__xludf.DUMMYFUNCTION("iferror(divide(googlefinance($B267,""shares""),1000),"""")"),49830.0)</f>
        <v>49830</v>
      </c>
      <c r="E267" s="72">
        <f>IFERROR(__xludf.DUMMYFUNCTION("iferror(divide(googlefinance($B267,""volumeavg""),1000),"""")"),43.094)</f>
        <v>43.094</v>
      </c>
      <c r="F267" s="73" t="str">
        <f>IFERROR(__xludf.DUMMYFUNCTION("iferror(MINUS(divide(GOOGLEFINANCE($B267), INDEX(GOOGLEFINANCE($B267,""price"",today()-182),2,2)),1),"""")"),"")</f>
        <v/>
      </c>
      <c r="G267" s="61" t="str">
        <f>IFERROR(__xludf.DUMMYFUNCTION("iferror(MINUS(divide(GOOGLEFINANCE($B267), INDEX(GOOGLEFINANCE($B267,""price"",today()-364),2,2)),1),"""")"),"")</f>
        <v/>
      </c>
    </row>
    <row r="268">
      <c r="A268" s="71">
        <f t="shared" si="4"/>
        <v>264</v>
      </c>
      <c r="B268" s="47" t="s">
        <v>400</v>
      </c>
      <c r="C268" s="72">
        <f>IFERROR(__xludf.DUMMYFUNCTION("iferror(divide(googlefinance($B268,""marketcap""),1000000),"""")"),607.592497)</f>
        <v>607.592497</v>
      </c>
      <c r="D268" s="72">
        <f>IFERROR(__xludf.DUMMYFUNCTION("iferror(divide(googlefinance($B268,""shares""),1000),"""")"),39149.0)</f>
        <v>39149</v>
      </c>
      <c r="E268" s="72">
        <f>IFERROR(__xludf.DUMMYFUNCTION("iferror(divide(googlefinance($B268,""volumeavg""),1000),"""")"),98.967)</f>
        <v>98.967</v>
      </c>
      <c r="F268" s="73">
        <f>IFERROR(__xludf.DUMMYFUNCTION("iferror(MINUS(divide(GOOGLEFINANCE($B268), INDEX(GOOGLEFINANCE($B268,""price"",today()-182),2,2)),1),"""")"),1.2045454545454546)</f>
        <v>1.204545455</v>
      </c>
      <c r="G268" s="61">
        <f>IFERROR(__xludf.DUMMYFUNCTION("iferror(MINUS(divide(GOOGLEFINANCE($B268), INDEX(GOOGLEFINANCE($B268,""price"",today()-364),2,2)),1),"""")"),0.5772357723577235)</f>
        <v>0.5772357724</v>
      </c>
    </row>
    <row r="269">
      <c r="A269" s="71">
        <f t="shared" si="4"/>
        <v>265</v>
      </c>
      <c r="B269" s="47" t="s">
        <v>401</v>
      </c>
      <c r="C269" s="72">
        <f>IFERROR(__xludf.DUMMYFUNCTION("iferror(divide(googlefinance($B269,""marketcap""),1000000),"""")"),116.174357)</f>
        <v>116.174357</v>
      </c>
      <c r="D269" s="72">
        <f>IFERROR(__xludf.DUMMYFUNCTION("iferror(divide(googlefinance($B269,""shares""),1000),"""")"),19724.0)</f>
        <v>19724</v>
      </c>
      <c r="E269" s="72">
        <f>IFERROR(__xludf.DUMMYFUNCTION("iferror(divide(googlefinance($B269,""volumeavg""),1000),"""")"),1796.267)</f>
        <v>1796.267</v>
      </c>
      <c r="F269" s="73">
        <f>IFERROR(__xludf.DUMMYFUNCTION("iferror(MINUS(divide(GOOGLEFINANCE($B269), INDEX(GOOGLEFINANCE($B269,""price"",today()-182),2,2)),1),"""")"),4.306306306306306)</f>
        <v>4.306306306</v>
      </c>
      <c r="G269" s="61">
        <f>IFERROR(__xludf.DUMMYFUNCTION("iferror(MINUS(divide(GOOGLEFINANCE($B269), INDEX(GOOGLEFINANCE($B269,""price"",today()-364),2,2)),1),"""")"),0.9061488673139158)</f>
        <v>0.9061488673</v>
      </c>
    </row>
    <row r="270">
      <c r="A270" s="71">
        <f t="shared" si="4"/>
        <v>266</v>
      </c>
      <c r="B270" s="47" t="s">
        <v>402</v>
      </c>
      <c r="C270" s="72">
        <f>IFERROR(__xludf.DUMMYFUNCTION("iferror(divide(googlefinance($B270,""marketcap""),1000000),"""")"),2269.086738)</f>
        <v>2269.086738</v>
      </c>
      <c r="D270" s="72">
        <f>IFERROR(__xludf.DUMMYFUNCTION("iferror(divide(googlefinance($B270,""shares""),1000),"""")"),69668.0)</f>
        <v>69668</v>
      </c>
      <c r="E270" s="72">
        <f>IFERROR(__xludf.DUMMYFUNCTION("iferror(divide(googlefinance($B270,""volumeavg""),1000),"""")"),2093.604)</f>
        <v>2093.604</v>
      </c>
      <c r="F270" s="73">
        <f>IFERROR(__xludf.DUMMYFUNCTION("iferror(MINUS(divide(GOOGLEFINANCE($B270), INDEX(GOOGLEFINANCE($B270,""price"",today()-182),2,2)),1),"""")"),1.966302367941712)</f>
        <v>1.966302368</v>
      </c>
      <c r="G270" s="61">
        <f>IFERROR(__xludf.DUMMYFUNCTION("iferror(MINUS(divide(GOOGLEFINANCE($B270), INDEX(GOOGLEFINANCE($B270,""price"",today()-364),2,2)),1),"""")"),0.11008861622358546)</f>
        <v>0.1100886162</v>
      </c>
    </row>
    <row r="271">
      <c r="A271" s="71">
        <f t="shared" si="4"/>
        <v>267</v>
      </c>
      <c r="B271" s="47" t="s">
        <v>403</v>
      </c>
      <c r="C271" s="72">
        <f>IFERROR(__xludf.DUMMYFUNCTION("iferror(divide(googlefinance($B271,""marketcap""),1000000),"""")"),692.517318)</f>
        <v>692.517318</v>
      </c>
      <c r="D271" s="72">
        <f>IFERROR(__xludf.DUMMYFUNCTION("iferror(divide(googlefinance($B271,""shares""),1000),"""")"),46887.0)</f>
        <v>46887</v>
      </c>
      <c r="E271" s="72">
        <f>IFERROR(__xludf.DUMMYFUNCTION("iferror(divide(googlefinance($B271,""volumeavg""),1000),"""")"),354.522)</f>
        <v>354.522</v>
      </c>
      <c r="F271" s="73">
        <f>IFERROR(__xludf.DUMMYFUNCTION("iferror(MINUS(divide(GOOGLEFINANCE($B271), INDEX(GOOGLEFINANCE($B271,""price"",today()-182),2,2)),1),"""")"),0.4039923954372624)</f>
        <v>0.4039923954</v>
      </c>
      <c r="G271" s="61">
        <f>IFERROR(__xludf.DUMMYFUNCTION("iferror(MINUS(divide(GOOGLEFINANCE($B271), INDEX(GOOGLEFINANCE($B271,""price"",today()-364),2,2)),1),"""")"),-0.33348375451263546)</f>
        <v>-0.3334837545</v>
      </c>
    </row>
    <row r="272">
      <c r="A272" s="71">
        <f t="shared" si="4"/>
        <v>268</v>
      </c>
      <c r="B272" s="47" t="s">
        <v>404</v>
      </c>
      <c r="C272" s="72">
        <f>IFERROR(__xludf.DUMMYFUNCTION("iferror(divide(googlefinance($B272,""marketcap""),1000000),"""")"),215.662213)</f>
        <v>215.662213</v>
      </c>
      <c r="D272" s="72">
        <f>IFERROR(__xludf.DUMMYFUNCTION("iferror(divide(googlefinance($B272,""shares""),1000),"""")"),123944.0)</f>
        <v>123944</v>
      </c>
      <c r="E272" s="72">
        <f>IFERROR(__xludf.DUMMYFUNCTION("iferror(divide(googlefinance($B272,""volumeavg""),1000),"""")"),442.082)</f>
        <v>442.082</v>
      </c>
      <c r="F272" s="73">
        <f>IFERROR(__xludf.DUMMYFUNCTION("iferror(MINUS(divide(GOOGLEFINANCE($B272), INDEX(GOOGLEFINANCE($B272,""price"",today()-182),2,2)),1),"""")"),-0.12121212121212122)</f>
        <v>-0.1212121212</v>
      </c>
      <c r="G272" s="61">
        <f>IFERROR(__xludf.DUMMYFUNCTION("iferror(MINUS(divide(GOOGLEFINANCE($B272), INDEX(GOOGLEFINANCE($B272,""price"",today()-364),2,2)),1),"""")"),-0.4805970149253731)</f>
        <v>-0.4805970149</v>
      </c>
    </row>
    <row r="273">
      <c r="A273" s="71">
        <f t="shared" si="4"/>
        <v>269</v>
      </c>
      <c r="B273" s="47" t="s">
        <v>405</v>
      </c>
      <c r="C273" s="72">
        <f>IFERROR(__xludf.DUMMYFUNCTION("iferror(divide(googlefinance($B273,""marketcap""),1000000),"""")"),6533.170837)</f>
        <v>6533.170837</v>
      </c>
      <c r="D273" s="72">
        <f>IFERROR(__xludf.DUMMYFUNCTION("iferror(divide(googlefinance($B273,""shares""),1000),"""")"),36921.0)</f>
        <v>36921</v>
      </c>
      <c r="E273" s="72">
        <f>IFERROR(__xludf.DUMMYFUNCTION("iferror(divide(googlefinance($B273,""volumeavg""),1000),"""")"),230.387)</f>
        <v>230.387</v>
      </c>
      <c r="F273" s="73">
        <f>IFERROR(__xludf.DUMMYFUNCTION("iferror(MINUS(divide(GOOGLEFINANCE($B273), INDEX(GOOGLEFINANCE($B273,""price"",today()-182),2,2)),1),"""")"),0.23052851182197487)</f>
        <v>0.2305285118</v>
      </c>
      <c r="G273" s="61">
        <f>IFERROR(__xludf.DUMMYFUNCTION("iferror(MINUS(divide(GOOGLEFINANCE($B273), INDEX(GOOGLEFINANCE($B273,""price"",today()-364),2,2)),1),"""")"),0.07574928567086125)</f>
        <v>0.07574928567</v>
      </c>
    </row>
    <row r="274">
      <c r="A274" s="71">
        <f t="shared" si="4"/>
        <v>270</v>
      </c>
      <c r="B274" s="47" t="s">
        <v>406</v>
      </c>
      <c r="C274" s="72">
        <f>IFERROR(__xludf.DUMMYFUNCTION("iferror(divide(googlefinance($B274,""marketcap""),1000000),"""")"),83321.679445)</f>
        <v>83321.67945</v>
      </c>
      <c r="D274" s="72">
        <f>IFERROR(__xludf.DUMMYFUNCTION("iferror(divide(googlefinance($B274,""shares""),1000),"""")"),541507.0)</f>
        <v>541507</v>
      </c>
      <c r="E274" s="72">
        <f>IFERROR(__xludf.DUMMYFUNCTION("iferror(divide(googlefinance($B274,""volumeavg""),1000),"""")"),3225.482)</f>
        <v>3225.482</v>
      </c>
      <c r="F274" s="73">
        <f>IFERROR(__xludf.DUMMYFUNCTION("iferror(MINUS(divide(GOOGLEFINANCE($B274), INDEX(GOOGLEFINANCE($B274,""price"",today()-182),2,2)),1),"""")"),0.6112041884816755)</f>
        <v>0.6112041885</v>
      </c>
      <c r="G274" s="61">
        <f>IFERROR(__xludf.DUMMYFUNCTION("iferror(MINUS(divide(GOOGLEFINANCE($B274), INDEX(GOOGLEFINANCE($B274,""price"",today()-364),2,2)),1),"""")"),0.20060861423220988)</f>
        <v>0.2006086142</v>
      </c>
    </row>
    <row r="275">
      <c r="A275" s="71">
        <f t="shared" si="4"/>
        <v>271</v>
      </c>
      <c r="B275" s="47" t="s">
        <v>407</v>
      </c>
      <c r="C275" s="72">
        <f>IFERROR(__xludf.DUMMYFUNCTION("iferror(divide(googlefinance($B275,""marketcap""),1000000),"""")"),132.422141)</f>
        <v>132.422141</v>
      </c>
      <c r="D275" s="72">
        <f>IFERROR(__xludf.DUMMYFUNCTION("iferror(divide(googlefinance($B275,""shares""),1000),"""")"),19081.0)</f>
        <v>19081</v>
      </c>
      <c r="E275" s="72">
        <f>IFERROR(__xludf.DUMMYFUNCTION("iferror(divide(googlefinance($B275,""volumeavg""),1000),"""")"),406.264)</f>
        <v>406.264</v>
      </c>
      <c r="F275" s="73">
        <f>IFERROR(__xludf.DUMMYFUNCTION("iferror(MINUS(divide(GOOGLEFINANCE($B275), INDEX(GOOGLEFINANCE($B275,""price"",today()-182),2,2)),1),"""")"),1.1687500000000002)</f>
        <v>1.16875</v>
      </c>
      <c r="G275" s="61">
        <f>IFERROR(__xludf.DUMMYFUNCTION("iferror(MINUS(divide(GOOGLEFINANCE($B275), INDEX(GOOGLEFINANCE($B275,""price"",today()-364),2,2)),1),"""")"),0.15666666666666673)</f>
        <v>0.1566666667</v>
      </c>
    </row>
    <row r="276">
      <c r="A276" s="71">
        <f t="shared" si="4"/>
        <v>272</v>
      </c>
      <c r="B276" s="47" t="s">
        <v>408</v>
      </c>
      <c r="C276" s="72">
        <f>IFERROR(__xludf.DUMMYFUNCTION("iferror(divide(googlefinance($B276,""marketcap""),1000000),"""")"),185.321745)</f>
        <v>185.321745</v>
      </c>
      <c r="D276" s="72">
        <f>IFERROR(__xludf.DUMMYFUNCTION("iferror(divide(googlefinance($B276,""shares""),1000),"""")"),22194.0)</f>
        <v>22194</v>
      </c>
      <c r="E276" s="72">
        <f>IFERROR(__xludf.DUMMYFUNCTION("iferror(divide(googlefinance($B276,""volumeavg""),1000),"""")"),355.17)</f>
        <v>355.17</v>
      </c>
      <c r="F276" s="73">
        <f>IFERROR(__xludf.DUMMYFUNCTION("iferror(MINUS(divide(GOOGLEFINANCE($B276), INDEX(GOOGLEFINANCE($B276,""price"",today()-182),2,2)),1),"""")"),-0.25975177304964536)</f>
        <v>-0.259751773</v>
      </c>
      <c r="G276" s="61">
        <f>IFERROR(__xludf.DUMMYFUNCTION("iferror(MINUS(divide(GOOGLEFINANCE($B276), INDEX(GOOGLEFINANCE($B276,""price"",today()-364),2,2)),1),"""")"),-0.5044510385756678)</f>
        <v>-0.5044510386</v>
      </c>
    </row>
    <row r="277">
      <c r="A277" s="71">
        <f t="shared" si="4"/>
        <v>273</v>
      </c>
      <c r="B277" s="47" t="s">
        <v>409</v>
      </c>
      <c r="C277" s="72">
        <f>IFERROR(__xludf.DUMMYFUNCTION("iferror(divide(googlefinance($B277,""marketcap""),1000000),"""")"),451.209863)</f>
        <v>451.209863</v>
      </c>
      <c r="D277" s="72">
        <f>IFERROR(__xludf.DUMMYFUNCTION("iferror(divide(googlefinance($B277,""shares""),1000),"""")"),68887.0)</f>
        <v>68887</v>
      </c>
      <c r="E277" s="72">
        <f>IFERROR(__xludf.DUMMYFUNCTION("iferror(divide(googlefinance($B277,""volumeavg""),1000),"""")"),2463.977)</f>
        <v>2463.977</v>
      </c>
      <c r="F277" s="73">
        <f>IFERROR(__xludf.DUMMYFUNCTION("iferror(MINUS(divide(GOOGLEFINANCE($B277), INDEX(GOOGLEFINANCE($B277,""price"",today()-182),2,2)),1),"""")"),3.678571428571429)</f>
        <v>3.678571429</v>
      </c>
      <c r="G277" s="61">
        <f>IFERROR(__xludf.DUMMYFUNCTION("iferror(MINUS(divide(GOOGLEFINANCE($B277), INDEX(GOOGLEFINANCE($B277,""price"",today()-364),2,2)),1),"""")"),0.1634103019538189)</f>
        <v>0.163410302</v>
      </c>
    </row>
    <row r="278">
      <c r="A278" s="71">
        <f t="shared" si="4"/>
        <v>274</v>
      </c>
      <c r="B278" s="47" t="s">
        <v>410</v>
      </c>
      <c r="C278" s="72">
        <f>IFERROR(__xludf.DUMMYFUNCTION("iferror(divide(googlefinance($B278,""marketcap""),1000000),"""")"),20457.953297)</f>
        <v>20457.9533</v>
      </c>
      <c r="D278" s="72">
        <f>IFERROR(__xludf.DUMMYFUNCTION("iferror(divide(googlefinance($B278,""shares""),1000),"""")"),268336.0)</f>
        <v>268336</v>
      </c>
      <c r="E278" s="72">
        <f>IFERROR(__xludf.DUMMYFUNCTION("iferror(divide(googlefinance($B278,""volumeavg""),1000),"""")"),392.686)</f>
        <v>392.686</v>
      </c>
      <c r="F278" s="73">
        <f>IFERROR(__xludf.DUMMYFUNCTION("iferror(MINUS(divide(GOOGLEFINANCE($B278), INDEX(GOOGLEFINANCE($B278,""price"",today()-182),2,2)),1),"""")"),0.10578386605783852)</f>
        <v>0.1057838661</v>
      </c>
      <c r="G278" s="61">
        <f>IFERROR(__xludf.DUMMYFUNCTION("iferror(MINUS(divide(GOOGLEFINANCE($B278), INDEX(GOOGLEFINANCE($B278,""price"",today()-364),2,2)),1),"""")"),-0.27603388141504737)</f>
        <v>-0.2760338814</v>
      </c>
    </row>
    <row r="279">
      <c r="A279" s="71">
        <f t="shared" si="4"/>
        <v>275</v>
      </c>
      <c r="B279" s="47" t="s">
        <v>411</v>
      </c>
      <c r="C279" s="72">
        <f>IFERROR(__xludf.DUMMYFUNCTION("iferror(divide(googlefinance($B279,""marketcap""),1000000),"""")"),106.785116)</f>
        <v>106.785116</v>
      </c>
      <c r="D279" s="72">
        <f>IFERROR(__xludf.DUMMYFUNCTION("iferror(divide(googlefinance($B279,""shares""),1000),"""")"),22063.0)</f>
        <v>22063</v>
      </c>
      <c r="E279" s="72">
        <f>IFERROR(__xludf.DUMMYFUNCTION("iferror(divide(googlefinance($B279,""volumeavg""),1000),"""")"),163.269)</f>
        <v>163.269</v>
      </c>
      <c r="F279" s="73">
        <f>IFERROR(__xludf.DUMMYFUNCTION("iferror(MINUS(divide(GOOGLEFINANCE($B279), INDEX(GOOGLEFINANCE($B279,""price"",today()-182),2,2)),1),"""")"),0.2506459948320412)</f>
        <v>0.2506459948</v>
      </c>
      <c r="G279" s="61">
        <f>IFERROR(__xludf.DUMMYFUNCTION("iferror(MINUS(divide(GOOGLEFINANCE($B279), INDEX(GOOGLEFINANCE($B279,""price"",today()-364),2,2)),1),"""")"),-0.174061433447099)</f>
        <v>-0.1740614334</v>
      </c>
    </row>
    <row r="280">
      <c r="A280" s="71">
        <f t="shared" si="4"/>
        <v>276</v>
      </c>
      <c r="B280" s="47" t="s">
        <v>412</v>
      </c>
      <c r="C280" s="72">
        <f>IFERROR(__xludf.DUMMYFUNCTION("iferror(divide(googlefinance($B280,""marketcap""),1000000),"""")"),599.073327)</f>
        <v>599.073327</v>
      </c>
      <c r="D280" s="72" t="str">
        <f>IFERROR(__xludf.DUMMYFUNCTION("iferror(divide(googlefinance($B280,""shares""),1000),"""")"),"")</f>
        <v/>
      </c>
      <c r="E280" s="72" t="str">
        <f>IFERROR(__xludf.DUMMYFUNCTION("iferror(divide(googlefinance($B280,""volumeavg""),1000),"""")"),"")</f>
        <v/>
      </c>
      <c r="F280" s="73" t="str">
        <f>IFERROR(__xludf.DUMMYFUNCTION("iferror(MINUS(divide(GOOGLEFINANCE($B280), INDEX(GOOGLEFINANCE($B280,""price"",today()-182),2,2)),1),"""")"),"")</f>
        <v/>
      </c>
      <c r="G280" s="61" t="str">
        <f>IFERROR(__xludf.DUMMYFUNCTION("iferror(MINUS(divide(GOOGLEFINANCE($B280), INDEX(GOOGLEFINANCE($B280,""price"",today()-364),2,2)),1),"""")"),"")</f>
        <v/>
      </c>
    </row>
    <row r="281">
      <c r="A281" s="71">
        <f t="shared" si="4"/>
        <v>277</v>
      </c>
      <c r="B281" s="47" t="s">
        <v>413</v>
      </c>
      <c r="C281" s="72">
        <f>IFERROR(__xludf.DUMMYFUNCTION("iferror(divide(googlefinance($B281,""marketcap""),1000000),"""")"),360.870804)</f>
        <v>360.870804</v>
      </c>
      <c r="D281" s="72">
        <f>IFERROR(__xludf.DUMMYFUNCTION("iferror(divide(googlefinance($B281,""shares""),1000),"""")"),19433.0)</f>
        <v>19433</v>
      </c>
      <c r="E281" s="72">
        <f>IFERROR(__xludf.DUMMYFUNCTION("iferror(divide(googlefinance($B281,""volumeavg""),1000),"""")"),211.938)</f>
        <v>211.938</v>
      </c>
      <c r="F281" s="73">
        <f>IFERROR(__xludf.DUMMYFUNCTION("iferror(MINUS(divide(GOOGLEFINANCE($B281), INDEX(GOOGLEFINANCE($B281,""price"",today()-182),2,2)),1),"""")"),0.31236749116607765)</f>
        <v>0.3123674912</v>
      </c>
      <c r="G281" s="61">
        <f>IFERROR(__xludf.DUMMYFUNCTION("iferror(MINUS(divide(GOOGLEFINANCE($B281), INDEX(GOOGLEFINANCE($B281,""price"",today()-364),2,2)),1),"""")"),0.2949790794979079)</f>
        <v>0.2949790795</v>
      </c>
    </row>
    <row r="282">
      <c r="A282" s="71">
        <f t="shared" si="4"/>
        <v>278</v>
      </c>
      <c r="B282" s="47" t="s">
        <v>414</v>
      </c>
      <c r="C282" s="72">
        <f>IFERROR(__xludf.DUMMYFUNCTION("iferror(divide(googlefinance($B282,""marketcap""),1000000),"""")"),4312.147922)</f>
        <v>4312.147922</v>
      </c>
      <c r="D282" s="72">
        <f>IFERROR(__xludf.DUMMYFUNCTION("iferror(divide(googlefinance($B282,""shares""),1000),"""")"),38584.0)</f>
        <v>38584</v>
      </c>
      <c r="E282" s="72">
        <f>IFERROR(__xludf.DUMMYFUNCTION("iferror(divide(googlefinance($B282,""volumeavg""),1000),"""")"),103.243)</f>
        <v>103.243</v>
      </c>
      <c r="F282" s="73">
        <f>IFERROR(__xludf.DUMMYFUNCTION("iferror(MINUS(divide(GOOGLEFINANCE($B282), INDEX(GOOGLEFINANCE($B282,""price"",today()-182),2,2)),1),"""")"),0.010305550533357355)</f>
        <v>0.01030555053</v>
      </c>
      <c r="G282" s="61">
        <f>IFERROR(__xludf.DUMMYFUNCTION("iferror(MINUS(divide(GOOGLEFINANCE($B282), INDEX(GOOGLEFINANCE($B282,""price"",today()-364),2,2)),1),"""")"),-0.02136602451838876)</f>
        <v>-0.02136602452</v>
      </c>
    </row>
    <row r="283">
      <c r="A283" s="71">
        <f t="shared" si="4"/>
        <v>279</v>
      </c>
      <c r="B283" s="47" t="s">
        <v>415</v>
      </c>
      <c r="C283" s="72">
        <f>IFERROR(__xludf.DUMMYFUNCTION("iferror(divide(googlefinance($B283,""marketcap""),1000000),"""")"),2925.631598)</f>
        <v>2925.631598</v>
      </c>
      <c r="D283" s="72">
        <f>IFERROR(__xludf.DUMMYFUNCTION("iferror(divide(googlefinance($B283,""shares""),1000),"""")"),23697.0)</f>
        <v>23697</v>
      </c>
      <c r="E283" s="72">
        <f>IFERROR(__xludf.DUMMYFUNCTION("iferror(divide(googlefinance($B283,""volumeavg""),1000),"""")"),379.372)</f>
        <v>379.372</v>
      </c>
      <c r="F283" s="73">
        <f>IFERROR(__xludf.DUMMYFUNCTION("iferror(MINUS(divide(GOOGLEFINANCE($B283), INDEX(GOOGLEFINANCE($B283,""price"",today()-182),2,2)),1),"""")"),0.8751518833535843)</f>
        <v>0.8751518834</v>
      </c>
      <c r="G283" s="61">
        <f>IFERROR(__xludf.DUMMYFUNCTION("iferror(MINUS(divide(GOOGLEFINANCE($B283), INDEX(GOOGLEFINANCE($B283,""price"",today()-364),2,2)),1),"""")"),-0.25680231158198896)</f>
        <v>-0.2568023116</v>
      </c>
    </row>
    <row r="284">
      <c r="A284" s="71">
        <f t="shared" si="4"/>
        <v>280</v>
      </c>
      <c r="B284" s="47" t="s">
        <v>416</v>
      </c>
      <c r="C284" s="72">
        <f>IFERROR(__xludf.DUMMYFUNCTION("iferror(divide(googlefinance($B284,""marketcap""),1000000),"""")"),2264.672403)</f>
        <v>2264.672403</v>
      </c>
      <c r="D284" s="72">
        <f>IFERROR(__xludf.DUMMYFUNCTION("iferror(divide(googlefinance($B284,""shares""),1000),"""")"),56462.0)</f>
        <v>56462</v>
      </c>
      <c r="E284" s="72">
        <f>IFERROR(__xludf.DUMMYFUNCTION("iferror(divide(googlefinance($B284,""volumeavg""),1000),"""")"),267.708)</f>
        <v>267.708</v>
      </c>
      <c r="F284" s="73">
        <f>IFERROR(__xludf.DUMMYFUNCTION("iferror(MINUS(divide(GOOGLEFINANCE($B284), INDEX(GOOGLEFINANCE($B284,""price"",today()-182),2,2)),1),"""")"),0.9027514231499052)</f>
        <v>0.9027514231</v>
      </c>
      <c r="G284" s="61">
        <f>IFERROR(__xludf.DUMMYFUNCTION("iferror(MINUS(divide(GOOGLEFINANCE($B284), INDEX(GOOGLEFINANCE($B284,""price"",today()-364),2,2)),1),"""")"),-0.11437403400309121)</f>
        <v>-0.114374034</v>
      </c>
    </row>
    <row r="285">
      <c r="A285" s="71">
        <f t="shared" si="4"/>
        <v>281</v>
      </c>
      <c r="B285" s="47" t="s">
        <v>417</v>
      </c>
      <c r="C285" s="72">
        <f>IFERROR(__xludf.DUMMYFUNCTION("iferror(divide(googlefinance($B285,""marketcap""),1000000),"""")"),3667.479187)</f>
        <v>3667.479187</v>
      </c>
      <c r="D285" s="72">
        <f>IFERROR(__xludf.DUMMYFUNCTION("iferror(divide(googlefinance($B285,""shares""),1000),"""")"),164240.0)</f>
        <v>164240</v>
      </c>
      <c r="E285" s="72">
        <f>IFERROR(__xludf.DUMMYFUNCTION("iferror(divide(googlefinance($B285,""volumeavg""),1000),"""")"),1307.039)</f>
        <v>1307.039</v>
      </c>
      <c r="F285" s="73">
        <f>IFERROR(__xludf.DUMMYFUNCTION("iferror(MINUS(divide(GOOGLEFINANCE($B285), INDEX(GOOGLEFINANCE($B285,""price"",today()-182),2,2)),1),"""")"),1.4457831325301203)</f>
        <v>1.445783133</v>
      </c>
      <c r="G285" s="61">
        <f>IFERROR(__xludf.DUMMYFUNCTION("iferror(MINUS(divide(GOOGLEFINANCE($B285), INDEX(GOOGLEFINANCE($B285,""price"",today()-364),2,2)),1),"""")"),0.37924644842495336)</f>
        <v>0.3792464484</v>
      </c>
    </row>
    <row r="286">
      <c r="A286" s="71">
        <f t="shared" si="4"/>
        <v>282</v>
      </c>
      <c r="B286" s="47" t="s">
        <v>418</v>
      </c>
      <c r="C286" s="72">
        <f>IFERROR(__xludf.DUMMYFUNCTION("iferror(divide(googlefinance($B286,""marketcap""),1000000),"""")"),934.007164)</f>
        <v>934.007164</v>
      </c>
      <c r="D286" s="72">
        <f>IFERROR(__xludf.DUMMYFUNCTION("iferror(divide(googlefinance($B286,""shares""),1000),"""")"),9443.0)</f>
        <v>9443</v>
      </c>
      <c r="E286" s="72">
        <f>IFERROR(__xludf.DUMMYFUNCTION("iferror(divide(googlefinance($B286,""volumeavg""),1000),"""")"),15.297)</f>
        <v>15.297</v>
      </c>
      <c r="F286" s="73">
        <f>IFERROR(__xludf.DUMMYFUNCTION("iferror(MINUS(divide(GOOGLEFINANCE($B286), INDEX(GOOGLEFINANCE($B286,""price"",today()-182),2,2)),1),"""")"),0.41300000000000003)</f>
        <v>0.413</v>
      </c>
      <c r="G286" s="61">
        <f>IFERROR(__xludf.DUMMYFUNCTION("iferror(MINUS(divide(GOOGLEFINANCE($B286), INDEX(GOOGLEFINANCE($B286,""price"",today()-364),2,2)),1),"""")"),-0.11844919786096264)</f>
        <v>-0.1184491979</v>
      </c>
    </row>
    <row r="287">
      <c r="A287" s="71">
        <f t="shared" si="4"/>
        <v>283</v>
      </c>
      <c r="B287" s="47" t="s">
        <v>419</v>
      </c>
      <c r="C287" s="72">
        <f>IFERROR(__xludf.DUMMYFUNCTION("iferror(divide(googlefinance($B287,""marketcap""),1000000),"""")"),4289.041748)</f>
        <v>4289.041748</v>
      </c>
      <c r="D287" s="72">
        <f>IFERROR(__xludf.DUMMYFUNCTION("iferror(divide(googlefinance($B287,""shares""),1000),"""")"),395846.0)</f>
        <v>395846</v>
      </c>
      <c r="E287" s="72">
        <f>IFERROR(__xludf.DUMMYFUNCTION("iferror(divide(googlefinance($B287,""volumeavg""),1000),"""")"),1905.214)</f>
        <v>1905.214</v>
      </c>
      <c r="F287" s="73">
        <f>IFERROR(__xludf.DUMMYFUNCTION("iferror(MINUS(divide(GOOGLEFINANCE($B287), INDEX(GOOGLEFINANCE($B287,""price"",today()-182),2,2)),1),"""")"),0.7238095238095237)</f>
        <v>0.7238095238</v>
      </c>
      <c r="G287" s="61">
        <f>IFERROR(__xludf.DUMMYFUNCTION("iferror(MINUS(divide(GOOGLEFINANCE($B287), INDEX(GOOGLEFINANCE($B287,""price"",today()-364),2,2)),1),"""")"),0.16149732620320845)</f>
        <v>0.1614973262</v>
      </c>
    </row>
    <row r="288">
      <c r="A288" s="71">
        <f t="shared" si="4"/>
        <v>284</v>
      </c>
      <c r="B288" s="47" t="s">
        <v>420</v>
      </c>
      <c r="C288" s="72">
        <f>IFERROR(__xludf.DUMMYFUNCTION("iferror(divide(googlefinance($B288,""marketcap""),1000000),"""")"),13420.474346)</f>
        <v>13420.47435</v>
      </c>
      <c r="D288" s="72">
        <f>IFERROR(__xludf.DUMMYFUNCTION("iferror(divide(googlefinance($B288,""shares""),1000),"""")"),600663.0)</f>
        <v>600663</v>
      </c>
      <c r="E288" s="72">
        <f>IFERROR(__xludf.DUMMYFUNCTION("iferror(divide(googlefinance($B288,""volumeavg""),1000),"""")"),40067.565)</f>
        <v>40067.565</v>
      </c>
      <c r="F288" s="73">
        <f>IFERROR(__xludf.DUMMYFUNCTION("iferror(MINUS(divide(GOOGLEFINANCE($B288), INDEX(GOOGLEFINANCE($B288,""price"",today()-182),2,2)),1),"""")"),0.3533333333333333)</f>
        <v>0.3533333333</v>
      </c>
      <c r="G288" s="61">
        <f>IFERROR(__xludf.DUMMYFUNCTION("iferror(MINUS(divide(GOOGLEFINANCE($B288), INDEX(GOOGLEFINANCE($B288,""price"",today()-364),2,2)),1),"""")"),-0.6632102861883036)</f>
        <v>-0.6632102862</v>
      </c>
    </row>
    <row r="289">
      <c r="A289" s="71">
        <f t="shared" si="4"/>
        <v>285</v>
      </c>
      <c r="B289" s="47" t="s">
        <v>421</v>
      </c>
      <c r="C289" s="72">
        <f>IFERROR(__xludf.DUMMYFUNCTION("iferror(divide(googlefinance($B289,""marketcap""),1000000),"""")"),4256.5575)</f>
        <v>4256.5575</v>
      </c>
      <c r="D289" s="72">
        <f>IFERROR(__xludf.DUMMYFUNCTION("iferror(divide(googlefinance($B289,""shares""),1000),"""")"),29055.0)</f>
        <v>29055</v>
      </c>
      <c r="E289" s="72">
        <f>IFERROR(__xludf.DUMMYFUNCTION("iferror(divide(googlefinance($B289,""volumeavg""),1000),"""")"),144.462)</f>
        <v>144.462</v>
      </c>
      <c r="F289" s="73">
        <f>IFERROR(__xludf.DUMMYFUNCTION("iferror(MINUS(divide(GOOGLEFINANCE($B289), INDEX(GOOGLEFINANCE($B289,""price"",today()-182),2,2)),1),"""")"),0.644773773436623)</f>
        <v>0.6447737734</v>
      </c>
      <c r="G289" s="61">
        <f>IFERROR(__xludf.DUMMYFUNCTION("iferror(MINUS(divide(GOOGLEFINANCE($B289), INDEX(GOOGLEFINANCE($B289,""price"",today()-364),2,2)),1),"""")"),0.009578940114395973)</f>
        <v>0.009578940114</v>
      </c>
    </row>
    <row r="290">
      <c r="A290" s="71">
        <f t="shared" si="4"/>
        <v>286</v>
      </c>
      <c r="B290" s="47" t="s">
        <v>422</v>
      </c>
      <c r="C290" s="72">
        <f>IFERROR(__xludf.DUMMYFUNCTION("iferror(divide(googlefinance($B290,""marketcap""),1000000),"""")"),1315.02994)</f>
        <v>1315.02994</v>
      </c>
      <c r="D290" s="72">
        <f>IFERROR(__xludf.DUMMYFUNCTION("iferror(divide(googlefinance($B290,""shares""),1000),"""")"),33351.0)</f>
        <v>33351</v>
      </c>
      <c r="E290" s="72">
        <f>IFERROR(__xludf.DUMMYFUNCTION("iferror(divide(googlefinance($B290,""volumeavg""),1000),"""")"),305.161)</f>
        <v>305.161</v>
      </c>
      <c r="F290" s="73">
        <f>IFERROR(__xludf.DUMMYFUNCTION("iferror(MINUS(divide(GOOGLEFINANCE($B290), INDEX(GOOGLEFINANCE($B290,""price"",today()-182),2,2)),1),"""")"),2.2803660565723796)</f>
        <v>2.280366057</v>
      </c>
      <c r="G290" s="61">
        <f>IFERROR(__xludf.DUMMYFUNCTION("iferror(MINUS(divide(GOOGLEFINANCE($B290), INDEX(GOOGLEFINANCE($B290,""price"",today()-364),2,2)),1),"""")"),0.3147715905301769)</f>
        <v>0.3147715905</v>
      </c>
    </row>
    <row r="291">
      <c r="A291" s="71">
        <f t="shared" si="4"/>
        <v>287</v>
      </c>
      <c r="B291" s="47" t="s">
        <v>423</v>
      </c>
      <c r="C291" s="72">
        <f>IFERROR(__xludf.DUMMYFUNCTION("iferror(divide(googlefinance($B291,""marketcap""),1000000),"""")"),4947.645296)</f>
        <v>4947.645296</v>
      </c>
      <c r="D291" s="72">
        <f>IFERROR(__xludf.DUMMYFUNCTION("iferror(divide(googlefinance($B291,""shares""),1000),"""")"),369503.0)</f>
        <v>369503</v>
      </c>
      <c r="E291" s="72">
        <f>IFERROR(__xludf.DUMMYFUNCTION("iferror(divide(googlefinance($B291,""volumeavg""),1000),"""")"),229.981)</f>
        <v>229.981</v>
      </c>
      <c r="F291" s="73">
        <f>IFERROR(__xludf.DUMMYFUNCTION("iferror(MINUS(divide(GOOGLEFINANCE($B291), INDEX(GOOGLEFINANCE($B291,""price"",today()-182),2,2)),1),"""")"),0.08333333333333348)</f>
        <v>0.08333333333</v>
      </c>
      <c r="G291" s="61">
        <f>IFERROR(__xludf.DUMMYFUNCTION("iferror(MINUS(divide(GOOGLEFINANCE($B291), INDEX(GOOGLEFINANCE($B291,""price"",today()-364),2,2)),1),"""")"),-0.4035634743875278)</f>
        <v>-0.4035634744</v>
      </c>
    </row>
    <row r="292">
      <c r="A292" s="71">
        <f t="shared" si="4"/>
        <v>288</v>
      </c>
      <c r="B292" s="47" t="s">
        <v>424</v>
      </c>
      <c r="C292" s="72">
        <f>IFERROR(__xludf.DUMMYFUNCTION("iferror(divide(googlefinance($B292,""marketcap""),1000000),"""")"),3621.678178)</f>
        <v>3621.678178</v>
      </c>
      <c r="D292" s="72">
        <f>IFERROR(__xludf.DUMMYFUNCTION("iferror(divide(googlefinance($B292,""shares""),1000),"""")"),68892.0)</f>
        <v>68892</v>
      </c>
      <c r="E292" s="72">
        <f>IFERROR(__xludf.DUMMYFUNCTION("iferror(divide(googlefinance($B292,""volumeavg""),1000),"""")"),502.515)</f>
        <v>502.515</v>
      </c>
      <c r="F292" s="73">
        <f>IFERROR(__xludf.DUMMYFUNCTION("iferror(MINUS(divide(GOOGLEFINANCE($B292), INDEX(GOOGLEFINANCE($B292,""price"",today()-182),2,2)),1),"""")"),0.42736899266901984)</f>
        <v>0.4273689927</v>
      </c>
      <c r="G292" s="61">
        <f>IFERROR(__xludf.DUMMYFUNCTION("iferror(MINUS(divide(GOOGLEFINANCE($B292), INDEX(GOOGLEFINANCE($B292,""price"",today()-364),2,2)),1),"""")"),6.009333333333333)</f>
        <v>6.009333333</v>
      </c>
    </row>
    <row r="293">
      <c r="A293" s="71">
        <f t="shared" si="4"/>
        <v>289</v>
      </c>
      <c r="B293" s="47" t="s">
        <v>425</v>
      </c>
      <c r="C293" s="72">
        <f>IFERROR(__xludf.DUMMYFUNCTION("iferror(divide(googlefinance($B293,""marketcap""),1000000),"""")"),2010.839325)</f>
        <v>2010.839325</v>
      </c>
      <c r="D293" s="72">
        <f>IFERROR(__xludf.DUMMYFUNCTION("iferror(divide(googlefinance($B293,""shares""),1000),"""")"),243738.0)</f>
        <v>243738</v>
      </c>
      <c r="E293" s="72">
        <f>IFERROR(__xludf.DUMMYFUNCTION("iferror(divide(googlefinance($B293,""volumeavg""),1000),"""")"),5265.41)</f>
        <v>5265.41</v>
      </c>
      <c r="F293" s="73">
        <f>IFERROR(__xludf.DUMMYFUNCTION("iferror(MINUS(divide(GOOGLEFINANCE($B293), INDEX(GOOGLEFINANCE($B293,""price"",today()-182),2,2)),1),"""")"),1.8253424657534247)</f>
        <v>1.825342466</v>
      </c>
      <c r="G293" s="61">
        <f>IFERROR(__xludf.DUMMYFUNCTION("iferror(MINUS(divide(GOOGLEFINANCE($B293), INDEX(GOOGLEFINANCE($B293,""price"",today()-364),2,2)),1),"""")"),0.5654648956356738)</f>
        <v>0.5654648956</v>
      </c>
    </row>
    <row r="294">
      <c r="A294" s="71">
        <f t="shared" si="4"/>
        <v>290</v>
      </c>
      <c r="B294" s="47" t="s">
        <v>426</v>
      </c>
      <c r="C294" s="72">
        <f>IFERROR(__xludf.DUMMYFUNCTION("iferror(divide(googlefinance($B294,""marketcap""),1000000),"""")"),439.237663)</f>
        <v>439.237663</v>
      </c>
      <c r="D294" s="72">
        <f>IFERROR(__xludf.DUMMYFUNCTION("iferror(divide(googlefinance($B294,""shares""),1000),"""")"),56603.0)</f>
        <v>56603</v>
      </c>
      <c r="E294" s="72">
        <f>IFERROR(__xludf.DUMMYFUNCTION("iferror(divide(googlefinance($B294,""volumeavg""),1000),"""")"),410.68)</f>
        <v>410.68</v>
      </c>
      <c r="F294" s="73">
        <f>IFERROR(__xludf.DUMMYFUNCTION("iferror(MINUS(divide(GOOGLEFINANCE($B294), INDEX(GOOGLEFINANCE($B294,""price"",today()-182),2,2)),1),"""")"),1.4634920634920636)</f>
        <v>1.463492063</v>
      </c>
      <c r="G294" s="61">
        <f>IFERROR(__xludf.DUMMYFUNCTION("iferror(MINUS(divide(GOOGLEFINANCE($B294), INDEX(GOOGLEFINANCE($B294,""price"",today()-364),2,2)),1),"""")"),0.30201342281879184)</f>
        <v>0.3020134228</v>
      </c>
    </row>
    <row r="295">
      <c r="A295" s="71">
        <f t="shared" si="4"/>
        <v>291</v>
      </c>
      <c r="B295" s="47" t="s">
        <v>427</v>
      </c>
      <c r="C295" s="72">
        <f>IFERROR(__xludf.DUMMYFUNCTION("iferror(divide(googlefinance($B295,""marketcap""),1000000),"""")"),1629.516535)</f>
        <v>1629.516535</v>
      </c>
      <c r="D295" s="72">
        <f>IFERROR(__xludf.DUMMYFUNCTION("iferror(divide(googlefinance($B295,""shares""),1000),"""")"),48964.0)</f>
        <v>48964</v>
      </c>
      <c r="E295" s="72">
        <f>IFERROR(__xludf.DUMMYFUNCTION("iferror(divide(googlefinance($B295,""volumeavg""),1000),"""")"),467.563)</f>
        <v>467.563</v>
      </c>
      <c r="F295" s="73">
        <f>IFERROR(__xludf.DUMMYFUNCTION("iferror(MINUS(divide(GOOGLEFINANCE($B295), INDEX(GOOGLEFINANCE($B295,""price"",today()-182),2,2)),1),"""")"),0.9192618223760094)</f>
        <v>0.9192618224</v>
      </c>
      <c r="G295" s="61">
        <f>IFERROR(__xludf.DUMMYFUNCTION("iferror(MINUS(divide(GOOGLEFINANCE($B295), INDEX(GOOGLEFINANCE($B295,""price"",today()-364),2,2)),1),"""")"),0.38320864505403174)</f>
        <v>0.3832086451</v>
      </c>
    </row>
    <row r="296">
      <c r="A296" s="71">
        <f t="shared" si="4"/>
        <v>292</v>
      </c>
      <c r="B296" s="47" t="s">
        <v>428</v>
      </c>
      <c r="C296" s="72">
        <f>IFERROR(__xludf.DUMMYFUNCTION("iferror(divide(googlefinance($B296,""marketcap""),1000000),"""")"),140.046339)</f>
        <v>140.046339</v>
      </c>
      <c r="D296" s="72">
        <f>IFERROR(__xludf.DUMMYFUNCTION("iferror(divide(googlefinance($B296,""shares""),1000),"""")"),42959.0)</f>
        <v>42959</v>
      </c>
      <c r="E296" s="72">
        <f>IFERROR(__xludf.DUMMYFUNCTION("iferror(divide(googlefinance($B296,""volumeavg""),1000),"""")"),207.981)</f>
        <v>207.981</v>
      </c>
      <c r="F296" s="73">
        <f>IFERROR(__xludf.DUMMYFUNCTION("iferror(MINUS(divide(GOOGLEFINANCE($B296), INDEX(GOOGLEFINANCE($B296,""price"",today()-182),2,2)),1),"""")"),0.5598086124401913)</f>
        <v>0.5598086124</v>
      </c>
      <c r="G296" s="61">
        <f>IFERROR(__xludf.DUMMYFUNCTION("iferror(MINUS(divide(GOOGLEFINANCE($B296), INDEX(GOOGLEFINANCE($B296,""price"",today()-364),2,2)),1),"""")"),0.7157894736842105)</f>
        <v>0.7157894737</v>
      </c>
    </row>
    <row r="297">
      <c r="A297" s="71">
        <f t="shared" si="4"/>
        <v>293</v>
      </c>
      <c r="B297" s="47" t="s">
        <v>429</v>
      </c>
      <c r="C297" s="72">
        <f>IFERROR(__xludf.DUMMYFUNCTION("iferror(divide(googlefinance($B297,""marketcap""),1000000),"""")"),280.389211)</f>
        <v>280.389211</v>
      </c>
      <c r="D297" s="72">
        <f>IFERROR(__xludf.DUMMYFUNCTION("iferror(divide(googlefinance($B297,""shares""),1000),"""")"),61624.0)</f>
        <v>61624</v>
      </c>
      <c r="E297" s="72">
        <f>IFERROR(__xludf.DUMMYFUNCTION("iferror(divide(googlefinance($B297,""volumeavg""),1000),"""")"),286.101)</f>
        <v>286.101</v>
      </c>
      <c r="F297" s="73">
        <f>IFERROR(__xludf.DUMMYFUNCTION("iferror(MINUS(divide(GOOGLEFINANCE($B297), INDEX(GOOGLEFINANCE($B297,""price"",today()-182),2,2)),1),"""")"),0.6605839416058392)</f>
        <v>0.6605839416</v>
      </c>
      <c r="G297" s="61">
        <f>IFERROR(__xludf.DUMMYFUNCTION("iferror(MINUS(divide(GOOGLEFINANCE($B297), INDEX(GOOGLEFINANCE($B297,""price"",today()-364),2,2)),1),"""")"),0.11519607843137258)</f>
        <v>0.1151960784</v>
      </c>
    </row>
    <row r="298">
      <c r="A298" s="71">
        <f t="shared" si="4"/>
        <v>294</v>
      </c>
      <c r="B298" s="47" t="s">
        <v>430</v>
      </c>
      <c r="C298" s="72">
        <f>IFERROR(__xludf.DUMMYFUNCTION("iferror(divide(googlefinance($B298,""marketcap""),1000000),"""")"),13511.198164)</f>
        <v>13511.19816</v>
      </c>
      <c r="D298" s="72">
        <f>IFERROR(__xludf.DUMMYFUNCTION("iferror(divide(googlefinance($B298,""shares""),1000),"""")"),118291.0)</f>
        <v>118291</v>
      </c>
      <c r="E298" s="72">
        <f>IFERROR(__xludf.DUMMYFUNCTION("iferror(divide(googlefinance($B298,""volumeavg""),1000),"""")"),746.686)</f>
        <v>746.686</v>
      </c>
      <c r="F298" s="73">
        <f>IFERROR(__xludf.DUMMYFUNCTION("iferror(MINUS(divide(GOOGLEFINANCE($B298), INDEX(GOOGLEFINANCE($B298,""price"",today()-182),2,2)),1),"""")"),0.7645604820021628)</f>
        <v>0.764560482</v>
      </c>
      <c r="G298" s="61">
        <f>IFERROR(__xludf.DUMMYFUNCTION("iferror(MINUS(divide(GOOGLEFINANCE($B298), INDEX(GOOGLEFINANCE($B298,""price"",today()-364),2,2)),1),"""")"),-0.0689598956635149)</f>
        <v>-0.06895989566</v>
      </c>
    </row>
    <row r="299">
      <c r="A299" s="71">
        <f t="shared" si="4"/>
        <v>295</v>
      </c>
      <c r="B299" s="47" t="s">
        <v>431</v>
      </c>
      <c r="C299" s="72">
        <f>IFERROR(__xludf.DUMMYFUNCTION("iferror(divide(googlefinance($B299,""marketcap""),1000000),"""")"),88663.579674)</f>
        <v>88663.57967</v>
      </c>
      <c r="D299" s="72">
        <f>IFERROR(__xludf.DUMMYFUNCTION("iferror(divide(googlefinance($B299,""shares""),1000),"""")"),5176778.0)</f>
        <v>5176778</v>
      </c>
      <c r="E299" s="72">
        <f>IFERROR(__xludf.DUMMYFUNCTION("iferror(divide(googlefinance($B299,""volumeavg""),1000),"""")"),24.085)</f>
        <v>24.085</v>
      </c>
      <c r="F299" s="73">
        <f>IFERROR(__xludf.DUMMYFUNCTION("iferror(MINUS(divide(GOOGLEFINANCE($B299), INDEX(GOOGLEFINANCE($B299,""price"",today()-182),2,2)),1),"""")"),0.4302741358760429)</f>
        <v>0.4302741359</v>
      </c>
      <c r="G299" s="61">
        <f>IFERROR(__xludf.DUMMYFUNCTION("iferror(MINUS(divide(GOOGLEFINANCE($B299), INDEX(GOOGLEFINANCE($B299,""price"",today()-364),2,2)),1),"""")"),-0.03653151344841432)</f>
        <v>-0.03653151345</v>
      </c>
    </row>
    <row r="300">
      <c r="A300" s="71">
        <f t="shared" si="4"/>
        <v>296</v>
      </c>
      <c r="B300" s="47" t="s">
        <v>432</v>
      </c>
      <c r="C300" s="72">
        <f>IFERROR(__xludf.DUMMYFUNCTION("iferror(divide(googlefinance($B300,""marketcap""),1000000),"""")"),90.72693)</f>
        <v>90.72693</v>
      </c>
      <c r="D300" s="72">
        <f>IFERROR(__xludf.DUMMYFUNCTION("iferror(divide(googlefinance($B300,""shares""),1000),"""")"),20162.0)</f>
        <v>20162</v>
      </c>
      <c r="E300" s="72">
        <f>IFERROR(__xludf.DUMMYFUNCTION("iferror(divide(googlefinance($B300,""volumeavg""),1000),"""")"),3506.446)</f>
        <v>3506.446</v>
      </c>
      <c r="F300" s="73">
        <f>IFERROR(__xludf.DUMMYFUNCTION("iferror(MINUS(divide(GOOGLEFINANCE($B300), INDEX(GOOGLEFINANCE($B300,""price"",today()-182),2,2)),1),"""")"),0.2396694214876034)</f>
        <v>0.2396694215</v>
      </c>
      <c r="G300" s="61">
        <f>IFERROR(__xludf.DUMMYFUNCTION("iferror(MINUS(divide(GOOGLEFINANCE($B300), INDEX(GOOGLEFINANCE($B300,""price"",today()-364),2,2)),1),"""")"),-0.3661971830985915)</f>
        <v>-0.3661971831</v>
      </c>
    </row>
    <row r="301">
      <c r="A301" s="71">
        <f t="shared" si="4"/>
        <v>297</v>
      </c>
      <c r="B301" s="47" t="s">
        <v>433</v>
      </c>
      <c r="C301" s="72">
        <f>IFERROR(__xludf.DUMMYFUNCTION("iferror(divide(googlefinance($B301,""marketcap""),1000000),"""")"),1958.330756)</f>
        <v>1958.330756</v>
      </c>
      <c r="D301" s="72">
        <f>IFERROR(__xludf.DUMMYFUNCTION("iferror(divide(googlefinance($B301,""shares""),1000),"""")"),11301.0)</f>
        <v>11301</v>
      </c>
      <c r="E301" s="72">
        <f>IFERROR(__xludf.DUMMYFUNCTION("iferror(divide(googlefinance($B301,""volumeavg""),1000),"""")"),83.337)</f>
        <v>83.337</v>
      </c>
      <c r="F301" s="73">
        <f>IFERROR(__xludf.DUMMYFUNCTION("iferror(MINUS(divide(GOOGLEFINANCE($B301), INDEX(GOOGLEFINANCE($B301,""price"",today()-182),2,2)),1),"""")"),0.5181058495821727)</f>
        <v>0.5181058496</v>
      </c>
      <c r="G301" s="61">
        <f>IFERROR(__xludf.DUMMYFUNCTION("iferror(MINUS(divide(GOOGLEFINANCE($B301), INDEX(GOOGLEFINANCE($B301,""price"",today()-364),2,2)),1),"""")"),0.38576098801307657)</f>
        <v>0.385760988</v>
      </c>
    </row>
    <row r="302">
      <c r="A302" s="71">
        <f t="shared" si="4"/>
        <v>298</v>
      </c>
      <c r="B302" s="47" t="s">
        <v>434</v>
      </c>
      <c r="C302" s="72">
        <f>IFERROR(__xludf.DUMMYFUNCTION("iferror(divide(googlefinance($B302,""marketcap""),1000000),"""")"),836.683101)</f>
        <v>836.683101</v>
      </c>
      <c r="D302" s="72">
        <f>IFERROR(__xludf.DUMMYFUNCTION("iferror(divide(googlefinance($B302,""shares""),1000),"""")"),89485.0)</f>
        <v>89485</v>
      </c>
      <c r="E302" s="72">
        <f>IFERROR(__xludf.DUMMYFUNCTION("iferror(divide(googlefinance($B302,""volumeavg""),1000),"""")"),1171.12)</f>
        <v>1171.12</v>
      </c>
      <c r="F302" s="73">
        <f>IFERROR(__xludf.DUMMYFUNCTION("iferror(MINUS(divide(GOOGLEFINANCE($B302), INDEX(GOOGLEFINANCE($B302,""price"",today()-182),2,2)),1),"""")"),1.9682539682539684)</f>
        <v>1.968253968</v>
      </c>
      <c r="G302" s="61">
        <f>IFERROR(__xludf.DUMMYFUNCTION("iferror(MINUS(divide(GOOGLEFINANCE($B302), INDEX(GOOGLEFINANCE($B302,""price"",today()-364),2,2)),1),"""")"),0.3022284122562675)</f>
        <v>0.3022284123</v>
      </c>
    </row>
    <row r="303">
      <c r="A303" s="71">
        <f t="shared" si="4"/>
        <v>299</v>
      </c>
      <c r="B303" s="47" t="s">
        <v>435</v>
      </c>
      <c r="C303" s="72">
        <f>IFERROR(__xludf.DUMMYFUNCTION("iferror(divide(googlefinance($B303,""marketcap""),1000000),"""")"),212.31774)</f>
        <v>212.31774</v>
      </c>
      <c r="D303" s="72">
        <f>IFERROR(__xludf.DUMMYFUNCTION("iferror(divide(googlefinance($B303,""shares""),1000),"""")"),74900.0)</f>
        <v>74900</v>
      </c>
      <c r="E303" s="72">
        <f>IFERROR(__xludf.DUMMYFUNCTION("iferror(divide(googlefinance($B303,""volumeavg""),1000),"""")"),468.118)</f>
        <v>468.118</v>
      </c>
      <c r="F303" s="73">
        <f>IFERROR(__xludf.DUMMYFUNCTION("iferror(MINUS(divide(GOOGLEFINANCE($B303), INDEX(GOOGLEFINANCE($B303,""price"",today()-182),2,2)),1),"""")"),0.055762081784386686)</f>
        <v>0.05576208178</v>
      </c>
      <c r="G303" s="61">
        <f>IFERROR(__xludf.DUMMYFUNCTION("iferror(MINUS(divide(GOOGLEFINANCE($B303), INDEX(GOOGLEFINANCE($B303,""price"",today()-364),2,2)),1),"""")"),-0.1572700296735906)</f>
        <v>-0.1572700297</v>
      </c>
    </row>
    <row r="304">
      <c r="A304" s="71">
        <f t="shared" si="4"/>
        <v>300</v>
      </c>
      <c r="B304" s="47" t="s">
        <v>436</v>
      </c>
      <c r="C304" s="72">
        <f>IFERROR(__xludf.DUMMYFUNCTION("iferror(divide(googlefinance($B304,""marketcap""),1000000),"""")"),21920.319587)</f>
        <v>21920.31959</v>
      </c>
      <c r="D304" s="72">
        <f>IFERROR(__xludf.DUMMYFUNCTION("iferror(divide(googlefinance($B304,""shares""),1000),"""")"),305382.0)</f>
        <v>305382</v>
      </c>
      <c r="E304" s="72">
        <f>IFERROR(__xludf.DUMMYFUNCTION("iferror(divide(googlefinance($B304,""volumeavg""),1000),"""")"),1553.758)</f>
        <v>1553.758</v>
      </c>
      <c r="F304" s="73">
        <f>IFERROR(__xludf.DUMMYFUNCTION("iferror(MINUS(divide(GOOGLEFINANCE($B304), INDEX(GOOGLEFINANCE($B304,""price"",today()-182),2,2)),1),"""")"),0.26931918656056597)</f>
        <v>0.2693191866</v>
      </c>
      <c r="G304" s="61">
        <f>IFERROR(__xludf.DUMMYFUNCTION("iferror(MINUS(divide(GOOGLEFINANCE($B304), INDEX(GOOGLEFINANCE($B304,""price"",today()-364),2,2)),1),"""")"),0.048801870251315105)</f>
        <v>0.04880187025</v>
      </c>
    </row>
    <row r="305">
      <c r="A305" s="71">
        <f t="shared" si="4"/>
        <v>301</v>
      </c>
      <c r="B305" s="47" t="s">
        <v>437</v>
      </c>
      <c r="C305" s="72">
        <f>IFERROR(__xludf.DUMMYFUNCTION("iferror(divide(googlefinance($B305,""marketcap""),1000000),"""")"),812.127383)</f>
        <v>812.127383</v>
      </c>
      <c r="D305" s="72">
        <f>IFERROR(__xludf.DUMMYFUNCTION("iferror(divide(googlefinance($B305,""shares""),1000),"""")"),22159.0)</f>
        <v>22159</v>
      </c>
      <c r="E305" s="72">
        <f>IFERROR(__xludf.DUMMYFUNCTION("iferror(divide(googlefinance($B305,""volumeavg""),1000),"""")"),153.873)</f>
        <v>153.873</v>
      </c>
      <c r="F305" s="73">
        <f>IFERROR(__xludf.DUMMYFUNCTION("iferror(MINUS(divide(GOOGLEFINANCE($B305), INDEX(GOOGLEFINANCE($B305,""price"",today()-182),2,2)),1),"""")"),0.6712266301869585)</f>
        <v>0.6712266302</v>
      </c>
      <c r="G305" s="61">
        <f>IFERROR(__xludf.DUMMYFUNCTION("iferror(MINUS(divide(GOOGLEFINANCE($B305), INDEX(GOOGLEFINANCE($B305,""price"",today()-364),2,2)),1),"""")"),0.16017727128838244)</f>
        <v>0.1601772713</v>
      </c>
    </row>
    <row r="306">
      <c r="A306" s="71">
        <f t="shared" si="4"/>
        <v>302</v>
      </c>
      <c r="B306" s="47" t="s">
        <v>438</v>
      </c>
      <c r="C306" s="72">
        <f>IFERROR(__xludf.DUMMYFUNCTION("iferror(divide(googlefinance($B306,""marketcap""),1000000),"""")"),7408.803069)</f>
        <v>7408.803069</v>
      </c>
      <c r="D306" s="72">
        <f>IFERROR(__xludf.DUMMYFUNCTION("iferror(divide(googlefinance($B306,""shares""),1000),"""")"),213880.0)</f>
        <v>213880</v>
      </c>
      <c r="E306" s="72">
        <f>IFERROR(__xludf.DUMMYFUNCTION("iferror(divide(googlefinance($B306,""volumeavg""),1000),"""")"),2225.467)</f>
        <v>2225.467</v>
      </c>
      <c r="F306" s="73">
        <f>IFERROR(__xludf.DUMMYFUNCTION("iferror(MINUS(divide(GOOGLEFINANCE($B306), INDEX(GOOGLEFINANCE($B306,""price"",today()-182),2,2)),1),"""")"),0.5568539325842696)</f>
        <v>0.5568539326</v>
      </c>
      <c r="G306" s="61">
        <f>IFERROR(__xludf.DUMMYFUNCTION("iferror(MINUS(divide(GOOGLEFINANCE($B306), INDEX(GOOGLEFINANCE($B306,""price"",today()-364),2,2)),1),"""")"),-0.29722053154798134)</f>
        <v>-0.2972205315</v>
      </c>
    </row>
    <row r="307">
      <c r="A307" s="71">
        <f t="shared" si="4"/>
        <v>303</v>
      </c>
      <c r="B307" s="47" t="s">
        <v>439</v>
      </c>
      <c r="C307" s="72">
        <f>IFERROR(__xludf.DUMMYFUNCTION("iferror(divide(googlefinance($B307,""marketcap""),1000000),"""")"),158.233211)</f>
        <v>158.233211</v>
      </c>
      <c r="D307" s="72">
        <f>IFERROR(__xludf.DUMMYFUNCTION("iferror(divide(googlefinance($B307,""shares""),1000),"""")"),27809.0)</f>
        <v>27809</v>
      </c>
      <c r="E307" s="72">
        <f>IFERROR(__xludf.DUMMYFUNCTION("iferror(divide(googlefinance($B307,""volumeavg""),1000),"""")"),227.618)</f>
        <v>227.618</v>
      </c>
      <c r="F307" s="73">
        <f>IFERROR(__xludf.DUMMYFUNCTION("iferror(MINUS(divide(GOOGLEFINANCE($B307), INDEX(GOOGLEFINANCE($B307,""price"",today()-182),2,2)),1),"""")"),-0.12863705972434913)</f>
        <v>-0.1286370597</v>
      </c>
      <c r="G307" s="61">
        <f>IFERROR(__xludf.DUMMYFUNCTION("iferror(MINUS(divide(GOOGLEFINANCE($B307), INDEX(GOOGLEFINANCE($B307,""price"",today()-364),2,2)),1),"""")"),0.3710843373493975)</f>
        <v>0.3710843373</v>
      </c>
    </row>
    <row r="308">
      <c r="A308" s="71">
        <f t="shared" si="4"/>
        <v>304</v>
      </c>
      <c r="B308" s="47" t="s">
        <v>440</v>
      </c>
      <c r="C308" s="72">
        <f>IFERROR(__xludf.DUMMYFUNCTION("iferror(divide(googlefinance($B308,""marketcap""),1000000),"""")"),16.5354)</f>
        <v>16.5354</v>
      </c>
      <c r="D308" s="72">
        <f>IFERROR(__xludf.DUMMYFUNCTION("iferror(divide(googlefinance($B308,""shares""),1000),"""")"),6350.0)</f>
        <v>6350</v>
      </c>
      <c r="E308" s="72">
        <f>IFERROR(__xludf.DUMMYFUNCTION("iferror(divide(googlefinance($B308,""volumeavg""),1000),"""")"),31.293)</f>
        <v>31.293</v>
      </c>
      <c r="F308" s="73">
        <f>IFERROR(__xludf.DUMMYFUNCTION("iferror(MINUS(divide(GOOGLEFINANCE($B308), INDEX(GOOGLEFINANCE($B308,""price"",today()-182),2,2)),1),"""")"),-0.06810035842293904)</f>
        <v>-0.06810035842</v>
      </c>
      <c r="G308" s="61">
        <f>IFERROR(__xludf.DUMMYFUNCTION("iferror(MINUS(divide(GOOGLEFINANCE($B308), INDEX(GOOGLEFINANCE($B308,""price"",today()-364),2,2)),1),"""")"),-0.44680851063829785)</f>
        <v>-0.4468085106</v>
      </c>
    </row>
    <row r="309">
      <c r="A309" s="71">
        <f t="shared" si="4"/>
        <v>305</v>
      </c>
      <c r="B309" s="47" t="s">
        <v>441</v>
      </c>
      <c r="C309" s="72">
        <f>IFERROR(__xludf.DUMMYFUNCTION("iferror(divide(googlefinance($B309,""marketcap""),1000000),"""")"),1504.683107)</f>
        <v>1504.683107</v>
      </c>
      <c r="D309" s="72">
        <f>IFERROR(__xludf.DUMMYFUNCTION("iferror(divide(googlefinance($B309,""shares""),1000),"""")"),82857.0)</f>
        <v>82857</v>
      </c>
      <c r="E309" s="72">
        <f>IFERROR(__xludf.DUMMYFUNCTION("iferror(divide(googlefinance($B309,""volumeavg""),1000),"""")"),1782.31)</f>
        <v>1782.31</v>
      </c>
      <c r="F309" s="73">
        <f>IFERROR(__xludf.DUMMYFUNCTION("iferror(MINUS(divide(GOOGLEFINANCE($B309), INDEX(GOOGLEFINANCE($B309,""price"",today()-182),2,2)),1),"""")"),1.7023809523809526)</f>
        <v>1.702380952</v>
      </c>
      <c r="G309" s="61">
        <f>IFERROR(__xludf.DUMMYFUNCTION("iferror(MINUS(divide(GOOGLEFINANCE($B309), INDEX(GOOGLEFINANCE($B309,""price"",today()-364),2,2)),1),"""")"),3.044543429844098)</f>
        <v>3.04454343</v>
      </c>
    </row>
    <row r="310">
      <c r="A310" s="71">
        <f t="shared" si="4"/>
        <v>306</v>
      </c>
      <c r="B310" s="47" t="s">
        <v>442</v>
      </c>
      <c r="C310" s="72">
        <f>IFERROR(__xludf.DUMMYFUNCTION("iferror(divide(googlefinance($B310,""marketcap""),1000000),"""")"),10900.23082)</f>
        <v>10900.23082</v>
      </c>
      <c r="D310" s="72">
        <f>IFERROR(__xludf.DUMMYFUNCTION("iferror(divide(googlefinance($B310,""shares""),1000),"""")"),173047.0)</f>
        <v>173047</v>
      </c>
      <c r="E310" s="72">
        <f>IFERROR(__xludf.DUMMYFUNCTION("iferror(divide(googlefinance($B310,""volumeavg""),1000),"""")"),699.862)</f>
        <v>699.862</v>
      </c>
      <c r="F310" s="73">
        <f>IFERROR(__xludf.DUMMYFUNCTION("iferror(MINUS(divide(GOOGLEFINANCE($B310), INDEX(GOOGLEFINANCE($B310,""price"",today()-182),2,2)),1),"""")"),0.4901821622900402)</f>
        <v>0.4901821623</v>
      </c>
      <c r="G310" s="61">
        <f>IFERROR(__xludf.DUMMYFUNCTION("iferror(MINUS(divide(GOOGLEFINANCE($B310), INDEX(GOOGLEFINANCE($B310,""price"",today()-364),2,2)),1),"""")"),0.3065753992947522)</f>
        <v>0.3065753993</v>
      </c>
    </row>
    <row r="311">
      <c r="A311" s="71">
        <f t="shared" si="4"/>
        <v>307</v>
      </c>
      <c r="B311" s="47" t="s">
        <v>443</v>
      </c>
      <c r="C311" s="72">
        <f>IFERROR(__xludf.DUMMYFUNCTION("iferror(divide(googlefinance($B311,""marketcap""),1000000),"""")"),22767.542116)</f>
        <v>22767.54212</v>
      </c>
      <c r="D311" s="72">
        <f>IFERROR(__xludf.DUMMYFUNCTION("iferror(divide(googlefinance($B311,""shares""),1000),"""")"),247312.0)</f>
        <v>247312</v>
      </c>
      <c r="E311" s="72">
        <f>IFERROR(__xludf.DUMMYFUNCTION("iferror(divide(googlefinance($B311,""volumeavg""),1000),"""")"),1138.031)</f>
        <v>1138.031</v>
      </c>
      <c r="F311" s="73">
        <f>IFERROR(__xludf.DUMMYFUNCTION("iferror(MINUS(divide(GOOGLEFINANCE($B311), INDEX(GOOGLEFINANCE($B311,""price"",today()-182),2,2)),1),"""")"),0.40015209125475293)</f>
        <v>0.4001520913</v>
      </c>
      <c r="G311" s="61">
        <f>IFERROR(__xludf.DUMMYFUNCTION("iferror(MINUS(divide(GOOGLEFINANCE($B311), INDEX(GOOGLEFINANCE($B311,""price"",today()-364),2,2)),1),"""")"),0.26456043956043973)</f>
        <v>0.2645604396</v>
      </c>
    </row>
    <row r="312">
      <c r="A312" s="71">
        <f t="shared" si="4"/>
        <v>308</v>
      </c>
      <c r="B312" s="47" t="s">
        <v>444</v>
      </c>
      <c r="C312" s="72">
        <f>IFERROR(__xludf.DUMMYFUNCTION("iferror(divide(googlefinance($B312,""marketcap""),1000000),"""")"),6376.477679)</f>
        <v>6376.477679</v>
      </c>
      <c r="D312" s="72">
        <f>IFERROR(__xludf.DUMMYFUNCTION("iferror(divide(googlefinance($B312,""shares""),1000),"""")"),39434.0)</f>
        <v>39434</v>
      </c>
      <c r="E312" s="72">
        <f>IFERROR(__xludf.DUMMYFUNCTION("iferror(divide(googlefinance($B312,""volumeavg""),1000),"""")"),240.131)</f>
        <v>240.131</v>
      </c>
      <c r="F312" s="73">
        <f>IFERROR(__xludf.DUMMYFUNCTION("iferror(MINUS(divide(GOOGLEFINANCE($B312), INDEX(GOOGLEFINANCE($B312,""price"",today()-182),2,2)),1),"""")"),1.2232916265640035)</f>
        <v>1.223291627</v>
      </c>
      <c r="G312" s="61">
        <f>IFERROR(__xludf.DUMMYFUNCTION("iferror(MINUS(divide(GOOGLEFINANCE($B312), INDEX(GOOGLEFINANCE($B312,""price"",today()-364),2,2)),1),"""")"),0.31431358205315774)</f>
        <v>0.3143135821</v>
      </c>
    </row>
    <row r="313">
      <c r="A313" s="71">
        <f t="shared" si="4"/>
        <v>309</v>
      </c>
      <c r="B313" s="47" t="s">
        <v>445</v>
      </c>
      <c r="C313" s="72">
        <f>IFERROR(__xludf.DUMMYFUNCTION("iferror(divide(googlefinance($B313,""marketcap""),1000000),"""")"),7624.245898)</f>
        <v>7624.245898</v>
      </c>
      <c r="D313" s="72">
        <f>IFERROR(__xludf.DUMMYFUNCTION("iferror(divide(googlefinance($B313,""shares""),1000),"""")"),15919.0)</f>
        <v>15919</v>
      </c>
      <c r="E313" s="72">
        <f>IFERROR(__xludf.DUMMYFUNCTION("iferror(divide(googlefinance($B313,""volumeavg""),1000),"""")"),56.672)</f>
        <v>56.672</v>
      </c>
      <c r="F313" s="73">
        <f>IFERROR(__xludf.DUMMYFUNCTION("iferror(MINUS(divide(GOOGLEFINANCE($B313), INDEX(GOOGLEFINANCE($B313,""price"",today()-182),2,2)),1),"""")"),0.36228916005347434)</f>
        <v>0.3622891601</v>
      </c>
      <c r="G313" s="61">
        <f>IFERROR(__xludf.DUMMYFUNCTION("iferror(MINUS(divide(GOOGLEFINANCE($B313), INDEX(GOOGLEFINANCE($B313,""price"",today()-364),2,2)),1),"""")"),0.12342841058359921)</f>
        <v>0.1234284106</v>
      </c>
    </row>
    <row r="314">
      <c r="A314" s="71">
        <f t="shared" si="4"/>
        <v>310</v>
      </c>
      <c r="B314" s="47" t="s">
        <v>446</v>
      </c>
      <c r="C314" s="72">
        <f>IFERROR(__xludf.DUMMYFUNCTION("iferror(divide(googlefinance($B314,""marketcap""),1000000),"""")"),665.244814)</f>
        <v>665.244814</v>
      </c>
      <c r="D314" s="72">
        <f>IFERROR(__xludf.DUMMYFUNCTION("iferror(divide(googlefinance($B314,""shares""),1000),"""")"),37798.0)</f>
        <v>37798</v>
      </c>
      <c r="E314" s="72">
        <f>IFERROR(__xludf.DUMMYFUNCTION("iferror(divide(googlefinance($B314,""volumeavg""),1000),"""")"),995.243)</f>
        <v>995.243</v>
      </c>
      <c r="F314" s="73">
        <f>IFERROR(__xludf.DUMMYFUNCTION("iferror(MINUS(divide(GOOGLEFINANCE($B314), INDEX(GOOGLEFINANCE($B314,""price"",today()-182),2,2)),1),"""")"),2.176895306859206)</f>
        <v>2.176895307</v>
      </c>
      <c r="G314" s="61">
        <f>IFERROR(__xludf.DUMMYFUNCTION("iferror(MINUS(divide(GOOGLEFINANCE($B314), INDEX(GOOGLEFINANCE($B314,""price"",today()-364),2,2)),1),"""")"),-0.5651099579935754)</f>
        <v>-0.565109958</v>
      </c>
    </row>
    <row r="315">
      <c r="A315" s="71">
        <f t="shared" si="4"/>
        <v>311</v>
      </c>
      <c r="B315" s="47" t="s">
        <v>447</v>
      </c>
      <c r="C315" s="72">
        <f>IFERROR(__xludf.DUMMYFUNCTION("iferror(divide(googlefinance($B315,""marketcap""),1000000),"""")"),5323.344834)</f>
        <v>5323.344834</v>
      </c>
      <c r="D315" s="72">
        <f>IFERROR(__xludf.DUMMYFUNCTION("iferror(divide(googlefinance($B315,""shares""),1000),"""")"),55365.0)</f>
        <v>55365</v>
      </c>
      <c r="E315" s="72">
        <f>IFERROR(__xludf.DUMMYFUNCTION("iferror(divide(googlefinance($B315,""volumeavg""),1000),"""")"),320.156)</f>
        <v>320.156</v>
      </c>
      <c r="F315" s="73">
        <f>IFERROR(__xludf.DUMMYFUNCTION("iferror(MINUS(divide(GOOGLEFINANCE($B315), INDEX(GOOGLEFINANCE($B315,""price"",today()-182),2,2)),1),"""")"),0.6672446679382695)</f>
        <v>0.6672446679</v>
      </c>
      <c r="G315" s="61">
        <f>IFERROR(__xludf.DUMMYFUNCTION("iferror(MINUS(divide(GOOGLEFINANCE($B315), INDEX(GOOGLEFINANCE($B315,""price"",today()-364),2,2)),1),"""")"),0.060906984442237855)</f>
        <v>0.06090698444</v>
      </c>
    </row>
    <row r="316">
      <c r="A316" s="71">
        <f t="shared" si="4"/>
        <v>312</v>
      </c>
      <c r="B316" s="47" t="s">
        <v>448</v>
      </c>
      <c r="C316" s="72">
        <f>IFERROR(__xludf.DUMMYFUNCTION("iferror(divide(googlefinance($B316,""marketcap""),1000000),"""")"),311.552772)</f>
        <v>311.552772</v>
      </c>
      <c r="D316" s="72">
        <f>IFERROR(__xludf.DUMMYFUNCTION("iferror(divide(googlefinance($B316,""shares""),1000),"""")"),57802.0)</f>
        <v>57802</v>
      </c>
      <c r="E316" s="72">
        <f>IFERROR(__xludf.DUMMYFUNCTION("iferror(divide(googlefinance($B316,""volumeavg""),1000),"""")"),454.992)</f>
        <v>454.992</v>
      </c>
      <c r="F316" s="73">
        <f>IFERROR(__xludf.DUMMYFUNCTION("iferror(MINUS(divide(GOOGLEFINANCE($B316), INDEX(GOOGLEFINANCE($B316,""price"",today()-182),2,2)),1),"""")"),0.6137724550898203)</f>
        <v>0.6137724551</v>
      </c>
      <c r="G316" s="61">
        <f>IFERROR(__xludf.DUMMYFUNCTION("iferror(MINUS(divide(GOOGLEFINANCE($B316), INDEX(GOOGLEFINANCE($B316,""price"",today()-364),2,2)),1),"""")"),-0.051056338028169)</f>
        <v>-0.05105633803</v>
      </c>
    </row>
    <row r="317">
      <c r="A317" s="71">
        <f t="shared" si="4"/>
        <v>313</v>
      </c>
      <c r="B317" s="47" t="s">
        <v>449</v>
      </c>
      <c r="C317" s="72">
        <f>IFERROR(__xludf.DUMMYFUNCTION("iferror(divide(googlefinance($B317,""marketcap""),1000000),"""")"),1362.932878)</f>
        <v>1362.932878</v>
      </c>
      <c r="D317" s="72">
        <f>IFERROR(__xludf.DUMMYFUNCTION("iferror(divide(googlefinance($B317,""shares""),1000),"""")"),71470.0)</f>
        <v>71470</v>
      </c>
      <c r="E317" s="72">
        <f>IFERROR(__xludf.DUMMYFUNCTION("iferror(divide(googlefinance($B317,""volumeavg""),1000),"""")"),980.077)</f>
        <v>980.077</v>
      </c>
      <c r="F317" s="73">
        <f>IFERROR(__xludf.DUMMYFUNCTION("iferror(MINUS(divide(GOOGLEFINANCE($B317), INDEX(GOOGLEFINANCE($B317,""price"",today()-182),2,2)),1),"""")"),0.37789017341040476)</f>
        <v>0.3778901734</v>
      </c>
      <c r="G317" s="61">
        <f>IFERROR(__xludf.DUMMYFUNCTION("iferror(MINUS(divide(GOOGLEFINANCE($B317), INDEX(GOOGLEFINANCE($B317,""price"",today()-364),2,2)),1),"""")"),-0.12281508739650404)</f>
        <v>-0.1228150874</v>
      </c>
    </row>
    <row r="318">
      <c r="A318" s="71">
        <f t="shared" si="4"/>
        <v>314</v>
      </c>
      <c r="B318" s="47" t="s">
        <v>450</v>
      </c>
      <c r="C318" s="72">
        <f>IFERROR(__xludf.DUMMYFUNCTION("iferror(divide(googlefinance($B318,""marketcap""),1000000),"""")"),13963.618068)</f>
        <v>13963.61807</v>
      </c>
      <c r="D318" s="72">
        <f>IFERROR(__xludf.DUMMYFUNCTION("iferror(divide(googlefinance($B318,""shares""),1000),"""")"),134823.0)</f>
        <v>134823</v>
      </c>
      <c r="E318" s="72">
        <f>IFERROR(__xludf.DUMMYFUNCTION("iferror(divide(googlefinance($B318,""volumeavg""),1000),"""")"),1287.257)</f>
        <v>1287.257</v>
      </c>
      <c r="F318" s="73">
        <f>IFERROR(__xludf.DUMMYFUNCTION("iferror(MINUS(divide(GOOGLEFINANCE($B318), INDEX(GOOGLEFINANCE($B318,""price"",today()-182),2,2)),1),"""")"),0.6205601627288375)</f>
        <v>0.6205601627</v>
      </c>
      <c r="G318" s="61">
        <f>IFERROR(__xludf.DUMMYFUNCTION("iferror(MINUS(divide(GOOGLEFINANCE($B318), INDEX(GOOGLEFINANCE($B318,""price"",today()-364),2,2)),1),"""")"),0.22568047337278108)</f>
        <v>0.2256804734</v>
      </c>
    </row>
    <row r="319">
      <c r="A319" s="71">
        <f t="shared" si="4"/>
        <v>315</v>
      </c>
      <c r="B319" s="47" t="s">
        <v>451</v>
      </c>
      <c r="C319" s="72">
        <f>IFERROR(__xludf.DUMMYFUNCTION("iferror(divide(googlefinance($B319,""marketcap""),1000000),"""")"),136.676878)</f>
        <v>136.676878</v>
      </c>
      <c r="D319" s="72">
        <f>IFERROR(__xludf.DUMMYFUNCTION("iferror(divide(googlefinance($B319,""shares""),1000),"""")"),119892.0)</f>
        <v>119892</v>
      </c>
      <c r="E319" s="72">
        <f>IFERROR(__xludf.DUMMYFUNCTION("iferror(divide(googlefinance($B319,""volumeavg""),1000),"""")"),1702.34)</f>
        <v>1702.34</v>
      </c>
      <c r="F319" s="73">
        <f>IFERROR(__xludf.DUMMYFUNCTION("iferror(MINUS(divide(GOOGLEFINANCE($B319), INDEX(GOOGLEFINANCE($B319,""price"",today()-182),2,2)),1),"""")"),-0.38378378378378386)</f>
        <v>-0.3837837838</v>
      </c>
      <c r="G319" s="61">
        <f>IFERROR(__xludf.DUMMYFUNCTION("iferror(MINUS(divide(GOOGLEFINANCE($B319), INDEX(GOOGLEFINANCE($B319,""price"",today()-364),2,2)),1),"""")"),-0.6770538243626063)</f>
        <v>-0.6770538244</v>
      </c>
    </row>
    <row r="320">
      <c r="A320" s="71">
        <f t="shared" si="4"/>
        <v>316</v>
      </c>
      <c r="B320" s="47" t="s">
        <v>452</v>
      </c>
      <c r="C320" s="72">
        <f>IFERROR(__xludf.DUMMYFUNCTION("iferror(divide(googlefinance($B320,""marketcap""),1000000),"""")"),409.551984)</f>
        <v>409.551984</v>
      </c>
      <c r="D320" s="72">
        <f>IFERROR(__xludf.DUMMYFUNCTION("iferror(divide(googlefinance($B320,""shares""),1000),"""")"),19690.0)</f>
        <v>19690</v>
      </c>
      <c r="E320" s="72">
        <f>IFERROR(__xludf.DUMMYFUNCTION("iferror(divide(googlefinance($B320,""volumeavg""),1000),"""")"),203.617)</f>
        <v>203.617</v>
      </c>
      <c r="F320" s="73">
        <f>IFERROR(__xludf.DUMMYFUNCTION("iferror(MINUS(divide(GOOGLEFINANCE($B320), INDEX(GOOGLEFINANCE($B320,""price"",today()-182),2,2)),1),"""")"),1.4791418355184742)</f>
        <v>1.479141836</v>
      </c>
      <c r="G320" s="61">
        <f>IFERROR(__xludf.DUMMYFUNCTION("iferror(MINUS(divide(GOOGLEFINANCE($B320), INDEX(GOOGLEFINANCE($B320,""price"",today()-364),2,2)),1),"""")"),-0.16432302129369225)</f>
        <v>-0.1643230213</v>
      </c>
    </row>
    <row r="321">
      <c r="A321" s="71">
        <f t="shared" si="4"/>
        <v>317</v>
      </c>
      <c r="B321" s="47" t="s">
        <v>453</v>
      </c>
      <c r="C321" s="72">
        <f>IFERROR(__xludf.DUMMYFUNCTION("iferror(divide(googlefinance($B321,""marketcap""),1000000),"""")"),71.830218)</f>
        <v>71.830218</v>
      </c>
      <c r="D321" s="72">
        <f>IFERROR(__xludf.DUMMYFUNCTION("iferror(divide(googlefinance($B321,""shares""),1000),"""")"),121647.0)</f>
        <v>121647</v>
      </c>
      <c r="E321" s="72">
        <f>IFERROR(__xludf.DUMMYFUNCTION("iferror(divide(googlefinance($B321,""volumeavg""),1000),"""")"),5635.026)</f>
        <v>5635.026</v>
      </c>
      <c r="F321" s="73">
        <f>IFERROR(__xludf.DUMMYFUNCTION("iferror(MINUS(divide(GOOGLEFINANCE($B321), INDEX(GOOGLEFINANCE($B321,""price"",today()-182),2,2)),1),"""")"),1.0)</f>
        <v>1</v>
      </c>
      <c r="G321" s="61">
        <f>IFERROR(__xludf.DUMMYFUNCTION("iferror(MINUS(divide(GOOGLEFINANCE($B321), INDEX(GOOGLEFINANCE($B321,""price"",today()-364),2,2)),1),"""")"),-0.29670329670329676)</f>
        <v>-0.2967032967</v>
      </c>
    </row>
    <row r="322">
      <c r="A322" s="71">
        <f t="shared" si="4"/>
        <v>318</v>
      </c>
      <c r="B322" s="47" t="s">
        <v>454</v>
      </c>
      <c r="C322" s="72">
        <f>IFERROR(__xludf.DUMMYFUNCTION("iferror(divide(googlefinance($B322,""marketcap""),1000000),"""")"),247.642527)</f>
        <v>247.642527</v>
      </c>
      <c r="D322" s="72">
        <f>IFERROR(__xludf.DUMMYFUNCTION("iferror(divide(googlefinance($B322,""shares""),1000),"""")"),19767.0)</f>
        <v>19767</v>
      </c>
      <c r="E322" s="72">
        <f>IFERROR(__xludf.DUMMYFUNCTION("iferror(divide(googlefinance($B322,""volumeavg""),1000),"""")"),28.755)</f>
        <v>28.755</v>
      </c>
      <c r="F322" s="73">
        <f>IFERROR(__xludf.DUMMYFUNCTION("iferror(MINUS(divide(GOOGLEFINANCE($B322), INDEX(GOOGLEFINANCE($B322,""price"",today()-182),2,2)),1),"""")"),0.22799999999999998)</f>
        <v>0.228</v>
      </c>
      <c r="G322" s="61">
        <f>IFERROR(__xludf.DUMMYFUNCTION("iferror(MINUS(divide(GOOGLEFINANCE($B322), INDEX(GOOGLEFINANCE($B322,""price"",today()-364),2,2)),1),"""")"),-0.22376738305941846)</f>
        <v>-0.2237673831</v>
      </c>
    </row>
    <row r="323">
      <c r="A323" s="71">
        <f t="shared" si="4"/>
        <v>319</v>
      </c>
      <c r="B323" s="47" t="s">
        <v>455</v>
      </c>
      <c r="C323" s="72">
        <f>IFERROR(__xludf.DUMMYFUNCTION("iferror(divide(googlefinance($B323,""marketcap""),1000000),"""")"),36.785177)</f>
        <v>36.785177</v>
      </c>
      <c r="D323" s="72">
        <f>IFERROR(__xludf.DUMMYFUNCTION("iferror(divide(googlefinance($B323,""shares""),1000),"""")"),37962.0)</f>
        <v>37962</v>
      </c>
      <c r="E323" s="72">
        <f>IFERROR(__xludf.DUMMYFUNCTION("iferror(divide(googlefinance($B323,""volumeavg""),1000),"""")"),712.77)</f>
        <v>712.77</v>
      </c>
      <c r="F323" s="73">
        <f>IFERROR(__xludf.DUMMYFUNCTION("iferror(MINUS(divide(GOOGLEFINANCE($B323), INDEX(GOOGLEFINANCE($B323,""price"",today()-182),2,2)),1),"""")"),-0.3782051282051282)</f>
        <v>-0.3782051282</v>
      </c>
      <c r="G323" s="61">
        <f>IFERROR(__xludf.DUMMYFUNCTION("iferror(MINUS(divide(GOOGLEFINANCE($B323), INDEX(GOOGLEFINANCE($B323,""price"",today()-364),2,2)),1),"""")"),-0.19166666666666665)</f>
        <v>-0.1916666667</v>
      </c>
    </row>
    <row r="324">
      <c r="A324" s="71">
        <f t="shared" si="4"/>
        <v>320</v>
      </c>
      <c r="B324" s="47" t="s">
        <v>456</v>
      </c>
      <c r="C324" s="72">
        <f>IFERROR(__xludf.DUMMYFUNCTION("iferror(divide(googlefinance($B324,""marketcap""),1000000),"""")"),606.945603)</f>
        <v>606.945603</v>
      </c>
      <c r="D324" s="72">
        <f>IFERROR(__xludf.DUMMYFUNCTION("iferror(divide(googlefinance($B324,""shares""),1000),"""")"),20340.0)</f>
        <v>20340</v>
      </c>
      <c r="E324" s="72">
        <f>IFERROR(__xludf.DUMMYFUNCTION("iferror(divide(googlefinance($B324,""volumeavg""),1000),"""")"),59.876)</f>
        <v>59.876</v>
      </c>
      <c r="F324" s="73">
        <f>IFERROR(__xludf.DUMMYFUNCTION("iferror(MINUS(divide(GOOGLEFINANCE($B324), INDEX(GOOGLEFINANCE($B324,""price"",today()-182),2,2)),1),"""")"),0.292334343871806)</f>
        <v>0.2923343439</v>
      </c>
      <c r="G324" s="61">
        <f>IFERROR(__xludf.DUMMYFUNCTION("iferror(MINUS(divide(GOOGLEFINANCE($B324), INDEX(GOOGLEFINANCE($B324,""price"",today()-364),2,2)),1),"""")"),-0.36266552755232806)</f>
        <v>-0.3626655276</v>
      </c>
    </row>
    <row r="325">
      <c r="A325" s="71">
        <f t="shared" si="4"/>
        <v>321</v>
      </c>
      <c r="B325" s="47" t="s">
        <v>457</v>
      </c>
      <c r="C325" s="72">
        <f>IFERROR(__xludf.DUMMYFUNCTION("iferror(divide(googlefinance($B325,""marketcap""),1000000),"""")"),210.737661)</f>
        <v>210.737661</v>
      </c>
      <c r="D325" s="72">
        <f>IFERROR(__xludf.DUMMYFUNCTION("iferror(divide(googlefinance($B325,""shares""),1000),"""")"),53039.0)</f>
        <v>53039</v>
      </c>
      <c r="E325" s="72">
        <f>IFERROR(__xludf.DUMMYFUNCTION("iferror(divide(googlefinance($B325,""volumeavg""),1000),"""")"),1148.444)</f>
        <v>1148.444</v>
      </c>
      <c r="F325" s="73">
        <f>IFERROR(__xludf.DUMMYFUNCTION("iferror(MINUS(divide(GOOGLEFINANCE($B325), INDEX(GOOGLEFINANCE($B325,""price"",today()-182),2,2)),1),"""")"),1.763779527559055)</f>
        <v>1.763779528</v>
      </c>
      <c r="G325" s="61">
        <f>IFERROR(__xludf.DUMMYFUNCTION("iferror(MINUS(divide(GOOGLEFINANCE($B325), INDEX(GOOGLEFINANCE($B325,""price"",today()-364),2,2)),1),"""")"),0.6325581395348836)</f>
        <v>0.6325581395</v>
      </c>
    </row>
    <row r="326">
      <c r="A326" s="71">
        <f t="shared" si="4"/>
        <v>322</v>
      </c>
      <c r="B326" s="47" t="s">
        <v>458</v>
      </c>
      <c r="C326" s="72">
        <f>IFERROR(__xludf.DUMMYFUNCTION("iferror(divide(googlefinance($B326,""marketcap""),1000000),"""")"),65771.153215)</f>
        <v>65771.15322</v>
      </c>
      <c r="D326" s="72">
        <f>IFERROR(__xludf.DUMMYFUNCTION("iferror(divide(googlefinance($B326,""shares""),1000),"""")"),857400.0)</f>
        <v>857400</v>
      </c>
      <c r="E326" s="72">
        <f>IFERROR(__xludf.DUMMYFUNCTION("iferror(divide(googlefinance($B326,""volumeavg""),1000),"""")"),3119.579)</f>
        <v>3119.579</v>
      </c>
      <c r="F326" s="73">
        <f>IFERROR(__xludf.DUMMYFUNCTION("iferror(MINUS(divide(GOOGLEFINANCE($B326), INDEX(GOOGLEFINANCE($B326,""price"",today()-182),2,2)),1),"""")"),0.23566365979381443)</f>
        <v>0.2356636598</v>
      </c>
      <c r="G326" s="61">
        <f>IFERROR(__xludf.DUMMYFUNCTION("iferror(MINUS(divide(GOOGLEFINANCE($B326), INDEX(GOOGLEFINANCE($B326,""price"",today()-364),2,2)),1),"""")"),0.08118393234672294)</f>
        <v>0.08118393235</v>
      </c>
    </row>
    <row r="327">
      <c r="A327" s="71">
        <f t="shared" si="4"/>
        <v>323</v>
      </c>
      <c r="B327" s="47" t="s">
        <v>459</v>
      </c>
      <c r="C327" s="72" t="str">
        <f>IFERROR(__xludf.DUMMYFUNCTION("iferror(divide(googlefinance($B327,""marketcap""),1000000),"""")"),"")</f>
        <v/>
      </c>
      <c r="D327" s="72" t="str">
        <f>IFERROR(__xludf.DUMMYFUNCTION("iferror(divide(googlefinance($B327,""shares""),1000),"""")"),"")</f>
        <v/>
      </c>
      <c r="E327" s="72" t="str">
        <f>IFERROR(__xludf.DUMMYFUNCTION("iferror(divide(googlefinance($B327,""volumeavg""),1000),"""")"),"")</f>
        <v/>
      </c>
      <c r="F327" s="73" t="str">
        <f>IFERROR(__xludf.DUMMYFUNCTION("iferror(MINUS(divide(GOOGLEFINANCE($B327), INDEX(GOOGLEFINANCE($B327,""price"",today()-182),2,2)),1),"""")"),"")</f>
        <v/>
      </c>
      <c r="G327" s="61" t="str">
        <f>IFERROR(__xludf.DUMMYFUNCTION("iferror(MINUS(divide(GOOGLEFINANCE($B327), INDEX(GOOGLEFINANCE($B327,""price"",today()-364),2,2)),1),"""")"),"")</f>
        <v/>
      </c>
    </row>
    <row r="328">
      <c r="A328" s="71">
        <f t="shared" si="4"/>
        <v>324</v>
      </c>
      <c r="B328" s="47" t="s">
        <v>460</v>
      </c>
      <c r="C328" s="72">
        <f>IFERROR(__xludf.DUMMYFUNCTION("iferror(divide(googlefinance($B328,""marketcap""),1000000),"""")"),473.815846)</f>
        <v>473.815846</v>
      </c>
      <c r="D328" s="72">
        <f>IFERROR(__xludf.DUMMYFUNCTION("iferror(divide(googlefinance($B328,""shares""),1000),"""")"),39126.0)</f>
        <v>39126</v>
      </c>
      <c r="E328" s="72">
        <f>IFERROR(__xludf.DUMMYFUNCTION("iferror(divide(googlefinance($B328,""volumeavg""),1000),"""")"),579.956)</f>
        <v>579.956</v>
      </c>
      <c r="F328" s="73">
        <f>IFERROR(__xludf.DUMMYFUNCTION("iferror(MINUS(divide(GOOGLEFINANCE($B328), INDEX(GOOGLEFINANCE($B328,""price"",today()-182),2,2)),1),"""")"),6.812903225806451)</f>
        <v>6.812903226</v>
      </c>
      <c r="G328" s="61">
        <f>IFERROR(__xludf.DUMMYFUNCTION("iferror(MINUS(divide(GOOGLEFINANCE($B328), INDEX(GOOGLEFINANCE($B328,""price"",today()-364),2,2)),1),"""")"),3.883064516129032)</f>
        <v>3.883064516</v>
      </c>
    </row>
    <row r="329">
      <c r="A329" s="71">
        <f t="shared" si="4"/>
        <v>325</v>
      </c>
      <c r="B329" s="47" t="s">
        <v>461</v>
      </c>
      <c r="C329" s="72">
        <f>IFERROR(__xludf.DUMMYFUNCTION("iferror(divide(googlefinance($B329,""marketcap""),1000000),"""")"),2666.643239)</f>
        <v>2666.643239</v>
      </c>
      <c r="D329" s="72">
        <f>IFERROR(__xludf.DUMMYFUNCTION("iferror(divide(googlefinance($B329,""shares""),1000),"""")"),399198.0)</f>
        <v>399198</v>
      </c>
      <c r="E329" s="72">
        <f>IFERROR(__xludf.DUMMYFUNCTION("iferror(divide(googlefinance($B329,""volumeavg""),1000),"""")"),7885.898)</f>
        <v>7885.898</v>
      </c>
      <c r="F329" s="73">
        <f>IFERROR(__xludf.DUMMYFUNCTION("iferror(MINUS(divide(GOOGLEFINANCE($B329), INDEX(GOOGLEFINANCE($B329,""price"",today()-182),2,2)),1),"""")"),1.0940438871473352)</f>
        <v>1.094043887</v>
      </c>
      <c r="G329" s="61">
        <f>IFERROR(__xludf.DUMMYFUNCTION("iferror(MINUS(divide(GOOGLEFINANCE($B329), INDEX(GOOGLEFINANCE($B329,""price"",today()-364),2,2)),1),"""")"),-0.13583441138421737)</f>
        <v>-0.1358344114</v>
      </c>
    </row>
    <row r="330">
      <c r="A330" s="71">
        <f t="shared" si="4"/>
        <v>326</v>
      </c>
      <c r="B330" s="47" t="s">
        <v>462</v>
      </c>
      <c r="C330" s="72">
        <f>IFERROR(__xludf.DUMMYFUNCTION("iferror(divide(googlefinance($B330,""marketcap""),1000000),"""")"),864.183116)</f>
        <v>864.183116</v>
      </c>
      <c r="D330" s="72">
        <f>IFERROR(__xludf.DUMMYFUNCTION("iferror(divide(googlefinance($B330,""shares""),1000),"""")"),42466.0)</f>
        <v>42466</v>
      </c>
      <c r="E330" s="72">
        <f>IFERROR(__xludf.DUMMYFUNCTION("iferror(divide(googlefinance($B330,""volumeavg""),1000),"""")"),144.233)</f>
        <v>144.233</v>
      </c>
      <c r="F330" s="73">
        <f>IFERROR(__xludf.DUMMYFUNCTION("iferror(MINUS(divide(GOOGLEFINANCE($B330), INDEX(GOOGLEFINANCE($B330,""price"",today()-182),2,2)),1),"""")"),1.5629722921914357)</f>
        <v>1.562972292</v>
      </c>
      <c r="G330" s="61">
        <f>IFERROR(__xludf.DUMMYFUNCTION("iferror(MINUS(divide(GOOGLEFINANCE($B330), INDEX(GOOGLEFINANCE($B330,""price"",today()-364),2,2)),1),"""")"),0.7603806228373702)</f>
        <v>0.7603806228</v>
      </c>
    </row>
    <row r="331">
      <c r="A331" s="71">
        <f t="shared" si="4"/>
        <v>327</v>
      </c>
      <c r="B331" s="47" t="s">
        <v>463</v>
      </c>
      <c r="C331" s="72">
        <f>IFERROR(__xludf.DUMMYFUNCTION("iferror(divide(googlefinance($B331,""marketcap""),1000000),"""")"),9.32324)</f>
        <v>9.32324</v>
      </c>
      <c r="D331" s="72">
        <f>IFERROR(__xludf.DUMMYFUNCTION("iferror(divide(googlefinance($B331,""shares""),1000),"""")"),29715.0)</f>
        <v>29715</v>
      </c>
      <c r="E331" s="72">
        <f>IFERROR(__xludf.DUMMYFUNCTION("iferror(divide(googlefinance($B331,""volumeavg""),1000),"""")"),4133.236)</f>
        <v>4133.236</v>
      </c>
      <c r="F331" s="73">
        <f>IFERROR(__xludf.DUMMYFUNCTION("iferror(MINUS(divide(GOOGLEFINANCE($B331), INDEX(GOOGLEFINANCE($B331,""price"",today()-182),2,2)),1),"""")"),-0.7416666666666667)</f>
        <v>-0.7416666667</v>
      </c>
      <c r="G331" s="61">
        <f>IFERROR(__xludf.DUMMYFUNCTION("iferror(MINUS(divide(GOOGLEFINANCE($B331), INDEX(GOOGLEFINANCE($B331,""price"",today()-364),2,2)),1),"""")"),-0.8074534161490683)</f>
        <v>-0.8074534161</v>
      </c>
    </row>
    <row r="332">
      <c r="A332" s="71">
        <f t="shared" si="4"/>
        <v>328</v>
      </c>
      <c r="B332" s="47" t="s">
        <v>464</v>
      </c>
      <c r="C332" s="72">
        <f>IFERROR(__xludf.DUMMYFUNCTION("iferror(divide(googlefinance($B332,""marketcap""),1000000),"""")"),659.758441)</f>
        <v>659.758441</v>
      </c>
      <c r="D332" s="72">
        <f>IFERROR(__xludf.DUMMYFUNCTION("iferror(divide(googlefinance($B332,""shares""),1000),"""")"),88203.0)</f>
        <v>88203</v>
      </c>
      <c r="E332" s="72">
        <f>IFERROR(__xludf.DUMMYFUNCTION("iferror(divide(googlefinance($B332,""volumeavg""),1000),"""")"),5655.233)</f>
        <v>5655.233</v>
      </c>
      <c r="F332" s="73">
        <f>IFERROR(__xludf.DUMMYFUNCTION("iferror(MINUS(divide(GOOGLEFINANCE($B332), INDEX(GOOGLEFINANCE($B332,""price"",today()-182),2,2)),1),"""")"),0.6884875846501131)</f>
        <v>0.6884875847</v>
      </c>
      <c r="G332" s="61">
        <f>IFERROR(__xludf.DUMMYFUNCTION("iferror(MINUS(divide(GOOGLEFINANCE($B332), INDEX(GOOGLEFINANCE($B332,""price"",today()-364),2,2)),1),"""")"),0.5780590717299579)</f>
        <v>0.5780590717</v>
      </c>
    </row>
    <row r="333">
      <c r="A333" s="71">
        <f t="shared" si="4"/>
        <v>329</v>
      </c>
      <c r="B333" s="47" t="s">
        <v>465</v>
      </c>
      <c r="C333" s="72">
        <f>IFERROR(__xludf.DUMMYFUNCTION("iferror(divide(googlefinance($B333,""marketcap""),1000000),"""")"),26107.36667)</f>
        <v>26107.36667</v>
      </c>
      <c r="D333" s="72">
        <f>IFERROR(__xludf.DUMMYFUNCTION("iferror(divide(googlefinance($B333,""shares""),1000),"""")"),126214.0)</f>
        <v>126214</v>
      </c>
      <c r="E333" s="72">
        <f>IFERROR(__xludf.DUMMYFUNCTION("iferror(divide(googlefinance($B333,""volumeavg""),1000),"""")"),1541.738)</f>
        <v>1541.738</v>
      </c>
      <c r="F333" s="73">
        <f>IFERROR(__xludf.DUMMYFUNCTION("iferror(MINUS(divide(GOOGLEFINANCE($B333), INDEX(GOOGLEFINANCE($B333,""price"",today()-182),2,2)),1),"""")"),0.16600901916572708)</f>
        <v>0.1660090192</v>
      </c>
      <c r="G333" s="61">
        <f>IFERROR(__xludf.DUMMYFUNCTION("iferror(MINUS(divide(GOOGLEFINANCE($B333), INDEX(GOOGLEFINANCE($B333,""price"",today()-364),2,2)),1),"""")"),0.362827777045724)</f>
        <v>0.362827777</v>
      </c>
    </row>
    <row r="334">
      <c r="A334" s="71">
        <f t="shared" si="4"/>
        <v>330</v>
      </c>
      <c r="B334" s="47" t="s">
        <v>466</v>
      </c>
      <c r="C334" s="72">
        <f>IFERROR(__xludf.DUMMYFUNCTION("iferror(divide(googlefinance($B334,""marketcap""),1000000),"""")"),206.404473)</f>
        <v>206.404473</v>
      </c>
      <c r="D334" s="72">
        <f>IFERROR(__xludf.DUMMYFUNCTION("iferror(divide(googlefinance($B334,""shares""),1000),"""")"),33184.0)</f>
        <v>33184</v>
      </c>
      <c r="E334" s="72">
        <f>IFERROR(__xludf.DUMMYFUNCTION("iferror(divide(googlefinance($B334,""volumeavg""),1000),"""")"),166.185)</f>
        <v>166.185</v>
      </c>
      <c r="F334" s="73">
        <f>IFERROR(__xludf.DUMMYFUNCTION("iferror(MINUS(divide(GOOGLEFINANCE($B334), INDEX(GOOGLEFINANCE($B334,""price"",today()-182),2,2)),1),"""")"),0.8963414634146343)</f>
        <v>0.8963414634</v>
      </c>
      <c r="G334" s="61">
        <f>IFERROR(__xludf.DUMMYFUNCTION("iferror(MINUS(divide(GOOGLEFINANCE($B334), INDEX(GOOGLEFINANCE($B334,""price"",today()-364),2,2)),1),"""")"),-0.06325301204819278)</f>
        <v>-0.06325301205</v>
      </c>
    </row>
    <row r="335">
      <c r="A335" s="71">
        <f t="shared" si="4"/>
        <v>331</v>
      </c>
      <c r="B335" s="47" t="s">
        <v>467</v>
      </c>
      <c r="C335" s="72">
        <f>IFERROR(__xludf.DUMMYFUNCTION("iferror(divide(googlefinance($B335,""marketcap""),1000000),"""")"),2580.225239)</f>
        <v>2580.225239</v>
      </c>
      <c r="D335" s="72">
        <f>IFERROR(__xludf.DUMMYFUNCTION("iferror(divide(googlefinance($B335,""shares""),1000),"""")"),119069.0)</f>
        <v>119069</v>
      </c>
      <c r="E335" s="72">
        <f>IFERROR(__xludf.DUMMYFUNCTION("iferror(divide(googlefinance($B335,""volumeavg""),1000),"""")"),948.991)</f>
        <v>948.991</v>
      </c>
      <c r="F335" s="73">
        <f>IFERROR(__xludf.DUMMYFUNCTION("iferror(MINUS(divide(GOOGLEFINANCE($B335), INDEX(GOOGLEFINANCE($B335,""price"",today()-182),2,2)),1),"""")"),0.652936689549962)</f>
        <v>0.6529366895</v>
      </c>
      <c r="G335" s="61">
        <f>IFERROR(__xludf.DUMMYFUNCTION("iferror(MINUS(divide(GOOGLEFINANCE($B335), INDEX(GOOGLEFINANCE($B335,""price"",today()-364),2,2)),1),"""")"),0.20589872008903742)</f>
        <v>0.2058987201</v>
      </c>
    </row>
    <row r="336">
      <c r="A336" s="71">
        <f t="shared" si="4"/>
        <v>332</v>
      </c>
      <c r="B336" s="47" t="s">
        <v>468</v>
      </c>
      <c r="C336" s="72">
        <f>IFERROR(__xludf.DUMMYFUNCTION("iferror(divide(googlefinance($B336,""marketcap""),1000000),"""")"),853.468014)</f>
        <v>853.468014</v>
      </c>
      <c r="D336" s="72">
        <f>IFERROR(__xludf.DUMMYFUNCTION("iferror(divide(googlefinance($B336,""shares""),1000),"""")"),23800.0)</f>
        <v>23800</v>
      </c>
      <c r="E336" s="72">
        <f>IFERROR(__xludf.DUMMYFUNCTION("iferror(divide(googlefinance($B336,""volumeavg""),1000),"""")"),67.509)</f>
        <v>67.509</v>
      </c>
      <c r="F336" s="73">
        <f>IFERROR(__xludf.DUMMYFUNCTION("iferror(MINUS(divide(GOOGLEFINANCE($B336), INDEX(GOOGLEFINANCE($B336,""price"",today()-182),2,2)),1),"""")"),0.599464763603925)</f>
        <v>0.5994647636</v>
      </c>
      <c r="G336" s="61">
        <f>IFERROR(__xludf.DUMMYFUNCTION("iferror(MINUS(divide(GOOGLEFINANCE($B336), INDEX(GOOGLEFINANCE($B336,""price"",today()-364),2,2)),1),"""")"),-0.05977975878342945)</f>
        <v>-0.05977975878</v>
      </c>
    </row>
    <row r="337">
      <c r="A337" s="71">
        <f t="shared" si="4"/>
        <v>333</v>
      </c>
      <c r="B337" s="47" t="s">
        <v>469</v>
      </c>
      <c r="C337" s="72">
        <f>IFERROR(__xludf.DUMMYFUNCTION("iferror(divide(googlefinance($B337,""marketcap""),1000000),"""")"),208214.006364)</f>
        <v>208214.0064</v>
      </c>
      <c r="D337" s="72">
        <f>IFERROR(__xludf.DUMMYFUNCTION("iferror(divide(googlefinance($B337,""shares""),1000),"""")"),4540060.394)</f>
        <v>4540060.394</v>
      </c>
      <c r="E337" s="72" t="str">
        <f>IFERROR(__xludf.DUMMYFUNCTION("iferror(divide(googlefinance($B337,""volumeavg""),1000),"""")"),"")</f>
        <v/>
      </c>
      <c r="F337" s="73">
        <f>IFERROR(__xludf.DUMMYFUNCTION("iferror(MINUS(divide(GOOGLEFINANCE($B337), INDEX(GOOGLEFINANCE($B337,""price"",today()-182),2,2)),1),"""")"),0.23559375994906095)</f>
        <v>0.2355937599</v>
      </c>
      <c r="G337" s="61">
        <f>IFERROR(__xludf.DUMMYFUNCTION("iferror(MINUS(divide(GOOGLEFINANCE($B337), INDEX(GOOGLEFINANCE($B337,""price"",today()-364),2,2)),1),"""")"),-0.08466981132075468)</f>
        <v>-0.08466981132</v>
      </c>
    </row>
    <row r="338">
      <c r="A338" s="71">
        <f t="shared" si="4"/>
        <v>334</v>
      </c>
      <c r="B338" s="47" t="s">
        <v>470</v>
      </c>
      <c r="C338" s="72">
        <f>IFERROR(__xludf.DUMMYFUNCTION("iferror(divide(googlefinance($B338,""marketcap""),1000000),"""")"),34271.148023)</f>
        <v>34271.14802</v>
      </c>
      <c r="D338" s="72">
        <f>IFERROR(__xludf.DUMMYFUNCTION("iferror(divide(googlefinance($B338,""shares""),1000),"""")"),27968.0)</f>
        <v>27968</v>
      </c>
      <c r="E338" s="72">
        <f>IFERROR(__xludf.DUMMYFUNCTION("iferror(divide(googlefinance($B338,""volumeavg""),1000),"""")"),273.838)</f>
        <v>273.838</v>
      </c>
      <c r="F338" s="73">
        <f>IFERROR(__xludf.DUMMYFUNCTION("iferror(MINUS(divide(GOOGLEFINANCE($B338), INDEX(GOOGLEFINANCE($B338,""price"",today()-182),2,2)),1),"""")"),1.1649646643109537)</f>
        <v>1.164964664</v>
      </c>
      <c r="G338" s="61">
        <f>IFERROR(__xludf.DUMMYFUNCTION("iferror(MINUS(divide(GOOGLEFINANCE($B338), INDEX(GOOGLEFINANCE($B338,""price"",today()-364),2,2)),1),"""")"),0.4681067740157667)</f>
        <v>0.468106774</v>
      </c>
    </row>
    <row r="339">
      <c r="A339" s="71">
        <f t="shared" si="4"/>
        <v>335</v>
      </c>
      <c r="B339" s="47" t="s">
        <v>471</v>
      </c>
      <c r="C339" s="72">
        <f>IFERROR(__xludf.DUMMYFUNCTION("iferror(divide(googlefinance($B339,""marketcap""),1000000),"""")"),2003.035383)</f>
        <v>2003.035383</v>
      </c>
      <c r="D339" s="72">
        <f>IFERROR(__xludf.DUMMYFUNCTION("iferror(divide(googlefinance($B339,""shares""),1000),"""")"),33944.0)</f>
        <v>33944</v>
      </c>
      <c r="E339" s="72">
        <f>IFERROR(__xludf.DUMMYFUNCTION("iferror(divide(googlefinance($B339,""volumeavg""),1000),"""")"),186.992)</f>
        <v>186.992</v>
      </c>
      <c r="F339" s="73">
        <f>IFERROR(__xludf.DUMMYFUNCTION("iferror(MINUS(divide(GOOGLEFINANCE($B339), INDEX(GOOGLEFINANCE($B339,""price"",today()-182),2,2)),1),"""")"),0.4392682926829268)</f>
        <v>0.4392682927</v>
      </c>
      <c r="G339" s="61">
        <f>IFERROR(__xludf.DUMMYFUNCTION("iferror(MINUS(divide(GOOGLEFINANCE($B339), INDEX(GOOGLEFINANCE($B339,""price"",today()-364),2,2)),1),"""")"),0.04479461756373948)</f>
        <v>0.04479461756</v>
      </c>
    </row>
    <row r="340">
      <c r="A340" s="71">
        <f t="shared" si="4"/>
        <v>336</v>
      </c>
      <c r="B340" s="47" t="s">
        <v>472</v>
      </c>
      <c r="C340" s="72">
        <f>IFERROR(__xludf.DUMMYFUNCTION("iferror(divide(googlefinance($B340,""marketcap""),1000000),"""")"),708.65365)</f>
        <v>708.65365</v>
      </c>
      <c r="D340" s="72">
        <f>IFERROR(__xludf.DUMMYFUNCTION("iferror(divide(googlefinance($B340,""shares""),1000),"""")"),121345.0)</f>
        <v>121345</v>
      </c>
      <c r="E340" s="72">
        <f>IFERROR(__xludf.DUMMYFUNCTION("iferror(divide(googlefinance($B340,""volumeavg""),1000),"""")"),669.915)</f>
        <v>669.915</v>
      </c>
      <c r="F340" s="73">
        <f>IFERROR(__xludf.DUMMYFUNCTION("iferror(MINUS(divide(GOOGLEFINANCE($B340), INDEX(GOOGLEFINANCE($B340,""price"",today()-182),2,2)),1),"""")"),0.5826558265582655)</f>
        <v>0.5826558266</v>
      </c>
      <c r="G340" s="61">
        <f>IFERROR(__xludf.DUMMYFUNCTION("iferror(MINUS(divide(GOOGLEFINANCE($B340), INDEX(GOOGLEFINANCE($B340,""price"",today()-364),2,2)),1),"""")"),-0.06109324758842438)</f>
        <v>-0.06109324759</v>
      </c>
    </row>
    <row r="341">
      <c r="A341" s="71">
        <f t="shared" si="4"/>
        <v>337</v>
      </c>
      <c r="B341" s="47" t="s">
        <v>473</v>
      </c>
      <c r="C341" s="72">
        <f>IFERROR(__xludf.DUMMYFUNCTION("iferror(divide(googlefinance($B341,""marketcap""),1000000),"""")"),157.987997)</f>
        <v>157.987997</v>
      </c>
      <c r="D341" s="72">
        <f>IFERROR(__xludf.DUMMYFUNCTION("iferror(divide(googlefinance($B341,""shares""),1000),"""")"),62200.0)</f>
        <v>62200</v>
      </c>
      <c r="E341" s="72">
        <f>IFERROR(__xludf.DUMMYFUNCTION("iferror(divide(googlefinance($B341,""volumeavg""),1000),"""")"),418.344)</f>
        <v>418.344</v>
      </c>
      <c r="F341" s="73">
        <f>IFERROR(__xludf.DUMMYFUNCTION("iferror(MINUS(divide(GOOGLEFINANCE($B341), INDEX(GOOGLEFINANCE($B341,""price"",today()-182),2,2)),1),"""")"),0.9689922480620154)</f>
        <v>0.9689922481</v>
      </c>
      <c r="G341" s="61">
        <f>IFERROR(__xludf.DUMMYFUNCTION("iferror(MINUS(divide(GOOGLEFINANCE($B341), INDEX(GOOGLEFINANCE($B341,""price"",today()-364),2,2)),1),"""")"),0.040983606557376984)</f>
        <v>0.04098360656</v>
      </c>
    </row>
    <row r="342">
      <c r="A342" s="71">
        <f t="shared" si="4"/>
        <v>338</v>
      </c>
      <c r="B342" s="47" t="s">
        <v>474</v>
      </c>
      <c r="C342" s="72">
        <f>IFERROR(__xludf.DUMMYFUNCTION("iferror(divide(googlefinance($B342,""marketcap""),1000000),"""")"),321.11595)</f>
        <v>321.11595</v>
      </c>
      <c r="D342" s="72">
        <f>IFERROR(__xludf.DUMMYFUNCTION("iferror(divide(googlefinance($B342,""shares""),1000),"""")"),29678.0)</f>
        <v>29678</v>
      </c>
      <c r="E342" s="72">
        <f>IFERROR(__xludf.DUMMYFUNCTION("iferror(divide(googlefinance($B342,""volumeavg""),1000),"""")"),90.256)</f>
        <v>90.256</v>
      </c>
      <c r="F342" s="73">
        <f>IFERROR(__xludf.DUMMYFUNCTION("iferror(MINUS(divide(GOOGLEFINANCE($B342), INDEX(GOOGLEFINANCE($B342,""price"",today()-182),2,2)),1),"""")"),0.3227383863080686)</f>
        <v>0.3227383863</v>
      </c>
      <c r="G342" s="61">
        <f>IFERROR(__xludf.DUMMYFUNCTION("iferror(MINUS(divide(GOOGLEFINANCE($B342), INDEX(GOOGLEFINANCE($B342,""price"",today()-364),2,2)),1),"""")"),0.0018518518518517713)</f>
        <v>0.001851851852</v>
      </c>
    </row>
    <row r="343">
      <c r="A343" s="71">
        <f t="shared" si="4"/>
        <v>339</v>
      </c>
      <c r="B343" s="47" t="s">
        <v>475</v>
      </c>
      <c r="C343" s="72">
        <f>IFERROR(__xludf.DUMMYFUNCTION("iferror(divide(googlefinance($B343,""marketcap""),1000000),"""")"),76175.962989)</f>
        <v>76175.96299</v>
      </c>
      <c r="D343" s="72">
        <f>IFERROR(__xludf.DUMMYFUNCTION("iferror(divide(googlefinance($B343,""shares""),1000),"""")"),709900.0)</f>
        <v>709900</v>
      </c>
      <c r="E343" s="72">
        <f>IFERROR(__xludf.DUMMYFUNCTION("iferror(divide(googlefinance($B343,""volumeavg""),1000),"""")"),719.088)</f>
        <v>719.088</v>
      </c>
      <c r="F343" s="73">
        <f>IFERROR(__xludf.DUMMYFUNCTION("iferror(MINUS(divide(GOOGLEFINANCE($B343), INDEX(GOOGLEFINANCE($B343,""price"",today()-182),2,2)),1),"""")"),0.5601689976689976)</f>
        <v>0.5601689977</v>
      </c>
      <c r="G343" s="61">
        <f>IFERROR(__xludf.DUMMYFUNCTION("iferror(MINUS(divide(GOOGLEFINANCE($B343), INDEX(GOOGLEFINANCE($B343,""price"",today()-364),2,2)),1),"""")"),0.1964026365769187)</f>
        <v>0.1964026366</v>
      </c>
    </row>
    <row r="344">
      <c r="A344" s="71">
        <f t="shared" si="4"/>
        <v>340</v>
      </c>
      <c r="B344" s="47" t="s">
        <v>476</v>
      </c>
      <c r="C344" s="72">
        <f>IFERROR(__xludf.DUMMYFUNCTION("iferror(divide(googlefinance($B344,""marketcap""),1000000),"""")"),1410.911233)</f>
        <v>1410.911233</v>
      </c>
      <c r="D344" s="72">
        <f>IFERROR(__xludf.DUMMYFUNCTION("iferror(divide(googlefinance($B344,""shares""),1000),"""")"),117674.0)</f>
        <v>117674</v>
      </c>
      <c r="E344" s="72">
        <f>IFERROR(__xludf.DUMMYFUNCTION("iferror(divide(googlefinance($B344,""volumeavg""),1000),"""")"),9119.201)</f>
        <v>9119.201</v>
      </c>
      <c r="F344" s="73">
        <f>IFERROR(__xludf.DUMMYFUNCTION("iferror(MINUS(divide(GOOGLEFINANCE($B344), INDEX(GOOGLEFINANCE($B344,""price"",today()-182),2,2)),1),"""")"),0.04991243432574444)</f>
        <v>0.04991243433</v>
      </c>
      <c r="G344" s="61">
        <f>IFERROR(__xludf.DUMMYFUNCTION("iferror(MINUS(divide(GOOGLEFINANCE($B344), INDEX(GOOGLEFINANCE($B344,""price"",today()-364),2,2)),1),"""")"),-0.6838080168776371)</f>
        <v>-0.6838080169</v>
      </c>
    </row>
    <row r="345">
      <c r="A345" s="71">
        <f t="shared" si="4"/>
        <v>341</v>
      </c>
      <c r="B345" s="47" t="s">
        <v>477</v>
      </c>
      <c r="C345" s="72">
        <f>IFERROR(__xludf.DUMMYFUNCTION("iferror(divide(googlefinance($B345,""marketcap""),1000000),"""")"),2368.535943)</f>
        <v>2368.535943</v>
      </c>
      <c r="D345" s="72">
        <f>IFERROR(__xludf.DUMMYFUNCTION("iferror(divide(googlefinance($B345,""shares""),1000),"""")"),28379.0)</f>
        <v>28379</v>
      </c>
      <c r="E345" s="72">
        <f>IFERROR(__xludf.DUMMYFUNCTION("iferror(divide(googlefinance($B345,""volumeavg""),1000),"""")"),205.962)</f>
        <v>205.962</v>
      </c>
      <c r="F345" s="73">
        <f>IFERROR(__xludf.DUMMYFUNCTION("iferror(MINUS(divide(GOOGLEFINANCE($B345), INDEX(GOOGLEFINANCE($B345,""price"",today()-182),2,2)),1),"""")"),0.7317735533737206)</f>
        <v>0.7317735534</v>
      </c>
      <c r="G345" s="61">
        <f>IFERROR(__xludf.DUMMYFUNCTION("iferror(MINUS(divide(GOOGLEFINANCE($B345), INDEX(GOOGLEFINANCE($B345,""price"",today()-364),2,2)),1),"""")"),-0.17281979644781476)</f>
        <v>-0.1728197964</v>
      </c>
    </row>
    <row r="346">
      <c r="A346" s="71">
        <f t="shared" si="4"/>
        <v>342</v>
      </c>
      <c r="B346" s="47" t="s">
        <v>478</v>
      </c>
      <c r="C346" s="72">
        <f>IFERROR(__xludf.DUMMYFUNCTION("iferror(divide(googlefinance($B346,""marketcap""),1000000),"""")"),1103.899989)</f>
        <v>1103.899989</v>
      </c>
      <c r="D346" s="72">
        <f>IFERROR(__xludf.DUMMYFUNCTION("iferror(divide(googlefinance($B346,""shares""),1000),"""")"),47500.0)</f>
        <v>47500</v>
      </c>
      <c r="E346" s="72">
        <f>IFERROR(__xludf.DUMMYFUNCTION("iferror(divide(googlefinance($B346,""volumeavg""),1000),"""")"),469.14)</f>
        <v>469.14</v>
      </c>
      <c r="F346" s="73">
        <f>IFERROR(__xludf.DUMMYFUNCTION("iferror(MINUS(divide(GOOGLEFINANCE($B346), INDEX(GOOGLEFINANCE($B346,""price"",today()-182),2,2)),1),"""")"),-0.10270270270270276)</f>
        <v>-0.1027027027</v>
      </c>
      <c r="G346" s="61">
        <f>IFERROR(__xludf.DUMMYFUNCTION("iferror(MINUS(divide(GOOGLEFINANCE($B346), INDEX(GOOGLEFINANCE($B346,""price"",today()-364),2,2)),1),"""")"),2.192307692307692)</f>
        <v>2.192307692</v>
      </c>
    </row>
    <row r="347">
      <c r="A347" s="71">
        <f t="shared" si="4"/>
        <v>343</v>
      </c>
      <c r="B347" s="47" t="s">
        <v>479</v>
      </c>
      <c r="C347" s="72">
        <f>IFERROR(__xludf.DUMMYFUNCTION("iferror(divide(googlefinance($B347,""marketcap""),1000000),"""")"),242.001263)</f>
        <v>242.001263</v>
      </c>
      <c r="D347" s="72">
        <f>IFERROR(__xludf.DUMMYFUNCTION("iferror(divide(googlefinance($B347,""shares""),1000),"""")"),21861.0)</f>
        <v>21861</v>
      </c>
      <c r="E347" s="72">
        <f>IFERROR(__xludf.DUMMYFUNCTION("iferror(divide(googlefinance($B347,""volumeavg""),1000),"""")"),69.707)</f>
        <v>69.707</v>
      </c>
      <c r="F347" s="73">
        <f>IFERROR(__xludf.DUMMYFUNCTION("iferror(MINUS(divide(GOOGLEFINANCE($B347), INDEX(GOOGLEFINANCE($B347,""price"",today()-182),2,2)),1),"""")"),-0.47410926365795725)</f>
        <v>-0.4741092637</v>
      </c>
      <c r="G347" s="61" t="str">
        <f>IFERROR(__xludf.DUMMYFUNCTION("iferror(MINUS(divide(GOOGLEFINANCE($B347), INDEX(GOOGLEFINANCE($B347,""price"",today()-364),2,2)),1),"""")"),"")</f>
        <v/>
      </c>
    </row>
    <row r="348">
      <c r="A348" s="71">
        <f t="shared" si="4"/>
        <v>344</v>
      </c>
      <c r="B348" s="47" t="s">
        <v>480</v>
      </c>
      <c r="C348" s="72">
        <f>IFERROR(__xludf.DUMMYFUNCTION("iferror(divide(googlefinance($B348,""marketcap""),1000000),"""")"),181.005116)</f>
        <v>181.005116</v>
      </c>
      <c r="D348" s="72">
        <f>IFERROR(__xludf.DUMMYFUNCTION("iferror(divide(googlefinance($B348,""shares""),1000),"""")"),29576.0)</f>
        <v>29576</v>
      </c>
      <c r="E348" s="72">
        <f>IFERROR(__xludf.DUMMYFUNCTION("iferror(divide(googlefinance($B348,""volumeavg""),1000),"""")"),531.259)</f>
        <v>531.259</v>
      </c>
      <c r="F348" s="73">
        <f>IFERROR(__xludf.DUMMYFUNCTION("iferror(MINUS(divide(GOOGLEFINANCE($B348), INDEX(GOOGLEFINANCE($B348,""price"",today()-182),2,2)),1),"""")"),4.321739130434783)</f>
        <v>4.32173913</v>
      </c>
      <c r="G348" s="61">
        <f>IFERROR(__xludf.DUMMYFUNCTION("iferror(MINUS(divide(GOOGLEFINANCE($B348), INDEX(GOOGLEFINANCE($B348,""price"",today()-364),2,2)),1),"""")"),-0.24815724815724816)</f>
        <v>-0.2481572482</v>
      </c>
    </row>
    <row r="349">
      <c r="A349" s="71">
        <f t="shared" si="4"/>
        <v>345</v>
      </c>
      <c r="B349" s="47" t="s">
        <v>481</v>
      </c>
      <c r="C349" s="72">
        <f>IFERROR(__xludf.DUMMYFUNCTION("iferror(divide(googlefinance($B349,""marketcap""),1000000),"""")"),2076.746545)</f>
        <v>2076.746545</v>
      </c>
      <c r="D349" s="72">
        <f>IFERROR(__xludf.DUMMYFUNCTION("iferror(divide(googlefinance($B349,""shares""),1000),"""")"),187432.0)</f>
        <v>187432</v>
      </c>
      <c r="E349" s="72">
        <f>IFERROR(__xludf.DUMMYFUNCTION("iferror(divide(googlefinance($B349,""volumeavg""),1000),"""")"),3707.234)</f>
        <v>3707.234</v>
      </c>
      <c r="F349" s="73">
        <f>IFERROR(__xludf.DUMMYFUNCTION("iferror(MINUS(divide(GOOGLEFINANCE($B349), INDEX(GOOGLEFINANCE($B349,""price"",today()-182),2,2)),1),"""")"),0.63905325443787)</f>
        <v>0.6390532544</v>
      </c>
      <c r="G349" s="61">
        <f>IFERROR(__xludf.DUMMYFUNCTION("iferror(MINUS(divide(GOOGLEFINANCE($B349), INDEX(GOOGLEFINANCE($B349,""price"",today()-364),2,2)),1),"""")"),0.4540682414698163)</f>
        <v>0.4540682415</v>
      </c>
    </row>
    <row r="350">
      <c r="A350" s="71">
        <f t="shared" si="4"/>
        <v>346</v>
      </c>
      <c r="B350" s="47" t="s">
        <v>482</v>
      </c>
      <c r="C350" s="72">
        <f>IFERROR(__xludf.DUMMYFUNCTION("iferror(divide(googlefinance($B350,""marketcap""),1000000),"""")"),2661.853388)</f>
        <v>2661.853388</v>
      </c>
      <c r="D350" s="72">
        <f>IFERROR(__xludf.DUMMYFUNCTION("iferror(divide(googlefinance($B350,""shares""),1000),"""")"),24256.0)</f>
        <v>24256</v>
      </c>
      <c r="E350" s="72">
        <f>IFERROR(__xludf.DUMMYFUNCTION("iferror(divide(googlefinance($B350,""volumeavg""),1000),"""")"),181.438)</f>
        <v>181.438</v>
      </c>
      <c r="F350" s="73">
        <f>IFERROR(__xludf.DUMMYFUNCTION("iferror(MINUS(divide(GOOGLEFINANCE($B350), INDEX(GOOGLEFINANCE($B350,""price"",today()-182),2,2)),1),"""")"),0.22232122967253276)</f>
        <v>0.2223212297</v>
      </c>
      <c r="G350" s="61">
        <f>IFERROR(__xludf.DUMMYFUNCTION("iferror(MINUS(divide(GOOGLEFINANCE($B350), INDEX(GOOGLEFINANCE($B350,""price"",today()-364),2,2)),1),"""")"),-0.27521299782048747)</f>
        <v>-0.2752129978</v>
      </c>
    </row>
    <row r="351">
      <c r="A351" s="71">
        <f t="shared" si="4"/>
        <v>347</v>
      </c>
      <c r="B351" s="47" t="s">
        <v>483</v>
      </c>
      <c r="C351" s="72">
        <f>IFERROR(__xludf.DUMMYFUNCTION("iferror(divide(googlefinance($B351,""marketcap""),1000000),"""")"),725.904426)</f>
        <v>725.904426</v>
      </c>
      <c r="D351" s="72">
        <f>IFERROR(__xludf.DUMMYFUNCTION("iferror(divide(googlefinance($B351,""shares""),1000),"""")"),41863.0)</f>
        <v>41863</v>
      </c>
      <c r="E351" s="72">
        <f>IFERROR(__xludf.DUMMYFUNCTION("iferror(divide(googlefinance($B351,""volumeavg""),1000),"""")"),242.301)</f>
        <v>242.301</v>
      </c>
      <c r="F351" s="73">
        <f>IFERROR(__xludf.DUMMYFUNCTION("iferror(MINUS(divide(GOOGLEFINANCE($B351), INDEX(GOOGLEFINANCE($B351,""price"",today()-182),2,2)),1),"""")"),0.6577437858508604)</f>
        <v>0.6577437859</v>
      </c>
      <c r="G351" s="61">
        <f>IFERROR(__xludf.DUMMYFUNCTION("iferror(MINUS(divide(GOOGLEFINANCE($B351), INDEX(GOOGLEFINANCE($B351,""price"",today()-364),2,2)),1),"""")"),0.2456896551724137)</f>
        <v>0.2456896552</v>
      </c>
    </row>
    <row r="352">
      <c r="A352" s="71">
        <f t="shared" si="4"/>
        <v>348</v>
      </c>
      <c r="B352" s="47" t="s">
        <v>484</v>
      </c>
      <c r="C352" s="72">
        <f>IFERROR(__xludf.DUMMYFUNCTION("iferror(divide(googlefinance($B352,""marketcap""),1000000),"""")"),1781.608129)</f>
        <v>1781.608129</v>
      </c>
      <c r="D352" s="72">
        <f>IFERROR(__xludf.DUMMYFUNCTION("iferror(divide(googlefinance($B352,""shares""),1000),"""")"),7141.0)</f>
        <v>7141</v>
      </c>
      <c r="E352" s="72">
        <f>IFERROR(__xludf.DUMMYFUNCTION("iferror(divide(googlefinance($B352,""volumeavg""),1000),"""")"),38.084)</f>
        <v>38.084</v>
      </c>
      <c r="F352" s="73">
        <f>IFERROR(__xludf.DUMMYFUNCTION("iferror(MINUS(divide(GOOGLEFINANCE($B352), INDEX(GOOGLEFINANCE($B352,""price"",today()-182),2,2)),1),"""")"),0.29558082775094774)</f>
        <v>0.2955808278</v>
      </c>
      <c r="G352" s="61">
        <f>IFERROR(__xludf.DUMMYFUNCTION("iferror(MINUS(divide(GOOGLEFINANCE($B352), INDEX(GOOGLEFINANCE($B352,""price"",today()-364),2,2)),1),"""")"),-0.1516831009860592)</f>
        <v>-0.151683101</v>
      </c>
    </row>
    <row r="353">
      <c r="A353" s="71">
        <f t="shared" si="4"/>
        <v>349</v>
      </c>
      <c r="B353" s="47" t="s">
        <v>485</v>
      </c>
      <c r="C353" s="72">
        <f>IFERROR(__xludf.DUMMYFUNCTION("iferror(divide(googlefinance($B353,""marketcap""),1000000),"""")"),680.155134)</f>
        <v>680.155134</v>
      </c>
      <c r="D353" s="72">
        <f>IFERROR(__xludf.DUMMYFUNCTION("iferror(divide(googlefinance($B353,""shares""),1000),"""")"),34526.0)</f>
        <v>34526</v>
      </c>
      <c r="E353" s="72">
        <f>IFERROR(__xludf.DUMMYFUNCTION("iferror(divide(googlefinance($B353,""volumeavg""),1000),"""")"),371.295)</f>
        <v>371.295</v>
      </c>
      <c r="F353" s="73">
        <f>IFERROR(__xludf.DUMMYFUNCTION("iferror(MINUS(divide(GOOGLEFINANCE($B353), INDEX(GOOGLEFINANCE($B353,""price"",today()-182),2,2)),1),"""")"),0.3814866760168303)</f>
        <v>0.381486676</v>
      </c>
      <c r="G353" s="61">
        <f>IFERROR(__xludf.DUMMYFUNCTION("iferror(MINUS(divide(GOOGLEFINANCE($B353), INDEX(GOOGLEFINANCE($B353,""price"",today()-364),2,2)),1),"""")"),0.693895098882201)</f>
        <v>0.6938950989</v>
      </c>
    </row>
    <row r="354">
      <c r="A354" s="71">
        <f t="shared" si="4"/>
        <v>350</v>
      </c>
      <c r="B354" s="47" t="s">
        <v>486</v>
      </c>
      <c r="C354" s="72">
        <f>IFERROR(__xludf.DUMMYFUNCTION("iferror(divide(googlefinance($B354,""marketcap""),1000000),"""")"),5990.453278)</f>
        <v>5990.453278</v>
      </c>
      <c r="D354" s="72">
        <f>IFERROR(__xludf.DUMMYFUNCTION("iferror(divide(googlefinance($B354,""shares""),1000),"""")"),66149.0)</f>
        <v>66149</v>
      </c>
      <c r="E354" s="72">
        <f>IFERROR(__xludf.DUMMYFUNCTION("iferror(divide(googlefinance($B354,""volumeavg""),1000),"""")"),299.271)</f>
        <v>299.271</v>
      </c>
      <c r="F354" s="73">
        <f>IFERROR(__xludf.DUMMYFUNCTION("iferror(MINUS(divide(GOOGLEFINANCE($B354), INDEX(GOOGLEFINANCE($B354,""price"",today()-182),2,2)),1),"""")"),0.500579950289975)</f>
        <v>0.5005799503</v>
      </c>
      <c r="G354" s="61">
        <f>IFERROR(__xludf.DUMMYFUNCTION("iferror(MINUS(divide(GOOGLEFINANCE($B354), INDEX(GOOGLEFINANCE($B354,""price"",today()-364),2,2)),1),"""")"),-0.053016835721008015)</f>
        <v>-0.05301683572</v>
      </c>
    </row>
    <row r="355">
      <c r="A355" s="71">
        <f t="shared" si="4"/>
        <v>351</v>
      </c>
      <c r="B355" s="47" t="s">
        <v>487</v>
      </c>
      <c r="C355" s="72">
        <f>IFERROR(__xludf.DUMMYFUNCTION("iferror(divide(googlefinance($B355,""marketcap""),1000000),"""")"),296.739987)</f>
        <v>296.739987</v>
      </c>
      <c r="D355" s="72">
        <f>IFERROR(__xludf.DUMMYFUNCTION("iferror(divide(googlefinance($B355,""shares""),1000),"""")"),29135.0)</f>
        <v>29135</v>
      </c>
      <c r="E355" s="72">
        <f>IFERROR(__xludf.DUMMYFUNCTION("iferror(divide(googlefinance($B355,""volumeavg""),1000),"""")"),431.113)</f>
        <v>431.113</v>
      </c>
      <c r="F355" s="73">
        <f>IFERROR(__xludf.DUMMYFUNCTION("iferror(MINUS(divide(GOOGLEFINANCE($B355), INDEX(GOOGLEFINANCE($B355,""price"",today()-182),2,2)),1),"""")"),1.4204275534441804)</f>
        <v>1.420427553</v>
      </c>
      <c r="G355" s="61">
        <f>IFERROR(__xludf.DUMMYFUNCTION("iferror(MINUS(divide(GOOGLEFINANCE($B355), INDEX(GOOGLEFINANCE($B355,""price"",today()-364),2,2)),1),"""")"),-0.5709473684210526)</f>
        <v>-0.5709473684</v>
      </c>
    </row>
    <row r="356">
      <c r="A356" s="71">
        <f t="shared" si="4"/>
        <v>352</v>
      </c>
      <c r="B356" s="47" t="s">
        <v>488</v>
      </c>
      <c r="C356" s="72">
        <f>IFERROR(__xludf.DUMMYFUNCTION("iferror(divide(googlefinance($B356,""marketcap""),1000000),"""")"),51.80628)</f>
        <v>51.80628</v>
      </c>
      <c r="D356" s="72" t="str">
        <f>IFERROR(__xludf.DUMMYFUNCTION("iferror(divide(googlefinance($B356,""shares""),1000),"""")"),"")</f>
        <v/>
      </c>
      <c r="E356" s="72" t="str">
        <f>IFERROR(__xludf.DUMMYFUNCTION("iferror(divide(googlefinance($B356,""volumeavg""),1000),"""")"),"")</f>
        <v/>
      </c>
      <c r="F356" s="73">
        <f>IFERROR(__xludf.DUMMYFUNCTION("iferror(MINUS(divide(GOOGLEFINANCE($B356), INDEX(GOOGLEFINANCE($B356,""price"",today()-182),2,2)),1),"""")"),0.972972972972973)</f>
        <v>0.972972973</v>
      </c>
      <c r="G356" s="61">
        <f>IFERROR(__xludf.DUMMYFUNCTION("iferror(MINUS(divide(GOOGLEFINANCE($B356), INDEX(GOOGLEFINANCE($B356,""price"",today()-364),2,2)),1),"""")"),-0.5067567567567568)</f>
        <v>-0.5067567568</v>
      </c>
    </row>
    <row r="357">
      <c r="A357" s="71">
        <f t="shared" si="4"/>
        <v>353</v>
      </c>
      <c r="B357" s="47" t="s">
        <v>489</v>
      </c>
      <c r="C357" s="72">
        <f>IFERROR(__xludf.DUMMYFUNCTION("iferror(divide(googlefinance($B357,""marketcap""),1000000),"""")"),1352.76)</f>
        <v>1352.76</v>
      </c>
      <c r="D357" s="72">
        <f>IFERROR(__xludf.DUMMYFUNCTION("iferror(divide(googlefinance($B357,""shares""),1000),"""")"),45092.0)</f>
        <v>45092</v>
      </c>
      <c r="E357" s="72">
        <f>IFERROR(__xludf.DUMMYFUNCTION("iferror(divide(googlefinance($B357,""volumeavg""),1000),"""")"),268.442)</f>
        <v>268.442</v>
      </c>
      <c r="F357" s="73">
        <f>IFERROR(__xludf.DUMMYFUNCTION("iferror(MINUS(divide(GOOGLEFINANCE($B357), INDEX(GOOGLEFINANCE($B357,""price"",today()-182),2,2)),1),"""")"),0.31521262604121003)</f>
        <v>0.315212626</v>
      </c>
      <c r="G357" s="61">
        <f>IFERROR(__xludf.DUMMYFUNCTION("iferror(MINUS(divide(GOOGLEFINANCE($B357), INDEX(GOOGLEFINANCE($B357,""price"",today()-364),2,2)),1),"""")"),-0.03474903474903468)</f>
        <v>-0.03474903475</v>
      </c>
    </row>
    <row r="358">
      <c r="A358" s="71">
        <f t="shared" si="4"/>
        <v>354</v>
      </c>
      <c r="B358" s="47" t="s">
        <v>490</v>
      </c>
      <c r="C358" s="72">
        <f>IFERROR(__xludf.DUMMYFUNCTION("iferror(divide(googlefinance($B358,""marketcap""),1000000),"""")"),1989.330987)</f>
        <v>1989.330987</v>
      </c>
      <c r="D358" s="72">
        <f>IFERROR(__xludf.DUMMYFUNCTION("iferror(divide(googlefinance($B358,""shares""),1000),"""")"),115558.0)</f>
        <v>115558</v>
      </c>
      <c r="E358" s="72">
        <f>IFERROR(__xludf.DUMMYFUNCTION("iferror(divide(googlefinance($B358,""volumeavg""),1000),"""")"),5040.176)</f>
        <v>5040.176</v>
      </c>
      <c r="F358" s="73">
        <f>IFERROR(__xludf.DUMMYFUNCTION("iferror(MINUS(divide(GOOGLEFINANCE($B358), INDEX(GOOGLEFINANCE($B358,""price"",today()-182),2,2)),1),"""")"),0.6783625730994152)</f>
        <v>0.6783625731</v>
      </c>
      <c r="G358" s="61">
        <f>IFERROR(__xludf.DUMMYFUNCTION("iferror(MINUS(divide(GOOGLEFINANCE($B358), INDEX(GOOGLEFINANCE($B358,""price"",today()-364),2,2)),1),"""")"),0.2221433640880055)</f>
        <v>0.2221433641</v>
      </c>
    </row>
    <row r="359">
      <c r="A359" s="71">
        <f t="shared" si="4"/>
        <v>355</v>
      </c>
      <c r="B359" s="47" t="s">
        <v>491</v>
      </c>
      <c r="C359" s="72">
        <f>IFERROR(__xludf.DUMMYFUNCTION("iferror(divide(googlefinance($B359,""marketcap""),1000000),"""")"),149623.655275)</f>
        <v>149623.6553</v>
      </c>
      <c r="D359" s="72">
        <f>IFERROR(__xludf.DUMMYFUNCTION("iferror(divide(googlefinance($B359,""shares""),1000),"""")"),441524.0)</f>
        <v>441524</v>
      </c>
      <c r="E359" s="72">
        <f>IFERROR(__xludf.DUMMYFUNCTION("iferror(divide(googlefinance($B359,""volumeavg""),1000),"""")"),1884.134)</f>
        <v>1884.134</v>
      </c>
      <c r="F359" s="73">
        <f>IFERROR(__xludf.DUMMYFUNCTION("iferror(MINUS(divide(GOOGLEFINANCE($B359), INDEX(GOOGLEFINANCE($B359,""price"",today()-182),2,2)),1),"""")"),0.1668617863783486)</f>
        <v>0.1668617864</v>
      </c>
      <c r="G359" s="61">
        <f>IFERROR(__xludf.DUMMYFUNCTION("iferror(MINUS(divide(GOOGLEFINANCE($B359), INDEX(GOOGLEFINANCE($B359,""price"",today()-364),2,2)),1),"""")"),0.18340550356194996)</f>
        <v>0.1834055036</v>
      </c>
    </row>
    <row r="360">
      <c r="A360" s="71">
        <f t="shared" si="4"/>
        <v>356</v>
      </c>
      <c r="B360" s="47" t="s">
        <v>492</v>
      </c>
      <c r="C360" s="72">
        <f>IFERROR(__xludf.DUMMYFUNCTION("iferror(divide(googlefinance($B360,""marketcap""),1000000),"""")"),2457.166887)</f>
        <v>2457.166887</v>
      </c>
      <c r="D360" s="72">
        <f>IFERROR(__xludf.DUMMYFUNCTION("iferror(divide(googlefinance($B360,""shares""),1000),"""")"),765081.0)</f>
        <v>765081</v>
      </c>
      <c r="E360" s="72">
        <f>IFERROR(__xludf.DUMMYFUNCTION("iferror(divide(googlefinance($B360,""volumeavg""),1000),"""")"),10974.576)</f>
        <v>10974.576</v>
      </c>
      <c r="F360" s="73">
        <f>IFERROR(__xludf.DUMMYFUNCTION("iferror(MINUS(divide(GOOGLEFINANCE($B360), INDEX(GOOGLEFINANCE($B360,""price"",today()-182),2,2)),1),"""")"),-0.28125)</f>
        <v>-0.28125</v>
      </c>
      <c r="G360" s="61">
        <f>IFERROR(__xludf.DUMMYFUNCTION("iferror(MINUS(divide(GOOGLEFINANCE($B360), INDEX(GOOGLEFINANCE($B360,""price"",today()-364),2,2)),1),"""")"),-0.6833824975417895)</f>
        <v>-0.6833824975</v>
      </c>
    </row>
    <row r="361">
      <c r="A361" s="71">
        <f t="shared" si="4"/>
        <v>357</v>
      </c>
      <c r="B361" s="47" t="s">
        <v>493</v>
      </c>
      <c r="C361" s="72">
        <f>IFERROR(__xludf.DUMMYFUNCTION("iferror(divide(googlefinance($B361,""marketcap""),1000000),"""")"),54071.290954)</f>
        <v>54071.29095</v>
      </c>
      <c r="D361" s="72">
        <f>IFERROR(__xludf.DUMMYFUNCTION("iferror(divide(googlefinance($B361,""shares""),1000),"""")"),135534.0)</f>
        <v>135534</v>
      </c>
      <c r="E361" s="72">
        <f>IFERROR(__xludf.DUMMYFUNCTION("iferror(divide(googlefinance($B361,""volumeavg""),1000),"""")"),327.841)</f>
        <v>327.841</v>
      </c>
      <c r="F361" s="73">
        <f>IFERROR(__xludf.DUMMYFUNCTION("iferror(MINUS(divide(GOOGLEFINANCE($B361), INDEX(GOOGLEFINANCE($B361,""price"",today()-182),2,2)),1),"""")"),0.638289862866362)</f>
        <v>0.6382898629</v>
      </c>
      <c r="G361" s="61">
        <f>IFERROR(__xludf.DUMMYFUNCTION("iferror(MINUS(divide(GOOGLEFINANCE($B361), INDEX(GOOGLEFINANCE($B361,""price"",today()-364),2,2)),1),"""")"),0.31958762886597913)</f>
        <v>0.3195876289</v>
      </c>
    </row>
    <row r="362">
      <c r="A362" s="71">
        <f t="shared" si="4"/>
        <v>358</v>
      </c>
      <c r="B362" s="47" t="s">
        <v>494</v>
      </c>
      <c r="C362" s="72">
        <f>IFERROR(__xludf.DUMMYFUNCTION("iferror(divide(googlefinance($B362,""marketcap""),1000000),"""")"),2580.874146)</f>
        <v>2580.874146</v>
      </c>
      <c r="D362" s="72">
        <f>IFERROR(__xludf.DUMMYFUNCTION("iferror(divide(googlefinance($B362,""shares""),1000),"""")"),31406.0)</f>
        <v>31406</v>
      </c>
      <c r="E362" s="72">
        <f>IFERROR(__xludf.DUMMYFUNCTION("iferror(divide(googlefinance($B362,""volumeavg""),1000),"""")"),474.688)</f>
        <v>474.688</v>
      </c>
      <c r="F362" s="73">
        <f>IFERROR(__xludf.DUMMYFUNCTION("iferror(MINUS(divide(GOOGLEFINANCE($B362), INDEX(GOOGLEFINANCE($B362,""price"",today()-182),2,2)),1),"""")"),0.9654950016123831)</f>
        <v>0.9654950016</v>
      </c>
      <c r="G362" s="61">
        <f>IFERROR(__xludf.DUMMYFUNCTION("iferror(MINUS(divide(GOOGLEFINANCE($B362), INDEX(GOOGLEFINANCE($B362,""price"",today()-364),2,2)),1),"""")"),-0.36144578313253006)</f>
        <v>-0.3614457831</v>
      </c>
    </row>
    <row r="363">
      <c r="A363" s="71">
        <f t="shared" si="4"/>
        <v>359</v>
      </c>
      <c r="B363" s="47" t="s">
        <v>495</v>
      </c>
      <c r="C363" s="72">
        <f>IFERROR(__xludf.DUMMYFUNCTION("iferror(divide(googlefinance($B363,""marketcap""),1000000),"""")"),689.573378)</f>
        <v>689.573378</v>
      </c>
      <c r="D363" s="72">
        <f>IFERROR(__xludf.DUMMYFUNCTION("iferror(divide(googlefinance($B363,""shares""),1000),"""")"),423868.0)</f>
        <v>423868</v>
      </c>
      <c r="E363" s="72">
        <f>IFERROR(__xludf.DUMMYFUNCTION("iferror(divide(googlefinance($B363,""volumeavg""),1000),"""")"),5.265)</f>
        <v>5.265</v>
      </c>
      <c r="F363" s="73" t="str">
        <f>IFERROR(__xludf.DUMMYFUNCTION("iferror(MINUS(divide(GOOGLEFINANCE($B363), INDEX(GOOGLEFINANCE($B363,""price"",today()-182),2,2)),1),"""")"),"")</f>
        <v/>
      </c>
      <c r="G363" s="61" t="str">
        <f>IFERROR(__xludf.DUMMYFUNCTION("iferror(MINUS(divide(GOOGLEFINANCE($B363), INDEX(GOOGLEFINANCE($B363,""price"",today()-364),2,2)),1),"""")"),"")</f>
        <v/>
      </c>
    </row>
    <row r="364">
      <c r="A364" s="71">
        <f t="shared" si="4"/>
        <v>360</v>
      </c>
      <c r="B364" s="47" t="s">
        <v>496</v>
      </c>
      <c r="C364" s="72">
        <f>IFERROR(__xludf.DUMMYFUNCTION("iferror(divide(googlefinance($B364,""marketcap""),1000000),"""")"),13775.656806)</f>
        <v>13775.65681</v>
      </c>
      <c r="D364" s="72">
        <f>IFERROR(__xludf.DUMMYFUNCTION("iferror(divide(googlefinance($B364,""shares""),1000),"""")"),302164.0)</f>
        <v>302164</v>
      </c>
      <c r="E364" s="72">
        <f>IFERROR(__xludf.DUMMYFUNCTION("iferror(divide(googlefinance($B364,""volumeavg""),1000),"""")"),2297.045)</f>
        <v>2297.045</v>
      </c>
      <c r="F364" s="73">
        <f>IFERROR(__xludf.DUMMYFUNCTION("iferror(MINUS(divide(GOOGLEFINANCE($B364), INDEX(GOOGLEFINANCE($B364,""price"",today()-182),2,2)),1),"""")"),0.00640176600441511)</f>
        <v>0.006401766004</v>
      </c>
      <c r="G364" s="61">
        <f>IFERROR(__xludf.DUMMYFUNCTION("iferror(MINUS(divide(GOOGLEFINANCE($B364), INDEX(GOOGLEFINANCE($B364,""price"",today()-364),2,2)),1),"""")"),-0.02502138579982882)</f>
        <v>-0.0250213858</v>
      </c>
    </row>
    <row r="365">
      <c r="A365" s="71">
        <f t="shared" si="4"/>
        <v>361</v>
      </c>
      <c r="B365" s="47" t="s">
        <v>497</v>
      </c>
      <c r="C365" s="72">
        <f>IFERROR(__xludf.DUMMYFUNCTION("iferror(divide(googlefinance($B365,""marketcap""),1000000),"""")"),60.03975)</f>
        <v>60.03975</v>
      </c>
      <c r="D365" s="72">
        <f>IFERROR(__xludf.DUMMYFUNCTION("iferror(divide(googlefinance($B365,""shares""),1000),"""")"),4709.0)</f>
        <v>4709</v>
      </c>
      <c r="E365" s="72">
        <f>IFERROR(__xludf.DUMMYFUNCTION("iferror(divide(googlefinance($B365,""volumeavg""),1000),"""")"),10.518)</f>
        <v>10.518</v>
      </c>
      <c r="F365" s="73">
        <f>IFERROR(__xludf.DUMMYFUNCTION("iferror(MINUS(divide(GOOGLEFINANCE($B365), INDEX(GOOGLEFINANCE($B365,""price"",today()-182),2,2)),1),"""")"),0.5721331689272504)</f>
        <v>0.5721331689</v>
      </c>
      <c r="G365" s="61">
        <f>IFERROR(__xludf.DUMMYFUNCTION("iferror(MINUS(divide(GOOGLEFINANCE($B365), INDEX(GOOGLEFINANCE($B365,""price"",today()-364),2,2)),1),"""")"),0.03322528363047006)</f>
        <v>0.03322528363</v>
      </c>
    </row>
    <row r="366">
      <c r="A366" s="71">
        <f t="shared" si="4"/>
        <v>362</v>
      </c>
      <c r="B366" s="47" t="s">
        <v>498</v>
      </c>
      <c r="C366" s="72">
        <f>IFERROR(__xludf.DUMMYFUNCTION("iferror(divide(googlefinance($B366,""marketcap""),1000000),"""")"),126.351319)</f>
        <v>126.351319</v>
      </c>
      <c r="D366" s="72">
        <f>IFERROR(__xludf.DUMMYFUNCTION("iferror(divide(googlefinance($B366,""shares""),1000),"""")"),18623.0)</f>
        <v>18623</v>
      </c>
      <c r="E366" s="72">
        <f>IFERROR(__xludf.DUMMYFUNCTION("iferror(divide(googlefinance($B366,""volumeavg""),1000),"""")"),149.337)</f>
        <v>149.337</v>
      </c>
      <c r="F366" s="73">
        <f>IFERROR(__xludf.DUMMYFUNCTION("iferror(MINUS(divide(GOOGLEFINANCE($B366), INDEX(GOOGLEFINANCE($B366,""price"",today()-182),2,2)),1),"""")"),0.08823529411764697)</f>
        <v>0.08823529412</v>
      </c>
      <c r="G366" s="61">
        <f>IFERROR(__xludf.DUMMYFUNCTION("iferror(MINUS(divide(GOOGLEFINANCE($B366), INDEX(GOOGLEFINANCE($B366,""price"",today()-364),2,2)),1),"""")"),-0.37698783910196443)</f>
        <v>-0.3769878391</v>
      </c>
    </row>
    <row r="367">
      <c r="A367" s="71">
        <f t="shared" si="4"/>
        <v>363</v>
      </c>
      <c r="B367" s="47" t="s">
        <v>499</v>
      </c>
      <c r="C367" s="72">
        <f>IFERROR(__xludf.DUMMYFUNCTION("iferror(divide(googlefinance($B367,""marketcap""),1000000),"""")"),24006.0505)</f>
        <v>24006.0505</v>
      </c>
      <c r="D367" s="72">
        <f>IFERROR(__xludf.DUMMYFUNCTION("iferror(divide(googlefinance($B367,""shares""),1000),"""")"),234778.0)</f>
        <v>234778</v>
      </c>
      <c r="E367" s="72">
        <f>IFERROR(__xludf.DUMMYFUNCTION("iferror(divide(googlefinance($B367,""volumeavg""),1000),"""")"),1382.352)</f>
        <v>1382.352</v>
      </c>
      <c r="F367" s="73">
        <f>IFERROR(__xludf.DUMMYFUNCTION("iferror(MINUS(divide(GOOGLEFINANCE($B367), INDEX(GOOGLEFINANCE($B367,""price"",today()-182),2,2)),1),"""")"),0.6999168744804656)</f>
        <v>0.6999168745</v>
      </c>
      <c r="G367" s="61">
        <f>IFERROR(__xludf.DUMMYFUNCTION("iferror(MINUS(divide(GOOGLEFINANCE($B367), INDEX(GOOGLEFINANCE($B367,""price"",today()-364),2,2)),1),"""")"),0.2381932671348994)</f>
        <v>0.2381932671</v>
      </c>
    </row>
    <row r="368">
      <c r="A368" s="71">
        <f t="shared" si="4"/>
        <v>364</v>
      </c>
      <c r="B368" s="47" t="s">
        <v>500</v>
      </c>
      <c r="C368" s="72">
        <f>IFERROR(__xludf.DUMMYFUNCTION("iferror(divide(googlefinance($B368,""marketcap""),1000000),"""")"),350.73958)</f>
        <v>350.73958</v>
      </c>
      <c r="D368" s="72">
        <f>IFERROR(__xludf.DUMMYFUNCTION("iferror(divide(googlefinance($B368,""shares""),1000),"""")"),103463.0)</f>
        <v>103463</v>
      </c>
      <c r="E368" s="72">
        <f>IFERROR(__xludf.DUMMYFUNCTION("iferror(divide(googlefinance($B368,""volumeavg""),1000),"""")"),2299.647)</f>
        <v>2299.647</v>
      </c>
      <c r="F368" s="73">
        <f>IFERROR(__xludf.DUMMYFUNCTION("iferror(MINUS(divide(GOOGLEFINANCE($B368), INDEX(GOOGLEFINANCE($B368,""price"",today()-182),2,2)),1),"""")"),0.14915254237288122)</f>
        <v>0.1491525424</v>
      </c>
      <c r="G368" s="61">
        <f>IFERROR(__xludf.DUMMYFUNCTION("iferror(MINUS(divide(GOOGLEFINANCE($B368), INDEX(GOOGLEFINANCE($B368,""price"",today()-364),2,2)),1),"""")"),-0.4879154078549849)</f>
        <v>-0.4879154079</v>
      </c>
    </row>
    <row r="369">
      <c r="A369" s="71">
        <f t="shared" si="4"/>
        <v>365</v>
      </c>
      <c r="B369" s="47" t="s">
        <v>501</v>
      </c>
      <c r="C369" s="72">
        <f>IFERROR(__xludf.DUMMYFUNCTION("iferror(divide(googlefinance($B369,""marketcap""),1000000),"""")"),160.155523)</f>
        <v>160.155523</v>
      </c>
      <c r="D369" s="72">
        <f>IFERROR(__xludf.DUMMYFUNCTION("iferror(divide(googlefinance($B369,""shares""),1000),"""")"),81712.0)</f>
        <v>81712</v>
      </c>
      <c r="E369" s="72">
        <f>IFERROR(__xludf.DUMMYFUNCTION("iferror(divide(googlefinance($B369,""volumeavg""),1000),"""")"),4800.526)</f>
        <v>4800.526</v>
      </c>
      <c r="F369" s="73">
        <f>IFERROR(__xludf.DUMMYFUNCTION("iferror(MINUS(divide(GOOGLEFINANCE($B369), INDEX(GOOGLEFINANCE($B369,""price"",today()-182),2,2)),1),"""")"),-0.5729847494553377)</f>
        <v>-0.5729847495</v>
      </c>
      <c r="G369" s="61">
        <f>IFERROR(__xludf.DUMMYFUNCTION("iferror(MINUS(divide(GOOGLEFINANCE($B369), INDEX(GOOGLEFINANCE($B369,""price"",today()-364),2,2)),1),"""")"),-0.6273764258555132)</f>
        <v>-0.6273764259</v>
      </c>
    </row>
    <row r="370">
      <c r="A370" s="71">
        <f t="shared" si="4"/>
        <v>366</v>
      </c>
      <c r="B370" s="47" t="s">
        <v>502</v>
      </c>
      <c r="C370" s="72">
        <f>IFERROR(__xludf.DUMMYFUNCTION("iferror(divide(googlefinance($B370,""marketcap""),1000000),"""")"),6981.229197)</f>
        <v>6981.229197</v>
      </c>
      <c r="D370" s="72">
        <f>IFERROR(__xludf.DUMMYFUNCTION("iferror(divide(googlefinance($B370,""shares""),1000),"""")"),109716.0)</f>
        <v>109716</v>
      </c>
      <c r="E370" s="72">
        <f>IFERROR(__xludf.DUMMYFUNCTION("iferror(divide(googlefinance($B370,""volumeavg""),1000),"""")"),1213.199)</f>
        <v>1213.199</v>
      </c>
      <c r="F370" s="73">
        <f>IFERROR(__xludf.DUMMYFUNCTION("iferror(MINUS(divide(GOOGLEFINANCE($B370), INDEX(GOOGLEFINANCE($B370,""price"",today()-182),2,2)),1),"""")"),0.8502471648735097)</f>
        <v>0.8502471649</v>
      </c>
      <c r="G370" s="61">
        <f>IFERROR(__xludf.DUMMYFUNCTION("iferror(MINUS(divide(GOOGLEFINANCE($B370), INDEX(GOOGLEFINANCE($B370,""price"",today()-364),2,2)),1),"""")"),0.2787379421221865)</f>
        <v>0.2787379421</v>
      </c>
    </row>
    <row r="371">
      <c r="A371" s="71">
        <f t="shared" si="4"/>
        <v>367</v>
      </c>
      <c r="B371" s="47" t="s">
        <v>503</v>
      </c>
      <c r="C371" s="72">
        <f>IFERROR(__xludf.DUMMYFUNCTION("iferror(divide(googlefinance($B371,""marketcap""),1000000),"""")"),30352.193878)</f>
        <v>30352.19388</v>
      </c>
      <c r="D371" s="72">
        <f>IFERROR(__xludf.DUMMYFUNCTION("iferror(divide(googlefinance($B371,""shares""),1000),"""")"),784989.0)</f>
        <v>784989</v>
      </c>
      <c r="E371" s="72">
        <f>IFERROR(__xludf.DUMMYFUNCTION("iferror(divide(googlefinance($B371,""volumeavg""),1000),"""")"),309.627)</f>
        <v>309.627</v>
      </c>
      <c r="F371" s="73">
        <f>IFERROR(__xludf.DUMMYFUNCTION("iferror(MINUS(divide(GOOGLEFINANCE($B371), INDEX(GOOGLEFINANCE($B371,""price"",today()-182),2,2)),1),"""")"),0.9476597886260696)</f>
        <v>0.9476597886</v>
      </c>
      <c r="G371" s="61">
        <f>IFERROR(__xludf.DUMMYFUNCTION("iferror(MINUS(divide(GOOGLEFINANCE($B371), INDEX(GOOGLEFINANCE($B371,""price"",today()-364),2,2)),1),"""")"),0.14058355437665782)</f>
        <v>0.1405835544</v>
      </c>
    </row>
    <row r="372">
      <c r="A372" s="71">
        <f t="shared" si="4"/>
        <v>368</v>
      </c>
      <c r="B372" s="47" t="s">
        <v>504</v>
      </c>
      <c r="C372" s="72">
        <f>IFERROR(__xludf.DUMMYFUNCTION("iferror(divide(googlefinance($B372,""marketcap""),1000000),"""")"),3849.479753)</f>
        <v>3849.479753</v>
      </c>
      <c r="D372" s="72">
        <f>IFERROR(__xludf.DUMMYFUNCTION("iferror(divide(googlefinance($B372,""shares""),1000),"""")"),43635.0)</f>
        <v>43635</v>
      </c>
      <c r="E372" s="72">
        <f>IFERROR(__xludf.DUMMYFUNCTION("iferror(divide(googlefinance($B372,""volumeavg""),1000),"""")"),622.473)</f>
        <v>622.473</v>
      </c>
      <c r="F372" s="73">
        <f>IFERROR(__xludf.DUMMYFUNCTION("iferror(MINUS(divide(GOOGLEFINANCE($B372), INDEX(GOOGLEFINANCE($B372,""price"",today()-182),2,2)),1),"""")"),0.3268160625657994)</f>
        <v>0.3268160626</v>
      </c>
      <c r="G372" s="61">
        <f>IFERROR(__xludf.DUMMYFUNCTION("iferror(MINUS(divide(GOOGLEFINANCE($B372), INDEX(GOOGLEFINANCE($B372,""price"",today()-364),2,2)),1),"""")"),-0.010098743267504595)</f>
        <v>-0.01009874327</v>
      </c>
    </row>
    <row r="373">
      <c r="A373" s="71">
        <f t="shared" si="4"/>
        <v>369</v>
      </c>
      <c r="B373" s="47" t="s">
        <v>505</v>
      </c>
      <c r="C373" s="72">
        <f>IFERROR(__xludf.DUMMYFUNCTION("iferror(divide(googlefinance($B373,""marketcap""),1000000),"""")"),591.422496)</f>
        <v>591.422496</v>
      </c>
      <c r="D373" s="72">
        <f>IFERROR(__xludf.DUMMYFUNCTION("iferror(divide(googlefinance($B373,""shares""),1000),"""")"),6842.0)</f>
        <v>6842</v>
      </c>
      <c r="E373" s="72">
        <f>IFERROR(__xludf.DUMMYFUNCTION("iferror(divide(googlefinance($B373,""volumeavg""),1000),"""")"),65.457)</f>
        <v>65.457</v>
      </c>
      <c r="F373" s="73">
        <f>IFERROR(__xludf.DUMMYFUNCTION("iferror(MINUS(divide(GOOGLEFINANCE($B373), INDEX(GOOGLEFINANCE($B373,""price"",today()-182),2,2)),1),"""")"),1.1380163245115011)</f>
        <v>1.138016325</v>
      </c>
      <c r="G373" s="61">
        <f>IFERROR(__xludf.DUMMYFUNCTION("iferror(MINUS(divide(GOOGLEFINANCE($B373), INDEX(GOOGLEFINANCE($B373,""price"",today()-364),2,2)),1),"""")"),-0.06993759414676137)</f>
        <v>-0.06993759415</v>
      </c>
    </row>
    <row r="374">
      <c r="A374" s="71">
        <f t="shared" si="4"/>
        <v>370</v>
      </c>
      <c r="B374" s="47" t="s">
        <v>506</v>
      </c>
      <c r="C374" s="72">
        <f>IFERROR(__xludf.DUMMYFUNCTION("iferror(divide(googlefinance($B374,""marketcap""),1000000),"""")"),529.42565)</f>
        <v>529.42565</v>
      </c>
      <c r="D374" s="72">
        <f>IFERROR(__xludf.DUMMYFUNCTION("iferror(divide(googlefinance($B374,""shares""),1000),"""")"),32884.0)</f>
        <v>32884</v>
      </c>
      <c r="E374" s="72">
        <f>IFERROR(__xludf.DUMMYFUNCTION("iferror(divide(googlefinance($B374,""volumeavg""),1000),"""")"),78.049)</f>
        <v>78.049</v>
      </c>
      <c r="F374" s="73">
        <f>IFERROR(__xludf.DUMMYFUNCTION("iferror(MINUS(divide(GOOGLEFINANCE($B374), INDEX(GOOGLEFINANCE($B374,""price"",today()-182),2,2)),1),"""")"),0.21969696969696995)</f>
        <v>0.2196969697</v>
      </c>
      <c r="G374" s="61">
        <f>IFERROR(__xludf.DUMMYFUNCTION("iferror(MINUS(divide(GOOGLEFINANCE($B374), INDEX(GOOGLEFINANCE($B374,""price"",today()-364),2,2)),1),"""")"),-0.010448678549477508)</f>
        <v>-0.01044867855</v>
      </c>
    </row>
    <row r="375">
      <c r="A375" s="71">
        <f t="shared" si="4"/>
        <v>371</v>
      </c>
      <c r="B375" s="47" t="s">
        <v>507</v>
      </c>
      <c r="C375" s="72">
        <f>IFERROR(__xludf.DUMMYFUNCTION("iferror(divide(googlefinance($B375,""marketcap""),1000000),"""")"),2859.041751)</f>
        <v>2859.041751</v>
      </c>
      <c r="D375" s="72">
        <f>IFERROR(__xludf.DUMMYFUNCTION("iferror(divide(googlefinance($B375,""shares""),1000),"""")"),67462.0)</f>
        <v>67462</v>
      </c>
      <c r="E375" s="72">
        <f>IFERROR(__xludf.DUMMYFUNCTION("iferror(divide(googlefinance($B375,""volumeavg""),1000),"""")"),1196.887)</f>
        <v>1196.887</v>
      </c>
      <c r="F375" s="73">
        <f>IFERROR(__xludf.DUMMYFUNCTION("iferror(MINUS(divide(GOOGLEFINANCE($B375), INDEX(GOOGLEFINANCE($B375,""price"",today()-182),2,2)),1),"""")"),2.9350046425255343)</f>
        <v>2.935004643</v>
      </c>
      <c r="G375" s="61">
        <f>IFERROR(__xludf.DUMMYFUNCTION("iferror(MINUS(divide(GOOGLEFINANCE($B375), INDEX(GOOGLEFINANCE($B375,""price"",today()-364),2,2)),1),"""")"),0.5690485005553498)</f>
        <v>0.5690485006</v>
      </c>
    </row>
    <row r="376">
      <c r="A376" s="71">
        <f t="shared" si="4"/>
        <v>372</v>
      </c>
      <c r="B376" s="47" t="s">
        <v>508</v>
      </c>
      <c r="C376" s="72">
        <f>IFERROR(__xludf.DUMMYFUNCTION("iferror(divide(googlefinance($B376,""marketcap""),1000000),"""")"),943.592054)</f>
        <v>943.592054</v>
      </c>
      <c r="D376" s="72">
        <f>IFERROR(__xludf.DUMMYFUNCTION("iferror(divide(googlefinance($B376,""shares""),1000),"""")"),47947.0)</f>
        <v>47947</v>
      </c>
      <c r="E376" s="72">
        <f>IFERROR(__xludf.DUMMYFUNCTION("iferror(divide(googlefinance($B376,""volumeavg""),1000),"""")"),502.76)</f>
        <v>502.76</v>
      </c>
      <c r="F376" s="73">
        <f>IFERROR(__xludf.DUMMYFUNCTION("iferror(MINUS(divide(GOOGLEFINANCE($B376), INDEX(GOOGLEFINANCE($B376,""price"",today()-182),2,2)),1),"""")"),0.32347007397444516)</f>
        <v>0.323470074</v>
      </c>
      <c r="G376" s="61">
        <f>IFERROR(__xludf.DUMMYFUNCTION("iferror(MINUS(divide(GOOGLEFINANCE($B376), INDEX(GOOGLEFINANCE($B376,""price"",today()-364),2,2)),1),"""")"),-0.6337923334573874)</f>
        <v>-0.6337923335</v>
      </c>
    </row>
    <row r="377">
      <c r="A377" s="71">
        <f t="shared" si="4"/>
        <v>373</v>
      </c>
      <c r="B377" s="47" t="s">
        <v>509</v>
      </c>
      <c r="C377" s="72">
        <f>IFERROR(__xludf.DUMMYFUNCTION("iferror(divide(googlefinance($B377,""marketcap""),1000000),"""")"),5974.444037)</f>
        <v>5974.444037</v>
      </c>
      <c r="D377" s="72">
        <f>IFERROR(__xludf.DUMMYFUNCTION("iferror(divide(googlefinance($B377,""shares""),1000),"""")"),70172.0)</f>
        <v>70172</v>
      </c>
      <c r="E377" s="72">
        <f>IFERROR(__xludf.DUMMYFUNCTION("iferror(divide(googlefinance($B377,""volumeavg""),1000),"""")"),842.029)</f>
        <v>842.029</v>
      </c>
      <c r="F377" s="73">
        <f>IFERROR(__xludf.DUMMYFUNCTION("iferror(MINUS(divide(GOOGLEFINANCE($B377), INDEX(GOOGLEFINANCE($B377,""price"",today()-182),2,2)),1),"""")"),1.1853182751540041)</f>
        <v>1.185318275</v>
      </c>
      <c r="G377" s="61">
        <f>IFERROR(__xludf.DUMMYFUNCTION("iferror(MINUS(divide(GOOGLEFINANCE($B377), INDEX(GOOGLEFINANCE($B377,""price"",today()-364),2,2)),1),"""")"),0.7616387337057728)</f>
        <v>0.7616387337</v>
      </c>
    </row>
    <row r="378">
      <c r="A378" s="71">
        <f t="shared" si="4"/>
        <v>374</v>
      </c>
      <c r="B378" s="47" t="s">
        <v>510</v>
      </c>
      <c r="C378" s="72">
        <f>IFERROR(__xludf.DUMMYFUNCTION("iferror(divide(googlefinance($B378,""marketcap""),1000000),"""")"),1639.532755)</f>
        <v>1639.532755</v>
      </c>
      <c r="D378" s="72">
        <f>IFERROR(__xludf.DUMMYFUNCTION("iferror(divide(googlefinance($B378,""shares""),1000),"""")"),29488.0)</f>
        <v>29488</v>
      </c>
      <c r="E378" s="72">
        <f>IFERROR(__xludf.DUMMYFUNCTION("iferror(divide(googlefinance($B378,""volumeavg""),1000),"""")"),83.912)</f>
        <v>83.912</v>
      </c>
      <c r="F378" s="73">
        <f>IFERROR(__xludf.DUMMYFUNCTION("iferror(MINUS(divide(GOOGLEFINANCE($B378), INDEX(GOOGLEFINANCE($B378,""price"",today()-182),2,2)),1),"""")"),0.3547758284600391)</f>
        <v>0.3547758285</v>
      </c>
      <c r="G378" s="61">
        <f>IFERROR(__xludf.DUMMYFUNCTION("iferror(MINUS(divide(GOOGLEFINANCE($B378), INDEX(GOOGLEFINANCE($B378,""price"",today()-364),2,2)),1),"""")"),1.060785767234989)</f>
        <v>1.060785767</v>
      </c>
    </row>
    <row r="379">
      <c r="A379" s="71">
        <f t="shared" si="4"/>
        <v>375</v>
      </c>
      <c r="B379" s="47" t="s">
        <v>511</v>
      </c>
      <c r="C379" s="72">
        <f>IFERROR(__xludf.DUMMYFUNCTION("iferror(divide(googlefinance($B379,""marketcap""),1000000),"""")"),3559.053394)</f>
        <v>3559.053394</v>
      </c>
      <c r="D379" s="72">
        <f>IFERROR(__xludf.DUMMYFUNCTION("iferror(divide(googlefinance($B379,""shares""),1000),"""")"),58393.0)</f>
        <v>58393</v>
      </c>
      <c r="E379" s="72">
        <f>IFERROR(__xludf.DUMMYFUNCTION("iferror(divide(googlefinance($B379,""volumeavg""),1000),"""")"),614.519)</f>
        <v>614.519</v>
      </c>
      <c r="F379" s="73">
        <f>IFERROR(__xludf.DUMMYFUNCTION("iferror(MINUS(divide(GOOGLEFINANCE($B379), INDEX(GOOGLEFINANCE($B379,""price"",today()-182),2,2)),1),"""")"),0.09033989266547415)</f>
        <v>0.09033989267</v>
      </c>
      <c r="G379" s="61">
        <f>IFERROR(__xludf.DUMMYFUNCTION("iferror(MINUS(divide(GOOGLEFINANCE($B379), INDEX(GOOGLEFINANCE($B379,""price"",today()-364),2,2)),1),"""")"),0.11917003305178109)</f>
        <v>0.1191700331</v>
      </c>
    </row>
    <row r="380">
      <c r="A380" s="71">
        <f t="shared" si="4"/>
        <v>376</v>
      </c>
      <c r="B380" s="47" t="s">
        <v>512</v>
      </c>
      <c r="C380" s="72">
        <f>IFERROR(__xludf.DUMMYFUNCTION("iferror(divide(googlefinance($B380,""marketcap""),1000000),"""")"),1534.620592)</f>
        <v>1534.620592</v>
      </c>
      <c r="D380" s="72">
        <f>IFERROR(__xludf.DUMMYFUNCTION("iferror(divide(googlefinance($B380,""shares""),1000),"""")"),17932.0)</f>
        <v>17932</v>
      </c>
      <c r="E380" s="72">
        <f>IFERROR(__xludf.DUMMYFUNCTION("iferror(divide(googlefinance($B380,""volumeavg""),1000),"""")"),42.868)</f>
        <v>42.868</v>
      </c>
      <c r="F380" s="73">
        <f>IFERROR(__xludf.DUMMYFUNCTION("iferror(MINUS(divide(GOOGLEFINANCE($B380), INDEX(GOOGLEFINANCE($B380,""price"",today()-182),2,2)),1),"""")"),0.5842280636801183)</f>
        <v>0.5842280637</v>
      </c>
      <c r="G380" s="61">
        <f>IFERROR(__xludf.DUMMYFUNCTION("iferror(MINUS(divide(GOOGLEFINANCE($B380), INDEX(GOOGLEFINANCE($B380,""price"",today()-364),2,2)),1),"""")"),0.028605769230769074)</f>
        <v>0.02860576923</v>
      </c>
    </row>
    <row r="381">
      <c r="A381" s="71">
        <f t="shared" si="4"/>
        <v>377</v>
      </c>
      <c r="B381" s="47" t="s">
        <v>513</v>
      </c>
      <c r="C381" s="72">
        <f>IFERROR(__xludf.DUMMYFUNCTION("iferror(divide(googlefinance($B381,""marketcap""),1000000),"""")"),126.162)</f>
        <v>126.162</v>
      </c>
      <c r="D381" s="72">
        <f>IFERROR(__xludf.DUMMYFUNCTION("iferror(divide(googlefinance($B381,""shares""),1000),"""")"),28036.0)</f>
        <v>28036</v>
      </c>
      <c r="E381" s="72">
        <f>IFERROR(__xludf.DUMMYFUNCTION("iferror(divide(googlefinance($B381,""volumeavg""),1000),"""")"),335.112)</f>
        <v>335.112</v>
      </c>
      <c r="F381" s="73">
        <f>IFERROR(__xludf.DUMMYFUNCTION("iferror(MINUS(divide(GOOGLEFINANCE($B381), INDEX(GOOGLEFINANCE($B381,""price"",today()-182),2,2)),1),"""")"),0.965065502183406)</f>
        <v>0.9650655022</v>
      </c>
      <c r="G381" s="61">
        <f>IFERROR(__xludf.DUMMYFUNCTION("iferror(MINUS(divide(GOOGLEFINANCE($B381), INDEX(GOOGLEFINANCE($B381,""price"",today()-364),2,2)),1),"""")"),0.2640449438202248)</f>
        <v>0.2640449438</v>
      </c>
    </row>
    <row r="382">
      <c r="A382" s="71">
        <f t="shared" si="4"/>
        <v>378</v>
      </c>
      <c r="B382" s="47" t="s">
        <v>514</v>
      </c>
      <c r="C382" s="72">
        <f>IFERROR(__xludf.DUMMYFUNCTION("iferror(divide(googlefinance($B382,""marketcap""),1000000),"""")"),109.588075)</f>
        <v>109.588075</v>
      </c>
      <c r="D382" s="72">
        <f>IFERROR(__xludf.DUMMYFUNCTION("iferror(divide(googlefinance($B382,""shares""),1000),"""")"),12728.0)</f>
        <v>12728</v>
      </c>
      <c r="E382" s="72">
        <f>IFERROR(__xludf.DUMMYFUNCTION("iferror(divide(googlefinance($B382,""volumeavg""),1000),"""")"),22.795)</f>
        <v>22.795</v>
      </c>
      <c r="F382" s="73">
        <f>IFERROR(__xludf.DUMMYFUNCTION("iferror(MINUS(divide(GOOGLEFINANCE($B382), INDEX(GOOGLEFINANCE($B382,""price"",today()-182),2,2)),1),"""")"),0.6882352941176471)</f>
        <v>0.6882352941</v>
      </c>
      <c r="G382" s="61">
        <f>IFERROR(__xludf.DUMMYFUNCTION("iferror(MINUS(divide(GOOGLEFINANCE($B382), INDEX(GOOGLEFINANCE($B382,""price"",today()-364),2,2)),1),"""")"),0.43499999999999983)</f>
        <v>0.435</v>
      </c>
    </row>
    <row r="383">
      <c r="A383" s="71">
        <f t="shared" si="4"/>
        <v>379</v>
      </c>
      <c r="B383" s="47" t="s">
        <v>515</v>
      </c>
      <c r="C383" s="72">
        <f>IFERROR(__xludf.DUMMYFUNCTION("iferror(divide(googlefinance($B383,""marketcap""),1000000),"""")"),1752.661467)</f>
        <v>1752.661467</v>
      </c>
      <c r="D383" s="72">
        <f>IFERROR(__xludf.DUMMYFUNCTION("iferror(divide(googlefinance($B383,""shares""),1000),"""")"),59372.0)</f>
        <v>59372</v>
      </c>
      <c r="E383" s="72">
        <f>IFERROR(__xludf.DUMMYFUNCTION("iferror(divide(googlefinance($B383,""volumeavg""),1000),"""")"),2248.451)</f>
        <v>2248.451</v>
      </c>
      <c r="F383" s="73">
        <f>IFERROR(__xludf.DUMMYFUNCTION("iferror(MINUS(divide(GOOGLEFINANCE($B383), INDEX(GOOGLEFINANCE($B383,""price"",today()-182),2,2)),1),"""")"),1.0067980965329708)</f>
        <v>1.006798097</v>
      </c>
      <c r="G383" s="61">
        <f>IFERROR(__xludf.DUMMYFUNCTION("iferror(MINUS(divide(GOOGLEFINANCE($B383), INDEX(GOOGLEFINANCE($B383,""price"",today()-364),2,2)),1),"""")"),0.332129963898917)</f>
        <v>0.3321299639</v>
      </c>
    </row>
    <row r="384">
      <c r="A384" s="71">
        <f t="shared" si="4"/>
        <v>380</v>
      </c>
      <c r="B384" s="47" t="s">
        <v>516</v>
      </c>
      <c r="C384" s="72">
        <f>IFERROR(__xludf.DUMMYFUNCTION("iferror(divide(googlefinance($B384,""marketcap""),1000000),"""")"),355.706345)</f>
        <v>355.706345</v>
      </c>
      <c r="D384" s="72">
        <f>IFERROR(__xludf.DUMMYFUNCTION("iferror(divide(googlefinance($B384,""shares""),1000),"""")"),34401.0)</f>
        <v>34401</v>
      </c>
      <c r="E384" s="72">
        <f>IFERROR(__xludf.DUMMYFUNCTION("iferror(divide(googlefinance($B384,""volumeavg""),1000),"""")"),97.072)</f>
        <v>97.072</v>
      </c>
      <c r="F384" s="73">
        <f>IFERROR(__xludf.DUMMYFUNCTION("iferror(MINUS(divide(GOOGLEFINANCE($B384), INDEX(GOOGLEFINANCE($B384,""price"",today()-182),2,2)),1),"""")"),0.16179775280898867)</f>
        <v>0.1617977528</v>
      </c>
      <c r="G384" s="61">
        <f>IFERROR(__xludf.DUMMYFUNCTION("iferror(MINUS(divide(GOOGLEFINANCE($B384), INDEX(GOOGLEFINANCE($B384,""price"",today()-364),2,2)),1),"""")"),-0.3756038647342995)</f>
        <v>-0.3756038647</v>
      </c>
    </row>
    <row r="385">
      <c r="A385" s="71">
        <f t="shared" si="4"/>
        <v>381</v>
      </c>
      <c r="B385" s="47" t="s">
        <v>517</v>
      </c>
      <c r="C385" s="72">
        <f>IFERROR(__xludf.DUMMYFUNCTION("iferror(divide(googlefinance($B385,""marketcap""),1000000),"""")"),956.151596)</f>
        <v>956.151596</v>
      </c>
      <c r="D385" s="72">
        <f>IFERROR(__xludf.DUMMYFUNCTION("iferror(divide(googlefinance($B385,""shares""),1000),"""")"),19682.0)</f>
        <v>19682</v>
      </c>
      <c r="E385" s="72">
        <f>IFERROR(__xludf.DUMMYFUNCTION("iferror(divide(googlefinance($B385,""volumeavg""),1000),"""")"),186.336)</f>
        <v>186.336</v>
      </c>
      <c r="F385" s="73">
        <f>IFERROR(__xludf.DUMMYFUNCTION("iferror(MINUS(divide(GOOGLEFINANCE($B385), INDEX(GOOGLEFINANCE($B385,""price"",today()-182),2,2)),1),"""")"),0.7288256227758005)</f>
        <v>0.7288256228</v>
      </c>
      <c r="G385" s="61">
        <f>IFERROR(__xludf.DUMMYFUNCTION("iferror(MINUS(divide(GOOGLEFINANCE($B385), INDEX(GOOGLEFINANCE($B385,""price"",today()-364),2,2)),1),"""")"),1.112173913043478)</f>
        <v>1.112173913</v>
      </c>
    </row>
    <row r="386">
      <c r="A386" s="71">
        <f t="shared" si="4"/>
        <v>382</v>
      </c>
      <c r="B386" s="47" t="s">
        <v>518</v>
      </c>
      <c r="C386" s="72">
        <f>IFERROR(__xludf.DUMMYFUNCTION("iferror(divide(googlefinance($B386,""marketcap""),1000000),"""")"),1274.285596)</f>
        <v>1274.285596</v>
      </c>
      <c r="D386" s="72">
        <f>IFERROR(__xludf.DUMMYFUNCTION("iferror(divide(googlefinance($B386,""shares""),1000),"""")"),137910.0)</f>
        <v>137910</v>
      </c>
      <c r="E386" s="72">
        <f>IFERROR(__xludf.DUMMYFUNCTION("iferror(divide(googlefinance($B386,""volumeavg""),1000),"""")"),932.964)</f>
        <v>932.964</v>
      </c>
      <c r="F386" s="73">
        <f>IFERROR(__xludf.DUMMYFUNCTION("iferror(MINUS(divide(GOOGLEFINANCE($B386), INDEX(GOOGLEFINANCE($B386,""price"",today()-182),2,2)),1),"""")"),1.2372881355932206)</f>
        <v>1.237288136</v>
      </c>
      <c r="G386" s="61">
        <f>IFERROR(__xludf.DUMMYFUNCTION("iferror(MINUS(divide(GOOGLEFINANCE($B386), INDEX(GOOGLEFINANCE($B386,""price"",today()-364),2,2)),1),"""")"),-0.32307692307692304)</f>
        <v>-0.3230769231</v>
      </c>
    </row>
    <row r="387">
      <c r="A387" s="71">
        <f t="shared" si="4"/>
        <v>383</v>
      </c>
      <c r="B387" s="47" t="s">
        <v>519</v>
      </c>
      <c r="C387" s="72">
        <f>IFERROR(__xludf.DUMMYFUNCTION("iferror(divide(googlefinance($B387,""marketcap""),1000000),"""")"),60821.7135)</f>
        <v>60821.7135</v>
      </c>
      <c r="D387" s="72">
        <f>IFERROR(__xludf.DUMMYFUNCTION("iferror(divide(googlefinance($B387,""shares""),1000),"""")"),765053.0)</f>
        <v>765053</v>
      </c>
      <c r="E387" s="72">
        <f>IFERROR(__xludf.DUMMYFUNCTION("iferror(divide(googlefinance($B387,""volumeavg""),1000),"""")"),3452.692)</f>
        <v>3452.692</v>
      </c>
      <c r="F387" s="73">
        <f>IFERROR(__xludf.DUMMYFUNCTION("iferror(MINUS(divide(GOOGLEFINANCE($B387), INDEX(GOOGLEFINANCE($B387,""price"",today()-182),2,2)),1),"""")"),0.5941447764186887)</f>
        <v>0.5941447764</v>
      </c>
      <c r="G387" s="61">
        <f>IFERROR(__xludf.DUMMYFUNCTION("iferror(MINUS(divide(GOOGLEFINANCE($B387), INDEX(GOOGLEFINANCE($B387,""price"",today()-364),2,2)),1),"""")"),0.15855435733022438)</f>
        <v>0.1585543573</v>
      </c>
    </row>
    <row r="388">
      <c r="A388" s="71">
        <f t="shared" si="4"/>
        <v>384</v>
      </c>
      <c r="B388" s="47" t="s">
        <v>520</v>
      </c>
      <c r="C388" s="72">
        <f>IFERROR(__xludf.DUMMYFUNCTION("iferror(divide(googlefinance($B388,""marketcap""),1000000),"""")"),1646.515356)</f>
        <v>1646.515356</v>
      </c>
      <c r="D388" s="72">
        <f>IFERROR(__xludf.DUMMYFUNCTION("iferror(divide(googlefinance($B388,""shares""),1000),"""")"),50306.0)</f>
        <v>50306</v>
      </c>
      <c r="E388" s="72">
        <f>IFERROR(__xludf.DUMMYFUNCTION("iferror(divide(googlefinance($B388,""volumeavg""),1000),"""")"),350.699)</f>
        <v>350.699</v>
      </c>
      <c r="F388" s="73">
        <f>IFERROR(__xludf.DUMMYFUNCTION("iferror(MINUS(divide(GOOGLEFINANCE($B388), INDEX(GOOGLEFINANCE($B388,""price"",today()-182),2,2)),1),"""")"),0.9309734513274335)</f>
        <v>0.9309734513</v>
      </c>
      <c r="G388" s="61">
        <f>IFERROR(__xludf.DUMMYFUNCTION("iferror(MINUS(divide(GOOGLEFINANCE($B388), INDEX(GOOGLEFINANCE($B388,""price"",today()-364),2,2)),1),"""")"),0.3097238895558223)</f>
        <v>0.3097238896</v>
      </c>
    </row>
    <row r="389">
      <c r="A389" s="71">
        <f t="shared" si="4"/>
        <v>385</v>
      </c>
      <c r="B389" s="47" t="s">
        <v>521</v>
      </c>
      <c r="C389" s="72">
        <f>IFERROR(__xludf.DUMMYFUNCTION("iferror(divide(googlefinance($B389,""marketcap""),1000000),"""")"),13825.411675)</f>
        <v>13825.41168</v>
      </c>
      <c r="D389" s="72">
        <f>IFERROR(__xludf.DUMMYFUNCTION("iferror(divide(googlefinance($B389,""shares""),1000),"""")"),164139.0)</f>
        <v>164139</v>
      </c>
      <c r="E389" s="72">
        <f>IFERROR(__xludf.DUMMYFUNCTION("iferror(divide(googlefinance($B389,""volumeavg""),1000),"""")"),1014.584)</f>
        <v>1014.584</v>
      </c>
      <c r="F389" s="73">
        <f>IFERROR(__xludf.DUMMYFUNCTION("iferror(MINUS(divide(GOOGLEFINANCE($B389), INDEX(GOOGLEFINANCE($B389,""price"",today()-182),2,2)),1),"""")"),1.1487244897959181)</f>
        <v>1.14872449</v>
      </c>
      <c r="G389" s="61">
        <f>IFERROR(__xludf.DUMMYFUNCTION("iferror(MINUS(divide(GOOGLEFINANCE($B389), INDEX(GOOGLEFINANCE($B389,""price"",today()-364),2,2)),1),"""")"),0.6323643410852713)</f>
        <v>0.6323643411</v>
      </c>
    </row>
    <row r="390">
      <c r="A390" s="71">
        <f t="shared" si="4"/>
        <v>386</v>
      </c>
      <c r="B390" s="47" t="s">
        <v>522</v>
      </c>
      <c r="C390" s="72">
        <f>IFERROR(__xludf.DUMMYFUNCTION("iferror(divide(googlefinance($B390,""marketcap""),1000000),"""")"),331.658552)</f>
        <v>331.658552</v>
      </c>
      <c r="D390" s="72">
        <f>IFERROR(__xludf.DUMMYFUNCTION("iferror(divide(googlefinance($B390,""shares""),1000),"""")"),46192.0)</f>
        <v>46192</v>
      </c>
      <c r="E390" s="72">
        <f>IFERROR(__xludf.DUMMYFUNCTION("iferror(divide(googlefinance($B390,""volumeavg""),1000),"""")"),437.588)</f>
        <v>437.588</v>
      </c>
      <c r="F390" s="73">
        <f>IFERROR(__xludf.DUMMYFUNCTION("iferror(MINUS(divide(GOOGLEFINANCE($B390), INDEX(GOOGLEFINANCE($B390,""price"",today()-182),2,2)),1),"""")"),0.4505050505050503)</f>
        <v>0.4505050505</v>
      </c>
      <c r="G390" s="61">
        <f>IFERROR(__xludf.DUMMYFUNCTION("iferror(MINUS(divide(GOOGLEFINANCE($B390), INDEX(GOOGLEFINANCE($B390,""price"",today()-364),2,2)),1),"""")"),-0.20133481646273643)</f>
        <v>-0.2013348165</v>
      </c>
    </row>
    <row r="391">
      <c r="A391" s="71">
        <f t="shared" si="4"/>
        <v>387</v>
      </c>
      <c r="B391" s="47" t="s">
        <v>523</v>
      </c>
      <c r="C391" s="72">
        <f>IFERROR(__xludf.DUMMYFUNCTION("iferror(divide(googlefinance($B391,""marketcap""),1000000),"""")"),266.913404)</f>
        <v>266.913404</v>
      </c>
      <c r="D391" s="72">
        <f>IFERROR(__xludf.DUMMYFUNCTION("iferror(divide(googlefinance($B391,""shares""),1000),"""")"),10634.0)</f>
        <v>10634</v>
      </c>
      <c r="E391" s="72">
        <f>IFERROR(__xludf.DUMMYFUNCTION("iferror(divide(googlefinance($B391,""volumeavg""),1000),"""")"),185.093)</f>
        <v>185.093</v>
      </c>
      <c r="F391" s="73">
        <f>IFERROR(__xludf.DUMMYFUNCTION("iferror(MINUS(divide(GOOGLEFINANCE($B391), INDEX(GOOGLEFINANCE($B391,""price"",today()-182),2,2)),1),"""")"),1.8458049886621315)</f>
        <v>1.845804989</v>
      </c>
      <c r="G391" s="61">
        <f>IFERROR(__xludf.DUMMYFUNCTION("iferror(MINUS(divide(GOOGLEFINANCE($B391), INDEX(GOOGLEFINANCE($B391,""price"",today()-364),2,2)),1),"""")"),0.3859745996686914)</f>
        <v>0.3859745997</v>
      </c>
    </row>
    <row r="392">
      <c r="A392" s="71">
        <f t="shared" si="4"/>
        <v>388</v>
      </c>
      <c r="B392" s="47" t="s">
        <v>524</v>
      </c>
      <c r="C392" s="72">
        <f>IFERROR(__xludf.DUMMYFUNCTION("iferror(divide(googlefinance($B392,""marketcap""),1000000),"""")"),507.626132)</f>
        <v>507.626132</v>
      </c>
      <c r="D392" s="72">
        <f>IFERROR(__xludf.DUMMYFUNCTION("iferror(divide(googlefinance($B392,""shares""),1000),"""")"),29496.0)</f>
        <v>29496</v>
      </c>
      <c r="E392" s="72">
        <f>IFERROR(__xludf.DUMMYFUNCTION("iferror(divide(googlefinance($B392,""volumeavg""),1000),"""")"),281.477)</f>
        <v>281.477</v>
      </c>
      <c r="F392" s="73">
        <f>IFERROR(__xludf.DUMMYFUNCTION("iferror(MINUS(divide(GOOGLEFINANCE($B392), INDEX(GOOGLEFINANCE($B392,""price"",today()-182),2,2)),1),"""")"),0.4083469721767594)</f>
        <v>0.4083469722</v>
      </c>
      <c r="G392" s="61">
        <f>IFERROR(__xludf.DUMMYFUNCTION("iferror(MINUS(divide(GOOGLEFINANCE($B392), INDEX(GOOGLEFINANCE($B392,""price"",today()-364),2,2)),1),"""")"),0.9668571428571429)</f>
        <v>0.9668571429</v>
      </c>
    </row>
    <row r="393">
      <c r="A393" s="71">
        <f t="shared" si="4"/>
        <v>389</v>
      </c>
      <c r="B393" s="47" t="s">
        <v>525</v>
      </c>
      <c r="C393" s="72">
        <f>IFERROR(__xludf.DUMMYFUNCTION("iferror(divide(googlefinance($B393,""marketcap""),1000000),"""")"),361.728518)</f>
        <v>361.728518</v>
      </c>
      <c r="D393" s="72">
        <f>IFERROR(__xludf.DUMMYFUNCTION("iferror(divide(googlefinance($B393,""shares""),1000),"""")"),17594.0)</f>
        <v>17594</v>
      </c>
      <c r="E393" s="72">
        <f>IFERROR(__xludf.DUMMYFUNCTION("iferror(divide(googlefinance($B393,""volumeavg""),1000),"""")"),217.936)</f>
        <v>217.936</v>
      </c>
      <c r="F393" s="73">
        <f>IFERROR(__xludf.DUMMYFUNCTION("iferror(MINUS(divide(GOOGLEFINANCE($B393), INDEX(GOOGLEFINANCE($B393,""price"",today()-182),2,2)),1),"""")"),1.23721436343852)</f>
        <v>1.237214363</v>
      </c>
      <c r="G393" s="61">
        <f>IFERROR(__xludf.DUMMYFUNCTION("iferror(MINUS(divide(GOOGLEFINANCE($B393), INDEX(GOOGLEFINANCE($B393,""price"",today()-364),2,2)),1),"""")"),-0.3341968911917098)</f>
        <v>-0.3341968912</v>
      </c>
    </row>
    <row r="394">
      <c r="A394" s="71">
        <f t="shared" si="4"/>
        <v>390</v>
      </c>
      <c r="B394" s="47" t="s">
        <v>526</v>
      </c>
      <c r="C394" s="72">
        <f>IFERROR(__xludf.DUMMYFUNCTION("iferror(divide(googlefinance($B394,""marketcap""),1000000),"""")"),1580.887861)</f>
        <v>1580.887861</v>
      </c>
      <c r="D394" s="72">
        <f>IFERROR(__xludf.DUMMYFUNCTION("iferror(divide(googlefinance($B394,""shares""),1000),"""")"),9180.0)</f>
        <v>9180</v>
      </c>
      <c r="E394" s="72">
        <f>IFERROR(__xludf.DUMMYFUNCTION("iferror(divide(googlefinance($B394,""volumeavg""),1000),"""")"),39.37)</f>
        <v>39.37</v>
      </c>
      <c r="F394" s="73">
        <f>IFERROR(__xludf.DUMMYFUNCTION("iferror(MINUS(divide(GOOGLEFINANCE($B394), INDEX(GOOGLEFINANCE($B394,""price"",today()-182),2,2)),1),"""")"),0.45940677966101706)</f>
        <v>0.4594067797</v>
      </c>
      <c r="G394" s="61">
        <f>IFERROR(__xludf.DUMMYFUNCTION("iferror(MINUS(divide(GOOGLEFINANCE($B394), INDEX(GOOGLEFINANCE($B394,""price"",today()-364),2,2)),1),"""")"),-0.10176298769038172)</f>
        <v>-0.1017629877</v>
      </c>
    </row>
    <row r="395">
      <c r="A395" s="71">
        <f t="shared" si="4"/>
        <v>391</v>
      </c>
      <c r="B395" s="47" t="s">
        <v>527</v>
      </c>
      <c r="C395" s="72">
        <f>IFERROR(__xludf.DUMMYFUNCTION("iferror(divide(googlefinance($B395,""marketcap""),1000000),"""")"),1174.896796)</f>
        <v>1174.896796</v>
      </c>
      <c r="D395" s="72">
        <f>IFERROR(__xludf.DUMMYFUNCTION("iferror(divide(googlefinance($B395,""shares""),1000),"""")"),17657.0)</f>
        <v>17657</v>
      </c>
      <c r="E395" s="72">
        <f>IFERROR(__xludf.DUMMYFUNCTION("iferror(divide(googlefinance($B395,""volumeavg""),1000),"""")"),99.362)</f>
        <v>99.362</v>
      </c>
      <c r="F395" s="73">
        <f>IFERROR(__xludf.DUMMYFUNCTION("iferror(MINUS(divide(GOOGLEFINANCE($B395), INDEX(GOOGLEFINANCE($B395,""price"",today()-182),2,2)),1),"""")"),0.25145758886590186)</f>
        <v>0.2514575889</v>
      </c>
      <c r="G395" s="61">
        <f>IFERROR(__xludf.DUMMYFUNCTION("iferror(MINUS(divide(GOOGLEFINANCE($B395), INDEX(GOOGLEFINANCE($B395,""price"",today()-364),2,2)),1),"""")"),-0.294977749523204)</f>
        <v>-0.2949777495</v>
      </c>
    </row>
    <row r="396">
      <c r="A396" s="71">
        <f t="shared" si="4"/>
        <v>392</v>
      </c>
      <c r="B396" s="47" t="s">
        <v>528</v>
      </c>
      <c r="C396" s="72">
        <f>IFERROR(__xludf.DUMMYFUNCTION("iferror(divide(googlefinance($B396,""marketcap""),1000000),"""")"),76441.34203)</f>
        <v>76441.34203</v>
      </c>
      <c r="D396" s="72">
        <f>IFERROR(__xludf.DUMMYFUNCTION("iferror(divide(googlefinance($B396,""shares""),1000),"""")"),1308703.0)</f>
        <v>1308703</v>
      </c>
      <c r="E396" s="72">
        <f>IFERROR(__xludf.DUMMYFUNCTION("iferror(divide(googlefinance($B396,""volumeavg""),1000),"""")"),8180.496)</f>
        <v>8180.496</v>
      </c>
      <c r="F396" s="73">
        <f>IFERROR(__xludf.DUMMYFUNCTION("iferror(MINUS(divide(GOOGLEFINANCE($B396), INDEX(GOOGLEFINANCE($B396,""price"",today()-182),2,2)),1),"""")"),0.06782449725776951)</f>
        <v>0.06782449726</v>
      </c>
      <c r="G396" s="61">
        <f>IFERROR(__xludf.DUMMYFUNCTION("iferror(MINUS(divide(GOOGLEFINANCE($B396), INDEX(GOOGLEFINANCE($B396,""price"",today()-364),2,2)),1),"""")"),-0.091601866251944)</f>
        <v>-0.09160186625</v>
      </c>
    </row>
    <row r="397">
      <c r="A397" s="71">
        <f t="shared" si="4"/>
        <v>393</v>
      </c>
      <c r="B397" s="47" t="s">
        <v>529</v>
      </c>
      <c r="C397" s="72">
        <f>IFERROR(__xludf.DUMMYFUNCTION("iferror(divide(googlefinance($B397,""marketcap""),1000000),"""")"),29.930039)</f>
        <v>29.930039</v>
      </c>
      <c r="D397" s="72">
        <f>IFERROR(__xludf.DUMMYFUNCTION("iferror(divide(googlefinance($B397,""shares""),1000),"""")"),11877.0)</f>
        <v>11877</v>
      </c>
      <c r="E397" s="72">
        <f>IFERROR(__xludf.DUMMYFUNCTION("iferror(divide(googlefinance($B397,""volumeavg""),1000),"""")"),77.97)</f>
        <v>77.97</v>
      </c>
      <c r="F397" s="73">
        <f>IFERROR(__xludf.DUMMYFUNCTION("iferror(MINUS(divide(GOOGLEFINANCE($B397), INDEX(GOOGLEFINANCE($B397,""price"",today()-182),2,2)),1),"""")"),0.8129496402877698)</f>
        <v>0.8129496403</v>
      </c>
      <c r="G397" s="61">
        <f>IFERROR(__xludf.DUMMYFUNCTION("iferror(MINUS(divide(GOOGLEFINANCE($B397), INDEX(GOOGLEFINANCE($B397,""price"",today()-364),2,2)),1),"""")"),-0.685)</f>
        <v>-0.685</v>
      </c>
    </row>
    <row r="398">
      <c r="A398" s="71">
        <f t="shared" si="4"/>
        <v>394</v>
      </c>
      <c r="B398" s="47" t="s">
        <v>530</v>
      </c>
      <c r="C398" s="72">
        <f>IFERROR(__xludf.DUMMYFUNCTION("iferror(divide(googlefinance($B398,""marketcap""),1000000),"""")"),4114.87574)</f>
        <v>4114.87574</v>
      </c>
      <c r="D398" s="72">
        <f>IFERROR(__xludf.DUMMYFUNCTION("iferror(divide(googlefinance($B398,""shares""),1000),"""")"),41577.0)</f>
        <v>41577</v>
      </c>
      <c r="E398" s="72">
        <f>IFERROR(__xludf.DUMMYFUNCTION("iferror(divide(googlefinance($B398,""volumeavg""),1000),"""")"),301.008)</f>
        <v>301.008</v>
      </c>
      <c r="F398" s="73">
        <f>IFERROR(__xludf.DUMMYFUNCTION("iferror(MINUS(divide(GOOGLEFINANCE($B398), INDEX(GOOGLEFINANCE($B398,""price"",today()-182),2,2)),1),"""")"),0.26884615384615373)</f>
        <v>0.2688461538</v>
      </c>
      <c r="G398" s="61">
        <f>IFERROR(__xludf.DUMMYFUNCTION("iferror(MINUS(divide(GOOGLEFINANCE($B398), INDEX(GOOGLEFINANCE($B398,""price"",today()-364),2,2)),1),"""")"),-0.22932565021024753)</f>
        <v>-0.2293256502</v>
      </c>
    </row>
    <row r="399">
      <c r="A399" s="71">
        <f t="shared" si="4"/>
        <v>395</v>
      </c>
      <c r="B399" s="47" t="s">
        <v>531</v>
      </c>
      <c r="C399" s="72">
        <f>IFERROR(__xludf.DUMMYFUNCTION("iferror(divide(googlefinance($B399,""marketcap""),1000000),"""")"),2743.749615)</f>
        <v>2743.749615</v>
      </c>
      <c r="D399" s="72">
        <f>IFERROR(__xludf.DUMMYFUNCTION("iferror(divide(googlefinance($B399,""shares""),1000),"""")"),37887.0)</f>
        <v>37887</v>
      </c>
      <c r="E399" s="72">
        <f>IFERROR(__xludf.DUMMYFUNCTION("iferror(divide(googlefinance($B399,""volumeavg""),1000),"""")"),3995.225)</f>
        <v>3995.225</v>
      </c>
      <c r="F399" s="73">
        <f>IFERROR(__xludf.DUMMYFUNCTION("iferror(MINUS(divide(GOOGLEFINANCE($B399), INDEX(GOOGLEFINANCE($B399,""price"",today()-182),2,2)),1),"""")"),6.252927400468384)</f>
        <v>6.2529274</v>
      </c>
      <c r="G399" s="61">
        <f>IFERROR(__xludf.DUMMYFUNCTION("iferror(MINUS(divide(GOOGLEFINANCE($B399), INDEX(GOOGLEFINANCE($B399,""price"",today()-364),2,2)),1),"""")"),2.535388127853881)</f>
        <v>2.535388128</v>
      </c>
    </row>
    <row r="400">
      <c r="A400" s="71">
        <f t="shared" si="4"/>
        <v>396</v>
      </c>
      <c r="B400" s="47" t="s">
        <v>532</v>
      </c>
      <c r="C400" s="72">
        <f>IFERROR(__xludf.DUMMYFUNCTION("iferror(divide(googlefinance($B400,""marketcap""),1000000),"""")"),5906.171844)</f>
        <v>5906.171844</v>
      </c>
      <c r="D400" s="72">
        <f>IFERROR(__xludf.DUMMYFUNCTION("iferror(divide(googlefinance($B400,""shares""),1000),"""")"),1.513746E7)</f>
        <v>15137460</v>
      </c>
      <c r="E400" s="72">
        <f>IFERROR(__xludf.DUMMYFUNCTION("iferror(divide(googlefinance($B400,""volumeavg""),1000),"""")"),7085.396)</f>
        <v>7085.396</v>
      </c>
      <c r="F400" s="73">
        <f>IFERROR(__xludf.DUMMYFUNCTION("iferror(MINUS(divide(GOOGLEFINANCE($B400), INDEX(GOOGLEFINANCE($B400,""price"",today()-182),2,2)),1),"""")"),1.254335260115607)</f>
        <v>1.25433526</v>
      </c>
      <c r="G400" s="61">
        <f>IFERROR(__xludf.DUMMYFUNCTION("iferror(MINUS(divide(GOOGLEFINANCE($B400), INDEX(GOOGLEFINANCE($B400,""price"",today()-364),2,2)),1),"""")"),-0.051094890510948954)</f>
        <v>-0.05109489051</v>
      </c>
    </row>
    <row r="401">
      <c r="A401" s="71">
        <f t="shared" si="4"/>
        <v>397</v>
      </c>
      <c r="B401" s="47" t="s">
        <v>533</v>
      </c>
      <c r="C401" s="72">
        <f>IFERROR(__xludf.DUMMYFUNCTION("iferror(divide(googlefinance($B401,""marketcap""),1000000),"""")"),119.207009)</f>
        <v>119.207009</v>
      </c>
      <c r="D401" s="72">
        <f>IFERROR(__xludf.DUMMYFUNCTION("iferror(divide(googlefinance($B401,""shares""),1000),"""")"),13942.0)</f>
        <v>13942</v>
      </c>
      <c r="E401" s="72">
        <f>IFERROR(__xludf.DUMMYFUNCTION("iferror(divide(googlefinance($B401,""volumeavg""),1000),"""")"),7.737)</f>
        <v>7.737</v>
      </c>
      <c r="F401" s="73">
        <f>IFERROR(__xludf.DUMMYFUNCTION("iferror(MINUS(divide(GOOGLEFINANCE($B401), INDEX(GOOGLEFINANCE($B401,""price"",today()-182),2,2)),1),"""")"),0.6688741721854305)</f>
        <v>0.6688741722</v>
      </c>
      <c r="G401" s="61">
        <f>IFERROR(__xludf.DUMMYFUNCTION("iferror(MINUS(divide(GOOGLEFINANCE($B401), INDEX(GOOGLEFINANCE($B401,""price"",today()-364),2,2)),1),"""")"),0.008000000000000007)</f>
        <v>0.008</v>
      </c>
    </row>
    <row r="402">
      <c r="A402" s="71">
        <f t="shared" si="4"/>
        <v>398</v>
      </c>
      <c r="B402" s="47" t="s">
        <v>534</v>
      </c>
      <c r="C402" s="72">
        <f>IFERROR(__xludf.DUMMYFUNCTION("iferror(divide(googlefinance($B402,""marketcap""),1000000),"""")"),223.319876)</f>
        <v>223.319876</v>
      </c>
      <c r="D402" s="72">
        <f>IFERROR(__xludf.DUMMYFUNCTION("iferror(divide(googlefinance($B402,""shares""),1000),"""")"),7253.0)</f>
        <v>7253</v>
      </c>
      <c r="E402" s="72">
        <f>IFERROR(__xludf.DUMMYFUNCTION("iferror(divide(googlefinance($B402,""volumeavg""),1000),"""")"),89.511)</f>
        <v>89.511</v>
      </c>
      <c r="F402" s="73">
        <f>IFERROR(__xludf.DUMMYFUNCTION("iferror(MINUS(divide(GOOGLEFINANCE($B402), INDEX(GOOGLEFINANCE($B402,""price"",today()-182),2,2)),1),"""")"),1.0581550802139037)</f>
        <v>1.05815508</v>
      </c>
      <c r="G402" s="61">
        <f>IFERROR(__xludf.DUMMYFUNCTION("iferror(MINUS(divide(GOOGLEFINANCE($B402), INDEX(GOOGLEFINANCE($B402,""price"",today()-364),2,2)),1),"""")"),1.029663810151615)</f>
        <v>1.02966381</v>
      </c>
    </row>
    <row r="403">
      <c r="A403" s="71">
        <f t="shared" si="4"/>
        <v>399</v>
      </c>
      <c r="B403" s="47" t="s">
        <v>535</v>
      </c>
      <c r="C403" s="72">
        <f>IFERROR(__xludf.DUMMYFUNCTION("iferror(divide(googlefinance($B403,""marketcap""),1000000),"""")"),1534.182505)</f>
        <v>1534.182505</v>
      </c>
      <c r="D403" s="72">
        <f>IFERROR(__xludf.DUMMYFUNCTION("iferror(divide(googlefinance($B403,""shares""),1000),"""")"),70505.0)</f>
        <v>70505</v>
      </c>
      <c r="E403" s="72">
        <f>IFERROR(__xludf.DUMMYFUNCTION("iferror(divide(googlefinance($B403,""volumeavg""),1000),"""")"),796.638)</f>
        <v>796.638</v>
      </c>
      <c r="F403" s="73">
        <f>IFERROR(__xludf.DUMMYFUNCTION("iferror(MINUS(divide(GOOGLEFINANCE($B403), INDEX(GOOGLEFINANCE($B403,""price"",today()-182),2,2)),1),"""")"),1.2785340314136127)</f>
        <v>1.278534031</v>
      </c>
      <c r="G403" s="61">
        <f>IFERROR(__xludf.DUMMYFUNCTION("iferror(MINUS(divide(GOOGLEFINANCE($B403), INDEX(GOOGLEFINANCE($B403,""price"",today()-364),2,2)),1),"""")"),0.673846153846154)</f>
        <v>0.6738461538</v>
      </c>
    </row>
    <row r="404">
      <c r="A404" s="71">
        <f t="shared" si="4"/>
        <v>400</v>
      </c>
      <c r="B404" s="47" t="s">
        <v>536</v>
      </c>
      <c r="C404" s="72">
        <f>IFERROR(__xludf.DUMMYFUNCTION("iferror(divide(googlefinance($B404,""marketcap""),1000000),"""")"),8910.203845)</f>
        <v>8910.203845</v>
      </c>
      <c r="D404" s="72">
        <f>IFERROR(__xludf.DUMMYFUNCTION("iferror(divide(googlefinance($B404,""shares""),1000),"""")"),160834.0)</f>
        <v>160834</v>
      </c>
      <c r="E404" s="72">
        <f>IFERROR(__xludf.DUMMYFUNCTION("iferror(divide(googlefinance($B404,""volumeavg""),1000),"""")"),4860.763)</f>
        <v>4860.763</v>
      </c>
      <c r="F404" s="73">
        <f>IFERROR(__xludf.DUMMYFUNCTION("iferror(MINUS(divide(GOOGLEFINANCE($B404), INDEX(GOOGLEFINANCE($B404,""price"",today()-182),2,2)),1),"""")"),5.2811791383219955)</f>
        <v>5.281179138</v>
      </c>
      <c r="G404" s="61">
        <f>IFERROR(__xludf.DUMMYFUNCTION("iferror(MINUS(divide(GOOGLEFINANCE($B404), INDEX(GOOGLEFINANCE($B404,""price"",today()-364),2,2)),1),"""")"),0.2830013895321908)</f>
        <v>0.2830013895</v>
      </c>
    </row>
    <row r="405">
      <c r="A405" s="71">
        <f t="shared" si="4"/>
        <v>401</v>
      </c>
      <c r="B405" s="47" t="s">
        <v>537</v>
      </c>
      <c r="C405" s="72">
        <f>IFERROR(__xludf.DUMMYFUNCTION("iferror(divide(googlefinance($B405,""marketcap""),1000000),"""")"),4022.366321)</f>
        <v>4022.366321</v>
      </c>
      <c r="D405" s="72">
        <f>IFERROR(__xludf.DUMMYFUNCTION("iferror(divide(googlefinance($B405,""shares""),1000),"""")"),134706.0)</f>
        <v>134706</v>
      </c>
      <c r="E405" s="72">
        <f>IFERROR(__xludf.DUMMYFUNCTION("iferror(divide(googlefinance($B405,""volumeavg""),1000),"""")"),901.38)</f>
        <v>901.38</v>
      </c>
      <c r="F405" s="73">
        <f>IFERROR(__xludf.DUMMYFUNCTION("iferror(MINUS(divide(GOOGLEFINANCE($B405), INDEX(GOOGLEFINANCE($B405,""price"",today()-182),2,2)),1),"""")"),0.4305669679539852)</f>
        <v>0.430566968</v>
      </c>
      <c r="G405" s="61">
        <f>IFERROR(__xludf.DUMMYFUNCTION("iferror(MINUS(divide(GOOGLEFINANCE($B405), INDEX(GOOGLEFINANCE($B405,""price"",today()-364),2,2)),1),"""")"),0.16924110141034254)</f>
        <v>0.1692411014</v>
      </c>
    </row>
    <row r="406">
      <c r="A406" s="71">
        <f t="shared" si="4"/>
        <v>402</v>
      </c>
      <c r="B406" s="47" t="s">
        <v>538</v>
      </c>
      <c r="C406" s="72">
        <f>IFERROR(__xludf.DUMMYFUNCTION("iferror(divide(googlefinance($B406,""marketcap""),1000000),"""")"),168.319346)</f>
        <v>168.319346</v>
      </c>
      <c r="D406" s="72">
        <f>IFERROR(__xludf.DUMMYFUNCTION("iferror(divide(googlefinance($B406,""shares""),1000),"""")"),24789.0)</f>
        <v>24789</v>
      </c>
      <c r="E406" s="72">
        <f>IFERROR(__xludf.DUMMYFUNCTION("iferror(divide(googlefinance($B406,""volumeavg""),1000),"""")"),192.003)</f>
        <v>192.003</v>
      </c>
      <c r="F406" s="73">
        <f>IFERROR(__xludf.DUMMYFUNCTION("iferror(MINUS(divide(GOOGLEFINANCE($B406), INDEX(GOOGLEFINANCE($B406,""price"",today()-182),2,2)),1),"""")"),1.442446043165468)</f>
        <v>1.442446043</v>
      </c>
      <c r="G406" s="61">
        <f>IFERROR(__xludf.DUMMYFUNCTION("iferror(MINUS(divide(GOOGLEFINANCE($B406), INDEX(GOOGLEFINANCE($B406,""price"",today()-364),2,2)),1),"""")"),-0.22399999999999998)</f>
        <v>-0.224</v>
      </c>
    </row>
    <row r="407">
      <c r="A407" s="71">
        <f t="shared" si="4"/>
        <v>403</v>
      </c>
      <c r="B407" s="52" t="s">
        <v>539</v>
      </c>
      <c r="C407" s="72">
        <f>IFERROR(__xludf.DUMMYFUNCTION("iferror(divide(googlefinance($B407,""marketcap""),1000000),"""")"),21661.623136)</f>
        <v>21661.62314</v>
      </c>
      <c r="D407" s="72">
        <f>IFERROR(__xludf.DUMMYFUNCTION("iferror(divide(googlefinance($B407,""shares""),1000),"""")"),637857.0)</f>
        <v>637857</v>
      </c>
      <c r="E407" s="72">
        <f>IFERROR(__xludf.DUMMYFUNCTION("iferror(divide(googlefinance($B407,""volumeavg""),1000),"""")"),22275.688)</f>
        <v>22275.688</v>
      </c>
      <c r="F407" s="73">
        <f>IFERROR(__xludf.DUMMYFUNCTION("iferror(MINUS(divide(GOOGLEFINANCE($B407), INDEX(GOOGLEFINANCE($B407,""price"",today()-182),2,2)),1),"""")"),0.5906323185011708)</f>
        <v>0.5906323185</v>
      </c>
      <c r="G407" s="61">
        <f>IFERROR(__xludf.DUMMYFUNCTION("iferror(MINUS(divide(GOOGLEFINANCE($B407), INDEX(GOOGLEFINANCE($B407,""price"",today()-364),2,2)),1),"""")"),-0.4207743476036159)</f>
        <v>-0.4207743476</v>
      </c>
    </row>
    <row r="408">
      <c r="A408" s="71">
        <f t="shared" si="4"/>
        <v>404</v>
      </c>
      <c r="B408" s="47" t="s">
        <v>540</v>
      </c>
      <c r="C408" s="72">
        <f>IFERROR(__xludf.DUMMYFUNCTION("iferror(divide(googlefinance($B408,""marketcap""),1000000),"""")"),5691.309441)</f>
        <v>5691.309441</v>
      </c>
      <c r="D408" s="72">
        <f>IFERROR(__xludf.DUMMYFUNCTION("iferror(divide(googlefinance($B408,""shares""),1000),"""")"),161961.0)</f>
        <v>161961</v>
      </c>
      <c r="E408" s="72">
        <f>IFERROR(__xludf.DUMMYFUNCTION("iferror(divide(googlefinance($B408,""volumeavg""),1000),"""")"),1363.249)</f>
        <v>1363.249</v>
      </c>
      <c r="F408" s="73">
        <f>IFERROR(__xludf.DUMMYFUNCTION("iferror(MINUS(divide(GOOGLEFINANCE($B408), INDEX(GOOGLEFINANCE($B408,""price"",today()-182),2,2)),1),"""")"),1.3164139749505606)</f>
        <v>1.316413975</v>
      </c>
      <c r="G408" s="61">
        <f>IFERROR(__xludf.DUMMYFUNCTION("iferror(MINUS(divide(GOOGLEFINANCE($B408), INDEX(GOOGLEFINANCE($B408,""price"",today()-364),2,2)),1),"""")"),0.7747474747474747)</f>
        <v>0.7747474747</v>
      </c>
    </row>
    <row r="409">
      <c r="A409" s="71">
        <f t="shared" si="4"/>
        <v>405</v>
      </c>
      <c r="B409" s="47" t="s">
        <v>541</v>
      </c>
      <c r="C409" s="72">
        <f>IFERROR(__xludf.DUMMYFUNCTION("iferror(divide(googlefinance($B409,""marketcap""),1000000),"""")"),191.850755)</f>
        <v>191.850755</v>
      </c>
      <c r="D409" s="72">
        <f>IFERROR(__xludf.DUMMYFUNCTION("iferror(divide(googlefinance($B409,""shares""),1000),"""")"),54927.0)</f>
        <v>54927</v>
      </c>
      <c r="E409" s="72">
        <f>IFERROR(__xludf.DUMMYFUNCTION("iferror(divide(googlefinance($B409,""volumeavg""),1000),"""")"),661.456)</f>
        <v>661.456</v>
      </c>
      <c r="F409" s="73">
        <f>IFERROR(__xludf.DUMMYFUNCTION("iferror(MINUS(divide(GOOGLEFINANCE($B409), INDEX(GOOGLEFINANCE($B409,""price"",today()-182),2,2)),1),"""")"),-0.467741935483871)</f>
        <v>-0.4677419355</v>
      </c>
      <c r="G409" s="61">
        <f>IFERROR(__xludf.DUMMYFUNCTION("iferror(MINUS(divide(GOOGLEFINANCE($B409), INDEX(GOOGLEFINANCE($B409,""price"",today()-364),2,2)),1),"""")"),-0.7906976744186047)</f>
        <v>-0.7906976744</v>
      </c>
    </row>
    <row r="410">
      <c r="A410" s="71">
        <f t="shared" si="4"/>
        <v>406</v>
      </c>
      <c r="B410" s="47" t="s">
        <v>542</v>
      </c>
      <c r="C410" s="72">
        <f>IFERROR(__xludf.DUMMYFUNCTION("iferror(divide(googlefinance($B410,""marketcap""),1000000),"""")"),421.172141)</f>
        <v>421.172141</v>
      </c>
      <c r="D410" s="72">
        <f>IFERROR(__xludf.DUMMYFUNCTION("iferror(divide(googlefinance($B410,""shares""),1000),"""")"),11683.0)</f>
        <v>11683</v>
      </c>
      <c r="E410" s="72">
        <f>IFERROR(__xludf.DUMMYFUNCTION("iferror(divide(googlefinance($B410,""volumeavg""),1000),"""")"),64.833)</f>
        <v>64.833</v>
      </c>
      <c r="F410" s="73">
        <f>IFERROR(__xludf.DUMMYFUNCTION("iferror(MINUS(divide(GOOGLEFINANCE($B410), INDEX(GOOGLEFINANCE($B410,""price"",today()-182),2,2)),1),"""")"),0.8844746471510716)</f>
        <v>0.8844746472</v>
      </c>
      <c r="G410" s="61">
        <f>IFERROR(__xludf.DUMMYFUNCTION("iferror(MINUS(divide(GOOGLEFINANCE($B410), INDEX(GOOGLEFINANCE($B410,""price"",today()-364),2,2)),1),"""")"),-0.1906151773686574)</f>
        <v>-0.1906151774</v>
      </c>
    </row>
    <row r="411">
      <c r="A411" s="71">
        <f t="shared" si="4"/>
        <v>407</v>
      </c>
      <c r="B411" s="47" t="s">
        <v>543</v>
      </c>
      <c r="C411" s="72">
        <f>IFERROR(__xludf.DUMMYFUNCTION("iferror(divide(googlefinance($B411,""marketcap""),1000000),"""")"),2963.738872)</f>
        <v>2963.738872</v>
      </c>
      <c r="D411" s="72">
        <f>IFERROR(__xludf.DUMMYFUNCTION("iferror(divide(googlefinance($B411,""shares""),1000),"""")"),56377.0)</f>
        <v>56377</v>
      </c>
      <c r="E411" s="72">
        <f>IFERROR(__xludf.DUMMYFUNCTION("iferror(divide(googlefinance($B411,""volumeavg""),1000),"""")"),325.753)</f>
        <v>325.753</v>
      </c>
      <c r="F411" s="73">
        <f>IFERROR(__xludf.DUMMYFUNCTION("iferror(MINUS(divide(GOOGLEFINANCE($B411), INDEX(GOOGLEFINANCE($B411,""price"",today()-182),2,2)),1),"""")"),0.414693218514532)</f>
        <v>0.4146932185</v>
      </c>
      <c r="G411" s="61">
        <f>IFERROR(__xludf.DUMMYFUNCTION("iferror(MINUS(divide(GOOGLEFINANCE($B411), INDEX(GOOGLEFINANCE($B411,""price"",today()-364),2,2)),1),"""")"),0.43909115795236797)</f>
        <v>0.439091158</v>
      </c>
    </row>
    <row r="412">
      <c r="A412" s="71">
        <f t="shared" si="4"/>
        <v>408</v>
      </c>
      <c r="B412" s="47" t="s">
        <v>544</v>
      </c>
      <c r="C412" s="72" t="str">
        <f>IFERROR(__xludf.DUMMYFUNCTION("iferror(divide(googlefinance($B412,""marketcap""),1000000),"""")"),"")</f>
        <v/>
      </c>
      <c r="D412" s="72" t="str">
        <f>IFERROR(__xludf.DUMMYFUNCTION("iferror(divide(googlefinance($B412,""shares""),1000),"""")"),"")</f>
        <v/>
      </c>
      <c r="E412" s="72" t="str">
        <f>IFERROR(__xludf.DUMMYFUNCTION("iferror(divide(googlefinance($B412,""volumeavg""),1000),"""")"),"")</f>
        <v/>
      </c>
      <c r="F412" s="73" t="str">
        <f>IFERROR(__xludf.DUMMYFUNCTION("iferror(MINUS(divide(GOOGLEFINANCE($B412), INDEX(GOOGLEFINANCE($B412,""price"",today()-182),2,2)),1),"""")"),"")</f>
        <v/>
      </c>
      <c r="G412" s="61" t="str">
        <f>IFERROR(__xludf.DUMMYFUNCTION("iferror(MINUS(divide(GOOGLEFINANCE($B412), INDEX(GOOGLEFINANCE($B412,""price"",today()-364),2,2)),1),"""")"),"")</f>
        <v/>
      </c>
    </row>
    <row r="413">
      <c r="A413" s="71">
        <f t="shared" si="4"/>
        <v>409</v>
      </c>
      <c r="B413" s="47" t="s">
        <v>545</v>
      </c>
      <c r="C413" s="72">
        <f>IFERROR(__xludf.DUMMYFUNCTION("iferror(divide(googlefinance($B413,""marketcap""),1000000),"""")"),779.173748)</f>
        <v>779.173748</v>
      </c>
      <c r="D413" s="72">
        <f>IFERROR(__xludf.DUMMYFUNCTION("iferror(divide(googlefinance($B413,""shares""),1000),"""")"),18367.0)</f>
        <v>18367</v>
      </c>
      <c r="E413" s="72">
        <f>IFERROR(__xludf.DUMMYFUNCTION("iferror(divide(googlefinance($B413,""volumeavg""),1000),"""")"),596.619)</f>
        <v>596.619</v>
      </c>
      <c r="F413" s="73">
        <f>IFERROR(__xludf.DUMMYFUNCTION("iferror(MINUS(divide(GOOGLEFINANCE($B413), INDEX(GOOGLEFINANCE($B413,""price"",today()-182),2,2)),1),"""")"),-0.16937022900763365)</f>
        <v>-0.169370229</v>
      </c>
      <c r="G413" s="61">
        <f>IFERROR(__xludf.DUMMYFUNCTION("iferror(MINUS(divide(GOOGLEFINANCE($B413), INDEX(GOOGLEFINANCE($B413,""price"",today()-364),2,2)),1),"""")"),-0.4204394141145139)</f>
        <v>-0.4204394141</v>
      </c>
    </row>
    <row r="414">
      <c r="A414" s="71">
        <f t="shared" si="4"/>
        <v>410</v>
      </c>
      <c r="B414" s="47" t="s">
        <v>546</v>
      </c>
      <c r="C414" s="72">
        <f>IFERROR(__xludf.DUMMYFUNCTION("iferror(divide(googlefinance($B414,""marketcap""),1000000),"""")"),68923.698265)</f>
        <v>68923.69827</v>
      </c>
      <c r="D414" s="72">
        <f>IFERROR(__xludf.DUMMYFUNCTION("iferror(divide(googlefinance($B414,""shares""),1000),"""")"),313375.0)</f>
        <v>313375</v>
      </c>
      <c r="E414" s="72">
        <f>IFERROR(__xludf.DUMMYFUNCTION("iferror(divide(googlefinance($B414,""volumeavg""),1000),"""")"),1864.798)</f>
        <v>1864.798</v>
      </c>
      <c r="F414" s="73">
        <f>IFERROR(__xludf.DUMMYFUNCTION("iferror(MINUS(divide(GOOGLEFINANCE($B414), INDEX(GOOGLEFINANCE($B414,""price"",today()-182),2,2)),1),"""")"),0.9702588909791274)</f>
        <v>0.970258891</v>
      </c>
      <c r="G414" s="61">
        <f>IFERROR(__xludf.DUMMYFUNCTION("iferror(MINUS(divide(GOOGLEFINANCE($B414), INDEX(GOOGLEFINANCE($B414,""price"",today()-364),2,2)),1),"""")"),0.3405253855061865)</f>
        <v>0.3405253855</v>
      </c>
    </row>
    <row r="415">
      <c r="A415" s="71">
        <f t="shared" si="4"/>
        <v>411</v>
      </c>
      <c r="B415" s="47" t="s">
        <v>547</v>
      </c>
      <c r="C415" s="72">
        <f>IFERROR(__xludf.DUMMYFUNCTION("iferror(divide(googlefinance($B415,""marketcap""),1000000),"""")"),5977.794646)</f>
        <v>5977.794646</v>
      </c>
      <c r="D415" s="72">
        <f>IFERROR(__xludf.DUMMYFUNCTION("iferror(divide(googlefinance($B415,""shares""),1000),"""")"),28021.0)</f>
        <v>28021</v>
      </c>
      <c r="E415" s="72">
        <f>IFERROR(__xludf.DUMMYFUNCTION("iferror(divide(googlefinance($B415,""volumeavg""),1000),"""")"),300.394)</f>
        <v>300.394</v>
      </c>
      <c r="F415" s="73">
        <f>IFERROR(__xludf.DUMMYFUNCTION("iferror(MINUS(divide(GOOGLEFINANCE($B415), INDEX(GOOGLEFINANCE($B415,""price"",today()-182),2,2)),1),"""")"),1.0532242540904715)</f>
        <v>1.053224254</v>
      </c>
      <c r="G415" s="61">
        <f>IFERROR(__xludf.DUMMYFUNCTION("iferror(MINUS(divide(GOOGLEFINANCE($B415), INDEX(GOOGLEFINANCE($B415,""price"",today()-364),2,2)),1),"""")"),0.565724770642202)</f>
        <v>0.5657247706</v>
      </c>
    </row>
    <row r="416">
      <c r="A416" s="71">
        <f t="shared" si="4"/>
        <v>412</v>
      </c>
      <c r="B416" s="47" t="s">
        <v>548</v>
      </c>
      <c r="C416" s="72">
        <f>IFERROR(__xludf.DUMMYFUNCTION("iferror(divide(googlefinance($B416,""marketcap""),1000000),"""")"),18.62903)</f>
        <v>18.62903</v>
      </c>
      <c r="D416" s="72">
        <f>IFERROR(__xludf.DUMMYFUNCTION("iferror(divide(googlefinance($B416,""shares""),1000),"""")"),1405964.855)</f>
        <v>1405964.855</v>
      </c>
      <c r="E416" s="72">
        <f>IFERROR(__xludf.DUMMYFUNCTION("iferror(divide(googlefinance($B416,""volumeavg""),1000),"""")"),8765.51)</f>
        <v>8765.51</v>
      </c>
      <c r="F416" s="73">
        <f>IFERROR(__xludf.DUMMYFUNCTION("iferror(MINUS(divide(GOOGLEFINANCE($B416), INDEX(GOOGLEFINANCE($B416,""price"",today()-182),2,2)),1),"""")"),0.9841269841269842)</f>
        <v>0.9841269841</v>
      </c>
      <c r="G416" s="61">
        <f>IFERROR(__xludf.DUMMYFUNCTION("iferror(MINUS(divide(GOOGLEFINANCE($B416), INDEX(GOOGLEFINANCE($B416,""price"",today()-364),2,2)),1),"""")"),-0.24242424242424243)</f>
        <v>-0.2424242424</v>
      </c>
    </row>
    <row r="417">
      <c r="A417" s="71">
        <f t="shared" si="4"/>
        <v>413</v>
      </c>
      <c r="B417" s="47" t="s">
        <v>549</v>
      </c>
      <c r="C417" s="72">
        <f>IFERROR(__xludf.DUMMYFUNCTION("iferror(divide(googlefinance($B417,""marketcap""),1000000),"""")"),705.895715)</f>
        <v>705.895715</v>
      </c>
      <c r="D417" s="72">
        <f>IFERROR(__xludf.DUMMYFUNCTION("iferror(divide(googlefinance($B417,""shares""),1000),"""")"),63709.0)</f>
        <v>63709</v>
      </c>
      <c r="E417" s="72">
        <f>IFERROR(__xludf.DUMMYFUNCTION("iferror(divide(googlefinance($B417,""volumeavg""),1000),"""")"),1460.938)</f>
        <v>1460.938</v>
      </c>
      <c r="F417" s="73">
        <f>IFERROR(__xludf.DUMMYFUNCTION("iferror(MINUS(divide(GOOGLEFINANCE($B417), INDEX(GOOGLEFINANCE($B417,""price"",today()-182),2,2)),1),"""")"),1.0255941499085925)</f>
        <v>1.02559415</v>
      </c>
      <c r="G417" s="61">
        <f>IFERROR(__xludf.DUMMYFUNCTION("iferror(MINUS(divide(GOOGLEFINANCE($B417), INDEX(GOOGLEFINANCE($B417,""price"",today()-364),2,2)),1),"""")"),-0.5238504512247528)</f>
        <v>-0.5238504512</v>
      </c>
    </row>
    <row r="418">
      <c r="A418" s="71">
        <f t="shared" si="4"/>
        <v>414</v>
      </c>
      <c r="B418" s="47" t="s">
        <v>550</v>
      </c>
      <c r="C418" s="72">
        <f>IFERROR(__xludf.DUMMYFUNCTION("iferror(divide(googlefinance($B418,""marketcap""),1000000),"""")"),316896.24782)</f>
        <v>316896.2478</v>
      </c>
      <c r="D418" s="72">
        <f>IFERROR(__xludf.DUMMYFUNCTION("iferror(divide(googlefinance($B418,""shares""),1000),"""")"),2337510.0)</f>
        <v>2337510</v>
      </c>
      <c r="E418" s="72">
        <f>IFERROR(__xludf.DUMMYFUNCTION("iferror(divide(googlefinance($B418,""volumeavg""),1000),"""")"),512.464)</f>
        <v>512.464</v>
      </c>
      <c r="F418" s="73">
        <f>IFERROR(__xludf.DUMMYFUNCTION("iferror(MINUS(divide(GOOGLEFINANCE($B418), INDEX(GOOGLEFINANCE($B418,""price"",today()-182),2,2)),1),"""")"),0.23740416210295723)</f>
        <v>0.2374041621</v>
      </c>
      <c r="G418" s="61">
        <f>IFERROR(__xludf.DUMMYFUNCTION("iferror(MINUS(divide(GOOGLEFINANCE($B418), INDEX(GOOGLEFINANCE($B418,""price"",today()-364),2,2)),1),"""")"),-0.16008921380335794)</f>
        <v>-0.1600892138</v>
      </c>
    </row>
    <row r="419">
      <c r="A419" s="71">
        <f t="shared" si="4"/>
        <v>415</v>
      </c>
      <c r="B419" s="47" t="s">
        <v>551</v>
      </c>
      <c r="C419" s="72">
        <f>IFERROR(__xludf.DUMMYFUNCTION("iferror(divide(googlefinance($B419,""marketcap""),1000000),"""")"),27.635072)</f>
        <v>27.635072</v>
      </c>
      <c r="D419" s="72">
        <f>IFERROR(__xludf.DUMMYFUNCTION("iferror(divide(googlefinance($B419,""shares""),1000),"""")"),43865.195)</f>
        <v>43865.195</v>
      </c>
      <c r="E419" s="72">
        <f>IFERROR(__xludf.DUMMYFUNCTION("iferror(divide(googlefinance($B419,""volumeavg""),1000),"""")"),90.343)</f>
        <v>90.343</v>
      </c>
      <c r="F419" s="73">
        <f>IFERROR(__xludf.DUMMYFUNCTION("iferror(MINUS(divide(GOOGLEFINANCE($B419), INDEX(GOOGLEFINANCE($B419,""price"",today()-182),2,2)),1),"""")"),0.8805970149253732)</f>
        <v>0.8805970149</v>
      </c>
      <c r="G419" s="61">
        <f>IFERROR(__xludf.DUMMYFUNCTION("iferror(MINUS(divide(GOOGLEFINANCE($B419), INDEX(GOOGLEFINANCE($B419,""price"",today()-364),2,2)),1),"""")"),0.5555555555555556)</f>
        <v>0.5555555556</v>
      </c>
    </row>
    <row r="420">
      <c r="A420" s="71">
        <f t="shared" si="4"/>
        <v>416</v>
      </c>
      <c r="B420" s="47" t="s">
        <v>552</v>
      </c>
      <c r="C420" s="72">
        <f>IFERROR(__xludf.DUMMYFUNCTION("iferror(divide(googlefinance($B420,""marketcap""),1000000),"""")"),50678.419)</f>
        <v>50678.419</v>
      </c>
      <c r="D420" s="72">
        <f>IFERROR(__xludf.DUMMYFUNCTION("iferror(divide(googlefinance($B420,""shares""),1000),"""")"),249034.0)</f>
        <v>249034</v>
      </c>
      <c r="E420" s="72">
        <f>IFERROR(__xludf.DUMMYFUNCTION("iferror(divide(googlefinance($B420,""volumeavg""),1000),"""")"),1943.359)</f>
        <v>1943.359</v>
      </c>
      <c r="F420" s="73">
        <f>IFERROR(__xludf.DUMMYFUNCTION("iferror(MINUS(divide(GOOGLEFINANCE($B420), INDEX(GOOGLEFINANCE($B420,""price"",today()-182),2,2)),1),"""")"),0.4522229358452865)</f>
        <v>0.4522229358</v>
      </c>
      <c r="G420" s="61">
        <f>IFERROR(__xludf.DUMMYFUNCTION("iferror(MINUS(divide(GOOGLEFINANCE($B420), INDEX(GOOGLEFINANCE($B420,""price"",today()-364),2,2)),1),"""")"),0.30256672854125344)</f>
        <v>0.3025667285</v>
      </c>
    </row>
    <row r="421">
      <c r="A421" s="71">
        <f t="shared" si="4"/>
        <v>417</v>
      </c>
      <c r="B421" s="47" t="s">
        <v>553</v>
      </c>
      <c r="C421" s="72">
        <f>IFERROR(__xludf.DUMMYFUNCTION("iferror(divide(googlefinance($B421,""marketcap""),1000000),"""")"),15121.129242)</f>
        <v>15121.12924</v>
      </c>
      <c r="D421" s="72">
        <f>IFERROR(__xludf.DUMMYFUNCTION("iferror(divide(googlefinance($B421,""shares""),1000),"""")"),134303.0)</f>
        <v>134303</v>
      </c>
      <c r="E421" s="72">
        <f>IFERROR(__xludf.DUMMYFUNCTION("iferror(divide(googlefinance($B421,""volumeavg""),1000),"""")"),1470.463)</f>
        <v>1470.463</v>
      </c>
      <c r="F421" s="73">
        <f>IFERROR(__xludf.DUMMYFUNCTION("iferror(MINUS(divide(GOOGLEFINANCE($B421), INDEX(GOOGLEFINANCE($B421,""price"",today()-182),2,2)),1),"""")"),0.49641148325358864)</f>
        <v>0.4964114833</v>
      </c>
      <c r="G421" s="61">
        <f>IFERROR(__xludf.DUMMYFUNCTION("iferror(MINUS(divide(GOOGLEFINANCE($B421), INDEX(GOOGLEFINANCE($B421,""price"",today()-364),2,2)),1),"""")"),0.04812884006702656)</f>
        <v>0.04812884007</v>
      </c>
    </row>
    <row r="422">
      <c r="A422" s="71">
        <f t="shared" si="4"/>
        <v>418</v>
      </c>
      <c r="B422" s="47" t="s">
        <v>554</v>
      </c>
      <c r="C422" s="72">
        <f>IFERROR(__xludf.DUMMYFUNCTION("iferror(divide(googlefinance($B422,""marketcap""),1000000),"""")"),26666.703849)</f>
        <v>26666.70385</v>
      </c>
      <c r="D422" s="72">
        <f>IFERROR(__xludf.DUMMYFUNCTION("iferror(divide(googlefinance($B422,""shares""),1000),"""")"),363703.0)</f>
        <v>363703</v>
      </c>
      <c r="E422" s="72">
        <f>IFERROR(__xludf.DUMMYFUNCTION("iferror(divide(googlefinance($B422,""volumeavg""),1000),"""")"),3433.252)</f>
        <v>3433.252</v>
      </c>
      <c r="F422" s="73">
        <f>IFERROR(__xludf.DUMMYFUNCTION("iferror(MINUS(divide(GOOGLEFINANCE($B422), INDEX(GOOGLEFINANCE($B422,""price"",today()-182),2,2)),1),"""")"),1.3365200764818352)</f>
        <v>1.336520076</v>
      </c>
      <c r="G422" s="61">
        <f>IFERROR(__xludf.DUMMYFUNCTION("iferror(MINUS(divide(GOOGLEFINANCE($B422), INDEX(GOOGLEFINANCE($B422,""price"",today()-364),2,2)),1),"""")"),0.42148119426134145)</f>
        <v>0.4214811943</v>
      </c>
    </row>
    <row r="423">
      <c r="A423" s="71">
        <f t="shared" si="4"/>
        <v>419</v>
      </c>
      <c r="B423" s="47" t="s">
        <v>555</v>
      </c>
      <c r="C423" s="72">
        <f>IFERROR(__xludf.DUMMYFUNCTION("iferror(divide(googlefinance($B423,""marketcap""),1000000),"""")"),146954.02859)</f>
        <v>146954.0286</v>
      </c>
      <c r="D423" s="72">
        <f>IFERROR(__xludf.DUMMYFUNCTION("iferror(divide(googlefinance($B423,""shares""),1000),"""")"),709409.0)</f>
        <v>709409</v>
      </c>
      <c r="E423" s="72">
        <f>IFERROR(__xludf.DUMMYFUNCTION("iferror(divide(googlefinance($B423,""volumeavg""),1000),"""")"),1828.5)</f>
        <v>1828.5</v>
      </c>
      <c r="F423" s="73">
        <f>IFERROR(__xludf.DUMMYFUNCTION("iferror(MINUS(divide(GOOGLEFINANCE($B423), INDEX(GOOGLEFINANCE($B423,""price"",today()-182),2,2)),1),"""")"),0.6731281802762297)</f>
        <v>0.6731281803</v>
      </c>
      <c r="G423" s="61">
        <f>IFERROR(__xludf.DUMMYFUNCTION("iferror(MINUS(divide(GOOGLEFINANCE($B423), INDEX(GOOGLEFINANCE($B423,""price"",today()-364),2,2)),1),"""")"),0.4142827882842903)</f>
        <v>0.4142827883</v>
      </c>
    </row>
    <row r="424">
      <c r="A424" s="71">
        <f t="shared" si="4"/>
        <v>420</v>
      </c>
      <c r="B424" s="47" t="s">
        <v>556</v>
      </c>
      <c r="C424" s="72">
        <f>IFERROR(__xludf.DUMMYFUNCTION("iferror(divide(googlefinance($B424,""marketcap""),1000000),"""")"),975.256586)</f>
        <v>975.256586</v>
      </c>
      <c r="D424" s="72">
        <f>IFERROR(__xludf.DUMMYFUNCTION("iferror(divide(googlefinance($B424,""shares""),1000),"""")"),170798.0)</f>
        <v>170798</v>
      </c>
      <c r="E424" s="72">
        <f>IFERROR(__xludf.DUMMYFUNCTION("iferror(divide(googlefinance($B424,""volumeavg""),1000),"""")"),3707.384)</f>
        <v>3707.384</v>
      </c>
      <c r="F424" s="73">
        <f>IFERROR(__xludf.DUMMYFUNCTION("iferror(MINUS(divide(GOOGLEFINANCE($B424), INDEX(GOOGLEFINANCE($B424,""price"",today()-182),2,2)),1),"""")"),0.032549728752260254)</f>
        <v>0.03254972875</v>
      </c>
      <c r="G424" s="61">
        <f>IFERROR(__xludf.DUMMYFUNCTION("iferror(MINUS(divide(GOOGLEFINANCE($B424), INDEX(GOOGLEFINANCE($B424,""price"",today()-364),2,2)),1),"""")"),-0.04991680532445919)</f>
        <v>-0.04991680532</v>
      </c>
    </row>
    <row r="425">
      <c r="A425" s="71">
        <f t="shared" si="4"/>
        <v>421</v>
      </c>
      <c r="B425" s="47" t="s">
        <v>557</v>
      </c>
      <c r="C425" s="72">
        <f>IFERROR(__xludf.DUMMYFUNCTION("iferror(divide(googlefinance($B425,""marketcap""),1000000),"""")"),958.54474)</f>
        <v>958.54474</v>
      </c>
      <c r="D425" s="72">
        <f>IFERROR(__xludf.DUMMYFUNCTION("iferror(divide(googlefinance($B425,""shares""),1000),"""")"),16419.0)</f>
        <v>16419</v>
      </c>
      <c r="E425" s="72">
        <f>IFERROR(__xludf.DUMMYFUNCTION("iferror(divide(googlefinance($B425,""volumeavg""),1000),"""")"),561.573)</f>
        <v>561.573</v>
      </c>
      <c r="F425" s="73">
        <f>IFERROR(__xludf.DUMMYFUNCTION("iferror(MINUS(divide(GOOGLEFINANCE($B425), INDEX(GOOGLEFINANCE($B425,""price"",today()-182),2,2)),1),"""")"),2.353245261344055)</f>
        <v>2.353245261</v>
      </c>
      <c r="G425" s="61">
        <f>IFERROR(__xludf.DUMMYFUNCTION("iferror(MINUS(divide(GOOGLEFINANCE($B425), INDEX(GOOGLEFINANCE($B425,""price"",today()-364),2,2)),1),"""")"),-0.18406708595387833)</f>
        <v>-0.184067086</v>
      </c>
    </row>
    <row r="426">
      <c r="A426" s="71">
        <f t="shared" si="4"/>
        <v>422</v>
      </c>
      <c r="B426" s="47" t="s">
        <v>558</v>
      </c>
      <c r="C426" s="72">
        <f>IFERROR(__xludf.DUMMYFUNCTION("iferror(divide(googlefinance($B426,""marketcap""),1000000),"""")"),2559.933058)</f>
        <v>2559.933058</v>
      </c>
      <c r="D426" s="72">
        <f>IFERROR(__xludf.DUMMYFUNCTION("iferror(divide(googlefinance($B426,""shares""),1000),"""")"),51831.0)</f>
        <v>51831</v>
      </c>
      <c r="E426" s="72">
        <f>IFERROR(__xludf.DUMMYFUNCTION("iferror(divide(googlefinance($B426,""volumeavg""),1000),"""")"),272.296)</f>
        <v>272.296</v>
      </c>
      <c r="F426" s="73">
        <f>IFERROR(__xludf.DUMMYFUNCTION("iferror(MINUS(divide(GOOGLEFINANCE($B426), INDEX(GOOGLEFINANCE($B426,""price"",today()-182),2,2)),1),"""")"),0.49124396135265713)</f>
        <v>0.4912439614</v>
      </c>
      <c r="G426" s="61">
        <f>IFERROR(__xludf.DUMMYFUNCTION("iferror(MINUS(divide(GOOGLEFINANCE($B426), INDEX(GOOGLEFINANCE($B426,""price"",today()-364),2,2)),1),"""")"),0.23908680381334668)</f>
        <v>0.2390868038</v>
      </c>
    </row>
    <row r="427">
      <c r="A427" s="71">
        <f t="shared" si="4"/>
        <v>423</v>
      </c>
      <c r="B427" s="47" t="s">
        <v>559</v>
      </c>
      <c r="C427" s="72">
        <f>IFERROR(__xludf.DUMMYFUNCTION("iferror(divide(googlefinance($B427,""marketcap""),1000000),"""")"),235315.746065)</f>
        <v>235315.7461</v>
      </c>
      <c r="D427" s="72">
        <f>IFERROR(__xludf.DUMMYFUNCTION("iferror(divide(googlefinance($B427,""shares""),1000),"""")"),1807063.0)</f>
        <v>1807063</v>
      </c>
      <c r="E427" s="72">
        <f>IFERROR(__xludf.DUMMYFUNCTION("iferror(divide(googlefinance($B427,""volumeavg""),1000),"""")"),11334.467)</f>
        <v>11334.467</v>
      </c>
      <c r="F427" s="73">
        <f>IFERROR(__xludf.DUMMYFUNCTION("iferror(MINUS(divide(GOOGLEFINANCE($B427), INDEX(GOOGLEFINANCE($B427,""price"",today()-182),2,2)),1),"""")"),0.5145382647127239)</f>
        <v>0.5145382647</v>
      </c>
      <c r="G427" s="61">
        <f>IFERROR(__xludf.DUMMYFUNCTION("iferror(MINUS(divide(GOOGLEFINANCE($B427), INDEX(GOOGLEFINANCE($B427,""price"",today()-364),2,2)),1),"""")"),-0.015498601345732332)</f>
        <v>-0.01549860135</v>
      </c>
    </row>
    <row r="428">
      <c r="A428" s="71">
        <f t="shared" si="4"/>
        <v>424</v>
      </c>
      <c r="B428" s="47" t="s">
        <v>560</v>
      </c>
      <c r="C428" s="72">
        <f>IFERROR(__xludf.DUMMYFUNCTION("iferror(divide(googlefinance($B428,""marketcap""),1000000),"""")"),5217.520413)</f>
        <v>5217.520413</v>
      </c>
      <c r="D428" s="72">
        <f>IFERROR(__xludf.DUMMYFUNCTION("iferror(divide(googlefinance($B428,""shares""),1000),"""")"),65147.0)</f>
        <v>65147</v>
      </c>
      <c r="E428" s="72">
        <f>IFERROR(__xludf.DUMMYFUNCTION("iferror(divide(googlefinance($B428,""volumeavg""),1000),"""")"),2991.483)</f>
        <v>2991.483</v>
      </c>
      <c r="F428" s="73">
        <f>IFERROR(__xludf.DUMMYFUNCTION("iferror(MINUS(divide(GOOGLEFINANCE($B428), INDEX(GOOGLEFINANCE($B428,""price"",today()-182),2,2)),1),"""")"),2.4830458060678167)</f>
        <v>2.483045806</v>
      </c>
      <c r="G428" s="61">
        <f>IFERROR(__xludf.DUMMYFUNCTION("iferror(MINUS(divide(GOOGLEFINANCE($B428), INDEX(GOOGLEFINANCE($B428,""price"",today()-364),2,2)),1),"""")"),0.5485321343559904)</f>
        <v>0.5485321344</v>
      </c>
    </row>
    <row r="429">
      <c r="A429" s="71">
        <f t="shared" si="4"/>
        <v>425</v>
      </c>
      <c r="B429" s="47" t="s">
        <v>561</v>
      </c>
      <c r="C429" s="72">
        <f>IFERROR(__xludf.DUMMYFUNCTION("iferror(divide(googlefinance($B429,""marketcap""),1000000),"""")"),133.139729)</f>
        <v>133.139729</v>
      </c>
      <c r="D429" s="72">
        <f>IFERROR(__xludf.DUMMYFUNCTION("iferror(divide(googlefinance($B429,""shares""),1000),"""")"),35613.0)</f>
        <v>35613</v>
      </c>
      <c r="E429" s="72">
        <f>IFERROR(__xludf.DUMMYFUNCTION("iferror(divide(googlefinance($B429,""volumeavg""),1000),"""")"),130.717)</f>
        <v>130.717</v>
      </c>
      <c r="F429" s="73">
        <f>IFERROR(__xludf.DUMMYFUNCTION("iferror(MINUS(divide(GOOGLEFINANCE($B429), INDEX(GOOGLEFINANCE($B429,""price"",today()-182),2,2)),1),"""")"),1.3008849557522129)</f>
        <v>1.300884956</v>
      </c>
      <c r="G429" s="61">
        <f>IFERROR(__xludf.DUMMYFUNCTION("iferror(MINUS(divide(GOOGLEFINANCE($B429), INDEX(GOOGLEFINANCE($B429,""price"",today()-364),2,2)),1),"""")"),0.7931034482758621)</f>
        <v>0.7931034483</v>
      </c>
    </row>
    <row r="430">
      <c r="A430" s="71">
        <f t="shared" si="4"/>
        <v>426</v>
      </c>
      <c r="B430" s="47" t="s">
        <v>562</v>
      </c>
      <c r="C430" s="72">
        <f>IFERROR(__xludf.DUMMYFUNCTION("iferror(divide(googlefinance($B430,""marketcap""),1000000),"""")"),425.303655)</f>
        <v>425.303655</v>
      </c>
      <c r="D430" s="72">
        <f>IFERROR(__xludf.DUMMYFUNCTION("iferror(divide(googlefinance($B430,""shares""),1000),"""")"),29452.0)</f>
        <v>29452</v>
      </c>
      <c r="E430" s="72">
        <f>IFERROR(__xludf.DUMMYFUNCTION("iferror(divide(googlefinance($B430,""volumeavg""),1000),"""")"),357.279)</f>
        <v>357.279</v>
      </c>
      <c r="F430" s="73">
        <f>IFERROR(__xludf.DUMMYFUNCTION("iferror(MINUS(divide(GOOGLEFINANCE($B430), INDEX(GOOGLEFINANCE($B430,""price"",today()-182),2,2)),1),"""")"),1.694386694386695)</f>
        <v>1.694386694</v>
      </c>
      <c r="G430" s="61">
        <f>IFERROR(__xludf.DUMMYFUNCTION("iferror(MINUS(divide(GOOGLEFINANCE($B430), INDEX(GOOGLEFINANCE($B430,""price"",today()-364),2,2)),1),"""")"),0.4071661237785016)</f>
        <v>0.4071661238</v>
      </c>
    </row>
    <row r="431">
      <c r="A431" s="71">
        <f t="shared" si="4"/>
        <v>427</v>
      </c>
      <c r="B431" s="47" t="s">
        <v>563</v>
      </c>
      <c r="C431" s="72">
        <f>IFERROR(__xludf.DUMMYFUNCTION("iferror(divide(googlefinance($B431,""marketcap""),1000000),"""")"),21011.250537)</f>
        <v>21011.25054</v>
      </c>
      <c r="D431" s="72">
        <f>IFERROR(__xludf.DUMMYFUNCTION("iferror(divide(googlefinance($B431,""shares""),1000),"""")"),237308.0)</f>
        <v>237308</v>
      </c>
      <c r="E431" s="72">
        <f>IFERROR(__xludf.DUMMYFUNCTION("iferror(divide(googlefinance($B431,""volumeavg""),1000),"""")"),2264.754)</f>
        <v>2264.754</v>
      </c>
      <c r="F431" s="73">
        <f>IFERROR(__xludf.DUMMYFUNCTION("iferror(MINUS(divide(GOOGLEFINANCE($B431), INDEX(GOOGLEFINANCE($B431,""price"",today()-182),2,2)),1),"""")"),0.16546005001974473)</f>
        <v>0.16546005</v>
      </c>
      <c r="G431" s="61">
        <f>IFERROR(__xludf.DUMMYFUNCTION("iferror(MINUS(divide(GOOGLEFINANCE($B431), INDEX(GOOGLEFINANCE($B431,""price"",today()-364),2,2)),1),"""")"),-0.2028450526694876)</f>
        <v>-0.2028450527</v>
      </c>
    </row>
    <row r="432">
      <c r="A432" s="71">
        <f t="shared" si="4"/>
        <v>428</v>
      </c>
      <c r="B432" s="47" t="s">
        <v>564</v>
      </c>
      <c r="C432" s="72">
        <f>IFERROR(__xludf.DUMMYFUNCTION("iferror(divide(googlefinance($B432,""marketcap""),1000000),"""")"),6332.62988)</f>
        <v>6332.62988</v>
      </c>
      <c r="D432" s="72">
        <f>IFERROR(__xludf.DUMMYFUNCTION("iferror(divide(googlefinance($B432,""shares""),1000),"""")"),82274.0)</f>
        <v>82274</v>
      </c>
      <c r="E432" s="72">
        <f>IFERROR(__xludf.DUMMYFUNCTION("iferror(divide(googlefinance($B432,""volumeavg""),1000),"""")"),743.707)</f>
        <v>743.707</v>
      </c>
      <c r="F432" s="73">
        <f>IFERROR(__xludf.DUMMYFUNCTION("iferror(MINUS(divide(GOOGLEFINANCE($B432), INDEX(GOOGLEFINANCE($B432,""price"",today()-182),2,2)),1),"""")"),0.9397681451612903)</f>
        <v>0.9397681452</v>
      </c>
      <c r="G432" s="61">
        <f>IFERROR(__xludf.DUMMYFUNCTION("iferror(MINUS(divide(GOOGLEFINANCE($B432), INDEX(GOOGLEFINANCE($B432,""price"",today()-364),2,2)),1),"""")"),-0.04869608206649356)</f>
        <v>-0.04869608207</v>
      </c>
    </row>
    <row r="433">
      <c r="A433" s="71">
        <f t="shared" si="4"/>
        <v>429</v>
      </c>
      <c r="B433" s="47" t="s">
        <v>565</v>
      </c>
      <c r="C433" s="72">
        <f>IFERROR(__xludf.DUMMYFUNCTION("iferror(divide(googlefinance($B433,""marketcap""),1000000),"""")"),4116.379736)</f>
        <v>4116.379736</v>
      </c>
      <c r="D433" s="72">
        <f>IFERROR(__xludf.DUMMYFUNCTION("iferror(divide(googlefinance($B433,""shares""),1000),"""")"),105983.0)</f>
        <v>105983</v>
      </c>
      <c r="E433" s="72">
        <f>IFERROR(__xludf.DUMMYFUNCTION("iferror(divide(googlefinance($B433,""volumeavg""),1000),"""")"),920.01)</f>
        <v>920.01</v>
      </c>
      <c r="F433" s="73">
        <f>IFERROR(__xludf.DUMMYFUNCTION("iferror(MINUS(divide(GOOGLEFINANCE($B433), INDEX(GOOGLEFINANCE($B433,""price"",today()-182),2,2)),1),"""")"),1.279342723004695)</f>
        <v>1.279342723</v>
      </c>
      <c r="G433" s="61">
        <f>IFERROR(__xludf.DUMMYFUNCTION("iferror(MINUS(divide(GOOGLEFINANCE($B433), INDEX(GOOGLEFINANCE($B433,""price"",today()-364),2,2)),1),"""")"),1.1458563535911601)</f>
        <v>1.145856354</v>
      </c>
    </row>
    <row r="434">
      <c r="A434" s="71">
        <f t="shared" si="4"/>
        <v>430</v>
      </c>
      <c r="B434" s="47" t="s">
        <v>566</v>
      </c>
      <c r="C434" s="72">
        <f>IFERROR(__xludf.DUMMYFUNCTION("iferror(divide(googlefinance($B434,""marketcap""),1000000),"""")"),282.539521)</f>
        <v>282.539521</v>
      </c>
      <c r="D434" s="72">
        <f>IFERROR(__xludf.DUMMYFUNCTION("iferror(divide(googlefinance($B434,""shares""),1000),"""")"),626057.0)</f>
        <v>626057</v>
      </c>
      <c r="E434" s="72">
        <f>IFERROR(__xludf.DUMMYFUNCTION("iferror(divide(googlefinance($B434,""volumeavg""),1000),"""")"),823.956)</f>
        <v>823.956</v>
      </c>
      <c r="F434" s="73">
        <f>IFERROR(__xludf.DUMMYFUNCTION("iferror(MINUS(divide(GOOGLEFINANCE($B434), INDEX(GOOGLEFINANCE($B434,""price"",today()-182),2,2)),1),"""")"),1.0454545454545454)</f>
        <v>1.045454545</v>
      </c>
      <c r="G434" s="61">
        <f>IFERROR(__xludf.DUMMYFUNCTION("iferror(MINUS(divide(GOOGLEFINANCE($B434), INDEX(GOOGLEFINANCE($B434,""price"",today()-364),2,2)),1),"""")"),-0.11764705882352944)</f>
        <v>-0.1176470588</v>
      </c>
    </row>
    <row r="435">
      <c r="A435" s="71">
        <f t="shared" si="4"/>
        <v>431</v>
      </c>
      <c r="B435" s="47" t="s">
        <v>567</v>
      </c>
      <c r="C435" s="72">
        <f>IFERROR(__xludf.DUMMYFUNCTION("iferror(divide(googlefinance($B435,""marketcap""),1000000),"""")"),3792.383537)</f>
        <v>3792.383537</v>
      </c>
      <c r="D435" s="72">
        <f>IFERROR(__xludf.DUMMYFUNCTION("iferror(divide(googlefinance($B435,""shares""),1000),"""")"),208144.0)</f>
        <v>208144</v>
      </c>
      <c r="E435" s="72">
        <f>IFERROR(__xludf.DUMMYFUNCTION("iferror(divide(googlefinance($B435,""volumeavg""),1000),"""")"),1352.548)</f>
        <v>1352.548</v>
      </c>
      <c r="F435" s="73">
        <f>IFERROR(__xludf.DUMMYFUNCTION("iferror(MINUS(divide(GOOGLEFINANCE($B435), INDEX(GOOGLEFINANCE($B435,""price"",today()-182),2,2)),1),"""")"),0.4357762017336486)</f>
        <v>0.4357762017</v>
      </c>
      <c r="G435" s="61">
        <f>IFERROR(__xludf.DUMMYFUNCTION("iferror(MINUS(divide(GOOGLEFINANCE($B435), INDEX(GOOGLEFINANCE($B435,""price"",today()-364),2,2)),1),"""")"),0.04293073840870054)</f>
        <v>0.04293073841</v>
      </c>
    </row>
    <row r="436">
      <c r="A436" s="71">
        <f t="shared" si="4"/>
        <v>432</v>
      </c>
      <c r="B436" s="47" t="s">
        <v>568</v>
      </c>
      <c r="C436" s="72">
        <f>IFERROR(__xludf.DUMMYFUNCTION("iferror(divide(googlefinance($B436,""marketcap""),1000000),"""")"),2254.304574)</f>
        <v>2254.304574</v>
      </c>
      <c r="D436" s="72">
        <f>IFERROR(__xludf.DUMMYFUNCTION("iferror(divide(googlefinance($B436,""shares""),1000),"""")"),24490.0)</f>
        <v>24490</v>
      </c>
      <c r="E436" s="72">
        <f>IFERROR(__xludf.DUMMYFUNCTION("iferror(divide(googlefinance($B436,""volumeavg""),1000),"""")"),153.623)</f>
        <v>153.623</v>
      </c>
      <c r="F436" s="73">
        <f>IFERROR(__xludf.DUMMYFUNCTION("iferror(MINUS(divide(GOOGLEFINANCE($B436), INDEX(GOOGLEFINANCE($B436,""price"",today()-182),2,2)),1),"""")"),1.2037347378501315)</f>
        <v>1.203734738</v>
      </c>
      <c r="G436" s="61">
        <f>IFERROR(__xludf.DUMMYFUNCTION("iferror(MINUS(divide(GOOGLEFINANCE($B436), INDEX(GOOGLEFINANCE($B436,""price"",today()-364),2,2)),1),"""")"),0.6149122807017544)</f>
        <v>0.6149122807</v>
      </c>
    </row>
    <row r="437">
      <c r="A437" s="71">
        <f t="shared" si="4"/>
        <v>433</v>
      </c>
      <c r="B437" s="47" t="s">
        <v>569</v>
      </c>
      <c r="C437" s="72">
        <f>IFERROR(__xludf.DUMMYFUNCTION("iferror(divide(googlefinance($B437,""marketcap""),1000000),"""")"),15544.819578)</f>
        <v>15544.81958</v>
      </c>
      <c r="D437" s="72">
        <f>IFERROR(__xludf.DUMMYFUNCTION("iferror(divide(googlefinance($B437,""shares""),1000),"""")"),39347.0)</f>
        <v>39347</v>
      </c>
      <c r="E437" s="72">
        <f>IFERROR(__xludf.DUMMYFUNCTION("iferror(divide(googlefinance($B437,""volumeavg""),1000),"""")"),523.63)</f>
        <v>523.63</v>
      </c>
      <c r="F437" s="73">
        <f>IFERROR(__xludf.DUMMYFUNCTION("iferror(MINUS(divide(GOOGLEFINANCE($B437), INDEX(GOOGLEFINANCE($B437,""price"",today()-182),2,2)),1),"""")"),0.31711951991998677)</f>
        <v>0.3171195199</v>
      </c>
      <c r="G437" s="61">
        <f>IFERROR(__xludf.DUMMYFUNCTION("iferror(MINUS(divide(GOOGLEFINANCE($B437), INDEX(GOOGLEFINANCE($B437,""price"",today()-364),2,2)),1),"""")"),0.5954688635812939)</f>
        <v>0.5954688636</v>
      </c>
    </row>
    <row r="438">
      <c r="A438" s="71">
        <f t="shared" si="4"/>
        <v>434</v>
      </c>
      <c r="B438" s="47" t="s">
        <v>570</v>
      </c>
      <c r="C438" s="72">
        <f>IFERROR(__xludf.DUMMYFUNCTION("iferror(divide(googlefinance($B438,""marketcap""),1000000),"""")"),39682.198604)</f>
        <v>39682.1986</v>
      </c>
      <c r="D438" s="72">
        <f>IFERROR(__xludf.DUMMYFUNCTION("iferror(divide(googlefinance($B438,""shares""),1000),"""")"),347419.0)</f>
        <v>347419</v>
      </c>
      <c r="E438" s="72">
        <f>IFERROR(__xludf.DUMMYFUNCTION("iferror(divide(googlefinance($B438,""volumeavg""),1000),"""")"),311.511)</f>
        <v>311.511</v>
      </c>
      <c r="F438" s="73">
        <f>IFERROR(__xludf.DUMMYFUNCTION("iferror(MINUS(divide(GOOGLEFINANCE($B438), INDEX(GOOGLEFINANCE($B438,""price"",today()-182),2,2)),1),"""")"),1.505923650724002)</f>
        <v>1.505923651</v>
      </c>
      <c r="G438" s="61">
        <f>IFERROR(__xludf.DUMMYFUNCTION("iferror(MINUS(divide(GOOGLEFINANCE($B438), INDEX(GOOGLEFINANCE($B438,""price"",today()-364),2,2)),1),"""")"),1.2470981703718276)</f>
        <v>1.24709817</v>
      </c>
    </row>
    <row r="439">
      <c r="A439" s="71">
        <f t="shared" si="4"/>
        <v>435</v>
      </c>
      <c r="B439" s="47" t="s">
        <v>571</v>
      </c>
      <c r="C439" s="72">
        <f>IFERROR(__xludf.DUMMYFUNCTION("iferror(divide(googlefinance($B439,""marketcap""),1000000),"""")"),11918.021577)</f>
        <v>11918.02158</v>
      </c>
      <c r="D439" s="72">
        <f>IFERROR(__xludf.DUMMYFUNCTION("iferror(divide(googlefinance($B439,""shares""),1000),"""")"),130081.0)</f>
        <v>130081</v>
      </c>
      <c r="E439" s="72">
        <f>IFERROR(__xludf.DUMMYFUNCTION("iferror(divide(googlefinance($B439,""volumeavg""),1000),"""")"),2041.905)</f>
        <v>2041.905</v>
      </c>
      <c r="F439" s="73">
        <f>IFERROR(__xludf.DUMMYFUNCTION("iferror(MINUS(divide(GOOGLEFINANCE($B439), INDEX(GOOGLEFINANCE($B439,""price"",today()-182),2,2)),1),"""")"),1.3492307692307692)</f>
        <v>1.349230769</v>
      </c>
      <c r="G439" s="61">
        <f>IFERROR(__xludf.DUMMYFUNCTION("iferror(MINUS(divide(GOOGLEFINANCE($B439), INDEX(GOOGLEFINANCE($B439,""price"",today()-364),2,2)),1),"""")"),-0.2352253756260434)</f>
        <v>-0.2352253756</v>
      </c>
    </row>
    <row r="440">
      <c r="A440" s="71">
        <f t="shared" si="4"/>
        <v>436</v>
      </c>
      <c r="B440" s="47" t="s">
        <v>572</v>
      </c>
      <c r="C440" s="72">
        <f>IFERROR(__xludf.DUMMYFUNCTION("iferror(divide(googlefinance($B440,""marketcap""),1000000),"""")"),1459.397016)</f>
        <v>1459.397016</v>
      </c>
      <c r="D440" s="72">
        <f>IFERROR(__xludf.DUMMYFUNCTION("iferror(divide(googlefinance($B440,""shares""),1000),"""")"),74459.0)</f>
        <v>74459</v>
      </c>
      <c r="E440" s="72">
        <f>IFERROR(__xludf.DUMMYFUNCTION("iferror(divide(googlefinance($B440,""volumeavg""),1000),"""")"),643.991)</f>
        <v>643.991</v>
      </c>
      <c r="F440" s="73">
        <f>IFERROR(__xludf.DUMMYFUNCTION("iferror(MINUS(divide(GOOGLEFINANCE($B440), INDEX(GOOGLEFINANCE($B440,""price"",today()-182),2,2)),1),"""")"),0.2920237310481213)</f>
        <v>0.292023731</v>
      </c>
      <c r="G440" s="61">
        <f>IFERROR(__xludf.DUMMYFUNCTION("iferror(MINUS(divide(GOOGLEFINANCE($B440), INDEX(GOOGLEFINANCE($B440,""price"",today()-364),2,2)),1),"""")"),0.34986225895316814)</f>
        <v>0.349862259</v>
      </c>
    </row>
    <row r="441">
      <c r="A441" s="71">
        <f t="shared" si="4"/>
        <v>437</v>
      </c>
      <c r="B441" s="47" t="s">
        <v>573</v>
      </c>
      <c r="C441" s="72">
        <f>IFERROR(__xludf.DUMMYFUNCTION("iferror(divide(googlefinance($B441,""marketcap""),1000000),"""")"),353.015518)</f>
        <v>353.015518</v>
      </c>
      <c r="D441" s="72">
        <f>IFERROR(__xludf.DUMMYFUNCTION("iferror(divide(googlefinance($B441,""shares""),1000),"""")"),200577.0)</f>
        <v>200577</v>
      </c>
      <c r="E441" s="72">
        <f>IFERROR(__xludf.DUMMYFUNCTION("iferror(divide(googlefinance($B441,""volumeavg""),1000),"""")"),1098.421)</f>
        <v>1098.421</v>
      </c>
      <c r="F441" s="73">
        <f>IFERROR(__xludf.DUMMYFUNCTION("iferror(MINUS(divide(GOOGLEFINANCE($B441), INDEX(GOOGLEFINANCE($B441,""price"",today()-182),2,2)),1),"""")"),0.47899159663865554)</f>
        <v>0.4789915966</v>
      </c>
      <c r="G441" s="61">
        <f>IFERROR(__xludf.DUMMYFUNCTION("iferror(MINUS(divide(GOOGLEFINANCE($B441), INDEX(GOOGLEFINANCE($B441,""price"",today()-364),2,2)),1),"""")"),-0.17757009345794394)</f>
        <v>-0.1775700935</v>
      </c>
    </row>
    <row r="442">
      <c r="A442" s="71">
        <f t="shared" si="4"/>
        <v>438</v>
      </c>
      <c r="B442" s="47" t="s">
        <v>574</v>
      </c>
      <c r="C442" s="72">
        <f>IFERROR(__xludf.DUMMYFUNCTION("iferror(divide(googlefinance($B442,""marketcap""),1000000),"""")"),371.548463)</f>
        <v>371.548463</v>
      </c>
      <c r="D442" s="72">
        <f>IFERROR(__xludf.DUMMYFUNCTION("iferror(divide(googlefinance($B442,""shares""),1000),"""")"),64730.0)</f>
        <v>64730</v>
      </c>
      <c r="E442" s="72">
        <f>IFERROR(__xludf.DUMMYFUNCTION("iferror(divide(googlefinance($B442,""volumeavg""),1000),"""")"),440.546)</f>
        <v>440.546</v>
      </c>
      <c r="F442" s="73">
        <f>IFERROR(__xludf.DUMMYFUNCTION("iferror(MINUS(divide(GOOGLEFINANCE($B442), INDEX(GOOGLEFINANCE($B442,""price"",today()-182),2,2)),1),"""")"),5.674418604651163)</f>
        <v>5.674418605</v>
      </c>
      <c r="G442" s="61">
        <f>IFERROR(__xludf.DUMMYFUNCTION("iferror(MINUS(divide(GOOGLEFINANCE($B442), INDEX(GOOGLEFINANCE($B442,""price"",today()-364),2,2)),1),"""")"),0.9326599326599325)</f>
        <v>0.9326599327</v>
      </c>
    </row>
    <row r="443">
      <c r="A443" s="71">
        <f t="shared" si="4"/>
        <v>439</v>
      </c>
      <c r="B443" s="47" t="s">
        <v>575</v>
      </c>
      <c r="C443" s="72">
        <f>IFERROR(__xludf.DUMMYFUNCTION("iferror(divide(googlefinance($B443,""marketcap""),1000000),"""")"),314.644082)</f>
        <v>314.644082</v>
      </c>
      <c r="D443" s="72">
        <f>IFERROR(__xludf.DUMMYFUNCTION("iferror(divide(googlefinance($B443,""shares""),1000),"""")"),23516.0)</f>
        <v>23516</v>
      </c>
      <c r="E443" s="72">
        <f>IFERROR(__xludf.DUMMYFUNCTION("iferror(divide(googlefinance($B443,""volumeavg""),1000),"""")"),167.273)</f>
        <v>167.273</v>
      </c>
      <c r="F443" s="73">
        <f>IFERROR(__xludf.DUMMYFUNCTION("iferror(MINUS(divide(GOOGLEFINANCE($B443), INDEX(GOOGLEFINANCE($B443,""price"",today()-182),2,2)),1),"""")"),0.22191780821917817)</f>
        <v>0.2219178082</v>
      </c>
      <c r="G443" s="61">
        <f>IFERROR(__xludf.DUMMYFUNCTION("iferror(MINUS(divide(GOOGLEFINANCE($B443), INDEX(GOOGLEFINANCE($B443,""price"",today()-364),2,2)),1),"""")"),-0.08293351610692246)</f>
        <v>-0.08293351611</v>
      </c>
    </row>
    <row r="444">
      <c r="A444" s="71">
        <f t="shared" si="4"/>
        <v>440</v>
      </c>
      <c r="B444" s="47" t="s">
        <v>576</v>
      </c>
      <c r="C444" s="72">
        <f>IFERROR(__xludf.DUMMYFUNCTION("iferror(divide(googlefinance($B444,""marketcap""),1000000),"""")"),135.697998)</f>
        <v>135.697998</v>
      </c>
      <c r="D444" s="72">
        <f>IFERROR(__xludf.DUMMYFUNCTION("iferror(divide(googlefinance($B444,""shares""),1000),"""")"),89275.0)</f>
        <v>89275</v>
      </c>
      <c r="E444" s="72">
        <f>IFERROR(__xludf.DUMMYFUNCTION("iferror(divide(googlefinance($B444,""volumeavg""),1000),"""")"),200.983)</f>
        <v>200.983</v>
      </c>
      <c r="F444" s="73">
        <f>IFERROR(__xludf.DUMMYFUNCTION("iferror(MINUS(divide(GOOGLEFINANCE($B444), INDEX(GOOGLEFINANCE($B444,""price"",today()-182),2,2)),1),"""")"),0.1692307692307693)</f>
        <v>0.1692307692</v>
      </c>
      <c r="G444" s="61">
        <f>IFERROR(__xludf.DUMMYFUNCTION("iferror(MINUS(divide(GOOGLEFINANCE($B444), INDEX(GOOGLEFINANCE($B444,""price"",today()-364),2,2)),1),"""")"),-0.540785498489426)</f>
        <v>-0.5407854985</v>
      </c>
    </row>
    <row r="445">
      <c r="A445" s="71">
        <f t="shared" si="4"/>
        <v>441</v>
      </c>
      <c r="B445" s="47" t="s">
        <v>577</v>
      </c>
      <c r="C445" s="72">
        <f>IFERROR(__xludf.DUMMYFUNCTION("iferror(divide(googlefinance($B445,""marketcap""),1000000),"""")"),311.45274)</f>
        <v>311.45274</v>
      </c>
      <c r="D445" s="72">
        <f>IFERROR(__xludf.DUMMYFUNCTION("iferror(divide(googlefinance($B445,""shares""),1000),"""")"),52345.0)</f>
        <v>52345</v>
      </c>
      <c r="E445" s="72">
        <f>IFERROR(__xludf.DUMMYFUNCTION("iferror(divide(googlefinance($B445,""volumeavg""),1000),"""")"),593.49)</f>
        <v>593.49</v>
      </c>
      <c r="F445" s="73">
        <f>IFERROR(__xludf.DUMMYFUNCTION("iferror(MINUS(divide(GOOGLEFINANCE($B445), INDEX(GOOGLEFINANCE($B445,""price"",today()-182),2,2)),1),"""")"),0.12264150943396235)</f>
        <v>0.1226415094</v>
      </c>
      <c r="G445" s="61">
        <f>IFERROR(__xludf.DUMMYFUNCTION("iferror(MINUS(divide(GOOGLEFINANCE($B445), INDEX(GOOGLEFINANCE($B445,""price"",today()-364),2,2)),1),"""")"),-0.3840579710144928)</f>
        <v>-0.384057971</v>
      </c>
    </row>
    <row r="446">
      <c r="A446" s="71">
        <f t="shared" si="4"/>
        <v>442</v>
      </c>
      <c r="B446" s="47" t="s">
        <v>578</v>
      </c>
      <c r="C446" s="72">
        <f>IFERROR(__xludf.DUMMYFUNCTION("iferror(divide(googlefinance($B446,""marketcap""),1000000),"""")"),10997.079925)</f>
        <v>10997.07993</v>
      </c>
      <c r="D446" s="72">
        <f>IFERROR(__xludf.DUMMYFUNCTION("iferror(divide(googlefinance($B446,""shares""),1000),"""")"),122000.0)</f>
        <v>122000</v>
      </c>
      <c r="E446" s="72">
        <f>IFERROR(__xludf.DUMMYFUNCTION("iferror(divide(googlefinance($B446,""volumeavg""),1000),"""")"),1139.003)</f>
        <v>1139.003</v>
      </c>
      <c r="F446" s="73">
        <f>IFERROR(__xludf.DUMMYFUNCTION("iferror(MINUS(divide(GOOGLEFINANCE($B446), INDEX(GOOGLEFINANCE($B446,""price"",today()-182),2,2)),1),"""")"),0.38698261270964784)</f>
        <v>0.3869826127</v>
      </c>
      <c r="G446" s="61">
        <f>IFERROR(__xludf.DUMMYFUNCTION("iferror(MINUS(divide(GOOGLEFINANCE($B446), INDEX(GOOGLEFINANCE($B446,""price"",today()-364),2,2)),1),"""")"),0.5013324450366423)</f>
        <v>0.501332445</v>
      </c>
    </row>
    <row r="447">
      <c r="A447" s="71">
        <f t="shared" si="4"/>
        <v>443</v>
      </c>
      <c r="B447" s="47" t="s">
        <v>579</v>
      </c>
      <c r="C447" s="72">
        <f>IFERROR(__xludf.DUMMYFUNCTION("iferror(divide(googlefinance($B447,""marketcap""),1000000),"""")"),617.645409)</f>
        <v>617.645409</v>
      </c>
      <c r="D447" s="72">
        <f>IFERROR(__xludf.DUMMYFUNCTION("iferror(divide(googlefinance($B447,""shares""),1000),"""")"),109512.0)</f>
        <v>109512</v>
      </c>
      <c r="E447" s="72">
        <f>IFERROR(__xludf.DUMMYFUNCTION("iferror(divide(googlefinance($B447,""volumeavg""),1000),"""")"),4600.842)</f>
        <v>4600.842</v>
      </c>
      <c r="F447" s="73">
        <f>IFERROR(__xludf.DUMMYFUNCTION("iferror(MINUS(divide(GOOGLEFINANCE($B447), INDEX(GOOGLEFINANCE($B447,""price"",today()-182),2,2)),1),"""")"),0.9720279720279721)</f>
        <v>0.972027972</v>
      </c>
      <c r="G447" s="61">
        <f>IFERROR(__xludf.DUMMYFUNCTION("iferror(MINUS(divide(GOOGLEFINANCE($B447), INDEX(GOOGLEFINANCE($B447,""price"",today()-364),2,2)),1),"""")"),0.23144104803493448)</f>
        <v>0.231441048</v>
      </c>
    </row>
    <row r="448">
      <c r="A448" s="71">
        <f t="shared" si="4"/>
        <v>444</v>
      </c>
      <c r="B448" s="47" t="s">
        <v>580</v>
      </c>
      <c r="C448" s="72">
        <f>IFERROR(__xludf.DUMMYFUNCTION("iferror(divide(googlefinance($B448,""marketcap""),1000000),"""")"),51.677178)</f>
        <v>51.677178</v>
      </c>
      <c r="D448" s="72">
        <f>IFERROR(__xludf.DUMMYFUNCTION("iferror(divide(googlefinance($B448,""shares""),1000),"""")"),17882.0)</f>
        <v>17882</v>
      </c>
      <c r="E448" s="72">
        <f>IFERROR(__xludf.DUMMYFUNCTION("iferror(divide(googlefinance($B448,""volumeavg""),1000),"""")"),32.407)</f>
        <v>32.407</v>
      </c>
      <c r="F448" s="73">
        <f>IFERROR(__xludf.DUMMYFUNCTION("iferror(MINUS(divide(GOOGLEFINANCE($B448), INDEX(GOOGLEFINANCE($B448,""price"",today()-182),2,2)),1),"""")"),0.0923076923076922)</f>
        <v>0.09230769231</v>
      </c>
      <c r="G448" s="61">
        <f>IFERROR(__xludf.DUMMYFUNCTION("iferror(MINUS(divide(GOOGLEFINANCE($B448), INDEX(GOOGLEFINANCE($B448,""price"",today()-364),2,2)),1),"""")"),-0.2791878172588833)</f>
        <v>-0.2791878173</v>
      </c>
    </row>
    <row r="449">
      <c r="A449" s="71">
        <f t="shared" si="4"/>
        <v>445</v>
      </c>
      <c r="B449" s="47" t="s">
        <v>581</v>
      </c>
      <c r="C449" s="72">
        <f>IFERROR(__xludf.DUMMYFUNCTION("iferror(divide(googlefinance($B449,""marketcap""),1000000),"""")"),4796.659863)</f>
        <v>4796.659863</v>
      </c>
      <c r="D449" s="72">
        <f>IFERROR(__xludf.DUMMYFUNCTION("iferror(divide(googlefinance($B449,""shares""),1000),"""")"),254195.0)</f>
        <v>254195</v>
      </c>
      <c r="E449" s="72">
        <f>IFERROR(__xludf.DUMMYFUNCTION("iferror(divide(googlefinance($B449,""volumeavg""),1000),"""")"),2788.907)</f>
        <v>2788.907</v>
      </c>
      <c r="F449" s="73">
        <f>IFERROR(__xludf.DUMMYFUNCTION("iferror(MINUS(divide(GOOGLEFINANCE($B449), INDEX(GOOGLEFINANCE($B449,""price"",today()-182),2,2)),1),"""")"),0.6169665809768639)</f>
        <v>0.616966581</v>
      </c>
      <c r="G449" s="61">
        <f>IFERROR(__xludf.DUMMYFUNCTION("iferror(MINUS(divide(GOOGLEFINANCE($B449), INDEX(GOOGLEFINANCE($B449,""price"",today()-364),2,2)),1),"""")"),-0.40697674418604646)</f>
        <v>-0.4069767442</v>
      </c>
    </row>
    <row r="450">
      <c r="A450" s="71">
        <f t="shared" si="4"/>
        <v>446</v>
      </c>
      <c r="B450" s="47" t="s">
        <v>582</v>
      </c>
      <c r="C450" s="72">
        <f>IFERROR(__xludf.DUMMYFUNCTION("iferror(divide(googlefinance($B450,""marketcap""),1000000),"""")"),14.226948)</f>
        <v>14.226948</v>
      </c>
      <c r="D450" s="72">
        <f>IFERROR(__xludf.DUMMYFUNCTION("iferror(divide(googlefinance($B450,""shares""),1000),"""")"),51555.0)</f>
        <v>51555</v>
      </c>
      <c r="E450" s="72">
        <f>IFERROR(__xludf.DUMMYFUNCTION("iferror(divide(googlefinance($B450,""volumeavg""),1000),"""")"),4993.611)</f>
        <v>4993.611</v>
      </c>
      <c r="F450" s="73">
        <f>IFERROR(__xludf.DUMMYFUNCTION("iferror(MINUS(divide(GOOGLEFINANCE($B450), INDEX(GOOGLEFINANCE($B450,""price"",today()-182),2,2)),1),"""")"),-0.18181818181818177)</f>
        <v>-0.1818181818</v>
      </c>
      <c r="G450" s="61">
        <f>IFERROR(__xludf.DUMMYFUNCTION("iferror(MINUS(divide(GOOGLEFINANCE($B450), INDEX(GOOGLEFINANCE($B450,""price"",today()-364),2,2)),1),"""")"),-0.82)</f>
        <v>-0.82</v>
      </c>
    </row>
    <row r="451">
      <c r="A451" s="71">
        <f t="shared" si="4"/>
        <v>447</v>
      </c>
      <c r="B451" s="47" t="s">
        <v>583</v>
      </c>
      <c r="C451" s="72">
        <f>IFERROR(__xludf.DUMMYFUNCTION("iferror(divide(googlefinance($B451,""marketcap""),1000000),"""")"),1773.75066)</f>
        <v>1773.75066</v>
      </c>
      <c r="D451" s="72">
        <f>IFERROR(__xludf.DUMMYFUNCTION("iferror(divide(googlefinance($B451,""shares""),1000),"""")"),31839.0)</f>
        <v>31839</v>
      </c>
      <c r="E451" s="72">
        <f>IFERROR(__xludf.DUMMYFUNCTION("iferror(divide(googlefinance($B451,""volumeavg""),1000),"""")"),435.599)</f>
        <v>435.599</v>
      </c>
      <c r="F451" s="73">
        <f>IFERROR(__xludf.DUMMYFUNCTION("iferror(MINUS(divide(GOOGLEFINANCE($B451), INDEX(GOOGLEFINANCE($B451,""price"",today()-182),2,2)),1),"""")"),2.486232790988736)</f>
        <v>2.486232791</v>
      </c>
      <c r="G451" s="61">
        <f>IFERROR(__xludf.DUMMYFUNCTION("iferror(MINUS(divide(GOOGLEFINANCE($B451), INDEX(GOOGLEFINANCE($B451,""price"",today()-364),2,2)),1),"""")"),0.12047465808527758)</f>
        <v>0.1204746581</v>
      </c>
    </row>
    <row r="452">
      <c r="A452" s="71">
        <f t="shared" si="4"/>
        <v>448</v>
      </c>
      <c r="B452" s="47" t="s">
        <v>584</v>
      </c>
      <c r="C452" s="72">
        <f>IFERROR(__xludf.DUMMYFUNCTION("iferror(divide(googlefinance($B452,""marketcap""),1000000),"""")"),36174.712836)</f>
        <v>36174.71284</v>
      </c>
      <c r="D452" s="72">
        <f>IFERROR(__xludf.DUMMYFUNCTION("iferror(divide(googlefinance($B452,""shares""),1000),"""")"),288797.0)</f>
        <v>288797</v>
      </c>
      <c r="E452" s="72">
        <f>IFERROR(__xludf.DUMMYFUNCTION("iferror(divide(googlefinance($B452,""volumeavg""),1000),"""")"),1993.406)</f>
        <v>1993.406</v>
      </c>
      <c r="F452" s="73">
        <f>IFERROR(__xludf.DUMMYFUNCTION("iferror(MINUS(divide(GOOGLEFINANCE($B452), INDEX(GOOGLEFINANCE($B452,""price"",today()-182),2,2)),1),"""")"),0.44076374511157135)</f>
        <v>0.4407637451</v>
      </c>
      <c r="G452" s="61">
        <f>IFERROR(__xludf.DUMMYFUNCTION("iferror(MINUS(divide(GOOGLEFINANCE($B452), INDEX(GOOGLEFINANCE($B452,""price"",today()-364),2,2)),1),"""")"),0.2690982776089159)</f>
        <v>0.2690982776</v>
      </c>
    </row>
    <row r="453">
      <c r="A453" s="71">
        <f t="shared" si="4"/>
        <v>449</v>
      </c>
      <c r="B453" s="47" t="s">
        <v>585</v>
      </c>
      <c r="C453" s="72">
        <f>IFERROR(__xludf.DUMMYFUNCTION("iferror(divide(googlefinance($B453,""marketcap""),1000000),"""")"),2032.431431)</f>
        <v>2032.431431</v>
      </c>
      <c r="D453" s="72">
        <f>IFERROR(__xludf.DUMMYFUNCTION("iferror(divide(googlefinance($B453,""shares""),1000),"""")"),45065.0)</f>
        <v>45065</v>
      </c>
      <c r="E453" s="72">
        <f>IFERROR(__xludf.DUMMYFUNCTION("iferror(divide(googlefinance($B453,""volumeavg""),1000),"""")"),2379.54)</f>
        <v>2379.54</v>
      </c>
      <c r="F453" s="73">
        <f>IFERROR(__xludf.DUMMYFUNCTION("iferror(MINUS(divide(GOOGLEFINANCE($B453), INDEX(GOOGLEFINANCE($B453,""price"",today()-182),2,2)),1),"""")"),3.844253490870032)</f>
        <v>3.844253491</v>
      </c>
      <c r="G453" s="61">
        <f>IFERROR(__xludf.DUMMYFUNCTION("iferror(MINUS(divide(GOOGLEFINANCE($B453), INDEX(GOOGLEFINANCE($B453,""price"",today()-364),2,2)),1),"""")"),0.039889324417800465)</f>
        <v>0.03988932442</v>
      </c>
    </row>
    <row r="454">
      <c r="A454" s="71">
        <f t="shared" si="4"/>
        <v>450</v>
      </c>
      <c r="B454" s="47" t="s">
        <v>586</v>
      </c>
      <c r="C454" s="72">
        <f>IFERROR(__xludf.DUMMYFUNCTION("iferror(divide(googlefinance($B454,""marketcap""),1000000),"""")"),705.431106)</f>
        <v>705.431106</v>
      </c>
      <c r="D454" s="72">
        <f>IFERROR(__xludf.DUMMYFUNCTION("iferror(divide(googlefinance($B454,""shares""),1000),"""")"),26610.0)</f>
        <v>26610</v>
      </c>
      <c r="E454" s="72">
        <f>IFERROR(__xludf.DUMMYFUNCTION("iferror(divide(googlefinance($B454,""volumeavg""),1000),"""")"),147.658)</f>
        <v>147.658</v>
      </c>
      <c r="F454" s="73">
        <f>IFERROR(__xludf.DUMMYFUNCTION("iferror(MINUS(divide(GOOGLEFINANCE($B454), INDEX(GOOGLEFINANCE($B454,""price"",today()-182),2,2)),1),"""")"),0.6333949476278498)</f>
        <v>0.6333949476</v>
      </c>
      <c r="G454" s="61">
        <f>IFERROR(__xludf.DUMMYFUNCTION("iferror(MINUS(divide(GOOGLEFINANCE($B454), INDEX(GOOGLEFINANCE($B454,""price"",today()-364),2,2)),1),"""")"),0.14613056636402955)</f>
        <v>0.1461305664</v>
      </c>
    </row>
    <row r="455">
      <c r="A455" s="71">
        <f t="shared" si="4"/>
        <v>451</v>
      </c>
      <c r="B455" s="47" t="s">
        <v>587</v>
      </c>
      <c r="C455" s="72">
        <f>IFERROR(__xludf.DUMMYFUNCTION("iferror(divide(googlefinance($B455,""marketcap""),1000000),"""")"),2036.229047)</f>
        <v>2036.229047</v>
      </c>
      <c r="D455" s="72">
        <f>IFERROR(__xludf.DUMMYFUNCTION("iferror(divide(googlefinance($B455,""shares""),1000),"""")"),62270.0)</f>
        <v>62270</v>
      </c>
      <c r="E455" s="72">
        <f>IFERROR(__xludf.DUMMYFUNCTION("iferror(divide(googlefinance($B455,""volumeavg""),1000),"""")"),900.172)</f>
        <v>900.172</v>
      </c>
      <c r="F455" s="73">
        <f>IFERROR(__xludf.DUMMYFUNCTION("iferror(MINUS(divide(GOOGLEFINANCE($B455), INDEX(GOOGLEFINANCE($B455,""price"",today()-182),2,2)),1),"""")"),0.7138364779874218)</f>
        <v>0.713836478</v>
      </c>
      <c r="G455" s="61">
        <f>IFERROR(__xludf.DUMMYFUNCTION("iferror(MINUS(divide(GOOGLEFINANCE($B455), INDEX(GOOGLEFINANCE($B455,""price"",today()-364),2,2)),1),"""")"),0.30852340936374567)</f>
        <v>0.3085234094</v>
      </c>
    </row>
    <row r="456">
      <c r="A456" s="71">
        <f t="shared" si="4"/>
        <v>452</v>
      </c>
      <c r="B456" s="47" t="s">
        <v>588</v>
      </c>
      <c r="C456" s="72">
        <f>IFERROR(__xludf.DUMMYFUNCTION("iferror(divide(googlefinance($B456,""marketcap""),1000000),"""")"),217.187834)</f>
        <v>217.187834</v>
      </c>
      <c r="D456" s="72">
        <f>IFERROR(__xludf.DUMMYFUNCTION("iferror(divide(googlefinance($B456,""shares""),1000),"""")"),11008.0)</f>
        <v>11008</v>
      </c>
      <c r="E456" s="72">
        <f>IFERROR(__xludf.DUMMYFUNCTION("iferror(divide(googlefinance($B456,""volumeavg""),1000),"""")"),37.636)</f>
        <v>37.636</v>
      </c>
      <c r="F456" s="73">
        <f>IFERROR(__xludf.DUMMYFUNCTION("iferror(MINUS(divide(GOOGLEFINANCE($B456), INDEX(GOOGLEFINANCE($B456,""price"",today()-182),2,2)),1),"""")"),0.5072574484339192)</f>
        <v>0.5072574484</v>
      </c>
      <c r="G456" s="61">
        <f>IFERROR(__xludf.DUMMYFUNCTION("iferror(MINUS(divide(GOOGLEFINANCE($B456), INDEX(GOOGLEFINANCE($B456,""price"",today()-364),2,2)),1),"""")"),-0.3651866151866151)</f>
        <v>-0.3651866152</v>
      </c>
    </row>
    <row r="457">
      <c r="A457" s="71">
        <f t="shared" si="4"/>
        <v>453</v>
      </c>
      <c r="B457" s="47" t="s">
        <v>589</v>
      </c>
      <c r="C457" s="72">
        <f>IFERROR(__xludf.DUMMYFUNCTION("iferror(divide(googlefinance($B457,""marketcap""),1000000),"""")"),2051.227793)</f>
        <v>2051.227793</v>
      </c>
      <c r="D457" s="72">
        <f>IFERROR(__xludf.DUMMYFUNCTION("iferror(divide(googlefinance($B457,""shares""),1000),"""")"),174128.0)</f>
        <v>174128</v>
      </c>
      <c r="E457" s="72">
        <f>IFERROR(__xludf.DUMMYFUNCTION("iferror(divide(googlefinance($B457,""volumeavg""),1000),"""")"),2220.189)</f>
        <v>2220.189</v>
      </c>
      <c r="F457" s="73">
        <f>IFERROR(__xludf.DUMMYFUNCTION("iferror(MINUS(divide(GOOGLEFINANCE($B457), INDEX(GOOGLEFINANCE($B457,""price"",today()-182),2,2)),1),"""")"),1.2873786407766987)</f>
        <v>1.287378641</v>
      </c>
      <c r="G457" s="61">
        <f>IFERROR(__xludf.DUMMYFUNCTION("iferror(MINUS(divide(GOOGLEFINANCE($B457), INDEX(GOOGLEFINANCE($B457,""price"",today()-364),2,2)),1),"""")"),0.4023809523809523)</f>
        <v>0.4023809524</v>
      </c>
    </row>
    <row r="458">
      <c r="A458" s="71">
        <f t="shared" si="4"/>
        <v>454</v>
      </c>
      <c r="B458" s="47" t="s">
        <v>590</v>
      </c>
      <c r="C458" s="72">
        <f>IFERROR(__xludf.DUMMYFUNCTION("iferror(divide(googlefinance($B458,""marketcap""),1000000),"""")"),535.435429)</f>
        <v>535.435429</v>
      </c>
      <c r="D458" s="72">
        <f>IFERROR(__xludf.DUMMYFUNCTION("iferror(divide(googlefinance($B458,""shares""),1000),"""")"),13607.0)</f>
        <v>13607</v>
      </c>
      <c r="E458" s="72">
        <f>IFERROR(__xludf.DUMMYFUNCTION("iferror(divide(googlefinance($B458,""volumeavg""),1000),"""")"),194.359)</f>
        <v>194.359</v>
      </c>
      <c r="F458" s="73">
        <f>IFERROR(__xludf.DUMMYFUNCTION("iferror(MINUS(divide(GOOGLEFINANCE($B458), INDEX(GOOGLEFINANCE($B458,""price"",today()-182),2,2)),1),"""")"),0.06726335774342296)</f>
        <v>0.06726335774</v>
      </c>
      <c r="G458" s="61">
        <f>IFERROR(__xludf.DUMMYFUNCTION("iferror(MINUS(divide(GOOGLEFINANCE($B458), INDEX(GOOGLEFINANCE($B458,""price"",today()-364),2,2)),1),"""")"),-0.3063634761149303)</f>
        <v>-0.3063634761</v>
      </c>
    </row>
    <row r="459">
      <c r="A459" s="71">
        <f t="shared" si="4"/>
        <v>455</v>
      </c>
      <c r="B459" s="47" t="s">
        <v>591</v>
      </c>
      <c r="C459" s="72">
        <f>IFERROR(__xludf.DUMMYFUNCTION("iferror(divide(googlefinance($B459,""marketcap""),1000000),"""")"),6487.852913)</f>
        <v>6487.852913</v>
      </c>
      <c r="D459" s="72">
        <f>IFERROR(__xludf.DUMMYFUNCTION("iferror(divide(googlefinance($B459,""shares""),1000),"""")"),99446.0)</f>
        <v>99446</v>
      </c>
      <c r="E459" s="72">
        <f>IFERROR(__xludf.DUMMYFUNCTION("iferror(divide(googlefinance($B459,""volumeavg""),1000),"""")"),561.951)</f>
        <v>561.951</v>
      </c>
      <c r="F459" s="73">
        <f>IFERROR(__xludf.DUMMYFUNCTION("iferror(MINUS(divide(GOOGLEFINANCE($B459), INDEX(GOOGLEFINANCE($B459,""price"",today()-182),2,2)),1),"""")"),0.29085872576177274)</f>
        <v>0.2908587258</v>
      </c>
      <c r="G459" s="61">
        <f>IFERROR(__xludf.DUMMYFUNCTION("iferror(MINUS(divide(GOOGLEFINANCE($B459), INDEX(GOOGLEFINANCE($B459,""price"",today()-364),2,2)),1),"""")"),0.015408560311283903)</f>
        <v>0.01540856031</v>
      </c>
    </row>
    <row r="460">
      <c r="A460" s="71">
        <f t="shared" si="4"/>
        <v>456</v>
      </c>
      <c r="B460" s="47" t="s">
        <v>592</v>
      </c>
      <c r="C460" s="72">
        <f>IFERROR(__xludf.DUMMYFUNCTION("iferror(divide(googlefinance($B460,""marketcap""),1000000),"""")"),1923.150083)</f>
        <v>1923.150083</v>
      </c>
      <c r="D460" s="72">
        <f>IFERROR(__xludf.DUMMYFUNCTION("iferror(divide(googlefinance($B460,""shares""),1000),"""")"),38571.0)</f>
        <v>38571</v>
      </c>
      <c r="E460" s="72">
        <f>IFERROR(__xludf.DUMMYFUNCTION("iferror(divide(googlefinance($B460,""volumeavg""),1000),"""")"),55.023)</f>
        <v>55.023</v>
      </c>
      <c r="F460" s="73">
        <f>IFERROR(__xludf.DUMMYFUNCTION("iferror(MINUS(divide(GOOGLEFINANCE($B460), INDEX(GOOGLEFINANCE($B460,""price"",today()-182),2,2)),1),"""")"),0.11443898077782744)</f>
        <v>0.1144389808</v>
      </c>
      <c r="G460" s="61">
        <f>IFERROR(__xludf.DUMMYFUNCTION("iferror(MINUS(divide(GOOGLEFINANCE($B460), INDEX(GOOGLEFINANCE($B460,""price"",today()-364),2,2)),1),"""")"),0.2075563090336643)</f>
        <v>0.207556309</v>
      </c>
    </row>
    <row r="461">
      <c r="A461" s="71">
        <f t="shared" si="4"/>
        <v>457</v>
      </c>
      <c r="B461" s="47" t="s">
        <v>593</v>
      </c>
      <c r="C461" s="72">
        <f>IFERROR(__xludf.DUMMYFUNCTION("iferror(divide(googlefinance($B461,""marketcap""),1000000),"""")"),302.957469)</f>
        <v>302.957469</v>
      </c>
      <c r="D461" s="72">
        <f>IFERROR(__xludf.DUMMYFUNCTION("iferror(divide(googlefinance($B461,""shares""),1000),"""")"),29243.0)</f>
        <v>29243</v>
      </c>
      <c r="E461" s="72">
        <f>IFERROR(__xludf.DUMMYFUNCTION("iferror(divide(googlefinance($B461,""volumeavg""),1000),"""")"),465.736)</f>
        <v>465.736</v>
      </c>
      <c r="F461" s="73">
        <f>IFERROR(__xludf.DUMMYFUNCTION("iferror(MINUS(divide(GOOGLEFINANCE($B461), INDEX(GOOGLEFINANCE($B461,""price"",today()-182),2,2)),1),"""")"),0.8533094812164579)</f>
        <v>0.8533094812</v>
      </c>
      <c r="G461" s="61">
        <f>IFERROR(__xludf.DUMMYFUNCTION("iferror(MINUS(divide(GOOGLEFINANCE($B461), INDEX(GOOGLEFINANCE($B461,""price"",today()-364),2,2)),1),"""")"),-0.10535405872193437)</f>
        <v>-0.1053540587</v>
      </c>
    </row>
    <row r="462">
      <c r="A462" s="71">
        <f t="shared" si="4"/>
        <v>458</v>
      </c>
      <c r="B462" s="47" t="s">
        <v>594</v>
      </c>
      <c r="C462" s="72">
        <f>IFERROR(__xludf.DUMMYFUNCTION("iferror(divide(googlefinance($B462,""marketcap""),1000000),"""")"),77829.162688)</f>
        <v>77829.16269</v>
      </c>
      <c r="D462" s="72">
        <f>IFERROR(__xludf.DUMMYFUNCTION("iferror(divide(googlefinance($B462,""shares""),1000),"""")"),224763.0)</f>
        <v>224763</v>
      </c>
      <c r="E462" s="72">
        <f>IFERROR(__xludf.DUMMYFUNCTION("iferror(divide(googlefinance($B462,""volumeavg""),1000),"""")"),1377.136)</f>
        <v>1377.136</v>
      </c>
      <c r="F462" s="73">
        <f>IFERROR(__xludf.DUMMYFUNCTION("iferror(MINUS(divide(GOOGLEFINANCE($B462), INDEX(GOOGLEFINANCE($B462,""price"",today()-182),2,2)),1),"""")"),0.42854304635761586)</f>
        <v>0.4285430464</v>
      </c>
      <c r="G462" s="61">
        <f>IFERROR(__xludf.DUMMYFUNCTION("iferror(MINUS(divide(GOOGLEFINANCE($B462), INDEX(GOOGLEFINANCE($B462,""price"",today()-364),2,2)),1),"""")"),0.12401646605179528)</f>
        <v>0.1240164661</v>
      </c>
    </row>
    <row r="463">
      <c r="A463" s="71">
        <f t="shared" si="4"/>
        <v>459</v>
      </c>
      <c r="B463" s="47" t="s">
        <v>595</v>
      </c>
      <c r="C463" s="72">
        <f>IFERROR(__xludf.DUMMYFUNCTION("iferror(divide(googlefinance($B463,""marketcap""),1000000),"""")"),919.589817)</f>
        <v>919.589817</v>
      </c>
      <c r="D463" s="72">
        <f>IFERROR(__xludf.DUMMYFUNCTION("iferror(divide(googlefinance($B463,""shares""),1000),"""")"),50722.0)</f>
        <v>50722</v>
      </c>
      <c r="E463" s="72">
        <f>IFERROR(__xludf.DUMMYFUNCTION("iferror(divide(googlefinance($B463,""volumeavg""),1000),"""")"),617.657)</f>
        <v>617.657</v>
      </c>
      <c r="F463" s="73">
        <f>IFERROR(__xludf.DUMMYFUNCTION("iferror(MINUS(divide(GOOGLEFINANCE($B463), INDEX(GOOGLEFINANCE($B463,""price"",today()-182),2,2)),1),"""")"),1.076746849942726)</f>
        <v>1.07674685</v>
      </c>
      <c r="G463" s="61">
        <f>IFERROR(__xludf.DUMMYFUNCTION("iferror(MINUS(divide(GOOGLEFINANCE($B463), INDEX(GOOGLEFINANCE($B463,""price"",today()-364),2,2)),1),"""")"),0.027195467422096442)</f>
        <v>0.02719546742</v>
      </c>
    </row>
    <row r="464">
      <c r="A464" s="71">
        <f t="shared" si="4"/>
        <v>460</v>
      </c>
      <c r="B464" s="47" t="s">
        <v>596</v>
      </c>
      <c r="C464" s="72">
        <f>IFERROR(__xludf.DUMMYFUNCTION("iferror(divide(googlefinance($B464,""marketcap""),1000000),"""")"),118.406246)</f>
        <v>118.406246</v>
      </c>
      <c r="D464" s="72">
        <f>IFERROR(__xludf.DUMMYFUNCTION("iferror(divide(googlefinance($B464,""shares""),1000),"""")"),40138.0)</f>
        <v>40138</v>
      </c>
      <c r="E464" s="72">
        <f>IFERROR(__xludf.DUMMYFUNCTION("iferror(divide(googlefinance($B464,""volumeavg""),1000),"""")"),58.5)</f>
        <v>58.5</v>
      </c>
      <c r="F464" s="73">
        <f>IFERROR(__xludf.DUMMYFUNCTION("iferror(MINUS(divide(GOOGLEFINANCE($B464), INDEX(GOOGLEFINANCE($B464,""price"",today()-182),2,2)),1),"""")"),0.1706349206349207)</f>
        <v>0.1706349206</v>
      </c>
      <c r="G464" s="61">
        <f>IFERROR(__xludf.DUMMYFUNCTION("iferror(MINUS(divide(GOOGLEFINANCE($B464), INDEX(GOOGLEFINANCE($B464,""price"",today()-364),2,2)),1),"""")"),-0.5211038961038961)</f>
        <v>-0.5211038961</v>
      </c>
    </row>
    <row r="465">
      <c r="A465" s="71">
        <f t="shared" si="4"/>
        <v>461</v>
      </c>
      <c r="B465" s="47" t="s">
        <v>597</v>
      </c>
      <c r="C465" s="72">
        <f>IFERROR(__xludf.DUMMYFUNCTION("iferror(divide(googlefinance($B465,""marketcap""),1000000),"""")"),1811.715338)</f>
        <v>1811.715338</v>
      </c>
      <c r="D465" s="72">
        <f>IFERROR(__xludf.DUMMYFUNCTION("iferror(divide(googlefinance($B465,""shares""),1000),"""")"),94164.0)</f>
        <v>94164</v>
      </c>
      <c r="E465" s="72">
        <f>IFERROR(__xludf.DUMMYFUNCTION("iferror(divide(googlefinance($B465,""volumeavg""),1000),"""")"),1493.475)</f>
        <v>1493.475</v>
      </c>
      <c r="F465" s="73">
        <f>IFERROR(__xludf.DUMMYFUNCTION("iferror(MINUS(divide(GOOGLEFINANCE($B465), INDEX(GOOGLEFINANCE($B465,""price"",today()-182),2,2)),1),"""")"),1.6464924346629988)</f>
        <v>1.646492435</v>
      </c>
      <c r="G465" s="61">
        <f>IFERROR(__xludf.DUMMYFUNCTION("iferror(MINUS(divide(GOOGLEFINANCE($B465), INDEX(GOOGLEFINANCE($B465,""price"",today()-364),2,2)),1),"""")"),-0.019867549668874163)</f>
        <v>-0.01986754967</v>
      </c>
    </row>
    <row r="466">
      <c r="A466" s="71">
        <f t="shared" si="4"/>
        <v>462</v>
      </c>
      <c r="B466" s="47" t="s">
        <v>598</v>
      </c>
      <c r="C466" s="72">
        <f>IFERROR(__xludf.DUMMYFUNCTION("iferror(divide(googlefinance($B466,""marketcap""),1000000),"""")"),3877.46187)</f>
        <v>3877.46187</v>
      </c>
      <c r="D466" s="72">
        <f>IFERROR(__xludf.DUMMYFUNCTION("iferror(divide(googlefinance($B466,""shares""),1000),"""")"),54906.0)</f>
        <v>54906</v>
      </c>
      <c r="E466" s="72">
        <f>IFERROR(__xludf.DUMMYFUNCTION("iferror(divide(googlefinance($B466,""volumeavg""),1000),"""")"),289.739)</f>
        <v>289.739</v>
      </c>
      <c r="F466" s="73">
        <f>IFERROR(__xludf.DUMMYFUNCTION("iferror(MINUS(divide(GOOGLEFINANCE($B466), INDEX(GOOGLEFINANCE($B466,""price"",today()-182),2,2)),1),"""")"),0.4232164449818623)</f>
        <v>0.423216445</v>
      </c>
      <c r="G466" s="61">
        <f>IFERROR(__xludf.DUMMYFUNCTION("iferror(MINUS(divide(GOOGLEFINANCE($B466), INDEX(GOOGLEFINANCE($B466,""price"",today()-364),2,2)),1),"""")"),-0.17605880294014686)</f>
        <v>-0.1760588029</v>
      </c>
    </row>
    <row r="467">
      <c r="A467" s="71">
        <f t="shared" si="4"/>
        <v>463</v>
      </c>
      <c r="B467" s="47" t="s">
        <v>599</v>
      </c>
      <c r="C467" s="72">
        <f>IFERROR(__xludf.DUMMYFUNCTION("iferror(divide(googlefinance($B467,""marketcap""),1000000),"""")"),94.988098)</f>
        <v>94.988098</v>
      </c>
      <c r="D467" s="72">
        <f>IFERROR(__xludf.DUMMYFUNCTION("iferror(divide(googlefinance($B467,""shares""),1000),"""")"),29408.0)</f>
        <v>29408</v>
      </c>
      <c r="E467" s="72">
        <f>IFERROR(__xludf.DUMMYFUNCTION("iferror(divide(googlefinance($B467,""volumeavg""),1000),"""")"),70.088)</f>
        <v>70.088</v>
      </c>
      <c r="F467" s="73">
        <f>IFERROR(__xludf.DUMMYFUNCTION("iferror(MINUS(divide(GOOGLEFINANCE($B467), INDEX(GOOGLEFINANCE($B467,""price"",today()-182),2,2)),1),"""")"),1.2123287671232879)</f>
        <v>1.212328767</v>
      </c>
      <c r="G467" s="61">
        <f>IFERROR(__xludf.DUMMYFUNCTION("iferror(MINUS(divide(GOOGLEFINANCE($B467), INDEX(GOOGLEFINANCE($B467,""price"",today()-364),2,2)),1),"""")"),0.041935483870967794)</f>
        <v>0.04193548387</v>
      </c>
    </row>
    <row r="468">
      <c r="A468" s="71">
        <f t="shared" si="4"/>
        <v>464</v>
      </c>
      <c r="B468" s="47" t="s">
        <v>600</v>
      </c>
      <c r="C468" s="72">
        <f>IFERROR(__xludf.DUMMYFUNCTION("iferror(divide(googlefinance($B468,""marketcap""),1000000),"""")"),11569.718454)</f>
        <v>11569.71845</v>
      </c>
      <c r="D468" s="72">
        <f>IFERROR(__xludf.DUMMYFUNCTION("iferror(divide(googlefinance($B468,""shares""),1000),"""")"),135350.0)</f>
        <v>135350</v>
      </c>
      <c r="E468" s="72">
        <f>IFERROR(__xludf.DUMMYFUNCTION("iferror(divide(googlefinance($B468,""volumeavg""),1000),"""")"),963.021)</f>
        <v>963.021</v>
      </c>
      <c r="F468" s="73">
        <f>IFERROR(__xludf.DUMMYFUNCTION("iferror(MINUS(divide(GOOGLEFINANCE($B468), INDEX(GOOGLEFINANCE($B468,""price"",today()-182),2,2)),1),"""")"),1.0945846606223966)</f>
        <v>1.094584661</v>
      </c>
      <c r="G468" s="61">
        <f>IFERROR(__xludf.DUMMYFUNCTION("iferror(MINUS(divide(GOOGLEFINANCE($B468), INDEX(GOOGLEFINANCE($B468,""price"",today()-364),2,2)),1),"""")"),0.18180561316189703)</f>
        <v>0.1818056132</v>
      </c>
    </row>
    <row r="469">
      <c r="A469" s="71">
        <f t="shared" si="4"/>
        <v>465</v>
      </c>
      <c r="B469" s="47" t="s">
        <v>601</v>
      </c>
      <c r="C469" s="72">
        <f>IFERROR(__xludf.DUMMYFUNCTION("iferror(divide(googlefinance($B469,""marketcap""),1000000),"""")"),41287.629091)</f>
        <v>41287.62909</v>
      </c>
      <c r="D469" s="72">
        <f>IFERROR(__xludf.DUMMYFUNCTION("iferror(divide(googlefinance($B469,""shares""),1000),"""")"),597592.0)</f>
        <v>597592</v>
      </c>
      <c r="E469" s="72">
        <f>IFERROR(__xludf.DUMMYFUNCTION("iferror(divide(googlefinance($B469,""volumeavg""),1000),"""")"),2768.737)</f>
        <v>2768.737</v>
      </c>
      <c r="F469" s="73">
        <f>IFERROR(__xludf.DUMMYFUNCTION("iferror(MINUS(divide(GOOGLEFINANCE($B469), INDEX(GOOGLEFINANCE($B469,""price"",today()-182),2,2)),1),"""")"),0.5670220004536175)</f>
        <v>0.5670220005</v>
      </c>
      <c r="G469" s="61">
        <f>IFERROR(__xludf.DUMMYFUNCTION("iferror(MINUS(divide(GOOGLEFINANCE($B469), INDEX(GOOGLEFINANCE($B469,""price"",today()-364),2,2)),1),"""")"),0.06374133949191685)</f>
        <v>0.06374133949</v>
      </c>
    </row>
    <row r="470">
      <c r="A470" s="71">
        <f t="shared" si="4"/>
        <v>466</v>
      </c>
      <c r="B470" s="47" t="s">
        <v>602</v>
      </c>
      <c r="C470" s="72">
        <f>IFERROR(__xludf.DUMMYFUNCTION("iferror(divide(googlefinance($B470,""marketcap""),1000000),"""")"),744.603842)</f>
        <v>744.603842</v>
      </c>
      <c r="D470" s="72">
        <f>IFERROR(__xludf.DUMMYFUNCTION("iferror(divide(googlefinance($B470,""shares""),1000),"""")"),229816.0)</f>
        <v>229816</v>
      </c>
      <c r="E470" s="72">
        <f>IFERROR(__xludf.DUMMYFUNCTION("iferror(divide(googlefinance($B470,""volumeavg""),1000),"""")"),3719.865)</f>
        <v>3719.865</v>
      </c>
      <c r="F470" s="73">
        <f>IFERROR(__xludf.DUMMYFUNCTION("iferror(MINUS(divide(GOOGLEFINANCE($B470), INDEX(GOOGLEFINANCE($B470,""price"",today()-182),2,2)),1),"""")"),0.07641196013289053)</f>
        <v>0.07641196013</v>
      </c>
      <c r="G470" s="61">
        <f>IFERROR(__xludf.DUMMYFUNCTION("iferror(MINUS(divide(GOOGLEFINANCE($B470), INDEX(GOOGLEFINANCE($B470,""price"",today()-364),2,2)),1),"""")"),-0.06896551724137923)</f>
        <v>-0.06896551724</v>
      </c>
    </row>
    <row r="471">
      <c r="A471" s="71">
        <f t="shared" si="4"/>
        <v>467</v>
      </c>
      <c r="B471" s="47" t="s">
        <v>603</v>
      </c>
      <c r="C471" s="72">
        <f>IFERROR(__xludf.DUMMYFUNCTION("iferror(divide(googlefinance($B471,""marketcap""),1000000),"""")"),8426.108497)</f>
        <v>8426.108497</v>
      </c>
      <c r="D471" s="72">
        <f>IFERROR(__xludf.DUMMYFUNCTION("iferror(divide(googlefinance($B471,""shares""),1000),"""")"),126007.0)</f>
        <v>126007</v>
      </c>
      <c r="E471" s="72">
        <f>IFERROR(__xludf.DUMMYFUNCTION("iferror(divide(googlefinance($B471,""volumeavg""),1000),"""")"),3248.089)</f>
        <v>3248.089</v>
      </c>
      <c r="F471" s="73">
        <f>IFERROR(__xludf.DUMMYFUNCTION("iferror(MINUS(divide(GOOGLEFINANCE($B471), INDEX(GOOGLEFINANCE($B471,""price"",today()-182),2,2)),1),"""")"),1.5719230769230772)</f>
        <v>1.571923077</v>
      </c>
      <c r="G471" s="61">
        <f>IFERROR(__xludf.DUMMYFUNCTION("iferror(MINUS(divide(GOOGLEFINANCE($B471), INDEX(GOOGLEFINANCE($B471,""price"",today()-364),2,2)),1),"""")"),1.4342919548598472)</f>
        <v>1.434291955</v>
      </c>
    </row>
    <row r="472">
      <c r="A472" s="71">
        <f t="shared" si="4"/>
        <v>468</v>
      </c>
      <c r="B472" s="47" t="s">
        <v>604</v>
      </c>
      <c r="C472" s="72">
        <f>IFERROR(__xludf.DUMMYFUNCTION("iferror(divide(googlefinance($B472,""marketcap""),1000000),"""")"),2757.142705)</f>
        <v>2757.142705</v>
      </c>
      <c r="D472" s="72">
        <f>IFERROR(__xludf.DUMMYFUNCTION("iferror(divide(googlefinance($B472,""shares""),1000),"""")"),68517.0)</f>
        <v>68517</v>
      </c>
      <c r="E472" s="72">
        <f>IFERROR(__xludf.DUMMYFUNCTION("iferror(divide(googlefinance($B472,""volumeavg""),1000),"""")"),729.564)</f>
        <v>729.564</v>
      </c>
      <c r="F472" s="73">
        <f>IFERROR(__xludf.DUMMYFUNCTION("iferror(MINUS(divide(GOOGLEFINANCE($B472), INDEX(GOOGLEFINANCE($B472,""price"",today()-182),2,2)),1),"""")"),0.23397730757436386)</f>
        <v>0.2339773076</v>
      </c>
      <c r="G472" s="61">
        <f>IFERROR(__xludf.DUMMYFUNCTION("iferror(MINUS(divide(GOOGLEFINANCE($B472), INDEX(GOOGLEFINANCE($B472,""price"",today()-364),2,2)),1),"""")"),-0.039847291815795605)</f>
        <v>-0.03984729182</v>
      </c>
    </row>
    <row r="473">
      <c r="A473" s="71">
        <f t="shared" si="4"/>
        <v>469</v>
      </c>
      <c r="B473" s="47" t="s">
        <v>605</v>
      </c>
      <c r="C473" s="72">
        <f>IFERROR(__xludf.DUMMYFUNCTION("iferror(divide(googlefinance($B473,""marketcap""),1000000),"""")"),10.485616)</f>
        <v>10.485616</v>
      </c>
      <c r="D473" s="72">
        <f>IFERROR(__xludf.DUMMYFUNCTION("iferror(divide(googlefinance($B473,""shares""),1000),"""")"),476618.957)</f>
        <v>476618.957</v>
      </c>
      <c r="E473" s="72">
        <f>IFERROR(__xludf.DUMMYFUNCTION("iferror(divide(googlefinance($B473,""volumeavg""),1000),"""")"),1918.74)</f>
        <v>1918.74</v>
      </c>
      <c r="F473" s="73">
        <f>IFERROR(__xludf.DUMMYFUNCTION("iferror(MINUS(divide(GOOGLEFINANCE($B473), INDEX(GOOGLEFINANCE($B473,""price"",today()-182),2,2)),1),"""")"),1.0)</f>
        <v>1</v>
      </c>
      <c r="G473" s="61" t="str">
        <f>IFERROR(__xludf.DUMMYFUNCTION("iferror(MINUS(divide(GOOGLEFINANCE($B473), INDEX(GOOGLEFINANCE($B473,""price"",today()-364),2,2)),1),"""")"),"")</f>
        <v/>
      </c>
    </row>
    <row r="474">
      <c r="A474" s="71">
        <f t="shared" si="4"/>
        <v>470</v>
      </c>
      <c r="B474" s="47" t="s">
        <v>606</v>
      </c>
      <c r="C474" s="72">
        <f>IFERROR(__xludf.DUMMYFUNCTION("iferror(divide(googlefinance($B474,""marketcap""),1000000),"""")"),929.942282)</f>
        <v>929.942282</v>
      </c>
      <c r="D474" s="72">
        <f>IFERROR(__xludf.DUMMYFUNCTION("iferror(divide(googlefinance($B474,""shares""),1000),"""")"),20072.0)</f>
        <v>20072</v>
      </c>
      <c r="E474" s="72">
        <f>IFERROR(__xludf.DUMMYFUNCTION("iferror(divide(googlefinance($B474,""volumeavg""),1000),"""")"),165.998)</f>
        <v>165.998</v>
      </c>
      <c r="F474" s="73">
        <f>IFERROR(__xludf.DUMMYFUNCTION("iferror(MINUS(divide(GOOGLEFINANCE($B474), INDEX(GOOGLEFINANCE($B474,""price"",today()-182),2,2)),1),"""")"),-0.00919589392643283)</f>
        <v>-0.009195893926</v>
      </c>
      <c r="G474" s="61">
        <f>IFERROR(__xludf.DUMMYFUNCTION("iferror(MINUS(divide(GOOGLEFINANCE($B474), INDEX(GOOGLEFINANCE($B474,""price"",today()-364),2,2)),1),"""")"),-0.35419570671870637)</f>
        <v>-0.3541957067</v>
      </c>
    </row>
    <row r="475">
      <c r="A475" s="71">
        <f t="shared" si="4"/>
        <v>471</v>
      </c>
      <c r="B475" s="47" t="s">
        <v>607</v>
      </c>
      <c r="C475" s="72">
        <f>IFERROR(__xludf.DUMMYFUNCTION("iferror(divide(googlefinance($B475,""marketcap""),1000000),"""")"),9182.522172)</f>
        <v>9182.522172</v>
      </c>
      <c r="D475" s="72">
        <f>IFERROR(__xludf.DUMMYFUNCTION("iferror(divide(googlefinance($B475,""shares""),1000),"""")"),134819.0)</f>
        <v>134819</v>
      </c>
      <c r="E475" s="72">
        <f>IFERROR(__xludf.DUMMYFUNCTION("iferror(divide(googlefinance($B475,""volumeavg""),1000),"""")"),874.783)</f>
        <v>874.783</v>
      </c>
      <c r="F475" s="73">
        <f>IFERROR(__xludf.DUMMYFUNCTION("iferror(MINUS(divide(GOOGLEFINANCE($B475), INDEX(GOOGLEFINANCE($B475,""price"",today()-182),2,2)),1),"""")"),0.7450678964898796)</f>
        <v>0.7450678965</v>
      </c>
      <c r="G475" s="61">
        <f>IFERROR(__xludf.DUMMYFUNCTION("iferror(MINUS(divide(GOOGLEFINANCE($B475), INDEX(GOOGLEFINANCE($B475,""price"",today()-364),2,2)),1),"""")"),0.43329124579124567)</f>
        <v>0.4332912458</v>
      </c>
    </row>
    <row r="476">
      <c r="A476" s="71">
        <f t="shared" si="4"/>
        <v>472</v>
      </c>
      <c r="B476" s="47" t="s">
        <v>608</v>
      </c>
      <c r="C476" s="72">
        <f>IFERROR(__xludf.DUMMYFUNCTION("iferror(divide(googlefinance($B476,""marketcap""),1000000),"""")"),129.592317)</f>
        <v>129.592317</v>
      </c>
      <c r="D476" s="72">
        <f>IFERROR(__xludf.DUMMYFUNCTION("iferror(divide(googlefinance($B476,""shares""),1000),"""")"),33748.0)</f>
        <v>33748</v>
      </c>
      <c r="E476" s="72">
        <f>IFERROR(__xludf.DUMMYFUNCTION("iferror(divide(googlefinance($B476,""volumeavg""),1000),"""")"),403.377)</f>
        <v>403.377</v>
      </c>
      <c r="F476" s="73">
        <f>IFERROR(__xludf.DUMMYFUNCTION("iferror(MINUS(divide(GOOGLEFINANCE($B476), INDEX(GOOGLEFINANCE($B476,""price"",today()-182),2,2)),1),"""")"),0.05785123966942152)</f>
        <v>0.05785123967</v>
      </c>
      <c r="G476" s="61">
        <f>IFERROR(__xludf.DUMMYFUNCTION("iferror(MINUS(divide(GOOGLEFINANCE($B476), INDEX(GOOGLEFINANCE($B476,""price"",today()-364),2,2)),1),"""")"),-0.7948717948717949)</f>
        <v>-0.7948717949</v>
      </c>
    </row>
    <row r="477">
      <c r="A477" s="71">
        <f t="shared" si="4"/>
        <v>473</v>
      </c>
      <c r="B477" s="47" t="s">
        <v>609</v>
      </c>
      <c r="C477" s="72">
        <f>IFERROR(__xludf.DUMMYFUNCTION("iferror(divide(googlefinance($B477,""marketcap""),1000000),"""")"),1584.991791)</f>
        <v>1584.991791</v>
      </c>
      <c r="D477" s="72">
        <f>IFERROR(__xludf.DUMMYFUNCTION("iferror(divide(googlefinance($B477,""shares""),1000),"""")"),54355.0)</f>
        <v>54355</v>
      </c>
      <c r="E477" s="72">
        <f>IFERROR(__xludf.DUMMYFUNCTION("iferror(divide(googlefinance($B477,""volumeavg""),1000),"""")"),500.632)</f>
        <v>500.632</v>
      </c>
      <c r="F477" s="73">
        <f>IFERROR(__xludf.DUMMYFUNCTION("iferror(MINUS(divide(GOOGLEFINANCE($B477), INDEX(GOOGLEFINANCE($B477,""price"",today()-182),2,2)),1),"""")"),0.18152350081037283)</f>
        <v>0.1815235008</v>
      </c>
      <c r="G477" s="61">
        <f>IFERROR(__xludf.DUMMYFUNCTION("iferror(MINUS(divide(GOOGLEFINANCE($B477), INDEX(GOOGLEFINANCE($B477,""price"",today()-364),2,2)),1),"""")"),-0.08244178728760232)</f>
        <v>-0.08244178729</v>
      </c>
    </row>
    <row r="478">
      <c r="A478" s="71">
        <f t="shared" si="4"/>
        <v>474</v>
      </c>
      <c r="B478" s="47" t="s">
        <v>610</v>
      </c>
      <c r="C478" s="72">
        <f>IFERROR(__xludf.DUMMYFUNCTION("iferror(divide(googlefinance($B478,""marketcap""),1000000),"""")"),277.035955)</f>
        <v>277.035955</v>
      </c>
      <c r="D478" s="72">
        <f>IFERROR(__xludf.DUMMYFUNCTION("iferror(divide(googlefinance($B478,""shares""),1000),"""")"),29009.0)</f>
        <v>29009</v>
      </c>
      <c r="E478" s="72">
        <f>IFERROR(__xludf.DUMMYFUNCTION("iferror(divide(googlefinance($B478,""volumeavg""),1000),"""")"),110.704)</f>
        <v>110.704</v>
      </c>
      <c r="F478" s="73">
        <f>IFERROR(__xludf.DUMMYFUNCTION("iferror(MINUS(divide(GOOGLEFINANCE($B478), INDEX(GOOGLEFINANCE($B478,""price"",today()-182),2,2)),1),"""")"),1.064705882352941)</f>
        <v>1.064705882</v>
      </c>
      <c r="G478" s="61">
        <f>IFERROR(__xludf.DUMMYFUNCTION("iferror(MINUS(divide(GOOGLEFINANCE($B478), INDEX(GOOGLEFINANCE($B478,""price"",today()-364),2,2)),1),"""")"),1.4545454545454546)</f>
        <v>1.454545455</v>
      </c>
    </row>
    <row r="479">
      <c r="A479" s="71">
        <f t="shared" si="4"/>
        <v>475</v>
      </c>
      <c r="B479" s="47" t="s">
        <v>611</v>
      </c>
      <c r="C479" s="72">
        <f>IFERROR(__xludf.DUMMYFUNCTION("iferror(divide(googlefinance($B479,""marketcap""),1000000),"""")"),1331.393972)</f>
        <v>1331.393972</v>
      </c>
      <c r="D479" s="72">
        <f>IFERROR(__xludf.DUMMYFUNCTION("iferror(divide(googlefinance($B479,""shares""),1000),"""")"),101478.0)</f>
        <v>101478</v>
      </c>
      <c r="E479" s="72">
        <f>IFERROR(__xludf.DUMMYFUNCTION("iferror(divide(googlefinance($B479,""volumeavg""),1000),"""")"),807.867)</f>
        <v>807.867</v>
      </c>
      <c r="F479" s="73">
        <f>IFERROR(__xludf.DUMMYFUNCTION("iferror(MINUS(divide(GOOGLEFINANCE($B479), INDEX(GOOGLEFINANCE($B479,""price"",today()-182),2,2)),1),"""")"),-0.12358049432197737)</f>
        <v>-0.1235804943</v>
      </c>
      <c r="G479" s="61">
        <f>IFERROR(__xludf.DUMMYFUNCTION("iferror(MINUS(divide(GOOGLEFINANCE($B479), INDEX(GOOGLEFINANCE($B479,""price"",today()-364),2,2)),1),"""")"),0.18625678119348987)</f>
        <v>0.1862567812</v>
      </c>
    </row>
    <row r="480">
      <c r="A480" s="71">
        <f t="shared" si="4"/>
        <v>476</v>
      </c>
      <c r="B480" s="47" t="s">
        <v>612</v>
      </c>
      <c r="C480" s="72">
        <f>IFERROR(__xludf.DUMMYFUNCTION("iferror(divide(googlefinance($B480,""marketcap""),1000000),"""")"),154.555307)</f>
        <v>154.555307</v>
      </c>
      <c r="D480" s="72">
        <f>IFERROR(__xludf.DUMMYFUNCTION("iferror(divide(googlefinance($B480,""shares""),1000),"""")"),24263.0)</f>
        <v>24263</v>
      </c>
      <c r="E480" s="72">
        <f>IFERROR(__xludf.DUMMYFUNCTION("iferror(divide(googlefinance($B480,""volumeavg""),1000),"""")"),729.481)</f>
        <v>729.481</v>
      </c>
      <c r="F480" s="73">
        <f>IFERROR(__xludf.DUMMYFUNCTION("iferror(MINUS(divide(GOOGLEFINANCE($B480), INDEX(GOOGLEFINANCE($B480,""price"",today()-182),2,2)),1),"""")"),0.9721362229102168)</f>
        <v>0.9721362229</v>
      </c>
      <c r="G480" s="61">
        <f>IFERROR(__xludf.DUMMYFUNCTION("iferror(MINUS(divide(GOOGLEFINANCE($B480), INDEX(GOOGLEFINANCE($B480,""price"",today()-364),2,2)),1),"""")"),0.6631853785900783)</f>
        <v>0.6631853786</v>
      </c>
    </row>
    <row r="481">
      <c r="A481" s="71">
        <f t="shared" si="4"/>
        <v>477</v>
      </c>
      <c r="B481" s="47" t="s">
        <v>613</v>
      </c>
      <c r="C481" s="72" t="str">
        <f>IFERROR(__xludf.DUMMYFUNCTION("iferror(divide(googlefinance($B481,""marketcap""),1000000),"""")"),"")</f>
        <v/>
      </c>
      <c r="D481" s="72" t="str">
        <f>IFERROR(__xludf.DUMMYFUNCTION("iferror(divide(googlefinance($B481,""shares""),1000),"""")"),"")</f>
        <v/>
      </c>
      <c r="E481" s="72" t="str">
        <f>IFERROR(__xludf.DUMMYFUNCTION("iferror(divide(googlefinance($B481,""volumeavg""),1000),"""")"),"")</f>
        <v/>
      </c>
      <c r="F481" s="73" t="str">
        <f>IFERROR(__xludf.DUMMYFUNCTION("iferror(MINUS(divide(GOOGLEFINANCE($B481), INDEX(GOOGLEFINANCE($B481,""price"",today()-182),2,2)),1),"""")"),"")</f>
        <v/>
      </c>
      <c r="G481" s="61" t="str">
        <f>IFERROR(__xludf.DUMMYFUNCTION("iferror(MINUS(divide(GOOGLEFINANCE($B481), INDEX(GOOGLEFINANCE($B481,""price"",today()-364),2,2)),1),"""")"),"")</f>
        <v/>
      </c>
    </row>
    <row r="482">
      <c r="A482" s="71">
        <f t="shared" si="4"/>
        <v>478</v>
      </c>
      <c r="B482" s="47" t="s">
        <v>615</v>
      </c>
      <c r="C482" s="72">
        <f>IFERROR(__xludf.DUMMYFUNCTION("iferror(divide(googlefinance($B482,""marketcap""),1000000),"""")"),5161.041201)</f>
        <v>5161.041201</v>
      </c>
      <c r="D482" s="72">
        <f>IFERROR(__xludf.DUMMYFUNCTION("iferror(divide(googlefinance($B482,""shares""),1000),"""")"),740465.0)</f>
        <v>740465</v>
      </c>
      <c r="E482" s="72">
        <f>IFERROR(__xludf.DUMMYFUNCTION("iferror(divide(googlefinance($B482,""volumeavg""),1000),"""")"),2204.782)</f>
        <v>2204.782</v>
      </c>
      <c r="F482" s="73">
        <f>IFERROR(__xludf.DUMMYFUNCTION("iferror(MINUS(divide(GOOGLEFINANCE($B482), INDEX(GOOGLEFINANCE($B482,""price"",today()-182),2,2)),1),"""")"),-0.22451994091580496)</f>
        <v>-0.2245199409</v>
      </c>
      <c r="G482" s="61">
        <f>IFERROR(__xludf.DUMMYFUNCTION("iferror(MINUS(divide(GOOGLEFINANCE($B482), INDEX(GOOGLEFINANCE($B482,""price"",today()-364),2,2)),1),"""")"),-0.7194013896312133)</f>
        <v>-0.7194013896</v>
      </c>
    </row>
    <row r="483">
      <c r="A483" s="71">
        <f t="shared" si="4"/>
        <v>479</v>
      </c>
      <c r="B483" s="47" t="s">
        <v>616</v>
      </c>
      <c r="C483" s="72">
        <f>IFERROR(__xludf.DUMMYFUNCTION("iferror(divide(googlefinance($B483,""marketcap""),1000000),"""")"),490.963985)</f>
        <v>490.963985</v>
      </c>
      <c r="D483" s="72">
        <f>IFERROR(__xludf.DUMMYFUNCTION("iferror(divide(googlefinance($B483,""shares""),1000),"""")"),127117.0)</f>
        <v>127117</v>
      </c>
      <c r="E483" s="72">
        <f>IFERROR(__xludf.DUMMYFUNCTION("iferror(divide(googlefinance($B483,""volumeavg""),1000),"""")"),2772.072)</f>
        <v>2772.072</v>
      </c>
      <c r="F483" s="73">
        <f>IFERROR(__xludf.DUMMYFUNCTION("iferror(MINUS(divide(GOOGLEFINANCE($B483), INDEX(GOOGLEFINANCE($B483,""price"",today()-182),2,2)),1),"""")"),0.5644171779141105)</f>
        <v>0.5644171779</v>
      </c>
      <c r="G483" s="61">
        <f>IFERROR(__xludf.DUMMYFUNCTION("iferror(MINUS(divide(GOOGLEFINANCE($B483), INDEX(GOOGLEFINANCE($B483,""price"",today()-364),2,2)),1),"""")"),-0.14715719063545163)</f>
        <v>-0.1471571906</v>
      </c>
    </row>
    <row r="484">
      <c r="A484" s="71">
        <f t="shared" si="4"/>
        <v>480</v>
      </c>
      <c r="B484" s="47" t="s">
        <v>617</v>
      </c>
      <c r="C484" s="72">
        <f>IFERROR(__xludf.DUMMYFUNCTION("iferror(divide(googlefinance($B484,""marketcap""),1000000),"""")"),116.747962)</f>
        <v>116.747962</v>
      </c>
      <c r="D484" s="72">
        <f>IFERROR(__xludf.DUMMYFUNCTION("iferror(divide(googlefinance($B484,""shares""),1000),"""")"),18302.0)</f>
        <v>18302</v>
      </c>
      <c r="E484" s="72">
        <f>IFERROR(__xludf.DUMMYFUNCTION("iferror(divide(googlefinance($B484,""volumeavg""),1000),"""")"),6.272)</f>
        <v>6.272</v>
      </c>
      <c r="F484" s="73" t="str">
        <f>IFERROR(__xludf.DUMMYFUNCTION("iferror(MINUS(divide(GOOGLEFINANCE($B484), INDEX(GOOGLEFINANCE($B484,""price"",today()-182),2,2)),1),"""")"),"")</f>
        <v/>
      </c>
      <c r="G484" s="61" t="str">
        <f>IFERROR(__xludf.DUMMYFUNCTION("iferror(MINUS(divide(GOOGLEFINANCE($B484), INDEX(GOOGLEFINANCE($B484,""price"",today()-364),2,2)),1),"""")"),"")</f>
        <v/>
      </c>
    </row>
    <row r="485">
      <c r="A485" s="71">
        <f t="shared" si="4"/>
        <v>481</v>
      </c>
      <c r="B485" s="47" t="s">
        <v>618</v>
      </c>
      <c r="C485" s="72">
        <f>IFERROR(__xludf.DUMMYFUNCTION("iferror(divide(googlefinance($B485,""marketcap""),1000000),"""")"),258.027413)</f>
        <v>258.027413</v>
      </c>
      <c r="D485" s="72">
        <f>IFERROR(__xludf.DUMMYFUNCTION("iferror(divide(googlefinance($B485,""shares""),1000),"""")"),14154.0)</f>
        <v>14154</v>
      </c>
      <c r="E485" s="72">
        <f>IFERROR(__xludf.DUMMYFUNCTION("iferror(divide(googlefinance($B485,""volumeavg""),1000),"""")"),47.952)</f>
        <v>47.952</v>
      </c>
      <c r="F485" s="73">
        <f>IFERROR(__xludf.DUMMYFUNCTION("iferror(MINUS(divide(GOOGLEFINANCE($B485), INDEX(GOOGLEFINANCE($B485,""price"",today()-182),2,2)),1),"""")"),2.0383333333333336)</f>
        <v>2.038333333</v>
      </c>
      <c r="G485" s="61">
        <f>IFERROR(__xludf.DUMMYFUNCTION("iferror(MINUS(divide(GOOGLEFINANCE($B485), INDEX(GOOGLEFINANCE($B485,""price"",today()-364),2,2)),1),"""")"),0.6161347517730498)</f>
        <v>0.6161347518</v>
      </c>
    </row>
    <row r="486">
      <c r="A486" s="71">
        <f t="shared" si="4"/>
        <v>482</v>
      </c>
      <c r="B486" s="47" t="s">
        <v>619</v>
      </c>
      <c r="C486" s="72">
        <f>IFERROR(__xludf.DUMMYFUNCTION("iferror(divide(googlefinance($B486,""marketcap""),1000000),"""")"),2214.271543)</f>
        <v>2214.271543</v>
      </c>
      <c r="D486" s="72">
        <f>IFERROR(__xludf.DUMMYFUNCTION("iferror(divide(googlefinance($B486,""shares""),1000),"""")"),26038.0)</f>
        <v>26038</v>
      </c>
      <c r="E486" s="72">
        <f>IFERROR(__xludf.DUMMYFUNCTION("iferror(divide(googlefinance($B486,""volumeavg""),1000),"""")"),77.14)</f>
        <v>77.14</v>
      </c>
      <c r="F486" s="73">
        <f>IFERROR(__xludf.DUMMYFUNCTION("iferror(MINUS(divide(GOOGLEFINANCE($B486), INDEX(GOOGLEFINANCE($B486,""price"",today()-182),2,2)),1),"""")"),0.2548325217647929)</f>
        <v>0.2548325218</v>
      </c>
      <c r="G486" s="61">
        <f>IFERROR(__xludf.DUMMYFUNCTION("iferror(MINUS(divide(GOOGLEFINANCE($B486), INDEX(GOOGLEFINANCE($B486,""price"",today()-364),2,2)),1),"""")"),0.08469387755102042)</f>
        <v>0.08469387755</v>
      </c>
    </row>
    <row r="487">
      <c r="A487" s="71">
        <f t="shared" si="4"/>
        <v>483</v>
      </c>
      <c r="B487" s="47" t="s">
        <v>620</v>
      </c>
      <c r="C487" s="72">
        <f>IFERROR(__xludf.DUMMYFUNCTION("iferror(divide(googlefinance($B487,""marketcap""),1000000),"""")"),5523.866188)</f>
        <v>5523.866188</v>
      </c>
      <c r="D487" s="72">
        <f>IFERROR(__xludf.DUMMYFUNCTION("iferror(divide(googlefinance($B487,""shares""),1000),"""")"),44198.0)</f>
        <v>44198</v>
      </c>
      <c r="E487" s="72">
        <f>IFERROR(__xludf.DUMMYFUNCTION("iferror(divide(googlefinance($B487,""volumeavg""),1000),"""")"),23.452)</f>
        <v>23.452</v>
      </c>
      <c r="F487" s="73">
        <f>IFERROR(__xludf.DUMMYFUNCTION("iferror(MINUS(divide(GOOGLEFINANCE($B487), INDEX(GOOGLEFINANCE($B487,""price"",today()-182),2,2)),1),"""")"),0.04402305571798526)</f>
        <v>0.04402305572</v>
      </c>
      <c r="G487" s="61">
        <f>IFERROR(__xludf.DUMMYFUNCTION("iferror(MINUS(divide(GOOGLEFINANCE($B487), INDEX(GOOGLEFINANCE($B487,""price"",today()-364),2,2)),1),"""")"),-0.22130841121495326)</f>
        <v>-0.2213084112</v>
      </c>
    </row>
    <row r="488">
      <c r="A488" s="71">
        <f t="shared" si="4"/>
        <v>484</v>
      </c>
      <c r="B488" s="47" t="s">
        <v>621</v>
      </c>
      <c r="C488" s="72">
        <f>IFERROR(__xludf.DUMMYFUNCTION("iferror(divide(googlefinance($B488,""marketcap""),1000000),"""")"),1052.914275)</f>
        <v>1052.914275</v>
      </c>
      <c r="D488" s="72">
        <f>IFERROR(__xludf.DUMMYFUNCTION("iferror(divide(googlefinance($B488,""shares""),1000),"""")"),27825.0)</f>
        <v>27825</v>
      </c>
      <c r="E488" s="72">
        <f>IFERROR(__xludf.DUMMYFUNCTION("iferror(divide(googlefinance($B488,""volumeavg""),1000),"""")"),661.84)</f>
        <v>661.84</v>
      </c>
      <c r="F488" s="73">
        <f>IFERROR(__xludf.DUMMYFUNCTION("iferror(MINUS(divide(GOOGLEFINANCE($B488), INDEX(GOOGLEFINANCE($B488,""price"",today()-182),2,2)),1),"""")"),0.10772833723653408)</f>
        <v>0.1077283372</v>
      </c>
      <c r="G488" s="61">
        <f>IFERROR(__xludf.DUMMYFUNCTION("iferror(MINUS(divide(GOOGLEFINANCE($B488), INDEX(GOOGLEFINANCE($B488,""price"",today()-364),2,2)),1),"""")"),0.04443831079216132)</f>
        <v>0.04443831079</v>
      </c>
    </row>
    <row r="489">
      <c r="A489" s="71">
        <f t="shared" si="4"/>
        <v>485</v>
      </c>
      <c r="B489" s="47" t="s">
        <v>622</v>
      </c>
      <c r="C489" s="72">
        <f>IFERROR(__xludf.DUMMYFUNCTION("iferror(divide(googlefinance($B489,""marketcap""),1000000),"""")"),387.31938)</f>
        <v>387.31938</v>
      </c>
      <c r="D489" s="72">
        <f>IFERROR(__xludf.DUMMYFUNCTION("iferror(divide(googlefinance($B489,""shares""),1000),"""")"),25053.0)</f>
        <v>25053</v>
      </c>
      <c r="E489" s="72">
        <f>IFERROR(__xludf.DUMMYFUNCTION("iferror(divide(googlefinance($B489,""volumeavg""),1000),"""")"),410.863)</f>
        <v>410.863</v>
      </c>
      <c r="F489" s="73">
        <f>IFERROR(__xludf.DUMMYFUNCTION("iferror(MINUS(divide(GOOGLEFINANCE($B489), INDEX(GOOGLEFINANCE($B489,""price"",today()-182),2,2)),1),"""")"),0.38035714285714306)</f>
        <v>0.3803571429</v>
      </c>
      <c r="G489" s="61">
        <f>IFERROR(__xludf.DUMMYFUNCTION("iferror(MINUS(divide(GOOGLEFINANCE($B489), INDEX(GOOGLEFINANCE($B489,""price"",today()-364),2,2)),1),"""")"),-0.15611353711790388)</f>
        <v>-0.1561135371</v>
      </c>
    </row>
    <row r="490">
      <c r="A490" s="71">
        <f t="shared" si="4"/>
        <v>486</v>
      </c>
      <c r="B490" s="47" t="s">
        <v>623</v>
      </c>
      <c r="C490" s="72">
        <f>IFERROR(__xludf.DUMMYFUNCTION("iferror(divide(googlefinance($B490,""marketcap""),1000000),"""")"),42014.501854)</f>
        <v>42014.50185</v>
      </c>
      <c r="D490" s="72">
        <f>IFERROR(__xludf.DUMMYFUNCTION("iferror(divide(googlefinance($B490,""shares""),1000),"""")"),400100.0)</f>
        <v>400100</v>
      </c>
      <c r="E490" s="72">
        <f>IFERROR(__xludf.DUMMYFUNCTION("iferror(divide(googlefinance($B490,""volumeavg""),1000),"""")"),1505.752)</f>
        <v>1505.752</v>
      </c>
      <c r="F490" s="73">
        <f>IFERROR(__xludf.DUMMYFUNCTION("iferror(MINUS(divide(GOOGLEFINANCE($B490), INDEX(GOOGLEFINANCE($B490,""price"",today()-182),2,2)),1),"""")"),0.6172801478515324)</f>
        <v>0.6172801479</v>
      </c>
      <c r="G490" s="61">
        <f>IFERROR(__xludf.DUMMYFUNCTION("iferror(MINUS(divide(GOOGLEFINANCE($B490), INDEX(GOOGLEFINANCE($B490,""price"",today()-364),2,2)),1),"""")"),0.25655139404092386)</f>
        <v>0.256551394</v>
      </c>
    </row>
    <row r="491">
      <c r="A491" s="71">
        <f t="shared" si="4"/>
        <v>487</v>
      </c>
      <c r="B491" s="47" t="s">
        <v>624</v>
      </c>
      <c r="C491" s="72">
        <f>IFERROR(__xludf.DUMMYFUNCTION("iferror(divide(googlefinance($B491,""marketcap""),1000000),"""")"),419.496049)</f>
        <v>419.496049</v>
      </c>
      <c r="D491" s="72">
        <f>IFERROR(__xludf.DUMMYFUNCTION("iferror(divide(googlefinance($B491,""shares""),1000),"""")"),16854.0)</f>
        <v>16854</v>
      </c>
      <c r="E491" s="72">
        <f>IFERROR(__xludf.DUMMYFUNCTION("iferror(divide(googlefinance($B491,""volumeavg""),1000),"""")"),84.391)</f>
        <v>84.391</v>
      </c>
      <c r="F491" s="73">
        <f>IFERROR(__xludf.DUMMYFUNCTION("iferror(MINUS(divide(GOOGLEFINANCE($B491), INDEX(GOOGLEFINANCE($B491,""price"",today()-182),2,2)),1),"""")"),0.05734919286321172)</f>
        <v>0.05734919286</v>
      </c>
      <c r="G491" s="61" t="str">
        <f>IFERROR(__xludf.DUMMYFUNCTION("iferror(MINUS(divide(GOOGLEFINANCE($B491), INDEX(GOOGLEFINANCE($B491,""price"",today()-364),2,2)),1),"""")"),"")</f>
        <v/>
      </c>
    </row>
    <row r="492">
      <c r="A492" s="71">
        <f t="shared" si="4"/>
        <v>488</v>
      </c>
      <c r="B492" s="47" t="s">
        <v>625</v>
      </c>
      <c r="C492" s="72">
        <f>IFERROR(__xludf.DUMMYFUNCTION("iferror(divide(googlefinance($B492,""marketcap""),1000000),"""")"),170.162717)</f>
        <v>170.162717</v>
      </c>
      <c r="D492" s="72">
        <f>IFERROR(__xludf.DUMMYFUNCTION("iferror(divide(googlefinance($B492,""shares""),1000),"""")"),20956.0)</f>
        <v>20956</v>
      </c>
      <c r="E492" s="72">
        <f>IFERROR(__xludf.DUMMYFUNCTION("iferror(divide(googlefinance($B492,""volumeavg""),1000),"""")"),647.664)</f>
        <v>647.664</v>
      </c>
      <c r="F492" s="73">
        <f>IFERROR(__xludf.DUMMYFUNCTION("iferror(MINUS(divide(GOOGLEFINANCE($B492), INDEX(GOOGLEFINANCE($B492,""price"",today()-182),2,2)),1),"""")"),1.6193548387096772)</f>
        <v>1.619354839</v>
      </c>
      <c r="G492" s="61">
        <f>IFERROR(__xludf.DUMMYFUNCTION("iferror(MINUS(divide(GOOGLEFINANCE($B492), INDEX(GOOGLEFINANCE($B492,""price"",today()-364),2,2)),1),"""")"),0.13725490196078427)</f>
        <v>0.137254902</v>
      </c>
    </row>
    <row r="493">
      <c r="A493" s="71">
        <f t="shared" si="4"/>
        <v>489</v>
      </c>
      <c r="B493" s="47" t="s">
        <v>626</v>
      </c>
      <c r="C493" s="72">
        <f>IFERROR(__xludf.DUMMYFUNCTION("iferror(divide(googlefinance($B493,""marketcap""),1000000),"""")"),1849.658323)</f>
        <v>1849.658323</v>
      </c>
      <c r="D493" s="72">
        <f>IFERROR(__xludf.DUMMYFUNCTION("iferror(divide(googlefinance($B493,""shares""),1000),"""")"),220025.0)</f>
        <v>220025</v>
      </c>
      <c r="E493" s="72">
        <f>IFERROR(__xludf.DUMMYFUNCTION("iferror(divide(googlefinance($B493,""volumeavg""),1000),"""")"),1787.165)</f>
        <v>1787.165</v>
      </c>
      <c r="F493" s="73">
        <f>IFERROR(__xludf.DUMMYFUNCTION("iferror(MINUS(divide(GOOGLEFINANCE($B493), INDEX(GOOGLEFINANCE($B493,""price"",today()-182),2,2)),1),"""")"),0.16385542168674694)</f>
        <v>0.1638554217</v>
      </c>
      <c r="G493" s="61">
        <f>IFERROR(__xludf.DUMMYFUNCTION("iferror(MINUS(divide(GOOGLEFINANCE($B493), INDEX(GOOGLEFINANCE($B493,""price"",today()-364),2,2)),1),"""")"),0.1103448275862069)</f>
        <v>0.1103448276</v>
      </c>
    </row>
    <row r="494">
      <c r="A494" s="71">
        <f t="shared" si="4"/>
        <v>490</v>
      </c>
      <c r="B494" s="47" t="s">
        <v>627</v>
      </c>
      <c r="C494" s="72">
        <f>IFERROR(__xludf.DUMMYFUNCTION("iferror(divide(googlefinance($B494,""marketcap""),1000000),"""")"),191.820791)</f>
        <v>191.820791</v>
      </c>
      <c r="D494" s="72">
        <f>IFERROR(__xludf.DUMMYFUNCTION("iferror(divide(googlefinance($B494,""shares""),1000),"""")"),81280.0)</f>
        <v>81280</v>
      </c>
      <c r="E494" s="72">
        <f>IFERROR(__xludf.DUMMYFUNCTION("iferror(divide(googlefinance($B494,""volumeavg""),1000),"""")"),6181.262)</f>
        <v>6181.262</v>
      </c>
      <c r="F494" s="73">
        <f>IFERROR(__xludf.DUMMYFUNCTION("iferror(MINUS(divide(GOOGLEFINANCE($B494), INDEX(GOOGLEFINANCE($B494,""price"",today()-182),2,2)),1),"""")"),-0.41000000000000003)</f>
        <v>-0.41</v>
      </c>
      <c r="G494" s="61">
        <f>IFERROR(__xludf.DUMMYFUNCTION("iferror(MINUS(divide(GOOGLEFINANCE($B494), INDEX(GOOGLEFINANCE($B494,""price"",today()-364),2,2)),1),"""")"),-0.5504761904761906)</f>
        <v>-0.5504761905</v>
      </c>
    </row>
    <row r="495">
      <c r="A495" s="71">
        <f t="shared" si="4"/>
        <v>491</v>
      </c>
      <c r="B495" s="47" t="s">
        <v>628</v>
      </c>
      <c r="C495" s="72">
        <f>IFERROR(__xludf.DUMMYFUNCTION("iferror(divide(googlefinance($B495,""marketcap""),1000000),"""")"),226.637813)</f>
        <v>226.637813</v>
      </c>
      <c r="D495" s="72">
        <f>IFERROR(__xludf.DUMMYFUNCTION("iferror(divide(googlefinance($B495,""shares""),1000),"""")"),31639.0)</f>
        <v>31639</v>
      </c>
      <c r="E495" s="72">
        <f>IFERROR(__xludf.DUMMYFUNCTION("iferror(divide(googlefinance($B495,""volumeavg""),1000),"""")"),642.026)</f>
        <v>642.026</v>
      </c>
      <c r="F495" s="73">
        <f>IFERROR(__xludf.DUMMYFUNCTION("iferror(MINUS(divide(GOOGLEFINANCE($B495), INDEX(GOOGLEFINANCE($B495,""price"",today()-182),2,2)),1),"""")"),1.879120879120879)</f>
        <v>1.879120879</v>
      </c>
      <c r="G495" s="61" t="str">
        <f>IFERROR(__xludf.DUMMYFUNCTION("iferror(MINUS(divide(GOOGLEFINANCE($B495), INDEX(GOOGLEFINANCE($B495,""price"",today()-364),2,2)),1),"""")"),"")</f>
        <v/>
      </c>
    </row>
    <row r="496">
      <c r="A496" s="71">
        <f t="shared" si="4"/>
        <v>492</v>
      </c>
      <c r="B496" s="47" t="s">
        <v>629</v>
      </c>
      <c r="C496" s="72">
        <f>IFERROR(__xludf.DUMMYFUNCTION("iferror(divide(googlefinance($B496,""marketcap""),1000000),"""")"),14.071617)</f>
        <v>14.071617</v>
      </c>
      <c r="D496" s="72">
        <f>IFERROR(__xludf.DUMMYFUNCTION("iferror(divide(googlefinance($B496,""shares""),1000),"""")"),14809.0)</f>
        <v>14809</v>
      </c>
      <c r="E496" s="72">
        <f>IFERROR(__xludf.DUMMYFUNCTION("iferror(divide(googlefinance($B496,""volumeavg""),1000),"""")"),23.703)</f>
        <v>23.703</v>
      </c>
      <c r="F496" s="73">
        <f>IFERROR(__xludf.DUMMYFUNCTION("iferror(MINUS(divide(GOOGLEFINANCE($B496), INDEX(GOOGLEFINANCE($B496,""price"",today()-182),2,2)),1),"""")"),-0.05940594059405946)</f>
        <v>-0.05940594059</v>
      </c>
      <c r="G496" s="61" t="str">
        <f>IFERROR(__xludf.DUMMYFUNCTION("iferror(MINUS(divide(GOOGLEFINANCE($B496), INDEX(GOOGLEFINANCE($B496,""price"",today()-364),2,2)),1),"""")"),"")</f>
        <v/>
      </c>
    </row>
    <row r="497">
      <c r="A497" s="71">
        <f t="shared" si="4"/>
        <v>493</v>
      </c>
      <c r="B497" s="47" t="s">
        <v>630</v>
      </c>
      <c r="C497" s="72">
        <f>IFERROR(__xludf.DUMMYFUNCTION("iferror(divide(googlefinance($B497,""marketcap""),1000000),"""")"),229.30088)</f>
        <v>229.30088</v>
      </c>
      <c r="D497" s="72">
        <f>IFERROR(__xludf.DUMMYFUNCTION("iferror(divide(googlefinance($B497,""shares""),1000),"""")"),46137.0)</f>
        <v>46137</v>
      </c>
      <c r="E497" s="72">
        <f>IFERROR(__xludf.DUMMYFUNCTION("iferror(divide(googlefinance($B497,""volumeavg""),1000),"""")"),142.268)</f>
        <v>142.268</v>
      </c>
      <c r="F497" s="73">
        <f>IFERROR(__xludf.DUMMYFUNCTION("iferror(MINUS(divide(GOOGLEFINANCE($B497), INDEX(GOOGLEFINANCE($B497,""price"",today()-182),2,2)),1),"""")"),0.45321637426900585)</f>
        <v>0.4532163743</v>
      </c>
      <c r="G497" s="61">
        <f>IFERROR(__xludf.DUMMYFUNCTION("iferror(MINUS(divide(GOOGLEFINANCE($B497), INDEX(GOOGLEFINANCE($B497,""price"",today()-364),2,2)),1),"""")"),-0.3684879288437103)</f>
        <v>-0.3684879288</v>
      </c>
    </row>
    <row r="498">
      <c r="A498" s="71">
        <f t="shared" si="4"/>
        <v>494</v>
      </c>
      <c r="B498" s="47" t="s">
        <v>631</v>
      </c>
      <c r="C498" s="72">
        <f>IFERROR(__xludf.DUMMYFUNCTION("iferror(divide(googlefinance($B498,""marketcap""),1000000),"""")"),125.114207)</f>
        <v>125.114207</v>
      </c>
      <c r="D498" s="72">
        <f>IFERROR(__xludf.DUMMYFUNCTION("iferror(divide(googlefinance($B498,""shares""),1000),"""")"),26011.0)</f>
        <v>26011</v>
      </c>
      <c r="E498" s="72">
        <f>IFERROR(__xludf.DUMMYFUNCTION("iferror(divide(googlefinance($B498,""volumeavg""),1000),"""")"),548.371)</f>
        <v>548.371</v>
      </c>
      <c r="F498" s="73">
        <f>IFERROR(__xludf.DUMMYFUNCTION("iferror(MINUS(divide(GOOGLEFINANCE($B498), INDEX(GOOGLEFINANCE($B498,""price"",today()-182),2,2)),1),"""")"),4.344444444444444)</f>
        <v>4.344444444</v>
      </c>
      <c r="G498" s="61">
        <f>IFERROR(__xludf.DUMMYFUNCTION("iferror(MINUS(divide(GOOGLEFINANCE($B498), INDEX(GOOGLEFINANCE($B498,""price"",today()-364),2,2)),1),"""")"),4.063157894736842)</f>
        <v>4.063157895</v>
      </c>
    </row>
    <row r="499">
      <c r="A499" s="71">
        <f t="shared" si="4"/>
        <v>495</v>
      </c>
      <c r="B499" s="47" t="s">
        <v>632</v>
      </c>
      <c r="C499" s="72">
        <f>IFERROR(__xludf.DUMMYFUNCTION("iferror(divide(googlefinance($B499,""marketcap""),1000000),"""")"),52033.505807)</f>
        <v>52033.50581</v>
      </c>
      <c r="D499" s="72">
        <f>IFERROR(__xludf.DUMMYFUNCTION("iferror(divide(googlefinance($B499,""shares""),1000),"""")"),621741.0)</f>
        <v>621741</v>
      </c>
      <c r="E499" s="72">
        <f>IFERROR(__xludf.DUMMYFUNCTION("iferror(divide(googlefinance($B499,""volumeavg""),1000),"""")"),2344.55)</f>
        <v>2344.55</v>
      </c>
      <c r="F499" s="73">
        <f>IFERROR(__xludf.DUMMYFUNCTION("iferror(MINUS(divide(GOOGLEFINANCE($B499), INDEX(GOOGLEFINANCE($B499,""price"",today()-182),2,2)),1),"""")"),0.5084715212689257)</f>
        <v>0.5084715213</v>
      </c>
      <c r="G499" s="61">
        <f>IFERROR(__xludf.DUMMYFUNCTION("iferror(MINUS(divide(GOOGLEFINANCE($B499), INDEX(GOOGLEFINANCE($B499,""price"",today()-364),2,2)),1),"""")"),0.1429937175635072)</f>
        <v>0.1429937176</v>
      </c>
    </row>
    <row r="500">
      <c r="A500" s="71">
        <f t="shared" si="4"/>
        <v>496</v>
      </c>
      <c r="B500" s="47" t="s">
        <v>633</v>
      </c>
      <c r="C500" s="72">
        <f>IFERROR(__xludf.DUMMYFUNCTION("iferror(divide(googlefinance($B500,""marketcap""),1000000),"""")"),11246.006538)</f>
        <v>11246.00654</v>
      </c>
      <c r="D500" s="72">
        <f>IFERROR(__xludf.DUMMYFUNCTION("iferror(divide(googlefinance($B500,""shares""),1000),"""")"),150167.0)</f>
        <v>150167</v>
      </c>
      <c r="E500" s="72">
        <f>IFERROR(__xludf.DUMMYFUNCTION("iferror(divide(googlefinance($B500,""volumeavg""),1000),"""")"),1526.985)</f>
        <v>1526.985</v>
      </c>
      <c r="F500" s="73">
        <f>IFERROR(__xludf.DUMMYFUNCTION("iferror(MINUS(divide(GOOGLEFINANCE($B500), INDEX(GOOGLEFINANCE($B500,""price"",today()-182),2,2)),1),"""")"),0.45107537298973077)</f>
        <v>0.451075373</v>
      </c>
      <c r="G500" s="61">
        <f>IFERROR(__xludf.DUMMYFUNCTION("iferror(MINUS(divide(GOOGLEFINANCE($B500), INDEX(GOOGLEFINANCE($B500,""price"",today()-364),2,2)),1),"""")"),-0.2796960661729345)</f>
        <v>-0.2796960662</v>
      </c>
    </row>
    <row r="501">
      <c r="A501" s="71">
        <f t="shared" si="4"/>
        <v>497</v>
      </c>
      <c r="B501" s="47" t="s">
        <v>634</v>
      </c>
      <c r="C501" s="72">
        <f>IFERROR(__xludf.DUMMYFUNCTION("iferror(divide(googlefinance($B501,""marketcap""),1000000),"""")"),8324.352405)</f>
        <v>8324.352405</v>
      </c>
      <c r="D501" s="72">
        <f>IFERROR(__xludf.DUMMYFUNCTION("iferror(divide(googlefinance($B501,""shares""),1000),"""")"),308996.0)</f>
        <v>308996</v>
      </c>
      <c r="E501" s="72">
        <f>IFERROR(__xludf.DUMMYFUNCTION("iferror(divide(googlefinance($B501,""volumeavg""),1000),"""")"),1909.525)</f>
        <v>1909.525</v>
      </c>
      <c r="F501" s="73">
        <f>IFERROR(__xludf.DUMMYFUNCTION("iferror(MINUS(divide(GOOGLEFINANCE($B501), INDEX(GOOGLEFINANCE($B501,""price"",today()-182),2,2)),1),"""")"),0.7782178217821782)</f>
        <v>0.7782178218</v>
      </c>
      <c r="G501" s="61">
        <f>IFERROR(__xludf.DUMMYFUNCTION("iferror(MINUS(divide(GOOGLEFINANCE($B501), INDEX(GOOGLEFINANCE($B501,""price"",today()-364),2,2)),1),"""")"),0.3773006134969328)</f>
        <v>0.3773006135</v>
      </c>
    </row>
    <row r="502">
      <c r="A502" s="71">
        <f t="shared" si="4"/>
        <v>498</v>
      </c>
      <c r="B502" s="47" t="s">
        <v>635</v>
      </c>
      <c r="C502" s="72">
        <f>IFERROR(__xludf.DUMMYFUNCTION("iferror(divide(googlefinance($B502,""marketcap""),1000000),"""")"),663.348672)</f>
        <v>663.348672</v>
      </c>
      <c r="D502" s="72">
        <f>IFERROR(__xludf.DUMMYFUNCTION("iferror(divide(googlefinance($B502,""shares""),1000),"""")"),154988.0)</f>
        <v>154988</v>
      </c>
      <c r="E502" s="72">
        <f>IFERROR(__xludf.DUMMYFUNCTION("iferror(divide(googlefinance($B502,""volumeavg""),1000),"""")"),4930.896)</f>
        <v>4930.896</v>
      </c>
      <c r="F502" s="73">
        <f>IFERROR(__xludf.DUMMYFUNCTION("iferror(MINUS(divide(GOOGLEFINANCE($B502), INDEX(GOOGLEFINANCE($B502,""price"",today()-182),2,2)),1),"""")"),2.6581196581196584)</f>
        <v>2.658119658</v>
      </c>
      <c r="G502" s="61">
        <f>IFERROR(__xludf.DUMMYFUNCTION("iferror(MINUS(divide(GOOGLEFINANCE($B502), INDEX(GOOGLEFINANCE($B502,""price"",today()-364),2,2)),1),"""")"),0.7188755020080322)</f>
        <v>0.718875502</v>
      </c>
    </row>
    <row r="503">
      <c r="A503" s="71">
        <f t="shared" si="4"/>
        <v>499</v>
      </c>
      <c r="B503" s="47" t="s">
        <v>636</v>
      </c>
      <c r="C503" s="72">
        <f>IFERROR(__xludf.DUMMYFUNCTION("iferror(divide(googlefinance($B503,""marketcap""),1000000),"""")"),3706.768749)</f>
        <v>3706.768749</v>
      </c>
      <c r="D503" s="72">
        <f>IFERROR(__xludf.DUMMYFUNCTION("iferror(divide(googlefinance($B503,""shares""),1000),"""")"),41757.0)</f>
        <v>41757</v>
      </c>
      <c r="E503" s="72">
        <f>IFERROR(__xludf.DUMMYFUNCTION("iferror(divide(googlefinance($B503,""volumeavg""),1000),"""")"),249.07)</f>
        <v>249.07</v>
      </c>
      <c r="F503" s="73">
        <f>IFERROR(__xludf.DUMMYFUNCTION("iferror(MINUS(divide(GOOGLEFINANCE($B503), INDEX(GOOGLEFINANCE($B503,""price"",today()-182),2,2)),1),"""")"),0.9674202127659575)</f>
        <v>0.9674202128</v>
      </c>
      <c r="G503" s="61">
        <f>IFERROR(__xludf.DUMMYFUNCTION("iferror(MINUS(divide(GOOGLEFINANCE($B503), INDEX(GOOGLEFINANCE($B503,""price"",today()-364),2,2)),1),"""")"),-0.022033711578715476)</f>
        <v>-0.02203371158</v>
      </c>
    </row>
    <row r="504">
      <c r="A504" s="71">
        <f t="shared" si="4"/>
        <v>500</v>
      </c>
      <c r="B504" s="47" t="s">
        <v>637</v>
      </c>
      <c r="C504" s="72">
        <f>IFERROR(__xludf.DUMMYFUNCTION("iferror(divide(googlefinance($B504,""marketcap""),1000000),"""")"),15488.337959)</f>
        <v>15488.33796</v>
      </c>
      <c r="D504" s="72">
        <f>IFERROR(__xludf.DUMMYFUNCTION("iferror(divide(googlefinance($B504,""shares""),1000),"""")"),167659.0)</f>
        <v>167659</v>
      </c>
      <c r="E504" s="72">
        <f>IFERROR(__xludf.DUMMYFUNCTION("iferror(divide(googlefinance($B504,""volumeavg""),1000),"""")"),1078.613)</f>
        <v>1078.613</v>
      </c>
      <c r="F504" s="73">
        <f>IFERROR(__xludf.DUMMYFUNCTION("iferror(MINUS(divide(GOOGLEFINANCE($B504), INDEX(GOOGLEFINANCE($B504,""price"",today()-182),2,2)),1),"""")"),0.681470695303968)</f>
        <v>0.6814706953</v>
      </c>
      <c r="G504" s="61">
        <f>IFERROR(__xludf.DUMMYFUNCTION("iferror(MINUS(divide(GOOGLEFINANCE($B504), INDEX(GOOGLEFINANCE($B504,""price"",today()-364),2,2)),1),"""")"),0.24871586915382515)</f>
        <v>0.2487158692</v>
      </c>
    </row>
    <row r="505">
      <c r="A505" s="71">
        <f t="shared" si="4"/>
        <v>501</v>
      </c>
      <c r="B505" s="47" t="s">
        <v>638</v>
      </c>
      <c r="C505" s="72">
        <f>IFERROR(__xludf.DUMMYFUNCTION("iferror(divide(googlefinance($B505,""marketcap""),1000000),"""")"),62.977149)</f>
        <v>62.977149</v>
      </c>
      <c r="D505" s="72">
        <f>IFERROR(__xludf.DUMMYFUNCTION("iferror(divide(googlefinance($B505,""shares""),1000),"""")"),64838.0)</f>
        <v>64838</v>
      </c>
      <c r="E505" s="72">
        <f>IFERROR(__xludf.DUMMYFUNCTION("iferror(divide(googlefinance($B505,""volumeavg""),1000),"""")"),2013.034)</f>
        <v>2013.034</v>
      </c>
      <c r="F505" s="73">
        <f>IFERROR(__xludf.DUMMYFUNCTION("iferror(MINUS(divide(GOOGLEFINANCE($B505), INDEX(GOOGLEFINANCE($B505,""price"",today()-182),2,2)),1),"""")"),-0.436046511627907)</f>
        <v>-0.4360465116</v>
      </c>
      <c r="G505" s="61">
        <f>IFERROR(__xludf.DUMMYFUNCTION("iferror(MINUS(divide(GOOGLEFINANCE($B505), INDEX(GOOGLEFINANCE($B505,""price"",today()-364),2,2)),1),"""")"),-0.6433823529411765)</f>
        <v>-0.6433823529</v>
      </c>
    </row>
    <row r="506">
      <c r="A506" s="71">
        <f t="shared" si="4"/>
        <v>502</v>
      </c>
      <c r="B506" s="47" t="s">
        <v>639</v>
      </c>
      <c r="C506" s="72">
        <f>IFERROR(__xludf.DUMMYFUNCTION("iferror(divide(googlefinance($B506,""marketcap""),1000000),"""")"),3092.264411)</f>
        <v>3092.264411</v>
      </c>
      <c r="D506" s="72">
        <f>IFERROR(__xludf.DUMMYFUNCTION("iferror(divide(googlefinance($B506,""shares""),1000),"""")"),80423.0)</f>
        <v>80423</v>
      </c>
      <c r="E506" s="72">
        <f>IFERROR(__xludf.DUMMYFUNCTION("iferror(divide(googlefinance($B506,""volumeavg""),1000),"""")"),733.156)</f>
        <v>733.156</v>
      </c>
      <c r="F506" s="73">
        <f>IFERROR(__xludf.DUMMYFUNCTION("iferror(MINUS(divide(GOOGLEFINANCE($B506), INDEX(GOOGLEFINANCE($B506,""price"",today()-182),2,2)),1),"""")"),1.7347083926031295)</f>
        <v>1.734708393</v>
      </c>
      <c r="G506" s="61">
        <f>IFERROR(__xludf.DUMMYFUNCTION("iferror(MINUS(divide(GOOGLEFINANCE($B506), INDEX(GOOGLEFINANCE($B506,""price"",today()-364),2,2)),1),"""")"),0.5423184917769757)</f>
        <v>0.5423184918</v>
      </c>
    </row>
    <row r="507">
      <c r="A507" s="71">
        <f t="shared" si="4"/>
        <v>503</v>
      </c>
      <c r="B507" s="47" t="s">
        <v>640</v>
      </c>
      <c r="C507" s="72">
        <f>IFERROR(__xludf.DUMMYFUNCTION("iferror(divide(googlefinance($B507,""marketcap""),1000000),"""")"),283.598917)</f>
        <v>283.598917</v>
      </c>
      <c r="D507" s="72">
        <f>IFERROR(__xludf.DUMMYFUNCTION("iferror(divide(googlefinance($B507,""shares""),1000),"""")"),52098.0)</f>
        <v>52098</v>
      </c>
      <c r="E507" s="72">
        <f>IFERROR(__xludf.DUMMYFUNCTION("iferror(divide(googlefinance($B507,""volumeavg""),1000),"""")"),359.229)</f>
        <v>359.229</v>
      </c>
      <c r="F507" s="73">
        <f>IFERROR(__xludf.DUMMYFUNCTION("iferror(MINUS(divide(GOOGLEFINANCE($B507), INDEX(GOOGLEFINANCE($B507,""price"",today()-182),2,2)),1),"""")"),0.3411458333333335)</f>
        <v>0.3411458333</v>
      </c>
      <c r="G507" s="61">
        <f>IFERROR(__xludf.DUMMYFUNCTION("iferror(MINUS(divide(GOOGLEFINANCE($B507), INDEX(GOOGLEFINANCE($B507,""price"",today()-364),2,2)),1),"""")"),-0.2725988700564971)</f>
        <v>-0.2725988701</v>
      </c>
    </row>
    <row r="508">
      <c r="A508" s="71">
        <f t="shared" si="4"/>
        <v>504</v>
      </c>
      <c r="B508" s="47" t="s">
        <v>641</v>
      </c>
      <c r="C508" s="72">
        <f>IFERROR(__xludf.DUMMYFUNCTION("iferror(divide(googlefinance($B508,""marketcap""),1000000),"""")"),28446.870179)</f>
        <v>28446.87018</v>
      </c>
      <c r="D508" s="72">
        <f>IFERROR(__xludf.DUMMYFUNCTION("iferror(divide(googlefinance($B508,""shares""),1000),"""")"),3907537.0)</f>
        <v>3907537</v>
      </c>
      <c r="E508" s="72">
        <f>IFERROR(__xludf.DUMMYFUNCTION("iferror(divide(googlefinance($B508,""volumeavg""),1000),"""")"),56100.864)</f>
        <v>56100.864</v>
      </c>
      <c r="F508" s="73">
        <f>IFERROR(__xludf.DUMMYFUNCTION("iferror(MINUS(divide(GOOGLEFINANCE($B508), INDEX(GOOGLEFINANCE($B508,""price"",today()-182),2,2)),1),"""")"),0.6812933025404158)</f>
        <v>0.6812933025</v>
      </c>
      <c r="G508" s="61">
        <f>IFERROR(__xludf.DUMMYFUNCTION("iferror(MINUS(divide(GOOGLEFINANCE($B508), INDEX(GOOGLEFINANCE($B508,""price"",today()-364),2,2)),1),"""")"),-0.20610687022900764)</f>
        <v>-0.2061068702</v>
      </c>
    </row>
    <row r="509">
      <c r="A509" s="71">
        <f t="shared" si="4"/>
        <v>505</v>
      </c>
      <c r="B509" s="47" t="s">
        <v>642</v>
      </c>
      <c r="C509" s="72">
        <f>IFERROR(__xludf.DUMMYFUNCTION("iferror(divide(googlefinance($B509,""marketcap""),1000000),"""")"),4138391.39)</f>
        <v>4138391.39</v>
      </c>
      <c r="D509" s="72">
        <f>IFERROR(__xludf.DUMMYFUNCTION("iferror(divide(googlefinance($B509,""shares""),1000),"""")"),201922.0)</f>
        <v>201922</v>
      </c>
      <c r="E509" s="72">
        <f>IFERROR(__xludf.DUMMYFUNCTION("iferror(divide(googlefinance($B509,""volumeavg""),1000),"""")"),266.062)</f>
        <v>266.062</v>
      </c>
      <c r="F509" s="73">
        <f>IFERROR(__xludf.DUMMYFUNCTION("iferror(MINUS(divide(GOOGLEFINANCE($B509), INDEX(GOOGLEFINANCE($B509,""price"",today()-182),2,2)),1),"""")"),0.6954624781849912)</f>
        <v>0.6954624782</v>
      </c>
      <c r="G509" s="61">
        <f>IFERROR(__xludf.DUMMYFUNCTION("iferror(MINUS(divide(GOOGLEFINANCE($B509), INDEX(GOOGLEFINANCE($B509,""price"",today()-364),2,2)),1),"""")"),0.05254604550379183)</f>
        <v>0.0525460455</v>
      </c>
    </row>
    <row r="510">
      <c r="A510" s="71">
        <f t="shared" si="4"/>
        <v>506</v>
      </c>
      <c r="B510" s="47" t="s">
        <v>643</v>
      </c>
      <c r="C510" s="72">
        <f>IFERROR(__xludf.DUMMYFUNCTION("iferror(divide(googlefinance($B510,""marketcap""),1000000),"""")"),90.966274)</f>
        <v>90.966274</v>
      </c>
      <c r="D510" s="72">
        <f>IFERROR(__xludf.DUMMYFUNCTION("iferror(divide(googlefinance($B510,""shares""),1000),"""")"),17426.0)</f>
        <v>17426</v>
      </c>
      <c r="E510" s="72">
        <f>IFERROR(__xludf.DUMMYFUNCTION("iferror(divide(googlefinance($B510,""volumeavg""),1000),"""")"),157.072)</f>
        <v>157.072</v>
      </c>
      <c r="F510" s="73">
        <f>IFERROR(__xludf.DUMMYFUNCTION("iferror(MINUS(divide(GOOGLEFINANCE($B510), INDEX(GOOGLEFINANCE($B510,""price"",today()-182),2,2)),1),"""")"),-0.2423802612481858)</f>
        <v>-0.2423802612</v>
      </c>
      <c r="G510" s="61">
        <f>IFERROR(__xludf.DUMMYFUNCTION("iferror(MINUS(divide(GOOGLEFINANCE($B510), INDEX(GOOGLEFINANCE($B510,""price"",today()-364),2,2)),1),"""")"),-0.6387543252595156)</f>
        <v>-0.6387543253</v>
      </c>
    </row>
    <row r="511">
      <c r="A511" s="71">
        <f t="shared" si="4"/>
        <v>507</v>
      </c>
      <c r="B511" s="47" t="s">
        <v>644</v>
      </c>
      <c r="C511" s="72">
        <f>IFERROR(__xludf.DUMMYFUNCTION("iferror(divide(googlefinance($B511,""marketcap""),1000000),"""")"),25388.685797)</f>
        <v>25388.6858</v>
      </c>
      <c r="D511" s="72">
        <f>IFERROR(__xludf.DUMMYFUNCTION("iferror(divide(googlefinance($B511,""shares""),1000),"""")"),573626.0)</f>
        <v>573626</v>
      </c>
      <c r="E511" s="72">
        <f>IFERROR(__xludf.DUMMYFUNCTION("iferror(divide(googlefinance($B511,""volumeavg""),1000),"""")"),3159.826)</f>
        <v>3159.826</v>
      </c>
      <c r="F511" s="73">
        <f>IFERROR(__xludf.DUMMYFUNCTION("iferror(MINUS(divide(GOOGLEFINANCE($B511), INDEX(GOOGLEFINANCE($B511,""price"",today()-182),2,2)),1),"""")"),0.5400139178844816)</f>
        <v>0.5400139179</v>
      </c>
      <c r="G511" s="61">
        <f>IFERROR(__xludf.DUMMYFUNCTION("iferror(MINUS(divide(GOOGLEFINANCE($B511), INDEX(GOOGLEFINANCE($B511,""price"",today()-364),2,2)),1),"""")"),0.3892027620841181)</f>
        <v>0.3892027621</v>
      </c>
    </row>
    <row r="512">
      <c r="A512" s="71">
        <f t="shared" si="4"/>
        <v>508</v>
      </c>
      <c r="B512" s="47" t="s">
        <v>645</v>
      </c>
      <c r="C512" s="72">
        <f>IFERROR(__xludf.DUMMYFUNCTION("iferror(divide(googlefinance($B512,""marketcap""),1000000),"""")"),3205.847195)</f>
        <v>3205.847195</v>
      </c>
      <c r="D512" s="72">
        <f>IFERROR(__xludf.DUMMYFUNCTION("iferror(divide(googlefinance($B512,""shares""),1000),"""")"),86844.0)</f>
        <v>86844</v>
      </c>
      <c r="E512" s="72">
        <f>IFERROR(__xludf.DUMMYFUNCTION("iferror(divide(googlefinance($B512,""volumeavg""),1000),"""")"),753.55)</f>
        <v>753.55</v>
      </c>
      <c r="F512" s="73">
        <f>IFERROR(__xludf.DUMMYFUNCTION("iferror(MINUS(divide(GOOGLEFINANCE($B512), INDEX(GOOGLEFINANCE($B512,""price"",today()-182),2,2)),1),"""")"),0.6492403932082216)</f>
        <v>0.6492403932</v>
      </c>
      <c r="G512" s="61">
        <f>IFERROR(__xludf.DUMMYFUNCTION("iferror(MINUS(divide(GOOGLEFINANCE($B512), INDEX(GOOGLEFINANCE($B512,""price"",today()-364),2,2)),1),"""")"),1.028021978021978)</f>
        <v>1.028021978</v>
      </c>
    </row>
    <row r="513">
      <c r="A513" s="71">
        <f t="shared" si="4"/>
        <v>509</v>
      </c>
      <c r="B513" s="47" t="s">
        <v>646</v>
      </c>
      <c r="C513" s="72">
        <f>IFERROR(__xludf.DUMMYFUNCTION("iferror(divide(googlefinance($B513,""marketcap""),1000000),"""")"),11710.805496)</f>
        <v>11710.8055</v>
      </c>
      <c r="D513" s="72">
        <f>IFERROR(__xludf.DUMMYFUNCTION("iferror(divide(googlefinance($B513,""shares""),1000),"""")"),138148.0)</f>
        <v>138148</v>
      </c>
      <c r="E513" s="72">
        <f>IFERROR(__xludf.DUMMYFUNCTION("iferror(divide(googlefinance($B513,""volumeavg""),1000),"""")"),1023.303)</f>
        <v>1023.303</v>
      </c>
      <c r="F513" s="73">
        <f>IFERROR(__xludf.DUMMYFUNCTION("iferror(MINUS(divide(GOOGLEFINANCE($B513), INDEX(GOOGLEFINANCE($B513,""price"",today()-182),2,2)),1),"""")"),1.316120218579235)</f>
        <v>1.316120219</v>
      </c>
      <c r="G513" s="61">
        <f>IFERROR(__xludf.DUMMYFUNCTION("iferror(MINUS(divide(GOOGLEFINANCE($B513), INDEX(GOOGLEFINANCE($B513,""price"",today()-364),2,2)),1),"""")"),0.6070142180094786)</f>
        <v>0.607014218</v>
      </c>
    </row>
    <row r="514">
      <c r="A514" s="71">
        <f t="shared" si="4"/>
        <v>510</v>
      </c>
      <c r="B514" s="47" t="s">
        <v>647</v>
      </c>
      <c r="C514" s="72">
        <f>IFERROR(__xludf.DUMMYFUNCTION("iferror(divide(googlefinance($B514,""marketcap""),1000000),"""")"),395.152218)</f>
        <v>395.152218</v>
      </c>
      <c r="D514" s="72">
        <f>IFERROR(__xludf.DUMMYFUNCTION("iferror(divide(googlefinance($B514,""shares""),1000),"""")"),88007.0)</f>
        <v>88007</v>
      </c>
      <c r="E514" s="72">
        <f>IFERROR(__xludf.DUMMYFUNCTION("iferror(divide(googlefinance($B514,""volumeavg""),1000),"""")"),1917.489)</f>
        <v>1917.489</v>
      </c>
      <c r="F514" s="73">
        <f>IFERROR(__xludf.DUMMYFUNCTION("iferror(MINUS(divide(GOOGLEFINANCE($B514), INDEX(GOOGLEFINANCE($B514,""price"",today()-182),2,2)),1),"""")"),2.650406504065041)</f>
        <v>2.650406504</v>
      </c>
      <c r="G514" s="61">
        <f>IFERROR(__xludf.DUMMYFUNCTION("iferror(MINUS(divide(GOOGLEFINANCE($B514), INDEX(GOOGLEFINANCE($B514,""price"",today()-364),2,2)),1),"""")"),1.7716049382716048)</f>
        <v>1.771604938</v>
      </c>
    </row>
    <row r="515">
      <c r="A515" s="71">
        <f t="shared" si="4"/>
        <v>511</v>
      </c>
      <c r="B515" s="47" t="s">
        <v>648</v>
      </c>
      <c r="C515" s="72">
        <f>IFERROR(__xludf.DUMMYFUNCTION("iferror(divide(googlefinance($B515,""marketcap""),1000000),"""")"),681.358639)</f>
        <v>681.358639</v>
      </c>
      <c r="D515" s="72">
        <f>IFERROR(__xludf.DUMMYFUNCTION("iferror(divide(googlefinance($B515,""shares""),1000),"""")"),43206.0)</f>
        <v>43206</v>
      </c>
      <c r="E515" s="72">
        <f>IFERROR(__xludf.DUMMYFUNCTION("iferror(divide(googlefinance($B515,""volumeavg""),1000),"""")"),165.025)</f>
        <v>165.025</v>
      </c>
      <c r="F515" s="73">
        <f>IFERROR(__xludf.DUMMYFUNCTION("iferror(MINUS(divide(GOOGLEFINANCE($B515), INDEX(GOOGLEFINANCE($B515,""price"",today()-182),2,2)),1),"""")"),0.6091836734693876)</f>
        <v>0.6091836735</v>
      </c>
      <c r="G515" s="61">
        <f>IFERROR(__xludf.DUMMYFUNCTION("iferror(MINUS(divide(GOOGLEFINANCE($B515), INDEX(GOOGLEFINANCE($B515,""price"",today()-364),2,2)),1),"""")"),-0.044242424242424305)</f>
        <v>-0.04424242424</v>
      </c>
    </row>
    <row r="516">
      <c r="A516" s="71">
        <f t="shared" si="4"/>
        <v>512</v>
      </c>
      <c r="B516" s="47" t="s">
        <v>649</v>
      </c>
      <c r="C516" s="72">
        <f>IFERROR(__xludf.DUMMYFUNCTION("iferror(divide(googlefinance($B516,""marketcap""),1000000),"""")"),16683.478717)</f>
        <v>16683.47872</v>
      </c>
      <c r="D516" s="72">
        <f>IFERROR(__xludf.DUMMYFUNCTION("iferror(divide(googlefinance($B516,""shares""),1000),"""")"),1568206.0)</f>
        <v>1568206</v>
      </c>
      <c r="E516" s="72">
        <f>IFERROR(__xludf.DUMMYFUNCTION("iferror(divide(googlefinance($B516,""volumeavg""),1000),"""")"),2361.997)</f>
        <v>2361.997</v>
      </c>
      <c r="F516" s="73">
        <f>IFERROR(__xludf.DUMMYFUNCTION("iferror(MINUS(divide(GOOGLEFINANCE($B516), INDEX(GOOGLEFINANCE($B516,""price"",today()-182),2,2)),1),"""")"),1.0)</f>
        <v>1</v>
      </c>
      <c r="G516" s="61">
        <f>IFERROR(__xludf.DUMMYFUNCTION("iferror(MINUS(divide(GOOGLEFINANCE($B516), INDEX(GOOGLEFINANCE($B516,""price"",today()-364),2,2)),1),"""")"),-0.059955588452997866)</f>
        <v>-0.05995558845</v>
      </c>
    </row>
    <row r="517">
      <c r="A517" s="71">
        <f t="shared" si="4"/>
        <v>513</v>
      </c>
      <c r="B517" s="47" t="s">
        <v>650</v>
      </c>
      <c r="C517" s="72">
        <f>IFERROR(__xludf.DUMMYFUNCTION("iferror(divide(googlefinance($B517,""marketcap""),1000000),"""")"),2506.705669)</f>
        <v>2506.705669</v>
      </c>
      <c r="D517" s="72">
        <f>IFERROR(__xludf.DUMMYFUNCTION("iferror(divide(googlefinance($B517,""shares""),1000),"""")"),41440.0)</f>
        <v>41440</v>
      </c>
      <c r="E517" s="72">
        <f>IFERROR(__xludf.DUMMYFUNCTION("iferror(divide(googlefinance($B517,""volumeavg""),1000),"""")"),273.831)</f>
        <v>273.831</v>
      </c>
      <c r="F517" s="73">
        <f>IFERROR(__xludf.DUMMYFUNCTION("iferror(MINUS(divide(GOOGLEFINANCE($B517), INDEX(GOOGLEFINANCE($B517,""price"",today()-182),2,2)),1),"""")"),-0.06780705809832022)</f>
        <v>-0.0678070581</v>
      </c>
      <c r="G517" s="61">
        <f>IFERROR(__xludf.DUMMYFUNCTION("iferror(MINUS(divide(GOOGLEFINANCE($B517), INDEX(GOOGLEFINANCE($B517,""price"",today()-364),2,2)),1),"""")"),-0.357514604354753)</f>
        <v>-0.3575146044</v>
      </c>
    </row>
    <row r="518">
      <c r="A518" s="71">
        <f t="shared" si="4"/>
        <v>514</v>
      </c>
      <c r="B518" s="47" t="s">
        <v>651</v>
      </c>
      <c r="C518" s="72">
        <f>IFERROR(__xludf.DUMMYFUNCTION("iferror(divide(googlefinance($B518,""marketcap""),1000000),"""")"),24731.290567)</f>
        <v>24731.29057</v>
      </c>
      <c r="D518" s="72">
        <f>IFERROR(__xludf.DUMMYFUNCTION("iferror(divide(googlefinance($B518,""shares""),1000),"""")"),1452219.0)</f>
        <v>1452219</v>
      </c>
      <c r="E518" s="72">
        <f>IFERROR(__xludf.DUMMYFUNCTION("iferror(divide(googlefinance($B518,""volumeavg""),1000),"""")"),18764.212)</f>
        <v>18764.212</v>
      </c>
      <c r="F518" s="73">
        <f>IFERROR(__xludf.DUMMYFUNCTION("iferror(MINUS(divide(GOOGLEFINANCE($B518), INDEX(GOOGLEFINANCE($B518,""price"",today()-182),2,2)),1),"""")"),2.0851449275362324)</f>
        <v>2.085144928</v>
      </c>
      <c r="G518" s="61">
        <f>IFERROR(__xludf.DUMMYFUNCTION("iferror(MINUS(divide(GOOGLEFINANCE($B518), INDEX(GOOGLEFINANCE($B518,""price"",today()-364),2,2)),1),"""")"),0.6265520534861508)</f>
        <v>0.6265520535</v>
      </c>
    </row>
    <row r="519">
      <c r="A519" s="71">
        <f t="shared" si="4"/>
        <v>515</v>
      </c>
      <c r="B519" s="47" t="s">
        <v>652</v>
      </c>
      <c r="C519" s="72">
        <f>IFERROR(__xludf.DUMMYFUNCTION("iferror(divide(googlefinance($B519,""marketcap""),1000000),"""")"),1131.923302)</f>
        <v>1131.923302</v>
      </c>
      <c r="D519" s="72">
        <f>IFERROR(__xludf.DUMMYFUNCTION("iferror(divide(googlefinance($B519,""shares""),1000),"""")"),47341.0)</f>
        <v>47341</v>
      </c>
      <c r="E519" s="72">
        <f>IFERROR(__xludf.DUMMYFUNCTION("iferror(divide(googlefinance($B519,""volumeavg""),1000),"""")"),143.808)</f>
        <v>143.808</v>
      </c>
      <c r="F519" s="73">
        <f>IFERROR(__xludf.DUMMYFUNCTION("iferror(MINUS(divide(GOOGLEFINANCE($B519), INDEX(GOOGLEFINANCE($B519,""price"",today()-182),2,2)),1),"""")"),-0.303118624307782)</f>
        <v>-0.3031186243</v>
      </c>
      <c r="G519" s="61">
        <f>IFERROR(__xludf.DUMMYFUNCTION("iferror(MINUS(divide(GOOGLEFINANCE($B519), INDEX(GOOGLEFINANCE($B519,""price"",today()-364),2,2)),1),"""")"),-0.2219329645297755)</f>
        <v>-0.2219329645</v>
      </c>
    </row>
    <row r="520">
      <c r="A520" s="71">
        <f t="shared" si="4"/>
        <v>516</v>
      </c>
      <c r="B520" s="47" t="s">
        <v>653</v>
      </c>
      <c r="C520" s="72">
        <f>IFERROR(__xludf.DUMMYFUNCTION("iferror(divide(googlefinance($B520,""marketcap""),1000000),"""")"),64093.45584)</f>
        <v>64093.45584</v>
      </c>
      <c r="D520" s="72">
        <f>IFERROR(__xludf.DUMMYFUNCTION("iferror(divide(googlefinance($B520,""shares""),1000),"""")"),262592.0)</f>
        <v>262592</v>
      </c>
      <c r="E520" s="72">
        <f>IFERROR(__xludf.DUMMYFUNCTION("iferror(divide(googlefinance($B520,""volumeavg""),1000),"""")"),4079.344)</f>
        <v>4079.344</v>
      </c>
      <c r="F520" s="73">
        <f>IFERROR(__xludf.DUMMYFUNCTION("iferror(MINUS(divide(GOOGLEFINANCE($B520), INDEX(GOOGLEFINANCE($B520,""price"",today()-182),2,2)),1),"""")"),1.1977309562398704)</f>
        <v>1.197730956</v>
      </c>
      <c r="G520" s="61">
        <f>IFERROR(__xludf.DUMMYFUNCTION("iferror(MINUS(divide(GOOGLEFINANCE($B520), INDEX(GOOGLEFINANCE($B520,""price"",today()-364),2,2)),1),"""")"),0.6405430837478157)</f>
        <v>0.6405430837</v>
      </c>
    </row>
    <row r="521">
      <c r="A521" s="71">
        <f t="shared" si="4"/>
        <v>517</v>
      </c>
      <c r="B521" s="47" t="s">
        <v>654</v>
      </c>
      <c r="C521" s="72">
        <f>IFERROR(__xludf.DUMMYFUNCTION("iferror(divide(googlefinance($B521,""marketcap""),1000000),"""")"),156.192956)</f>
        <v>156.192956</v>
      </c>
      <c r="D521" s="72">
        <f>IFERROR(__xludf.DUMMYFUNCTION("iferror(divide(googlefinance($B521,""shares""),1000),"""")"),25356.0)</f>
        <v>25356</v>
      </c>
      <c r="E521" s="72">
        <f>IFERROR(__xludf.DUMMYFUNCTION("iferror(divide(googlefinance($B521,""volumeavg""),1000),"""")"),601.56)</f>
        <v>601.56</v>
      </c>
      <c r="F521" s="73">
        <f>IFERROR(__xludf.DUMMYFUNCTION("iferror(MINUS(divide(GOOGLEFINANCE($B521), INDEX(GOOGLEFINANCE($B521,""price"",today()-182),2,2)),1),"""")"),0.14498141263940534)</f>
        <v>0.1449814126</v>
      </c>
      <c r="G521" s="61">
        <f>IFERROR(__xludf.DUMMYFUNCTION("iferror(MINUS(divide(GOOGLEFINANCE($B521), INDEX(GOOGLEFINANCE($B521,""price"",today()-364),2,2)),1),"""")"),0.25971370143149297)</f>
        <v>0.2597137014</v>
      </c>
    </row>
    <row r="522">
      <c r="A522" s="71">
        <f t="shared" si="4"/>
        <v>518</v>
      </c>
      <c r="B522" s="47" t="s">
        <v>655</v>
      </c>
      <c r="C522" s="72">
        <f>IFERROR(__xludf.DUMMYFUNCTION("iferror(divide(googlefinance($B522,""marketcap""),1000000),"""")"),2875.39275)</f>
        <v>2875.39275</v>
      </c>
      <c r="D522" s="72">
        <f>IFERROR(__xludf.DUMMYFUNCTION("iferror(divide(googlefinance($B522,""shares""),1000),"""")"),225521.0)</f>
        <v>225521</v>
      </c>
      <c r="E522" s="72">
        <f>IFERROR(__xludf.DUMMYFUNCTION("iferror(divide(googlefinance($B522,""volumeavg""),1000),"""")"),3331.633)</f>
        <v>3331.633</v>
      </c>
      <c r="F522" s="73">
        <f>IFERROR(__xludf.DUMMYFUNCTION("iferror(MINUS(divide(GOOGLEFINANCE($B522), INDEX(GOOGLEFINANCE($B522,""price"",today()-182),2,2)),1),"""")"),0.2996941896024463)</f>
        <v>0.2996941896</v>
      </c>
      <c r="G522" s="61">
        <f>IFERROR(__xludf.DUMMYFUNCTION("iferror(MINUS(divide(GOOGLEFINANCE($B522), INDEX(GOOGLEFINANCE($B522,""price"",today()-364),2,2)),1),"""")"),-0.093816631130064)</f>
        <v>-0.09381663113</v>
      </c>
    </row>
    <row r="523">
      <c r="A523" s="71">
        <f t="shared" si="4"/>
        <v>519</v>
      </c>
      <c r="B523" s="47" t="s">
        <v>656</v>
      </c>
      <c r="C523" s="72">
        <f>IFERROR(__xludf.DUMMYFUNCTION("iferror(divide(googlefinance($B523,""marketcap""),1000000),"""")"),529.290316)</f>
        <v>529.290316</v>
      </c>
      <c r="D523" s="72">
        <f>IFERROR(__xludf.DUMMYFUNCTION("iferror(divide(googlefinance($B523,""shares""),1000),"""")"),43743.0)</f>
        <v>43743</v>
      </c>
      <c r="E523" s="72">
        <f>IFERROR(__xludf.DUMMYFUNCTION("iferror(divide(googlefinance($B523,""volumeavg""),1000),"""")"),169.049)</f>
        <v>169.049</v>
      </c>
      <c r="F523" s="73">
        <f>IFERROR(__xludf.DUMMYFUNCTION("iferror(MINUS(divide(GOOGLEFINANCE($B523), INDEX(GOOGLEFINANCE($B523,""price"",today()-182),2,2)),1),"""")"),0.2222222222222221)</f>
        <v>0.2222222222</v>
      </c>
      <c r="G523" s="61">
        <f>IFERROR(__xludf.DUMMYFUNCTION("iferror(MINUS(divide(GOOGLEFINANCE($B523), INDEX(GOOGLEFINANCE($B523,""price"",today()-364),2,2)),1),"""")"),0.04130808950086062)</f>
        <v>0.0413080895</v>
      </c>
    </row>
    <row r="524">
      <c r="A524" s="71">
        <f t="shared" si="4"/>
        <v>520</v>
      </c>
      <c r="B524" s="47" t="s">
        <v>657</v>
      </c>
      <c r="C524" s="72">
        <f>IFERROR(__xludf.DUMMYFUNCTION("iferror(divide(googlefinance($B524,""marketcap""),1000000),"""")"),3962.970355)</f>
        <v>3962.970355</v>
      </c>
      <c r="D524" s="72">
        <f>IFERROR(__xludf.DUMMYFUNCTION("iferror(divide(googlefinance($B524,""shares""),1000),"""")"),90355.0)</f>
        <v>90355</v>
      </c>
      <c r="E524" s="72">
        <f>IFERROR(__xludf.DUMMYFUNCTION("iferror(divide(googlefinance($B524,""volumeavg""),1000),"""")"),758.0)</f>
        <v>758</v>
      </c>
      <c r="F524" s="73">
        <f>IFERROR(__xludf.DUMMYFUNCTION("iferror(MINUS(divide(GOOGLEFINANCE($B524), INDEX(GOOGLEFINANCE($B524,""price"",today()-182),2,2)),1),"""")"),0.7635705669481301)</f>
        <v>0.7635705669</v>
      </c>
      <c r="G524" s="61">
        <f>IFERROR(__xludf.DUMMYFUNCTION("iferror(MINUS(divide(GOOGLEFINANCE($B524), INDEX(GOOGLEFINANCE($B524,""price"",today()-364),2,2)),1),"""")"),0.09924812030075181)</f>
        <v>0.0992481203</v>
      </c>
    </row>
    <row r="525">
      <c r="A525" s="71">
        <f t="shared" si="4"/>
        <v>521</v>
      </c>
      <c r="B525" s="47" t="s">
        <v>658</v>
      </c>
      <c r="C525" s="72">
        <f>IFERROR(__xludf.DUMMYFUNCTION("iferror(divide(googlefinance($B525,""marketcap""),1000000),"""")"),1734.345206)</f>
        <v>1734.345206</v>
      </c>
      <c r="D525" s="72">
        <f>IFERROR(__xludf.DUMMYFUNCTION("iferror(divide(googlefinance($B525,""shares""),1000),"""")"),242127.0)</f>
        <v>242127</v>
      </c>
      <c r="E525" s="72">
        <f>IFERROR(__xludf.DUMMYFUNCTION("iferror(divide(googlefinance($B525,""volumeavg""),1000),"""")"),3794.933)</f>
        <v>3794.933</v>
      </c>
      <c r="F525" s="73">
        <f>IFERROR(__xludf.DUMMYFUNCTION("iferror(MINUS(divide(GOOGLEFINANCE($B525), INDEX(GOOGLEFINANCE($B525,""price"",today()-182),2,2)),1),"""")"),0.04552845528455274)</f>
        <v>0.04552845528</v>
      </c>
      <c r="G525" s="61">
        <f>IFERROR(__xludf.DUMMYFUNCTION("iferror(MINUS(divide(GOOGLEFINANCE($B525), INDEX(GOOGLEFINANCE($B525,""price"",today()-364),2,2)),1),"""")"),0.5682926829268293)</f>
        <v>0.5682926829</v>
      </c>
    </row>
    <row r="526">
      <c r="A526" s="71">
        <f t="shared" si="4"/>
        <v>522</v>
      </c>
      <c r="B526" s="47" t="s">
        <v>659</v>
      </c>
      <c r="C526" s="72">
        <f>IFERROR(__xludf.DUMMYFUNCTION("iferror(divide(googlefinance($B526,""marketcap""),1000000),"""")"),7491.707918)</f>
        <v>7491.707918</v>
      </c>
      <c r="D526" s="72">
        <f>IFERROR(__xludf.DUMMYFUNCTION("iferror(divide(googlefinance($B526,""shares""),1000),"""")"),55842.0)</f>
        <v>55842</v>
      </c>
      <c r="E526" s="72">
        <f>IFERROR(__xludf.DUMMYFUNCTION("iferror(divide(googlefinance($B526,""volumeavg""),1000),"""")"),1036.952)</f>
        <v>1036.952</v>
      </c>
      <c r="F526" s="73">
        <f>IFERROR(__xludf.DUMMYFUNCTION("iferror(MINUS(divide(GOOGLEFINANCE($B526), INDEX(GOOGLEFINANCE($B526,""price"",today()-182),2,2)),1),"""")"),1.5573770491803276)</f>
        <v>1.557377049</v>
      </c>
      <c r="G526" s="61">
        <f>IFERROR(__xludf.DUMMYFUNCTION("iferror(MINUS(divide(GOOGLEFINANCE($B526), INDEX(GOOGLEFINANCE($B526,""price"",today()-364),2,2)),1),"""")"),0.060218112849691696)</f>
        <v>0.06021811285</v>
      </c>
    </row>
    <row r="527">
      <c r="A527" s="71">
        <f t="shared" si="4"/>
        <v>523</v>
      </c>
      <c r="B527" s="47" t="s">
        <v>660</v>
      </c>
      <c r="C527" s="72">
        <f>IFERROR(__xludf.DUMMYFUNCTION("iferror(divide(googlefinance($B527,""marketcap""),1000000),"""")"),1910.040462)</f>
        <v>1910.040462</v>
      </c>
      <c r="D527" s="72">
        <f>IFERROR(__xludf.DUMMYFUNCTION("iferror(divide(googlefinance($B527,""shares""),1000),"""")"),36479.0)</f>
        <v>36479</v>
      </c>
      <c r="E527" s="72">
        <f>IFERROR(__xludf.DUMMYFUNCTION("iferror(divide(googlefinance($B527,""volumeavg""),1000),"""")"),276.245)</f>
        <v>276.245</v>
      </c>
      <c r="F527" s="73">
        <f>IFERROR(__xludf.DUMMYFUNCTION("iferror(MINUS(divide(GOOGLEFINANCE($B527), INDEX(GOOGLEFINANCE($B527,""price"",today()-182),2,2)),1),"""")"),0.5987786259541985)</f>
        <v>0.598778626</v>
      </c>
      <c r="G527" s="61">
        <f>IFERROR(__xludf.DUMMYFUNCTION("iferror(MINUS(divide(GOOGLEFINANCE($B527), INDEX(GOOGLEFINANCE($B527,""price"",today()-364),2,2)),1),"""")"),0.22824302134646945)</f>
        <v>0.2282430213</v>
      </c>
    </row>
    <row r="528">
      <c r="A528" s="71">
        <f t="shared" si="4"/>
        <v>524</v>
      </c>
      <c r="B528" s="47" t="s">
        <v>661</v>
      </c>
      <c r="C528" s="72">
        <f>IFERROR(__xludf.DUMMYFUNCTION("iferror(divide(googlefinance($B528,""marketcap""),1000000),"""")"),474.789)</f>
        <v>474.789</v>
      </c>
      <c r="D528" s="72">
        <f>IFERROR(__xludf.DUMMYFUNCTION("iferror(divide(googlefinance($B528,""shares""),1000),"""")"),45218.0)</f>
        <v>45218</v>
      </c>
      <c r="E528" s="72">
        <f>IFERROR(__xludf.DUMMYFUNCTION("iferror(divide(googlefinance($B528,""volumeavg""),1000),"""")"),448.033)</f>
        <v>448.033</v>
      </c>
      <c r="F528" s="73">
        <f>IFERROR(__xludf.DUMMYFUNCTION("iferror(MINUS(divide(GOOGLEFINANCE($B528), INDEX(GOOGLEFINANCE($B528,""price"",today()-182),2,2)),1),"""")"),-0.23469387755102045)</f>
        <v>-0.2346938776</v>
      </c>
      <c r="G528" s="61">
        <f>IFERROR(__xludf.DUMMYFUNCTION("iferror(MINUS(divide(GOOGLEFINANCE($B528), INDEX(GOOGLEFINANCE($B528,""price"",today()-364),2,2)),1),"""")"),-0.49952335557673977)</f>
        <v>-0.4995233556</v>
      </c>
    </row>
    <row r="529">
      <c r="A529" s="71">
        <f t="shared" si="4"/>
        <v>525</v>
      </c>
      <c r="B529" s="47" t="s">
        <v>662</v>
      </c>
      <c r="C529" s="72">
        <f>IFERROR(__xludf.DUMMYFUNCTION("iferror(divide(googlefinance($B529,""marketcap""),1000000),"""")"),3354.715546)</f>
        <v>3354.715546</v>
      </c>
      <c r="D529" s="72">
        <f>IFERROR(__xludf.DUMMYFUNCTION("iferror(divide(googlefinance($B529,""shares""),1000),"""")"),46632.0)</f>
        <v>46632</v>
      </c>
      <c r="E529" s="72">
        <f>IFERROR(__xludf.DUMMYFUNCTION("iferror(divide(googlefinance($B529,""volumeavg""),1000),"""")"),336.056)</f>
        <v>336.056</v>
      </c>
      <c r="F529" s="73">
        <f>IFERROR(__xludf.DUMMYFUNCTION("iferror(MINUS(divide(GOOGLEFINANCE($B529), INDEX(GOOGLEFINANCE($B529,""price"",today()-182),2,2)),1),"""")"),0.7632352941176472)</f>
        <v>0.7632352941</v>
      </c>
      <c r="G529" s="61">
        <f>IFERROR(__xludf.DUMMYFUNCTION("iferror(MINUS(divide(GOOGLEFINANCE($B529), INDEX(GOOGLEFINANCE($B529,""price"",today()-364),2,2)),1),"""")"),0.597246891651865)</f>
        <v>0.5972468917</v>
      </c>
    </row>
    <row r="530">
      <c r="A530" s="71">
        <f t="shared" si="4"/>
        <v>526</v>
      </c>
      <c r="B530" s="47" t="s">
        <v>663</v>
      </c>
      <c r="C530" s="72">
        <f>IFERROR(__xludf.DUMMYFUNCTION("iferror(divide(googlefinance($B530,""marketcap""),1000000),"""")"),3752.856529)</f>
        <v>3752.856529</v>
      </c>
      <c r="D530" s="72">
        <f>IFERROR(__xludf.DUMMYFUNCTION("iferror(divide(googlefinance($B530,""shares""),1000),"""")"),104391.0)</f>
        <v>104391</v>
      </c>
      <c r="E530" s="72">
        <f>IFERROR(__xludf.DUMMYFUNCTION("iferror(divide(googlefinance($B530,""volumeavg""),1000),"""")"),3776.636)</f>
        <v>3776.636</v>
      </c>
      <c r="F530" s="73">
        <f>IFERROR(__xludf.DUMMYFUNCTION("iferror(MINUS(divide(GOOGLEFINANCE($B530), INDEX(GOOGLEFINANCE($B530,""price"",today()-182),2,2)),1),"""")"),0.7779426310583584)</f>
        <v>0.7779426311</v>
      </c>
      <c r="G530" s="61">
        <f>IFERROR(__xludf.DUMMYFUNCTION("iferror(MINUS(divide(GOOGLEFINANCE($B530), INDEX(GOOGLEFINANCE($B530,""price"",today()-364),2,2)),1),"""")"),-0.09627953745600804)</f>
        <v>-0.09627953746</v>
      </c>
    </row>
    <row r="531">
      <c r="A531" s="71">
        <f t="shared" si="4"/>
        <v>527</v>
      </c>
      <c r="B531" s="47" t="s">
        <v>664</v>
      </c>
      <c r="C531" s="72">
        <f>IFERROR(__xludf.DUMMYFUNCTION("iferror(divide(googlefinance($B531,""marketcap""),1000000),"""")"),509.552818)</f>
        <v>509.552818</v>
      </c>
      <c r="D531" s="72">
        <f>IFERROR(__xludf.DUMMYFUNCTION("iferror(divide(googlefinance($B531,""shares""),1000),"""")"),71316.0)</f>
        <v>71316</v>
      </c>
      <c r="E531" s="72">
        <f>IFERROR(__xludf.DUMMYFUNCTION("iferror(divide(googlefinance($B531,""volumeavg""),1000),"""")"),9733.973)</f>
        <v>9733.973</v>
      </c>
      <c r="F531" s="73">
        <f>IFERROR(__xludf.DUMMYFUNCTION("iferror(MINUS(divide(GOOGLEFINANCE($B531), INDEX(GOOGLEFINANCE($B531,""price"",today()-182),2,2)),1),"""")"),4.766129032258065)</f>
        <v>4.766129032</v>
      </c>
      <c r="G531" s="61">
        <f>IFERROR(__xludf.DUMMYFUNCTION("iferror(MINUS(divide(GOOGLEFINANCE($B531), INDEX(GOOGLEFINANCE($B531,""price"",today()-364),2,2)),1),"""")"),0.2790697674418605)</f>
        <v>0.2790697674</v>
      </c>
    </row>
    <row r="532">
      <c r="A532" s="71">
        <f t="shared" si="4"/>
        <v>528</v>
      </c>
      <c r="B532" s="47" t="s">
        <v>665</v>
      </c>
      <c r="C532" s="72">
        <f>IFERROR(__xludf.DUMMYFUNCTION("iferror(divide(googlefinance($B532,""marketcap""),1000000),"""")"),4730.882)</f>
        <v>4730.882</v>
      </c>
      <c r="D532" s="72">
        <f>IFERROR(__xludf.DUMMYFUNCTION("iferror(divide(googlefinance($B532,""shares""),1000),"""")"),131122.0)</f>
        <v>131122</v>
      </c>
      <c r="E532" s="72">
        <f>IFERROR(__xludf.DUMMYFUNCTION("iferror(divide(googlefinance($B532,""volumeavg""),1000),"""")"),1733.112)</f>
        <v>1733.112</v>
      </c>
      <c r="F532" s="73">
        <f>IFERROR(__xludf.DUMMYFUNCTION("iferror(MINUS(divide(GOOGLEFINANCE($B532), INDEX(GOOGLEFINANCE($B532,""price"",today()-182),2,2)),1),"""")"),0.4137931034482758)</f>
        <v>0.4137931034</v>
      </c>
      <c r="G532" s="61">
        <f>IFERROR(__xludf.DUMMYFUNCTION("iferror(MINUS(divide(GOOGLEFINANCE($B532), INDEX(GOOGLEFINANCE($B532,""price"",today()-364),2,2)),1),"""")"),-0.32142185442918947)</f>
        <v>-0.3214218544</v>
      </c>
    </row>
    <row r="533">
      <c r="A533" s="71">
        <f t="shared" si="4"/>
        <v>529</v>
      </c>
      <c r="B533" s="47" t="s">
        <v>666</v>
      </c>
      <c r="C533" s="72">
        <f>IFERROR(__xludf.DUMMYFUNCTION("iferror(divide(googlefinance($B533,""marketcap""),1000000),"""")"),53.398269)</f>
        <v>53.398269</v>
      </c>
      <c r="D533" s="72">
        <f>IFERROR(__xludf.DUMMYFUNCTION("iferror(divide(googlefinance($B533,""shares""),1000),"""")"),27106.0)</f>
        <v>27106</v>
      </c>
      <c r="E533" s="72">
        <f>IFERROR(__xludf.DUMMYFUNCTION("iferror(divide(googlefinance($B533,""volumeavg""),1000),"""")"),239.191)</f>
        <v>239.191</v>
      </c>
      <c r="F533" s="73">
        <f>IFERROR(__xludf.DUMMYFUNCTION("iferror(MINUS(divide(GOOGLEFINANCE($B533), INDEX(GOOGLEFINANCE($B533,""price"",today()-182),2,2)),1),"""")"),1.5584415584415585)</f>
        <v>1.558441558</v>
      </c>
      <c r="G533" s="61">
        <f>IFERROR(__xludf.DUMMYFUNCTION("iferror(MINUS(divide(GOOGLEFINANCE($B533), INDEX(GOOGLEFINANCE($B533,""price"",today()-364),2,2)),1),"""")"),-0.06190476190476191)</f>
        <v>-0.0619047619</v>
      </c>
    </row>
    <row r="534">
      <c r="A534" s="71">
        <f t="shared" si="4"/>
        <v>530</v>
      </c>
      <c r="B534" s="47" t="s">
        <v>667</v>
      </c>
      <c r="C534" s="72">
        <f>IFERROR(__xludf.DUMMYFUNCTION("iferror(divide(googlefinance($B534,""marketcap""),1000000),"""")"),4955.742276)</f>
        <v>4955.742276</v>
      </c>
      <c r="D534" s="72">
        <f>IFERROR(__xludf.DUMMYFUNCTION("iferror(divide(googlefinance($B534,""shares""),1000),"""")"),211603.0)</f>
        <v>211603</v>
      </c>
      <c r="E534" s="72">
        <f>IFERROR(__xludf.DUMMYFUNCTION("iferror(divide(googlefinance($B534,""volumeavg""),1000),"""")"),758.522)</f>
        <v>758.522</v>
      </c>
      <c r="F534" s="73">
        <f>IFERROR(__xludf.DUMMYFUNCTION("iferror(MINUS(divide(GOOGLEFINANCE($B534), INDEX(GOOGLEFINANCE($B534,""price"",today()-182),2,2)),1),"""")"),0.09439252336448622)</f>
        <v>0.09439252336</v>
      </c>
      <c r="G534" s="61">
        <f>IFERROR(__xludf.DUMMYFUNCTION("iferror(MINUS(divide(GOOGLEFINANCE($B534), INDEX(GOOGLEFINANCE($B534,""price"",today()-364),2,2)),1),"""")"),0.024496937882764858)</f>
        <v>0.02449693788</v>
      </c>
    </row>
    <row r="535">
      <c r="A535" s="71">
        <f t="shared" si="4"/>
        <v>531</v>
      </c>
      <c r="B535" s="47" t="s">
        <v>668</v>
      </c>
      <c r="C535" s="72">
        <f>IFERROR(__xludf.DUMMYFUNCTION("iferror(divide(googlefinance($B535,""marketcap""),1000000),"""")"),1317.635546)</f>
        <v>1317.635546</v>
      </c>
      <c r="D535" s="72">
        <f>IFERROR(__xludf.DUMMYFUNCTION("iferror(divide(googlefinance($B535,""shares""),1000),"""")"),140174.0)</f>
        <v>140174</v>
      </c>
      <c r="E535" s="72">
        <f>IFERROR(__xludf.DUMMYFUNCTION("iferror(divide(googlefinance($B535,""volumeavg""),1000),"""")"),2222.692)</f>
        <v>2222.692</v>
      </c>
      <c r="F535" s="73">
        <f>IFERROR(__xludf.DUMMYFUNCTION("iferror(MINUS(divide(GOOGLEFINANCE($B535), INDEX(GOOGLEFINANCE($B535,""price"",today()-182),2,2)),1),"""")"),0.6696269982238012)</f>
        <v>0.6696269982</v>
      </c>
      <c r="G535" s="61">
        <f>IFERROR(__xludf.DUMMYFUNCTION("iferror(MINUS(divide(GOOGLEFINANCE($B535), INDEX(GOOGLEFINANCE($B535,""price"",today()-364),2,2)),1),"""")"),-0.5334987593052108)</f>
        <v>-0.5334987593</v>
      </c>
    </row>
    <row r="536">
      <c r="A536" s="71">
        <f t="shared" si="4"/>
        <v>532</v>
      </c>
      <c r="B536" s="47" t="s">
        <v>669</v>
      </c>
      <c r="C536" s="72">
        <f>IFERROR(__xludf.DUMMYFUNCTION("iferror(divide(googlefinance($B536,""marketcap""),1000000),"""")"),1472.764359)</f>
        <v>1472.764359</v>
      </c>
      <c r="D536" s="72">
        <f>IFERROR(__xludf.DUMMYFUNCTION("iferror(divide(googlefinance($B536,""shares""),1000),"""")"),36053.0)</f>
        <v>36053</v>
      </c>
      <c r="E536" s="72">
        <f>IFERROR(__xludf.DUMMYFUNCTION("iferror(divide(googlefinance($B536,""volumeavg""),1000),"""")"),725.944)</f>
        <v>725.944</v>
      </c>
      <c r="F536" s="73">
        <f>IFERROR(__xludf.DUMMYFUNCTION("iferror(MINUS(divide(GOOGLEFINANCE($B536), INDEX(GOOGLEFINANCE($B536,""price"",today()-182),2,2)),1),"""")"),0.8252194732641662)</f>
        <v>0.8252194733</v>
      </c>
      <c r="G536" s="61">
        <f>IFERROR(__xludf.DUMMYFUNCTION("iferror(MINUS(divide(GOOGLEFINANCE($B536), INDEX(GOOGLEFINANCE($B536,""price"",today()-364),2,2)),1),"""")"),0.6082981715893108)</f>
        <v>0.6082981716</v>
      </c>
    </row>
    <row r="537">
      <c r="A537" s="71">
        <f t="shared" si="4"/>
        <v>533</v>
      </c>
      <c r="B537" s="47" t="s">
        <v>670</v>
      </c>
      <c r="C537" s="72">
        <f>IFERROR(__xludf.DUMMYFUNCTION("iferror(divide(googlefinance($B537,""marketcap""),1000000),"""")"),590.101621)</f>
        <v>590.101621</v>
      </c>
      <c r="D537" s="72">
        <f>IFERROR(__xludf.DUMMYFUNCTION("iferror(divide(googlefinance($B537,""shares""),1000),"""")"),49303.0)</f>
        <v>49303</v>
      </c>
      <c r="E537" s="72">
        <f>IFERROR(__xludf.DUMMYFUNCTION("iferror(divide(googlefinance($B537,""volumeavg""),1000),"""")"),548.647)</f>
        <v>548.647</v>
      </c>
      <c r="F537" s="73">
        <f>IFERROR(__xludf.DUMMYFUNCTION("iferror(MINUS(divide(GOOGLEFINANCE($B537), INDEX(GOOGLEFINANCE($B537,""price"",today()-182),2,2)),1),"""")"),0.9950000000000001)</f>
        <v>0.995</v>
      </c>
      <c r="G537" s="61">
        <f>IFERROR(__xludf.DUMMYFUNCTION("iferror(MINUS(divide(GOOGLEFINANCE($B537), INDEX(GOOGLEFINANCE($B537,""price"",today()-364),2,2)),1),"""")"),-0.2004008016032064)</f>
        <v>-0.2004008016</v>
      </c>
    </row>
    <row r="538">
      <c r="A538" s="71">
        <f t="shared" si="4"/>
        <v>534</v>
      </c>
      <c r="B538" s="47" t="s">
        <v>671</v>
      </c>
      <c r="C538" s="72">
        <f>IFERROR(__xludf.DUMMYFUNCTION("iferror(divide(googlefinance($B538,""marketcap""),1000000),"""")"),178.86225)</f>
        <v>178.86225</v>
      </c>
      <c r="D538" s="72">
        <f>IFERROR(__xludf.DUMMYFUNCTION("iferror(divide(googlefinance($B538,""shares""),1000),"""")"),7693.0)</f>
        <v>7693</v>
      </c>
      <c r="E538" s="72">
        <f>IFERROR(__xludf.DUMMYFUNCTION("iferror(divide(googlefinance($B538,""volumeavg""),1000),"""")"),76.763)</f>
        <v>76.763</v>
      </c>
      <c r="F538" s="73">
        <f>IFERROR(__xludf.DUMMYFUNCTION("iferror(MINUS(divide(GOOGLEFINANCE($B538), INDEX(GOOGLEFINANCE($B538,""price"",today()-182),2,2)),1),"""")"),1.006039689387403)</f>
        <v>1.006039689</v>
      </c>
      <c r="G538" s="61">
        <f>IFERROR(__xludf.DUMMYFUNCTION("iferror(MINUS(divide(GOOGLEFINANCE($B538), INDEX(GOOGLEFINANCE($B538,""price"",today()-364),2,2)),1),"""")"),0.4761904761904763)</f>
        <v>0.4761904762</v>
      </c>
    </row>
    <row r="539">
      <c r="A539" s="71">
        <f t="shared" si="4"/>
        <v>535</v>
      </c>
      <c r="B539" s="47" t="s">
        <v>672</v>
      </c>
      <c r="C539" s="72">
        <f>IFERROR(__xludf.DUMMYFUNCTION("iferror(divide(googlefinance($B539,""marketcap""),1000000),"""")"),14621.522902)</f>
        <v>14621.5229</v>
      </c>
      <c r="D539" s="72">
        <f>IFERROR(__xludf.DUMMYFUNCTION("iferror(divide(googlefinance($B539,""shares""),1000),"""")"),129566.0)</f>
        <v>129566</v>
      </c>
      <c r="E539" s="72">
        <f>IFERROR(__xludf.DUMMYFUNCTION("iferror(divide(googlefinance($B539,""volumeavg""),1000),"""")"),601.712)</f>
        <v>601.712</v>
      </c>
      <c r="F539" s="73">
        <f>IFERROR(__xludf.DUMMYFUNCTION("iferror(MINUS(divide(GOOGLEFINANCE($B539), INDEX(GOOGLEFINANCE($B539,""price"",today()-182),2,2)),1),"""")"),0.7276484996938151)</f>
        <v>0.7276484997</v>
      </c>
      <c r="G539" s="61">
        <f>IFERROR(__xludf.DUMMYFUNCTION("iferror(MINUS(divide(GOOGLEFINANCE($B539), INDEX(GOOGLEFINANCE($B539,""price"",today()-364),2,2)),1),"""")"),0.2552836484983314)</f>
        <v>0.2552836485</v>
      </c>
    </row>
    <row r="540">
      <c r="A540" s="71">
        <f t="shared" si="4"/>
        <v>536</v>
      </c>
      <c r="B540" s="47" t="s">
        <v>673</v>
      </c>
      <c r="C540" s="72">
        <f>IFERROR(__xludf.DUMMYFUNCTION("iferror(divide(googlefinance($B540,""marketcap""),1000000),"""")"),26351.112737)</f>
        <v>26351.11274</v>
      </c>
      <c r="D540" s="72">
        <f>IFERROR(__xludf.DUMMYFUNCTION("iferror(divide(googlefinance($B540,""shares""),1000),"""")"),304608.0)</f>
        <v>304608</v>
      </c>
      <c r="E540" s="72">
        <f>IFERROR(__xludf.DUMMYFUNCTION("iferror(divide(googlefinance($B540,""volumeavg""),1000),"""")"),124.331)</f>
        <v>124.331</v>
      </c>
      <c r="F540" s="73">
        <f>IFERROR(__xludf.DUMMYFUNCTION("iferror(MINUS(divide(GOOGLEFINANCE($B540), INDEX(GOOGLEFINANCE($B540,""price"",today()-182),2,2)),1),"""")"),0.4717562478603219)</f>
        <v>0.4717562479</v>
      </c>
      <c r="G540" s="61">
        <f>IFERROR(__xludf.DUMMYFUNCTION("iferror(MINUS(divide(GOOGLEFINANCE($B540), INDEX(GOOGLEFINANCE($B540,""price"",today()-364),2,2)),1),"""")"),0.2446438911407065)</f>
        <v>0.2446438911</v>
      </c>
    </row>
    <row r="541">
      <c r="A541" s="71">
        <f t="shared" si="4"/>
        <v>537</v>
      </c>
      <c r="B541" s="47" t="s">
        <v>674</v>
      </c>
      <c r="C541" s="72">
        <f>IFERROR(__xludf.DUMMYFUNCTION("iferror(divide(googlefinance($B541,""marketcap""),1000000),"""")"),1804.268853)</f>
        <v>1804.268853</v>
      </c>
      <c r="D541" s="72">
        <f>IFERROR(__xludf.DUMMYFUNCTION("iferror(divide(googlefinance($B541,""shares""),1000),"""")"),41118.0)</f>
        <v>41118</v>
      </c>
      <c r="E541" s="72">
        <f>IFERROR(__xludf.DUMMYFUNCTION("iferror(divide(googlefinance($B541,""volumeavg""),1000),"""")"),179.561)</f>
        <v>179.561</v>
      </c>
      <c r="F541" s="73" t="str">
        <f>IFERROR(__xludf.DUMMYFUNCTION("iferror(MINUS(divide(GOOGLEFINANCE($B541), INDEX(GOOGLEFINANCE($B541,""price"",today()-182),2,2)),1),"""")"),"")</f>
        <v/>
      </c>
      <c r="G541" s="61" t="str">
        <f>IFERROR(__xludf.DUMMYFUNCTION("iferror(MINUS(divide(GOOGLEFINANCE($B541), INDEX(GOOGLEFINANCE($B541,""price"",today()-364),2,2)),1),"""")"),"")</f>
        <v/>
      </c>
    </row>
    <row r="542">
      <c r="A542" s="71">
        <f t="shared" si="4"/>
        <v>538</v>
      </c>
      <c r="B542" s="47" t="s">
        <v>675</v>
      </c>
      <c r="C542" s="72">
        <f>IFERROR(__xludf.DUMMYFUNCTION("iferror(divide(googlefinance($B542,""marketcap""),1000000),"""")"),18161.373987)</f>
        <v>18161.37399</v>
      </c>
      <c r="D542" s="72">
        <f>IFERROR(__xludf.DUMMYFUNCTION("iferror(divide(googlefinance($B542,""shares""),1000),"""")"),2161178.0)</f>
        <v>2161178</v>
      </c>
      <c r="E542" s="72">
        <f>IFERROR(__xludf.DUMMYFUNCTION("iferror(divide(googlefinance($B542,""volumeavg""),1000),"""")"),487.289)</f>
        <v>487.289</v>
      </c>
      <c r="F542" s="73">
        <f>IFERROR(__xludf.DUMMYFUNCTION("iferror(MINUS(divide(GOOGLEFINANCE($B542), INDEX(GOOGLEFINANCE($B542,""price"",today()-182),2,2)),1),"""")"),-0.06842897774803414)</f>
        <v>-0.06842897775</v>
      </c>
      <c r="G542" s="61">
        <f>IFERROR(__xludf.DUMMYFUNCTION("iferror(MINUS(divide(GOOGLEFINANCE($B542), INDEX(GOOGLEFINANCE($B542,""price"",today()-364),2,2)),1),"""")"),-0.41073129431685895)</f>
        <v>-0.4107312943</v>
      </c>
    </row>
    <row r="543">
      <c r="A543" s="71">
        <f t="shared" si="4"/>
        <v>539</v>
      </c>
      <c r="B543" s="47" t="s">
        <v>676</v>
      </c>
      <c r="C543" s="72">
        <f>IFERROR(__xludf.DUMMYFUNCTION("iferror(divide(googlefinance($B543,""marketcap""),1000000),"""")"),7746.780471)</f>
        <v>7746.780471</v>
      </c>
      <c r="D543" s="72">
        <f>IFERROR(__xludf.DUMMYFUNCTION("iferror(divide(googlefinance($B543,""shares""),1000),"""")"),103733.0)</f>
        <v>103733</v>
      </c>
      <c r="E543" s="72">
        <f>IFERROR(__xludf.DUMMYFUNCTION("iferror(divide(googlefinance($B543,""volumeavg""),1000),"""")"),1235.724)</f>
        <v>1235.724</v>
      </c>
      <c r="F543" s="73">
        <f>IFERROR(__xludf.DUMMYFUNCTION("iferror(MINUS(divide(GOOGLEFINANCE($B543), INDEX(GOOGLEFINANCE($B543,""price"",today()-182),2,2)),1),"""")"),1.613930696534827)</f>
        <v>1.613930697</v>
      </c>
      <c r="G543" s="61">
        <f>IFERROR(__xludf.DUMMYFUNCTION("iferror(MINUS(divide(GOOGLEFINANCE($B543), INDEX(GOOGLEFINANCE($B543,""price"",today()-364),2,2)),1),"""")"),0.5228384991843396)</f>
        <v>0.5228384992</v>
      </c>
    </row>
    <row r="544">
      <c r="A544" s="71">
        <f t="shared" si="4"/>
        <v>540</v>
      </c>
      <c r="B544" s="47" t="s">
        <v>677</v>
      </c>
      <c r="C544" s="72">
        <f>IFERROR(__xludf.DUMMYFUNCTION("iferror(divide(googlefinance($B544,""marketcap""),1000000),"""")"),313.979758)</f>
        <v>313.979758</v>
      </c>
      <c r="D544" s="72">
        <f>IFERROR(__xludf.DUMMYFUNCTION("iferror(divide(googlefinance($B544,""shares""),1000),"""")"),35483.0)</f>
        <v>35483</v>
      </c>
      <c r="E544" s="72">
        <f>IFERROR(__xludf.DUMMYFUNCTION("iferror(divide(googlefinance($B544,""volumeavg""),1000),"""")"),799.555)</f>
        <v>799.555</v>
      </c>
      <c r="F544" s="73">
        <f>IFERROR(__xludf.DUMMYFUNCTION("iferror(MINUS(divide(GOOGLEFINANCE($B544), INDEX(GOOGLEFINANCE($B544,""price"",today()-182),2,2)),1),"""")"),0.5654320987654322)</f>
        <v>0.5654320988</v>
      </c>
      <c r="G544" s="61">
        <f>IFERROR(__xludf.DUMMYFUNCTION("iferror(MINUS(divide(GOOGLEFINANCE($B544), INDEX(GOOGLEFINANCE($B544,""price"",today()-364),2,2)),1),"""")"),-0.7107664233576643)</f>
        <v>-0.7107664234</v>
      </c>
    </row>
    <row r="545">
      <c r="A545" s="71">
        <f t="shared" si="4"/>
        <v>541</v>
      </c>
      <c r="B545" s="47" t="s">
        <v>678</v>
      </c>
      <c r="C545" s="72">
        <f>IFERROR(__xludf.DUMMYFUNCTION("iferror(divide(googlefinance($B545,""marketcap""),1000000),"""")"),36674.847444)</f>
        <v>36674.84744</v>
      </c>
      <c r="D545" s="72">
        <f>IFERROR(__xludf.DUMMYFUNCTION("iferror(divide(googlefinance($B545,""shares""),1000),"""")"),190588.0)</f>
        <v>190588</v>
      </c>
      <c r="E545" s="72">
        <f>IFERROR(__xludf.DUMMYFUNCTION("iferror(divide(googlefinance($B545,""volumeavg""),1000),"""")"),771.924)</f>
        <v>771.924</v>
      </c>
      <c r="F545" s="73">
        <f>IFERROR(__xludf.DUMMYFUNCTION("iferror(MINUS(divide(GOOGLEFINANCE($B545), INDEX(GOOGLEFINANCE($B545,""price"",today()-182),2,2)),1),"""")"),0.5590115040477208)</f>
        <v>0.559011504</v>
      </c>
      <c r="G545" s="61">
        <f>IFERROR(__xludf.DUMMYFUNCTION("iferror(MINUS(divide(GOOGLEFINANCE($B545), INDEX(GOOGLEFINANCE($B545,""price"",today()-364),2,2)),1),"""")"),0.543393440894232)</f>
        <v>0.5433934409</v>
      </c>
    </row>
    <row r="546">
      <c r="A546" s="71">
        <f t="shared" si="4"/>
        <v>542</v>
      </c>
      <c r="B546" s="47" t="s">
        <v>679</v>
      </c>
      <c r="C546" s="72">
        <f>IFERROR(__xludf.DUMMYFUNCTION("iferror(divide(googlefinance($B546,""marketcap""),1000000),"""")"),1033.070459)</f>
        <v>1033.070459</v>
      </c>
      <c r="D546" s="72">
        <f>IFERROR(__xludf.DUMMYFUNCTION("iferror(divide(googlefinance($B546,""shares""),1000),"""")"),82251.0)</f>
        <v>82251</v>
      </c>
      <c r="E546" s="72">
        <f>IFERROR(__xludf.DUMMYFUNCTION("iferror(divide(googlefinance($B546,""volumeavg""),1000),"""")"),316.025)</f>
        <v>316.025</v>
      </c>
      <c r="F546" s="73">
        <f>IFERROR(__xludf.DUMMYFUNCTION("iferror(MINUS(divide(GOOGLEFINANCE($B546), INDEX(GOOGLEFINANCE($B546,""price"",today()-182),2,2)),1),"""")"),0.47072599531615955)</f>
        <v>0.4707259953</v>
      </c>
      <c r="G546" s="61">
        <f>IFERROR(__xludf.DUMMYFUNCTION("iferror(MINUS(divide(GOOGLEFINANCE($B546), INDEX(GOOGLEFINANCE($B546,""price"",today()-364),2,2)),1),"""")"),0.055462184873949605)</f>
        <v>0.05546218487</v>
      </c>
    </row>
    <row r="547">
      <c r="A547" s="71">
        <f t="shared" si="4"/>
        <v>543</v>
      </c>
      <c r="B547" s="47" t="s">
        <v>680</v>
      </c>
      <c r="C547" s="72">
        <f>IFERROR(__xludf.DUMMYFUNCTION("iferror(divide(googlefinance($B547,""marketcap""),1000000),"""")"),3602.324803)</f>
        <v>3602.324803</v>
      </c>
      <c r="D547" s="72">
        <f>IFERROR(__xludf.DUMMYFUNCTION("iferror(divide(googlefinance($B547,""shares""),1000),"""")"),258788.0)</f>
        <v>258788</v>
      </c>
      <c r="E547" s="72">
        <f>IFERROR(__xludf.DUMMYFUNCTION("iferror(divide(googlefinance($B547,""volumeavg""),1000),"""")"),1620.283)</f>
        <v>1620.283</v>
      </c>
      <c r="F547" s="73">
        <f>IFERROR(__xludf.DUMMYFUNCTION("iferror(MINUS(divide(GOOGLEFINANCE($B547), INDEX(GOOGLEFINANCE($B547,""price"",today()-182),2,2)),1),"""")"),0.6242707117852975)</f>
        <v>0.6242707118</v>
      </c>
      <c r="G547" s="61">
        <f>IFERROR(__xludf.DUMMYFUNCTION("iferror(MINUS(divide(GOOGLEFINANCE($B547), INDEX(GOOGLEFINANCE($B547,""price"",today()-364),2,2)),1),"""")"),0.4730158730158731)</f>
        <v>0.473015873</v>
      </c>
    </row>
    <row r="548">
      <c r="A548" s="71">
        <f t="shared" si="4"/>
        <v>544</v>
      </c>
      <c r="B548" s="47" t="s">
        <v>681</v>
      </c>
      <c r="C548" s="72">
        <f>IFERROR(__xludf.DUMMYFUNCTION("iferror(divide(googlefinance($B548,""marketcap""),1000000),"""")"),165.035288)</f>
        <v>165.035288</v>
      </c>
      <c r="D548" s="72">
        <f>IFERROR(__xludf.DUMMYFUNCTION("iferror(divide(googlefinance($B548,""shares""),1000),"""")"),6447.0)</f>
        <v>6447</v>
      </c>
      <c r="E548" s="72">
        <f>IFERROR(__xludf.DUMMYFUNCTION("iferror(divide(googlefinance($B548,""volumeavg""),1000),"""")"),22.513)</f>
        <v>22.513</v>
      </c>
      <c r="F548" s="73">
        <f>IFERROR(__xludf.DUMMYFUNCTION("iferror(MINUS(divide(GOOGLEFINANCE($B548), INDEX(GOOGLEFINANCE($B548,""price"",today()-182),2,2)),1),"""")"),1.057377049180328)</f>
        <v>1.057377049</v>
      </c>
      <c r="G548" s="61">
        <f>IFERROR(__xludf.DUMMYFUNCTION("iferror(MINUS(divide(GOOGLEFINANCE($B548), INDEX(GOOGLEFINANCE($B548,""price"",today()-364),2,2)),1),"""")"),0.11357586512866025)</f>
        <v>0.1135758651</v>
      </c>
    </row>
    <row r="549">
      <c r="A549" s="71">
        <f t="shared" si="4"/>
        <v>545</v>
      </c>
      <c r="B549" s="47" t="s">
        <v>682</v>
      </c>
      <c r="C549" s="72">
        <f>IFERROR(__xludf.DUMMYFUNCTION("iferror(divide(googlefinance($B549,""marketcap""),1000000),"""")"),1862.516035)</f>
        <v>1862.516035</v>
      </c>
      <c r="D549" s="72">
        <f>IFERROR(__xludf.DUMMYFUNCTION("iferror(divide(googlefinance($B549,""shares""),1000),"""")"),77059.0)</f>
        <v>77059</v>
      </c>
      <c r="E549" s="72">
        <f>IFERROR(__xludf.DUMMYFUNCTION("iferror(divide(googlefinance($B549,""volumeavg""),1000),"""")"),545.758)</f>
        <v>545.758</v>
      </c>
      <c r="F549" s="73">
        <f>IFERROR(__xludf.DUMMYFUNCTION("iferror(MINUS(divide(GOOGLEFINANCE($B549), INDEX(GOOGLEFINANCE($B549,""price"",today()-182),2,2)),1),"""")"),0.4507803121248499)</f>
        <v>0.4507803121</v>
      </c>
      <c r="G549" s="61">
        <f>IFERROR(__xludf.DUMMYFUNCTION("iferror(MINUS(divide(GOOGLEFINANCE($B549), INDEX(GOOGLEFINANCE($B549,""price"",today()-364),2,2)),1),"""")"),0.249095607235142)</f>
        <v>0.2490956072</v>
      </c>
    </row>
    <row r="550">
      <c r="A550" s="71">
        <f t="shared" si="4"/>
        <v>546</v>
      </c>
      <c r="B550" s="47" t="s">
        <v>683</v>
      </c>
      <c r="C550" s="72">
        <f>IFERROR(__xludf.DUMMYFUNCTION("iferror(divide(googlefinance($B550,""marketcap""),1000000),"""")"),417.317376)</f>
        <v>417.317376</v>
      </c>
      <c r="D550" s="72">
        <f>IFERROR(__xludf.DUMMYFUNCTION("iferror(divide(googlefinance($B550,""shares""),1000),"""")"),51299.0)</f>
        <v>51299</v>
      </c>
      <c r="E550" s="72">
        <f>IFERROR(__xludf.DUMMYFUNCTION("iferror(divide(googlefinance($B550,""volumeavg""),1000),"""")"),1690.483)</f>
        <v>1690.483</v>
      </c>
      <c r="F550" s="73">
        <f>IFERROR(__xludf.DUMMYFUNCTION("iferror(MINUS(divide(GOOGLEFINANCE($B550), INDEX(GOOGLEFINANCE($B550,""price"",today()-182),2,2)),1),"""")"),0.9473684210526319)</f>
        <v>0.9473684211</v>
      </c>
      <c r="G550" s="61">
        <f>IFERROR(__xludf.DUMMYFUNCTION("iferror(MINUS(divide(GOOGLEFINANCE($B550), INDEX(GOOGLEFINANCE($B550,""price"",today()-364),2,2)),1),"""")"),-0.3403565640194489)</f>
        <v>-0.340356564</v>
      </c>
    </row>
    <row r="551">
      <c r="A551" s="71">
        <f t="shared" si="4"/>
        <v>547</v>
      </c>
      <c r="B551" s="47" t="s">
        <v>684</v>
      </c>
      <c r="C551" s="72">
        <f>IFERROR(__xludf.DUMMYFUNCTION("iferror(divide(googlefinance($B551,""marketcap""),1000000),"""")"),17344.772104)</f>
        <v>17344.7721</v>
      </c>
      <c r="D551" s="72">
        <f>IFERROR(__xludf.DUMMYFUNCTION("iferror(divide(googlefinance($B551,""shares""),1000),"""")"),261078.0)</f>
        <v>261078</v>
      </c>
      <c r="E551" s="72">
        <f>IFERROR(__xludf.DUMMYFUNCTION("iferror(divide(googlefinance($B551,""volumeavg""),1000),"""")"),1317.562)</f>
        <v>1317.562</v>
      </c>
      <c r="F551" s="73">
        <f>IFERROR(__xludf.DUMMYFUNCTION("iferror(MINUS(divide(GOOGLEFINANCE($B551), INDEX(GOOGLEFINANCE($B551,""price"",today()-182),2,2)),1),"""")"),0.43491271820448874)</f>
        <v>0.4349127182</v>
      </c>
      <c r="G551" s="61">
        <f>IFERROR(__xludf.DUMMYFUNCTION("iferror(MINUS(divide(GOOGLEFINANCE($B551), INDEX(GOOGLEFINANCE($B551,""price"",today()-364),2,2)),1),"""")"),-0.10317955112219446)</f>
        <v>-0.1031795511</v>
      </c>
    </row>
    <row r="552">
      <c r="A552" s="71">
        <f t="shared" si="4"/>
        <v>548</v>
      </c>
      <c r="B552" s="47" t="s">
        <v>685</v>
      </c>
      <c r="C552" s="72">
        <f>IFERROR(__xludf.DUMMYFUNCTION("iferror(divide(googlefinance($B552,""marketcap""),1000000),"""")"),145.231136)</f>
        <v>145.231136</v>
      </c>
      <c r="D552" s="72">
        <f>IFERROR(__xludf.DUMMYFUNCTION("iferror(divide(googlefinance($B552,""shares""),1000),"""")"),36628.0)</f>
        <v>36628</v>
      </c>
      <c r="E552" s="72">
        <f>IFERROR(__xludf.DUMMYFUNCTION("iferror(divide(googlefinance($B552,""volumeavg""),1000),"""")"),232.51)</f>
        <v>232.51</v>
      </c>
      <c r="F552" s="73">
        <f>IFERROR(__xludf.DUMMYFUNCTION("iferror(MINUS(divide(GOOGLEFINANCE($B552), INDEX(GOOGLEFINANCE($B552,""price"",today()-182),2,2)),1),"""")"),0.7260869565217394)</f>
        <v>0.7260869565</v>
      </c>
      <c r="G552" s="61">
        <f>IFERROR(__xludf.DUMMYFUNCTION("iferror(MINUS(divide(GOOGLEFINANCE($B552), INDEX(GOOGLEFINANCE($B552,""price"",today()-364),2,2)),1),"""")"),-0.2409177820267686)</f>
        <v>-0.240917782</v>
      </c>
    </row>
    <row r="553">
      <c r="A553" s="71">
        <f t="shared" si="4"/>
        <v>549</v>
      </c>
      <c r="B553" s="47" t="s">
        <v>686</v>
      </c>
      <c r="C553" s="72">
        <f>IFERROR(__xludf.DUMMYFUNCTION("iferror(divide(googlefinance($B553,""marketcap""),1000000),"""")"),11.13111)</f>
        <v>11.13111</v>
      </c>
      <c r="D553" s="72">
        <f>IFERROR(__xludf.DUMMYFUNCTION("iferror(divide(googlefinance($B553,""shares""),1000),"""")"),3033.0)</f>
        <v>3033</v>
      </c>
      <c r="E553" s="72">
        <f>IFERROR(__xludf.DUMMYFUNCTION("iferror(divide(googlefinance($B553,""volumeavg""),1000),"""")"),403.07)</f>
        <v>403.07</v>
      </c>
      <c r="F553" s="73">
        <f>IFERROR(__xludf.DUMMYFUNCTION("iferror(MINUS(divide(GOOGLEFINANCE($B553), INDEX(GOOGLEFINANCE($B553,""price"",today()-182),2,2)),1),"""")"),0.2743055555555556)</f>
        <v>0.2743055556</v>
      </c>
      <c r="G553" s="61">
        <f>IFERROR(__xludf.DUMMYFUNCTION("iferror(MINUS(divide(GOOGLEFINANCE($B553), INDEX(GOOGLEFINANCE($B553,""price"",today()-364),2,2)),1),"""")"),-0.671146953405018)</f>
        <v>-0.6711469534</v>
      </c>
    </row>
    <row r="554">
      <c r="A554" s="71">
        <f t="shared" si="4"/>
        <v>550</v>
      </c>
      <c r="B554" s="47" t="s">
        <v>687</v>
      </c>
      <c r="C554" s="72">
        <f>IFERROR(__xludf.DUMMYFUNCTION("iferror(divide(googlefinance($B554,""marketcap""),1000000),"""")"),41.701199)</f>
        <v>41.701199</v>
      </c>
      <c r="D554" s="72">
        <f>IFERROR(__xludf.DUMMYFUNCTION("iferror(divide(googlefinance($B554,""shares""),1000),"""")"),7080.0)</f>
        <v>7080</v>
      </c>
      <c r="E554" s="72">
        <f>IFERROR(__xludf.DUMMYFUNCTION("iferror(divide(googlefinance($B554,""volumeavg""),1000),"""")"),15.767)</f>
        <v>15.767</v>
      </c>
      <c r="F554" s="73">
        <f>IFERROR(__xludf.DUMMYFUNCTION("iferror(MINUS(divide(GOOGLEFINANCE($B554), INDEX(GOOGLEFINANCE($B554,""price"",today()-182),2,2)),1),"""")"),0.48737373737373724)</f>
        <v>0.4873737374</v>
      </c>
      <c r="G554" s="61">
        <f>IFERROR(__xludf.DUMMYFUNCTION("iferror(MINUS(divide(GOOGLEFINANCE($B554), INDEX(GOOGLEFINANCE($B554,""price"",today()-364),2,2)),1),"""")"),-0.10350076103500772)</f>
        <v>-0.103500761</v>
      </c>
    </row>
    <row r="555">
      <c r="A555" s="71">
        <f t="shared" si="4"/>
        <v>551</v>
      </c>
      <c r="B555" s="47" t="s">
        <v>688</v>
      </c>
      <c r="C555" s="72">
        <f>IFERROR(__xludf.DUMMYFUNCTION("iferror(divide(googlefinance($B555,""marketcap""),1000000),"""")"),835.430177)</f>
        <v>835.430177</v>
      </c>
      <c r="D555" s="72">
        <f>IFERROR(__xludf.DUMMYFUNCTION("iferror(divide(googlefinance($B555,""shares""),1000),"""")"),33646.0)</f>
        <v>33646</v>
      </c>
      <c r="E555" s="72">
        <f>IFERROR(__xludf.DUMMYFUNCTION("iferror(divide(googlefinance($B555,""volumeavg""),1000),"""")"),147.183)</f>
        <v>147.183</v>
      </c>
      <c r="F555" s="73">
        <f>IFERROR(__xludf.DUMMYFUNCTION("iferror(MINUS(divide(GOOGLEFINANCE($B555), INDEX(GOOGLEFINANCE($B555,""price"",today()-182),2,2)),1),"""")"),0.25088161209067983)</f>
        <v>0.2508816121</v>
      </c>
      <c r="G555" s="61" t="str">
        <f>IFERROR(__xludf.DUMMYFUNCTION("iferror(MINUS(divide(GOOGLEFINANCE($B555), INDEX(GOOGLEFINANCE($B555,""price"",today()-364),2,2)),1),"""")"),"")</f>
        <v/>
      </c>
    </row>
    <row r="556">
      <c r="A556" s="71">
        <f t="shared" si="4"/>
        <v>552</v>
      </c>
      <c r="B556" s="47" t="s">
        <v>689</v>
      </c>
      <c r="C556" s="72">
        <f>IFERROR(__xludf.DUMMYFUNCTION("iferror(divide(googlefinance($B556,""marketcap""),1000000),"""")"),252.04247)</f>
        <v>252.04247</v>
      </c>
      <c r="D556" s="72">
        <f>IFERROR(__xludf.DUMMYFUNCTION("iferror(divide(googlefinance($B556,""shares""),1000),"""")"),25957.0)</f>
        <v>25957</v>
      </c>
      <c r="E556" s="72">
        <f>IFERROR(__xludf.DUMMYFUNCTION("iferror(divide(googlefinance($B556,""volumeavg""),1000),"""")"),330.514)</f>
        <v>330.514</v>
      </c>
      <c r="F556" s="73">
        <f>IFERROR(__xludf.DUMMYFUNCTION("iferror(MINUS(divide(GOOGLEFINANCE($B556), INDEX(GOOGLEFINANCE($B556,""price"",today()-182),2,2)),1),"""")"),0.892787524366472)</f>
        <v>0.8927875244</v>
      </c>
      <c r="G556" s="61">
        <f>IFERROR(__xludf.DUMMYFUNCTION("iferror(MINUS(divide(GOOGLEFINANCE($B556), INDEX(GOOGLEFINANCE($B556,""price"",today()-364),2,2)),1),"""")"),-0.07787274453941107)</f>
        <v>-0.07787274454</v>
      </c>
    </row>
    <row r="557">
      <c r="A557" s="71">
        <f t="shared" si="4"/>
        <v>553</v>
      </c>
      <c r="B557" s="47" t="s">
        <v>690</v>
      </c>
      <c r="C557" s="72">
        <f>IFERROR(__xludf.DUMMYFUNCTION("iferror(divide(googlefinance($B557,""marketcap""),1000000),"""")"),1451.05931)</f>
        <v>1451.05931</v>
      </c>
      <c r="D557" s="72">
        <f>IFERROR(__xludf.DUMMYFUNCTION("iferror(divide(googlefinance($B557,""shares""),1000),"""")"),197692.0)</f>
        <v>197692</v>
      </c>
      <c r="E557" s="72">
        <f>IFERROR(__xludf.DUMMYFUNCTION("iferror(divide(googlefinance($B557,""volumeavg""),1000),"""")"),2304.733)</f>
        <v>2304.733</v>
      </c>
      <c r="F557" s="73">
        <f>IFERROR(__xludf.DUMMYFUNCTION("iferror(MINUS(divide(GOOGLEFINANCE($B557), INDEX(GOOGLEFINANCE($B557,""price"",today()-182),2,2)),1),"""")"),0.15047021943573657)</f>
        <v>0.1504702194</v>
      </c>
      <c r="G557" s="61">
        <f>IFERROR(__xludf.DUMMYFUNCTION("iferror(MINUS(divide(GOOGLEFINANCE($B557), INDEX(GOOGLEFINANCE($B557,""price"",today()-364),2,2)),1),"""")"),-0.18534961154273033)</f>
        <v>-0.1853496115</v>
      </c>
    </row>
    <row r="558">
      <c r="A558" s="71">
        <f t="shared" si="4"/>
        <v>554</v>
      </c>
      <c r="B558" s="47" t="s">
        <v>691</v>
      </c>
      <c r="C558" s="72">
        <f>IFERROR(__xludf.DUMMYFUNCTION("iferror(divide(googlefinance($B558,""marketcap""),1000000),"""")"),4289.135799)</f>
        <v>4289.135799</v>
      </c>
      <c r="D558" s="72">
        <f>IFERROR(__xludf.DUMMYFUNCTION("iferror(divide(googlefinance($B558,""shares""),1000),"""")"),40475.0)</f>
        <v>40475</v>
      </c>
      <c r="E558" s="72">
        <f>IFERROR(__xludf.DUMMYFUNCTION("iferror(divide(googlefinance($B558,""volumeavg""),1000),"""")"),319.372)</f>
        <v>319.372</v>
      </c>
      <c r="F558" s="73">
        <f>IFERROR(__xludf.DUMMYFUNCTION("iferror(MINUS(divide(GOOGLEFINANCE($B558), INDEX(GOOGLEFINANCE($B558,""price"",today()-182),2,2)),1),"""")"),1.0261950286806885)</f>
        <v>1.026195029</v>
      </c>
      <c r="G558" s="61">
        <f>IFERROR(__xludf.DUMMYFUNCTION("iferror(MINUS(divide(GOOGLEFINANCE($B558), INDEX(GOOGLEFINANCE($B558,""price"",today()-364),2,2)),1),"""")"),1.1360612779681514)</f>
        <v>1.136061278</v>
      </c>
    </row>
    <row r="559">
      <c r="A559" s="71">
        <f t="shared" si="4"/>
        <v>555</v>
      </c>
      <c r="B559" s="47" t="s">
        <v>692</v>
      </c>
      <c r="C559" s="72">
        <f>IFERROR(__xludf.DUMMYFUNCTION("iferror(divide(googlefinance($B559,""marketcap""),1000000),"""")"),28.765267)</f>
        <v>28.765267</v>
      </c>
      <c r="D559" s="72">
        <f>IFERROR(__xludf.DUMMYFUNCTION("iferror(divide(googlefinance($B559,""shares""),1000),"""")"),12241.0)</f>
        <v>12241</v>
      </c>
      <c r="E559" s="72">
        <f>IFERROR(__xludf.DUMMYFUNCTION("iferror(divide(googlefinance($B559,""volumeavg""),1000),"""")"),72.154)</f>
        <v>72.154</v>
      </c>
      <c r="F559" s="73">
        <f>IFERROR(__xludf.DUMMYFUNCTION("iferror(MINUS(divide(GOOGLEFINANCE($B559), INDEX(GOOGLEFINANCE($B559,""price"",today()-182),2,2)),1),"""")"),1.1559633027522933)</f>
        <v>1.155963303</v>
      </c>
      <c r="G559" s="61">
        <f>IFERROR(__xludf.DUMMYFUNCTION("iferror(MINUS(divide(GOOGLEFINANCE($B559), INDEX(GOOGLEFINANCE($B559,""price"",today()-364),2,2)),1),"""")"),-0.07843137254901955)</f>
        <v>-0.07843137255</v>
      </c>
    </row>
    <row r="560">
      <c r="A560" s="71">
        <f t="shared" si="4"/>
        <v>556</v>
      </c>
      <c r="B560" s="47" t="s">
        <v>693</v>
      </c>
      <c r="C560" s="72">
        <f>IFERROR(__xludf.DUMMYFUNCTION("iferror(divide(googlefinance($B560,""marketcap""),1000000),"""")"),6781.76)</f>
        <v>6781.76</v>
      </c>
      <c r="D560" s="72">
        <f>IFERROR(__xludf.DUMMYFUNCTION("iferror(divide(googlefinance($B560,""shares""),1000),"""")"),105965.0)</f>
        <v>105965</v>
      </c>
      <c r="E560" s="72">
        <f>IFERROR(__xludf.DUMMYFUNCTION("iferror(divide(googlefinance($B560,""volumeavg""),1000),"""")"),1580.068)</f>
        <v>1580.068</v>
      </c>
      <c r="F560" s="73">
        <f>IFERROR(__xludf.DUMMYFUNCTION("iferror(MINUS(divide(GOOGLEFINANCE($B560), INDEX(GOOGLEFINANCE($B560,""price"",today()-182),2,2)),1),"""")"),0.8996734936182844)</f>
        <v>0.8996734936</v>
      </c>
      <c r="G560" s="61">
        <f>IFERROR(__xludf.DUMMYFUNCTION("iferror(MINUS(divide(GOOGLEFINANCE($B560), INDEX(GOOGLEFINANCE($B560,""price"",today()-364),2,2)),1),"""")"),-0.040479760119940034)</f>
        <v>-0.04047976012</v>
      </c>
    </row>
    <row r="561">
      <c r="A561" s="71">
        <f t="shared" si="4"/>
        <v>557</v>
      </c>
      <c r="B561" s="47" t="s">
        <v>694</v>
      </c>
      <c r="C561" s="72">
        <f>IFERROR(__xludf.DUMMYFUNCTION("iferror(divide(googlefinance($B561,""marketcap""),1000000),"""")"),1883.996117)</f>
        <v>1883.996117</v>
      </c>
      <c r="D561" s="72">
        <f>IFERROR(__xludf.DUMMYFUNCTION("iferror(divide(googlefinance($B561,""shares""),1000),"""")"),183984.0)</f>
        <v>183984</v>
      </c>
      <c r="E561" s="72">
        <f>IFERROR(__xludf.DUMMYFUNCTION("iferror(divide(googlefinance($B561,""volumeavg""),1000),"""")"),4503.539)</f>
        <v>4503.539</v>
      </c>
      <c r="F561" s="73">
        <f>IFERROR(__xludf.DUMMYFUNCTION("iferror(MINUS(divide(GOOGLEFINANCE($B561), INDEX(GOOGLEFINANCE($B561,""price"",today()-182),2,2)),1),"""")"),2.446902654867257)</f>
        <v>2.446902655</v>
      </c>
      <c r="G561" s="61">
        <f>IFERROR(__xludf.DUMMYFUNCTION("iferror(MINUS(divide(GOOGLEFINANCE($B561), INDEX(GOOGLEFINANCE($B561,""price"",today()-364),2,2)),1),"""")"),1.2320916905444124)</f>
        <v>1.232091691</v>
      </c>
    </row>
    <row r="562">
      <c r="A562" s="71">
        <f t="shared" si="4"/>
        <v>558</v>
      </c>
      <c r="B562" s="47" t="s">
        <v>695</v>
      </c>
      <c r="C562" s="72">
        <f>IFERROR(__xludf.DUMMYFUNCTION("iferror(divide(googlefinance($B562,""marketcap""),1000000),"""")"),156.989558)</f>
        <v>156.989558</v>
      </c>
      <c r="D562" s="72">
        <f>IFERROR(__xludf.DUMMYFUNCTION("iferror(divide(googlefinance($B562,""shares""),1000),"""")"),10738.0)</f>
        <v>10738</v>
      </c>
      <c r="E562" s="72">
        <f>IFERROR(__xludf.DUMMYFUNCTION("iferror(divide(googlefinance($B562,""volumeavg""),1000),"""")"),27.016)</f>
        <v>27.016</v>
      </c>
      <c r="F562" s="73">
        <f>IFERROR(__xludf.DUMMYFUNCTION("iferror(MINUS(divide(GOOGLEFINANCE($B562), INDEX(GOOGLEFINANCE($B562,""price"",today()-182),2,2)),1),"""")"),0.2813321647677476)</f>
        <v>0.2813321648</v>
      </c>
      <c r="G562" s="61">
        <f>IFERROR(__xludf.DUMMYFUNCTION("iferror(MINUS(divide(GOOGLEFINANCE($B562), INDEX(GOOGLEFINANCE($B562,""price"",today()-364),2,2)),1),"""")"),-0.3357564743298501)</f>
        <v>-0.3357564743</v>
      </c>
    </row>
    <row r="563">
      <c r="A563" s="71">
        <f t="shared" si="4"/>
        <v>559</v>
      </c>
      <c r="B563" s="47" t="s">
        <v>696</v>
      </c>
      <c r="C563" s="72">
        <f>IFERROR(__xludf.DUMMYFUNCTION("iferror(divide(googlefinance($B563,""marketcap""),1000000),"""")"),1444.360717)</f>
        <v>1444.360717</v>
      </c>
      <c r="D563" s="72">
        <f>IFERROR(__xludf.DUMMYFUNCTION("iferror(divide(googlefinance($B563,""shares""),1000),"""")"),85617.0)</f>
        <v>85617</v>
      </c>
      <c r="E563" s="72">
        <f>IFERROR(__xludf.DUMMYFUNCTION("iferror(divide(googlefinance($B563,""volumeavg""),1000),"""")"),289.187)</f>
        <v>289.187</v>
      </c>
      <c r="F563" s="73">
        <f>IFERROR(__xludf.DUMMYFUNCTION("iferror(MINUS(divide(GOOGLEFINANCE($B563), INDEX(GOOGLEFINANCE($B563,""price"",today()-182),2,2)),1),"""")"),1.2433510638297873)</f>
        <v>1.243351064</v>
      </c>
      <c r="G563" s="61">
        <f>IFERROR(__xludf.DUMMYFUNCTION("iferror(MINUS(divide(GOOGLEFINANCE($B563), INDEX(GOOGLEFINANCE($B563,""price"",today()-364),2,2)),1),"""")"),0.047826086956521685)</f>
        <v>0.04782608696</v>
      </c>
    </row>
    <row r="564">
      <c r="A564" s="71">
        <f t="shared" si="4"/>
        <v>560</v>
      </c>
      <c r="B564" s="47" t="s">
        <v>697</v>
      </c>
      <c r="C564" s="72">
        <f>IFERROR(__xludf.DUMMYFUNCTION("iferror(divide(googlefinance($B564,""marketcap""),1000000),"""")"),88.060719)</f>
        <v>88.060719</v>
      </c>
      <c r="D564" s="72">
        <f>IFERROR(__xludf.DUMMYFUNCTION("iferror(divide(googlefinance($B564,""shares""),1000),"""")"),41735.0)</f>
        <v>41735</v>
      </c>
      <c r="E564" s="72">
        <f>IFERROR(__xludf.DUMMYFUNCTION("iferror(divide(googlefinance($B564,""volumeavg""),1000),"""")"),144.647)</f>
        <v>144.647</v>
      </c>
      <c r="F564" s="73">
        <f>IFERROR(__xludf.DUMMYFUNCTION("iferror(MINUS(divide(GOOGLEFINANCE($B564), INDEX(GOOGLEFINANCE($B564,""price"",today()-182),2,2)),1),"""")"),1.5731707317073171)</f>
        <v>1.573170732</v>
      </c>
      <c r="G564" s="61">
        <f>IFERROR(__xludf.DUMMYFUNCTION("iferror(MINUS(divide(GOOGLEFINANCE($B564), INDEX(GOOGLEFINANCE($B564,""price"",today()-364),2,2)),1),"""")"),1.1099999999999999)</f>
        <v>1.11</v>
      </c>
    </row>
    <row r="565">
      <c r="A565" s="71">
        <f t="shared" si="4"/>
        <v>561</v>
      </c>
      <c r="B565" s="47" t="s">
        <v>698</v>
      </c>
      <c r="C565" s="72">
        <f>IFERROR(__xludf.DUMMYFUNCTION("iferror(divide(googlefinance($B565,""marketcap""),1000000),"""")"),26106.186646)</f>
        <v>26106.18665</v>
      </c>
      <c r="D565" s="72">
        <f>IFERROR(__xludf.DUMMYFUNCTION("iferror(divide(googlefinance($B565,""shares""),1000),"""")"),337071.0)</f>
        <v>337071</v>
      </c>
      <c r="E565" s="72">
        <f>IFERROR(__xludf.DUMMYFUNCTION("iferror(divide(googlefinance($B565,""volumeavg""),1000),"""")"),3056.147)</f>
        <v>3056.147</v>
      </c>
      <c r="F565" s="73">
        <f>IFERROR(__xludf.DUMMYFUNCTION("iferror(MINUS(divide(GOOGLEFINANCE($B565), INDEX(GOOGLEFINANCE($B565,""price"",today()-182),2,2)),1),"""")"),0.6992101799034665)</f>
        <v>0.6992101799</v>
      </c>
      <c r="G565" s="61">
        <f>IFERROR(__xludf.DUMMYFUNCTION("iferror(MINUS(divide(GOOGLEFINANCE($B565), INDEX(GOOGLEFINANCE($B565,""price"",today()-364),2,2)),1),"""")"),0.1359636256966852)</f>
        <v>0.1359636257</v>
      </c>
    </row>
    <row r="566">
      <c r="A566" s="71">
        <f t="shared" si="4"/>
        <v>562</v>
      </c>
      <c r="B566" s="47" t="s">
        <v>699</v>
      </c>
      <c r="C566" s="72">
        <f>IFERROR(__xludf.DUMMYFUNCTION("iferror(divide(googlefinance($B566,""marketcap""),1000000),"""")"),2618.052552)</f>
        <v>2618.052552</v>
      </c>
      <c r="D566" s="72">
        <f>IFERROR(__xludf.DUMMYFUNCTION("iferror(divide(googlefinance($B566,""shares""),1000),"""")"),51567.0)</f>
        <v>51567</v>
      </c>
      <c r="E566" s="72">
        <f>IFERROR(__xludf.DUMMYFUNCTION("iferror(divide(googlefinance($B566,""volumeavg""),1000),"""")"),329.629)</f>
        <v>329.629</v>
      </c>
      <c r="F566" s="73">
        <f>IFERROR(__xludf.DUMMYFUNCTION("iferror(MINUS(divide(GOOGLEFINANCE($B566), INDEX(GOOGLEFINANCE($B566,""price"",today()-182),2,2)),1),"""")"),0.7997164126196386)</f>
        <v>0.7997164126</v>
      </c>
      <c r="G566" s="61">
        <f>IFERROR(__xludf.DUMMYFUNCTION("iferror(MINUS(divide(GOOGLEFINANCE($B566), INDEX(GOOGLEFINANCE($B566,""price"",today()-364),2,2)),1),"""")"),0.07540775259478938)</f>
        <v>0.07540775259</v>
      </c>
    </row>
    <row r="567">
      <c r="A567" s="71">
        <f t="shared" si="4"/>
        <v>563</v>
      </c>
      <c r="B567" s="47" t="s">
        <v>700</v>
      </c>
      <c r="C567" s="72">
        <f>IFERROR(__xludf.DUMMYFUNCTION("iferror(divide(googlefinance($B567,""marketcap""),1000000),"""")"),231.428798)</f>
        <v>231.428798</v>
      </c>
      <c r="D567" s="72">
        <f>IFERROR(__xludf.DUMMYFUNCTION("iferror(divide(googlefinance($B567,""shares""),1000),"""")"),27453.0)</f>
        <v>27453</v>
      </c>
      <c r="E567" s="72">
        <f>IFERROR(__xludf.DUMMYFUNCTION("iferror(divide(googlefinance($B567,""volumeavg""),1000),"""")"),284.311)</f>
        <v>284.311</v>
      </c>
      <c r="F567" s="73">
        <f>IFERROR(__xludf.DUMMYFUNCTION("iferror(MINUS(divide(GOOGLEFINANCE($B567), INDEX(GOOGLEFINANCE($B567,""price"",today()-182),2,2)),1),"""")"),-0.23572076155938348)</f>
        <v>-0.2357207616</v>
      </c>
      <c r="G567" s="61">
        <f>IFERROR(__xludf.DUMMYFUNCTION("iferror(MINUS(divide(GOOGLEFINANCE($B567), INDEX(GOOGLEFINANCE($B567,""price"",today()-364),2,2)),1),"""")"),-0.02768166089965396)</f>
        <v>-0.0276816609</v>
      </c>
    </row>
    <row r="568">
      <c r="A568" s="71">
        <f t="shared" si="4"/>
        <v>564</v>
      </c>
      <c r="B568" s="47" t="s">
        <v>701</v>
      </c>
      <c r="C568" s="72">
        <f>IFERROR(__xludf.DUMMYFUNCTION("iferror(divide(googlefinance($B568,""marketcap""),1000000),"""")"),1689.868556)</f>
        <v>1689.868556</v>
      </c>
      <c r="D568" s="72">
        <f>IFERROR(__xludf.DUMMYFUNCTION("iferror(divide(googlefinance($B568,""shares""),1000),"""")"),56707.0)</f>
        <v>56707</v>
      </c>
      <c r="E568" s="72">
        <f>IFERROR(__xludf.DUMMYFUNCTION("iferror(divide(googlefinance($B568,""volumeavg""),1000),"""")"),597.099)</f>
        <v>597.099</v>
      </c>
      <c r="F568" s="73">
        <f>IFERROR(__xludf.DUMMYFUNCTION("iferror(MINUS(divide(GOOGLEFINANCE($B568), INDEX(GOOGLEFINANCE($B568,""price"",today()-182),2,2)),1),"""")"),0.6337719298245617)</f>
        <v>0.6337719298</v>
      </c>
      <c r="G568" s="61">
        <f>IFERROR(__xludf.DUMMYFUNCTION("iferror(MINUS(divide(GOOGLEFINANCE($B568), INDEX(GOOGLEFINANCE($B568,""price"",today()-364),2,2)),1),"""")"),-0.45896877269426284)</f>
        <v>-0.4589687727</v>
      </c>
    </row>
    <row r="569">
      <c r="A569" s="71">
        <f t="shared" si="4"/>
        <v>565</v>
      </c>
      <c r="B569" s="47" t="s">
        <v>702</v>
      </c>
      <c r="C569" s="72">
        <f>IFERROR(__xludf.DUMMYFUNCTION("iferror(divide(googlefinance($B569,""marketcap""),1000000),"""")"),524.133116)</f>
        <v>524.133116</v>
      </c>
      <c r="D569" s="72">
        <f>IFERROR(__xludf.DUMMYFUNCTION("iferror(divide(googlefinance($B569,""shares""),1000),"""")"),41664.0)</f>
        <v>41664</v>
      </c>
      <c r="E569" s="72">
        <f>IFERROR(__xludf.DUMMYFUNCTION("iferror(divide(googlefinance($B569,""volumeavg""),1000),"""")"),39.546)</f>
        <v>39.546</v>
      </c>
      <c r="F569" s="73" t="str">
        <f>IFERROR(__xludf.DUMMYFUNCTION("iferror(MINUS(divide(GOOGLEFINANCE($B569), INDEX(GOOGLEFINANCE($B569,""price"",today()-182),2,2)),1),"""")"),"")</f>
        <v/>
      </c>
      <c r="G569" s="61" t="str">
        <f>IFERROR(__xludf.DUMMYFUNCTION("iferror(MINUS(divide(GOOGLEFINANCE($B569), INDEX(GOOGLEFINANCE($B569,""price"",today()-364),2,2)),1),"""")"),"")</f>
        <v/>
      </c>
    </row>
    <row r="570">
      <c r="A570" s="71">
        <f t="shared" si="4"/>
        <v>566</v>
      </c>
      <c r="B570" s="47" t="s">
        <v>703</v>
      </c>
      <c r="C570" s="72" t="str">
        <f>IFERROR(__xludf.DUMMYFUNCTION("iferror(divide(googlefinance($B570,""marketcap""),1000000),"""")"),"")</f>
        <v/>
      </c>
      <c r="D570" s="72" t="str">
        <f>IFERROR(__xludf.DUMMYFUNCTION("iferror(divide(googlefinance($B570,""shares""),1000),"""")"),"")</f>
        <v/>
      </c>
      <c r="E570" s="72" t="str">
        <f>IFERROR(__xludf.DUMMYFUNCTION("iferror(divide(googlefinance($B570,""volumeavg""),1000),"""")"),"")</f>
        <v/>
      </c>
      <c r="F570" s="73" t="str">
        <f>IFERROR(__xludf.DUMMYFUNCTION("iferror(MINUS(divide(GOOGLEFINANCE($B570), INDEX(GOOGLEFINANCE($B570,""price"",today()-182),2,2)),1),"""")"),"")</f>
        <v/>
      </c>
      <c r="G570" s="61" t="str">
        <f>IFERROR(__xludf.DUMMYFUNCTION("iferror(MINUS(divide(GOOGLEFINANCE($B570), INDEX(GOOGLEFINANCE($B570,""price"",today()-364),2,2)),1),"""")"),"")</f>
        <v/>
      </c>
    </row>
    <row r="571">
      <c r="A571" s="71">
        <f t="shared" si="4"/>
        <v>567</v>
      </c>
      <c r="B571" s="47" t="s">
        <v>704</v>
      </c>
      <c r="C571" s="72">
        <f>IFERROR(__xludf.DUMMYFUNCTION("iferror(divide(googlefinance($B571,""marketcap""),1000000),"""")"),617.523209)</f>
        <v>617.523209</v>
      </c>
      <c r="D571" s="72">
        <f>IFERROR(__xludf.DUMMYFUNCTION("iferror(divide(googlefinance($B571,""shares""),1000),"""")"),96488.0)</f>
        <v>96488</v>
      </c>
      <c r="E571" s="72">
        <f>IFERROR(__xludf.DUMMYFUNCTION("iferror(divide(googlefinance($B571,""volumeavg""),1000),"""")"),64.907)</f>
        <v>64.907</v>
      </c>
      <c r="F571" s="73">
        <f>IFERROR(__xludf.DUMMYFUNCTION("iferror(MINUS(divide(GOOGLEFINANCE($B571), INDEX(GOOGLEFINANCE($B571,""price"",today()-182),2,2)),1),"""")"),0.25490196078431393)</f>
        <v>0.2549019608</v>
      </c>
      <c r="G571" s="61">
        <f>IFERROR(__xludf.DUMMYFUNCTION("iferror(MINUS(divide(GOOGLEFINANCE($B571), INDEX(GOOGLEFINANCE($B571,""price"",today()-364),2,2)),1),"""")"),-0.10364145658263302)</f>
        <v>-0.1036414566</v>
      </c>
    </row>
    <row r="572">
      <c r="A572" s="71">
        <f t="shared" si="4"/>
        <v>568</v>
      </c>
      <c r="B572" s="47" t="s">
        <v>705</v>
      </c>
      <c r="C572" s="72">
        <f>IFERROR(__xludf.DUMMYFUNCTION("iferror(divide(googlefinance($B572,""marketcap""),1000000),"""")"),1645.282778)</f>
        <v>1645.282778</v>
      </c>
      <c r="D572" s="72">
        <f>IFERROR(__xludf.DUMMYFUNCTION("iferror(divide(googlefinance($B572,""shares""),1000),"""")"),27981.0)</f>
        <v>27981</v>
      </c>
      <c r="E572" s="72">
        <f>IFERROR(__xludf.DUMMYFUNCTION("iferror(divide(googlefinance($B572,""volumeavg""),1000),"""")"),164.633)</f>
        <v>164.633</v>
      </c>
      <c r="F572" s="73">
        <f>IFERROR(__xludf.DUMMYFUNCTION("iferror(MINUS(divide(GOOGLEFINANCE($B572), INDEX(GOOGLEFINANCE($B572,""price"",today()-182),2,2)),1),"""")"),0.3614262560777959)</f>
        <v>0.3614262561</v>
      </c>
      <c r="G572" s="61">
        <f>IFERROR(__xludf.DUMMYFUNCTION("iferror(MINUS(divide(GOOGLEFINANCE($B572), INDEX(GOOGLEFINANCE($B572,""price"",today()-364),2,2)),1),"""")"),-0.07050268732216247)</f>
        <v>-0.07050268732</v>
      </c>
    </row>
    <row r="573">
      <c r="A573" s="71">
        <f t="shared" si="4"/>
        <v>569</v>
      </c>
      <c r="B573" s="47" t="s">
        <v>706</v>
      </c>
      <c r="C573" s="72">
        <f>IFERROR(__xludf.DUMMYFUNCTION("iferror(divide(googlefinance($B573,""marketcap""),1000000),"""")"),196.049651)</f>
        <v>196.049651</v>
      </c>
      <c r="D573" s="72">
        <f>IFERROR(__xludf.DUMMYFUNCTION("iferror(divide(googlefinance($B573,""shares""),1000),"""")"),13783.0)</f>
        <v>13783</v>
      </c>
      <c r="E573" s="72">
        <f>IFERROR(__xludf.DUMMYFUNCTION("iferror(divide(googlefinance($B573,""volumeavg""),1000),"""")"),73.536)</f>
        <v>73.536</v>
      </c>
      <c r="F573" s="73">
        <f>IFERROR(__xludf.DUMMYFUNCTION("iferror(MINUS(divide(GOOGLEFINANCE($B573), INDEX(GOOGLEFINANCE($B573,""price"",today()-182),2,2)),1),"""")"),0.5869565217391304)</f>
        <v>0.5869565217</v>
      </c>
      <c r="G573" s="61">
        <f>IFERROR(__xludf.DUMMYFUNCTION("iferror(MINUS(divide(GOOGLEFINANCE($B573), INDEX(GOOGLEFINANCE($B573,""price"",today()-364),2,2)),1),"""")"),0.3663101604278074)</f>
        <v>0.3663101604</v>
      </c>
    </row>
    <row r="574">
      <c r="A574" s="71">
        <f t="shared" si="4"/>
        <v>570</v>
      </c>
      <c r="B574" s="47" t="s">
        <v>707</v>
      </c>
      <c r="C574" s="72">
        <f>IFERROR(__xludf.DUMMYFUNCTION("iferror(divide(googlefinance($B574,""marketcap""),1000000),"""")"),164.570998)</f>
        <v>164.570998</v>
      </c>
      <c r="D574" s="72">
        <f>IFERROR(__xludf.DUMMYFUNCTION("iferror(divide(googlefinance($B574,""shares""),1000),"""")"),57044.0)</f>
        <v>57044</v>
      </c>
      <c r="E574" s="72">
        <f>IFERROR(__xludf.DUMMYFUNCTION("iferror(divide(googlefinance($B574,""volumeavg""),1000),"""")"),176.687)</f>
        <v>176.687</v>
      </c>
      <c r="F574" s="73">
        <f>IFERROR(__xludf.DUMMYFUNCTION("iferror(MINUS(divide(GOOGLEFINANCE($B574), INDEX(GOOGLEFINANCE($B574,""price"",today()-182),2,2)),1),"""")"),0.6420454545454546)</f>
        <v>0.6420454545</v>
      </c>
      <c r="G574" s="61">
        <f>IFERROR(__xludf.DUMMYFUNCTION("iferror(MINUS(divide(GOOGLEFINANCE($B574), INDEX(GOOGLEFINANCE($B574,""price"",today()-364),2,2)),1),"""")"),-0.2252010723860589)</f>
        <v>-0.2252010724</v>
      </c>
    </row>
    <row r="575">
      <c r="A575" s="71">
        <f t="shared" si="4"/>
        <v>571</v>
      </c>
      <c r="B575" s="47" t="s">
        <v>708</v>
      </c>
      <c r="C575" s="72">
        <f>IFERROR(__xludf.DUMMYFUNCTION("iferror(divide(googlefinance($B575,""marketcap""),1000000),"""")"),98.052216)</f>
        <v>98.052216</v>
      </c>
      <c r="D575" s="72">
        <f>IFERROR(__xludf.DUMMYFUNCTION("iferror(divide(googlefinance($B575,""shares""),1000),"""")"),37858.0)</f>
        <v>37858</v>
      </c>
      <c r="E575" s="72">
        <f>IFERROR(__xludf.DUMMYFUNCTION("iferror(divide(googlefinance($B575,""volumeavg""),1000),"""")"),116.23)</f>
        <v>116.23</v>
      </c>
      <c r="F575" s="73">
        <f>IFERROR(__xludf.DUMMYFUNCTION("iferror(MINUS(divide(GOOGLEFINANCE($B575), INDEX(GOOGLEFINANCE($B575,""price"",today()-182),2,2)),1),"""")"),0.39247311827956977)</f>
        <v>0.3924731183</v>
      </c>
      <c r="G575" s="61">
        <f>IFERROR(__xludf.DUMMYFUNCTION("iferror(MINUS(divide(GOOGLEFINANCE($B575), INDEX(GOOGLEFINANCE($B575,""price"",today()-364),2,2)),1),"""")"),-0.15635179153094458)</f>
        <v>-0.1563517915</v>
      </c>
    </row>
    <row r="576">
      <c r="A576" s="71">
        <f t="shared" si="4"/>
        <v>572</v>
      </c>
      <c r="B576" s="47" t="s">
        <v>709</v>
      </c>
      <c r="C576" s="72">
        <f>IFERROR(__xludf.DUMMYFUNCTION("iferror(divide(googlefinance($B576,""marketcap""),1000000),"""")"),1388.661472)</f>
        <v>1388.661472</v>
      </c>
      <c r="D576" s="72">
        <f>IFERROR(__xludf.DUMMYFUNCTION("iferror(divide(googlefinance($B576,""shares""),1000),"""")"),46428.0)</f>
        <v>46428</v>
      </c>
      <c r="E576" s="72">
        <f>IFERROR(__xludf.DUMMYFUNCTION("iferror(divide(googlefinance($B576,""volumeavg""),1000),"""")"),103.79)</f>
        <v>103.79</v>
      </c>
      <c r="F576" s="73" t="str">
        <f>IFERROR(__xludf.DUMMYFUNCTION("iferror(MINUS(divide(GOOGLEFINANCE($B576), INDEX(GOOGLEFINANCE($B576,""price"",today()-182),2,2)),1),"""")"),"")</f>
        <v/>
      </c>
      <c r="G576" s="61" t="str">
        <f>IFERROR(__xludf.DUMMYFUNCTION("iferror(MINUS(divide(GOOGLEFINANCE($B576), INDEX(GOOGLEFINANCE($B576,""price"",today()-364),2,2)),1),"""")"),"")</f>
        <v/>
      </c>
    </row>
    <row r="577">
      <c r="A577" s="71">
        <f t="shared" si="4"/>
        <v>573</v>
      </c>
      <c r="B577" s="47" t="s">
        <v>710</v>
      </c>
      <c r="C577" s="72">
        <f>IFERROR(__xludf.DUMMYFUNCTION("iferror(divide(googlefinance($B577,""marketcap""),1000000),"""")"),3354.593183)</f>
        <v>3354.593183</v>
      </c>
      <c r="D577" s="72">
        <f>IFERROR(__xludf.DUMMYFUNCTION("iferror(divide(googlefinance($B577,""shares""),1000),"""")"),61361.0)</f>
        <v>61361</v>
      </c>
      <c r="E577" s="72">
        <f>IFERROR(__xludf.DUMMYFUNCTION("iferror(divide(googlefinance($B577,""volumeavg""),1000),"""")"),794.782)</f>
        <v>794.782</v>
      </c>
      <c r="F577" s="73">
        <f>IFERROR(__xludf.DUMMYFUNCTION("iferror(MINUS(divide(GOOGLEFINANCE($B577), INDEX(GOOGLEFINANCE($B577,""price"",today()-182),2,2)),1),"""")"),0.21327119396360406)</f>
        <v>0.213271194</v>
      </c>
      <c r="G577" s="61">
        <f>IFERROR(__xludf.DUMMYFUNCTION("iferror(MINUS(divide(GOOGLEFINANCE($B577), INDEX(GOOGLEFINANCE($B577,""price"",today()-364),2,2)),1),"""")"),-1.8288222384776898E-4)</f>
        <v>-0.0001828822238</v>
      </c>
    </row>
    <row r="578">
      <c r="A578" s="71">
        <f t="shared" si="4"/>
        <v>574</v>
      </c>
      <c r="B578" s="47" t="s">
        <v>711</v>
      </c>
      <c r="C578" s="72">
        <f>IFERROR(__xludf.DUMMYFUNCTION("iferror(divide(googlefinance($B578,""marketcap""),1000000),"""")"),405.281072)</f>
        <v>405.281072</v>
      </c>
      <c r="D578" s="72">
        <f>IFERROR(__xludf.DUMMYFUNCTION("iferror(divide(googlefinance($B578,""shares""),1000),"""")"),14994.0)</f>
        <v>14994</v>
      </c>
      <c r="E578" s="72">
        <f>IFERROR(__xludf.DUMMYFUNCTION("iferror(divide(googlefinance($B578,""volumeavg""),1000),"""")"),331.407)</f>
        <v>331.407</v>
      </c>
      <c r="F578" s="73">
        <f>IFERROR(__xludf.DUMMYFUNCTION("iferror(MINUS(divide(GOOGLEFINANCE($B578), INDEX(GOOGLEFINANCE($B578,""price"",today()-182),2,2)),1),"""")"),1.3043478260869565)</f>
        <v>1.304347826</v>
      </c>
      <c r="G578" s="61">
        <f>IFERROR(__xludf.DUMMYFUNCTION("iferror(MINUS(divide(GOOGLEFINANCE($B578), INDEX(GOOGLEFINANCE($B578,""price"",today()-364),2,2)),1),"""")"),-0.3078104993597951)</f>
        <v>-0.3078104994</v>
      </c>
    </row>
    <row r="579">
      <c r="A579" s="71">
        <f t="shared" si="4"/>
        <v>575</v>
      </c>
      <c r="B579" s="47" t="s">
        <v>712</v>
      </c>
      <c r="C579" s="72">
        <f>IFERROR(__xludf.DUMMYFUNCTION("iferror(divide(googlefinance($B579,""marketcap""),1000000),"""")"),1536.123694)</f>
        <v>1536.123694</v>
      </c>
      <c r="D579" s="72">
        <f>IFERROR(__xludf.DUMMYFUNCTION("iferror(divide(googlefinance($B579,""shares""),1000),"""")"),72975.0)</f>
        <v>72975</v>
      </c>
      <c r="E579" s="72">
        <f>IFERROR(__xludf.DUMMYFUNCTION("iferror(divide(googlefinance($B579,""volumeavg""),1000),"""")"),300.902)</f>
        <v>300.902</v>
      </c>
      <c r="F579" s="73">
        <f>IFERROR(__xludf.DUMMYFUNCTION("iferror(MINUS(divide(GOOGLEFINANCE($B579), INDEX(GOOGLEFINANCE($B579,""price"",today()-182),2,2)),1),"""")"),0.15850302696752872)</f>
        <v>0.158503027</v>
      </c>
      <c r="G579" s="61">
        <f>IFERROR(__xludf.DUMMYFUNCTION("iferror(MINUS(divide(GOOGLEFINANCE($B579), INDEX(GOOGLEFINANCE($B579,""price"",today()-364),2,2)),1),"""")"),0.012019230769230838)</f>
        <v>0.01201923077</v>
      </c>
    </row>
    <row r="580">
      <c r="A580" s="71">
        <f t="shared" si="4"/>
        <v>576</v>
      </c>
      <c r="B580" s="47" t="s">
        <v>713</v>
      </c>
      <c r="C580" s="72">
        <f>IFERROR(__xludf.DUMMYFUNCTION("iferror(divide(googlefinance($B580,""marketcap""),1000000),"""")"),41487.496829)</f>
        <v>41487.49683</v>
      </c>
      <c r="D580" s="72">
        <f>IFERROR(__xludf.DUMMYFUNCTION("iferror(divide(googlefinance($B580,""shares""),1000),"""")"),286932.0)</f>
        <v>286932</v>
      </c>
      <c r="E580" s="72">
        <f>IFERROR(__xludf.DUMMYFUNCTION("iferror(divide(googlefinance($B580,""volumeavg""),1000),"""")"),1097.141)</f>
        <v>1097.141</v>
      </c>
      <c r="F580" s="73">
        <f>IFERROR(__xludf.DUMMYFUNCTION("iferror(MINUS(divide(GOOGLEFINANCE($B580), INDEX(GOOGLEFINANCE($B580,""price"",today()-182),2,2)),1),"""")"),0.26844460040354434)</f>
        <v>0.2684446004</v>
      </c>
      <c r="G580" s="61">
        <f>IFERROR(__xludf.DUMMYFUNCTION("iferror(MINUS(divide(GOOGLEFINANCE($B580), INDEX(GOOGLEFINANCE($B580,""price"",today()-364),2,2)),1),"""")"),-0.22831830068847736)</f>
        <v>-0.2283183007</v>
      </c>
    </row>
    <row r="581">
      <c r="A581" s="71">
        <f t="shared" si="4"/>
        <v>577</v>
      </c>
      <c r="B581" s="47" t="s">
        <v>714</v>
      </c>
      <c r="C581" s="72">
        <f>IFERROR(__xludf.DUMMYFUNCTION("iferror(divide(googlefinance($B581,""marketcap""),1000000),"""")"),366.176706)</f>
        <v>366.176706</v>
      </c>
      <c r="D581" s="72">
        <f>IFERROR(__xludf.DUMMYFUNCTION("iferror(divide(googlefinance($B581,""shares""),1000),"""")"),28124.0)</f>
        <v>28124</v>
      </c>
      <c r="E581" s="72">
        <f>IFERROR(__xludf.DUMMYFUNCTION("iferror(divide(googlefinance($B581,""volumeavg""),1000),"""")"),256.429)</f>
        <v>256.429</v>
      </c>
      <c r="F581" s="73">
        <f>IFERROR(__xludf.DUMMYFUNCTION("iferror(MINUS(divide(GOOGLEFINANCE($B581), INDEX(GOOGLEFINANCE($B581,""price"",today()-182),2,2)),1),"""")"),2.4444444444444446)</f>
        <v>2.444444444</v>
      </c>
      <c r="G581" s="61">
        <f>IFERROR(__xludf.DUMMYFUNCTION("iferror(MINUS(divide(GOOGLEFINANCE($B581), INDEX(GOOGLEFINANCE($B581,""price"",today()-364),2,2)),1),"""")"),-0.03125)</f>
        <v>-0.03125</v>
      </c>
    </row>
    <row r="582">
      <c r="A582" s="71">
        <f t="shared" si="4"/>
        <v>578</v>
      </c>
      <c r="B582" s="47" t="s">
        <v>715</v>
      </c>
      <c r="C582" s="72">
        <f>IFERROR(__xludf.DUMMYFUNCTION("iferror(divide(googlefinance($B582,""marketcap""),1000000),"""")"),171.18455)</f>
        <v>171.18455</v>
      </c>
      <c r="D582" s="72">
        <f>IFERROR(__xludf.DUMMYFUNCTION("iferror(divide(googlefinance($B582,""shares""),1000),"""")"),12287.0)</f>
        <v>12287</v>
      </c>
      <c r="E582" s="72">
        <f>IFERROR(__xludf.DUMMYFUNCTION("iferror(divide(googlefinance($B582,""volumeavg""),1000),"""")"),15.624)</f>
        <v>15.624</v>
      </c>
      <c r="F582" s="73">
        <f>IFERROR(__xludf.DUMMYFUNCTION("iferror(MINUS(divide(GOOGLEFINANCE($B582), INDEX(GOOGLEFINANCE($B582,""price"",today()-182),2,2)),1),"""")"),0.23109243697478998)</f>
        <v>0.231092437</v>
      </c>
      <c r="G582" s="61">
        <f>IFERROR(__xludf.DUMMYFUNCTION("iferror(MINUS(divide(GOOGLEFINANCE($B582), INDEX(GOOGLEFINANCE($B582,""price"",today()-364),2,2)),1),"""")"),0.006008583690987113)</f>
        <v>0.006008583691</v>
      </c>
    </row>
    <row r="583">
      <c r="A583" s="71">
        <f t="shared" si="4"/>
        <v>579</v>
      </c>
      <c r="B583" s="47" t="s">
        <v>716</v>
      </c>
      <c r="C583" s="72">
        <f>IFERROR(__xludf.DUMMYFUNCTION("iferror(divide(googlefinance($B583,""marketcap""),1000000),"""")"),74.355537)</f>
        <v>74.355537</v>
      </c>
      <c r="D583" s="72">
        <f>IFERROR(__xludf.DUMMYFUNCTION("iferror(divide(googlefinance($B583,""shares""),1000),"""")"),8261727.0)</f>
        <v>8261727</v>
      </c>
      <c r="E583" s="72">
        <f>IFERROR(__xludf.DUMMYFUNCTION("iferror(divide(googlefinance($B583,""volumeavg""),1000),"""")"),1347.148)</f>
        <v>1347.148</v>
      </c>
      <c r="F583" s="73">
        <f>IFERROR(__xludf.DUMMYFUNCTION("iferror(MINUS(divide(GOOGLEFINANCE($B583), INDEX(GOOGLEFINANCE($B583,""price"",today()-182),2,2)),1),"""")"),1.2662721893491127)</f>
        <v>1.266272189</v>
      </c>
      <c r="G583" s="61">
        <f>IFERROR(__xludf.DUMMYFUNCTION("iferror(MINUS(divide(GOOGLEFINANCE($B583), INDEX(GOOGLEFINANCE($B583,""price"",today()-364),2,2)),1),"""")"),0.9054726368159207)</f>
        <v>0.9054726368</v>
      </c>
    </row>
    <row r="584">
      <c r="A584" s="71">
        <f t="shared" si="4"/>
        <v>580</v>
      </c>
      <c r="B584" s="47" t="s">
        <v>717</v>
      </c>
      <c r="C584" s="72">
        <f>IFERROR(__xludf.DUMMYFUNCTION("iferror(divide(googlefinance($B584,""marketcap""),1000000),"""")"),571.25929)</f>
        <v>571.25929</v>
      </c>
      <c r="D584" s="72">
        <f>IFERROR(__xludf.DUMMYFUNCTION("iferror(divide(googlefinance($B584,""shares""),1000),"""")"),310467.0)</f>
        <v>310467</v>
      </c>
      <c r="E584" s="72">
        <f>IFERROR(__xludf.DUMMYFUNCTION("iferror(divide(googlefinance($B584,""volumeavg""),1000),"""")"),2595.566)</f>
        <v>2595.566</v>
      </c>
      <c r="F584" s="73">
        <f>IFERROR(__xludf.DUMMYFUNCTION("iferror(MINUS(divide(GOOGLEFINANCE($B584), INDEX(GOOGLEFINANCE($B584,""price"",today()-182),2,2)),1),"""")"),0.6727272727272726)</f>
        <v>0.6727272727</v>
      </c>
      <c r="G584" s="61">
        <f>IFERROR(__xludf.DUMMYFUNCTION("iferror(MINUS(divide(GOOGLEFINANCE($B584), INDEX(GOOGLEFINANCE($B584,""price"",today()-364),2,2)),1),"""")"),0.2867132867132869)</f>
        <v>0.2867132867</v>
      </c>
    </row>
    <row r="585">
      <c r="A585" s="71">
        <f t="shared" si="4"/>
        <v>581</v>
      </c>
      <c r="B585" s="47" t="s">
        <v>718</v>
      </c>
      <c r="C585" s="72">
        <f>IFERROR(__xludf.DUMMYFUNCTION("iferror(divide(googlefinance($B585,""marketcap""),1000000),"""")"),884.178975)</f>
        <v>884.178975</v>
      </c>
      <c r="D585" s="72">
        <f>IFERROR(__xludf.DUMMYFUNCTION("iferror(divide(googlefinance($B585,""shares""),1000),"""")"),63610.0)</f>
        <v>63610</v>
      </c>
      <c r="E585" s="72">
        <f>IFERROR(__xludf.DUMMYFUNCTION("iferror(divide(googlefinance($B585,""volumeavg""),1000),"""")"),1507.221)</f>
        <v>1507.221</v>
      </c>
      <c r="F585" s="73">
        <f>IFERROR(__xludf.DUMMYFUNCTION("iferror(MINUS(divide(GOOGLEFINANCE($B585), INDEX(GOOGLEFINANCE($B585,""price"",today()-182),2,2)),1),"""")"),0.9744318181818181)</f>
        <v>0.9744318182</v>
      </c>
      <c r="G585" s="61">
        <f>IFERROR(__xludf.DUMMYFUNCTION("iferror(MINUS(divide(GOOGLEFINANCE($B585), INDEX(GOOGLEFINANCE($B585,""price"",today()-364),2,2)),1),"""")"),-0.20480549199084663)</f>
        <v>-0.204805492</v>
      </c>
    </row>
    <row r="586">
      <c r="A586" s="71">
        <f t="shared" si="4"/>
        <v>582</v>
      </c>
      <c r="B586" s="47" t="s">
        <v>719</v>
      </c>
      <c r="C586" s="72">
        <f>IFERROR(__xludf.DUMMYFUNCTION("iferror(divide(googlefinance($B586,""marketcap""),1000000),"""")"),48.612775)</f>
        <v>48.612775</v>
      </c>
      <c r="D586" s="72">
        <f>IFERROR(__xludf.DUMMYFUNCTION("iferror(divide(googlefinance($B586,""shares""),1000),"""")"),53799.0)</f>
        <v>53799</v>
      </c>
      <c r="E586" s="72">
        <f>IFERROR(__xludf.DUMMYFUNCTION("iferror(divide(googlefinance($B586,""volumeavg""),1000),"""")"),68237.158)</f>
        <v>68237.158</v>
      </c>
      <c r="F586" s="73">
        <f>IFERROR(__xludf.DUMMYFUNCTION("iferror(MINUS(divide(GOOGLEFINANCE($B586), INDEX(GOOGLEFINANCE($B586,""price"",today()-182),2,2)),1),"""")"),0.034482758620689724)</f>
        <v>0.03448275862</v>
      </c>
      <c r="G586" s="61">
        <f>IFERROR(__xludf.DUMMYFUNCTION("iferror(MINUS(divide(GOOGLEFINANCE($B586), INDEX(GOOGLEFINANCE($B586,""price"",today()-364),2,2)),1),"""")"),-0.7464788732394366)</f>
        <v>-0.7464788732</v>
      </c>
    </row>
    <row r="587">
      <c r="A587" s="71">
        <f t="shared" si="4"/>
        <v>583</v>
      </c>
      <c r="B587" s="47" t="s">
        <v>720</v>
      </c>
      <c r="C587" s="72">
        <f>IFERROR(__xludf.DUMMYFUNCTION("iferror(divide(googlefinance($B587,""marketcap""),1000000),"""")"),1100.709334)</f>
        <v>1100.709334</v>
      </c>
      <c r="D587" s="72">
        <f>IFERROR(__xludf.DUMMYFUNCTION("iferror(divide(googlefinance($B587,""shares""),1000),"""")"),56130.0)</f>
        <v>56130</v>
      </c>
      <c r="E587" s="72">
        <f>IFERROR(__xludf.DUMMYFUNCTION("iferror(divide(googlefinance($B587,""volumeavg""),1000),"""")"),650.759)</f>
        <v>650.759</v>
      </c>
      <c r="F587" s="73">
        <f>IFERROR(__xludf.DUMMYFUNCTION("iferror(MINUS(divide(GOOGLEFINANCE($B587), INDEX(GOOGLEFINANCE($B587,""price"",today()-182),2,2)),1),"""")"),0.9969450101832993)</f>
        <v>0.9969450102</v>
      </c>
      <c r="G587" s="61">
        <f>IFERROR(__xludf.DUMMYFUNCTION("iferror(MINUS(divide(GOOGLEFINANCE($B587), INDEX(GOOGLEFINANCE($B587,""price"",today()-364),2,2)),1),"""")"),-0.04990310077519389)</f>
        <v>-0.04990310078</v>
      </c>
    </row>
    <row r="588">
      <c r="A588" s="71">
        <f t="shared" si="4"/>
        <v>584</v>
      </c>
      <c r="B588" s="47" t="s">
        <v>721</v>
      </c>
      <c r="C588" s="72">
        <f>IFERROR(__xludf.DUMMYFUNCTION("iferror(divide(googlefinance($B588,""marketcap""),1000000),"""")"),12119.342715)</f>
        <v>12119.34272</v>
      </c>
      <c r="D588" s="72">
        <f>IFERROR(__xludf.DUMMYFUNCTION("iferror(divide(googlefinance($B588,""shares""),1000),"""")"),883334.0)</f>
        <v>883334</v>
      </c>
      <c r="E588" s="72">
        <f>IFERROR(__xludf.DUMMYFUNCTION("iferror(divide(googlefinance($B588,""volumeavg""),1000),"""")"),7812.324)</f>
        <v>7812.324</v>
      </c>
      <c r="F588" s="73">
        <f>IFERROR(__xludf.DUMMYFUNCTION("iferror(MINUS(divide(GOOGLEFINANCE($B588), INDEX(GOOGLEFINANCE($B588,""price"",today()-182),2,2)),1),"""")"),2.43)</f>
        <v>2.43</v>
      </c>
      <c r="G588" s="61">
        <f>IFERROR(__xludf.DUMMYFUNCTION("iferror(MINUS(divide(GOOGLEFINANCE($B588), INDEX(GOOGLEFINANCE($B588,""price"",today()-364),2,2)),1),"""")"),1.653771760154739)</f>
        <v>1.65377176</v>
      </c>
    </row>
    <row r="589">
      <c r="A589" s="71">
        <f t="shared" si="4"/>
        <v>585</v>
      </c>
      <c r="B589" s="47" t="s">
        <v>722</v>
      </c>
      <c r="C589" s="72">
        <f>IFERROR(__xludf.DUMMYFUNCTION("iferror(divide(googlefinance($B589,""marketcap""),1000000),"""")"),57.456238)</f>
        <v>57.456238</v>
      </c>
      <c r="D589" s="72">
        <f>IFERROR(__xludf.DUMMYFUNCTION("iferror(divide(googlefinance($B589,""shares""),1000),"""")"),239401.0)</f>
        <v>239401</v>
      </c>
      <c r="E589" s="72" t="str">
        <f>IFERROR(__xludf.DUMMYFUNCTION("iferror(divide(googlefinance($B589,""volumeavg""),1000),"""")"),"")</f>
        <v/>
      </c>
      <c r="F589" s="73">
        <f>IFERROR(__xludf.DUMMYFUNCTION("iferror(MINUS(divide(GOOGLEFINANCE($B589), INDEX(GOOGLEFINANCE($B589,""price"",today()-182),2,2)),1),"""")"),2.428571428571428)</f>
        <v>2.428571429</v>
      </c>
      <c r="G589" s="61">
        <f>IFERROR(__xludf.DUMMYFUNCTION("iferror(MINUS(divide(GOOGLEFINANCE($B589), INDEX(GOOGLEFINANCE($B589,""price"",today()-364),2,2)),1),"""")"),1.1818181818181817)</f>
        <v>1.181818182</v>
      </c>
    </row>
    <row r="590">
      <c r="A590" s="71">
        <f t="shared" si="4"/>
        <v>586</v>
      </c>
      <c r="B590" s="47" t="s">
        <v>723</v>
      </c>
      <c r="C590" s="72">
        <f>IFERROR(__xludf.DUMMYFUNCTION("iferror(divide(googlefinance($B590,""marketcap""),1000000),"""")"),34762.645345)</f>
        <v>34762.64535</v>
      </c>
      <c r="D590" s="72">
        <f>IFERROR(__xludf.DUMMYFUNCTION("iferror(divide(googlefinance($B590,""shares""),1000),"""")"),1146031.0)</f>
        <v>1146031</v>
      </c>
      <c r="E590" s="72">
        <f>IFERROR(__xludf.DUMMYFUNCTION("iferror(divide(googlefinance($B590,""volumeavg""),1000),"""")"),5809.557)</f>
        <v>5809.557</v>
      </c>
      <c r="F590" s="73">
        <f>IFERROR(__xludf.DUMMYFUNCTION("iferror(MINUS(divide(GOOGLEFINANCE($B590), INDEX(GOOGLEFINANCE($B590,""price"",today()-182),2,2)),1),"""")"),1.2391304347826089)</f>
        <v>1.239130435</v>
      </c>
      <c r="G590" s="61">
        <f>IFERROR(__xludf.DUMMYFUNCTION("iferror(MINUS(divide(GOOGLEFINANCE($B590), INDEX(GOOGLEFINANCE($B590,""price"",today()-364),2,2)),1),"""")"),0.3290322580645162)</f>
        <v>0.3290322581</v>
      </c>
    </row>
    <row r="591">
      <c r="A591" s="71">
        <f t="shared" si="4"/>
        <v>587</v>
      </c>
      <c r="B591" s="47" t="s">
        <v>724</v>
      </c>
      <c r="C591" s="72">
        <f>IFERROR(__xludf.DUMMYFUNCTION("iferror(divide(googlefinance($B591,""marketcap""),1000000),"""")"),1338.543628)</f>
        <v>1338.543628</v>
      </c>
      <c r="D591" s="72">
        <f>IFERROR(__xludf.DUMMYFUNCTION("iferror(divide(googlefinance($B591,""shares""),1000),"""")"),67416.0)</f>
        <v>67416</v>
      </c>
      <c r="E591" s="72">
        <f>IFERROR(__xludf.DUMMYFUNCTION("iferror(divide(googlefinance($B591,""volumeavg""),1000),"""")"),120.448)</f>
        <v>120.448</v>
      </c>
      <c r="F591" s="73">
        <f>IFERROR(__xludf.DUMMYFUNCTION("iferror(MINUS(divide(GOOGLEFINANCE($B591), INDEX(GOOGLEFINANCE($B591,""price"",today()-182),2,2)),1),"""")"),0.16651825467497772)</f>
        <v>0.1665182547</v>
      </c>
      <c r="G591" s="61">
        <f>IFERROR(__xludf.DUMMYFUNCTION("iferror(MINUS(divide(GOOGLEFINANCE($B591), INDEX(GOOGLEFINANCE($B591,""price"",today()-364),2,2)),1),"""")"),0.18659420289855078)</f>
        <v>0.1865942029</v>
      </c>
    </row>
    <row r="592">
      <c r="A592" s="71">
        <f t="shared" si="4"/>
        <v>588</v>
      </c>
      <c r="B592" s="47" t="s">
        <v>725</v>
      </c>
      <c r="C592" s="72">
        <f>IFERROR(__xludf.DUMMYFUNCTION("iferror(divide(googlefinance($B592,""marketcap""),1000000),"""")"),714.262452)</f>
        <v>714.262452</v>
      </c>
      <c r="D592" s="72">
        <f>IFERROR(__xludf.DUMMYFUNCTION("iferror(divide(googlefinance($B592,""shares""),1000),"""")"),48359.0)</f>
        <v>48359</v>
      </c>
      <c r="E592" s="72">
        <f>IFERROR(__xludf.DUMMYFUNCTION("iferror(divide(googlefinance($B592,""volumeavg""),1000),"""")"),1247.322)</f>
        <v>1247.322</v>
      </c>
      <c r="F592" s="73">
        <f>IFERROR(__xludf.DUMMYFUNCTION("iferror(MINUS(divide(GOOGLEFINANCE($B592), INDEX(GOOGLEFINANCE($B592,""price"",today()-182),2,2)),1),"""")"),1.4372937293729375)</f>
        <v>1.437293729</v>
      </c>
      <c r="G592" s="61">
        <f>IFERROR(__xludf.DUMMYFUNCTION("iferror(MINUS(divide(GOOGLEFINANCE($B592), INDEX(GOOGLEFINANCE($B592,""price"",today()-364),2,2)),1),"""")"),-0.38611803823773894)</f>
        <v>-0.3861180382</v>
      </c>
    </row>
    <row r="593">
      <c r="A593" s="71">
        <f t="shared" si="4"/>
        <v>589</v>
      </c>
      <c r="B593" s="47" t="s">
        <v>726</v>
      </c>
      <c r="C593" s="72">
        <f>IFERROR(__xludf.DUMMYFUNCTION("iferror(divide(googlefinance($B593,""marketcap""),1000000),"""")"),3950.440954)</f>
        <v>3950.440954</v>
      </c>
      <c r="D593" s="72">
        <f>IFERROR(__xludf.DUMMYFUNCTION("iferror(divide(googlefinance($B593,""shares""),1000),"""")"),198225.0)</f>
        <v>198225</v>
      </c>
      <c r="E593" s="72">
        <f>IFERROR(__xludf.DUMMYFUNCTION("iferror(divide(googlefinance($B593,""volumeavg""),1000),"""")"),584.088)</f>
        <v>584.088</v>
      </c>
      <c r="F593" s="73">
        <f>IFERROR(__xludf.DUMMYFUNCTION("iferror(MINUS(divide(GOOGLEFINANCE($B593), INDEX(GOOGLEFINANCE($B593,""price"",today()-182),2,2)),1),"""")"),0.9654832347140039)</f>
        <v>0.9654832347</v>
      </c>
      <c r="G593" s="61">
        <f>IFERROR(__xludf.DUMMYFUNCTION("iferror(MINUS(divide(GOOGLEFINANCE($B593), INDEX(GOOGLEFINANCE($B593,""price"",today()-364),2,2)),1),"""")"),-0.4382750845546787)</f>
        <v>-0.4382750846</v>
      </c>
    </row>
    <row r="594">
      <c r="A594" s="71">
        <f t="shared" si="4"/>
        <v>590</v>
      </c>
      <c r="B594" s="47" t="s">
        <v>727</v>
      </c>
      <c r="C594" s="72">
        <f>IFERROR(__xludf.DUMMYFUNCTION("iferror(divide(googlefinance($B594,""marketcap""),1000000),"""")"),81542.210107)</f>
        <v>81542.21011</v>
      </c>
      <c r="D594" s="72">
        <f>IFERROR(__xludf.DUMMYFUNCTION("iferror(divide(googlefinance($B594,""shares""),1000),"""")"),1253724.0)</f>
        <v>1253724</v>
      </c>
      <c r="E594" s="72">
        <f>IFERROR(__xludf.DUMMYFUNCTION("iferror(divide(googlefinance($B594,""volumeavg""),1000),"""")"),9424.731)</f>
        <v>9424.731</v>
      </c>
      <c r="F594" s="73">
        <f>IFERROR(__xludf.DUMMYFUNCTION("iferror(MINUS(divide(GOOGLEFINANCE($B594), INDEX(GOOGLEFINANCE($B594,""price"",today()-182),2,2)),1),"""")"),-0.11220311220311219)</f>
        <v>-0.1122031122</v>
      </c>
      <c r="G594" s="61">
        <f>IFERROR(__xludf.DUMMYFUNCTION("iferror(MINUS(divide(GOOGLEFINANCE($B594), INDEX(GOOGLEFINANCE($B594,""price"",today()-364),2,2)),1),"""")"),-0.020776874435410986)</f>
        <v>-0.02077687444</v>
      </c>
    </row>
    <row r="595">
      <c r="A595" s="71">
        <f t="shared" si="4"/>
        <v>591</v>
      </c>
      <c r="B595" s="47" t="s">
        <v>728</v>
      </c>
      <c r="C595" s="72">
        <f>IFERROR(__xludf.DUMMYFUNCTION("iferror(divide(googlefinance($B595,""marketcap""),1000000),"""")"),35176.659558)</f>
        <v>35176.65956</v>
      </c>
      <c r="D595" s="72">
        <f>IFERROR(__xludf.DUMMYFUNCTION("iferror(divide(googlefinance($B595,""shares""),1000),"""")"),610918.0)</f>
        <v>610918</v>
      </c>
      <c r="E595" s="72">
        <f>IFERROR(__xludf.DUMMYFUNCTION("iferror(divide(googlefinance($B595,""volumeavg""),1000),"""")"),2550.748)</f>
        <v>2550.748</v>
      </c>
      <c r="F595" s="73">
        <f>IFERROR(__xludf.DUMMYFUNCTION("iferror(MINUS(divide(GOOGLEFINANCE($B595), INDEX(GOOGLEFINANCE($B595,""price"",today()-182),2,2)),1),"""")"),0.07888326775341947)</f>
        <v>0.07888326775</v>
      </c>
      <c r="G595" s="61">
        <f>IFERROR(__xludf.DUMMYFUNCTION("iferror(MINUS(divide(GOOGLEFINANCE($B595), INDEX(GOOGLEFINANCE($B595,""price"",today()-364),2,2)),1),"""")"),0.05981962083563408)</f>
        <v>0.05981962084</v>
      </c>
    </row>
    <row r="596">
      <c r="A596" s="71">
        <f t="shared" si="4"/>
        <v>592</v>
      </c>
      <c r="B596" s="47" t="s">
        <v>729</v>
      </c>
      <c r="C596" s="72">
        <f>IFERROR(__xludf.DUMMYFUNCTION("iferror(divide(googlefinance($B596,""marketcap""),1000000),"""")"),605.955038)</f>
        <v>605.955038</v>
      </c>
      <c r="D596" s="72">
        <f>IFERROR(__xludf.DUMMYFUNCTION("iferror(divide(googlefinance($B596,""shares""),1000),"""")"),64947.0)</f>
        <v>64947</v>
      </c>
      <c r="E596" s="72">
        <f>IFERROR(__xludf.DUMMYFUNCTION("iferror(divide(googlefinance($B596,""volumeavg""),1000),"""")"),487.778)</f>
        <v>487.778</v>
      </c>
      <c r="F596" s="73">
        <f>IFERROR(__xludf.DUMMYFUNCTION("iferror(MINUS(divide(GOOGLEFINANCE($B596), INDEX(GOOGLEFINANCE($B596,""price"",today()-182),2,2)),1),"""")"),0.15756823821339938)</f>
        <v>0.1575682382</v>
      </c>
      <c r="G596" s="61">
        <f>IFERROR(__xludf.DUMMYFUNCTION("iferror(MINUS(divide(GOOGLEFINANCE($B596), INDEX(GOOGLEFINANCE($B596,""price"",today()-364),2,2)),1),"""")"),-0.0888671875)</f>
        <v>-0.0888671875</v>
      </c>
    </row>
    <row r="597">
      <c r="A597" s="71">
        <f t="shared" si="4"/>
        <v>593</v>
      </c>
      <c r="B597" s="47" t="s">
        <v>730</v>
      </c>
      <c r="C597" s="72">
        <f>IFERROR(__xludf.DUMMYFUNCTION("iferror(divide(googlefinance($B597,""marketcap""),1000000),"""")"),88.674595)</f>
        <v>88.674595</v>
      </c>
      <c r="D597" s="72">
        <f>IFERROR(__xludf.DUMMYFUNCTION("iferror(divide(googlefinance($B597,""shares""),1000),"""")"),21113.0)</f>
        <v>21113</v>
      </c>
      <c r="E597" s="72">
        <f>IFERROR(__xludf.DUMMYFUNCTION("iferror(divide(googlefinance($B597,""volumeavg""),1000),"""")"),68.275)</f>
        <v>68.275</v>
      </c>
      <c r="F597" s="73">
        <f>IFERROR(__xludf.DUMMYFUNCTION("iferror(MINUS(divide(GOOGLEFINANCE($B597), INDEX(GOOGLEFINANCE($B597,""price"",today()-182),2,2)),1),"""")"),0.17318435754189943)</f>
        <v>0.1731843575</v>
      </c>
      <c r="G597" s="61">
        <f>IFERROR(__xludf.DUMMYFUNCTION("iferror(MINUS(divide(GOOGLEFINANCE($B597), INDEX(GOOGLEFINANCE($B597,""price"",today()-364),2,2)),1),"""")"),-0.21787709497206698)</f>
        <v>-0.217877095</v>
      </c>
    </row>
    <row r="598">
      <c r="A598" s="71">
        <f t="shared" si="4"/>
        <v>594</v>
      </c>
      <c r="B598" s="47" t="s">
        <v>731</v>
      </c>
      <c r="C598" s="72">
        <f>IFERROR(__xludf.DUMMYFUNCTION("iferror(divide(googlefinance($B598,""marketcap""),1000000),"""")"),1260.642033)</f>
        <v>1260.642033</v>
      </c>
      <c r="D598" s="72">
        <f>IFERROR(__xludf.DUMMYFUNCTION("iferror(divide(googlefinance($B598,""shares""),1000),"""")"),97800.0)</f>
        <v>97800</v>
      </c>
      <c r="E598" s="72">
        <f>IFERROR(__xludf.DUMMYFUNCTION("iferror(divide(googlefinance($B598,""volumeavg""),1000),"""")"),1143.881)</f>
        <v>1143.881</v>
      </c>
      <c r="F598" s="73">
        <f>IFERROR(__xludf.DUMMYFUNCTION("iferror(MINUS(divide(GOOGLEFINANCE($B598), INDEX(GOOGLEFINANCE($B598,""price"",today()-182),2,2)),1),"""")"),0.8493543758967004)</f>
        <v>0.8493543759</v>
      </c>
      <c r="G598" s="61">
        <f>IFERROR(__xludf.DUMMYFUNCTION("iferror(MINUS(divide(GOOGLEFINANCE($B598), INDEX(GOOGLEFINANCE($B598,""price"",today()-364),2,2)),1),"""")"),-0.01902587519025878)</f>
        <v>-0.01902587519</v>
      </c>
    </row>
    <row r="599">
      <c r="A599" s="71">
        <f t="shared" si="4"/>
        <v>595</v>
      </c>
      <c r="B599" s="47" t="s">
        <v>732</v>
      </c>
      <c r="C599" s="72">
        <f>IFERROR(__xludf.DUMMYFUNCTION("iferror(divide(googlefinance($B599,""marketcap""),1000000),"""")"),292.000526)</f>
        <v>292.000526</v>
      </c>
      <c r="D599" s="72">
        <f>IFERROR(__xludf.DUMMYFUNCTION("iferror(divide(googlefinance($B599,""shares""),1000),"""")"),95114.0)</f>
        <v>95114</v>
      </c>
      <c r="E599" s="72">
        <f>IFERROR(__xludf.DUMMYFUNCTION("iferror(divide(googlefinance($B599,""volumeavg""),1000),"""")"),503.646)</f>
        <v>503.646</v>
      </c>
      <c r="F599" s="73">
        <f>IFERROR(__xludf.DUMMYFUNCTION("iferror(MINUS(divide(GOOGLEFINANCE($B599), INDEX(GOOGLEFINANCE($B599,""price"",today()-182),2,2)),1),"""")"),-0.1725067385444744)</f>
        <v>-0.1725067385</v>
      </c>
      <c r="G599" s="61">
        <f>IFERROR(__xludf.DUMMYFUNCTION("iferror(MINUS(divide(GOOGLEFINANCE($B599), INDEX(GOOGLEFINANCE($B599,""price"",today()-364),2,2)),1),"""")"),-0.7737656595431098)</f>
        <v>-0.7737656595</v>
      </c>
    </row>
    <row r="600">
      <c r="A600" s="71">
        <f t="shared" si="4"/>
        <v>596</v>
      </c>
      <c r="B600" s="47" t="s">
        <v>733</v>
      </c>
      <c r="C600" s="72">
        <f>IFERROR(__xludf.DUMMYFUNCTION("iferror(divide(googlefinance($B600,""marketcap""),1000000),"""")"),199.988871)</f>
        <v>199.988871</v>
      </c>
      <c r="D600" s="72">
        <f>IFERROR(__xludf.DUMMYFUNCTION("iferror(divide(googlefinance($B600,""shares""),1000),"""")"),46669.0)</f>
        <v>46669</v>
      </c>
      <c r="E600" s="72">
        <f>IFERROR(__xludf.DUMMYFUNCTION("iferror(divide(googlefinance($B600,""volumeavg""),1000),"""")"),279.587)</f>
        <v>279.587</v>
      </c>
      <c r="F600" s="73">
        <f>IFERROR(__xludf.DUMMYFUNCTION("iferror(MINUS(divide(GOOGLEFINANCE($B600), INDEX(GOOGLEFINANCE($B600,""price"",today()-182),2,2)),1),"""")"),1.0947368421052635)</f>
        <v>1.094736842</v>
      </c>
      <c r="G600" s="61">
        <f>IFERROR(__xludf.DUMMYFUNCTION("iferror(MINUS(divide(GOOGLEFINANCE($B600), INDEX(GOOGLEFINANCE($B600,""price"",today()-364),2,2)),1),"""")"),-0.7956878850102669)</f>
        <v>-0.795687885</v>
      </c>
    </row>
    <row r="601">
      <c r="A601" s="71">
        <f t="shared" si="4"/>
        <v>597</v>
      </c>
      <c r="B601" s="47" t="s">
        <v>734</v>
      </c>
      <c r="C601" s="72">
        <f>IFERROR(__xludf.DUMMYFUNCTION("iferror(divide(googlefinance($B601,""marketcap""),1000000),"""")"),7641.625891)</f>
        <v>7641.625891</v>
      </c>
      <c r="D601" s="72">
        <f>IFERROR(__xludf.DUMMYFUNCTION("iferror(divide(googlefinance($B601,""shares""),1000),"""")"),65255.0)</f>
        <v>65255</v>
      </c>
      <c r="E601" s="72">
        <f>IFERROR(__xludf.DUMMYFUNCTION("iferror(divide(googlefinance($B601,""volumeavg""),1000),"""")"),179.3)</f>
        <v>179.3</v>
      </c>
      <c r="F601" s="73">
        <f>IFERROR(__xludf.DUMMYFUNCTION("iferror(MINUS(divide(GOOGLEFINANCE($B601), INDEX(GOOGLEFINANCE($B601,""price"",today()-182),2,2)),1),"""")"),-0.04364622161978993)</f>
        <v>-0.04364622162</v>
      </c>
      <c r="G601" s="61">
        <f>IFERROR(__xludf.DUMMYFUNCTION("iferror(MINUS(divide(GOOGLEFINANCE($B601), INDEX(GOOGLEFINANCE($B601,""price"",today()-364),2,2)),1),"""")"),-0.1239756642662031)</f>
        <v>-0.1239756643</v>
      </c>
    </row>
    <row r="602">
      <c r="A602" s="71">
        <f t="shared" si="4"/>
        <v>598</v>
      </c>
      <c r="B602" s="47" t="s">
        <v>735</v>
      </c>
      <c r="C602" s="72">
        <f>IFERROR(__xludf.DUMMYFUNCTION("iferror(divide(googlefinance($B602,""marketcap""),1000000),"""")"),1255.769533)</f>
        <v>1255.769533</v>
      </c>
      <c r="D602" s="72">
        <f>IFERROR(__xludf.DUMMYFUNCTION("iferror(divide(googlefinance($B602,""shares""),1000),"""")"),170853.0)</f>
        <v>170853</v>
      </c>
      <c r="E602" s="72">
        <f>IFERROR(__xludf.DUMMYFUNCTION("iferror(divide(googlefinance($B602,""volumeavg""),1000),"""")"),4865.075)</f>
        <v>4865.075</v>
      </c>
      <c r="F602" s="73">
        <f>IFERROR(__xludf.DUMMYFUNCTION("iferror(MINUS(divide(GOOGLEFINANCE($B602), INDEX(GOOGLEFINANCE($B602,""price"",today()-182),2,2)),1),"""")"),0.2068965517241379)</f>
        <v>0.2068965517</v>
      </c>
      <c r="G602" s="61">
        <f>IFERROR(__xludf.DUMMYFUNCTION("iferror(MINUS(divide(GOOGLEFINANCE($B602), INDEX(GOOGLEFINANCE($B602,""price"",today()-364),2,2)),1),"""")"),0.4468503937007873)</f>
        <v>0.4468503937</v>
      </c>
    </row>
    <row r="603">
      <c r="A603" s="71">
        <f t="shared" si="4"/>
        <v>599</v>
      </c>
      <c r="B603" s="47" t="s">
        <v>736</v>
      </c>
      <c r="C603" s="72">
        <f>IFERROR(__xludf.DUMMYFUNCTION("iferror(divide(googlefinance($B603,""marketcap""),1000000),"""")"),176.820121)</f>
        <v>176.820121</v>
      </c>
      <c r="D603" s="72">
        <f>IFERROR(__xludf.DUMMYFUNCTION("iferror(divide(googlefinance($B603,""shares""),1000),"""")"),47725.0)</f>
        <v>47725</v>
      </c>
      <c r="E603" s="72">
        <f>IFERROR(__xludf.DUMMYFUNCTION("iferror(divide(googlefinance($B603,""volumeavg""),1000),"""")"),262.037)</f>
        <v>262.037</v>
      </c>
      <c r="F603" s="73">
        <f>IFERROR(__xludf.DUMMYFUNCTION("iferror(MINUS(divide(GOOGLEFINANCE($B603), INDEX(GOOGLEFINANCE($B603,""price"",today()-182),2,2)),1),"""")"),0.783653846153846)</f>
        <v>0.7836538462</v>
      </c>
      <c r="G603" s="61">
        <f>IFERROR(__xludf.DUMMYFUNCTION("iferror(MINUS(divide(GOOGLEFINANCE($B603), INDEX(GOOGLEFINANCE($B603,""price"",today()-364),2,2)),1),"""")"),-0.15873015873015872)</f>
        <v>-0.1587301587</v>
      </c>
    </row>
    <row r="604">
      <c r="A604" s="71">
        <f t="shared" si="4"/>
        <v>600</v>
      </c>
      <c r="B604" s="47" t="s">
        <v>737</v>
      </c>
      <c r="C604" s="72">
        <f>IFERROR(__xludf.DUMMYFUNCTION("iferror(divide(googlefinance($B604,""marketcap""),1000000),"""")"),45680.584429)</f>
        <v>45680.58443</v>
      </c>
      <c r="D604" s="72">
        <f>IFERROR(__xludf.DUMMYFUNCTION("iferror(divide(googlefinance($B604,""shares""),1000),"""")"),1431097.0)</f>
        <v>1431097</v>
      </c>
      <c r="E604" s="72">
        <f>IFERROR(__xludf.DUMMYFUNCTION("iferror(divide(googlefinance($B604,""volumeavg""),1000),"""")"),15697.911)</f>
        <v>15697.911</v>
      </c>
      <c r="F604" s="73">
        <f>IFERROR(__xludf.DUMMYFUNCTION("iferror(MINUS(divide(GOOGLEFINANCE($B604), INDEX(GOOGLEFINANCE($B604,""price"",today()-182),2,2)),1),"""")"),0.7596471885336273)</f>
        <v>0.7596471885</v>
      </c>
      <c r="G604" s="61">
        <f>IFERROR(__xludf.DUMMYFUNCTION("iferror(MINUS(divide(GOOGLEFINANCE($B604), INDEX(GOOGLEFINANCE($B604,""price"",today()-364),2,2)),1),"""")"),-0.14583890821514578)</f>
        <v>-0.1458389082</v>
      </c>
    </row>
    <row r="605">
      <c r="A605" s="71">
        <f t="shared" si="4"/>
        <v>601</v>
      </c>
      <c r="B605" s="47" t="s">
        <v>738</v>
      </c>
      <c r="C605" s="72">
        <f>IFERROR(__xludf.DUMMYFUNCTION("iferror(divide(googlefinance($B605,""marketcap""),1000000),"""")"),153973.5)</f>
        <v>153973.5</v>
      </c>
      <c r="D605" s="72">
        <f>IFERROR(__xludf.DUMMYFUNCTION("iferror(divide(googlefinance($B605,""shares""),1000),"""")"),65409.0)</f>
        <v>65409</v>
      </c>
      <c r="E605" s="72">
        <f>IFERROR(__xludf.DUMMYFUNCTION("iferror(divide(googlefinance($B605,""volumeavg""),1000),"""")"),523.432)</f>
        <v>523.432</v>
      </c>
      <c r="F605" s="73">
        <f>IFERROR(__xludf.DUMMYFUNCTION("iferror(MINUS(divide(GOOGLEFINANCE($B605), INDEX(GOOGLEFINANCE($B605,""price"",today()-182),2,2)),1),"""")"),0.953718148725949)</f>
        <v>0.9537181487</v>
      </c>
      <c r="G605" s="61">
        <f>IFERROR(__xludf.DUMMYFUNCTION("iferror(MINUS(divide(GOOGLEFINANCE($B605), INDEX(GOOGLEFINANCE($B605,""price"",today()-364),2,2)),1),"""")"),0.8362658846529814)</f>
        <v>0.8362658847</v>
      </c>
    </row>
    <row r="606">
      <c r="A606" s="71">
        <f t="shared" si="4"/>
        <v>602</v>
      </c>
      <c r="B606" s="47" t="s">
        <v>739</v>
      </c>
      <c r="C606" s="72">
        <f>IFERROR(__xludf.DUMMYFUNCTION("iferror(divide(googlefinance($B606,""marketcap""),1000000),"""")"),212.729609)</f>
        <v>212.729609</v>
      </c>
      <c r="D606" s="72">
        <f>IFERROR(__xludf.DUMMYFUNCTION("iferror(divide(googlefinance($B606,""shares""),1000),"""")"),49472.0)</f>
        <v>49472</v>
      </c>
      <c r="E606" s="72">
        <f>IFERROR(__xludf.DUMMYFUNCTION("iferror(divide(googlefinance($B606,""volumeavg""),1000),"""")"),196.867)</f>
        <v>196.867</v>
      </c>
      <c r="F606" s="73">
        <f>IFERROR(__xludf.DUMMYFUNCTION("iferror(MINUS(divide(GOOGLEFINANCE($B606), INDEX(GOOGLEFINANCE($B606,""price"",today()-182),2,2)),1),"""")"),0.3694267515923566)</f>
        <v>0.3694267516</v>
      </c>
      <c r="G606" s="61">
        <f>IFERROR(__xludf.DUMMYFUNCTION("iferror(MINUS(divide(GOOGLEFINANCE($B606), INDEX(GOOGLEFINANCE($B606,""price"",today()-364),2,2)),1),"""")"),-0.08510638297872353)</f>
        <v>-0.08510638298</v>
      </c>
    </row>
    <row r="607">
      <c r="A607" s="71">
        <f t="shared" si="4"/>
        <v>603</v>
      </c>
      <c r="B607" s="47" t="s">
        <v>740</v>
      </c>
      <c r="C607" s="72">
        <f>IFERROR(__xludf.DUMMYFUNCTION("iferror(divide(googlefinance($B607,""marketcap""),1000000),"""")"),599.490387)</f>
        <v>599.490387</v>
      </c>
      <c r="D607" s="72">
        <f>IFERROR(__xludf.DUMMYFUNCTION("iferror(divide(googlefinance($B607,""shares""),1000),"""")"),65162.0)</f>
        <v>65162</v>
      </c>
      <c r="E607" s="72">
        <f>IFERROR(__xludf.DUMMYFUNCTION("iferror(divide(googlefinance($B607,""volumeavg""),1000),"""")"),7944.492)</f>
        <v>7944.492</v>
      </c>
      <c r="F607" s="73">
        <f>IFERROR(__xludf.DUMMYFUNCTION("iferror(MINUS(divide(GOOGLEFINANCE($B607), INDEX(GOOGLEFINANCE($B607,""price"",today()-182),2,2)),1),"""")"),1.4468085106382977)</f>
        <v>1.446808511</v>
      </c>
      <c r="G607" s="61">
        <f>IFERROR(__xludf.DUMMYFUNCTION("iferror(MINUS(divide(GOOGLEFINANCE($B607), INDEX(GOOGLEFINANCE($B607,""price"",today()-364),2,2)),1),"""")"),0.957446808510638)</f>
        <v>0.9574468085</v>
      </c>
    </row>
    <row r="608">
      <c r="A608" s="71">
        <f t="shared" si="4"/>
        <v>604</v>
      </c>
      <c r="B608" s="47" t="s">
        <v>741</v>
      </c>
      <c r="C608" s="72">
        <f>IFERROR(__xludf.DUMMYFUNCTION("iferror(divide(googlefinance($B608,""marketcap""),1000000),"""")"),181.089352)</f>
        <v>181.089352</v>
      </c>
      <c r="D608" s="72">
        <f>IFERROR(__xludf.DUMMYFUNCTION("iferror(divide(googlefinance($B608,""shares""),1000),"""")"),70738.0)</f>
        <v>70738</v>
      </c>
      <c r="E608" s="72">
        <f>IFERROR(__xludf.DUMMYFUNCTION("iferror(divide(googlefinance($B608,""volumeavg""),1000),"""")"),121.785)</f>
        <v>121.785</v>
      </c>
      <c r="F608" s="73">
        <f>IFERROR(__xludf.DUMMYFUNCTION("iferror(MINUS(divide(GOOGLEFINANCE($B608), INDEX(GOOGLEFINANCE($B608,""price"",today()-182),2,2)),1),"""")"),0.07112970711297062)</f>
        <v>0.07112970711</v>
      </c>
      <c r="G608" s="61">
        <f>IFERROR(__xludf.DUMMYFUNCTION("iferror(MINUS(divide(GOOGLEFINANCE($B608), INDEX(GOOGLEFINANCE($B608,""price"",today()-364),2,2)),1),"""")"),-0.7447657028913259)</f>
        <v>-0.7447657029</v>
      </c>
    </row>
    <row r="609">
      <c r="A609" s="71">
        <f t="shared" si="4"/>
        <v>605</v>
      </c>
      <c r="B609" s="47" t="s">
        <v>742</v>
      </c>
      <c r="C609" s="72">
        <f>IFERROR(__xludf.DUMMYFUNCTION("iferror(divide(googlefinance($B609,""marketcap""),1000000),"""")"),19.743649)</f>
        <v>19.743649</v>
      </c>
      <c r="D609" s="72">
        <f>IFERROR(__xludf.DUMMYFUNCTION("iferror(divide(googlefinance($B609,""shares""),1000),"""")"),152933.0)</f>
        <v>152933</v>
      </c>
      <c r="E609" s="72">
        <f>IFERROR(__xludf.DUMMYFUNCTION("iferror(divide(googlefinance($B609,""volumeavg""),1000),"""")"),2720.281)</f>
        <v>2720.281</v>
      </c>
      <c r="F609" s="73">
        <f>IFERROR(__xludf.DUMMYFUNCTION("iferror(MINUS(divide(GOOGLEFINANCE($B609), INDEX(GOOGLEFINANCE($B609,""price"",today()-182),2,2)),1),"""")"),-0.1333333333333333)</f>
        <v>-0.1333333333</v>
      </c>
      <c r="G609" s="61">
        <f>IFERROR(__xludf.DUMMYFUNCTION("iferror(MINUS(divide(GOOGLEFINANCE($B609), INDEX(GOOGLEFINANCE($B609,""price"",today()-364),2,2)),1),"""")"),-0.35)</f>
        <v>-0.35</v>
      </c>
    </row>
    <row r="610">
      <c r="A610" s="71">
        <f t="shared" si="4"/>
        <v>606</v>
      </c>
      <c r="B610" s="47" t="s">
        <v>743</v>
      </c>
      <c r="C610" s="72">
        <f>IFERROR(__xludf.DUMMYFUNCTION("iferror(divide(googlefinance($B610,""marketcap""),1000000),"""")"),991.047862)</f>
        <v>991.047862</v>
      </c>
      <c r="D610" s="72">
        <f>IFERROR(__xludf.DUMMYFUNCTION("iferror(divide(googlefinance($B610,""shares""),1000),"""")"),42736.0)</f>
        <v>42736</v>
      </c>
      <c r="E610" s="72">
        <f>IFERROR(__xludf.DUMMYFUNCTION("iferror(divide(googlefinance($B610,""volumeavg""),1000),"""")"),279.35)</f>
        <v>279.35</v>
      </c>
      <c r="F610" s="73">
        <f>IFERROR(__xludf.DUMMYFUNCTION("iferror(MINUS(divide(GOOGLEFINANCE($B610), INDEX(GOOGLEFINANCE($B610,""price"",today()-182),2,2)),1),"""")"),0.9803586678052947)</f>
        <v>0.9803586678</v>
      </c>
      <c r="G610" s="61">
        <f>IFERROR(__xludf.DUMMYFUNCTION("iferror(MINUS(divide(GOOGLEFINANCE($B610), INDEX(GOOGLEFINANCE($B610,""price"",today()-364),2,2)),1),"""")"),-0.17385108656929105)</f>
        <v>-0.1738510866</v>
      </c>
    </row>
    <row r="611">
      <c r="A611" s="71">
        <f t="shared" si="4"/>
        <v>607</v>
      </c>
      <c r="B611" s="47" t="s">
        <v>744</v>
      </c>
      <c r="C611" s="72">
        <f>IFERROR(__xludf.DUMMYFUNCTION("iferror(divide(googlefinance($B611,""marketcap""),1000000),"""")"),310.588852)</f>
        <v>310.588852</v>
      </c>
      <c r="D611" s="72">
        <f>IFERROR(__xludf.DUMMYFUNCTION("iferror(divide(googlefinance($B611,""shares""),1000),"""")"),41802.0)</f>
        <v>41802</v>
      </c>
      <c r="E611" s="72">
        <f>IFERROR(__xludf.DUMMYFUNCTION("iferror(divide(googlefinance($B611,""volumeavg""),1000),"""")"),150.092)</f>
        <v>150.092</v>
      </c>
      <c r="F611" s="73">
        <f>IFERROR(__xludf.DUMMYFUNCTION("iferror(MINUS(divide(GOOGLEFINANCE($B611), INDEX(GOOGLEFINANCE($B611,""price"",today()-182),2,2)),1),"""")"),0.531958762886598)</f>
        <v>0.5319587629</v>
      </c>
      <c r="G611" s="61">
        <f>IFERROR(__xludf.DUMMYFUNCTION("iferror(MINUS(divide(GOOGLEFINANCE($B611), INDEX(GOOGLEFINANCE($B611,""price"",today()-364),2,2)),1),"""")"),-0.2228033472803348)</f>
        <v>-0.2228033473</v>
      </c>
    </row>
    <row r="612">
      <c r="A612" s="71">
        <f t="shared" si="4"/>
        <v>608</v>
      </c>
      <c r="B612" s="47" t="s">
        <v>745</v>
      </c>
      <c r="C612" s="72">
        <f>IFERROR(__xludf.DUMMYFUNCTION("iferror(divide(googlefinance($B612,""marketcap""),1000000),"""")"),864.934075)</f>
        <v>864.934075</v>
      </c>
      <c r="D612" s="72">
        <f>IFERROR(__xludf.DUMMYFUNCTION("iferror(divide(googlefinance($B612,""shares""),1000),"""")"),71071.0)</f>
        <v>71071</v>
      </c>
      <c r="E612" s="72">
        <f>IFERROR(__xludf.DUMMYFUNCTION("iferror(divide(googlefinance($B612,""volumeavg""),1000),"""")"),1324.509)</f>
        <v>1324.509</v>
      </c>
      <c r="F612" s="73">
        <f>IFERROR(__xludf.DUMMYFUNCTION("iferror(MINUS(divide(GOOGLEFINANCE($B612), INDEX(GOOGLEFINANCE($B612,""price"",today()-182),2,2)),1),"""")"),1.2705223880597014)</f>
        <v>1.270522388</v>
      </c>
      <c r="G612" s="61">
        <f>IFERROR(__xludf.DUMMYFUNCTION("iferror(MINUS(divide(GOOGLEFINANCE($B612), INDEX(GOOGLEFINANCE($B612,""price"",today()-364),2,2)),1),"""")"),0.9692556634304208)</f>
        <v>0.9692556634</v>
      </c>
    </row>
    <row r="613">
      <c r="A613" s="71">
        <f t="shared" si="4"/>
        <v>609</v>
      </c>
      <c r="B613" s="47" t="s">
        <v>746</v>
      </c>
      <c r="C613" s="72">
        <f>IFERROR(__xludf.DUMMYFUNCTION("iferror(divide(googlefinance($B613,""marketcap""),1000000),"""")"),150.430765)</f>
        <v>150.430765</v>
      </c>
      <c r="D613" s="72">
        <f>IFERROR(__xludf.DUMMYFUNCTION("iferror(divide(googlefinance($B613,""shares""),1000),"""")"),38871.0)</f>
        <v>38871</v>
      </c>
      <c r="E613" s="72">
        <f>IFERROR(__xludf.DUMMYFUNCTION("iferror(divide(googlefinance($B613,""volumeavg""),1000),"""")"),1184.356)</f>
        <v>1184.356</v>
      </c>
      <c r="F613" s="73">
        <f>IFERROR(__xludf.DUMMYFUNCTION("iferror(MINUS(divide(GOOGLEFINANCE($B613), INDEX(GOOGLEFINANCE($B613,""price"",today()-182),2,2)),1),"""")"),0.5418326693227093)</f>
        <v>0.5418326693</v>
      </c>
      <c r="G613" s="61">
        <f>IFERROR(__xludf.DUMMYFUNCTION("iferror(MINUS(divide(GOOGLEFINANCE($B613), INDEX(GOOGLEFINANCE($B613,""price"",today()-364),2,2)),1),"""")"),3.3977272727272725)</f>
        <v>3.397727273</v>
      </c>
    </row>
    <row r="614">
      <c r="A614" s="71">
        <f t="shared" si="4"/>
        <v>610</v>
      </c>
      <c r="B614" s="47" t="s">
        <v>747</v>
      </c>
      <c r="C614" s="72">
        <f>IFERROR(__xludf.DUMMYFUNCTION("iferror(divide(googlefinance($B614,""marketcap""),1000000),"""")"),6527.916668)</f>
        <v>6527.916668</v>
      </c>
      <c r="D614" s="72">
        <f>IFERROR(__xludf.DUMMYFUNCTION("iferror(divide(googlefinance($B614,""shares""),1000),"""")"),245780.0)</f>
        <v>245780</v>
      </c>
      <c r="E614" s="72">
        <f>IFERROR(__xludf.DUMMYFUNCTION("iferror(divide(googlefinance($B614,""volumeavg""),1000),"""")"),1343.457)</f>
        <v>1343.457</v>
      </c>
      <c r="F614" s="73">
        <f>IFERROR(__xludf.DUMMYFUNCTION("iferror(MINUS(divide(GOOGLEFINANCE($B614), INDEX(GOOGLEFINANCE($B614,""price"",today()-182),2,2)),1),"""")"),0.28185328185328196)</f>
        <v>0.2818532819</v>
      </c>
      <c r="G614" s="61">
        <f>IFERROR(__xludf.DUMMYFUNCTION("iferror(MINUS(divide(GOOGLEFINANCE($B614), INDEX(GOOGLEFINANCE($B614,""price"",today()-364),2,2)),1),"""")"),-0.0418470418470418)</f>
        <v>-0.04184704185</v>
      </c>
    </row>
    <row r="615">
      <c r="A615" s="71">
        <f t="shared" si="4"/>
        <v>611</v>
      </c>
      <c r="B615" s="47" t="s">
        <v>748</v>
      </c>
      <c r="C615" s="72">
        <f>IFERROR(__xludf.DUMMYFUNCTION("iferror(divide(googlefinance($B615,""marketcap""),1000000),"""")"),510.069671)</f>
        <v>510.069671</v>
      </c>
      <c r="D615" s="72">
        <f>IFERROR(__xludf.DUMMYFUNCTION("iferror(divide(googlefinance($B615,""shares""),1000),"""")"),143278.0)</f>
        <v>143278</v>
      </c>
      <c r="E615" s="72">
        <f>IFERROR(__xludf.DUMMYFUNCTION("iferror(divide(googlefinance($B615,""volumeavg""),1000),"""")"),225.767)</f>
        <v>225.767</v>
      </c>
      <c r="F615" s="73">
        <f>IFERROR(__xludf.DUMMYFUNCTION("iferror(MINUS(divide(GOOGLEFINANCE($B615), INDEX(GOOGLEFINANCE($B615,""price"",today()-182),2,2)),1),"""")"),0.2759856630824373)</f>
        <v>0.2759856631</v>
      </c>
      <c r="G615" s="61">
        <f>IFERROR(__xludf.DUMMYFUNCTION("iferror(MINUS(divide(GOOGLEFINANCE($B615), INDEX(GOOGLEFINANCE($B615,""price"",today()-364),2,2)),1),"""")"),-0.3986486486486487)</f>
        <v>-0.3986486486</v>
      </c>
    </row>
    <row r="616">
      <c r="A616" s="71">
        <f t="shared" si="4"/>
        <v>612</v>
      </c>
      <c r="B616" s="47" t="s">
        <v>749</v>
      </c>
      <c r="C616" s="72">
        <f>IFERROR(__xludf.DUMMYFUNCTION("iferror(divide(googlefinance($B616,""marketcap""),1000000),"""")"),5782.201023)</f>
        <v>5782.201023</v>
      </c>
      <c r="D616" s="72">
        <f>IFERROR(__xludf.DUMMYFUNCTION("iferror(divide(googlefinance($B616,""shares""),1000),"""")"),273908.0)</f>
        <v>273908</v>
      </c>
      <c r="E616" s="72">
        <f>IFERROR(__xludf.DUMMYFUNCTION("iferror(divide(googlefinance($B616,""volumeavg""),1000),"""")"),1442.889)</f>
        <v>1442.889</v>
      </c>
      <c r="F616" s="73">
        <f>IFERROR(__xludf.DUMMYFUNCTION("iferror(MINUS(divide(GOOGLEFINANCE($B616), INDEX(GOOGLEFINANCE($B616,""price"",today()-182),2,2)),1),"""")"),1.8817204301075265)</f>
        <v>1.88172043</v>
      </c>
      <c r="G616" s="61">
        <f>IFERROR(__xludf.DUMMYFUNCTION("iferror(MINUS(divide(GOOGLEFINANCE($B616), INDEX(GOOGLEFINANCE($B616,""price"",today()-364),2,2)),1),"""")"),-0.49370277078085645)</f>
        <v>-0.4937027708</v>
      </c>
    </row>
    <row r="617">
      <c r="A617" s="71">
        <f t="shared" si="4"/>
        <v>613</v>
      </c>
      <c r="B617" s="47" t="s">
        <v>750</v>
      </c>
      <c r="C617" s="72">
        <f>IFERROR(__xludf.DUMMYFUNCTION("iferror(divide(googlefinance($B617,""marketcap""),1000000),"""")"),51811.938814)</f>
        <v>51811.93881</v>
      </c>
      <c r="D617" s="72">
        <f>IFERROR(__xludf.DUMMYFUNCTION("iferror(divide(googlefinance($B617,""shares""),1000),"""")"),95246.0)</f>
        <v>95246</v>
      </c>
      <c r="E617" s="72">
        <f>IFERROR(__xludf.DUMMYFUNCTION("iferror(divide(googlefinance($B617,""volumeavg""),1000),"""")"),20554.338)</f>
        <v>20554.338</v>
      </c>
      <c r="F617" s="73">
        <f>IFERROR(__xludf.DUMMYFUNCTION("iferror(MINUS(divide(GOOGLEFINANCE($B617), INDEX(GOOGLEFINANCE($B617,""price"",today()-182),2,2)),1),"""")"),0.8350125944584383)</f>
        <v>0.8350125945</v>
      </c>
      <c r="G617" s="61">
        <f>IFERROR(__xludf.DUMMYFUNCTION("iferror(MINUS(divide(GOOGLEFINANCE($B617), INDEX(GOOGLEFINANCE($B617,""price"",today()-364),2,2)),1),"""")"),0.5811177428106349)</f>
        <v>0.5811177428</v>
      </c>
    </row>
    <row r="618">
      <c r="A618" s="71">
        <f t="shared" si="4"/>
        <v>614</v>
      </c>
      <c r="B618" s="47" t="s">
        <v>751</v>
      </c>
      <c r="C618" s="72">
        <f>IFERROR(__xludf.DUMMYFUNCTION("iferror(divide(googlefinance($B618,""marketcap""),1000000),"""")"),2492.563643)</f>
        <v>2492.563643</v>
      </c>
      <c r="D618" s="72" t="str">
        <f>IFERROR(__xludf.DUMMYFUNCTION("iferror(divide(googlefinance($B618,""shares""),1000),"""")"),"")</f>
        <v/>
      </c>
      <c r="E618" s="72">
        <f>IFERROR(__xludf.DUMMYFUNCTION("iferror(divide(googlefinance($B618,""volumeavg""),1000),"""")"),234.864)</f>
        <v>234.864</v>
      </c>
      <c r="F618" s="73">
        <f>IFERROR(__xludf.DUMMYFUNCTION("iferror(MINUS(divide(GOOGLEFINANCE($B618), INDEX(GOOGLEFINANCE($B618,""price"",today()-182),2,2)),1),"""")"),0.5312642628936557)</f>
        <v>0.5312642629</v>
      </c>
      <c r="G618" s="61">
        <f>IFERROR(__xludf.DUMMYFUNCTION("iferror(MINUS(divide(GOOGLEFINANCE($B618), INDEX(GOOGLEFINANCE($B618,""price"",today()-364),2,2)),1),"""")"),0.22624269005847952)</f>
        <v>0.2262426901</v>
      </c>
    </row>
    <row r="619">
      <c r="A619" s="71">
        <f t="shared" si="4"/>
        <v>615</v>
      </c>
      <c r="B619" s="47" t="s">
        <v>752</v>
      </c>
      <c r="C619" s="72">
        <f>IFERROR(__xludf.DUMMYFUNCTION("iferror(divide(googlefinance($B619,""marketcap""),1000000),"""")"),4157.932225)</f>
        <v>4157.932225</v>
      </c>
      <c r="D619" s="72">
        <f>IFERROR(__xludf.DUMMYFUNCTION("iferror(divide(googlefinance($B619,""shares""),1000),"""")"),59140.0)</f>
        <v>59140</v>
      </c>
      <c r="E619" s="72">
        <f>IFERROR(__xludf.DUMMYFUNCTION("iferror(divide(googlefinance($B619,""volumeavg""),1000),"""")"),1223.502)</f>
        <v>1223.502</v>
      </c>
      <c r="F619" s="73">
        <f>IFERROR(__xludf.DUMMYFUNCTION("iferror(MINUS(divide(GOOGLEFINANCE($B619), INDEX(GOOGLEFINANCE($B619,""price"",today()-182),2,2)),1),"""")"),0.9140572951365757)</f>
        <v>0.9140572951</v>
      </c>
      <c r="G619" s="61">
        <f>IFERROR(__xludf.DUMMYFUNCTION("iferror(MINUS(divide(GOOGLEFINANCE($B619), INDEX(GOOGLEFINANCE($B619,""price"",today()-364),2,2)),1),"""")"),-0.3179012345679012)</f>
        <v>-0.3179012346</v>
      </c>
    </row>
    <row r="620">
      <c r="A620" s="71">
        <f t="shared" si="4"/>
        <v>616</v>
      </c>
      <c r="B620" s="47" t="s">
        <v>753</v>
      </c>
      <c r="C620" s="72">
        <f>IFERROR(__xludf.DUMMYFUNCTION("iferror(divide(googlefinance($B620,""marketcap""),1000000),"""")"),966.048702)</f>
        <v>966.048702</v>
      </c>
      <c r="D620" s="72">
        <f>IFERROR(__xludf.DUMMYFUNCTION("iferror(divide(googlefinance($B620,""shares""),1000),"""")"),75828.0)</f>
        <v>75828</v>
      </c>
      <c r="E620" s="72">
        <f>IFERROR(__xludf.DUMMYFUNCTION("iferror(divide(googlefinance($B620,""volumeavg""),1000),"""")"),354.739)</f>
        <v>354.739</v>
      </c>
      <c r="F620" s="73">
        <f>IFERROR(__xludf.DUMMYFUNCTION("iferror(MINUS(divide(GOOGLEFINANCE($B620), INDEX(GOOGLEFINANCE($B620,""price"",today()-182),2,2)),1),"""")"),0.3410526315789475)</f>
        <v>0.3410526316</v>
      </c>
      <c r="G620" s="61">
        <f>IFERROR(__xludf.DUMMYFUNCTION("iferror(MINUS(divide(GOOGLEFINANCE($B620), INDEX(GOOGLEFINANCE($B620,""price"",today()-364),2,2)),1),"""")"),-0.421172194457065)</f>
        <v>-0.4211721945</v>
      </c>
    </row>
    <row r="621">
      <c r="A621" s="71">
        <f t="shared" si="4"/>
        <v>617</v>
      </c>
      <c r="B621" s="47" t="s">
        <v>754</v>
      </c>
      <c r="C621" s="72">
        <f>IFERROR(__xludf.DUMMYFUNCTION("iferror(divide(googlefinance($B621,""marketcap""),1000000),"""")"),1683.476122)</f>
        <v>1683.476122</v>
      </c>
      <c r="D621" s="72">
        <f>IFERROR(__xludf.DUMMYFUNCTION("iferror(divide(googlefinance($B621,""shares""),1000),"""")"),18255.0)</f>
        <v>18255</v>
      </c>
      <c r="E621" s="72">
        <f>IFERROR(__xludf.DUMMYFUNCTION("iferror(divide(googlefinance($B621,""volumeavg""),1000),"""")"),204.173)</f>
        <v>204.173</v>
      </c>
      <c r="F621" s="73">
        <f>IFERROR(__xludf.DUMMYFUNCTION("iferror(MINUS(divide(GOOGLEFINANCE($B621), INDEX(GOOGLEFINANCE($B621,""price"",today()-182),2,2)),1),"""")"),1.2088622754491016)</f>
        <v>1.208862275</v>
      </c>
      <c r="G621" s="61">
        <f>IFERROR(__xludf.DUMMYFUNCTION("iferror(MINUS(divide(GOOGLEFINANCE($B621), INDEX(GOOGLEFINANCE($B621,""price"",today()-364),2,2)),1),"""")"),0.07033426183844016)</f>
        <v>0.07033426184</v>
      </c>
    </row>
    <row r="622">
      <c r="A622" s="71">
        <f t="shared" si="4"/>
        <v>618</v>
      </c>
      <c r="B622" s="47" t="s">
        <v>755</v>
      </c>
      <c r="C622" s="72">
        <f>IFERROR(__xludf.DUMMYFUNCTION("iferror(divide(googlefinance($B622,""marketcap""),1000000),"""")"),634.470164)</f>
        <v>634.470164</v>
      </c>
      <c r="D622" s="72">
        <f>IFERROR(__xludf.DUMMYFUNCTION("iferror(divide(googlefinance($B622,""shares""),1000),"""")"),128941.0)</f>
        <v>128941</v>
      </c>
      <c r="E622" s="72">
        <f>IFERROR(__xludf.DUMMYFUNCTION("iferror(divide(googlefinance($B622,""volumeavg""),1000),"""")"),2140.676)</f>
        <v>2140.676</v>
      </c>
      <c r="F622" s="73">
        <f>IFERROR(__xludf.DUMMYFUNCTION("iferror(MINUS(divide(GOOGLEFINANCE($B622), INDEX(GOOGLEFINANCE($B622,""price"",today()-182),2,2)),1),"""")"),0.6209677419354838)</f>
        <v>0.6209677419</v>
      </c>
      <c r="G622" s="61">
        <f>IFERROR(__xludf.DUMMYFUNCTION("iferror(MINUS(divide(GOOGLEFINANCE($B622), INDEX(GOOGLEFINANCE($B622,""price"",today()-364),2,2)),1),"""")"),-0.13733905579399153)</f>
        <v>-0.1373390558</v>
      </c>
    </row>
    <row r="623">
      <c r="A623" s="71">
        <f t="shared" si="4"/>
        <v>619</v>
      </c>
      <c r="B623" s="47" t="s">
        <v>756</v>
      </c>
      <c r="C623" s="72">
        <f>IFERROR(__xludf.DUMMYFUNCTION("iferror(divide(googlefinance($B623,""marketcap""),1000000),"""")"),6313.721557)</f>
        <v>6313.721557</v>
      </c>
      <c r="D623" s="72">
        <f>IFERROR(__xludf.DUMMYFUNCTION("iferror(divide(googlefinance($B623,""shares""),1000),"""")"),373593.0)</f>
        <v>373593</v>
      </c>
      <c r="E623" s="72">
        <f>IFERROR(__xludf.DUMMYFUNCTION("iferror(divide(googlefinance($B623,""volumeavg""),1000),"""")"),10351.036)</f>
        <v>10351.036</v>
      </c>
      <c r="F623" s="73">
        <f>IFERROR(__xludf.DUMMYFUNCTION("iferror(MINUS(divide(GOOGLEFINANCE($B623), INDEX(GOOGLEFINANCE($B623,""price"",today()-182),2,2)),1),"""")"),1.3407202216066483)</f>
        <v>1.340720222</v>
      </c>
      <c r="G623" s="61">
        <f>IFERROR(__xludf.DUMMYFUNCTION("iferror(MINUS(divide(GOOGLEFINANCE($B623), INDEX(GOOGLEFINANCE($B623,""price"",today()-364),2,2)),1),"""")"),-0.016870273414776205)</f>
        <v>-0.01687027341</v>
      </c>
    </row>
    <row r="624">
      <c r="A624" s="71">
        <f t="shared" si="4"/>
        <v>620</v>
      </c>
      <c r="B624" s="47" t="s">
        <v>757</v>
      </c>
      <c r="C624" s="72">
        <f>IFERROR(__xludf.DUMMYFUNCTION("iferror(divide(googlefinance($B624,""marketcap""),1000000),"""")"),3115.516209)</f>
        <v>3115.516209</v>
      </c>
      <c r="D624" s="72">
        <f>IFERROR(__xludf.DUMMYFUNCTION("iferror(divide(googlefinance($B624,""shares""),1000),"""")"),66189.0)</f>
        <v>66189</v>
      </c>
      <c r="E624" s="72">
        <f>IFERROR(__xludf.DUMMYFUNCTION("iferror(divide(googlefinance($B624,""volumeavg""),1000),"""")"),485.784)</f>
        <v>485.784</v>
      </c>
      <c r="F624" s="73">
        <f>IFERROR(__xludf.DUMMYFUNCTION("iferror(MINUS(divide(GOOGLEFINANCE($B624), INDEX(GOOGLEFINANCE($B624,""price"",today()-182),2,2)),1),"""")"),0.48018867924528297)</f>
        <v>0.4801886792</v>
      </c>
      <c r="G624" s="61">
        <f>IFERROR(__xludf.DUMMYFUNCTION("iferror(MINUS(divide(GOOGLEFINANCE($B624), INDEX(GOOGLEFINANCE($B624,""price"",today()-364),2,2)),1),"""")"),-0.3042128603104214)</f>
        <v>-0.3042128603</v>
      </c>
    </row>
    <row r="625">
      <c r="A625" s="71">
        <f t="shared" si="4"/>
        <v>621</v>
      </c>
      <c r="B625" s="47" t="s">
        <v>758</v>
      </c>
      <c r="C625" s="72">
        <f>IFERROR(__xludf.DUMMYFUNCTION("iferror(divide(googlefinance($B625,""marketcap""),1000000),"""")"),922.0468)</f>
        <v>922.0468</v>
      </c>
      <c r="D625" s="72">
        <f>IFERROR(__xludf.DUMMYFUNCTION("iferror(divide(googlefinance($B625,""shares""),1000),"""")"),50662.0)</f>
        <v>50662</v>
      </c>
      <c r="E625" s="72">
        <f>IFERROR(__xludf.DUMMYFUNCTION("iferror(divide(googlefinance($B625,""volumeavg""),1000),"""")"),357.924)</f>
        <v>357.924</v>
      </c>
      <c r="F625" s="73">
        <f>IFERROR(__xludf.DUMMYFUNCTION("iferror(MINUS(divide(GOOGLEFINANCE($B625), INDEX(GOOGLEFINANCE($B625,""price"",today()-182),2,2)),1),"""")"),1.9354838709677415)</f>
        <v>1.935483871</v>
      </c>
      <c r="G625" s="61">
        <f>IFERROR(__xludf.DUMMYFUNCTION("iferror(MINUS(divide(GOOGLEFINANCE($B625), INDEX(GOOGLEFINANCE($B625,""price"",today()-364),2,2)),1),"""")"),0.6851851851851851)</f>
        <v>0.6851851852</v>
      </c>
    </row>
    <row r="626">
      <c r="A626" s="71">
        <f t="shared" si="4"/>
        <v>622</v>
      </c>
      <c r="B626" s="47" t="s">
        <v>759</v>
      </c>
      <c r="C626" s="72">
        <f>IFERROR(__xludf.DUMMYFUNCTION("iferror(divide(googlefinance($B626,""marketcap""),1000000),"""")"),13859.568861)</f>
        <v>13859.56886</v>
      </c>
      <c r="D626" s="72">
        <f>IFERROR(__xludf.DUMMYFUNCTION("iferror(divide(googlefinance($B626,""shares""),1000),"""")"),261425.0)</f>
        <v>261425</v>
      </c>
      <c r="E626" s="72">
        <f>IFERROR(__xludf.DUMMYFUNCTION("iferror(divide(googlefinance($B626,""volumeavg""),1000),"""")"),1417.893)</f>
        <v>1417.893</v>
      </c>
      <c r="F626" s="73">
        <f>IFERROR(__xludf.DUMMYFUNCTION("iferror(MINUS(divide(GOOGLEFINANCE($B626), INDEX(GOOGLEFINANCE($B626,""price"",today()-182),2,2)),1),"""")"),-0.07997793712079426)</f>
        <v>-0.07997793712</v>
      </c>
      <c r="G626" s="61">
        <f>IFERROR(__xludf.DUMMYFUNCTION("iferror(MINUS(divide(GOOGLEFINANCE($B626), INDEX(GOOGLEFINANCE($B626,""price"",today()-364),2,2)),1),"""")"),-0.18673817649926872)</f>
        <v>-0.1867381765</v>
      </c>
    </row>
    <row r="627">
      <c r="A627" s="71">
        <f t="shared" si="4"/>
        <v>623</v>
      </c>
      <c r="B627" s="47" t="s">
        <v>760</v>
      </c>
      <c r="C627" s="72">
        <f>IFERROR(__xludf.DUMMYFUNCTION("iferror(divide(googlefinance($B627,""marketcap""),1000000),"""")"),18779.472816)</f>
        <v>18779.47282</v>
      </c>
      <c r="D627" s="72">
        <f>IFERROR(__xludf.DUMMYFUNCTION("iferror(divide(googlefinance($B627,""shares""),1000),"""")"),191237.0)</f>
        <v>191237</v>
      </c>
      <c r="E627" s="72">
        <f>IFERROR(__xludf.DUMMYFUNCTION("iferror(divide(googlefinance($B627,""volumeavg""),1000),"""")"),729.096)</f>
        <v>729.096</v>
      </c>
      <c r="F627" s="73">
        <f>IFERROR(__xludf.DUMMYFUNCTION("iferror(MINUS(divide(GOOGLEFINANCE($B627), INDEX(GOOGLEFINANCE($B627,""price"",today()-182),2,2)),1),"""")"),0.487202786612146)</f>
        <v>0.4872027866</v>
      </c>
      <c r="G627" s="61">
        <f>IFERROR(__xludf.DUMMYFUNCTION("iferror(MINUS(divide(GOOGLEFINANCE($B627), INDEX(GOOGLEFINANCE($B627,""price"",today()-364),2,2)),1),"""")"),0.1548865106433024)</f>
        <v>0.1548865106</v>
      </c>
    </row>
    <row r="628">
      <c r="A628" s="71">
        <f t="shared" si="4"/>
        <v>624</v>
      </c>
      <c r="B628" s="47" t="s">
        <v>761</v>
      </c>
      <c r="C628" s="72">
        <f>IFERROR(__xludf.DUMMYFUNCTION("iferror(divide(googlefinance($B628,""marketcap""),1000000),"""")"),125.704167)</f>
        <v>125.704167</v>
      </c>
      <c r="D628" s="72">
        <f>IFERROR(__xludf.DUMMYFUNCTION("iferror(divide(googlefinance($B628,""shares""),1000),"""")"),37749.0)</f>
        <v>37749</v>
      </c>
      <c r="E628" s="72">
        <f>IFERROR(__xludf.DUMMYFUNCTION("iferror(divide(googlefinance($B628,""volumeavg""),1000),"""")"),455.562)</f>
        <v>455.562</v>
      </c>
      <c r="F628" s="73">
        <f>IFERROR(__xludf.DUMMYFUNCTION("iferror(MINUS(divide(GOOGLEFINANCE($B628), INDEX(GOOGLEFINANCE($B628,""price"",today()-182),2,2)),1),"""")"),-0.4126984126984127)</f>
        <v>-0.4126984127</v>
      </c>
      <c r="G628" s="61">
        <f>IFERROR(__xludf.DUMMYFUNCTION("iferror(MINUS(divide(GOOGLEFINANCE($B628), INDEX(GOOGLEFINANCE($B628,""price"",today()-364),2,2)),1),"""")"),-0.655635987590486)</f>
        <v>-0.6556359876</v>
      </c>
    </row>
    <row r="629">
      <c r="A629" s="71">
        <f t="shared" si="4"/>
        <v>625</v>
      </c>
      <c r="B629" s="47" t="s">
        <v>762</v>
      </c>
      <c r="C629" s="72">
        <f>IFERROR(__xludf.DUMMYFUNCTION("iferror(divide(googlefinance($B629,""marketcap""),1000000),"""")"),209.009546)</f>
        <v>209.009546</v>
      </c>
      <c r="D629" s="72">
        <f>IFERROR(__xludf.DUMMYFUNCTION("iferror(divide(googlefinance($B629,""shares""),1000),"""")"),24882.0)</f>
        <v>24882</v>
      </c>
      <c r="E629" s="72">
        <f>IFERROR(__xludf.DUMMYFUNCTION("iferror(divide(googlefinance($B629,""volumeavg""),1000),"""")"),15.131)</f>
        <v>15.131</v>
      </c>
      <c r="F629" s="73">
        <f>IFERROR(__xludf.DUMMYFUNCTION("iferror(MINUS(divide(GOOGLEFINANCE($B629), INDEX(GOOGLEFINANCE($B629,""price"",today()-182),2,2)),1),"""")"),-0.03114186851211065)</f>
        <v>-0.03114186851</v>
      </c>
      <c r="G629" s="61" t="str">
        <f>IFERROR(__xludf.DUMMYFUNCTION("iferror(MINUS(divide(GOOGLEFINANCE($B629), INDEX(GOOGLEFINANCE($B629,""price"",today()-364),2,2)),1),"""")"),"")</f>
        <v/>
      </c>
    </row>
    <row r="630">
      <c r="A630" s="71">
        <f t="shared" si="4"/>
        <v>626</v>
      </c>
      <c r="B630" s="47" t="s">
        <v>763</v>
      </c>
      <c r="C630" s="72">
        <f>IFERROR(__xludf.DUMMYFUNCTION("iferror(divide(googlefinance($B630,""marketcap""),1000000),"""")"),17529.265241)</f>
        <v>17529.26524</v>
      </c>
      <c r="D630" s="72">
        <f>IFERROR(__xludf.DUMMYFUNCTION("iferror(divide(googlefinance($B630,""shares""),1000),"""")"),1431300.0)</f>
        <v>1431300</v>
      </c>
      <c r="E630" s="72">
        <f>IFERROR(__xludf.DUMMYFUNCTION("iferror(divide(googlefinance($B630,""volumeavg""),1000),"""")"),47.602)</f>
        <v>47.602</v>
      </c>
      <c r="F630" s="73">
        <f>IFERROR(__xludf.DUMMYFUNCTION("iferror(MINUS(divide(GOOGLEFINANCE($B630), INDEX(GOOGLEFINANCE($B630,""price"",today()-182),2,2)),1),"""")"),-0.12945590994371492)</f>
        <v>-0.1294559099</v>
      </c>
      <c r="G630" s="61">
        <f>IFERROR(__xludf.DUMMYFUNCTION("iferror(MINUS(divide(GOOGLEFINANCE($B630), INDEX(GOOGLEFINANCE($B630,""price"",today()-364),2,2)),1),"""")"),-0.41414141414141414)</f>
        <v>-0.4141414141</v>
      </c>
    </row>
    <row r="631">
      <c r="A631" s="71">
        <f t="shared" si="4"/>
        <v>627</v>
      </c>
      <c r="B631" s="47" t="s">
        <v>764</v>
      </c>
      <c r="C631" s="72">
        <f>IFERROR(__xludf.DUMMYFUNCTION("iferror(divide(googlefinance($B631,""marketcap""),1000000),"""")"),150.617575)</f>
        <v>150.617575</v>
      </c>
      <c r="D631" s="72">
        <f>IFERROR(__xludf.DUMMYFUNCTION("iferror(divide(googlefinance($B631,""shares""),1000),"""")"),23608.0)</f>
        <v>23608</v>
      </c>
      <c r="E631" s="72">
        <f>IFERROR(__xludf.DUMMYFUNCTION("iferror(divide(googlefinance($B631,""volumeavg""),1000),"""")"),38.094)</f>
        <v>38.094</v>
      </c>
      <c r="F631" s="73">
        <f>IFERROR(__xludf.DUMMYFUNCTION("iferror(MINUS(divide(GOOGLEFINANCE($B631), INDEX(GOOGLEFINANCE($B631,""price"",today()-182),2,2)),1),"""")"),0.1663619744058502)</f>
        <v>0.1663619744</v>
      </c>
      <c r="G631" s="61">
        <f>IFERROR(__xludf.DUMMYFUNCTION("iferror(MINUS(divide(GOOGLEFINANCE($B631), INDEX(GOOGLEFINANCE($B631,""price"",today()-364),2,2)),1),"""")"),-0.24137931034482762)</f>
        <v>-0.2413793103</v>
      </c>
    </row>
    <row r="632">
      <c r="A632" s="71">
        <f t="shared" si="4"/>
        <v>628</v>
      </c>
      <c r="B632" s="47" t="s">
        <v>765</v>
      </c>
      <c r="C632" s="72">
        <f>IFERROR(__xludf.DUMMYFUNCTION("iferror(divide(googlefinance($B632,""marketcap""),1000000),"""")"),198035.363204)</f>
        <v>198035.3632</v>
      </c>
      <c r="D632" s="72">
        <f>IFERROR(__xludf.DUMMYFUNCTION("iferror(divide(googlefinance($B632,""shares""),1000),"""")"),5017364.0)</f>
        <v>5017364</v>
      </c>
      <c r="E632" s="72">
        <f>IFERROR(__xludf.DUMMYFUNCTION("iferror(divide(googlefinance($B632,""volumeavg""),1000),"""")"),2552.751)</f>
        <v>2552.751</v>
      </c>
      <c r="F632" s="73">
        <f>IFERROR(__xludf.DUMMYFUNCTION("iferror(MINUS(divide(GOOGLEFINANCE($B632), INDEX(GOOGLEFINANCE($B632,""price"",today()-182),2,2)),1),"""")"),0.18386322735452887)</f>
        <v>0.1838632274</v>
      </c>
      <c r="G632" s="61">
        <f>IFERROR(__xludf.DUMMYFUNCTION("iferror(MINUS(divide(GOOGLEFINANCE($B632), INDEX(GOOGLEFINANCE($B632,""price"",today()-364),2,2)),1),"""")"),-0.05188565938025469)</f>
        <v>-0.05188565938</v>
      </c>
    </row>
    <row r="633">
      <c r="A633" s="71">
        <f t="shared" si="4"/>
        <v>629</v>
      </c>
      <c r="B633" s="47" t="s">
        <v>766</v>
      </c>
      <c r="C633" s="72">
        <f>IFERROR(__xludf.DUMMYFUNCTION("iferror(divide(googlefinance($B633,""marketcap""),1000000),"""")"),95.978861)</f>
        <v>95.978861</v>
      </c>
      <c r="D633" s="72">
        <f>IFERROR(__xludf.DUMMYFUNCTION("iferror(divide(googlefinance($B633,""shares""),1000),"""")"),17741.0)</f>
        <v>17741</v>
      </c>
      <c r="E633" s="72">
        <f>IFERROR(__xludf.DUMMYFUNCTION("iferror(divide(googlefinance($B633,""volumeavg""),1000),"""")"),45.687)</f>
        <v>45.687</v>
      </c>
      <c r="F633" s="73">
        <f>IFERROR(__xludf.DUMMYFUNCTION("iferror(MINUS(divide(GOOGLEFINANCE($B633), INDEX(GOOGLEFINANCE($B633,""price"",today()-182),2,2)),1),"""")"),0.7451612903225806)</f>
        <v>0.7451612903</v>
      </c>
      <c r="G633" s="61">
        <f>IFERROR(__xludf.DUMMYFUNCTION("iferror(MINUS(divide(GOOGLEFINANCE($B633), INDEX(GOOGLEFINANCE($B633,""price"",today()-364),2,2)),1),"""")"),-0.3064102564102563)</f>
        <v>-0.3064102564</v>
      </c>
    </row>
    <row r="634">
      <c r="A634" s="71">
        <f t="shared" si="4"/>
        <v>630</v>
      </c>
      <c r="B634" s="47" t="s">
        <v>767</v>
      </c>
      <c r="C634" s="72">
        <f>IFERROR(__xludf.DUMMYFUNCTION("iferror(divide(googlefinance($B634,""marketcap""),1000000),"""")"),118.851675)</f>
        <v>118.851675</v>
      </c>
      <c r="D634" s="72">
        <f>IFERROR(__xludf.DUMMYFUNCTION("iferror(divide(googlefinance($B634,""shares""),1000),"""")"),169160.0)</f>
        <v>169160</v>
      </c>
      <c r="E634" s="72">
        <f>IFERROR(__xludf.DUMMYFUNCTION("iferror(divide(googlefinance($B634,""volumeavg""),1000),"""")"),1198.278)</f>
        <v>1198.278</v>
      </c>
      <c r="F634" s="73">
        <f>IFERROR(__xludf.DUMMYFUNCTION("iferror(MINUS(divide(GOOGLEFINANCE($B634), INDEX(GOOGLEFINANCE($B634,""price"",today()-182),2,2)),1),"""")"),0.7499999999999998)</f>
        <v>0.75</v>
      </c>
      <c r="G634" s="61">
        <f>IFERROR(__xludf.DUMMYFUNCTION("iferror(MINUS(divide(GOOGLEFINANCE($B634), INDEX(GOOGLEFINANCE($B634,""price"",today()-364),2,2)),1),"""")"),-0.42148760330578516)</f>
        <v>-0.4214876033</v>
      </c>
    </row>
    <row r="635">
      <c r="A635" s="71">
        <f t="shared" si="4"/>
        <v>631</v>
      </c>
      <c r="B635" s="47" t="s">
        <v>768</v>
      </c>
      <c r="C635" s="72">
        <f>IFERROR(__xludf.DUMMYFUNCTION("iferror(divide(googlefinance($B635,""marketcap""),1000000),"""")"),720.25767)</f>
        <v>720.25767</v>
      </c>
      <c r="D635" s="72">
        <f>IFERROR(__xludf.DUMMYFUNCTION("iferror(divide(googlefinance($B635,""shares""),1000),"""")"),109963.0)</f>
        <v>109963</v>
      </c>
      <c r="E635" s="72">
        <f>IFERROR(__xludf.DUMMYFUNCTION("iferror(divide(googlefinance($B635,""volumeavg""),1000),"""")"),668.185)</f>
        <v>668.185</v>
      </c>
      <c r="F635" s="73">
        <f>IFERROR(__xludf.DUMMYFUNCTION("iferror(MINUS(divide(GOOGLEFINANCE($B635), INDEX(GOOGLEFINANCE($B635,""price"",today()-182),2,2)),1),"""")"),1.25)</f>
        <v>1.25</v>
      </c>
      <c r="G635" s="61">
        <f>IFERROR(__xludf.DUMMYFUNCTION("iferror(MINUS(divide(GOOGLEFINANCE($B635), INDEX(GOOGLEFINANCE($B635,""price"",today()-364),2,2)),1),"""")"),0.43895348837209314)</f>
        <v>0.4389534884</v>
      </c>
    </row>
    <row r="636">
      <c r="A636" s="71">
        <f t="shared" si="4"/>
        <v>632</v>
      </c>
      <c r="B636" s="47" t="s">
        <v>769</v>
      </c>
      <c r="C636" s="72">
        <f>IFERROR(__xludf.DUMMYFUNCTION("iferror(divide(googlefinance($B636,""marketcap""),1000000),"""")"),352.843681)</f>
        <v>352.843681</v>
      </c>
      <c r="D636" s="72">
        <f>IFERROR(__xludf.DUMMYFUNCTION("iferror(divide(googlefinance($B636,""shares""),1000),"""")"),315039.0)</f>
        <v>315039</v>
      </c>
      <c r="E636" s="72">
        <f>IFERROR(__xludf.DUMMYFUNCTION("iferror(divide(googlefinance($B636,""volumeavg""),1000),"""")"),1784.065)</f>
        <v>1784.065</v>
      </c>
      <c r="F636" s="73">
        <f>IFERROR(__xludf.DUMMYFUNCTION("iferror(MINUS(divide(GOOGLEFINANCE($B636), INDEX(GOOGLEFINANCE($B636,""price"",today()-182),2,2)),1),"""")"),2.1111111111111107)</f>
        <v>2.111111111</v>
      </c>
      <c r="G636" s="61">
        <f>IFERROR(__xludf.DUMMYFUNCTION("iferror(MINUS(divide(GOOGLEFINANCE($B636), INDEX(GOOGLEFINANCE($B636,""price"",today()-364),2,2)),1),"""")"),-0.16000000000000003)</f>
        <v>-0.16</v>
      </c>
    </row>
    <row r="637">
      <c r="A637" s="71">
        <f t="shared" si="4"/>
        <v>633</v>
      </c>
      <c r="B637" s="54" t="s">
        <v>770</v>
      </c>
      <c r="C637" s="72">
        <f>IFERROR(__xludf.DUMMYFUNCTION("iferror(divide(googlefinance($B637,""marketcap""),1000000),"""")"),2087.774088)</f>
        <v>2087.774088</v>
      </c>
      <c r="D637" s="72">
        <f>IFERROR(__xludf.DUMMYFUNCTION("iferror(divide(googlefinance($B637,""shares""),1000),"""")"),233011.0)</f>
        <v>233011</v>
      </c>
      <c r="E637" s="72">
        <f>IFERROR(__xludf.DUMMYFUNCTION("iferror(divide(googlefinance($B637,""volumeavg""),1000),"""")"),3066.754)</f>
        <v>3066.754</v>
      </c>
      <c r="F637" s="73">
        <f>IFERROR(__xludf.DUMMYFUNCTION("iferror(MINUS(divide(GOOGLEFINANCE($B637), INDEX(GOOGLEFINANCE($B637,""price"",today()-182),2,2)),1),"""")"),0.5746924428822495)</f>
        <v>0.5746924429</v>
      </c>
      <c r="G637" s="61">
        <f>IFERROR(__xludf.DUMMYFUNCTION("iferror(MINUS(divide(GOOGLEFINANCE($B637), INDEX(GOOGLEFINANCE($B637,""price"",today()-364),2,2)),1),"""")"),-0.3516642547033285)</f>
        <v>-0.3516642547</v>
      </c>
    </row>
    <row r="638">
      <c r="A638" s="71">
        <f t="shared" si="4"/>
        <v>634</v>
      </c>
      <c r="B638" s="54" t="s">
        <v>771</v>
      </c>
      <c r="C638" s="72">
        <f>IFERROR(__xludf.DUMMYFUNCTION("iferror(divide(googlefinance($B638,""marketcap""),1000000),"""")"),1017.929934)</f>
        <v>1017.929934</v>
      </c>
      <c r="D638" s="72">
        <f>IFERROR(__xludf.DUMMYFUNCTION("iferror(divide(googlefinance($B638,""shares""),1000),"""")"),441810.0)</f>
        <v>441810</v>
      </c>
      <c r="E638" s="72">
        <f>IFERROR(__xludf.DUMMYFUNCTION("iferror(divide(googlefinance($B638,""volumeavg""),1000),"""")"),119.855)</f>
        <v>119.855</v>
      </c>
      <c r="F638" s="73" t="str">
        <f>IFERROR(__xludf.DUMMYFUNCTION("iferror(MINUS(divide(GOOGLEFINANCE($B638), INDEX(GOOGLEFINANCE($B638,""price"",today()-182),2,2)),1),"""")"),"")</f>
        <v/>
      </c>
      <c r="G638" s="61" t="str">
        <f>IFERROR(__xludf.DUMMYFUNCTION("iferror(MINUS(divide(GOOGLEFINANCE($B638), INDEX(GOOGLEFINANCE($B638,""price"",today()-364),2,2)),1),"""")"),"")</f>
        <v/>
      </c>
    </row>
    <row r="639">
      <c r="A639" s="71">
        <f t="shared" si="4"/>
        <v>635</v>
      </c>
      <c r="B639" s="47" t="s">
        <v>772</v>
      </c>
      <c r="C639" s="72">
        <f>IFERROR(__xludf.DUMMYFUNCTION("iferror(divide(googlefinance($B639,""marketcap""),1000000),"""")"),594.554613)</f>
        <v>594.554613</v>
      </c>
      <c r="D639" s="72">
        <f>IFERROR(__xludf.DUMMYFUNCTION("iferror(divide(googlefinance($B639,""shares""),1000),"""")"),38015.0)</f>
        <v>38015</v>
      </c>
      <c r="E639" s="72">
        <f>IFERROR(__xludf.DUMMYFUNCTION("iferror(divide(googlefinance($B639,""volumeavg""),1000),"""")"),690.897)</f>
        <v>690.897</v>
      </c>
      <c r="F639" s="73">
        <f>IFERROR(__xludf.DUMMYFUNCTION("iferror(MINUS(divide(GOOGLEFINANCE($B639), INDEX(GOOGLEFINANCE($B639,""price"",today()-182),2,2)),1),"""")"),0.4685446009389671)</f>
        <v>0.4685446009</v>
      </c>
      <c r="G639" s="61">
        <f>IFERROR(__xludf.DUMMYFUNCTION("iferror(MINUS(divide(GOOGLEFINANCE($B639), INDEX(GOOGLEFINANCE($B639,""price"",today()-364),2,2)),1),"""")"),-0.5341078343759309)</f>
        <v>-0.5341078344</v>
      </c>
    </row>
    <row r="640">
      <c r="A640" s="71">
        <f t="shared" si="4"/>
        <v>636</v>
      </c>
      <c r="B640" s="47" t="s">
        <v>773</v>
      </c>
      <c r="C640" s="72">
        <f>IFERROR(__xludf.DUMMYFUNCTION("iferror(divide(googlefinance($B640,""marketcap""),1000000),"""")"),47.109148)</f>
        <v>47.109148</v>
      </c>
      <c r="D640" s="72">
        <f>IFERROR(__xludf.DUMMYFUNCTION("iferror(divide(googlefinance($B640,""shares""),1000),"""")"),9517.0)</f>
        <v>9517</v>
      </c>
      <c r="E640" s="72">
        <f>IFERROR(__xludf.DUMMYFUNCTION("iferror(divide(googlefinance($B640,""volumeavg""),1000),"""")"),15.175)</f>
        <v>15.175</v>
      </c>
      <c r="F640" s="73">
        <f>IFERROR(__xludf.DUMMYFUNCTION("iferror(MINUS(divide(GOOGLEFINANCE($B640), INDEX(GOOGLEFINANCE($B640,""price"",today()-182),2,2)),1),"""")"),0.6071428571428572)</f>
        <v>0.6071428571</v>
      </c>
      <c r="G640" s="61">
        <f>IFERROR(__xludf.DUMMYFUNCTION("iferror(MINUS(divide(GOOGLEFINANCE($B640), INDEX(GOOGLEFINANCE($B640,""price"",today()-364),2,2)),1),"""")"),0.3306451612903225)</f>
        <v>0.3306451613</v>
      </c>
    </row>
    <row r="641">
      <c r="A641" s="71">
        <f t="shared" si="4"/>
        <v>637</v>
      </c>
      <c r="B641" s="47" t="s">
        <v>774</v>
      </c>
      <c r="C641" s="72">
        <f>IFERROR(__xludf.DUMMYFUNCTION("iferror(divide(googlefinance($B641,""marketcap""),1000000),"""")"),104.95639)</f>
        <v>104.95639</v>
      </c>
      <c r="D641" s="72">
        <f>IFERROR(__xludf.DUMMYFUNCTION("iferror(divide(googlefinance($B641,""shares""),1000),"""")"),24523.0)</f>
        <v>24523</v>
      </c>
      <c r="E641" s="72">
        <f>IFERROR(__xludf.DUMMYFUNCTION("iferror(divide(googlefinance($B641,""volumeavg""),1000),"""")"),91.222)</f>
        <v>91.222</v>
      </c>
      <c r="F641" s="73">
        <f>IFERROR(__xludf.DUMMYFUNCTION("iferror(MINUS(divide(GOOGLEFINANCE($B641), INDEX(GOOGLEFINANCE($B641,""price"",today()-182),2,2)),1),"""")"),0.8212765957446808)</f>
        <v>0.8212765957</v>
      </c>
      <c r="G641" s="61">
        <f>IFERROR(__xludf.DUMMYFUNCTION("iferror(MINUS(divide(GOOGLEFINANCE($B641), INDEX(GOOGLEFINANCE($B641,""price"",today()-364),2,2)),1),"""")"),0.9814814814814814)</f>
        <v>0.9814814815</v>
      </c>
    </row>
    <row r="642">
      <c r="A642" s="71">
        <f t="shared" si="4"/>
        <v>638</v>
      </c>
      <c r="B642" s="47" t="s">
        <v>775</v>
      </c>
      <c r="C642" s="72">
        <f>IFERROR(__xludf.DUMMYFUNCTION("iferror(divide(googlefinance($B642,""marketcap""),1000000),"""")"),866.110762)</f>
        <v>866.110762</v>
      </c>
      <c r="D642" s="72">
        <f>IFERROR(__xludf.DUMMYFUNCTION("iferror(divide(googlefinance($B642,""shares""),1000),"""")"),46741.0)</f>
        <v>46741</v>
      </c>
      <c r="E642" s="72">
        <f>IFERROR(__xludf.DUMMYFUNCTION("iferror(divide(googlefinance($B642,""volumeavg""),1000),"""")"),333.359)</f>
        <v>333.359</v>
      </c>
      <c r="F642" s="73">
        <f>IFERROR(__xludf.DUMMYFUNCTION("iferror(MINUS(divide(GOOGLEFINANCE($B642), INDEX(GOOGLEFINANCE($B642,""price"",today()-182),2,2)),1),"""")"),0.5263591433278418)</f>
        <v>0.5263591433</v>
      </c>
      <c r="G642" s="61">
        <f>IFERROR(__xludf.DUMMYFUNCTION("iferror(MINUS(divide(GOOGLEFINANCE($B642), INDEX(GOOGLEFINANCE($B642,""price"",today()-364),2,2)),1),"""")"),-0.4411942098914353)</f>
        <v>-0.4411942099</v>
      </c>
    </row>
    <row r="643">
      <c r="A643" s="71">
        <f t="shared" si="4"/>
        <v>639</v>
      </c>
      <c r="B643" s="47" t="s">
        <v>776</v>
      </c>
      <c r="C643" s="72">
        <f>IFERROR(__xludf.DUMMYFUNCTION("iferror(divide(googlefinance($B643,""marketcap""),1000000),"""")"),38122.871968)</f>
        <v>38122.87197</v>
      </c>
      <c r="D643" s="72">
        <f>IFERROR(__xludf.DUMMYFUNCTION("iferror(divide(googlefinance($B643,""shares""),1000),"""")"),373717.0)</f>
        <v>373717</v>
      </c>
      <c r="E643" s="72">
        <f>IFERROR(__xludf.DUMMYFUNCTION("iferror(divide(googlefinance($B643,""volumeavg""),1000),"""")"),457.39)</f>
        <v>457.39</v>
      </c>
      <c r="F643" s="73">
        <f>IFERROR(__xludf.DUMMYFUNCTION("iferror(MINUS(divide(GOOGLEFINANCE($B643), INDEX(GOOGLEFINANCE($B643,""price"",today()-182),2,2)),1),"""")"),0.36213112565095473)</f>
        <v>0.3621311257</v>
      </c>
      <c r="G643" s="61">
        <f>IFERROR(__xludf.DUMMYFUNCTION("iferror(MINUS(divide(GOOGLEFINANCE($B643), INDEX(GOOGLEFINANCE($B643,""price"",today()-364),2,2)),1),"""")"),-0.20873409866583914)</f>
        <v>-0.2087340987</v>
      </c>
    </row>
    <row r="644">
      <c r="A644" s="71">
        <f t="shared" si="4"/>
        <v>640</v>
      </c>
      <c r="B644" s="47" t="s">
        <v>777</v>
      </c>
      <c r="C644" s="72">
        <f>IFERROR(__xludf.DUMMYFUNCTION("iferror(divide(googlefinance($B644,""marketcap""),1000000),"""")"),253.426146)</f>
        <v>253.426146</v>
      </c>
      <c r="D644" s="72">
        <f>IFERROR(__xludf.DUMMYFUNCTION("iferror(divide(googlefinance($B644,""shares""),1000),"""")"),22587.0)</f>
        <v>22587</v>
      </c>
      <c r="E644" s="72" t="str">
        <f>IFERROR(__xludf.DUMMYFUNCTION("iferror(divide(googlefinance($B644,""volumeavg""),1000),"""")"),"")</f>
        <v/>
      </c>
      <c r="F644" s="73" t="str">
        <f>IFERROR(__xludf.DUMMYFUNCTION("iferror(MINUS(divide(GOOGLEFINANCE($B644), INDEX(GOOGLEFINANCE($B644,""price"",today()-182),2,2)),1),"""")"),"")</f>
        <v/>
      </c>
      <c r="G644" s="61">
        <f>IFERROR(__xludf.DUMMYFUNCTION("iferror(MINUS(divide(GOOGLEFINANCE($B644), INDEX(GOOGLEFINANCE($B644,""price"",today()-364),2,2)),1),"""")"),-0.09365558912386707)</f>
        <v>-0.09365558912</v>
      </c>
    </row>
    <row r="645">
      <c r="A645" s="71">
        <f t="shared" si="4"/>
        <v>641</v>
      </c>
      <c r="B645" s="47" t="s">
        <v>778</v>
      </c>
      <c r="C645" s="72">
        <f>IFERROR(__xludf.DUMMYFUNCTION("iferror(divide(googlefinance($B645,""marketcap""),1000000),"""")"),6018.68085)</f>
        <v>6018.68085</v>
      </c>
      <c r="D645" s="72">
        <f>IFERROR(__xludf.DUMMYFUNCTION("iferror(divide(googlefinance($B645,""shares""),1000),"""")"),38457.0)</f>
        <v>38457</v>
      </c>
      <c r="E645" s="72">
        <f>IFERROR(__xludf.DUMMYFUNCTION("iferror(divide(googlefinance($B645,""volumeavg""),1000),"""")"),941.046)</f>
        <v>941.046</v>
      </c>
      <c r="F645" s="73">
        <f>IFERROR(__xludf.DUMMYFUNCTION("iferror(MINUS(divide(GOOGLEFINANCE($B645), INDEX(GOOGLEFINANCE($B645,""price"",today()-182),2,2)),1),"""")"),0.2735445205479452)</f>
        <v>0.2735445205</v>
      </c>
      <c r="G645" s="61">
        <f>IFERROR(__xludf.DUMMYFUNCTION("iferror(MINUS(divide(GOOGLEFINANCE($B645), INDEX(GOOGLEFINANCE($B645,""price"",today()-364),2,2)),1),"""")"),-0.21306705462240438)</f>
        <v>-0.2130670546</v>
      </c>
    </row>
    <row r="646">
      <c r="A646" s="71">
        <f t="shared" si="4"/>
        <v>642</v>
      </c>
      <c r="B646" s="52" t="s">
        <v>779</v>
      </c>
      <c r="C646" s="72">
        <f>IFERROR(__xludf.DUMMYFUNCTION("iferror(divide(googlefinance($B646,""marketcap""),1000000),"""")"),677.078501)</f>
        <v>677.078501</v>
      </c>
      <c r="D646" s="72">
        <f>IFERROR(__xludf.DUMMYFUNCTION("iferror(divide(googlefinance($B646,""shares""),1000),"""")"),45997.0)</f>
        <v>45997</v>
      </c>
      <c r="E646" s="72">
        <f>IFERROR(__xludf.DUMMYFUNCTION("iferror(divide(googlefinance($B646,""volumeavg""),1000),"""")"),891.19)</f>
        <v>891.19</v>
      </c>
      <c r="F646" s="73">
        <f>IFERROR(__xludf.DUMMYFUNCTION("iferror(MINUS(divide(GOOGLEFINANCE($B646), INDEX(GOOGLEFINANCE($B646,""price"",today()-182),2,2)),1),"""")"),0.7017341040462428)</f>
        <v>0.701734104</v>
      </c>
      <c r="G646" s="61">
        <f>IFERROR(__xludf.DUMMYFUNCTION("iferror(MINUS(divide(GOOGLEFINANCE($B646), INDEX(GOOGLEFINANCE($B646,""price"",today()-364),2,2)),1),"""")"),-0.45420837968112715)</f>
        <v>-0.4542083797</v>
      </c>
    </row>
    <row r="647">
      <c r="A647" s="71">
        <f t="shared" si="4"/>
        <v>643</v>
      </c>
      <c r="B647" s="47" t="s">
        <v>780</v>
      </c>
      <c r="C647" s="72">
        <f>IFERROR(__xludf.DUMMYFUNCTION("iferror(divide(googlefinance($B647,""marketcap""),1000000),"""")"),3589.443733)</f>
        <v>3589.443733</v>
      </c>
      <c r="D647" s="72">
        <f>IFERROR(__xludf.DUMMYFUNCTION("iferror(divide(googlefinance($B647,""shares""),1000),"""")"),101886.0)</f>
        <v>101886</v>
      </c>
      <c r="E647" s="72">
        <f>IFERROR(__xludf.DUMMYFUNCTION("iferror(divide(googlefinance($B647,""volumeavg""),1000),"""")"),758.792)</f>
        <v>758.792</v>
      </c>
      <c r="F647" s="73">
        <f>IFERROR(__xludf.DUMMYFUNCTION("iferror(MINUS(divide(GOOGLEFINANCE($B647), INDEX(GOOGLEFINANCE($B647,""price"",today()-182),2,2)),1),"""")"),0.42458552365547897)</f>
        <v>0.4245855237</v>
      </c>
      <c r="G647" s="61">
        <f>IFERROR(__xludf.DUMMYFUNCTION("iferror(MINUS(divide(GOOGLEFINANCE($B647), INDEX(GOOGLEFINANCE($B647,""price"",today()-364),2,2)),1),"""")"),0.6856459330143541)</f>
        <v>0.685645933</v>
      </c>
    </row>
    <row r="648">
      <c r="A648" s="71">
        <f t="shared" si="4"/>
        <v>644</v>
      </c>
      <c r="B648" s="47" t="s">
        <v>781</v>
      </c>
      <c r="C648" s="72">
        <f>IFERROR(__xludf.DUMMYFUNCTION("iferror(divide(googlefinance($B648,""marketcap""),1000000),"""")"),3840.866904)</f>
        <v>3840.866904</v>
      </c>
      <c r="D648" s="72">
        <f>IFERROR(__xludf.DUMMYFUNCTION("iferror(divide(googlefinance($B648,""shares""),1000),"""")"),137027.0)</f>
        <v>137027</v>
      </c>
      <c r="E648" s="72">
        <f>IFERROR(__xludf.DUMMYFUNCTION("iferror(divide(googlefinance($B648,""volumeavg""),1000),"""")"),911.724)</f>
        <v>911.724</v>
      </c>
      <c r="F648" s="73">
        <f>IFERROR(__xludf.DUMMYFUNCTION("iferror(MINUS(divide(GOOGLEFINANCE($B648), INDEX(GOOGLEFINANCE($B648,""price"",today()-182),2,2)),1),"""")"),0.8002569043031471)</f>
        <v>0.8002569043</v>
      </c>
      <c r="G648" s="61">
        <f>IFERROR(__xludf.DUMMYFUNCTION("iferror(MINUS(divide(GOOGLEFINANCE($B648), INDEX(GOOGLEFINANCE($B648,""price"",today()-364),2,2)),1),"""")"),0.7122785583384239)</f>
        <v>0.7122785583</v>
      </c>
    </row>
    <row r="649">
      <c r="A649" s="71">
        <f t="shared" si="4"/>
        <v>645</v>
      </c>
      <c r="B649" s="47" t="s">
        <v>782</v>
      </c>
      <c r="C649" s="72">
        <f>IFERROR(__xludf.DUMMYFUNCTION("iferror(divide(googlefinance($B649,""marketcap""),1000000),"""")"),433.946955)</f>
        <v>433.946955</v>
      </c>
      <c r="D649" s="72">
        <f>IFERROR(__xludf.DUMMYFUNCTION("iferror(divide(googlefinance($B649,""shares""),1000),"""")"),25142.0)</f>
        <v>25142</v>
      </c>
      <c r="E649" s="72">
        <f>IFERROR(__xludf.DUMMYFUNCTION("iferror(divide(googlefinance($B649,""volumeavg""),1000),"""")"),539.073)</f>
        <v>539.073</v>
      </c>
      <c r="F649" s="73">
        <f>IFERROR(__xludf.DUMMYFUNCTION("iferror(MINUS(divide(GOOGLEFINANCE($B649), INDEX(GOOGLEFINANCE($B649,""price"",today()-182),2,2)),1),"""")"),0.4701873935264056)</f>
        <v>0.4701873935</v>
      </c>
      <c r="G649" s="61">
        <f>IFERROR(__xludf.DUMMYFUNCTION("iferror(MINUS(divide(GOOGLEFINANCE($B649), INDEX(GOOGLEFINANCE($B649,""price"",today()-364),2,2)),1),"""")"),0.24710982658959546)</f>
        <v>0.2471098266</v>
      </c>
    </row>
    <row r="650">
      <c r="A650" s="71">
        <f t="shared" si="4"/>
        <v>646</v>
      </c>
      <c r="B650" s="47" t="s">
        <v>783</v>
      </c>
      <c r="C650" s="72">
        <f>IFERROR(__xludf.DUMMYFUNCTION("iferror(divide(googlefinance($B650,""marketcap""),1000000),"""")"),11017.987767)</f>
        <v>11017.98777</v>
      </c>
      <c r="D650" s="72">
        <f>IFERROR(__xludf.DUMMYFUNCTION("iferror(divide(googlefinance($B650,""shares""),1000),"""")"),137023.0)</f>
        <v>137023</v>
      </c>
      <c r="E650" s="72">
        <f>IFERROR(__xludf.DUMMYFUNCTION("iferror(divide(googlefinance($B650,""volumeavg""),1000),"""")"),723.341)</f>
        <v>723.341</v>
      </c>
      <c r="F650" s="73">
        <f>IFERROR(__xludf.DUMMYFUNCTION("iferror(MINUS(divide(GOOGLEFINANCE($B650), INDEX(GOOGLEFINANCE($B650,""price"",today()-182),2,2)),1),"""")"),0.743873346345695)</f>
        <v>0.7438733463</v>
      </c>
      <c r="G650" s="61">
        <f>IFERROR(__xludf.DUMMYFUNCTION("iferror(MINUS(divide(GOOGLEFINANCE($B650), INDEX(GOOGLEFINANCE($B650,""price"",today()-364),2,2)),1),"""")"),-0.3164158803026439)</f>
        <v>-0.3164158803</v>
      </c>
    </row>
    <row r="651">
      <c r="A651" s="71">
        <f t="shared" si="4"/>
        <v>647</v>
      </c>
      <c r="B651" s="47" t="s">
        <v>784</v>
      </c>
      <c r="C651" s="72">
        <f>IFERROR(__xludf.DUMMYFUNCTION("iferror(divide(googlefinance($B651,""marketcap""),1000000),"""")"),242.098968)</f>
        <v>242.098968</v>
      </c>
      <c r="D651" s="72">
        <f>IFERROR(__xludf.DUMMYFUNCTION("iferror(divide(googlefinance($B651,""shares""),1000),"""")"),12557.0)</f>
        <v>12557</v>
      </c>
      <c r="E651" s="72">
        <f>IFERROR(__xludf.DUMMYFUNCTION("iferror(divide(googlefinance($B651,""volumeavg""),1000),"""")"),88.098)</f>
        <v>88.098</v>
      </c>
      <c r="F651" s="73">
        <f>IFERROR(__xludf.DUMMYFUNCTION("iferror(MINUS(divide(GOOGLEFINANCE($B651), INDEX(GOOGLEFINANCE($B651,""price"",today()-182),2,2)),1),"""")"),0.07649357900614184)</f>
        <v>0.07649357901</v>
      </c>
      <c r="G651" s="61">
        <f>IFERROR(__xludf.DUMMYFUNCTION("iferror(MINUS(divide(GOOGLEFINANCE($B651), INDEX(GOOGLEFINANCE($B651,""price"",today()-364),2,2)),1),"""")"),-0.4654837815359024)</f>
        <v>-0.4654837815</v>
      </c>
    </row>
    <row r="652">
      <c r="A652" s="71">
        <f t="shared" si="4"/>
        <v>648</v>
      </c>
      <c r="B652" s="47" t="s">
        <v>785</v>
      </c>
      <c r="C652" s="72">
        <f>IFERROR(__xludf.DUMMYFUNCTION("iferror(divide(googlefinance($B652,""marketcap""),1000000),"""")"),5500.943866)</f>
        <v>5500.943866</v>
      </c>
      <c r="D652" s="72">
        <f>IFERROR(__xludf.DUMMYFUNCTION("iferror(divide(googlefinance($B652,""shares""),1000),"""")"),348161.0)</f>
        <v>348161</v>
      </c>
      <c r="E652" s="72">
        <f>IFERROR(__xludf.DUMMYFUNCTION("iferror(divide(googlefinance($B652,""volumeavg""),1000),"""")"),4829.553)</f>
        <v>4829.553</v>
      </c>
      <c r="F652" s="73">
        <f>IFERROR(__xludf.DUMMYFUNCTION("iferror(MINUS(divide(GOOGLEFINANCE($B652), INDEX(GOOGLEFINANCE($B652,""price"",today()-182),2,2)),1),"""")"),0.7594654788418709)</f>
        <v>0.7594654788</v>
      </c>
      <c r="G652" s="61">
        <f>IFERROR(__xludf.DUMMYFUNCTION("iferror(MINUS(divide(GOOGLEFINANCE($B652), INDEX(GOOGLEFINANCE($B652,""price"",today()-364),2,2)),1),"""")"),0.10258199581297989)</f>
        <v>0.1025819958</v>
      </c>
    </row>
    <row r="653">
      <c r="A653" s="71">
        <f t="shared" si="4"/>
        <v>649</v>
      </c>
      <c r="B653" s="47" t="s">
        <v>786</v>
      </c>
      <c r="C653" s="72">
        <f>IFERROR(__xludf.DUMMYFUNCTION("iferror(divide(googlefinance($B653,""marketcap""),1000000),"""")"),122.281024)</f>
        <v>122.281024</v>
      </c>
      <c r="D653" s="72">
        <f>IFERROR(__xludf.DUMMYFUNCTION("iferror(divide(googlefinance($B653,""shares""),1000),"""")"),38943.0)</f>
        <v>38943</v>
      </c>
      <c r="E653" s="72">
        <f>IFERROR(__xludf.DUMMYFUNCTION("iferror(divide(googlefinance($B653,""volumeavg""),1000),"""")"),121.864)</f>
        <v>121.864</v>
      </c>
      <c r="F653" s="73">
        <f>IFERROR(__xludf.DUMMYFUNCTION("iferror(MINUS(divide(GOOGLEFINANCE($B653), INDEX(GOOGLEFINANCE($B653,""price"",today()-182),2,2)),1),"""")"),1.0933333333333333)</f>
        <v>1.093333333</v>
      </c>
      <c r="G653" s="61">
        <f>IFERROR(__xludf.DUMMYFUNCTION("iferror(MINUS(divide(GOOGLEFINANCE($B653), INDEX(GOOGLEFINANCE($B653,""price"",today()-364),2,2)),1),"""")"),-0.09510086455331412)</f>
        <v>-0.09510086455</v>
      </c>
    </row>
    <row r="654">
      <c r="A654" s="71">
        <f t="shared" si="4"/>
        <v>650</v>
      </c>
      <c r="B654" s="47" t="s">
        <v>787</v>
      </c>
      <c r="C654" s="72">
        <f>IFERROR(__xludf.DUMMYFUNCTION("iferror(divide(googlefinance($B654,""marketcap""),1000000),"""")"),1622.499129)</f>
        <v>1622.499129</v>
      </c>
      <c r="D654" s="72">
        <f>IFERROR(__xludf.DUMMYFUNCTION("iferror(divide(googlefinance($B654,""shares""),1000),"""")"),261272.0)</f>
        <v>261272</v>
      </c>
      <c r="E654" s="72">
        <f>IFERROR(__xludf.DUMMYFUNCTION("iferror(divide(googlefinance($B654,""volumeavg""),1000),"""")"),1140.592)</f>
        <v>1140.592</v>
      </c>
      <c r="F654" s="73">
        <f>IFERROR(__xludf.DUMMYFUNCTION("iferror(MINUS(divide(GOOGLEFINANCE($B654), INDEX(GOOGLEFINANCE($B654,""price"",today()-182),2,2)),1),"""")"),2.4028776978417272)</f>
        <v>2.402877698</v>
      </c>
      <c r="G654" s="61">
        <f>IFERROR(__xludf.DUMMYFUNCTION("iferror(MINUS(divide(GOOGLEFINANCE($B654), INDEX(GOOGLEFINANCE($B654,""price"",today()-364),2,2)),1),"""")"),0.20663265306122458)</f>
        <v>0.2066326531</v>
      </c>
    </row>
    <row r="655">
      <c r="A655" s="71">
        <f t="shared" si="4"/>
        <v>651</v>
      </c>
      <c r="B655" s="47" t="s">
        <v>788</v>
      </c>
      <c r="C655" s="72">
        <f>IFERROR(__xludf.DUMMYFUNCTION("iferror(divide(googlefinance($B655,""marketcap""),1000000),"""")"),46357.845413)</f>
        <v>46357.84541</v>
      </c>
      <c r="D655" s="72">
        <f>IFERROR(__xludf.DUMMYFUNCTION("iferror(divide(googlefinance($B655,""shares""),1000),"""")"),338033.0)</f>
        <v>338033</v>
      </c>
      <c r="E655" s="72">
        <f>IFERROR(__xludf.DUMMYFUNCTION("iferror(divide(googlefinance($B655,""volumeavg""),1000),"""")"),1502.899)</f>
        <v>1502.899</v>
      </c>
      <c r="F655" s="73">
        <f>IFERROR(__xludf.DUMMYFUNCTION("iferror(MINUS(divide(GOOGLEFINANCE($B655), INDEX(GOOGLEFINANCE($B655,""price"",today()-182),2,2)),1),"""")"),0.7470063694267515)</f>
        <v>0.7470063694</v>
      </c>
      <c r="G655" s="61">
        <f>IFERROR(__xludf.DUMMYFUNCTION("iferror(MINUS(divide(GOOGLEFINANCE($B655), INDEX(GOOGLEFINANCE($B655,""price"",today()-364),2,2)),1),"""")"),0.10347602188606353)</f>
        <v>0.1034760219</v>
      </c>
    </row>
    <row r="656">
      <c r="A656" s="71">
        <f t="shared" si="4"/>
        <v>652</v>
      </c>
      <c r="B656" s="47" t="s">
        <v>789</v>
      </c>
      <c r="C656" s="72">
        <f>IFERROR(__xludf.DUMMYFUNCTION("iferror(divide(googlefinance($B656,""marketcap""),1000000),"""")"),1059.550239)</f>
        <v>1059.550239</v>
      </c>
      <c r="D656" s="72">
        <f>IFERROR(__xludf.DUMMYFUNCTION("iferror(divide(googlefinance($B656,""shares""),1000),"""")"),51186.0)</f>
        <v>51186</v>
      </c>
      <c r="E656" s="72">
        <f>IFERROR(__xludf.DUMMYFUNCTION("iferror(divide(googlefinance($B656,""volumeavg""),1000),"""")"),556.371)</f>
        <v>556.371</v>
      </c>
      <c r="F656" s="73">
        <f>IFERROR(__xludf.DUMMYFUNCTION("iferror(MINUS(divide(GOOGLEFINANCE($B656), INDEX(GOOGLEFINANCE($B656,""price"",today()-182),2,2)),1),"""")"),0.7497886728655958)</f>
        <v>0.7497886729</v>
      </c>
      <c r="G656" s="61">
        <f>IFERROR(__xludf.DUMMYFUNCTION("iferror(MINUS(divide(GOOGLEFINANCE($B656), INDEX(GOOGLEFINANCE($B656,""price"",today()-364),2,2)),1),"""")"),0.02526002971768193)</f>
        <v>0.02526002972</v>
      </c>
    </row>
    <row r="657">
      <c r="A657" s="71">
        <f t="shared" si="4"/>
        <v>653</v>
      </c>
      <c r="B657" s="47" t="s">
        <v>790</v>
      </c>
      <c r="C657" s="72">
        <f>IFERROR(__xludf.DUMMYFUNCTION("iferror(divide(googlefinance($B657,""marketcap""),1000000),"""")"),3680.880882)</f>
        <v>3680.880882</v>
      </c>
      <c r="D657" s="72">
        <f>IFERROR(__xludf.DUMMYFUNCTION("iferror(divide(googlefinance($B657,""shares""),1000),"""")"),710595.0)</f>
        <v>710595</v>
      </c>
      <c r="E657" s="72">
        <f>IFERROR(__xludf.DUMMYFUNCTION("iferror(divide(googlefinance($B657,""volumeavg""),1000),"""")"),331.968)</f>
        <v>331.968</v>
      </c>
      <c r="F657" s="73">
        <f>IFERROR(__xludf.DUMMYFUNCTION("iferror(MINUS(divide(GOOGLEFINANCE($B657), INDEX(GOOGLEFINANCE($B657,""price"",today()-182),2,2)),1),"""")"),1.0207961972667854)</f>
        <v>1.020796197</v>
      </c>
      <c r="G657" s="61">
        <f>IFERROR(__xludf.DUMMYFUNCTION("iferror(MINUS(divide(GOOGLEFINANCE($B657), INDEX(GOOGLEFINANCE($B657,""price"",today()-364),2,2)),1),"""")"),0.681998021760633)</f>
        <v>0.6819980218</v>
      </c>
    </row>
    <row r="658">
      <c r="A658" s="71">
        <f t="shared" si="4"/>
        <v>654</v>
      </c>
      <c r="B658" s="47" t="s">
        <v>791</v>
      </c>
      <c r="C658" s="72">
        <f>IFERROR(__xludf.DUMMYFUNCTION("iferror(divide(googlefinance($B658,""marketcap""),1000000),"""")"),1649.957915)</f>
        <v>1649.957915</v>
      </c>
      <c r="D658" s="72">
        <f>IFERROR(__xludf.DUMMYFUNCTION("iferror(divide(googlefinance($B658,""shares""),1000),"""")"),74423.0)</f>
        <v>74423</v>
      </c>
      <c r="E658" s="72">
        <f>IFERROR(__xludf.DUMMYFUNCTION("iferror(divide(googlefinance($B658,""volumeavg""),1000),"""")"),596.025)</f>
        <v>596.025</v>
      </c>
      <c r="F658" s="73">
        <f>IFERROR(__xludf.DUMMYFUNCTION("iferror(MINUS(divide(GOOGLEFINANCE($B658), INDEX(GOOGLEFINANCE($B658,""price"",today()-182),2,2)),1),"""")"),0.027340129749768405)</f>
        <v>0.02734012975</v>
      </c>
      <c r="G658" s="61">
        <f>IFERROR(__xludf.DUMMYFUNCTION("iferror(MINUS(divide(GOOGLEFINANCE($B658), INDEX(GOOGLEFINANCE($B658,""price"",today()-364),2,2)),1),"""")"),-0.10820595333869665)</f>
        <v>-0.1082059533</v>
      </c>
    </row>
    <row r="659">
      <c r="A659" s="71">
        <f t="shared" si="4"/>
        <v>655</v>
      </c>
      <c r="B659" s="47" t="s">
        <v>792</v>
      </c>
      <c r="C659" s="72">
        <f>IFERROR(__xludf.DUMMYFUNCTION("iferror(divide(googlefinance($B659,""marketcap""),1000000),"""")"),301364.612561)</f>
        <v>301364.6126</v>
      </c>
      <c r="D659" s="72">
        <f>IFERROR(__xludf.DUMMYFUNCTION("iferror(divide(googlefinance($B659,""shares""),1000),"""")"),1076456.0)</f>
        <v>1076456</v>
      </c>
      <c r="E659" s="72">
        <f>IFERROR(__xludf.DUMMYFUNCTION("iferror(divide(googlefinance($B659,""volumeavg""),1000),"""")"),3819.414)</f>
        <v>3819.414</v>
      </c>
      <c r="F659" s="73">
        <f>IFERROR(__xludf.DUMMYFUNCTION("iferror(MINUS(divide(GOOGLEFINANCE($B659), INDEX(GOOGLEFINANCE($B659,""price"",today()-182),2,2)),1),"""")"),0.8400262898455471)</f>
        <v>0.8400262898</v>
      </c>
      <c r="G659" s="61">
        <f>IFERROR(__xludf.DUMMYFUNCTION("iferror(MINUS(divide(GOOGLEFINANCE($B659), INDEX(GOOGLEFINANCE($B659,""price"",today()-364),2,2)),1),"""")"),0.2460942715983443)</f>
        <v>0.2460942716</v>
      </c>
    </row>
    <row r="660">
      <c r="A660" s="71">
        <f t="shared" si="4"/>
        <v>656</v>
      </c>
      <c r="B660" s="47" t="s">
        <v>793</v>
      </c>
      <c r="C660" s="72">
        <f>IFERROR(__xludf.DUMMYFUNCTION("iferror(divide(googlefinance($B660,""marketcap""),1000000),"""")"),6649.544)</f>
        <v>6649.544</v>
      </c>
      <c r="D660" s="72">
        <f>IFERROR(__xludf.DUMMYFUNCTION("iferror(divide(googlefinance($B660,""shares""),1000),"""")"),162184.0)</f>
        <v>162184</v>
      </c>
      <c r="E660" s="72">
        <f>IFERROR(__xludf.DUMMYFUNCTION("iferror(divide(googlefinance($B660,""volumeavg""),1000),"""")"),1089.539)</f>
        <v>1089.539</v>
      </c>
      <c r="F660" s="73">
        <f>IFERROR(__xludf.DUMMYFUNCTION("iferror(MINUS(divide(GOOGLEFINANCE($B660), INDEX(GOOGLEFINANCE($B660,""price"",today()-182),2,2)),1),"""")"),0.5332834704562455)</f>
        <v>0.5332834705</v>
      </c>
      <c r="G660" s="61">
        <f>IFERROR(__xludf.DUMMYFUNCTION("iferror(MINUS(divide(GOOGLEFINANCE($B660), INDEX(GOOGLEFINANCE($B660,""price"",today()-364),2,2)),1),"""")"),0.050204918032786816)</f>
        <v>0.05020491803</v>
      </c>
    </row>
    <row r="661">
      <c r="A661" s="71">
        <f t="shared" si="4"/>
        <v>657</v>
      </c>
      <c r="B661" s="47" t="s">
        <v>794</v>
      </c>
      <c r="C661" s="72">
        <f>IFERROR(__xludf.DUMMYFUNCTION("iferror(divide(googlefinance($B661,""marketcap""),1000000),"""")"),772.488638)</f>
        <v>772.488638</v>
      </c>
      <c r="D661" s="72">
        <f>IFERROR(__xludf.DUMMYFUNCTION("iferror(divide(googlefinance($B661,""shares""),1000),"""")"),35913.0)</f>
        <v>35913</v>
      </c>
      <c r="E661" s="72">
        <f>IFERROR(__xludf.DUMMYFUNCTION("iferror(divide(googlefinance($B661,""volumeavg""),1000),"""")"),286.816)</f>
        <v>286.816</v>
      </c>
      <c r="F661" s="73">
        <f>IFERROR(__xludf.DUMMYFUNCTION("iferror(MINUS(divide(GOOGLEFINANCE($B661), INDEX(GOOGLEFINANCE($B661,""price"",today()-182),2,2)),1),"""")"),0.9466063348416289)</f>
        <v>0.9466063348</v>
      </c>
      <c r="G661" s="61">
        <f>IFERROR(__xludf.DUMMYFUNCTION("iferror(MINUS(divide(GOOGLEFINANCE($B661), INDEX(GOOGLEFINANCE($B661,""price"",today()-364),2,2)),1),"""")"),-0.2484276729559748)</f>
        <v>-0.248427673</v>
      </c>
    </row>
    <row r="662">
      <c r="A662" s="71">
        <f t="shared" si="4"/>
        <v>658</v>
      </c>
      <c r="B662" s="47" t="s">
        <v>795</v>
      </c>
      <c r="C662" s="72">
        <f>IFERROR(__xludf.DUMMYFUNCTION("iferror(divide(googlefinance($B662,""marketcap""),1000000),"""")"),13586.946871)</f>
        <v>13586.94687</v>
      </c>
      <c r="D662" s="72">
        <f>IFERROR(__xludf.DUMMYFUNCTION("iferror(divide(googlefinance($B662,""shares""),1000),"""")"),54189.0)</f>
        <v>54189</v>
      </c>
      <c r="E662" s="72">
        <f>IFERROR(__xludf.DUMMYFUNCTION("iferror(divide(googlefinance($B662,""volumeavg""),1000),"""")"),417.885)</f>
        <v>417.885</v>
      </c>
      <c r="F662" s="73">
        <f>IFERROR(__xludf.DUMMYFUNCTION("iferror(MINUS(divide(GOOGLEFINANCE($B662), INDEX(GOOGLEFINANCE($B662,""price"",today()-182),2,2)),1),"""")"),0.5985754985754985)</f>
        <v>0.5985754986</v>
      </c>
      <c r="G662" s="61">
        <f>IFERROR(__xludf.DUMMYFUNCTION("iferror(MINUS(divide(GOOGLEFINANCE($B662), INDEX(GOOGLEFINANCE($B662,""price"",today()-364),2,2)),1),"""")"),-0.12032609547699302)</f>
        <v>-0.1203260955</v>
      </c>
    </row>
    <row r="663">
      <c r="A663" s="71">
        <f t="shared" si="4"/>
        <v>659</v>
      </c>
      <c r="B663" s="47" t="s">
        <v>796</v>
      </c>
      <c r="C663" s="72">
        <f>IFERROR(__xludf.DUMMYFUNCTION("iferror(divide(googlefinance($B663,""marketcap""),1000000),"""")"),4973.943613)</f>
        <v>4973.943613</v>
      </c>
      <c r="D663" s="72">
        <f>IFERROR(__xludf.DUMMYFUNCTION("iferror(divide(googlefinance($B663,""shares""),1000),"""")"),25323.0)</f>
        <v>25323</v>
      </c>
      <c r="E663" s="72">
        <f>IFERROR(__xludf.DUMMYFUNCTION("iferror(divide(googlefinance($B663,""volumeavg""),1000),"""")"),124.253)</f>
        <v>124.253</v>
      </c>
      <c r="F663" s="73">
        <f>IFERROR(__xludf.DUMMYFUNCTION("iferror(MINUS(divide(GOOGLEFINANCE($B663), INDEX(GOOGLEFINANCE($B663,""price"",today()-182),2,2)),1),"""")"),0.7600358422939069)</f>
        <v>0.7600358423</v>
      </c>
      <c r="G663" s="61">
        <f>IFERROR(__xludf.DUMMYFUNCTION("iferror(MINUS(divide(GOOGLEFINANCE($B663), INDEX(GOOGLEFINANCE($B663,""price"",today()-364),2,2)),1),"""")"),0.2627450980392154)</f>
        <v>0.262745098</v>
      </c>
    </row>
    <row r="664">
      <c r="A664" s="71">
        <f t="shared" si="4"/>
        <v>660</v>
      </c>
      <c r="B664" s="47" t="s">
        <v>797</v>
      </c>
      <c r="C664" s="72">
        <f>IFERROR(__xludf.DUMMYFUNCTION("iferror(divide(googlefinance($B664,""marketcap""),1000000),"""")"),1866.611365)</f>
        <v>1866.611365</v>
      </c>
      <c r="D664" s="72">
        <f>IFERROR(__xludf.DUMMYFUNCTION("iferror(divide(googlefinance($B664,""shares""),1000),"""")"),85078.0)</f>
        <v>85078</v>
      </c>
      <c r="E664" s="72">
        <f>IFERROR(__xludf.DUMMYFUNCTION("iferror(divide(googlefinance($B664,""volumeavg""),1000),"""")"),698.861)</f>
        <v>698.861</v>
      </c>
      <c r="F664" s="73">
        <f>IFERROR(__xludf.DUMMYFUNCTION("iferror(MINUS(divide(GOOGLEFINANCE($B664), INDEX(GOOGLEFINANCE($B664,""price"",today()-182),2,2)),1),"""")"),0.6348733233979136)</f>
        <v>0.6348733234</v>
      </c>
      <c r="G664" s="61">
        <f>IFERROR(__xludf.DUMMYFUNCTION("iferror(MINUS(divide(GOOGLEFINANCE($B664), INDEX(GOOGLEFINANCE($B664,""price"",today()-364),2,2)),1),"""")"),-0.3448790683786205)</f>
        <v>-0.3448790684</v>
      </c>
    </row>
    <row r="665">
      <c r="A665" s="71">
        <f t="shared" si="4"/>
        <v>661</v>
      </c>
      <c r="B665" s="47" t="s">
        <v>798</v>
      </c>
      <c r="C665" s="72">
        <f>IFERROR(__xludf.DUMMYFUNCTION("iferror(divide(googlefinance($B665,""marketcap""),1000000),"""")"),653.653412)</f>
        <v>653.653412</v>
      </c>
      <c r="D665" s="72">
        <f>IFERROR(__xludf.DUMMYFUNCTION("iferror(divide(googlefinance($B665,""shares""),1000),"""")"),16544.0)</f>
        <v>16544</v>
      </c>
      <c r="E665" s="72">
        <f>IFERROR(__xludf.DUMMYFUNCTION("iferror(divide(googlefinance($B665,""volumeavg""),1000),"""")"),664.777)</f>
        <v>664.777</v>
      </c>
      <c r="F665" s="73">
        <f>IFERROR(__xludf.DUMMYFUNCTION("iferror(MINUS(divide(GOOGLEFINANCE($B665), INDEX(GOOGLEFINANCE($B665,""price"",today()-182),2,2)),1),"""")"),3.0111675126903554)</f>
        <v>3.011167513</v>
      </c>
      <c r="G665" s="61">
        <f>IFERROR(__xludf.DUMMYFUNCTION("iferror(MINUS(divide(GOOGLEFINANCE($B665), INDEX(GOOGLEFINANCE($B665,""price"",today()-364),2,2)),1),"""")"),0.9282576866764276)</f>
        <v>0.9282576867</v>
      </c>
    </row>
    <row r="666">
      <c r="A666" s="71">
        <f t="shared" si="4"/>
        <v>662</v>
      </c>
      <c r="B666" s="47" t="s">
        <v>799</v>
      </c>
      <c r="C666" s="72">
        <f>IFERROR(__xludf.DUMMYFUNCTION("iferror(divide(googlefinance($B666,""marketcap""),1000000),"""")"),6097.690131)</f>
        <v>6097.690131</v>
      </c>
      <c r="D666" s="72">
        <f>IFERROR(__xludf.DUMMYFUNCTION("iferror(divide(googlefinance($B666,""shares""),1000),"""")"),40492.0)</f>
        <v>40492</v>
      </c>
      <c r="E666" s="72">
        <f>IFERROR(__xludf.DUMMYFUNCTION("iferror(divide(googlefinance($B666,""volumeavg""),1000),"""")"),506.861)</f>
        <v>506.861</v>
      </c>
      <c r="F666" s="73">
        <f>IFERROR(__xludf.DUMMYFUNCTION("iferror(MINUS(divide(GOOGLEFINANCE($B666), INDEX(GOOGLEFINANCE($B666,""price"",today()-182),2,2)),1),"""")"),-0.054795380366557844)</f>
        <v>-0.05479538037</v>
      </c>
      <c r="G666" s="61">
        <f>IFERROR(__xludf.DUMMYFUNCTION("iferror(MINUS(divide(GOOGLEFINANCE($B666), INDEX(GOOGLEFINANCE($B666,""price"",today()-364),2,2)),1),"""")"),-0.29899450702914065)</f>
        <v>-0.298994507</v>
      </c>
    </row>
    <row r="667">
      <c r="A667" s="71">
        <f t="shared" si="4"/>
        <v>663</v>
      </c>
      <c r="B667" s="47" t="s">
        <v>800</v>
      </c>
      <c r="C667" s="72">
        <f>IFERROR(__xludf.DUMMYFUNCTION("iferror(divide(googlefinance($B667,""marketcap""),1000000),"""")"),1274.161616)</f>
        <v>1274.161616</v>
      </c>
      <c r="D667" s="72">
        <f>IFERROR(__xludf.DUMMYFUNCTION("iferror(divide(googlefinance($B667,""shares""),1000),"""")"),344368.0)</f>
        <v>344368</v>
      </c>
      <c r="E667" s="72">
        <f>IFERROR(__xludf.DUMMYFUNCTION("iferror(divide(googlefinance($B667,""volumeavg""),1000),"""")"),853.579)</f>
        <v>853.579</v>
      </c>
      <c r="F667" s="73">
        <f>IFERROR(__xludf.DUMMYFUNCTION("iferror(MINUS(divide(GOOGLEFINANCE($B667), INDEX(GOOGLEFINANCE($B667,""price"",today()-182),2,2)),1),"""")"),0.46825396825396837)</f>
        <v>0.4682539683</v>
      </c>
      <c r="G667" s="61">
        <f>IFERROR(__xludf.DUMMYFUNCTION("iferror(MINUS(divide(GOOGLEFINANCE($B667), INDEX(GOOGLEFINANCE($B667,""price"",today()-364),2,2)),1),"""")"),0.6818181818181817)</f>
        <v>0.6818181818</v>
      </c>
    </row>
    <row r="668">
      <c r="A668" s="71">
        <f t="shared" si="4"/>
        <v>664</v>
      </c>
      <c r="B668" s="47" t="s">
        <v>801</v>
      </c>
      <c r="C668" s="72">
        <f>IFERROR(__xludf.DUMMYFUNCTION("iferror(divide(googlefinance($B668,""marketcap""),1000000),"""")"),3051.036932)</f>
        <v>3051.036932</v>
      </c>
      <c r="D668" s="72">
        <f>IFERROR(__xludf.DUMMYFUNCTION("iferror(divide(googlefinance($B668,""shares""),1000),"""")"),528776.0)</f>
        <v>528776</v>
      </c>
      <c r="E668" s="72">
        <f>IFERROR(__xludf.DUMMYFUNCTION("iferror(divide(googlefinance($B668,""volumeavg""),1000),"""")"),10990.408)</f>
        <v>10990.408</v>
      </c>
      <c r="F668" s="73">
        <f>IFERROR(__xludf.DUMMYFUNCTION("iferror(MINUS(divide(GOOGLEFINANCE($B668), INDEX(GOOGLEFINANCE($B668,""price"",today()-182),2,2)),1),"""")"),2.475903614457831)</f>
        <v>2.475903614</v>
      </c>
      <c r="G668" s="61">
        <f>IFERROR(__xludf.DUMMYFUNCTION("iferror(MINUS(divide(GOOGLEFINANCE($B668), INDEX(GOOGLEFINANCE($B668,""price"",today()-364),2,2)),1),"""")"),1.914141414141414)</f>
        <v>1.914141414</v>
      </c>
    </row>
    <row r="669">
      <c r="A669" s="71">
        <f t="shared" si="4"/>
        <v>665</v>
      </c>
      <c r="B669" s="47" t="s">
        <v>802</v>
      </c>
      <c r="C669" s="72">
        <f>IFERROR(__xludf.DUMMYFUNCTION("iferror(divide(googlefinance($B669,""marketcap""),1000000),"""")"),6530.569089)</f>
        <v>6530.569089</v>
      </c>
      <c r="D669" s="72">
        <f>IFERROR(__xludf.DUMMYFUNCTION("iferror(divide(googlefinance($B669,""shares""),1000),"""")"),132171.0)</f>
        <v>132171</v>
      </c>
      <c r="E669" s="72">
        <f>IFERROR(__xludf.DUMMYFUNCTION("iferror(divide(googlefinance($B669,""volumeavg""),1000),"""")"),1472.729)</f>
        <v>1472.729</v>
      </c>
      <c r="F669" s="73">
        <f>IFERROR(__xludf.DUMMYFUNCTION("iferror(MINUS(divide(GOOGLEFINANCE($B669), INDEX(GOOGLEFINANCE($B669,""price"",today()-182),2,2)),1),"""")"),0.7502656748140275)</f>
        <v>0.7502656748</v>
      </c>
      <c r="G669" s="61">
        <f>IFERROR(__xludf.DUMMYFUNCTION("iferror(MINUS(divide(GOOGLEFINANCE($B669), INDEX(GOOGLEFINANCE($B669,""price"",today()-364),2,2)),1),"""")"),0.2287988062670976)</f>
        <v>0.2287988063</v>
      </c>
    </row>
    <row r="670">
      <c r="A670" s="71">
        <f t="shared" si="4"/>
        <v>666</v>
      </c>
      <c r="B670" s="47" t="s">
        <v>803</v>
      </c>
      <c r="C670" s="72">
        <f>IFERROR(__xludf.DUMMYFUNCTION("iferror(divide(googlefinance($B670,""marketcap""),1000000),"""")"),25282.261022)</f>
        <v>25282.26102</v>
      </c>
      <c r="D670" s="72">
        <f>IFERROR(__xludf.DUMMYFUNCTION("iferror(divide(googlefinance($B670,""shares""),1000),"""")"),277309.0)</f>
        <v>277309</v>
      </c>
      <c r="E670" s="72">
        <f>IFERROR(__xludf.DUMMYFUNCTION("iferror(divide(googlefinance($B670,""volumeavg""),1000),"""")"),2794.604)</f>
        <v>2794.604</v>
      </c>
      <c r="F670" s="73">
        <f>IFERROR(__xludf.DUMMYFUNCTION("iferror(MINUS(divide(GOOGLEFINANCE($B670), INDEX(GOOGLEFINANCE($B670,""price"",today()-182),2,2)),1),"""")"),0.4800324675324674)</f>
        <v>0.4800324675</v>
      </c>
      <c r="G670" s="61">
        <f>IFERROR(__xludf.DUMMYFUNCTION("iferror(MINUS(divide(GOOGLEFINANCE($B670), INDEX(GOOGLEFINANCE($B670,""price"",today()-364),2,2)),1),"""")"),-0.042533081285444196)</f>
        <v>-0.04253308129</v>
      </c>
    </row>
    <row r="671">
      <c r="A671" s="71">
        <f t="shared" si="4"/>
        <v>667</v>
      </c>
      <c r="B671" s="47" t="s">
        <v>804</v>
      </c>
      <c r="C671" s="72">
        <f>IFERROR(__xludf.DUMMYFUNCTION("iferror(divide(googlefinance($B671,""marketcap""),1000000),"""")"),4719675.654)</f>
        <v>4719675.654</v>
      </c>
      <c r="D671" s="72">
        <f>IFERROR(__xludf.DUMMYFUNCTION("iferror(divide(googlefinance($B671,""shares""),1000),"""")"),1811428.0)</f>
        <v>1811428</v>
      </c>
      <c r="E671" s="72">
        <f>IFERROR(__xludf.DUMMYFUNCTION("iferror(divide(googlefinance($B671,""volumeavg""),1000),"""")"),695.131)</f>
        <v>695.131</v>
      </c>
      <c r="F671" s="73">
        <f>IFERROR(__xludf.DUMMYFUNCTION("iferror(MINUS(divide(GOOGLEFINANCE($B671), INDEX(GOOGLEFINANCE($B671,""price"",today()-182),2,2)),1),"""")"),0.20202507232401157)</f>
        <v>0.2020250723</v>
      </c>
      <c r="G671" s="61">
        <f>IFERROR(__xludf.DUMMYFUNCTION("iferror(MINUS(divide(GOOGLEFINANCE($B671), INDEX(GOOGLEFINANCE($B671,""price"",today()-364),2,2)),1),"""")"),-0.06559220389805098)</f>
        <v>-0.0655922039</v>
      </c>
    </row>
    <row r="672">
      <c r="A672" s="71">
        <f t="shared" si="4"/>
        <v>668</v>
      </c>
      <c r="B672" s="47" t="s">
        <v>805</v>
      </c>
      <c r="C672" s="72">
        <f>IFERROR(__xludf.DUMMYFUNCTION("iferror(divide(googlefinance($B672,""marketcap""),1000000),"""")"),384.78941)</f>
        <v>384.78941</v>
      </c>
      <c r="D672" s="72">
        <f>IFERROR(__xludf.DUMMYFUNCTION("iferror(divide(googlefinance($B672,""shares""),1000),"""")"),33286.0)</f>
        <v>33286</v>
      </c>
      <c r="E672" s="72">
        <f>IFERROR(__xludf.DUMMYFUNCTION("iferror(divide(googlefinance($B672,""volumeavg""),1000),"""")"),132.14)</f>
        <v>132.14</v>
      </c>
      <c r="F672" s="73">
        <f>IFERROR(__xludf.DUMMYFUNCTION("iferror(MINUS(divide(GOOGLEFINANCE($B672), INDEX(GOOGLEFINANCE($B672,""price"",today()-182),2,2)),1),"""")"),1.21455938697318)</f>
        <v>1.214559387</v>
      </c>
      <c r="G672" s="61">
        <f>IFERROR(__xludf.DUMMYFUNCTION("iferror(MINUS(divide(GOOGLEFINANCE($B672), INDEX(GOOGLEFINANCE($B672,""price"",today()-364),2,2)),1),"""")"),-0.25849903784477224)</f>
        <v>-0.2584990378</v>
      </c>
    </row>
    <row r="673">
      <c r="A673" s="71">
        <f t="shared" si="4"/>
        <v>669</v>
      </c>
      <c r="B673" s="47" t="s">
        <v>806</v>
      </c>
      <c r="C673" s="72">
        <f>IFERROR(__xludf.DUMMYFUNCTION("iferror(divide(googlefinance($B673,""marketcap""),1000000),"""")"),2274.912667)</f>
        <v>2274.912667</v>
      </c>
      <c r="D673" s="72">
        <f>IFERROR(__xludf.DUMMYFUNCTION("iferror(divide(googlefinance($B673,""shares""),1000),"""")"),88518.0)</f>
        <v>88518</v>
      </c>
      <c r="E673" s="72">
        <f>IFERROR(__xludf.DUMMYFUNCTION("iferror(divide(googlefinance($B673,""volumeavg""),1000),"""")"),626.275)</f>
        <v>626.275</v>
      </c>
      <c r="F673" s="73">
        <f>IFERROR(__xludf.DUMMYFUNCTION("iferror(MINUS(divide(GOOGLEFINANCE($B673), INDEX(GOOGLEFINANCE($B673,""price"",today()-182),2,2)),1),"""")"),0.113518197573657)</f>
        <v>0.1135181976</v>
      </c>
      <c r="G673" s="61">
        <f>IFERROR(__xludf.DUMMYFUNCTION("iferror(MINUS(divide(GOOGLEFINANCE($B673), INDEX(GOOGLEFINANCE($B673,""price"",today()-364),2,2)),1),"""")"),-0.30727762803234504)</f>
        <v>-0.307277628</v>
      </c>
    </row>
    <row r="674">
      <c r="A674" s="71">
        <f t="shared" si="4"/>
        <v>670</v>
      </c>
      <c r="B674" s="47" t="s">
        <v>807</v>
      </c>
      <c r="C674" s="72">
        <f>IFERROR(__xludf.DUMMYFUNCTION("iferror(divide(googlefinance($B674,""marketcap""),1000000),"""")"),3480.152408)</f>
        <v>3480.152408</v>
      </c>
      <c r="D674" s="72">
        <f>IFERROR(__xludf.DUMMYFUNCTION("iferror(divide(googlefinance($B674,""shares""),1000),"""")"),603146.0)</f>
        <v>603146</v>
      </c>
      <c r="E674" s="72">
        <f>IFERROR(__xludf.DUMMYFUNCTION("iferror(divide(googlefinance($B674,""volumeavg""),1000),"""")"),7716.094)</f>
        <v>7716.094</v>
      </c>
      <c r="F674" s="73">
        <f>IFERROR(__xludf.DUMMYFUNCTION("iferror(MINUS(divide(GOOGLEFINANCE($B674), INDEX(GOOGLEFINANCE($B674,""price"",today()-182),2,2)),1),"""")"),1.9896373056994818)</f>
        <v>1.989637306</v>
      </c>
      <c r="G674" s="61">
        <f>IFERROR(__xludf.DUMMYFUNCTION("iferror(MINUS(divide(GOOGLEFINANCE($B674), INDEX(GOOGLEFINANCE($B674,""price"",today()-364),2,2)),1),"""")"),0.7919254658385091)</f>
        <v>0.7919254658</v>
      </c>
    </row>
    <row r="675">
      <c r="A675" s="71">
        <f t="shared" si="4"/>
        <v>671</v>
      </c>
      <c r="B675" s="47" t="s">
        <v>808</v>
      </c>
      <c r="C675" s="72">
        <f>IFERROR(__xludf.DUMMYFUNCTION("iferror(divide(googlefinance($B675,""marketcap""),1000000),"""")"),23.778712)</f>
        <v>23.778712</v>
      </c>
      <c r="D675" s="72">
        <f>IFERROR(__xludf.DUMMYFUNCTION("iferror(divide(googlefinance($B675,""shares""),1000),"""")"),30466.0)</f>
        <v>30466</v>
      </c>
      <c r="E675" s="72">
        <f>IFERROR(__xludf.DUMMYFUNCTION("iferror(divide(googlefinance($B675,""volumeavg""),1000),"""")"),236.23)</f>
        <v>236.23</v>
      </c>
      <c r="F675" s="73">
        <f>IFERROR(__xludf.DUMMYFUNCTION("iferror(MINUS(divide(GOOGLEFINANCE($B675), INDEX(GOOGLEFINANCE($B675,""price"",today()-182),2,2)),1),"""")"),-0.1428571428571429)</f>
        <v>-0.1428571429</v>
      </c>
      <c r="G675" s="61">
        <f>IFERROR(__xludf.DUMMYFUNCTION("iferror(MINUS(divide(GOOGLEFINANCE($B675), INDEX(GOOGLEFINANCE($B675,""price"",today()-364),2,2)),1),"""")"),-0.7936507936507936)</f>
        <v>-0.7936507937</v>
      </c>
    </row>
    <row r="676">
      <c r="A676" s="71">
        <f t="shared" si="4"/>
        <v>672</v>
      </c>
      <c r="B676" s="47" t="s">
        <v>809</v>
      </c>
      <c r="C676" s="72">
        <f>IFERROR(__xludf.DUMMYFUNCTION("iferror(divide(googlefinance($B676,""marketcap""),1000000),"""")"),321.03)</f>
        <v>321.03</v>
      </c>
      <c r="D676" s="72">
        <f>IFERROR(__xludf.DUMMYFUNCTION("iferror(divide(googlefinance($B676,""shares""),1000),"""")"),11890.0)</f>
        <v>11890</v>
      </c>
      <c r="E676" s="72">
        <f>IFERROR(__xludf.DUMMYFUNCTION("iferror(divide(googlefinance($B676,""volumeavg""),1000),"""")"),71.617)</f>
        <v>71.617</v>
      </c>
      <c r="F676" s="73">
        <f>IFERROR(__xludf.DUMMYFUNCTION("iferror(MINUS(divide(GOOGLEFINANCE($B676), INDEX(GOOGLEFINANCE($B676,""price"",today()-182),2,2)),1),"""")"),0.9852941176470589)</f>
        <v>0.9852941176</v>
      </c>
      <c r="G676" s="61">
        <f>IFERROR(__xludf.DUMMYFUNCTION("iferror(MINUS(divide(GOOGLEFINANCE($B676), INDEX(GOOGLEFINANCE($B676,""price"",today()-364),2,2)),1),"""")"),0.2943432406519655)</f>
        <v>0.2943432407</v>
      </c>
    </row>
    <row r="677">
      <c r="A677" s="71">
        <f t="shared" si="4"/>
        <v>673</v>
      </c>
      <c r="B677" s="47" t="s">
        <v>810</v>
      </c>
      <c r="C677" s="72">
        <f>IFERROR(__xludf.DUMMYFUNCTION("iferror(divide(googlefinance($B677,""marketcap""),1000000),"""")"),3949.02064)</f>
        <v>3949.02064</v>
      </c>
      <c r="D677" s="72">
        <f>IFERROR(__xludf.DUMMYFUNCTION("iferror(divide(googlefinance($B677,""shares""),1000),"""")"),153241.0)</f>
        <v>153241</v>
      </c>
      <c r="E677" s="72">
        <f>IFERROR(__xludf.DUMMYFUNCTION("iferror(divide(googlefinance($B677,""volumeavg""),1000),"""")"),1995.706)</f>
        <v>1995.706</v>
      </c>
      <c r="F677" s="73">
        <f>IFERROR(__xludf.DUMMYFUNCTION("iferror(MINUS(divide(GOOGLEFINANCE($B677), INDEX(GOOGLEFINANCE($B677,""price"",today()-182),2,2)),1),"""")"),0.5887792848335389)</f>
        <v>0.5887792848</v>
      </c>
      <c r="G677" s="61">
        <f>IFERROR(__xludf.DUMMYFUNCTION("iferror(MINUS(divide(GOOGLEFINANCE($B677), INDEX(GOOGLEFINANCE($B677,""price"",today()-364),2,2)),1),"""")"),-0.26935072299404605)</f>
        <v>-0.269350723</v>
      </c>
    </row>
    <row r="678">
      <c r="A678" s="71">
        <f t="shared" si="4"/>
        <v>674</v>
      </c>
      <c r="B678" s="47" t="s">
        <v>811</v>
      </c>
      <c r="C678" s="72">
        <f>IFERROR(__xludf.DUMMYFUNCTION("iferror(divide(googlefinance($B678,""marketcap""),1000000),"""")"),975.618619)</f>
        <v>975.618619</v>
      </c>
      <c r="D678" s="72">
        <f>IFERROR(__xludf.DUMMYFUNCTION("iferror(divide(googlefinance($B678,""shares""),1000),"""")"),14831.109)</f>
        <v>14831.109</v>
      </c>
      <c r="E678" s="72">
        <f>IFERROR(__xludf.DUMMYFUNCTION("iferror(divide(googlefinance($B678,""volumeavg""),1000),"""")"),4146.109)</f>
        <v>4146.109</v>
      </c>
      <c r="F678" s="73">
        <f>IFERROR(__xludf.DUMMYFUNCTION("iferror(MINUS(divide(GOOGLEFINANCE($B678), INDEX(GOOGLEFINANCE($B678,""price"",today()-182),2,2)),1),"""")"),6.441176470588235)</f>
        <v>6.441176471</v>
      </c>
      <c r="G678" s="61">
        <f>IFERROR(__xludf.DUMMYFUNCTION("iferror(MINUS(divide(GOOGLEFINANCE($B678), INDEX(GOOGLEFINANCE($B678,""price"",today()-364),2,2)),1),"""")"),0.66996699669967)</f>
        <v>0.6699669967</v>
      </c>
    </row>
    <row r="679">
      <c r="A679" s="71">
        <f t="shared" si="4"/>
        <v>675</v>
      </c>
      <c r="B679" s="47" t="s">
        <v>812</v>
      </c>
      <c r="C679" s="72">
        <f>IFERROR(__xludf.DUMMYFUNCTION("iferror(divide(googlefinance($B679,""marketcap""),1000000),"""")"),119541.713649)</f>
        <v>119541.7136</v>
      </c>
      <c r="D679" s="72">
        <f>IFERROR(__xludf.DUMMYFUNCTION("iferror(divide(googlefinance($B679,""shares""),1000),"""")"),701783.0)</f>
        <v>701783</v>
      </c>
      <c r="E679" s="72">
        <f>IFERROR(__xludf.DUMMYFUNCTION("iferror(divide(googlefinance($B679,""volumeavg""),1000),"""")"),3408.228)</f>
        <v>3408.228</v>
      </c>
      <c r="F679" s="73">
        <f>IFERROR(__xludf.DUMMYFUNCTION("iferror(MINUS(divide(GOOGLEFINANCE($B679), INDEX(GOOGLEFINANCE($B679,""price"",today()-182),2,2)),1),"""")"),0.5141333333333333)</f>
        <v>0.5141333333</v>
      </c>
      <c r="G679" s="61">
        <f>IFERROR(__xludf.DUMMYFUNCTION("iferror(MINUS(divide(GOOGLEFINANCE($B679), INDEX(GOOGLEFINANCE($B679,""price"",today()-364),2,2)),1),"""")"),0.012061077773156681)</f>
        <v>0.01206107777</v>
      </c>
    </row>
    <row r="680">
      <c r="A680" s="71">
        <f t="shared" si="4"/>
        <v>676</v>
      </c>
      <c r="B680" s="47" t="s">
        <v>813</v>
      </c>
      <c r="C680" s="72">
        <f>IFERROR(__xludf.DUMMYFUNCTION("iferror(divide(googlefinance($B680,""marketcap""),1000000),"""")"),285.277147)</f>
        <v>285.277147</v>
      </c>
      <c r="D680" s="72">
        <f>IFERROR(__xludf.DUMMYFUNCTION("iferror(divide(googlefinance($B680,""shares""),1000),"""")"),21835.0)</f>
        <v>21835</v>
      </c>
      <c r="E680" s="72">
        <f>IFERROR(__xludf.DUMMYFUNCTION("iferror(divide(googlefinance($B680,""volumeavg""),1000),"""")"),58.907)</f>
        <v>58.907</v>
      </c>
      <c r="F680" s="73">
        <f>IFERROR(__xludf.DUMMYFUNCTION("iferror(MINUS(divide(GOOGLEFINANCE($B680), INDEX(GOOGLEFINANCE($B680,""price"",today()-182),2,2)),1),"""")"),0.34951456310679596)</f>
        <v>0.3495145631</v>
      </c>
      <c r="G680" s="61">
        <f>IFERROR(__xludf.DUMMYFUNCTION("iferror(MINUS(divide(GOOGLEFINANCE($B680), INDEX(GOOGLEFINANCE($B680,""price"",today()-364),2,2)),1),"""")"),0.404040404040404)</f>
        <v>0.404040404</v>
      </c>
    </row>
    <row r="681">
      <c r="A681" s="71">
        <f t="shared" si="4"/>
        <v>677</v>
      </c>
      <c r="B681" s="47" t="s">
        <v>814</v>
      </c>
      <c r="C681" s="72">
        <f>IFERROR(__xludf.DUMMYFUNCTION("iferror(divide(googlefinance($B681,""marketcap""),1000000),"""")"),170.390291)</f>
        <v>170.390291</v>
      </c>
      <c r="D681" s="72">
        <f>IFERROR(__xludf.DUMMYFUNCTION("iferror(divide(googlefinance($B681,""shares""),1000),"""")"),5518.0)</f>
        <v>5518</v>
      </c>
      <c r="E681" s="72">
        <f>IFERROR(__xludf.DUMMYFUNCTION("iferror(divide(googlefinance($B681,""volumeavg""),1000),"""")"),191.932)</f>
        <v>191.932</v>
      </c>
      <c r="F681" s="73">
        <f>IFERROR(__xludf.DUMMYFUNCTION("iferror(MINUS(divide(GOOGLEFINANCE($B681), INDEX(GOOGLEFINANCE($B681,""price"",today()-182),2,2)),1),"""")"),2.951406649616368)</f>
        <v>2.95140665</v>
      </c>
      <c r="G681" s="61">
        <f>IFERROR(__xludf.DUMMYFUNCTION("iferror(MINUS(divide(GOOGLEFINANCE($B681), INDEX(GOOGLEFINANCE($B681,""price"",today()-364),2,2)),1),"""")"),0.9121287128712869)</f>
        <v>0.9121287129</v>
      </c>
    </row>
    <row r="682">
      <c r="A682" s="71">
        <f t="shared" si="4"/>
        <v>678</v>
      </c>
      <c r="B682" s="47" t="s">
        <v>815</v>
      </c>
      <c r="C682" s="72">
        <f>IFERROR(__xludf.DUMMYFUNCTION("iferror(divide(googlefinance($B682,""marketcap""),1000000),"""")"),3881.632)</f>
        <v>3881.632</v>
      </c>
      <c r="D682" s="72">
        <f>IFERROR(__xludf.DUMMYFUNCTION("iferror(divide(googlefinance($B682,""shares""),1000),"""")"),76864.0)</f>
        <v>76864</v>
      </c>
      <c r="E682" s="72">
        <f>IFERROR(__xludf.DUMMYFUNCTION("iferror(divide(googlefinance($B682,""volumeavg""),1000),"""")"),856.762)</f>
        <v>856.762</v>
      </c>
      <c r="F682" s="73">
        <f>IFERROR(__xludf.DUMMYFUNCTION("iferror(MINUS(divide(GOOGLEFINANCE($B682), INDEX(GOOGLEFINANCE($B682,""price"",today()-182),2,2)),1),"""")"),0.13969758519521558)</f>
        <v>0.1396975852</v>
      </c>
      <c r="G682" s="61">
        <f>IFERROR(__xludf.DUMMYFUNCTION("iferror(MINUS(divide(GOOGLEFINANCE($B682), INDEX(GOOGLEFINANCE($B682,""price"",today()-364),2,2)),1),"""")"),-0.1706355723435704)</f>
        <v>-0.1706355723</v>
      </c>
    </row>
    <row r="683">
      <c r="A683" s="71">
        <f t="shared" si="4"/>
        <v>679</v>
      </c>
      <c r="B683" s="47" t="s">
        <v>816</v>
      </c>
      <c r="C683" s="72">
        <f>IFERROR(__xludf.DUMMYFUNCTION("iferror(divide(googlefinance($B683,""marketcap""),1000000),"""")"),3937.229192)</f>
        <v>3937.229192</v>
      </c>
      <c r="D683" s="72">
        <f>IFERROR(__xludf.DUMMYFUNCTION("iferror(divide(googlefinance($B683,""shares""),1000),"""")"),136048.0)</f>
        <v>136048</v>
      </c>
      <c r="E683" s="72">
        <f>IFERROR(__xludf.DUMMYFUNCTION("iferror(divide(googlefinance($B683,""volumeavg""),1000),"""")"),758.167)</f>
        <v>758.167</v>
      </c>
      <c r="F683" s="73">
        <f>IFERROR(__xludf.DUMMYFUNCTION("iferror(MINUS(divide(GOOGLEFINANCE($B683), INDEX(GOOGLEFINANCE($B683,""price"",today()-182),2,2)),1),"""")"),0.13981882630957077)</f>
        <v>0.1398188263</v>
      </c>
      <c r="G683" s="61">
        <f>IFERROR(__xludf.DUMMYFUNCTION("iferror(MINUS(divide(GOOGLEFINANCE($B683), INDEX(GOOGLEFINANCE($B683,""price"",today()-364),2,2)),1),"""")"),-0.12726176115802157)</f>
        <v>-0.1272617612</v>
      </c>
    </row>
    <row r="684">
      <c r="A684" s="71">
        <f t="shared" si="4"/>
        <v>680</v>
      </c>
      <c r="B684" s="47" t="s">
        <v>817</v>
      </c>
      <c r="C684" s="72">
        <f>IFERROR(__xludf.DUMMYFUNCTION("iferror(divide(googlefinance($B684,""marketcap""),1000000),"""")"),26715.991174)</f>
        <v>26715.99117</v>
      </c>
      <c r="D684" s="72">
        <f>IFERROR(__xludf.DUMMYFUNCTION("iferror(divide(googlefinance($B684,""shares""),1000),"""")"),539608.0)</f>
        <v>539608</v>
      </c>
      <c r="E684" s="72">
        <f>IFERROR(__xludf.DUMMYFUNCTION("iferror(divide(googlefinance($B684,""volumeavg""),1000),"""")"),1477.947)</f>
        <v>1477.947</v>
      </c>
      <c r="F684" s="73">
        <f>IFERROR(__xludf.DUMMYFUNCTION("iferror(MINUS(divide(GOOGLEFINANCE($B684), INDEX(GOOGLEFINANCE($B684,""price"",today()-182),2,2)),1),"""")"),0.09729609929078009)</f>
        <v>0.09729609929</v>
      </c>
      <c r="G684" s="61">
        <f>IFERROR(__xludf.DUMMYFUNCTION("iferror(MINUS(divide(GOOGLEFINANCE($B684), INDEX(GOOGLEFINANCE($B684,""price"",today()-364),2,2)),1),"""")"),0.15300419189566838)</f>
        <v>0.1530041919</v>
      </c>
    </row>
    <row r="685">
      <c r="A685" s="71">
        <f t="shared" si="4"/>
        <v>681</v>
      </c>
      <c r="B685" s="47" t="s">
        <v>818</v>
      </c>
      <c r="C685" s="72">
        <f>IFERROR(__xludf.DUMMYFUNCTION("iferror(divide(googlefinance($B685,""marketcap""),1000000),"""")"),40091.201327)</f>
        <v>40091.20133</v>
      </c>
      <c r="D685" s="72" t="str">
        <f>IFERROR(__xludf.DUMMYFUNCTION("iferror(divide(googlefinance($B685,""shares""),1000),"""")"),"")</f>
        <v/>
      </c>
      <c r="E685" s="72" t="str">
        <f>IFERROR(__xludf.DUMMYFUNCTION("iferror(divide(googlefinance($B685,""volumeavg""),1000),"""")"),"")</f>
        <v/>
      </c>
      <c r="F685" s="73" t="str">
        <f>IFERROR(__xludf.DUMMYFUNCTION("iferror(MINUS(divide(GOOGLEFINANCE($B685), INDEX(GOOGLEFINANCE($B685,""price"",today()-182),2,2)),1),"""")"),"")</f>
        <v/>
      </c>
      <c r="G685" s="61" t="str">
        <f>IFERROR(__xludf.DUMMYFUNCTION("iferror(MINUS(divide(GOOGLEFINANCE($B685), INDEX(GOOGLEFINANCE($B685,""price"",today()-364),2,2)),1),"""")"),"")</f>
        <v/>
      </c>
    </row>
    <row r="686">
      <c r="A686" s="71">
        <f t="shared" si="4"/>
        <v>682</v>
      </c>
      <c r="B686" s="47" t="s">
        <v>819</v>
      </c>
      <c r="C686" s="72">
        <f>IFERROR(__xludf.DUMMYFUNCTION("iferror(divide(googlefinance($B686,""marketcap""),1000000),"""")"),1474.580665)</f>
        <v>1474.580665</v>
      </c>
      <c r="D686" s="72">
        <f>IFERROR(__xludf.DUMMYFUNCTION("iferror(divide(googlefinance($B686,""shares""),1000),"""")"),90855.0)</f>
        <v>90855</v>
      </c>
      <c r="E686" s="72">
        <f>IFERROR(__xludf.DUMMYFUNCTION("iferror(divide(googlefinance($B686,""volumeavg""),1000),"""")"),762.843)</f>
        <v>762.843</v>
      </c>
      <c r="F686" s="73">
        <f>IFERROR(__xludf.DUMMYFUNCTION("iferror(MINUS(divide(GOOGLEFINANCE($B686), INDEX(GOOGLEFINANCE($B686,""price"",today()-182),2,2)),1),"""")"),0.38245315161839866)</f>
        <v>0.3824531516</v>
      </c>
      <c r="G686" s="61">
        <f>IFERROR(__xludf.DUMMYFUNCTION("iferror(MINUS(divide(GOOGLEFINANCE($B686), INDEX(GOOGLEFINANCE($B686,""price"",today()-364),2,2)),1),"""")"),-0.16383307573415762)</f>
        <v>-0.1638330757</v>
      </c>
    </row>
    <row r="687">
      <c r="A687" s="71">
        <f t="shared" si="4"/>
        <v>683</v>
      </c>
      <c r="B687" s="47" t="s">
        <v>820</v>
      </c>
      <c r="C687" s="72">
        <f>IFERROR(__xludf.DUMMYFUNCTION("iferror(divide(googlefinance($B687,""marketcap""),1000000),"""")"),8972.968582)</f>
        <v>8972.968582</v>
      </c>
      <c r="D687" s="72">
        <f>IFERROR(__xludf.DUMMYFUNCTION("iferror(divide(googlefinance($B687,""shares""),1000),"""")"),142768.0)</f>
        <v>142768</v>
      </c>
      <c r="E687" s="72">
        <f>IFERROR(__xludf.DUMMYFUNCTION("iferror(divide(googlefinance($B687,""volumeavg""),1000),"""")"),1125.436)</f>
        <v>1125.436</v>
      </c>
      <c r="F687" s="73">
        <f>IFERROR(__xludf.DUMMYFUNCTION("iferror(MINUS(divide(GOOGLEFINANCE($B687), INDEX(GOOGLEFINANCE($B687,""price"",today()-182),2,2)),1),"""")"),0.3963563652521662)</f>
        <v>0.3963563653</v>
      </c>
      <c r="G687" s="61">
        <f>IFERROR(__xludf.DUMMYFUNCTION("iferror(MINUS(divide(GOOGLEFINANCE($B687), INDEX(GOOGLEFINANCE($B687,""price"",today()-364),2,2)),1),"""")"),0.0)</f>
        <v>0</v>
      </c>
    </row>
    <row r="688">
      <c r="A688" s="71">
        <f t="shared" si="4"/>
        <v>684</v>
      </c>
      <c r="B688" s="47" t="s">
        <v>821</v>
      </c>
      <c r="C688" s="72">
        <f>IFERROR(__xludf.DUMMYFUNCTION("iferror(divide(googlefinance($B688,""marketcap""),1000000),"""")"),913.329231)</f>
        <v>913.329231</v>
      </c>
      <c r="D688" s="72">
        <f>IFERROR(__xludf.DUMMYFUNCTION("iferror(divide(googlefinance($B688,""shares""),1000),"""")"),9444.0)</f>
        <v>9444</v>
      </c>
      <c r="E688" s="72">
        <f>IFERROR(__xludf.DUMMYFUNCTION("iferror(divide(googlefinance($B688,""volumeavg""),1000),"""")"),52.256)</f>
        <v>52.256</v>
      </c>
      <c r="F688" s="73">
        <f>IFERROR(__xludf.DUMMYFUNCTION("iferror(MINUS(divide(GOOGLEFINANCE($B688), INDEX(GOOGLEFINANCE($B688,""price"",today()-182),2,2)),1),"""")"),0.6177651388424221)</f>
        <v>0.6177651388</v>
      </c>
      <c r="G688" s="61">
        <f>IFERROR(__xludf.DUMMYFUNCTION("iferror(MINUS(divide(GOOGLEFINANCE($B688), INDEX(GOOGLEFINANCE($B688,""price"",today()-364),2,2)),1),"""")"),0.328981723237598)</f>
        <v>0.3289817232</v>
      </c>
    </row>
    <row r="689">
      <c r="A689" s="71">
        <f t="shared" si="4"/>
        <v>685</v>
      </c>
      <c r="B689" s="47" t="s">
        <v>822</v>
      </c>
      <c r="C689" s="72">
        <f>IFERROR(__xludf.DUMMYFUNCTION("iferror(divide(googlefinance($B689,""marketcap""),1000000),"""")"),5625.337953)</f>
        <v>5625.337953</v>
      </c>
      <c r="D689" s="72">
        <f>IFERROR(__xludf.DUMMYFUNCTION("iferror(divide(googlefinance($B689,""shares""),1000),"""")"),218545.0)</f>
        <v>218545</v>
      </c>
      <c r="E689" s="72">
        <f>IFERROR(__xludf.DUMMYFUNCTION("iferror(divide(googlefinance($B689,""volumeavg""),1000),"""")"),1479.125)</f>
        <v>1479.125</v>
      </c>
      <c r="F689" s="73">
        <f>IFERROR(__xludf.DUMMYFUNCTION("iferror(MINUS(divide(GOOGLEFINANCE($B689), INDEX(GOOGLEFINANCE($B689,""price"",today()-182),2,2)),1),"""")"),0.17213114754098346)</f>
        <v>0.1721311475</v>
      </c>
      <c r="G689" s="61">
        <f>IFERROR(__xludf.DUMMYFUNCTION("iferror(MINUS(divide(GOOGLEFINANCE($B689), INDEX(GOOGLEFINANCE($B689,""price"",today()-364),2,2)),1),"""")"),-0.09937018894331695)</f>
        <v>-0.09937018894</v>
      </c>
    </row>
    <row r="690">
      <c r="A690" s="71">
        <f t="shared" si="4"/>
        <v>686</v>
      </c>
      <c r="B690" s="47" t="s">
        <v>823</v>
      </c>
      <c r="C690" s="72">
        <f>IFERROR(__xludf.DUMMYFUNCTION("iferror(divide(googlefinance($B690,""marketcap""),1000000),"""")"),206.499092)</f>
        <v>206.499092</v>
      </c>
      <c r="D690" s="72">
        <f>IFERROR(__xludf.DUMMYFUNCTION("iferror(divide(googlefinance($B690,""shares""),1000),"""")"),171392.0)</f>
        <v>171392</v>
      </c>
      <c r="E690" s="72">
        <f>IFERROR(__xludf.DUMMYFUNCTION("iferror(divide(googlefinance($B690,""volumeavg""),1000),"""")"),17454.397)</f>
        <v>17454.397</v>
      </c>
      <c r="F690" s="73">
        <f>IFERROR(__xludf.DUMMYFUNCTION("iferror(MINUS(divide(GOOGLEFINANCE($B690), INDEX(GOOGLEFINANCE($B690,""price"",today()-182),2,2)),1),"""")"),1.278688524590164)</f>
        <v>1.278688525</v>
      </c>
      <c r="G690" s="61">
        <f>IFERROR(__xludf.DUMMYFUNCTION("iferror(MINUS(divide(GOOGLEFINANCE($B690), INDEX(GOOGLEFINANCE($B690,""price"",today()-364),2,2)),1),"""")"),1.4385964912280702)</f>
        <v>1.438596491</v>
      </c>
    </row>
    <row r="691">
      <c r="A691" s="71">
        <f t="shared" si="4"/>
        <v>687</v>
      </c>
      <c r="B691" s="47" t="s">
        <v>824</v>
      </c>
      <c r="C691" s="72">
        <f>IFERROR(__xludf.DUMMYFUNCTION("iferror(divide(googlefinance($B691,""marketcap""),1000000),"""")"),12433.554587)</f>
        <v>12433.55459</v>
      </c>
      <c r="D691" s="72">
        <f>IFERROR(__xludf.DUMMYFUNCTION("iferror(divide(googlefinance($B691,""shares""),1000),"""")"),297027.0)</f>
        <v>297027</v>
      </c>
      <c r="E691" s="72">
        <f>IFERROR(__xludf.DUMMYFUNCTION("iferror(divide(googlefinance($B691,""volumeavg""),1000),"""")"),2139.189)</f>
        <v>2139.189</v>
      </c>
      <c r="F691" s="73">
        <f>IFERROR(__xludf.DUMMYFUNCTION("iferror(MINUS(divide(GOOGLEFINANCE($B691), INDEX(GOOGLEFINANCE($B691,""price"",today()-182),2,2)),1),"""")"),0.4534722222222223)</f>
        <v>0.4534722222</v>
      </c>
      <c r="G691" s="61">
        <f>IFERROR(__xludf.DUMMYFUNCTION("iferror(MINUS(divide(GOOGLEFINANCE($B691), INDEX(GOOGLEFINANCE($B691,""price"",today()-364),2,2)),1),"""")"),0.20773225620311608)</f>
        <v>0.2077322562</v>
      </c>
    </row>
    <row r="692">
      <c r="A692" s="71">
        <f t="shared" si="4"/>
        <v>688</v>
      </c>
      <c r="B692" s="47" t="s">
        <v>825</v>
      </c>
      <c r="C692" s="72">
        <f>IFERROR(__xludf.DUMMYFUNCTION("iferror(divide(googlefinance($B692,""marketcap""),1000000),"""")"),1609.518435)</f>
        <v>1609.518435</v>
      </c>
      <c r="D692" s="72">
        <f>IFERROR(__xludf.DUMMYFUNCTION("iferror(divide(googlefinance($B692,""shares""),1000),"""")"),81371.0)</f>
        <v>81371</v>
      </c>
      <c r="E692" s="72">
        <f>IFERROR(__xludf.DUMMYFUNCTION("iferror(divide(googlefinance($B692,""volumeavg""),1000),"""")"),319.359)</f>
        <v>319.359</v>
      </c>
      <c r="F692" s="73">
        <f>IFERROR(__xludf.DUMMYFUNCTION("iferror(MINUS(divide(GOOGLEFINANCE($B692), INDEX(GOOGLEFINANCE($B692,""price"",today()-182),2,2)),1),"""")"),0.18230723251643766)</f>
        <v>0.1823072325</v>
      </c>
      <c r="G692" s="61">
        <f>IFERROR(__xludf.DUMMYFUNCTION("iferror(MINUS(divide(GOOGLEFINANCE($B692), INDEX(GOOGLEFINANCE($B692,""price"",today()-364),2,2)),1),"""")"),-0.07914338919925512)</f>
        <v>-0.0791433892</v>
      </c>
    </row>
    <row r="693">
      <c r="A693" s="71">
        <f t="shared" si="4"/>
        <v>689</v>
      </c>
      <c r="B693" s="47" t="s">
        <v>826</v>
      </c>
      <c r="C693" s="72">
        <f>IFERROR(__xludf.DUMMYFUNCTION("iferror(divide(googlefinance($B693,""marketcap""),1000000),"""")"),212.440162)</f>
        <v>212.440162</v>
      </c>
      <c r="D693" s="72">
        <f>IFERROR(__xludf.DUMMYFUNCTION("iferror(divide(googlefinance($B693,""shares""),1000),"""")"),156206.0)</f>
        <v>156206</v>
      </c>
      <c r="E693" s="72">
        <f>IFERROR(__xludf.DUMMYFUNCTION("iferror(divide(googlefinance($B693,""volumeavg""),1000),"""")"),9045.97)</f>
        <v>9045.97</v>
      </c>
      <c r="F693" s="73">
        <f>IFERROR(__xludf.DUMMYFUNCTION("iferror(MINUS(divide(GOOGLEFINANCE($B693), INDEX(GOOGLEFINANCE($B693,""price"",today()-182),2,2)),1),"""")"),-0.735408560311284)</f>
        <v>-0.7354085603</v>
      </c>
      <c r="G693" s="61">
        <f>IFERROR(__xludf.DUMMYFUNCTION("iferror(MINUS(divide(GOOGLEFINANCE($B693), INDEX(GOOGLEFINANCE($B693,""price"",today()-364),2,2)),1),"""")"),-0.8979744936234059)</f>
        <v>-0.8979744936</v>
      </c>
    </row>
    <row r="694">
      <c r="A694" s="71">
        <f t="shared" si="4"/>
        <v>690</v>
      </c>
      <c r="B694" s="47" t="s">
        <v>827</v>
      </c>
      <c r="C694" s="72">
        <f>IFERROR(__xludf.DUMMYFUNCTION("iferror(divide(googlefinance($B694,""marketcap""),1000000),"""")"),1773.527533)</f>
        <v>1773.527533</v>
      </c>
      <c r="D694" s="72">
        <f>IFERROR(__xludf.DUMMYFUNCTION("iferror(divide(googlefinance($B694,""shares""),1000),"""")"),33516.0)</f>
        <v>33516</v>
      </c>
      <c r="E694" s="72">
        <f>IFERROR(__xludf.DUMMYFUNCTION("iferror(divide(googlefinance($B694,""volumeavg""),1000),"""")"),205.919)</f>
        <v>205.919</v>
      </c>
      <c r="F694" s="73">
        <f>IFERROR(__xludf.DUMMYFUNCTION("iferror(MINUS(divide(GOOGLEFINANCE($B694), INDEX(GOOGLEFINANCE($B694,""price"",today()-182),2,2)),1),"""")"),0.21351730589335838)</f>
        <v>0.2135173059</v>
      </c>
      <c r="G694" s="61">
        <f>IFERROR(__xludf.DUMMYFUNCTION("iferror(MINUS(divide(GOOGLEFINANCE($B694), INDEX(GOOGLEFINANCE($B694,""price"",today()-364),2,2)),1),"""")"),0.127798304716366)</f>
        <v>0.1277983047</v>
      </c>
    </row>
    <row r="695">
      <c r="A695" s="71">
        <f t="shared" si="4"/>
        <v>691</v>
      </c>
      <c r="B695" s="47" t="s">
        <v>828</v>
      </c>
      <c r="C695" s="72">
        <f>IFERROR(__xludf.DUMMYFUNCTION("iferror(divide(googlefinance($B695,""marketcap""),1000000),"""")"),5299.4126)</f>
        <v>5299.4126</v>
      </c>
      <c r="D695" s="72">
        <f>IFERROR(__xludf.DUMMYFUNCTION("iferror(divide(googlefinance($B695,""shares""),1000),"""")"),220625.0)</f>
        <v>220625</v>
      </c>
      <c r="E695" s="72">
        <f>IFERROR(__xludf.DUMMYFUNCTION("iferror(divide(googlefinance($B695,""volumeavg""),1000),"""")"),1627.13)</f>
        <v>1627.13</v>
      </c>
      <c r="F695" s="73">
        <f>IFERROR(__xludf.DUMMYFUNCTION("iferror(MINUS(divide(GOOGLEFINANCE($B695), INDEX(GOOGLEFINANCE($B695,""price"",today()-182),2,2)),1),"""")"),0.8476923076923077)</f>
        <v>0.8476923077</v>
      </c>
      <c r="G695" s="61">
        <f>IFERROR(__xludf.DUMMYFUNCTION("iferror(MINUS(divide(GOOGLEFINANCE($B695), INDEX(GOOGLEFINANCE($B695,""price"",today()-364),2,2)),1),"""")"),0.06803023566029354)</f>
        <v>0.06803023566</v>
      </c>
    </row>
    <row r="696">
      <c r="A696" s="71">
        <f t="shared" si="4"/>
        <v>692</v>
      </c>
      <c r="B696" s="47" t="s">
        <v>829</v>
      </c>
      <c r="C696" s="72">
        <f>IFERROR(__xludf.DUMMYFUNCTION("iferror(divide(googlefinance($B696,""marketcap""),1000000),"""")"),415.018559)</f>
        <v>415.018559</v>
      </c>
      <c r="D696" s="72">
        <f>IFERROR(__xludf.DUMMYFUNCTION("iferror(divide(googlefinance($B696,""shares""),1000),"""")"),17287.0)</f>
        <v>17287</v>
      </c>
      <c r="E696" s="72">
        <f>IFERROR(__xludf.DUMMYFUNCTION("iferror(divide(googlefinance($B696,""volumeavg""),1000),"""")"),296.3)</f>
        <v>296.3</v>
      </c>
      <c r="F696" s="73">
        <f>IFERROR(__xludf.DUMMYFUNCTION("iferror(MINUS(divide(GOOGLEFINANCE($B696), INDEX(GOOGLEFINANCE($B696,""price"",today()-182),2,2)),1),"""")"),0.8234323432343236)</f>
        <v>0.8234323432</v>
      </c>
      <c r="G696" s="61">
        <f>IFERROR(__xludf.DUMMYFUNCTION("iferror(MINUS(divide(GOOGLEFINANCE($B696), INDEX(GOOGLEFINANCE($B696,""price"",today()-364),2,2)),1),"""")"),0.11559818273599198)</f>
        <v>0.1155981827</v>
      </c>
    </row>
    <row r="697">
      <c r="A697" s="71">
        <f t="shared" si="4"/>
        <v>693</v>
      </c>
      <c r="B697" s="47" t="s">
        <v>830</v>
      </c>
      <c r="C697" s="72">
        <f>IFERROR(__xludf.DUMMYFUNCTION("iferror(divide(googlefinance($B697,""marketcap""),1000000),"""")"),527.49089)</f>
        <v>527.49089</v>
      </c>
      <c r="D697" s="72">
        <f>IFERROR(__xludf.DUMMYFUNCTION("iferror(divide(googlefinance($B697,""shares""),1000),"""")"),10665.0)</f>
        <v>10665</v>
      </c>
      <c r="E697" s="72">
        <f>IFERROR(__xludf.DUMMYFUNCTION("iferror(divide(googlefinance($B697,""volumeavg""),1000),"""")"),58.199)</f>
        <v>58.199</v>
      </c>
      <c r="F697" s="73">
        <f>IFERROR(__xludf.DUMMYFUNCTION("iferror(MINUS(divide(GOOGLEFINANCE($B697), INDEX(GOOGLEFINANCE($B697,""price"",today()-182),2,2)),1),"""")"),0.4702734839476814)</f>
        <v>0.4702734839</v>
      </c>
      <c r="G697" s="61">
        <f>IFERROR(__xludf.DUMMYFUNCTION("iferror(MINUS(divide(GOOGLEFINANCE($B697), INDEX(GOOGLEFINANCE($B697,""price"",today()-364),2,2)),1),"""")"),0.14226327944572748)</f>
        <v>0.1422632794</v>
      </c>
    </row>
    <row r="698">
      <c r="A698" s="71">
        <f t="shared" si="4"/>
        <v>694</v>
      </c>
      <c r="B698" s="47" t="s">
        <v>831</v>
      </c>
      <c r="C698" s="72">
        <f>IFERROR(__xludf.DUMMYFUNCTION("iferror(divide(googlefinance($B698,""marketcap""),1000000),"""")"),3295.137607)</f>
        <v>3295.137607</v>
      </c>
      <c r="D698" s="72">
        <f>IFERROR(__xludf.DUMMYFUNCTION("iferror(divide(googlefinance($B698,""shares""),1000),"""")"),83506.0)</f>
        <v>83506</v>
      </c>
      <c r="E698" s="72">
        <f>IFERROR(__xludf.DUMMYFUNCTION("iferror(divide(googlefinance($B698,""volumeavg""),1000),"""")"),575.484)</f>
        <v>575.484</v>
      </c>
      <c r="F698" s="73">
        <f>IFERROR(__xludf.DUMMYFUNCTION("iferror(MINUS(divide(GOOGLEFINANCE($B698), INDEX(GOOGLEFINANCE($B698,""price"",today()-182),2,2)),1),"""")"),0.23273976882224323)</f>
        <v>0.2327397688</v>
      </c>
      <c r="G698" s="61">
        <f>IFERROR(__xludf.DUMMYFUNCTION("iferror(MINUS(divide(GOOGLEFINANCE($B698), INDEX(GOOGLEFINANCE($B698,""price"",today()-364),2,2)),1),"""")"),-0.524578313253012)</f>
        <v>-0.5245783133</v>
      </c>
    </row>
    <row r="699">
      <c r="A699" s="71">
        <f t="shared" si="4"/>
        <v>695</v>
      </c>
      <c r="B699" s="47" t="s">
        <v>832</v>
      </c>
      <c r="C699" s="72">
        <f>IFERROR(__xludf.DUMMYFUNCTION("iferror(divide(googlefinance($B699,""marketcap""),1000000),"""")"),679.771777)</f>
        <v>679.771777</v>
      </c>
      <c r="D699" s="72">
        <f>IFERROR(__xludf.DUMMYFUNCTION("iferror(divide(googlefinance($B699,""shares""),1000),"""")"),12939.0)</f>
        <v>12939</v>
      </c>
      <c r="E699" s="72">
        <f>IFERROR(__xludf.DUMMYFUNCTION("iferror(divide(googlefinance($B699,""volumeavg""),1000),"""")"),58.573)</f>
        <v>58.573</v>
      </c>
      <c r="F699" s="73">
        <f>IFERROR(__xludf.DUMMYFUNCTION("iferror(MINUS(divide(GOOGLEFINANCE($B699), INDEX(GOOGLEFINANCE($B699,""price"",today()-182),2,2)),1),"""")"),0.1778230500582072)</f>
        <v>0.1778230501</v>
      </c>
      <c r="G699" s="61">
        <f>IFERROR(__xludf.DUMMYFUNCTION("iferror(MINUS(divide(GOOGLEFINANCE($B699), INDEX(GOOGLEFINANCE($B699,""price"",today()-364),2,2)),1),"""")"),-0.26284153005464483)</f>
        <v>-0.2628415301</v>
      </c>
    </row>
    <row r="700">
      <c r="A700" s="71">
        <f t="shared" si="4"/>
        <v>696</v>
      </c>
      <c r="B700" s="47" t="s">
        <v>833</v>
      </c>
      <c r="C700" s="72">
        <f>IFERROR(__xludf.DUMMYFUNCTION("iferror(divide(googlefinance($B700,""marketcap""),1000000),"""")"),16481.289526)</f>
        <v>16481.28953</v>
      </c>
      <c r="D700" s="72">
        <f>IFERROR(__xludf.DUMMYFUNCTION("iferror(divide(googlefinance($B700,""shares""),1000),"""")"),211407.0)</f>
        <v>211407</v>
      </c>
      <c r="E700" s="72">
        <f>IFERROR(__xludf.DUMMYFUNCTION("iferror(divide(googlefinance($B700,""volumeavg""),1000),"""")"),2534.786)</f>
        <v>2534.786</v>
      </c>
      <c r="F700" s="73">
        <f>IFERROR(__xludf.DUMMYFUNCTION("iferror(MINUS(divide(GOOGLEFINANCE($B700), INDEX(GOOGLEFINANCE($B700,""price"",today()-182),2,2)),1),"""")"),2.1171531387445017)</f>
        <v>2.117153139</v>
      </c>
      <c r="G700" s="61">
        <f>IFERROR(__xludf.DUMMYFUNCTION("iferror(MINUS(divide(GOOGLEFINANCE($B700), INDEX(GOOGLEFINANCE($B700,""price"",today()-364),2,2)),1),"""")"),1.8588192152548588)</f>
        <v>1.858819215</v>
      </c>
    </row>
    <row r="701">
      <c r="A701" s="71">
        <f t="shared" si="4"/>
        <v>697</v>
      </c>
      <c r="B701" s="47" t="s">
        <v>834</v>
      </c>
      <c r="C701" s="72">
        <f>IFERROR(__xludf.DUMMYFUNCTION("iferror(divide(googlefinance($B701,""marketcap""),1000000),"""")"),525.344139)</f>
        <v>525.344139</v>
      </c>
      <c r="D701" s="72">
        <f>IFERROR(__xludf.DUMMYFUNCTION("iferror(divide(googlefinance($B701,""shares""),1000),"""")"),21628.0)</f>
        <v>21628</v>
      </c>
      <c r="E701" s="72">
        <f>IFERROR(__xludf.DUMMYFUNCTION("iferror(divide(googlefinance($B701,""volumeavg""),1000),"""")"),390.651)</f>
        <v>390.651</v>
      </c>
      <c r="F701" s="73">
        <f>IFERROR(__xludf.DUMMYFUNCTION("iferror(MINUS(divide(GOOGLEFINANCE($B701), INDEX(GOOGLEFINANCE($B701,""price"",today()-182),2,2)),1),"""")"),1.8113425925925921)</f>
        <v>1.811342593</v>
      </c>
      <c r="G701" s="61">
        <f>IFERROR(__xludf.DUMMYFUNCTION("iferror(MINUS(divide(GOOGLEFINANCE($B701), INDEX(GOOGLEFINANCE($B701,""price"",today()-364),2,2)),1),"""")"),0.615026595744681)</f>
        <v>0.6150265957</v>
      </c>
    </row>
    <row r="702">
      <c r="A702" s="71">
        <f t="shared" si="4"/>
        <v>698</v>
      </c>
      <c r="B702" s="47" t="s">
        <v>835</v>
      </c>
      <c r="C702" s="72">
        <f>IFERROR(__xludf.DUMMYFUNCTION("iferror(divide(googlefinance($B702,""marketcap""),1000000),"""")"),1999.4359)</f>
        <v>1999.4359</v>
      </c>
      <c r="D702" s="72">
        <f>IFERROR(__xludf.DUMMYFUNCTION("iferror(divide(googlefinance($B702,""shares""),1000),"""")"),473800.0)</f>
        <v>473800</v>
      </c>
      <c r="E702" s="72">
        <f>IFERROR(__xludf.DUMMYFUNCTION("iferror(divide(googlefinance($B702,""volumeavg""),1000),"""")"),5276.345)</f>
        <v>5276.345</v>
      </c>
      <c r="F702" s="73">
        <f>IFERROR(__xludf.DUMMYFUNCTION("iferror(MINUS(divide(GOOGLEFINANCE($B702), INDEX(GOOGLEFINANCE($B702,""price"",today()-182),2,2)),1),"""")"),1.1099999999999999)</f>
        <v>1.11</v>
      </c>
      <c r="G702" s="61">
        <f>IFERROR(__xludf.DUMMYFUNCTION("iferror(MINUS(divide(GOOGLEFINANCE($B702), INDEX(GOOGLEFINANCE($B702,""price"",today()-364),2,2)),1),"""")"),0.12234042553191493)</f>
        <v>0.1223404255</v>
      </c>
    </row>
    <row r="703">
      <c r="A703" s="71">
        <f t="shared" si="4"/>
        <v>699</v>
      </c>
      <c r="B703" s="47" t="s">
        <v>836</v>
      </c>
      <c r="C703" s="72">
        <f>IFERROR(__xludf.DUMMYFUNCTION("iferror(divide(googlefinance($B703,""marketcap""),1000000),"""")"),23850.0)</f>
        <v>23850</v>
      </c>
      <c r="D703" s="72">
        <f>IFERROR(__xludf.DUMMYFUNCTION("iferror(divide(googlefinance($B703,""shares""),1000),"""")"),600000.0)</f>
        <v>600000</v>
      </c>
      <c r="E703" s="72">
        <f>IFERROR(__xludf.DUMMYFUNCTION("iferror(divide(googlefinance($B703,""volumeavg""),1000),"""")"),7.648)</f>
        <v>7.648</v>
      </c>
      <c r="F703" s="73">
        <f>IFERROR(__xludf.DUMMYFUNCTION("iferror(MINUS(divide(GOOGLEFINANCE($B703), INDEX(GOOGLEFINANCE($B703,""price"",today()-182),2,2)),1),"""")"),0.34154573067836647)</f>
        <v>0.3415457307</v>
      </c>
      <c r="G703" s="61">
        <f>IFERROR(__xludf.DUMMYFUNCTION("iferror(MINUS(divide(GOOGLEFINANCE($B703), INDEX(GOOGLEFINANCE($B703,""price"",today()-364),2,2)),1),"""")"),-0.2315870867968296)</f>
        <v>-0.2315870868</v>
      </c>
    </row>
    <row r="704">
      <c r="A704" s="71">
        <f t="shared" si="4"/>
        <v>700</v>
      </c>
      <c r="B704" s="47" t="s">
        <v>837</v>
      </c>
      <c r="C704" s="72">
        <f>IFERROR(__xludf.DUMMYFUNCTION("iferror(divide(googlefinance($B704,""marketcap""),1000000),"""")"),2883.351303)</f>
        <v>2883.351303</v>
      </c>
      <c r="D704" s="72">
        <f>IFERROR(__xludf.DUMMYFUNCTION("iferror(divide(googlefinance($B704,""shares""),1000),"""")"),29799.0)</f>
        <v>29799</v>
      </c>
      <c r="E704" s="72">
        <f>IFERROR(__xludf.DUMMYFUNCTION("iferror(divide(googlefinance($B704,""volumeavg""),1000),"""")"),231.14)</f>
        <v>231.14</v>
      </c>
      <c r="F704" s="73">
        <f>IFERROR(__xludf.DUMMYFUNCTION("iferror(MINUS(divide(GOOGLEFINANCE($B704), INDEX(GOOGLEFINANCE($B704,""price"",today()-182),2,2)),1),"""")"),1.662630709961475)</f>
        <v>1.66263071</v>
      </c>
      <c r="G704" s="61">
        <f>IFERROR(__xludf.DUMMYFUNCTION("iferror(MINUS(divide(GOOGLEFINANCE($B704), INDEX(GOOGLEFINANCE($B704,""price"",today()-364),2,2)),1),"""")"),0.6306033029996629)</f>
        <v>0.630603303</v>
      </c>
    </row>
    <row r="705">
      <c r="A705" s="71">
        <f t="shared" si="4"/>
        <v>701</v>
      </c>
      <c r="B705" s="47" t="s">
        <v>838</v>
      </c>
      <c r="C705" s="72">
        <f>IFERROR(__xludf.DUMMYFUNCTION("iferror(divide(googlefinance($B705,""marketcap""),1000000),"""")"),498.932994)</f>
        <v>498.932994</v>
      </c>
      <c r="D705" s="72">
        <f>IFERROR(__xludf.DUMMYFUNCTION("iferror(divide(googlefinance($B705,""shares""),1000),"""")"),22950.0)</f>
        <v>22950</v>
      </c>
      <c r="E705" s="72">
        <f>IFERROR(__xludf.DUMMYFUNCTION("iferror(divide(googlefinance($B705,""volumeavg""),1000),"""")"),310.009)</f>
        <v>310.009</v>
      </c>
      <c r="F705" s="73">
        <f>IFERROR(__xludf.DUMMYFUNCTION("iferror(MINUS(divide(GOOGLEFINANCE($B705), INDEX(GOOGLEFINANCE($B705,""price"",today()-182),2,2)),1),"""")"),0.3733417561591914)</f>
        <v>0.3733417562</v>
      </c>
      <c r="G705" s="61">
        <f>IFERROR(__xludf.DUMMYFUNCTION("iferror(MINUS(divide(GOOGLEFINANCE($B705), INDEX(GOOGLEFINANCE($B705,""price"",today()-364),2,2)),1),"""")"),-0.1609417213431108)</f>
        <v>-0.1609417213</v>
      </c>
    </row>
    <row r="706">
      <c r="A706" s="71">
        <f t="shared" si="4"/>
        <v>702</v>
      </c>
      <c r="B706" s="47" t="s">
        <v>839</v>
      </c>
      <c r="C706" s="72">
        <f>IFERROR(__xludf.DUMMYFUNCTION("iferror(divide(googlefinance($B706,""marketcap""),1000000),"""")"),15572.95824)</f>
        <v>15572.95824</v>
      </c>
      <c r="D706" s="72">
        <f>IFERROR(__xludf.DUMMYFUNCTION("iferror(divide(googlefinance($B706,""shares""),1000),"""")"),1305041.0)</f>
        <v>1305041</v>
      </c>
      <c r="E706" s="72">
        <f>IFERROR(__xludf.DUMMYFUNCTION("iferror(divide(googlefinance($B706,""volumeavg""),1000),"""")"),173.106)</f>
        <v>173.106</v>
      </c>
      <c r="F706" s="73">
        <f>IFERROR(__xludf.DUMMYFUNCTION("iferror(MINUS(divide(GOOGLEFINANCE($B706), INDEX(GOOGLEFINANCE($B706,""price"",today()-182),2,2)),1),"""")"),0.12149532710280386)</f>
        <v>0.1214953271</v>
      </c>
      <c r="G706" s="61">
        <f>IFERROR(__xludf.DUMMYFUNCTION("iferror(MINUS(divide(GOOGLEFINANCE($B706), INDEX(GOOGLEFINANCE($B706,""price"",today()-364),2,2)),1),"""")"),-0.2668024439918534)</f>
        <v>-0.266802444</v>
      </c>
    </row>
    <row r="707">
      <c r="A707" s="71">
        <f t="shared" si="4"/>
        <v>703</v>
      </c>
      <c r="B707" s="47" t="s">
        <v>840</v>
      </c>
      <c r="C707" s="72">
        <f>IFERROR(__xludf.DUMMYFUNCTION("iferror(divide(googlefinance($B707,""marketcap""),1000000),"""")"),9504.270917)</f>
        <v>9504.270917</v>
      </c>
      <c r="D707" s="72">
        <f>IFERROR(__xludf.DUMMYFUNCTION("iferror(divide(googlefinance($B707,""shares""),1000),"""")"),52629.0)</f>
        <v>52629</v>
      </c>
      <c r="E707" s="72">
        <f>IFERROR(__xludf.DUMMYFUNCTION("iferror(divide(googlefinance($B707,""volumeavg""),1000),"""")"),163.742)</f>
        <v>163.742</v>
      </c>
      <c r="F707" s="73">
        <f>IFERROR(__xludf.DUMMYFUNCTION("iferror(MINUS(divide(GOOGLEFINANCE($B707), INDEX(GOOGLEFINANCE($B707,""price"",today()-182),2,2)),1),"""")"),0.4895249092708678)</f>
        <v>0.4895249093</v>
      </c>
      <c r="G707" s="61">
        <f>IFERROR(__xludf.DUMMYFUNCTION("iferror(MINUS(divide(GOOGLEFINANCE($B707), INDEX(GOOGLEFINANCE($B707,""price"",today()-364),2,2)),1),"""")"),0.16720527404343333)</f>
        <v>0.167205274</v>
      </c>
    </row>
    <row r="708">
      <c r="A708" s="71">
        <f t="shared" si="4"/>
        <v>704</v>
      </c>
      <c r="B708" s="47" t="s">
        <v>841</v>
      </c>
      <c r="C708" s="72">
        <f>IFERROR(__xludf.DUMMYFUNCTION("iferror(divide(googlefinance($B708,""marketcap""),1000000),"""")"),1438.62246)</f>
        <v>1438.62246</v>
      </c>
      <c r="D708" s="72">
        <f>IFERROR(__xludf.DUMMYFUNCTION("iferror(divide(googlefinance($B708,""shares""),1000),"""")"),32981.0)</f>
        <v>32981</v>
      </c>
      <c r="E708" s="72">
        <f>IFERROR(__xludf.DUMMYFUNCTION("iferror(divide(googlefinance($B708,""volumeavg""),1000),"""")"),735.387)</f>
        <v>735.387</v>
      </c>
      <c r="F708" s="73">
        <f>IFERROR(__xludf.DUMMYFUNCTION("iferror(MINUS(divide(GOOGLEFINANCE($B708), INDEX(GOOGLEFINANCE($B708,""price"",today()-182),2,2)),1),"""")"),-0.17339397384877786)</f>
        <v>-0.1733939738</v>
      </c>
      <c r="G708" s="61">
        <f>IFERROR(__xludf.DUMMYFUNCTION("iferror(MINUS(divide(GOOGLEFINANCE($B708), INDEX(GOOGLEFINANCE($B708,""price"",today()-364),2,2)),1),"""")"),-0.3757870635374928)</f>
        <v>-0.3757870635</v>
      </c>
    </row>
    <row r="709">
      <c r="A709" s="71">
        <f t="shared" si="4"/>
        <v>705</v>
      </c>
      <c r="B709" s="47" t="s">
        <v>842</v>
      </c>
      <c r="C709" s="72">
        <f>IFERROR(__xludf.DUMMYFUNCTION("iferror(divide(googlefinance($B709,""marketcap""),1000000),"""")"),30126.482038)</f>
        <v>30126.48204</v>
      </c>
      <c r="D709" s="72">
        <f>IFERROR(__xludf.DUMMYFUNCTION("iferror(divide(googlefinance($B709,""shares""),1000),"""")"),85055.0)</f>
        <v>85055</v>
      </c>
      <c r="E709" s="72">
        <f>IFERROR(__xludf.DUMMYFUNCTION("iferror(divide(googlefinance($B709,""volumeavg""),1000),"""")"),437.644)</f>
        <v>437.644</v>
      </c>
      <c r="F709" s="73">
        <f>IFERROR(__xludf.DUMMYFUNCTION("iferror(MINUS(divide(GOOGLEFINANCE($B709), INDEX(GOOGLEFINANCE($B709,""price"",today()-182),2,2)),1),"""")"),0.9324567625075018)</f>
        <v>0.9324567625</v>
      </c>
      <c r="G709" s="61">
        <f>IFERROR(__xludf.DUMMYFUNCTION("iferror(MINUS(divide(GOOGLEFINANCE($B709), INDEX(GOOGLEFINANCE($B709,""price"",today()-364),2,2)),1),"""")"),0.29189918663602854)</f>
        <v>0.2918991866</v>
      </c>
    </row>
    <row r="710">
      <c r="A710" s="71">
        <f t="shared" si="4"/>
        <v>706</v>
      </c>
      <c r="B710" s="47" t="s">
        <v>843</v>
      </c>
      <c r="C710" s="72">
        <f>IFERROR(__xludf.DUMMYFUNCTION("iferror(divide(googlefinance($B710,""marketcap""),1000000),"""")"),386.362692)</f>
        <v>386.362692</v>
      </c>
      <c r="D710" s="72">
        <f>IFERROR(__xludf.DUMMYFUNCTION("iferror(divide(googlefinance($B710,""shares""),1000),"""")"),29028.0)</f>
        <v>29028</v>
      </c>
      <c r="E710" s="72">
        <f>IFERROR(__xludf.DUMMYFUNCTION("iferror(divide(googlefinance($B710,""volumeavg""),1000),"""")"),151.514)</f>
        <v>151.514</v>
      </c>
      <c r="F710" s="73">
        <f>IFERROR(__xludf.DUMMYFUNCTION("iferror(MINUS(divide(GOOGLEFINANCE($B710), INDEX(GOOGLEFINANCE($B710,""price"",today()-182),2,2)),1),"""")"),2.587601078167116)</f>
        <v>2.587601078</v>
      </c>
      <c r="G710" s="61">
        <f>IFERROR(__xludf.DUMMYFUNCTION("iferror(MINUS(divide(GOOGLEFINANCE($B710), INDEX(GOOGLEFINANCE($B710,""price"",today()-364),2,2)),1),"""")"),0.4756097560975612)</f>
        <v>0.4756097561</v>
      </c>
    </row>
    <row r="711">
      <c r="A711" s="71">
        <f t="shared" si="4"/>
        <v>707</v>
      </c>
      <c r="B711" s="47" t="s">
        <v>844</v>
      </c>
      <c r="C711" s="72">
        <f>IFERROR(__xludf.DUMMYFUNCTION("iferror(divide(googlefinance($B711,""marketcap""),1000000),"""")"),732.505183)</f>
        <v>732.505183</v>
      </c>
      <c r="D711" s="72">
        <f>IFERROR(__xludf.DUMMYFUNCTION("iferror(divide(googlefinance($B711,""shares""),1000),"""")"),21049.0)</f>
        <v>21049</v>
      </c>
      <c r="E711" s="72">
        <f>IFERROR(__xludf.DUMMYFUNCTION("iferror(divide(googlefinance($B711,""volumeavg""),1000),"""")"),65.685)</f>
        <v>65.685</v>
      </c>
      <c r="F711" s="73">
        <f>IFERROR(__xludf.DUMMYFUNCTION("iferror(MINUS(divide(GOOGLEFINANCE($B711), INDEX(GOOGLEFINANCE($B711,""price"",today()-182),2,2)),1),"""")"),1.2179732313575524)</f>
        <v>1.217973231</v>
      </c>
      <c r="G711" s="61">
        <f>IFERROR(__xludf.DUMMYFUNCTION("iferror(MINUS(divide(GOOGLEFINANCE($B711), INDEX(GOOGLEFINANCE($B711,""price"",today()-364),2,2)),1),"""")"),0.7296222664015903)</f>
        <v>0.7296222664</v>
      </c>
    </row>
    <row r="712">
      <c r="A712" s="71">
        <f t="shared" si="4"/>
        <v>708</v>
      </c>
      <c r="B712" s="47" t="s">
        <v>845</v>
      </c>
      <c r="C712" s="72">
        <f>IFERROR(__xludf.DUMMYFUNCTION("iferror(divide(googlefinance($B712,""marketcap""),1000000),"""")"),13278.939972)</f>
        <v>13278.93997</v>
      </c>
      <c r="D712" s="72">
        <f>IFERROR(__xludf.DUMMYFUNCTION("iferror(divide(googlefinance($B712,""shares""),1000),"""")"),106933.0)</f>
        <v>106933</v>
      </c>
      <c r="E712" s="72">
        <f>IFERROR(__xludf.DUMMYFUNCTION("iferror(divide(googlefinance($B712,""volumeavg""),1000),"""")"),804.051)</f>
        <v>804.051</v>
      </c>
      <c r="F712" s="73">
        <f>IFERROR(__xludf.DUMMYFUNCTION("iferror(MINUS(divide(GOOGLEFINANCE($B712), INDEX(GOOGLEFINANCE($B712,""price"",today()-182),2,2)),1),"""")"),0.2125768967874233)</f>
        <v>0.2125768968</v>
      </c>
      <c r="G712" s="61">
        <f>IFERROR(__xludf.DUMMYFUNCTION("iferror(MINUS(divide(GOOGLEFINANCE($B712), INDEX(GOOGLEFINANCE($B712,""price"",today()-364),2,2)),1),"""")"),0.03336939335940747)</f>
        <v>0.03336939336</v>
      </c>
    </row>
    <row r="713">
      <c r="A713" s="71">
        <f t="shared" si="4"/>
        <v>709</v>
      </c>
      <c r="B713" s="47" t="s">
        <v>846</v>
      </c>
      <c r="C713" s="72">
        <f>IFERROR(__xludf.DUMMYFUNCTION("iferror(divide(googlefinance($B713,""marketcap""),1000000),"""")"),125.565048)</f>
        <v>125.565048</v>
      </c>
      <c r="D713" s="72">
        <f>IFERROR(__xludf.DUMMYFUNCTION("iferror(divide(googlefinance($B713,""shares""),1000),"""")"),26105.0)</f>
        <v>26105</v>
      </c>
      <c r="E713" s="72">
        <f>IFERROR(__xludf.DUMMYFUNCTION("iferror(divide(googlefinance($B713,""volumeavg""),1000),"""")"),367.906)</f>
        <v>367.906</v>
      </c>
      <c r="F713" s="73">
        <f>IFERROR(__xludf.DUMMYFUNCTION("iferror(MINUS(divide(GOOGLEFINANCE($B713), INDEX(GOOGLEFINANCE($B713,""price"",today()-182),2,2)),1),"""")"),0.4023323615160348)</f>
        <v>0.4023323615</v>
      </c>
      <c r="G713" s="61">
        <f>IFERROR(__xludf.DUMMYFUNCTION("iferror(MINUS(divide(GOOGLEFINANCE($B713), INDEX(GOOGLEFINANCE($B713,""price"",today()-364),2,2)),1),"""")"),0.6586206896551723)</f>
        <v>0.6586206897</v>
      </c>
    </row>
    <row r="714">
      <c r="A714" s="71">
        <f t="shared" si="4"/>
        <v>710</v>
      </c>
      <c r="B714" s="47" t="s">
        <v>847</v>
      </c>
      <c r="C714" s="72">
        <f>IFERROR(__xludf.DUMMYFUNCTION("iferror(divide(googlefinance($B714,""marketcap""),1000000),"""")"),2180.80664)</f>
        <v>2180.80664</v>
      </c>
      <c r="D714" s="72">
        <f>IFERROR(__xludf.DUMMYFUNCTION("iferror(divide(googlefinance($B714,""shares""),1000),"""")"),24224.0)</f>
        <v>24224</v>
      </c>
      <c r="E714" s="72">
        <f>IFERROR(__xludf.DUMMYFUNCTION("iferror(divide(googlefinance($B714,""volumeavg""),1000),"""")"),113.499)</f>
        <v>113.499</v>
      </c>
      <c r="F714" s="73">
        <f>IFERROR(__xludf.DUMMYFUNCTION("iferror(MINUS(divide(GOOGLEFINANCE($B714), INDEX(GOOGLEFINANCE($B714,""price"",today()-182),2,2)),1),"""")"),0.5335201552058633)</f>
        <v>0.5335201552</v>
      </c>
      <c r="G714" s="61">
        <f>IFERROR(__xludf.DUMMYFUNCTION("iferror(MINUS(divide(GOOGLEFINANCE($B714), INDEX(GOOGLEFINANCE($B714,""price"",today()-364),2,2)),1),"""")"),2.324299065420561)</f>
        <v>2.324299065</v>
      </c>
    </row>
    <row r="715">
      <c r="A715" s="71">
        <f t="shared" si="4"/>
        <v>711</v>
      </c>
      <c r="B715" s="47" t="s">
        <v>848</v>
      </c>
      <c r="C715" s="72">
        <f>IFERROR(__xludf.DUMMYFUNCTION("iferror(divide(googlefinance($B715,""marketcap""),1000000),"""")"),10226.909746)</f>
        <v>10226.90975</v>
      </c>
      <c r="D715" s="72">
        <f>IFERROR(__xludf.DUMMYFUNCTION("iferror(divide(googlefinance($B715,""shares""),1000),"""")"),182656.0)</f>
        <v>182656</v>
      </c>
      <c r="E715" s="72">
        <f>IFERROR(__xludf.DUMMYFUNCTION("iferror(divide(googlefinance($B715,""volumeavg""),1000),"""")"),240.112)</f>
        <v>240.112</v>
      </c>
      <c r="F715" s="73">
        <f>IFERROR(__xludf.DUMMYFUNCTION("iferror(MINUS(divide(GOOGLEFINANCE($B715), INDEX(GOOGLEFINANCE($B715,""price"",today()-182),2,2)),1),"""")"),0.821405335068315)</f>
        <v>0.8214053351</v>
      </c>
      <c r="G715" s="61">
        <f>IFERROR(__xludf.DUMMYFUNCTION("iferror(MINUS(divide(GOOGLEFINANCE($B715), INDEX(GOOGLEFINANCE($B715,""price"",today()-364),2,2)),1),"""")"),-0.0945989650711514)</f>
        <v>-0.09459896507</v>
      </c>
    </row>
    <row r="716">
      <c r="A716" s="71">
        <f t="shared" si="4"/>
        <v>712</v>
      </c>
      <c r="B716" s="47" t="s">
        <v>849</v>
      </c>
      <c r="C716" s="72">
        <f>IFERROR(__xludf.DUMMYFUNCTION("iferror(divide(googlefinance($B716,""marketcap""),1000000),"""")"),369.040757)</f>
        <v>369.040757</v>
      </c>
      <c r="D716" s="72">
        <f>IFERROR(__xludf.DUMMYFUNCTION("iferror(divide(googlefinance($B716,""shares""),1000),"""")"),19261.0)</f>
        <v>19261</v>
      </c>
      <c r="E716" s="72">
        <f>IFERROR(__xludf.DUMMYFUNCTION("iferror(divide(googlefinance($B716,""volumeavg""),1000),"""")"),67.882)</f>
        <v>67.882</v>
      </c>
      <c r="F716" s="73">
        <f>IFERROR(__xludf.DUMMYFUNCTION("iferror(MINUS(divide(GOOGLEFINANCE($B716), INDEX(GOOGLEFINANCE($B716,""price"",today()-182),2,2)),1),"""")"),0.6925795053003534)</f>
        <v>0.6925795053</v>
      </c>
      <c r="G716" s="61">
        <f>IFERROR(__xludf.DUMMYFUNCTION("iferror(MINUS(divide(GOOGLEFINANCE($B716), INDEX(GOOGLEFINANCE($B716,""price"",today()-364),2,2)),1),"""")"),-0.08718437351119568)</f>
        <v>-0.08718437351</v>
      </c>
    </row>
    <row r="717">
      <c r="A717" s="71">
        <f t="shared" si="4"/>
        <v>713</v>
      </c>
      <c r="B717" s="47" t="s">
        <v>850</v>
      </c>
      <c r="C717" s="72" t="str">
        <f>IFERROR(__xludf.DUMMYFUNCTION("iferror(divide(googlefinance($B717,""marketcap""),1000000),"""")"),"")</f>
        <v/>
      </c>
      <c r="D717" s="72" t="str">
        <f>IFERROR(__xludf.DUMMYFUNCTION("iferror(divide(googlefinance($B717,""shares""),1000),"""")"),"")</f>
        <v/>
      </c>
      <c r="E717" s="72" t="str">
        <f>IFERROR(__xludf.DUMMYFUNCTION("iferror(divide(googlefinance($B717,""volumeavg""),1000),"""")"),"")</f>
        <v/>
      </c>
      <c r="F717" s="73" t="str">
        <f>IFERROR(__xludf.DUMMYFUNCTION("iferror(MINUS(divide(GOOGLEFINANCE($B717), INDEX(GOOGLEFINANCE($B717,""price"",today()-182),2,2)),1),"""")"),"")</f>
        <v/>
      </c>
      <c r="G717" s="61" t="str">
        <f>IFERROR(__xludf.DUMMYFUNCTION("iferror(MINUS(divide(GOOGLEFINANCE($B717), INDEX(GOOGLEFINANCE($B717,""price"",today()-364),2,2)),1),"""")"),"")</f>
        <v/>
      </c>
    </row>
    <row r="718">
      <c r="A718" s="71">
        <f t="shared" si="4"/>
        <v>714</v>
      </c>
      <c r="B718" s="47" t="s">
        <v>851</v>
      </c>
      <c r="C718" s="72">
        <f>IFERROR(__xludf.DUMMYFUNCTION("iferror(divide(googlefinance($B718,""marketcap""),1000000),"""")"),43510.918395)</f>
        <v>43510.9184</v>
      </c>
      <c r="D718" s="72">
        <f>IFERROR(__xludf.DUMMYFUNCTION("iferror(divide(googlefinance($B718,""shares""),1000),"""")"),146000.0)</f>
        <v>146000</v>
      </c>
      <c r="E718" s="72">
        <f>IFERROR(__xludf.DUMMYFUNCTION("iferror(divide(googlefinance($B718,""volumeavg""),1000),"""")"),987.19)</f>
        <v>987.19</v>
      </c>
      <c r="F718" s="73">
        <f>IFERROR(__xludf.DUMMYFUNCTION("iferror(MINUS(divide(GOOGLEFINANCE($B718), INDEX(GOOGLEFINANCE($B718,""price"",today()-182),2,2)),1),"""")"),0.2314876033057851)</f>
        <v>0.2314876033</v>
      </c>
      <c r="G718" s="61">
        <f>IFERROR(__xludf.DUMMYFUNCTION("iferror(MINUS(divide(GOOGLEFINANCE($B718), INDEX(GOOGLEFINANCE($B718,""price"",today()-364),2,2)),1),"""")"),-0.03730981684271739)</f>
        <v>-0.03730981684</v>
      </c>
    </row>
    <row r="719">
      <c r="A719" s="71">
        <f t="shared" si="4"/>
        <v>715</v>
      </c>
      <c r="B719" s="47" t="s">
        <v>852</v>
      </c>
      <c r="C719" s="72">
        <f>IFERROR(__xludf.DUMMYFUNCTION("iferror(divide(googlefinance($B719,""marketcap""),1000000),"""")"),2663.327459)</f>
        <v>2663.327459</v>
      </c>
      <c r="D719" s="72">
        <f>IFERROR(__xludf.DUMMYFUNCTION("iferror(divide(googlefinance($B719,""shares""),1000),"""")"),162140.0)</f>
        <v>162140</v>
      </c>
      <c r="E719" s="72">
        <f>IFERROR(__xludf.DUMMYFUNCTION("iferror(divide(googlefinance($B719,""volumeavg""),1000),"""")"),208.712)</f>
        <v>208.712</v>
      </c>
      <c r="F719" s="73">
        <f>IFERROR(__xludf.DUMMYFUNCTION("iferror(MINUS(divide(GOOGLEFINANCE($B719), INDEX(GOOGLEFINANCE($B719,""price"",today()-182),2,2)),1),"""")"),2.3582222222222224)</f>
        <v>2.358222222</v>
      </c>
      <c r="G719" s="61" t="str">
        <f>IFERROR(__xludf.DUMMYFUNCTION("iferror(MINUS(divide(GOOGLEFINANCE($B719), INDEX(GOOGLEFINANCE($B719,""price"",today()-364),2,2)),1),"""")"),"")</f>
        <v/>
      </c>
    </row>
    <row r="720">
      <c r="A720" s="71">
        <f t="shared" si="4"/>
        <v>716</v>
      </c>
      <c r="B720" s="47" t="s">
        <v>853</v>
      </c>
      <c r="C720" s="72">
        <f>IFERROR(__xludf.DUMMYFUNCTION("iferror(divide(googlefinance($B720,""marketcap""),1000000),"""")"),784.563805)</f>
        <v>784.563805</v>
      </c>
      <c r="D720" s="72">
        <f>IFERROR(__xludf.DUMMYFUNCTION("iferror(divide(googlefinance($B720,""shares""),1000),"""")"),58857.0)</f>
        <v>58857</v>
      </c>
      <c r="E720" s="72">
        <f>IFERROR(__xludf.DUMMYFUNCTION("iferror(divide(googlefinance($B720,""volumeavg""),1000),"""")"),942.264)</f>
        <v>942.264</v>
      </c>
      <c r="F720" s="73">
        <f>IFERROR(__xludf.DUMMYFUNCTION("iferror(MINUS(divide(GOOGLEFINANCE($B720), INDEX(GOOGLEFINANCE($B720,""price"",today()-182),2,2)),1),"""")"),0.25992438563327025)</f>
        <v>0.2599243856</v>
      </c>
      <c r="G720" s="61">
        <f>IFERROR(__xludf.DUMMYFUNCTION("iferror(MINUS(divide(GOOGLEFINANCE($B720), INDEX(GOOGLEFINANCE($B720,""price"",today()-364),2,2)),1),"""")"),-0.3899313501144165)</f>
        <v>-0.3899313501</v>
      </c>
    </row>
    <row r="721">
      <c r="A721" s="71">
        <f t="shared" si="4"/>
        <v>717</v>
      </c>
      <c r="B721" s="47" t="s">
        <v>854</v>
      </c>
      <c r="C721" s="72">
        <f>IFERROR(__xludf.DUMMYFUNCTION("iferror(divide(googlefinance($B721,""marketcap""),1000000),"""")"),715.622593)</f>
        <v>715.622593</v>
      </c>
      <c r="D721" s="72">
        <f>IFERROR(__xludf.DUMMYFUNCTION("iferror(divide(googlefinance($B721,""shares""),1000),"""")"),174542.0)</f>
        <v>174542</v>
      </c>
      <c r="E721" s="72">
        <f>IFERROR(__xludf.DUMMYFUNCTION("iferror(divide(googlefinance($B721,""volumeavg""),1000),"""")"),2065.896)</f>
        <v>2065.896</v>
      </c>
      <c r="F721" s="73">
        <f>IFERROR(__xludf.DUMMYFUNCTION("iferror(MINUS(divide(GOOGLEFINANCE($B721), INDEX(GOOGLEFINANCE($B721,""price"",today()-182),2,2)),1),"""")"),0.680327868852459)</f>
        <v>0.6803278689</v>
      </c>
      <c r="G721" s="61">
        <f>IFERROR(__xludf.DUMMYFUNCTION("iferror(MINUS(divide(GOOGLEFINANCE($B721), INDEX(GOOGLEFINANCE($B721,""price"",today()-364),2,2)),1),"""")"),0.23867069486404824)</f>
        <v>0.2386706949</v>
      </c>
    </row>
    <row r="722">
      <c r="A722" s="71">
        <f t="shared" si="4"/>
        <v>718</v>
      </c>
      <c r="B722" s="47" t="s">
        <v>855</v>
      </c>
      <c r="C722" s="72">
        <f>IFERROR(__xludf.DUMMYFUNCTION("iferror(divide(googlefinance($B722,""marketcap""),1000000),"""")"),19726.937533)</f>
        <v>19726.93753</v>
      </c>
      <c r="D722" s="72">
        <f>IFERROR(__xludf.DUMMYFUNCTION("iferror(divide(googlefinance($B722,""shares""),1000),"""")"),231157.0)</f>
        <v>231157</v>
      </c>
      <c r="E722" s="72">
        <f>IFERROR(__xludf.DUMMYFUNCTION("iferror(divide(googlefinance($B722,""volumeavg""),1000),"""")"),4914.701)</f>
        <v>4914.701</v>
      </c>
      <c r="F722" s="73">
        <f>IFERROR(__xludf.DUMMYFUNCTION("iferror(MINUS(divide(GOOGLEFINANCE($B722), INDEX(GOOGLEFINANCE($B722,""price"",today()-182),2,2)),1),"""")"),6.938604651162791)</f>
        <v>6.938604651</v>
      </c>
      <c r="G722" s="61">
        <f>IFERROR(__xludf.DUMMYFUNCTION("iferror(MINUS(divide(GOOGLEFINANCE($B722), INDEX(GOOGLEFINANCE($B722,""price"",today()-364),2,2)),1),"""")"),4.144062688366486)</f>
        <v>4.144062688</v>
      </c>
    </row>
    <row r="723">
      <c r="A723" s="71">
        <f t="shared" si="4"/>
        <v>719</v>
      </c>
      <c r="B723" s="47" t="s">
        <v>856</v>
      </c>
      <c r="C723" s="72">
        <f>IFERROR(__xludf.DUMMYFUNCTION("iferror(divide(googlefinance($B723,""marketcap""),1000000),"""")"),19774.763179)</f>
        <v>19774.76318</v>
      </c>
      <c r="D723" s="72">
        <f>IFERROR(__xludf.DUMMYFUNCTION("iferror(divide(googlefinance($B723,""shares""),1000),"""")"),218699.0)</f>
        <v>218699</v>
      </c>
      <c r="E723" s="72">
        <f>IFERROR(__xludf.DUMMYFUNCTION("iferror(divide(googlefinance($B723,""volumeavg""),1000),"""")"),1026.764)</f>
        <v>1026.764</v>
      </c>
      <c r="F723" s="73">
        <f>IFERROR(__xludf.DUMMYFUNCTION("iferror(MINUS(divide(GOOGLEFINANCE($B723), INDEX(GOOGLEFINANCE($B723,""price"",today()-182),2,2)),1),"""")"),0.35035842293906816)</f>
        <v>0.3503584229</v>
      </c>
      <c r="G723" s="61">
        <f>IFERROR(__xludf.DUMMYFUNCTION("iferror(MINUS(divide(GOOGLEFINANCE($B723), INDEX(GOOGLEFINANCE($B723,""price"",today()-364),2,2)),1),"""")"),0.11340967861100859)</f>
        <v>0.1134096786</v>
      </c>
    </row>
    <row r="724">
      <c r="A724" s="71">
        <f t="shared" si="4"/>
        <v>720</v>
      </c>
      <c r="B724" s="47" t="s">
        <v>857</v>
      </c>
      <c r="C724" s="72">
        <f>IFERROR(__xludf.DUMMYFUNCTION("iferror(divide(googlefinance($B724,""marketcap""),1000000),"""")"),5523.747958)</f>
        <v>5523.747958</v>
      </c>
      <c r="D724" s="72">
        <f>IFERROR(__xludf.DUMMYFUNCTION("iferror(divide(googlefinance($B724,""shares""),1000),"""")"),66987.0)</f>
        <v>66987</v>
      </c>
      <c r="E724" s="72">
        <f>IFERROR(__xludf.DUMMYFUNCTION("iferror(divide(googlefinance($B724,""volumeavg""),1000),"""")"),463.259)</f>
        <v>463.259</v>
      </c>
      <c r="F724" s="73">
        <f>IFERROR(__xludf.DUMMYFUNCTION("iferror(MINUS(divide(GOOGLEFINANCE($B724), INDEX(GOOGLEFINANCE($B724,""price"",today()-182),2,2)),1),"""")"),0.24467924528301888)</f>
        <v>0.2446792453</v>
      </c>
      <c r="G724" s="61">
        <f>IFERROR(__xludf.DUMMYFUNCTION("iferror(MINUS(divide(GOOGLEFINANCE($B724), INDEX(GOOGLEFINANCE($B724,""price"",today()-364),2,2)),1),"""")"),0.004874482086278276)</f>
        <v>0.004874482086</v>
      </c>
    </row>
    <row r="725">
      <c r="A725" s="71">
        <f t="shared" si="4"/>
        <v>721</v>
      </c>
      <c r="B725" s="55" t="s">
        <v>858</v>
      </c>
      <c r="C725" s="72">
        <f>IFERROR(__xludf.DUMMYFUNCTION("iferror(divide(googlefinance($B725,""marketcap""),1000000),"""")"),76.456278)</f>
        <v>76.456278</v>
      </c>
      <c r="D725" s="72">
        <f>IFERROR(__xludf.DUMMYFUNCTION("iferror(divide(googlefinance($B725,""shares""),1000),"""")"),23029.0)</f>
        <v>23029</v>
      </c>
      <c r="E725" s="72">
        <f>IFERROR(__xludf.DUMMYFUNCTION("iferror(divide(googlefinance($B725,""volumeavg""),1000),"""")"),70.866)</f>
        <v>70.866</v>
      </c>
      <c r="F725" s="73">
        <f>IFERROR(__xludf.DUMMYFUNCTION("iferror(MINUS(divide(GOOGLEFINANCE($B725), INDEX(GOOGLEFINANCE($B725,""price"",today()-182),2,2)),1),"""")"),-0.0030030030030030463)</f>
        <v>-0.003003003003</v>
      </c>
      <c r="G725" s="61">
        <f>IFERROR(__xludf.DUMMYFUNCTION("iferror(MINUS(divide(GOOGLEFINANCE($B725), INDEX(GOOGLEFINANCE($B725,""price"",today()-364),2,2)),1),"""")"),-0.5561497326203209)</f>
        <v>-0.5561497326</v>
      </c>
    </row>
    <row r="726">
      <c r="A726" s="71">
        <f t="shared" si="4"/>
        <v>722</v>
      </c>
      <c r="B726" s="47" t="s">
        <v>859</v>
      </c>
      <c r="C726" s="72">
        <f>IFERROR(__xludf.DUMMYFUNCTION("iferror(divide(googlefinance($B726,""marketcap""),1000000),"""")"),3367.136292)</f>
        <v>3367.136292</v>
      </c>
      <c r="D726" s="72">
        <f>IFERROR(__xludf.DUMMYFUNCTION("iferror(divide(googlefinance($B726,""shares""),1000),"""")"),101481.0)</f>
        <v>101481</v>
      </c>
      <c r="E726" s="72">
        <f>IFERROR(__xludf.DUMMYFUNCTION("iferror(divide(googlefinance($B726,""volumeavg""),1000),"""")"),815.848)</f>
        <v>815.848</v>
      </c>
      <c r="F726" s="73">
        <f>IFERROR(__xludf.DUMMYFUNCTION("iferror(MINUS(divide(GOOGLEFINANCE($B726), INDEX(GOOGLEFINANCE($B726,""price"",today()-182),2,2)),1),"""")"),1.3186582809224316)</f>
        <v>1.318658281</v>
      </c>
      <c r="G726" s="61">
        <f>IFERROR(__xludf.DUMMYFUNCTION("iferror(MINUS(divide(GOOGLEFINANCE($B726), INDEX(GOOGLEFINANCE($B726,""price"",today()-364),2,2)),1),"""")"),0.6945863125638407)</f>
        <v>0.6945863126</v>
      </c>
    </row>
    <row r="727">
      <c r="A727" s="71">
        <f t="shared" si="4"/>
        <v>723</v>
      </c>
      <c r="B727" s="47" t="s">
        <v>860</v>
      </c>
      <c r="C727" s="72">
        <f>IFERROR(__xludf.DUMMYFUNCTION("iferror(divide(googlefinance($B727,""marketcap""),1000000),"""")"),471.810257)</f>
        <v>471.810257</v>
      </c>
      <c r="D727" s="72">
        <f>IFERROR(__xludf.DUMMYFUNCTION("iferror(divide(googlefinance($B727,""shares""),1000),"""")"),27984.0)</f>
        <v>27984</v>
      </c>
      <c r="E727" s="72">
        <f>IFERROR(__xludf.DUMMYFUNCTION("iferror(divide(googlefinance($B727,""volumeavg""),1000),"""")"),218.388)</f>
        <v>218.388</v>
      </c>
      <c r="F727" s="73">
        <f>IFERROR(__xludf.DUMMYFUNCTION("iferror(MINUS(divide(GOOGLEFINANCE($B727), INDEX(GOOGLEFINANCE($B727,""price"",today()-182),2,2)),1),"""")"),-0.03270223752151469)</f>
        <v>-0.03270223752</v>
      </c>
      <c r="G727" s="61">
        <f>IFERROR(__xludf.DUMMYFUNCTION("iferror(MINUS(divide(GOOGLEFINANCE($B727), INDEX(GOOGLEFINANCE($B727,""price"",today()-364),2,2)),1),"""")"),-0.07717569786535305)</f>
        <v>-0.07717569787</v>
      </c>
    </row>
    <row r="728">
      <c r="A728" s="71">
        <f t="shared" si="4"/>
        <v>724</v>
      </c>
      <c r="B728" s="47" t="s">
        <v>861</v>
      </c>
      <c r="C728" s="72">
        <f>IFERROR(__xludf.DUMMYFUNCTION("iferror(divide(googlefinance($B728,""marketcap""),1000000),"""")"),214010.958702)</f>
        <v>214010.9587</v>
      </c>
      <c r="D728" s="72">
        <f>IFERROR(__xludf.DUMMYFUNCTION("iferror(divide(googlefinance($B728,""shares""),1000),"""")"),4253000.0)</f>
        <v>4253000</v>
      </c>
      <c r="E728" s="72">
        <f>IFERROR(__xludf.DUMMYFUNCTION("iferror(divide(googlefinance($B728,""volumeavg""),1000),"""")"),33234.613)</f>
        <v>33234.613</v>
      </c>
      <c r="F728" s="73">
        <f>IFERROR(__xludf.DUMMYFUNCTION("iferror(MINUS(divide(GOOGLEFINANCE($B728), INDEX(GOOGLEFINANCE($B728,""price"",today()-182),2,2)),1),"""")"),0.09797076150992812)</f>
        <v>0.09797076151</v>
      </c>
      <c r="G728" s="61">
        <f>IFERROR(__xludf.DUMMYFUNCTION("iferror(MINUS(divide(GOOGLEFINANCE($B728), INDEX(GOOGLEFINANCE($B728,""price"",today()-364),2,2)),1),"""")"),-0.007886435331230235)</f>
        <v>-0.007886435331</v>
      </c>
    </row>
    <row r="729">
      <c r="A729" s="71">
        <f t="shared" si="4"/>
        <v>725</v>
      </c>
      <c r="B729" s="47" t="s">
        <v>862</v>
      </c>
      <c r="C729" s="72">
        <f>IFERROR(__xludf.DUMMYFUNCTION("iferror(divide(googlefinance($B729,""marketcap""),1000000),"""")"),46.7712)</f>
        <v>46.7712</v>
      </c>
      <c r="D729" s="72">
        <f>IFERROR(__xludf.DUMMYFUNCTION("iferror(divide(googlefinance($B729,""shares""),1000),"""")"),10440.0)</f>
        <v>10440</v>
      </c>
      <c r="E729" s="72">
        <f>IFERROR(__xludf.DUMMYFUNCTION("iferror(divide(googlefinance($B729,""volumeavg""),1000),"""")"),26.81)</f>
        <v>26.81</v>
      </c>
      <c r="F729" s="73">
        <f>IFERROR(__xludf.DUMMYFUNCTION("iferror(MINUS(divide(GOOGLEFINANCE($B729), INDEX(GOOGLEFINANCE($B729,""price"",today()-182),2,2)),1),"""")"),0.9393939393939394)</f>
        <v>0.9393939394</v>
      </c>
      <c r="G729" s="61">
        <f>IFERROR(__xludf.DUMMYFUNCTION("iferror(MINUS(divide(GOOGLEFINANCE($B729), INDEX(GOOGLEFINANCE($B729,""price"",today()-364),2,2)),1),"""")"),-0.0344827586206895)</f>
        <v>-0.03448275862</v>
      </c>
    </row>
    <row r="730">
      <c r="A730" s="71">
        <f t="shared" si="4"/>
        <v>726</v>
      </c>
      <c r="B730" s="47" t="s">
        <v>863</v>
      </c>
      <c r="C730" s="72">
        <f>IFERROR(__xludf.DUMMYFUNCTION("iferror(divide(googlefinance($B730,""marketcap""),1000000),"""")"),1177.165729)</f>
        <v>1177.165729</v>
      </c>
      <c r="D730" s="72">
        <f>IFERROR(__xludf.DUMMYFUNCTION("iferror(divide(googlefinance($B730,""shares""),1000),"""")"),101392.0)</f>
        <v>101392</v>
      </c>
      <c r="E730" s="72">
        <f>IFERROR(__xludf.DUMMYFUNCTION("iferror(divide(googlefinance($B730,""volumeavg""),1000),"""")"),919.236)</f>
        <v>919.236</v>
      </c>
      <c r="F730" s="73">
        <f>IFERROR(__xludf.DUMMYFUNCTION("iferror(MINUS(divide(GOOGLEFINANCE($B730), INDEX(GOOGLEFINANCE($B730,""price"",today()-182),2,2)),1),"""")"),0.311864406779661)</f>
        <v>0.3118644068</v>
      </c>
      <c r="G730" s="61">
        <f>IFERROR(__xludf.DUMMYFUNCTION("iferror(MINUS(divide(GOOGLEFINANCE($B730), INDEX(GOOGLEFINANCE($B730,""price"",today()-364),2,2)),1),"""")"),0.05258386219401623)</f>
        <v>0.05258386219</v>
      </c>
    </row>
    <row r="731">
      <c r="A731" s="71">
        <f t="shared" si="4"/>
        <v>727</v>
      </c>
      <c r="B731" s="47" t="s">
        <v>864</v>
      </c>
      <c r="C731" s="72">
        <f>IFERROR(__xludf.DUMMYFUNCTION("iferror(divide(googlefinance($B731,""marketcap""),1000000),"""")"),570.102087)</f>
        <v>570.102087</v>
      </c>
      <c r="D731" s="72">
        <f>IFERROR(__xludf.DUMMYFUNCTION("iferror(divide(googlefinance($B731,""shares""),1000),"""")"),23365.0)</f>
        <v>23365</v>
      </c>
      <c r="E731" s="72">
        <f>IFERROR(__xludf.DUMMYFUNCTION("iferror(divide(googlefinance($B731,""volumeavg""),1000),"""")"),83.948)</f>
        <v>83.948</v>
      </c>
      <c r="F731" s="73" t="str">
        <f>IFERROR(__xludf.DUMMYFUNCTION("iferror(MINUS(divide(GOOGLEFINANCE($B731), INDEX(GOOGLEFINANCE($B731,""price"",today()-182),2,2)),1),"""")"),"")</f>
        <v/>
      </c>
      <c r="G731" s="61" t="str">
        <f>IFERROR(__xludf.DUMMYFUNCTION("iferror(MINUS(divide(GOOGLEFINANCE($B731), INDEX(GOOGLEFINANCE($B731,""price"",today()-364),2,2)),1),"""")"),"")</f>
        <v/>
      </c>
    </row>
    <row r="732">
      <c r="A732" s="71">
        <f t="shared" si="4"/>
        <v>728</v>
      </c>
      <c r="B732" s="47" t="s">
        <v>865</v>
      </c>
      <c r="C732" s="72">
        <f>IFERROR(__xludf.DUMMYFUNCTION("iferror(divide(googlefinance($B732,""marketcap""),1000000),"""")"),5211.853959)</f>
        <v>5211.853959</v>
      </c>
      <c r="D732" s="72">
        <f>IFERROR(__xludf.DUMMYFUNCTION("iferror(divide(googlefinance($B732,""shares""),1000),"""")"),139697.0)</f>
        <v>139697</v>
      </c>
      <c r="E732" s="72">
        <f>IFERROR(__xludf.DUMMYFUNCTION("iferror(divide(googlefinance($B732,""volumeavg""),1000),"""")"),719.937)</f>
        <v>719.937</v>
      </c>
      <c r="F732" s="73">
        <f>IFERROR(__xludf.DUMMYFUNCTION("iferror(MINUS(divide(GOOGLEFINANCE($B732), INDEX(GOOGLEFINANCE($B732,""price"",today()-182),2,2)),1),"""")"),0.17691601652134015)</f>
        <v>0.1769160165</v>
      </c>
      <c r="G732" s="61">
        <f>IFERROR(__xludf.DUMMYFUNCTION("iferror(MINUS(divide(GOOGLEFINANCE($B732), INDEX(GOOGLEFINANCE($B732,""price"",today()-364),2,2)),1),"""")"),-0.1821081167277946)</f>
        <v>-0.1821081167</v>
      </c>
    </row>
    <row r="733">
      <c r="A733" s="71">
        <f t="shared" si="4"/>
        <v>729</v>
      </c>
      <c r="B733" s="47" t="s">
        <v>866</v>
      </c>
      <c r="C733" s="72">
        <f>IFERROR(__xludf.DUMMYFUNCTION("iferror(divide(googlefinance($B733,""marketcap""),1000000),"""")"),1647.284474)</f>
        <v>1647.284474</v>
      </c>
      <c r="D733" s="72">
        <f>IFERROR(__xludf.DUMMYFUNCTION("iferror(divide(googlefinance($B733,""shares""),1000),"""")"),24568.0)</f>
        <v>24568</v>
      </c>
      <c r="E733" s="72">
        <f>IFERROR(__xludf.DUMMYFUNCTION("iferror(divide(googlefinance($B733,""volumeavg""),1000),"""")"),99.176)</f>
        <v>99.176</v>
      </c>
      <c r="F733" s="73">
        <f>IFERROR(__xludf.DUMMYFUNCTION("iferror(MINUS(divide(GOOGLEFINANCE($B733), INDEX(GOOGLEFINANCE($B733,""price"",today()-182),2,2)),1),"""")"),0.0925533648362391)</f>
        <v>0.09255336484</v>
      </c>
      <c r="G733" s="61">
        <f>IFERROR(__xludf.DUMMYFUNCTION("iferror(MINUS(divide(GOOGLEFINANCE($B733), INDEX(GOOGLEFINANCE($B733,""price"",today()-364),2,2)),1),"""")"),-0.2664916311125698)</f>
        <v>-0.2664916311</v>
      </c>
    </row>
    <row r="734">
      <c r="A734" s="71">
        <f t="shared" si="4"/>
        <v>730</v>
      </c>
      <c r="B734" s="47" t="s">
        <v>867</v>
      </c>
      <c r="C734" s="72" t="str">
        <f>IFERROR(__xludf.DUMMYFUNCTION("iferror(divide(googlefinance($B734,""marketcap""),1000000),"""")"),"")</f>
        <v/>
      </c>
      <c r="D734" s="72" t="str">
        <f>IFERROR(__xludf.DUMMYFUNCTION("iferror(divide(googlefinance($B734,""shares""),1000),"""")"),"")</f>
        <v/>
      </c>
      <c r="E734" s="72" t="str">
        <f>IFERROR(__xludf.DUMMYFUNCTION("iferror(divide(googlefinance($B734,""volumeavg""),1000),"""")"),"")</f>
        <v/>
      </c>
      <c r="F734" s="73" t="str">
        <f>IFERROR(__xludf.DUMMYFUNCTION("iferror(MINUS(divide(GOOGLEFINANCE($B734), INDEX(GOOGLEFINANCE($B734,""price"",today()-182),2,2)),1),"""")"),"")</f>
        <v/>
      </c>
      <c r="G734" s="61" t="str">
        <f>IFERROR(__xludf.DUMMYFUNCTION("iferror(MINUS(divide(GOOGLEFINANCE($B734), INDEX(GOOGLEFINANCE($B734,""price"",today()-364),2,2)),1),"""")"),"")</f>
        <v/>
      </c>
    </row>
    <row r="735">
      <c r="A735" s="71">
        <f t="shared" si="4"/>
        <v>731</v>
      </c>
      <c r="B735" s="47" t="s">
        <v>868</v>
      </c>
      <c r="C735" s="72">
        <f>IFERROR(__xludf.DUMMYFUNCTION("iferror(divide(googlefinance($B735,""marketcap""),1000000),"""")"),5220.700303)</f>
        <v>5220.700303</v>
      </c>
      <c r="D735" s="72">
        <f>IFERROR(__xludf.DUMMYFUNCTION("iferror(divide(googlefinance($B735,""shares""),1000),"""")"),146443.0)</f>
        <v>146443</v>
      </c>
      <c r="E735" s="72">
        <f>IFERROR(__xludf.DUMMYFUNCTION("iferror(divide(googlefinance($B735,""volumeavg""),1000),"""")"),1038.574)</f>
        <v>1038.574</v>
      </c>
      <c r="F735" s="73">
        <f>IFERROR(__xludf.DUMMYFUNCTION("iferror(MINUS(divide(GOOGLEFINANCE($B735), INDEX(GOOGLEFINANCE($B735,""price"",today()-182),2,2)),1),"""")"),0.5656565656565655)</f>
        <v>0.5656565657</v>
      </c>
      <c r="G735" s="61">
        <f>IFERROR(__xludf.DUMMYFUNCTION("iferror(MINUS(divide(GOOGLEFINANCE($B735), INDEX(GOOGLEFINANCE($B735,""price"",today()-364),2,2)),1),"""")"),0.7024832855778413)</f>
        <v>0.7024832856</v>
      </c>
    </row>
    <row r="736">
      <c r="A736" s="71">
        <f t="shared" si="4"/>
        <v>732</v>
      </c>
      <c r="B736" s="47" t="s">
        <v>869</v>
      </c>
      <c r="C736" s="72">
        <f>IFERROR(__xludf.DUMMYFUNCTION("iferror(divide(googlefinance($B736,""marketcap""),1000000),"""")"),1275.509874)</f>
        <v>1275.509874</v>
      </c>
      <c r="D736" s="72">
        <f>IFERROR(__xludf.DUMMYFUNCTION("iferror(divide(googlefinance($B736,""shares""),1000),"""")"),31533.0)</f>
        <v>31533</v>
      </c>
      <c r="E736" s="72">
        <f>IFERROR(__xludf.DUMMYFUNCTION("iferror(divide(googlefinance($B736,""volumeavg""),1000),"""")"),143.573)</f>
        <v>143.573</v>
      </c>
      <c r="F736" s="73">
        <f>IFERROR(__xludf.DUMMYFUNCTION("iferror(MINUS(divide(GOOGLEFINANCE($B736), INDEX(GOOGLEFINANCE($B736,""price"",today()-182),2,2)),1),"""")"),0.14621705865684342)</f>
        <v>0.1462170587</v>
      </c>
      <c r="G736" s="61">
        <f>IFERROR(__xludf.DUMMYFUNCTION("iferror(MINUS(divide(GOOGLEFINANCE($B736), INDEX(GOOGLEFINANCE($B736,""price"",today()-364),2,2)),1),"""")"),-0.4017157225262534)</f>
        <v>-0.4017157225</v>
      </c>
    </row>
    <row r="737">
      <c r="A737" s="71">
        <f t="shared" si="4"/>
        <v>733</v>
      </c>
      <c r="B737" s="47" t="s">
        <v>870</v>
      </c>
      <c r="C737" s="72">
        <f>IFERROR(__xludf.DUMMYFUNCTION("iferror(divide(googlefinance($B737,""marketcap""),1000000),"""")"),261.741832)</f>
        <v>261.741832</v>
      </c>
      <c r="D737" s="72">
        <f>IFERROR(__xludf.DUMMYFUNCTION("iferror(divide(googlefinance($B737,""shares""),1000),"""")"),78898.0)</f>
        <v>78898</v>
      </c>
      <c r="E737" s="72">
        <f>IFERROR(__xludf.DUMMYFUNCTION("iferror(divide(googlefinance($B737,""volumeavg""),1000),"""")"),8.429)</f>
        <v>8.429</v>
      </c>
      <c r="F737" s="73">
        <f>IFERROR(__xludf.DUMMYFUNCTION("iferror(MINUS(divide(GOOGLEFINANCE($B737), INDEX(GOOGLEFINANCE($B737,""price"",today()-182),2,2)),1),"""")"),0.06345177664974622)</f>
        <v>0.06345177665</v>
      </c>
      <c r="G737" s="61" t="str">
        <f>IFERROR(__xludf.DUMMYFUNCTION("iferror(MINUS(divide(GOOGLEFINANCE($B737), INDEX(GOOGLEFINANCE($B737,""price"",today()-364),2,2)),1),"""")"),"")</f>
        <v/>
      </c>
    </row>
    <row r="738">
      <c r="A738" s="71">
        <f t="shared" si="4"/>
        <v>734</v>
      </c>
      <c r="B738" s="47" t="s">
        <v>871</v>
      </c>
      <c r="C738" s="72">
        <f>IFERROR(__xludf.DUMMYFUNCTION("iferror(divide(googlefinance($B738,""marketcap""),1000000),"""")"),5576.243257)</f>
        <v>5576.243257</v>
      </c>
      <c r="D738" s="72">
        <f>IFERROR(__xludf.DUMMYFUNCTION("iferror(divide(googlefinance($B738,""shares""),1000),"""")"),51930.0)</f>
        <v>51930</v>
      </c>
      <c r="E738" s="72">
        <f>IFERROR(__xludf.DUMMYFUNCTION("iferror(divide(googlefinance($B738,""volumeavg""),1000),"""")"),1017.406)</f>
        <v>1017.406</v>
      </c>
      <c r="F738" s="73">
        <f>IFERROR(__xludf.DUMMYFUNCTION("iferror(MINUS(divide(GOOGLEFINANCE($B738), INDEX(GOOGLEFINANCE($B738,""price"",today()-182),2,2)),1),"""")"),0.8327359617682197)</f>
        <v>0.8327359618</v>
      </c>
      <c r="G738" s="61">
        <f>IFERROR(__xludf.DUMMYFUNCTION("iferror(MINUS(divide(GOOGLEFINANCE($B738), INDEX(GOOGLEFINANCE($B738,""price"",today()-364),2,2)),1),"""")"),0.6920895052001259)</f>
        <v>0.6920895052</v>
      </c>
    </row>
    <row r="739">
      <c r="A739" s="71">
        <f t="shared" si="4"/>
        <v>735</v>
      </c>
      <c r="B739" s="47" t="s">
        <v>872</v>
      </c>
      <c r="C739" s="72">
        <f>IFERROR(__xludf.DUMMYFUNCTION("iferror(divide(googlefinance($B739,""marketcap""),1000000),"""")"),123.244656)</f>
        <v>123.244656</v>
      </c>
      <c r="D739" s="72">
        <f>IFERROR(__xludf.DUMMYFUNCTION("iferror(divide(googlefinance($B739,""shares""),1000),"""")"),13295.0)</f>
        <v>13295</v>
      </c>
      <c r="E739" s="72">
        <f>IFERROR(__xludf.DUMMYFUNCTION("iferror(divide(googlefinance($B739,""volumeavg""),1000),"""")"),161.25)</f>
        <v>161.25</v>
      </c>
      <c r="F739" s="73">
        <f>IFERROR(__xludf.DUMMYFUNCTION("iferror(MINUS(divide(GOOGLEFINANCE($B739), INDEX(GOOGLEFINANCE($B739,""price"",today()-182),2,2)),1),"""")"),-0.05504587155963314)</f>
        <v>-0.05504587156</v>
      </c>
      <c r="G739" s="61">
        <f>IFERROR(__xludf.DUMMYFUNCTION("iferror(MINUS(divide(GOOGLEFINANCE($B739), INDEX(GOOGLEFINANCE($B739,""price"",today()-364),2,2)),1),"""")"),-0.7297376093294461)</f>
        <v>-0.7297376093</v>
      </c>
    </row>
    <row r="740">
      <c r="A740" s="71">
        <f t="shared" si="4"/>
        <v>736</v>
      </c>
      <c r="B740" s="47" t="s">
        <v>873</v>
      </c>
      <c r="C740" s="72" t="str">
        <f>IFERROR(__xludf.DUMMYFUNCTION("iferror(divide(googlefinance($B740,""marketcap""),1000000),"""")"),"")</f>
        <v/>
      </c>
      <c r="D740" s="72" t="str">
        <f>IFERROR(__xludf.DUMMYFUNCTION("iferror(divide(googlefinance($B740,""shares""),1000),"""")"),"")</f>
        <v/>
      </c>
      <c r="E740" s="72" t="str">
        <f>IFERROR(__xludf.DUMMYFUNCTION("iferror(divide(googlefinance($B740,""volumeavg""),1000),"""")"),"")</f>
        <v/>
      </c>
      <c r="F740" s="73" t="str">
        <f>IFERROR(__xludf.DUMMYFUNCTION("iferror(MINUS(divide(GOOGLEFINANCE($B740), INDEX(GOOGLEFINANCE($B740,""price"",today()-182),2,2)),1),"""")"),"")</f>
        <v/>
      </c>
      <c r="G740" s="61" t="str">
        <f>IFERROR(__xludf.DUMMYFUNCTION("iferror(MINUS(divide(GOOGLEFINANCE($B740), INDEX(GOOGLEFINANCE($B740,""price"",today()-364),2,2)),1),"""")"),"")</f>
        <v/>
      </c>
    </row>
    <row r="741">
      <c r="A741" s="71">
        <f t="shared" si="4"/>
        <v>737</v>
      </c>
      <c r="B741" s="47" t="s">
        <v>874</v>
      </c>
      <c r="C741" s="72">
        <f>IFERROR(__xludf.DUMMYFUNCTION("iferror(divide(googlefinance($B741,""marketcap""),1000000),"""")"),30698.9955)</f>
        <v>30698.9955</v>
      </c>
      <c r="D741" s="72">
        <f>IFERROR(__xludf.DUMMYFUNCTION("iferror(divide(googlefinance($B741,""shares""),1000),"""")"),191271.0)</f>
        <v>191271</v>
      </c>
      <c r="E741" s="72">
        <f>IFERROR(__xludf.DUMMYFUNCTION("iferror(divide(googlefinance($B741,""volumeavg""),1000),"""")"),841.967)</f>
        <v>841.967</v>
      </c>
      <c r="F741" s="73">
        <f>IFERROR(__xludf.DUMMYFUNCTION("iferror(MINUS(divide(GOOGLEFINANCE($B741), INDEX(GOOGLEFINANCE($B741,""price"",today()-182),2,2)),1),"""")"),0.7508454238027709)</f>
        <v>0.7508454238</v>
      </c>
      <c r="G741" s="61">
        <f>IFERROR(__xludf.DUMMYFUNCTION("iferror(MINUS(divide(GOOGLEFINANCE($B741), INDEX(GOOGLEFINANCE($B741,""price"",today()-364),2,2)),1),"""")"),0.03149100257069404)</f>
        <v>0.03149100257</v>
      </c>
    </row>
    <row r="742">
      <c r="A742" s="71">
        <f t="shared" si="4"/>
        <v>738</v>
      </c>
      <c r="B742" s="47" t="s">
        <v>875</v>
      </c>
      <c r="C742" s="72">
        <f>IFERROR(__xludf.DUMMYFUNCTION("iferror(divide(googlefinance($B742,""marketcap""),1000000),"""")"),15510.423637)</f>
        <v>15510.42364</v>
      </c>
      <c r="D742" s="72">
        <f>IFERROR(__xludf.DUMMYFUNCTION("iferror(divide(googlefinance($B742,""shares""),1000),"""")"),417059.0)</f>
        <v>417059</v>
      </c>
      <c r="E742" s="72">
        <f>IFERROR(__xludf.DUMMYFUNCTION("iferror(divide(googlefinance($B742,""volumeavg""),1000),"""")"),2055.103)</f>
        <v>2055.103</v>
      </c>
      <c r="F742" s="73">
        <f>IFERROR(__xludf.DUMMYFUNCTION("iferror(MINUS(divide(GOOGLEFINANCE($B742), INDEX(GOOGLEFINANCE($B742,""price"",today()-182),2,2)),1),"""")"),0.8964813870474246)</f>
        <v>0.896481387</v>
      </c>
      <c r="G742" s="61">
        <f>IFERROR(__xludf.DUMMYFUNCTION("iferror(MINUS(divide(GOOGLEFINANCE($B742), INDEX(GOOGLEFINANCE($B742,""price"",today()-364),2,2)),1),"""")"),0.2606779661016949)</f>
        <v>0.2606779661</v>
      </c>
    </row>
    <row r="743">
      <c r="A743" s="71">
        <f t="shared" si="4"/>
        <v>739</v>
      </c>
      <c r="B743" s="47" t="s">
        <v>876</v>
      </c>
      <c r="C743" s="72">
        <f>IFERROR(__xludf.DUMMYFUNCTION("iferror(divide(googlefinance($B743,""marketcap""),1000000),"""")"),2170.769357)</f>
        <v>2170.769357</v>
      </c>
      <c r="D743" s="72">
        <f>IFERROR(__xludf.DUMMYFUNCTION("iferror(divide(googlefinance($B743,""shares""),1000),"""")"),27884.0)</f>
        <v>27884</v>
      </c>
      <c r="E743" s="72">
        <f>IFERROR(__xludf.DUMMYFUNCTION("iferror(divide(googlefinance($B743,""volumeavg""),1000),"""")"),610.928)</f>
        <v>610.928</v>
      </c>
      <c r="F743" s="73">
        <f>IFERROR(__xludf.DUMMYFUNCTION("iferror(MINUS(divide(GOOGLEFINANCE($B743), INDEX(GOOGLEFINANCE($B743,""price"",today()-182),2,2)),1),"""")"),1.0131885182311868)</f>
        <v>1.013188518</v>
      </c>
      <c r="G743" s="61">
        <f>IFERROR(__xludf.DUMMYFUNCTION("iferror(MINUS(divide(GOOGLEFINANCE($B743), INDEX(GOOGLEFINANCE($B743,""price"",today()-364),2,2)),1),"""")"),0.2959880139836857)</f>
        <v>0.295988014</v>
      </c>
    </row>
    <row r="744">
      <c r="A744" s="71">
        <f t="shared" si="4"/>
        <v>740</v>
      </c>
      <c r="B744" s="47" t="s">
        <v>877</v>
      </c>
      <c r="C744" s="72">
        <f>IFERROR(__xludf.DUMMYFUNCTION("iferror(divide(googlefinance($B744,""marketcap""),1000000),"""")"),1585.382946)</f>
        <v>1585.382946</v>
      </c>
      <c r="D744" s="72">
        <f>IFERROR(__xludf.DUMMYFUNCTION("iferror(divide(googlefinance($B744,""shares""),1000),"""")"),159978.0)</f>
        <v>159978</v>
      </c>
      <c r="E744" s="72">
        <f>IFERROR(__xludf.DUMMYFUNCTION("iferror(divide(googlefinance($B744,""volumeavg""),1000),"""")"),1437.626)</f>
        <v>1437.626</v>
      </c>
      <c r="F744" s="73">
        <f>IFERROR(__xludf.DUMMYFUNCTION("iferror(MINUS(divide(GOOGLEFINANCE($B744), INDEX(GOOGLEFINANCE($B744,""price"",today()-182),2,2)),1),"""")"),0.056503198294242996)</f>
        <v>0.05650319829</v>
      </c>
      <c r="G744" s="61">
        <f>IFERROR(__xludf.DUMMYFUNCTION("iferror(MINUS(divide(GOOGLEFINANCE($B744), INDEX(GOOGLEFINANCE($B744,""price"",today()-364),2,2)),1),"""")"),0.046462513199577504)</f>
        <v>0.0464625132</v>
      </c>
    </row>
    <row r="745">
      <c r="A745" s="71">
        <f t="shared" si="4"/>
        <v>741</v>
      </c>
      <c r="B745" s="47" t="s">
        <v>878</v>
      </c>
      <c r="C745" s="72" t="str">
        <f>IFERROR(__xludf.DUMMYFUNCTION("iferror(divide(googlefinance($B745,""marketcap""),1000000),"""")"),"")</f>
        <v/>
      </c>
      <c r="D745" s="72" t="str">
        <f>IFERROR(__xludf.DUMMYFUNCTION("iferror(divide(googlefinance($B745,""shares""),1000),"""")"),"")</f>
        <v/>
      </c>
      <c r="E745" s="72" t="str">
        <f>IFERROR(__xludf.DUMMYFUNCTION("iferror(divide(googlefinance($B745,""volumeavg""),1000),"""")"),"")</f>
        <v/>
      </c>
      <c r="F745" s="73" t="str">
        <f>IFERROR(__xludf.DUMMYFUNCTION("iferror(MINUS(divide(GOOGLEFINANCE($B745), INDEX(GOOGLEFINANCE($B745,""price"",today()-182),2,2)),1),"""")"),"")</f>
        <v/>
      </c>
      <c r="G745" s="61" t="str">
        <f>IFERROR(__xludf.DUMMYFUNCTION("iferror(MINUS(divide(GOOGLEFINANCE($B745), INDEX(GOOGLEFINANCE($B745,""price"",today()-364),2,2)),1),"""")"),"")</f>
        <v/>
      </c>
    </row>
    <row r="746">
      <c r="A746" s="71">
        <f t="shared" si="4"/>
        <v>742</v>
      </c>
      <c r="B746" s="47" t="s">
        <v>879</v>
      </c>
      <c r="C746" s="72">
        <f>IFERROR(__xludf.DUMMYFUNCTION("iferror(divide(googlefinance($B746,""marketcap""),1000000),"""")"),79679.492048)</f>
        <v>79679.49205</v>
      </c>
      <c r="D746" s="72">
        <f>IFERROR(__xludf.DUMMYFUNCTION("iferror(divide(googlefinance($B746,""shares""),1000),"""")"),117026.0)</f>
        <v>117026</v>
      </c>
      <c r="E746" s="72">
        <f>IFERROR(__xludf.DUMMYFUNCTION("iferror(divide(googlefinance($B746,""volumeavg""),1000),"""")"),544.401)</f>
        <v>544.401</v>
      </c>
      <c r="F746" s="73">
        <f>IFERROR(__xludf.DUMMYFUNCTION("iferror(MINUS(divide(GOOGLEFINANCE($B746), INDEX(GOOGLEFINANCE($B746,""price"",today()-182),2,2)),1),"""")"),0.7272635023719527)</f>
        <v>0.7272635024</v>
      </c>
      <c r="G746" s="61">
        <f>IFERROR(__xludf.DUMMYFUNCTION("iferror(MINUS(divide(GOOGLEFINANCE($B746), INDEX(GOOGLEFINANCE($B746,""price"",today()-364),2,2)),1),"""")"),0.2818548083440018)</f>
        <v>0.2818548083</v>
      </c>
    </row>
    <row r="747">
      <c r="A747" s="71">
        <f t="shared" si="4"/>
        <v>743</v>
      </c>
      <c r="B747" s="47" t="s">
        <v>880</v>
      </c>
      <c r="C747" s="72">
        <f>IFERROR(__xludf.DUMMYFUNCTION("iferror(divide(googlefinance($B747,""marketcap""),1000000),"""")"),2445.793755)</f>
        <v>2445.793755</v>
      </c>
      <c r="D747" s="72">
        <f>IFERROR(__xludf.DUMMYFUNCTION("iferror(divide(googlefinance($B747,""shares""),1000),"""")"),78973.0)</f>
        <v>78973</v>
      </c>
      <c r="E747" s="72">
        <f>IFERROR(__xludf.DUMMYFUNCTION("iferror(divide(googlefinance($B747,""volumeavg""),1000),"""")"),2910.475)</f>
        <v>2910.475</v>
      </c>
      <c r="F747" s="73">
        <f>IFERROR(__xludf.DUMMYFUNCTION("iferror(MINUS(divide(GOOGLEFINANCE($B747), INDEX(GOOGLEFINANCE($B747,""price"",today()-182),2,2)),1),"""")"),1.290680473372781)</f>
        <v>1.290680473</v>
      </c>
      <c r="G747" s="61">
        <f>IFERROR(__xludf.DUMMYFUNCTION("iferror(MINUS(divide(GOOGLEFINANCE($B747), INDEX(GOOGLEFINANCE($B747,""price"",today()-364),2,2)),1),"""")"),2.626463700234192)</f>
        <v>2.6264637</v>
      </c>
    </row>
    <row r="748">
      <c r="A748" s="71">
        <f t="shared" si="4"/>
        <v>744</v>
      </c>
      <c r="B748" s="47" t="s">
        <v>881</v>
      </c>
      <c r="C748" s="72">
        <f>IFERROR(__xludf.DUMMYFUNCTION("iferror(divide(googlefinance($B748,""marketcap""),1000000),"""")"),1013.85186)</f>
        <v>1013.85186</v>
      </c>
      <c r="D748" s="72">
        <f>IFERROR(__xludf.DUMMYFUNCTION("iferror(divide(googlefinance($B748,""shares""),1000),"""")"),35045.0)</f>
        <v>35045</v>
      </c>
      <c r="E748" s="72">
        <f>IFERROR(__xludf.DUMMYFUNCTION("iferror(divide(googlefinance($B748,""volumeavg""),1000),"""")"),186.166)</f>
        <v>186.166</v>
      </c>
      <c r="F748" s="73" t="str">
        <f>IFERROR(__xludf.DUMMYFUNCTION("iferror(MINUS(divide(GOOGLEFINANCE($B748), INDEX(GOOGLEFINANCE($B748,""price"",today()-182),2,2)),1),"""")"),"")</f>
        <v/>
      </c>
      <c r="G748" s="61" t="str">
        <f>IFERROR(__xludf.DUMMYFUNCTION("iferror(MINUS(divide(GOOGLEFINANCE($B748), INDEX(GOOGLEFINANCE($B748,""price"",today()-364),2,2)),1),"""")"),"")</f>
        <v/>
      </c>
    </row>
    <row r="749">
      <c r="A749" s="71">
        <f t="shared" si="4"/>
        <v>745</v>
      </c>
      <c r="B749" s="47" t="s">
        <v>882</v>
      </c>
      <c r="C749" s="72">
        <f>IFERROR(__xludf.DUMMYFUNCTION("iferror(divide(googlefinance($B749,""marketcap""),1000000),"""")"),1868.894063)</f>
        <v>1868.894063</v>
      </c>
      <c r="D749" s="72">
        <f>IFERROR(__xludf.DUMMYFUNCTION("iferror(divide(googlefinance($B749,""shares""),1000),"""")"),22678.0)</f>
        <v>22678</v>
      </c>
      <c r="E749" s="72">
        <f>IFERROR(__xludf.DUMMYFUNCTION("iferror(divide(googlefinance($B749,""volumeavg""),1000),"""")"),563.079)</f>
        <v>563.079</v>
      </c>
      <c r="F749" s="73">
        <f>IFERROR(__xludf.DUMMYFUNCTION("iferror(MINUS(divide(GOOGLEFINANCE($B749), INDEX(GOOGLEFINANCE($B749,""price"",today()-182),2,2)),1),"""")"),2.4963937208315654)</f>
        <v>2.496393721</v>
      </c>
      <c r="G749" s="61">
        <f>IFERROR(__xludf.DUMMYFUNCTION("iferror(MINUS(divide(GOOGLEFINANCE($B749), INDEX(GOOGLEFINANCE($B749,""price"",today()-364),2,2)),1),"""")"),-0.07993747906665172)</f>
        <v>-0.07993747907</v>
      </c>
    </row>
    <row r="750">
      <c r="A750" s="71">
        <f t="shared" si="4"/>
        <v>746</v>
      </c>
      <c r="B750" s="47" t="s">
        <v>883</v>
      </c>
      <c r="C750" s="72">
        <f>IFERROR(__xludf.DUMMYFUNCTION("iferror(divide(googlefinance($B750,""marketcap""),1000000),"""")"),7772.525254)</f>
        <v>7772.525254</v>
      </c>
      <c r="D750" s="72">
        <f>IFERROR(__xludf.DUMMYFUNCTION("iferror(divide(googlefinance($B750,""shares""),1000),"""")"),55459.0)</f>
        <v>55459</v>
      </c>
      <c r="E750" s="72">
        <f>IFERROR(__xludf.DUMMYFUNCTION("iferror(divide(googlefinance($B750,""volumeavg""),1000),"""")"),727.042)</f>
        <v>727.042</v>
      </c>
      <c r="F750" s="73">
        <f>IFERROR(__xludf.DUMMYFUNCTION("iferror(MINUS(divide(GOOGLEFINANCE($B750), INDEX(GOOGLEFINANCE($B750,""price"",today()-182),2,2)),1),"""")"),0.45792156454800814)</f>
        <v>0.4579215645</v>
      </c>
      <c r="G750" s="61">
        <f>IFERROR(__xludf.DUMMYFUNCTION("iferror(MINUS(divide(GOOGLEFINANCE($B750), INDEX(GOOGLEFINANCE($B750,""price"",today()-364),2,2)),1),"""")"),0.08466836932125998)</f>
        <v>0.08466836932</v>
      </c>
    </row>
    <row r="751">
      <c r="A751" s="71">
        <f t="shared" si="4"/>
        <v>747</v>
      </c>
      <c r="B751" s="47" t="s">
        <v>884</v>
      </c>
      <c r="C751" s="72">
        <f>IFERROR(__xludf.DUMMYFUNCTION("iferror(divide(googlefinance($B751,""marketcap""),1000000),"""")"),14184.361337)</f>
        <v>14184.36134</v>
      </c>
      <c r="D751" s="72">
        <f>IFERROR(__xludf.DUMMYFUNCTION("iferror(divide(googlefinance($B751,""shares""),1000),"""")"),105507.0)</f>
        <v>105507</v>
      </c>
      <c r="E751" s="72">
        <f>IFERROR(__xludf.DUMMYFUNCTION("iferror(divide(googlefinance($B751,""volumeavg""),1000),"""")"),713.897)</f>
        <v>713.897</v>
      </c>
      <c r="F751" s="73">
        <f>IFERROR(__xludf.DUMMYFUNCTION("iferror(MINUS(divide(GOOGLEFINANCE($B751), INDEX(GOOGLEFINANCE($B751,""price"",today()-182),2,2)),1),"""")"),0.6673694654595064)</f>
        <v>0.6673694655</v>
      </c>
      <c r="G751" s="61">
        <f>IFERROR(__xludf.DUMMYFUNCTION("iferror(MINUS(divide(GOOGLEFINANCE($B751), INDEX(GOOGLEFINANCE($B751,""price"",today()-364),2,2)),1),"""")"),0.17774857643451591)</f>
        <v>0.1777485764</v>
      </c>
    </row>
    <row r="752">
      <c r="A752" s="71">
        <f t="shared" si="4"/>
        <v>748</v>
      </c>
      <c r="B752" s="52" t="s">
        <v>885</v>
      </c>
      <c r="C752" s="72">
        <f>IFERROR(__xludf.DUMMYFUNCTION("iferror(divide(googlefinance($B752,""marketcap""),1000000),"""")"),3517.019618)</f>
        <v>3517.019618</v>
      </c>
      <c r="D752" s="72">
        <f>IFERROR(__xludf.DUMMYFUNCTION("iferror(divide(googlefinance($B752,""shares""),1000),"""")"),272426.0)</f>
        <v>272426</v>
      </c>
      <c r="E752" s="72">
        <f>IFERROR(__xludf.DUMMYFUNCTION("iferror(divide(googlefinance($B752,""volumeavg""),1000),"""")"),8759.712)</f>
        <v>8759.712</v>
      </c>
      <c r="F752" s="73">
        <f>IFERROR(__xludf.DUMMYFUNCTION("iferror(MINUS(divide(GOOGLEFINANCE($B752), INDEX(GOOGLEFINANCE($B752,""price"",today()-182),2,2)),1),"""")"),0.8055944055944055)</f>
        <v>0.8055944056</v>
      </c>
      <c r="G752" s="61">
        <f>IFERROR(__xludf.DUMMYFUNCTION("iferror(MINUS(divide(GOOGLEFINANCE($B752), INDEX(GOOGLEFINANCE($B752,""price"",today()-364),2,2)),1),"""")"),-0.23699763593380618)</f>
        <v>-0.2369976359</v>
      </c>
    </row>
    <row r="753">
      <c r="A753" s="71">
        <f t="shared" si="4"/>
        <v>749</v>
      </c>
      <c r="B753" s="47" t="s">
        <v>886</v>
      </c>
      <c r="C753" s="72">
        <f>IFERROR(__xludf.DUMMYFUNCTION("iferror(divide(googlefinance($B753,""marketcap""),1000000),"""")"),665.282963)</f>
        <v>665.282963</v>
      </c>
      <c r="D753" s="72">
        <f>IFERROR(__xludf.DUMMYFUNCTION("iferror(divide(googlefinance($B753,""shares""),1000),"""")"),8822.0)</f>
        <v>8822</v>
      </c>
      <c r="E753" s="72">
        <f>IFERROR(__xludf.DUMMYFUNCTION("iferror(divide(googlefinance($B753,""volumeavg""),1000),"""")"),63.981)</f>
        <v>63.981</v>
      </c>
      <c r="F753" s="73">
        <f>IFERROR(__xludf.DUMMYFUNCTION("iferror(MINUS(divide(GOOGLEFINANCE($B753), INDEX(GOOGLEFINANCE($B753,""price"",today()-182),2,2)),1),"""")"),0.004930703624733246)</f>
        <v>0.004930703625</v>
      </c>
      <c r="G753" s="61">
        <f>IFERROR(__xludf.DUMMYFUNCTION("iferror(MINUS(divide(GOOGLEFINANCE($B753), INDEX(GOOGLEFINANCE($B753,""price"",today()-364),2,2)),1),"""")"),-0.195712457337884)</f>
        <v>-0.1957124573</v>
      </c>
    </row>
    <row r="754">
      <c r="A754" s="71">
        <f t="shared" si="4"/>
        <v>750</v>
      </c>
      <c r="B754" s="47" t="s">
        <v>887</v>
      </c>
      <c r="C754" s="72">
        <f>IFERROR(__xludf.DUMMYFUNCTION("iferror(divide(googlefinance($B754,""marketcap""),1000000),"""")"),86.223287)</f>
        <v>86.223287</v>
      </c>
      <c r="D754" s="72">
        <f>IFERROR(__xludf.DUMMYFUNCTION("iferror(divide(googlefinance($B754,""shares""),1000),"""")"),315398.817)</f>
        <v>315398.817</v>
      </c>
      <c r="E754" s="72" t="str">
        <f>IFERROR(__xludf.DUMMYFUNCTION("iferror(divide(googlefinance($B754,""volumeavg""),1000),"""")"),"")</f>
        <v/>
      </c>
      <c r="F754" s="73" t="str">
        <f>IFERROR(__xludf.DUMMYFUNCTION("iferror(MINUS(divide(GOOGLEFINANCE($B754), INDEX(GOOGLEFINANCE($B754,""price"",today()-182),2,2)),1),"""")"),"")</f>
        <v/>
      </c>
      <c r="G754" s="61">
        <f>IFERROR(__xludf.DUMMYFUNCTION("iferror(MINUS(divide(GOOGLEFINANCE($B754), INDEX(GOOGLEFINANCE($B754,""price"",today()-364),2,2)),1),"""")"),-0.6992962252079334)</f>
        <v>-0.6992962252</v>
      </c>
    </row>
    <row r="755">
      <c r="A755" s="71">
        <f t="shared" si="4"/>
        <v>751</v>
      </c>
      <c r="B755" s="47" t="s">
        <v>888</v>
      </c>
      <c r="C755" s="72">
        <f>IFERROR(__xludf.DUMMYFUNCTION("iferror(divide(googlefinance($B755,""marketcap""),1000000),"""")"),2256.748217)</f>
        <v>2256.748217</v>
      </c>
      <c r="D755" s="72">
        <f>IFERROR(__xludf.DUMMYFUNCTION("iferror(divide(googlefinance($B755,""shares""),1000),"""")"),100568.0)</f>
        <v>100568</v>
      </c>
      <c r="E755" s="72">
        <f>IFERROR(__xludf.DUMMYFUNCTION("iferror(divide(googlefinance($B755,""volumeavg""),1000),"""")"),538.474)</f>
        <v>538.474</v>
      </c>
      <c r="F755" s="73">
        <f>IFERROR(__xludf.DUMMYFUNCTION("iferror(MINUS(divide(GOOGLEFINANCE($B755), INDEX(GOOGLEFINANCE($B755,""price"",today()-182),2,2)),1),"""")"),1.6431095406360425)</f>
        <v>1.643109541</v>
      </c>
      <c r="G755" s="61">
        <f>IFERROR(__xludf.DUMMYFUNCTION("iferror(MINUS(divide(GOOGLEFINANCE($B755), INDEX(GOOGLEFINANCE($B755,""price"",today()-364),2,2)),1),"""")"),0.17118997912317324)</f>
        <v>0.1711899791</v>
      </c>
    </row>
    <row r="756">
      <c r="A756" s="71">
        <f t="shared" si="4"/>
        <v>752</v>
      </c>
      <c r="B756" s="47" t="s">
        <v>889</v>
      </c>
      <c r="C756" s="72">
        <f>IFERROR(__xludf.DUMMYFUNCTION("iferror(divide(googlefinance($B756,""marketcap""),1000000),"""")"),13538.665191)</f>
        <v>13538.66519</v>
      </c>
      <c r="D756" s="72">
        <f>IFERROR(__xludf.DUMMYFUNCTION("iferror(divide(googlefinance($B756,""shares""),1000),"""")"),443891.0)</f>
        <v>443891</v>
      </c>
      <c r="E756" s="72">
        <f>IFERROR(__xludf.DUMMYFUNCTION("iferror(divide(googlefinance($B756,""volumeavg""),1000),"""")"),15.88)</f>
        <v>15.88</v>
      </c>
      <c r="F756" s="73">
        <f>IFERROR(__xludf.DUMMYFUNCTION("iferror(MINUS(divide(GOOGLEFINANCE($B756), INDEX(GOOGLEFINANCE($B756,""price"",today()-182),2,2)),1),"""")"),1.1694094869312681)</f>
        <v>1.169409487</v>
      </c>
      <c r="G756" s="61">
        <f>IFERROR(__xludf.DUMMYFUNCTION("iferror(MINUS(divide(GOOGLEFINANCE($B756), INDEX(GOOGLEFINANCE($B756,""price"",today()-364),2,2)),1),"""")"),0.3371121718377088)</f>
        <v>0.3371121718</v>
      </c>
    </row>
    <row r="757">
      <c r="A757" s="71">
        <f t="shared" si="4"/>
        <v>753</v>
      </c>
      <c r="B757" s="47" t="s">
        <v>890</v>
      </c>
      <c r="C757" s="72">
        <f>IFERROR(__xludf.DUMMYFUNCTION("iferror(divide(googlefinance($B757,""marketcap""),1000000),"""")"),26.403462)</f>
        <v>26.403462</v>
      </c>
      <c r="D757" s="72">
        <f>IFERROR(__xludf.DUMMYFUNCTION("iferror(divide(googlefinance($B757,""shares""),1000),"""")"),44820.0)</f>
        <v>44820</v>
      </c>
      <c r="E757" s="72">
        <f>IFERROR(__xludf.DUMMYFUNCTION("iferror(divide(googlefinance($B757,""volumeavg""),1000),"""")"),5170.946)</f>
        <v>5170.946</v>
      </c>
      <c r="F757" s="73">
        <f>IFERROR(__xludf.DUMMYFUNCTION("iferror(MINUS(divide(GOOGLEFINANCE($B757), INDEX(GOOGLEFINANCE($B757,""price"",today()-182),2,2)),1),"""")"),-0.0634920634920636)</f>
        <v>-0.06349206349</v>
      </c>
      <c r="G757" s="61">
        <f>IFERROR(__xludf.DUMMYFUNCTION("iferror(MINUS(divide(GOOGLEFINANCE($B757), INDEX(GOOGLEFINANCE($B757,""price"",today()-364),2,2)),1),"""")"),-0.6927083333333333)</f>
        <v>-0.6927083333</v>
      </c>
    </row>
    <row r="758">
      <c r="A758" s="71">
        <f t="shared" si="4"/>
        <v>754</v>
      </c>
      <c r="B758" s="47" t="s">
        <v>891</v>
      </c>
      <c r="C758" s="72">
        <f>IFERROR(__xludf.DUMMYFUNCTION("iferror(divide(googlefinance($B758,""marketcap""),1000000),"""")"),2542.511153)</f>
        <v>2542.511153</v>
      </c>
      <c r="D758" s="72">
        <f>IFERROR(__xludf.DUMMYFUNCTION("iferror(divide(googlefinance($B758,""shares""),1000),"""")"),18895.0)</f>
        <v>18895</v>
      </c>
      <c r="E758" s="72">
        <f>IFERROR(__xludf.DUMMYFUNCTION("iferror(divide(googlefinance($B758,""volumeavg""),1000),"""")"),118.968)</f>
        <v>118.968</v>
      </c>
      <c r="F758" s="73">
        <f>IFERROR(__xludf.DUMMYFUNCTION("iferror(MINUS(divide(GOOGLEFINANCE($B758), INDEX(GOOGLEFINANCE($B758,""price"",today()-182),2,2)),1),"""")"),0.08691437802907931)</f>
        <v>0.08691437803</v>
      </c>
      <c r="G758" s="61">
        <f>IFERROR(__xludf.DUMMYFUNCTION("iferror(MINUS(divide(GOOGLEFINANCE($B758), INDEX(GOOGLEFINANCE($B758,""price"",today()-364),2,2)),1),"""")"),-0.2978501356710498)</f>
        <v>-0.2978501357</v>
      </c>
    </row>
    <row r="759">
      <c r="A759" s="71">
        <f t="shared" si="4"/>
        <v>755</v>
      </c>
      <c r="B759" s="47" t="s">
        <v>892</v>
      </c>
      <c r="C759" s="72">
        <f>IFERROR(__xludf.DUMMYFUNCTION("iferror(divide(googlefinance($B759,""marketcap""),1000000),"""")"),4204.068384)</f>
        <v>4204.068384</v>
      </c>
      <c r="D759" s="72">
        <f>IFERROR(__xludf.DUMMYFUNCTION("iferror(divide(googlefinance($B759,""shares""),1000),"""")"),179431.0)</f>
        <v>179431</v>
      </c>
      <c r="E759" s="72">
        <f>IFERROR(__xludf.DUMMYFUNCTION("iferror(divide(googlefinance($B759,""volumeavg""),1000),"""")"),1151.639)</f>
        <v>1151.639</v>
      </c>
      <c r="F759" s="73">
        <f>IFERROR(__xludf.DUMMYFUNCTION("iferror(MINUS(divide(GOOGLEFINANCE($B759), INDEX(GOOGLEFINANCE($B759,""price"",today()-182),2,2)),1),"""")"),0.7590090090090089)</f>
        <v>0.759009009</v>
      </c>
      <c r="G759" s="61">
        <f>IFERROR(__xludf.DUMMYFUNCTION("iferror(MINUS(divide(GOOGLEFINANCE($B759), INDEX(GOOGLEFINANCE($B759,""price"",today()-364),2,2)),1),"""")"),0.15022091310751096)</f>
        <v>0.1502209131</v>
      </c>
    </row>
    <row r="760">
      <c r="A760" s="71">
        <f t="shared" si="4"/>
        <v>756</v>
      </c>
      <c r="B760" s="47" t="s">
        <v>893</v>
      </c>
      <c r="C760" s="72">
        <f>IFERROR(__xludf.DUMMYFUNCTION("iferror(divide(googlefinance($B760,""marketcap""),1000000),"""")"),324.700342)</f>
        <v>324.700342</v>
      </c>
      <c r="D760" s="72">
        <f>IFERROR(__xludf.DUMMYFUNCTION("iferror(divide(googlefinance($B760,""shares""),1000),"""")"),34215.0)</f>
        <v>34215</v>
      </c>
      <c r="E760" s="72">
        <f>IFERROR(__xludf.DUMMYFUNCTION("iferror(divide(googlefinance($B760,""volumeavg""),1000),"""")"),2166.757)</f>
        <v>2166.757</v>
      </c>
      <c r="F760" s="73">
        <f>IFERROR(__xludf.DUMMYFUNCTION("iferror(MINUS(divide(GOOGLEFINANCE($B760), INDEX(GOOGLEFINANCE($B760,""price"",today()-182),2,2)),1),"""")"),1.4395886889460154)</f>
        <v>1.439588689</v>
      </c>
      <c r="G760" s="61">
        <f>IFERROR(__xludf.DUMMYFUNCTION("iferror(MINUS(divide(GOOGLEFINANCE($B760), INDEX(GOOGLEFINANCE($B760,""price"",today()-364),2,2)),1),"""")"),1.807692307692308)</f>
        <v>1.807692308</v>
      </c>
    </row>
    <row r="761">
      <c r="A761" s="71">
        <f t="shared" si="4"/>
        <v>757</v>
      </c>
      <c r="B761" s="47" t="s">
        <v>894</v>
      </c>
      <c r="C761" s="72">
        <f>IFERROR(__xludf.DUMMYFUNCTION("iferror(divide(googlefinance($B761,""marketcap""),1000000),"""")"),387472.556089)</f>
        <v>387472.5561</v>
      </c>
      <c r="D761" s="72">
        <f>IFERROR(__xludf.DUMMYFUNCTION("iferror(divide(googlefinance($B761,""shares""),1000),"""")"),2632823.0)</f>
        <v>2632823</v>
      </c>
      <c r="E761" s="72">
        <f>IFERROR(__xludf.DUMMYFUNCTION("iferror(divide(googlefinance($B761,""volumeavg""),1000),"""")"),5633.604)</f>
        <v>5633.604</v>
      </c>
      <c r="F761" s="73">
        <f>IFERROR(__xludf.DUMMYFUNCTION("iferror(MINUS(divide(GOOGLEFINANCE($B761), INDEX(GOOGLEFINANCE($B761,""price"",today()-182),2,2)),1),"""")"),0.22754191342063557)</f>
        <v>0.2275419134</v>
      </c>
      <c r="G761" s="61">
        <f>IFERROR(__xludf.DUMMYFUNCTION("iferror(MINUS(divide(GOOGLEFINANCE($B761), INDEX(GOOGLEFINANCE($B761,""price"",today()-364),2,2)),1),"""")"),0.11788834029623985)</f>
        <v>0.1178883403</v>
      </c>
    </row>
    <row r="762">
      <c r="A762" s="71">
        <f t="shared" si="4"/>
        <v>758</v>
      </c>
      <c r="B762" s="47" t="s">
        <v>895</v>
      </c>
      <c r="C762" s="72">
        <f>IFERROR(__xludf.DUMMYFUNCTION("iferror(divide(googlefinance($B762,""marketcap""),1000000),"""")"),7716.505075)</f>
        <v>7716.505075</v>
      </c>
      <c r="D762" s="72" t="str">
        <f>IFERROR(__xludf.DUMMYFUNCTION("iferror(divide(googlefinance($B762,""shares""),1000),"""")"),"")</f>
        <v/>
      </c>
      <c r="E762" s="72" t="str">
        <f>IFERROR(__xludf.DUMMYFUNCTION("iferror(divide(googlefinance($B762,""volumeavg""),1000),"""")"),"")</f>
        <v/>
      </c>
      <c r="F762" s="73" t="str">
        <f>IFERROR(__xludf.DUMMYFUNCTION("iferror(MINUS(divide(GOOGLEFINANCE($B762), INDEX(GOOGLEFINANCE($B762,""price"",today()-182),2,2)),1),"""")"),"")</f>
        <v/>
      </c>
      <c r="G762" s="61" t="str">
        <f>IFERROR(__xludf.DUMMYFUNCTION("iferror(MINUS(divide(GOOGLEFINANCE($B762), INDEX(GOOGLEFINANCE($B762,""price"",today()-364),2,2)),1),"""")"),"")</f>
        <v/>
      </c>
    </row>
    <row r="763">
      <c r="A763" s="71">
        <f t="shared" si="4"/>
        <v>759</v>
      </c>
      <c r="B763" s="47" t="s">
        <v>896</v>
      </c>
      <c r="C763" s="72">
        <f>IFERROR(__xludf.DUMMYFUNCTION("iferror(divide(googlefinance($B763,""marketcap""),1000000),"""")"),842.079965)</f>
        <v>842.079965</v>
      </c>
      <c r="D763" s="72">
        <f>IFERROR(__xludf.DUMMYFUNCTION("iferror(divide(googlefinance($B763,""shares""),1000),"""")"),8873.0)</f>
        <v>8873</v>
      </c>
      <c r="E763" s="72">
        <f>IFERROR(__xludf.DUMMYFUNCTION("iferror(divide(googlefinance($B763,""volumeavg""),1000),"""")"),31.066)</f>
        <v>31.066</v>
      </c>
      <c r="F763" s="73">
        <f>IFERROR(__xludf.DUMMYFUNCTION("iferror(MINUS(divide(GOOGLEFINANCE($B763), INDEX(GOOGLEFINANCE($B763,""price"",today()-182),2,2)),1),"""")"),0.5959480122324159)</f>
        <v>0.5959480122</v>
      </c>
      <c r="G763" s="61">
        <f>IFERROR(__xludf.DUMMYFUNCTION("iferror(MINUS(divide(GOOGLEFINANCE($B763), INDEX(GOOGLEFINANCE($B763,""price"",today()-364),2,2)),1),"""")"),0.45877009084556253)</f>
        <v>0.4587700908</v>
      </c>
    </row>
    <row r="764">
      <c r="A764" s="71">
        <f t="shared" si="4"/>
        <v>760</v>
      </c>
      <c r="B764" s="47" t="s">
        <v>897</v>
      </c>
      <c r="C764" s="72">
        <f>IFERROR(__xludf.DUMMYFUNCTION("iferror(divide(googlefinance($B764,""marketcap""),1000000),"""")"),2347.820934)</f>
        <v>2347.820934</v>
      </c>
      <c r="D764" s="72">
        <f>IFERROR(__xludf.DUMMYFUNCTION("iferror(divide(googlefinance($B764,""shares""),1000),"""")"),157150.0)</f>
        <v>157150</v>
      </c>
      <c r="E764" s="72">
        <f>IFERROR(__xludf.DUMMYFUNCTION("iferror(divide(googlefinance($B764,""volumeavg""),1000),"""")"),9588.449)</f>
        <v>9588.449</v>
      </c>
      <c r="F764" s="73">
        <f>IFERROR(__xludf.DUMMYFUNCTION("iferror(MINUS(divide(GOOGLEFINANCE($B764), INDEX(GOOGLEFINANCE($B764,""price"",today()-182),2,2)),1),"""")"),-0.16349384098544228)</f>
        <v>-0.163493841</v>
      </c>
      <c r="G764" s="61">
        <f>IFERROR(__xludf.DUMMYFUNCTION("iferror(MINUS(divide(GOOGLEFINANCE($B764), INDEX(GOOGLEFINANCE($B764,""price"",today()-364),2,2)),1),"""")"),-0.535303265940902)</f>
        <v>-0.5353032659</v>
      </c>
    </row>
    <row r="765">
      <c r="A765" s="71">
        <f t="shared" si="4"/>
        <v>761</v>
      </c>
      <c r="B765" s="47" t="s">
        <v>898</v>
      </c>
      <c r="C765" s="72">
        <f>IFERROR(__xludf.DUMMYFUNCTION("iferror(divide(googlefinance($B765,""marketcap""),1000000),"""")"),21778.785114)</f>
        <v>21778.78511</v>
      </c>
      <c r="D765" s="72">
        <f>IFERROR(__xludf.DUMMYFUNCTION("iferror(divide(googlefinance($B765,""shares""),1000),"""")"),342919.0)</f>
        <v>342919</v>
      </c>
      <c r="E765" s="72">
        <f>IFERROR(__xludf.DUMMYFUNCTION("iferror(divide(googlefinance($B765,""volumeavg""),1000),"""")"),1790.257)</f>
        <v>1790.257</v>
      </c>
      <c r="F765" s="73">
        <f>IFERROR(__xludf.DUMMYFUNCTION("iferror(MINUS(divide(GOOGLEFINANCE($B765), INDEX(GOOGLEFINANCE($B765,""price"",today()-182),2,2)),1),"""")"),0.1379681060741802)</f>
        <v>0.1379681061</v>
      </c>
      <c r="G765" s="61">
        <f>IFERROR(__xludf.DUMMYFUNCTION("iferror(MINUS(divide(GOOGLEFINANCE($B765), INDEX(GOOGLEFINANCE($B765,""price"",today()-364),2,2)),1),"""")"),-0.003452063392436866)</f>
        <v>-0.003452063392</v>
      </c>
    </row>
    <row r="766">
      <c r="A766" s="71">
        <f t="shared" si="4"/>
        <v>762</v>
      </c>
      <c r="B766" s="47" t="s">
        <v>899</v>
      </c>
      <c r="C766" s="72">
        <f>IFERROR(__xludf.DUMMYFUNCTION("iferror(divide(googlefinance($B766,""marketcap""),1000000),"""")"),489.964387)</f>
        <v>489.964387</v>
      </c>
      <c r="D766" s="72">
        <f>IFERROR(__xludf.DUMMYFUNCTION("iferror(divide(googlefinance($B766,""shares""),1000),"""")"),56060.0)</f>
        <v>56060</v>
      </c>
      <c r="E766" s="72">
        <f>IFERROR(__xludf.DUMMYFUNCTION("iferror(divide(googlefinance($B766,""volumeavg""),1000),"""")"),890.356)</f>
        <v>890.356</v>
      </c>
      <c r="F766" s="73">
        <f>IFERROR(__xludf.DUMMYFUNCTION("iferror(MINUS(divide(GOOGLEFINANCE($B766), INDEX(GOOGLEFINANCE($B766,""price"",today()-182),2,2)),1),"""")"),0.24857142857142867)</f>
        <v>0.2485714286</v>
      </c>
      <c r="G766" s="61">
        <f>IFERROR(__xludf.DUMMYFUNCTION("iferror(MINUS(divide(GOOGLEFINANCE($B766), INDEX(GOOGLEFINANCE($B766,""price"",today()-364),2,2)),1),"""")"),0.9208791208791209)</f>
        <v>0.9208791209</v>
      </c>
    </row>
    <row r="767">
      <c r="A767" s="71">
        <f t="shared" si="4"/>
        <v>763</v>
      </c>
      <c r="B767" s="47" t="s">
        <v>900</v>
      </c>
      <c r="C767" s="72">
        <f>IFERROR(__xludf.DUMMYFUNCTION("iferror(divide(googlefinance($B767,""marketcap""),1000000),"""")"),961.05334)</f>
        <v>961.05334</v>
      </c>
      <c r="D767" s="72">
        <f>IFERROR(__xludf.DUMMYFUNCTION("iferror(divide(googlefinance($B767,""shares""),1000),"""")"),15812.0)</f>
        <v>15812</v>
      </c>
      <c r="E767" s="72">
        <f>IFERROR(__xludf.DUMMYFUNCTION("iferror(divide(googlefinance($B767,""volumeavg""),1000),"""")"),106.655)</f>
        <v>106.655</v>
      </c>
      <c r="F767" s="73">
        <f>IFERROR(__xludf.DUMMYFUNCTION("iferror(MINUS(divide(GOOGLEFINANCE($B767), INDEX(GOOGLEFINANCE($B767,""price"",today()-182),2,2)),1),"""")"),0.09612263300270518)</f>
        <v>0.096122633</v>
      </c>
      <c r="G767" s="61">
        <f>IFERROR(__xludf.DUMMYFUNCTION("iferror(MINUS(divide(GOOGLEFINANCE($B767), INDEX(GOOGLEFINANCE($B767,""price"",today()-364),2,2)),1),"""")"),-0.37520559210526316)</f>
        <v>-0.3752055921</v>
      </c>
    </row>
    <row r="768">
      <c r="A768" s="71">
        <f t="shared" si="4"/>
        <v>764</v>
      </c>
      <c r="B768" s="47" t="s">
        <v>901</v>
      </c>
      <c r="C768" s="72">
        <f>IFERROR(__xludf.DUMMYFUNCTION("iferror(divide(googlefinance($B768,""marketcap""),1000000),"""")"),239.788126)</f>
        <v>239.788126</v>
      </c>
      <c r="D768" s="72">
        <f>IFERROR(__xludf.DUMMYFUNCTION("iferror(divide(googlefinance($B768,""shares""),1000),"""")"),17908.0)</f>
        <v>17908</v>
      </c>
      <c r="E768" s="72">
        <f>IFERROR(__xludf.DUMMYFUNCTION("iferror(divide(googlefinance($B768,""volumeavg""),1000),"""")"),53.354)</f>
        <v>53.354</v>
      </c>
      <c r="F768" s="73">
        <f>IFERROR(__xludf.DUMMYFUNCTION("iferror(MINUS(divide(GOOGLEFINANCE($B768), INDEX(GOOGLEFINANCE($B768,""price"",today()-182),2,2)),1),"""")"),0.9547445255474454)</f>
        <v>0.9547445255</v>
      </c>
      <c r="G768" s="61">
        <f>IFERROR(__xludf.DUMMYFUNCTION("iferror(MINUS(divide(GOOGLEFINANCE($B768), INDEX(GOOGLEFINANCE($B768,""price"",today()-364),2,2)),1),"""")"),-0.01904761904761898)</f>
        <v>-0.01904761905</v>
      </c>
    </row>
    <row r="769">
      <c r="A769" s="71">
        <f t="shared" si="4"/>
        <v>765</v>
      </c>
      <c r="B769" s="47" t="s">
        <v>902</v>
      </c>
      <c r="C769" s="72">
        <f>IFERROR(__xludf.DUMMYFUNCTION("iferror(divide(googlefinance($B769,""marketcap""),1000000),"""")"),1284.439528)</f>
        <v>1284.439528</v>
      </c>
      <c r="D769" s="72">
        <f>IFERROR(__xludf.DUMMYFUNCTION("iferror(divide(googlefinance($B769,""shares""),1000),"""")"),27664.0)</f>
        <v>27664</v>
      </c>
      <c r="E769" s="72">
        <f>IFERROR(__xludf.DUMMYFUNCTION("iferror(divide(googlefinance($B769,""volumeavg""),1000),"""")"),177.715)</f>
        <v>177.715</v>
      </c>
      <c r="F769" s="73">
        <f>IFERROR(__xludf.DUMMYFUNCTION("iferror(MINUS(divide(GOOGLEFINANCE($B769), INDEX(GOOGLEFINANCE($B769,""price"",today()-182),2,2)),1),"""")"),0.3972314173939213)</f>
        <v>0.3972314174</v>
      </c>
      <c r="G769" s="61">
        <f>IFERROR(__xludf.DUMMYFUNCTION("iferror(MINUS(divide(GOOGLEFINANCE($B769), INDEX(GOOGLEFINANCE($B769,""price"",today()-364),2,2)),1),"""")"),-0.23256198347107437)</f>
        <v>-0.2325619835</v>
      </c>
    </row>
    <row r="770">
      <c r="A770" s="71">
        <f t="shared" si="4"/>
        <v>766</v>
      </c>
      <c r="B770" s="47" t="s">
        <v>903</v>
      </c>
      <c r="C770" s="72">
        <f>IFERROR(__xludf.DUMMYFUNCTION("iferror(divide(googlefinance($B770,""marketcap""),1000000),"""")"),1960.381184)</f>
        <v>1960.381184</v>
      </c>
      <c r="D770" s="72">
        <f>IFERROR(__xludf.DUMMYFUNCTION("iferror(divide(googlefinance($B770,""shares""),1000),"""")"),129228.0)</f>
        <v>129228</v>
      </c>
      <c r="E770" s="72">
        <f>IFERROR(__xludf.DUMMYFUNCTION("iferror(divide(googlefinance($B770,""volumeavg""),1000),"""")"),1889.454)</f>
        <v>1889.454</v>
      </c>
      <c r="F770" s="73">
        <f>IFERROR(__xludf.DUMMYFUNCTION("iferror(MINUS(divide(GOOGLEFINANCE($B770), INDEX(GOOGLEFINANCE($B770,""price"",today()-182),2,2)),1),"""")"),0.255794701986755)</f>
        <v>0.255794702</v>
      </c>
      <c r="G770" s="61">
        <f>IFERROR(__xludf.DUMMYFUNCTION("iferror(MINUS(divide(GOOGLEFINANCE($B770), INDEX(GOOGLEFINANCE($B770,""price"",today()-364),2,2)),1),"""")"),-0.40275590551181095)</f>
        <v>-0.4027559055</v>
      </c>
    </row>
    <row r="771">
      <c r="A771" s="71">
        <f t="shared" si="4"/>
        <v>767</v>
      </c>
      <c r="B771" s="47" t="s">
        <v>904</v>
      </c>
      <c r="C771" s="72">
        <f>IFERROR(__xludf.DUMMYFUNCTION("iferror(divide(googlefinance($B771,""marketcap""),1000000),"""")"),3495.247525)</f>
        <v>3495.247525</v>
      </c>
      <c r="D771" s="72">
        <f>IFERROR(__xludf.DUMMYFUNCTION("iferror(divide(googlefinance($B771,""shares""),1000),"""")"),90527.0)</f>
        <v>90527</v>
      </c>
      <c r="E771" s="72">
        <f>IFERROR(__xludf.DUMMYFUNCTION("iferror(divide(googlefinance($B771,""volumeavg""),1000),"""")"),1314.664)</f>
        <v>1314.664</v>
      </c>
      <c r="F771" s="73">
        <f>IFERROR(__xludf.DUMMYFUNCTION("iferror(MINUS(divide(GOOGLEFINANCE($B771), INDEX(GOOGLEFINANCE($B771,""price"",today()-182),2,2)),1),"""")"),2.190909090909091)</f>
        <v>2.190909091</v>
      </c>
      <c r="G771" s="61">
        <f>IFERROR(__xludf.DUMMYFUNCTION("iferror(MINUS(divide(GOOGLEFINANCE($B771), INDEX(GOOGLEFINANCE($B771,""price"",today()-364),2,2)),1),"""")"),0.22688274547187803)</f>
        <v>0.2268827455</v>
      </c>
    </row>
    <row r="772">
      <c r="A772" s="71">
        <f t="shared" si="4"/>
        <v>768</v>
      </c>
      <c r="B772" s="47" t="s">
        <v>905</v>
      </c>
      <c r="C772" s="72">
        <f>IFERROR(__xludf.DUMMYFUNCTION("iferror(divide(googlefinance($B772,""marketcap""),1000000),"""")"),3466.395439)</f>
        <v>3466.395439</v>
      </c>
      <c r="D772" s="72">
        <f>IFERROR(__xludf.DUMMYFUNCTION("iferror(divide(googlefinance($B772,""shares""),1000),"""")"),142357.0)</f>
        <v>142357</v>
      </c>
      <c r="E772" s="72">
        <f>IFERROR(__xludf.DUMMYFUNCTION("iferror(divide(googlefinance($B772,""volumeavg""),1000),"""")"),1428.867)</f>
        <v>1428.867</v>
      </c>
      <c r="F772" s="73">
        <f>IFERROR(__xludf.DUMMYFUNCTION("iferror(MINUS(divide(GOOGLEFINANCE($B772), INDEX(GOOGLEFINANCE($B772,""price"",today()-182),2,2)),1),"""")"),0.7016072676450036)</f>
        <v>0.7016072676</v>
      </c>
      <c r="G772" s="61">
        <f>IFERROR(__xludf.DUMMYFUNCTION("iferror(MINUS(divide(GOOGLEFINANCE($B772), INDEX(GOOGLEFINANCE($B772,""price"",today()-364),2,2)),1),"""")"),-0.04096100827097282)</f>
        <v>-0.04096100827</v>
      </c>
    </row>
    <row r="773">
      <c r="A773" s="71">
        <f t="shared" si="4"/>
        <v>769</v>
      </c>
      <c r="B773" s="47" t="s">
        <v>906</v>
      </c>
      <c r="C773" s="72">
        <f>IFERROR(__xludf.DUMMYFUNCTION("iferror(divide(googlefinance($B773,""marketcap""),1000000),"""")"),4.71562)</f>
        <v>4.71562</v>
      </c>
      <c r="D773" s="72">
        <f>IFERROR(__xludf.DUMMYFUNCTION("iferror(divide(googlefinance($B773,""shares""),1000),"""")"),2591.0)</f>
        <v>2591</v>
      </c>
      <c r="E773" s="72">
        <f>IFERROR(__xludf.DUMMYFUNCTION("iferror(divide(googlefinance($B773,""volumeavg""),1000),"""")"),31.776)</f>
        <v>31.776</v>
      </c>
      <c r="F773" s="73">
        <f>IFERROR(__xludf.DUMMYFUNCTION("iferror(MINUS(divide(GOOGLEFINANCE($B773), INDEX(GOOGLEFINANCE($B773,""price"",today()-182),2,2)),1),"""")"),0.3999999999999999)</f>
        <v>0.4</v>
      </c>
      <c r="G773" s="61">
        <f>IFERROR(__xludf.DUMMYFUNCTION("iferror(MINUS(divide(GOOGLEFINANCE($B773), INDEX(GOOGLEFINANCE($B773,""price"",today()-364),2,2)),1),"""")"),-0.23206751054852326)</f>
        <v>-0.2320675105</v>
      </c>
    </row>
    <row r="774">
      <c r="A774" s="71">
        <f t="shared" si="4"/>
        <v>770</v>
      </c>
      <c r="B774" s="47" t="s">
        <v>907</v>
      </c>
      <c r="C774" s="72">
        <f>IFERROR(__xludf.DUMMYFUNCTION("iferror(divide(googlefinance($B774,""marketcap""),1000000),"""")"),2418.330566)</f>
        <v>2418.330566</v>
      </c>
      <c r="D774" s="72">
        <f>IFERROR(__xludf.DUMMYFUNCTION("iferror(divide(googlefinance($B774,""shares""),1000),"""")"),60038.0)</f>
        <v>60038</v>
      </c>
      <c r="E774" s="72">
        <f>IFERROR(__xludf.DUMMYFUNCTION("iferror(divide(googlefinance($B774,""volumeavg""),1000),"""")"),715.551)</f>
        <v>715.551</v>
      </c>
      <c r="F774" s="73">
        <f>IFERROR(__xludf.DUMMYFUNCTION("iferror(MINUS(divide(GOOGLEFINANCE($B774), INDEX(GOOGLEFINANCE($B774,""price"",today()-182),2,2)),1),"""")"),0.10265535176567209)</f>
        <v>0.1026553518</v>
      </c>
      <c r="G774" s="61">
        <f>IFERROR(__xludf.DUMMYFUNCTION("iferror(MINUS(divide(GOOGLEFINANCE($B774), INDEX(GOOGLEFINANCE($B774,""price"",today()-364),2,2)),1),"""")"),-0.499440785385858)</f>
        <v>-0.4994407854</v>
      </c>
    </row>
    <row r="775">
      <c r="A775" s="71">
        <f t="shared" si="4"/>
        <v>771</v>
      </c>
      <c r="B775" s="47" t="s">
        <v>908</v>
      </c>
      <c r="C775" s="72">
        <f>IFERROR(__xludf.DUMMYFUNCTION("iferror(divide(googlefinance($B775,""marketcap""),1000000),"""")"),11763.235479)</f>
        <v>11763.23548</v>
      </c>
      <c r="D775" s="72">
        <f>IFERROR(__xludf.DUMMYFUNCTION("iferror(divide(googlefinance($B775,""shares""),1000),"""")"),1258100.0)</f>
        <v>1258100</v>
      </c>
      <c r="E775" s="72">
        <f>IFERROR(__xludf.DUMMYFUNCTION("iferror(divide(googlefinance($B775,""volumeavg""),1000),"""")"),15920.946)</f>
        <v>15920.946</v>
      </c>
      <c r="F775" s="73">
        <f>IFERROR(__xludf.DUMMYFUNCTION("iferror(MINUS(divide(GOOGLEFINANCE($B775), INDEX(GOOGLEFINANCE($B775,""price"",today()-182),2,2)),1),"""")"),1.5900277008310248)</f>
        <v>1.590027701</v>
      </c>
      <c r="G775" s="61">
        <f>IFERROR(__xludf.DUMMYFUNCTION("iferror(MINUS(divide(GOOGLEFINANCE($B775), INDEX(GOOGLEFINANCE($B775,""price"",today()-364),2,2)),1),"""")"),0.8050193050193051)</f>
        <v>0.805019305</v>
      </c>
    </row>
    <row r="776">
      <c r="A776" s="71">
        <f t="shared" si="4"/>
        <v>772</v>
      </c>
      <c r="B776" s="47" t="s">
        <v>909</v>
      </c>
      <c r="C776" s="72">
        <f>IFERROR(__xludf.DUMMYFUNCTION("iferror(divide(googlefinance($B776,""marketcap""),1000000),"""")"),37459.789173)</f>
        <v>37459.78917</v>
      </c>
      <c r="D776" s="72">
        <f>IFERROR(__xludf.DUMMYFUNCTION("iferror(divide(googlefinance($B776,""shares""),1000),"""")"),1222579.0)</f>
        <v>1222579</v>
      </c>
      <c r="E776" s="72">
        <f>IFERROR(__xludf.DUMMYFUNCTION("iferror(divide(googlefinance($B776,""volumeavg""),1000),"""")"),5757.985)</f>
        <v>5757.985</v>
      </c>
      <c r="F776" s="73">
        <f>IFERROR(__xludf.DUMMYFUNCTION("iferror(MINUS(divide(GOOGLEFINANCE($B776), INDEX(GOOGLEFINANCE($B776,""price"",today()-182),2,2)),1),"""")"),0.3752244165170555)</f>
        <v>0.3752244165</v>
      </c>
      <c r="G776" s="61">
        <f>IFERROR(__xludf.DUMMYFUNCTION("iferror(MINUS(divide(GOOGLEFINANCE($B776), INDEX(GOOGLEFINANCE($B776,""price"",today()-364),2,2)),1),"""")"),0.08884150675195457)</f>
        <v>0.08884150675</v>
      </c>
    </row>
    <row r="777">
      <c r="A777" s="71">
        <f t="shared" si="4"/>
        <v>773</v>
      </c>
      <c r="B777" s="47" t="s">
        <v>910</v>
      </c>
      <c r="C777" s="72">
        <f>IFERROR(__xludf.DUMMYFUNCTION("iferror(divide(googlefinance($B777,""marketcap""),1000000),"""")"),192.509514)</f>
        <v>192.509514</v>
      </c>
      <c r="D777" s="72">
        <f>IFERROR(__xludf.DUMMYFUNCTION("iferror(divide(googlefinance($B777,""shares""),1000),"""")"),39368.0)</f>
        <v>39368</v>
      </c>
      <c r="E777" s="72">
        <f>IFERROR(__xludf.DUMMYFUNCTION("iferror(divide(googlefinance($B777,""volumeavg""),1000),"""")"),383.439)</f>
        <v>383.439</v>
      </c>
      <c r="F777" s="73">
        <f>IFERROR(__xludf.DUMMYFUNCTION("iferror(MINUS(divide(GOOGLEFINANCE($B777), INDEX(GOOGLEFINANCE($B777,""price"",today()-182),2,2)),1),"""")"),0.3397260273972602)</f>
        <v>0.3397260274</v>
      </c>
      <c r="G777" s="61">
        <f>IFERROR(__xludf.DUMMYFUNCTION("iferror(MINUS(divide(GOOGLEFINANCE($B777), INDEX(GOOGLEFINANCE($B777,""price"",today()-364),2,2)),1),"""")"),-0.35573122529644274)</f>
        <v>-0.3557312253</v>
      </c>
    </row>
    <row r="778">
      <c r="A778" s="71">
        <f t="shared" si="4"/>
        <v>774</v>
      </c>
      <c r="B778" s="47" t="s">
        <v>911</v>
      </c>
      <c r="C778" s="72">
        <f>IFERROR(__xludf.DUMMYFUNCTION("iferror(divide(googlefinance($B778,""marketcap""),1000000),"""")"),118.400885)</f>
        <v>118.400885</v>
      </c>
      <c r="D778" s="72">
        <f>IFERROR(__xludf.DUMMYFUNCTION("iferror(divide(googlefinance($B778,""shares""),1000),"""")"),14248.0)</f>
        <v>14248</v>
      </c>
      <c r="E778" s="72">
        <f>IFERROR(__xludf.DUMMYFUNCTION("iferror(divide(googlefinance($B778,""volumeavg""),1000),"""")"),3113.054)</f>
        <v>3113.054</v>
      </c>
      <c r="F778" s="73">
        <f>IFERROR(__xludf.DUMMYFUNCTION("iferror(MINUS(divide(GOOGLEFINANCE($B778), INDEX(GOOGLEFINANCE($B778,""price"",today()-182),2,2)),1),"""")"),11.043478260869566)</f>
        <v>11.04347826</v>
      </c>
      <c r="G778" s="61">
        <f>IFERROR(__xludf.DUMMYFUNCTION("iferror(MINUS(divide(GOOGLEFINANCE($B778), INDEX(GOOGLEFINANCE($B778,""price"",today()-364),2,2)),1),"""")"),5.201492537313433)</f>
        <v>5.201492537</v>
      </c>
    </row>
    <row r="779">
      <c r="A779" s="71">
        <f t="shared" si="4"/>
        <v>775</v>
      </c>
      <c r="B779" s="47" t="s">
        <v>912</v>
      </c>
      <c r="C779" s="72">
        <f>IFERROR(__xludf.DUMMYFUNCTION("iferror(divide(googlefinance($B779,""marketcap""),1000000),"""")"),28059.156743)</f>
        <v>28059.15674</v>
      </c>
      <c r="D779" s="72">
        <f>IFERROR(__xludf.DUMMYFUNCTION("iferror(divide(googlefinance($B779,""shares""),1000),"""")"),155461.0)</f>
        <v>155461</v>
      </c>
      <c r="E779" s="72">
        <f>IFERROR(__xludf.DUMMYFUNCTION("iferror(divide(googlefinance($B779,""volumeavg""),1000),"""")"),1258.675)</f>
        <v>1258.675</v>
      </c>
      <c r="F779" s="73">
        <f>IFERROR(__xludf.DUMMYFUNCTION("iferror(MINUS(divide(GOOGLEFINANCE($B779), INDEX(GOOGLEFINANCE($B779,""price"",today()-182),2,2)),1),"""")"),0.5829679003683566)</f>
        <v>0.5829679004</v>
      </c>
      <c r="G779" s="61">
        <f>IFERROR(__xludf.DUMMYFUNCTION("iferror(MINUS(divide(GOOGLEFINANCE($B779), INDEX(GOOGLEFINANCE($B779,""price"",today()-364),2,2)),1),"""")"),0.1607073954983924)</f>
        <v>0.1607073955</v>
      </c>
    </row>
    <row r="780">
      <c r="A780" s="71">
        <f t="shared" si="4"/>
        <v>776</v>
      </c>
      <c r="B780" s="47" t="s">
        <v>913</v>
      </c>
      <c r="C780" s="72">
        <f>IFERROR(__xludf.DUMMYFUNCTION("iferror(divide(googlefinance($B780,""marketcap""),1000000),"""")"),209.727303)</f>
        <v>209.727303</v>
      </c>
      <c r="D780" s="72">
        <f>IFERROR(__xludf.DUMMYFUNCTION("iferror(divide(googlefinance($B780,""shares""),1000),"""")"),35547.0)</f>
        <v>35547</v>
      </c>
      <c r="E780" s="72">
        <f>IFERROR(__xludf.DUMMYFUNCTION("iferror(divide(googlefinance($B780,""volumeavg""),1000),"""")"),135.863)</f>
        <v>135.863</v>
      </c>
      <c r="F780" s="73">
        <f>IFERROR(__xludf.DUMMYFUNCTION("iferror(MINUS(divide(GOOGLEFINANCE($B780), INDEX(GOOGLEFINANCE($B780,""price"",today()-182),2,2)),1),"""")"),0.006825938566553003)</f>
        <v>0.006825938567</v>
      </c>
      <c r="G780" s="61">
        <f>IFERROR(__xludf.DUMMYFUNCTION("iferror(MINUS(divide(GOOGLEFINANCE($B780), INDEX(GOOGLEFINANCE($B780,""price"",today()-364),2,2)),1),"""")"),-0.3802521008403361)</f>
        <v>-0.3802521008</v>
      </c>
    </row>
    <row r="781">
      <c r="A781" s="71">
        <f t="shared" si="4"/>
        <v>777</v>
      </c>
      <c r="B781" s="47" t="s">
        <v>914</v>
      </c>
      <c r="C781" s="72">
        <f>IFERROR(__xludf.DUMMYFUNCTION("iferror(divide(googlefinance($B781,""marketcap""),1000000),"""")"),1448.911218)</f>
        <v>1448.911218</v>
      </c>
      <c r="D781" s="72">
        <f>IFERROR(__xludf.DUMMYFUNCTION("iferror(divide(googlefinance($B781,""shares""),1000),"""")"),61840.0)</f>
        <v>61840</v>
      </c>
      <c r="E781" s="72">
        <f>IFERROR(__xludf.DUMMYFUNCTION("iferror(divide(googlefinance($B781,""volumeavg""),1000),"""")"),534.415)</f>
        <v>534.415</v>
      </c>
      <c r="F781" s="73">
        <f>IFERROR(__xludf.DUMMYFUNCTION("iferror(MINUS(divide(GOOGLEFINANCE($B781), INDEX(GOOGLEFINANCE($B781,""price"",today()-182),2,2)),1),"""")"),0.2516025641025641)</f>
        <v>0.2516025641</v>
      </c>
      <c r="G781" s="61">
        <f>IFERROR(__xludf.DUMMYFUNCTION("iferror(MINUS(divide(GOOGLEFINANCE($B781), INDEX(GOOGLEFINANCE($B781,""price"",today()-364),2,2)),1),"""")"),-0.03101736972704716)</f>
        <v>-0.03101736973</v>
      </c>
    </row>
    <row r="782">
      <c r="A782" s="71">
        <f t="shared" si="4"/>
        <v>778</v>
      </c>
      <c r="B782" s="47" t="s">
        <v>915</v>
      </c>
      <c r="C782" s="72">
        <f>IFERROR(__xludf.DUMMYFUNCTION("iferror(divide(googlefinance($B782,""marketcap""),1000000),"""")"),50004.309474)</f>
        <v>50004.30947</v>
      </c>
      <c r="D782" s="72">
        <f>IFERROR(__xludf.DUMMYFUNCTION("iferror(divide(googlefinance($B782,""shares""),1000),"""")"),341047.0)</f>
        <v>341047</v>
      </c>
      <c r="E782" s="72">
        <f>IFERROR(__xludf.DUMMYFUNCTION("iferror(divide(googlefinance($B782,""volumeavg""),1000),"""")"),1400.265)</f>
        <v>1400.265</v>
      </c>
      <c r="F782" s="73">
        <f>IFERROR(__xludf.DUMMYFUNCTION("iferror(MINUS(divide(GOOGLEFINANCE($B782), INDEX(GOOGLEFINANCE($B782,""price"",today()-182),2,2)),1),"""")"),0.2396009469056477)</f>
        <v>0.2396009469</v>
      </c>
      <c r="G782" s="61">
        <f>IFERROR(__xludf.DUMMYFUNCTION("iferror(MINUS(divide(GOOGLEFINANCE($B782), INDEX(GOOGLEFINANCE($B782,""price"",today()-364),2,2)),1),"""")"),0.08575236966824651)</f>
        <v>0.08575236967</v>
      </c>
    </row>
    <row r="783">
      <c r="A783" s="71">
        <f t="shared" si="4"/>
        <v>779</v>
      </c>
      <c r="B783" s="47" t="s">
        <v>916</v>
      </c>
      <c r="C783" s="72">
        <f>IFERROR(__xludf.DUMMYFUNCTION("iferror(divide(googlefinance($B783,""marketcap""),1000000),"""")"),1357.981085)</f>
        <v>1357.981085</v>
      </c>
      <c r="D783" s="72">
        <f>IFERROR(__xludf.DUMMYFUNCTION("iferror(divide(googlefinance($B783,""shares""),1000),"""")"),44524.0)</f>
        <v>44524</v>
      </c>
      <c r="E783" s="72">
        <f>IFERROR(__xludf.DUMMYFUNCTION("iferror(divide(googlefinance($B783,""volumeavg""),1000),"""")"),812.468)</f>
        <v>812.468</v>
      </c>
      <c r="F783" s="73">
        <f>IFERROR(__xludf.DUMMYFUNCTION("iferror(MINUS(divide(GOOGLEFINANCE($B783), INDEX(GOOGLEFINANCE($B783,""price"",today()-182),2,2)),1),"""")"),0.6753731343283582)</f>
        <v>0.6753731343</v>
      </c>
      <c r="G783" s="61">
        <f>IFERROR(__xludf.DUMMYFUNCTION("iferror(MINUS(divide(GOOGLEFINANCE($B783), INDEX(GOOGLEFINANCE($B783,""price"",today()-364),2,2)),1),"""")"),0.7403100775193798)</f>
        <v>0.7403100775</v>
      </c>
    </row>
    <row r="784">
      <c r="A784" s="71">
        <f t="shared" si="4"/>
        <v>780</v>
      </c>
      <c r="B784" s="47" t="s">
        <v>917</v>
      </c>
      <c r="C784" s="72">
        <f>IFERROR(__xludf.DUMMYFUNCTION("iferror(divide(googlefinance($B784,""marketcap""),1000000),"""")"),16795.402871)</f>
        <v>16795.40287</v>
      </c>
      <c r="D784" s="72">
        <f>IFERROR(__xludf.DUMMYFUNCTION("iferror(divide(googlefinance($B784,""shares""),1000),"""")"),163078.0)</f>
        <v>163078</v>
      </c>
      <c r="E784" s="72">
        <f>IFERROR(__xludf.DUMMYFUNCTION("iferror(divide(googlefinance($B784,""volumeavg""),1000),"""")"),987.93)</f>
        <v>987.93</v>
      </c>
      <c r="F784" s="73">
        <f>IFERROR(__xludf.DUMMYFUNCTION("iferror(MINUS(divide(GOOGLEFINANCE($B784), INDEX(GOOGLEFINANCE($B784,""price"",today()-182),2,2)),1),"""")"),1.3264061441156536)</f>
        <v>1.326406144</v>
      </c>
      <c r="G784" s="61">
        <f>IFERROR(__xludf.DUMMYFUNCTION("iferror(MINUS(divide(GOOGLEFINANCE($B784), INDEX(GOOGLEFINANCE($B784,""price"",today()-364),2,2)),1),"""")"),0.21694434597660406)</f>
        <v>0.216944346</v>
      </c>
    </row>
    <row r="785">
      <c r="A785" s="71">
        <f t="shared" si="4"/>
        <v>781</v>
      </c>
      <c r="B785" s="47" t="s">
        <v>918</v>
      </c>
      <c r="C785" s="72">
        <f>IFERROR(__xludf.DUMMYFUNCTION("iferror(divide(googlefinance($B785,""marketcap""),1000000),"""")"),335.250132)</f>
        <v>335.250132</v>
      </c>
      <c r="D785" s="72">
        <f>IFERROR(__xludf.DUMMYFUNCTION("iferror(divide(googlefinance($B785,""shares""),1000),"""")"),54601.0)</f>
        <v>54601</v>
      </c>
      <c r="E785" s="72">
        <f>IFERROR(__xludf.DUMMYFUNCTION("iferror(divide(googlefinance($B785,""volumeavg""),1000),"""")"),4085.72)</f>
        <v>4085.72</v>
      </c>
      <c r="F785" s="73">
        <f>IFERROR(__xludf.DUMMYFUNCTION("iferror(MINUS(divide(GOOGLEFINANCE($B785), INDEX(GOOGLEFINANCE($B785,""price"",today()-182),2,2)),1),"""")"),1.6016949152542375)</f>
        <v>1.601694915</v>
      </c>
      <c r="G785" s="61">
        <f>IFERROR(__xludf.DUMMYFUNCTION("iferror(MINUS(divide(GOOGLEFINANCE($B785), INDEX(GOOGLEFINANCE($B785,""price"",today()-364),2,2)),1),"""")"),0.2086614173228345)</f>
        <v>0.2086614173</v>
      </c>
    </row>
    <row r="786">
      <c r="A786" s="71">
        <f t="shared" si="4"/>
        <v>782</v>
      </c>
      <c r="B786" s="47" t="s">
        <v>919</v>
      </c>
      <c r="C786" s="72">
        <f>IFERROR(__xludf.DUMMYFUNCTION("iferror(divide(googlefinance($B786,""marketcap""),1000000),"""")"),696.220816)</f>
        <v>696.220816</v>
      </c>
      <c r="D786" s="72">
        <f>IFERROR(__xludf.DUMMYFUNCTION("iferror(divide(googlefinance($B786,""shares""),1000),"""")"),50708.0)</f>
        <v>50708</v>
      </c>
      <c r="E786" s="72">
        <f>IFERROR(__xludf.DUMMYFUNCTION("iferror(divide(googlefinance($B786,""volumeavg""),1000),"""")"),254.961)</f>
        <v>254.961</v>
      </c>
      <c r="F786" s="73">
        <f>IFERROR(__xludf.DUMMYFUNCTION("iferror(MINUS(divide(GOOGLEFINANCE($B786), INDEX(GOOGLEFINANCE($B786,""price"",today()-182),2,2)),1),"""")"),0.5272525027808677)</f>
        <v>0.5272525028</v>
      </c>
      <c r="G786" s="61">
        <f>IFERROR(__xludf.DUMMYFUNCTION("iferror(MINUS(divide(GOOGLEFINANCE($B786), INDEX(GOOGLEFINANCE($B786,""price"",today()-364),2,2)),1),"""")"),-0.4632525410476934)</f>
        <v>-0.463252541</v>
      </c>
    </row>
    <row r="787">
      <c r="A787" s="71">
        <f t="shared" si="4"/>
        <v>783</v>
      </c>
      <c r="B787" s="47" t="s">
        <v>920</v>
      </c>
      <c r="C787" s="72">
        <f>IFERROR(__xludf.DUMMYFUNCTION("iferror(divide(googlefinance($B787,""marketcap""),1000000),"""")"),437.349799)</f>
        <v>437.349799</v>
      </c>
      <c r="D787" s="72">
        <f>IFERROR(__xludf.DUMMYFUNCTION("iferror(divide(googlefinance($B787,""shares""),1000),"""")"),32694.0)</f>
        <v>32694</v>
      </c>
      <c r="E787" s="72">
        <f>IFERROR(__xludf.DUMMYFUNCTION("iferror(divide(googlefinance($B787,""volumeavg""),1000),"""")"),191.134)</f>
        <v>191.134</v>
      </c>
      <c r="F787" s="73">
        <f>IFERROR(__xludf.DUMMYFUNCTION("iferror(MINUS(divide(GOOGLEFINANCE($B787), INDEX(GOOGLEFINANCE($B787,""price"",today()-182),2,2)),1),"""")"),0.38502109704641363)</f>
        <v>0.385021097</v>
      </c>
      <c r="G787" s="61">
        <f>IFERROR(__xludf.DUMMYFUNCTION("iferror(MINUS(divide(GOOGLEFINANCE($B787), INDEX(GOOGLEFINANCE($B787,""price"",today()-364),2,2)),1),"""")"),-0.30159574468085104)</f>
        <v>-0.3015957447</v>
      </c>
    </row>
    <row r="788">
      <c r="A788" s="71">
        <f t="shared" si="4"/>
        <v>784</v>
      </c>
      <c r="B788" s="47" t="s">
        <v>921</v>
      </c>
      <c r="C788" s="72">
        <f>IFERROR(__xludf.DUMMYFUNCTION("iferror(divide(googlefinance($B788,""marketcap""),1000000),"""")"),1147.068208)</f>
        <v>1147.068208</v>
      </c>
      <c r="D788" s="72">
        <f>IFERROR(__xludf.DUMMYFUNCTION("iferror(divide(googlefinance($B788,""shares""),1000),"""")"),31345.0)</f>
        <v>31345</v>
      </c>
      <c r="E788" s="72">
        <f>IFERROR(__xludf.DUMMYFUNCTION("iferror(divide(googlefinance($B788,""volumeavg""),1000),"""")"),326.136)</f>
        <v>326.136</v>
      </c>
      <c r="F788" s="73">
        <f>IFERROR(__xludf.DUMMYFUNCTION("iferror(MINUS(divide(GOOGLEFINANCE($B788), INDEX(GOOGLEFINANCE($B788,""price"",today()-182),2,2)),1),"""")"),0.2900763358778624)</f>
        <v>0.2900763359</v>
      </c>
      <c r="G788" s="61">
        <f>IFERROR(__xludf.DUMMYFUNCTION("iferror(MINUS(divide(GOOGLEFINANCE($B788), INDEX(GOOGLEFINANCE($B788,""price"",today()-364),2,2)),1),"""")"),0.8329718004338391)</f>
        <v>0.8329718004</v>
      </c>
    </row>
    <row r="789">
      <c r="A789" s="71">
        <f t="shared" si="4"/>
        <v>785</v>
      </c>
      <c r="B789" s="47" t="s">
        <v>922</v>
      </c>
      <c r="C789" s="72">
        <f>IFERROR(__xludf.DUMMYFUNCTION("iferror(divide(googlefinance($B789,""marketcap""),1000000),"""")"),7158.759443)</f>
        <v>7158.759443</v>
      </c>
      <c r="D789" s="72">
        <f>IFERROR(__xludf.DUMMYFUNCTION("iferror(divide(googlefinance($B789,""shares""),1000),"""")"),170204.0)</f>
        <v>170204</v>
      </c>
      <c r="E789" s="72">
        <f>IFERROR(__xludf.DUMMYFUNCTION("iferror(divide(googlefinance($B789,""volumeavg""),1000),"""")"),2099.378)</f>
        <v>2099.378</v>
      </c>
      <c r="F789" s="73">
        <f>IFERROR(__xludf.DUMMYFUNCTION("iferror(MINUS(divide(GOOGLEFINANCE($B789), INDEX(GOOGLEFINANCE($B789,""price"",today()-182),2,2)),1),"""")"),0.38537549407114624)</f>
        <v>0.3853754941</v>
      </c>
      <c r="G789" s="61">
        <f>IFERROR(__xludf.DUMMYFUNCTION("iferror(MINUS(divide(GOOGLEFINANCE($B789), INDEX(GOOGLEFINANCE($B789,""price"",today()-364),2,2)),1),"""")"),0.20481237467774305)</f>
        <v>0.2048123747</v>
      </c>
    </row>
    <row r="790">
      <c r="A790" s="71">
        <f t="shared" si="4"/>
        <v>786</v>
      </c>
      <c r="B790" s="47" t="s">
        <v>923</v>
      </c>
      <c r="C790" s="72">
        <f>IFERROR(__xludf.DUMMYFUNCTION("iferror(divide(googlefinance($B790,""marketcap""),1000000),"""")"),217134.438172)</f>
        <v>217134.4382</v>
      </c>
      <c r="D790" s="72">
        <f>IFERROR(__xludf.DUMMYFUNCTION("iferror(divide(googlefinance($B790,""shares""),1000),"""")"),4295439.0)</f>
        <v>4295439</v>
      </c>
      <c r="E790" s="72">
        <f>IFERROR(__xludf.DUMMYFUNCTION("iferror(divide(googlefinance($B790,""volumeavg""),1000),"""")"),13813.795)</f>
        <v>13813.795</v>
      </c>
      <c r="F790" s="73">
        <f>IFERROR(__xludf.DUMMYFUNCTION("iferror(MINUS(divide(GOOGLEFINANCE($B790), INDEX(GOOGLEFINANCE($B790,""price"",today()-182),2,2)),1),"""")"),0.3198433420365536)</f>
        <v>0.319843342</v>
      </c>
      <c r="G790" s="61">
        <f>IFERROR(__xludf.DUMMYFUNCTION("iferror(MINUS(divide(GOOGLEFINANCE($B790), INDEX(GOOGLEFINANCE($B790,""price"",today()-364),2,2)),1),"""")"),-0.0623260990539789)</f>
        <v>-0.06232609905</v>
      </c>
    </row>
    <row r="791">
      <c r="A791" s="71">
        <f t="shared" si="4"/>
        <v>787</v>
      </c>
      <c r="B791" s="47" t="s">
        <v>924</v>
      </c>
      <c r="C791" s="72">
        <f>IFERROR(__xludf.DUMMYFUNCTION("iferror(divide(googlefinance($B791,""marketcap""),1000000),"""")"),2437.69826)</f>
        <v>2437.69826</v>
      </c>
      <c r="D791" s="72">
        <f>IFERROR(__xludf.DUMMYFUNCTION("iferror(divide(googlefinance($B791,""shares""),1000),"""")"),44712.0)</f>
        <v>44712</v>
      </c>
      <c r="E791" s="72">
        <f>IFERROR(__xludf.DUMMYFUNCTION("iferror(divide(googlefinance($B791,""volumeavg""),1000),"""")"),223.37)</f>
        <v>223.37</v>
      </c>
      <c r="F791" s="73">
        <f>IFERROR(__xludf.DUMMYFUNCTION("iferror(MINUS(divide(GOOGLEFINANCE($B791), INDEX(GOOGLEFINANCE($B791,""price"",today()-182),2,2)),1),"""")"),0.21101732563305187)</f>
        <v>0.2110173256</v>
      </c>
      <c r="G791" s="61">
        <f>IFERROR(__xludf.DUMMYFUNCTION("iferror(MINUS(divide(GOOGLEFINANCE($B791), INDEX(GOOGLEFINANCE($B791,""price"",today()-364),2,2)),1),"""")"),2.276442307692308)</f>
        <v>2.276442308</v>
      </c>
    </row>
    <row r="792">
      <c r="A792" s="71">
        <f t="shared" si="4"/>
        <v>788</v>
      </c>
      <c r="B792" s="47" t="s">
        <v>925</v>
      </c>
      <c r="C792" s="72">
        <f>IFERROR(__xludf.DUMMYFUNCTION("iferror(divide(googlefinance($B792,""marketcap""),1000000),"""")"),2150.029679)</f>
        <v>2150.029679</v>
      </c>
      <c r="D792" s="72">
        <f>IFERROR(__xludf.DUMMYFUNCTION("iferror(divide(googlefinance($B792,""shares""),1000),"""")"),525208.0)</f>
        <v>525208</v>
      </c>
      <c r="E792" s="72">
        <f>IFERROR(__xludf.DUMMYFUNCTION("iferror(divide(googlefinance($B792,""volumeavg""),1000),"""")"),126.759)</f>
        <v>126.759</v>
      </c>
      <c r="F792" s="73">
        <f>IFERROR(__xludf.DUMMYFUNCTION("iferror(MINUS(divide(GOOGLEFINANCE($B792), INDEX(GOOGLEFINANCE($B792,""price"",today()-182),2,2)),1),"""")"),0.009013398294762665)</f>
        <v>0.009013398295</v>
      </c>
      <c r="G792" s="61">
        <f>IFERROR(__xludf.DUMMYFUNCTION("iferror(MINUS(divide(GOOGLEFINANCE($B792), INDEX(GOOGLEFINANCE($B792,""price"",today()-364),2,2)),1),"""")"),-0.33939393939393936)</f>
        <v>-0.3393939394</v>
      </c>
    </row>
    <row r="793">
      <c r="A793" s="71">
        <f t="shared" si="4"/>
        <v>789</v>
      </c>
      <c r="B793" s="47" t="s">
        <v>926</v>
      </c>
      <c r="C793" s="72">
        <f>IFERROR(__xludf.DUMMYFUNCTION("iferror(divide(googlefinance($B793,""marketcap""),1000000),"""")"),474.160086)</f>
        <v>474.160086</v>
      </c>
      <c r="D793" s="72">
        <f>IFERROR(__xludf.DUMMYFUNCTION("iferror(divide(googlefinance($B793,""shares""),1000),"""")"),21046.0)</f>
        <v>21046</v>
      </c>
      <c r="E793" s="72">
        <f>IFERROR(__xludf.DUMMYFUNCTION("iferror(divide(googlefinance($B793,""volumeavg""),1000),"""")"),135.69)</f>
        <v>135.69</v>
      </c>
      <c r="F793" s="73">
        <f>IFERROR(__xludf.DUMMYFUNCTION("iferror(MINUS(divide(GOOGLEFINANCE($B793), INDEX(GOOGLEFINANCE($B793,""price"",today()-182),2,2)),1),"""")"),1.371578947368421)</f>
        <v>1.371578947</v>
      </c>
      <c r="G793" s="61">
        <f>IFERROR(__xludf.DUMMYFUNCTION("iferror(MINUS(divide(GOOGLEFINANCE($B793), INDEX(GOOGLEFINANCE($B793,""price"",today()-364),2,2)),1),"""")"),-0.23987854251012142)</f>
        <v>-0.2398785425</v>
      </c>
    </row>
    <row r="794">
      <c r="A794" s="71">
        <f t="shared" si="4"/>
        <v>790</v>
      </c>
      <c r="B794" s="47" t="s">
        <v>927</v>
      </c>
      <c r="C794" s="72">
        <f>IFERROR(__xludf.DUMMYFUNCTION("iferror(divide(googlefinance($B794,""marketcap""),1000000),"""")"),116.39931)</f>
        <v>116.39931</v>
      </c>
      <c r="D794" s="72">
        <f>IFERROR(__xludf.DUMMYFUNCTION("iferror(divide(googlefinance($B794,""shares""),1000),"""")"),84963.0)</f>
        <v>84963</v>
      </c>
      <c r="E794" s="72">
        <f>IFERROR(__xludf.DUMMYFUNCTION("iferror(divide(googlefinance($B794,""volumeavg""),1000),"""")"),770.909)</f>
        <v>770.909</v>
      </c>
      <c r="F794" s="73">
        <f>IFERROR(__xludf.DUMMYFUNCTION("iferror(MINUS(divide(GOOGLEFINANCE($B794), INDEX(GOOGLEFINANCE($B794,""price"",today()-182),2,2)),1),"""")"),4.074074074074074)</f>
        <v>4.074074074</v>
      </c>
      <c r="G794" s="61">
        <f>IFERROR(__xludf.DUMMYFUNCTION("iferror(MINUS(divide(GOOGLEFINANCE($B794), INDEX(GOOGLEFINANCE($B794,""price"",today()-364),2,2)),1),"""")"),0.9571428571428575)</f>
        <v>0.9571428571</v>
      </c>
    </row>
    <row r="795">
      <c r="A795" s="71">
        <f t="shared" si="4"/>
        <v>791</v>
      </c>
      <c r="B795" s="47" t="s">
        <v>928</v>
      </c>
      <c r="C795" s="72">
        <f>IFERROR(__xludf.DUMMYFUNCTION("iferror(divide(googlefinance($B795,""marketcap""),1000000),"""")"),1182.264088)</f>
        <v>1182.264088</v>
      </c>
      <c r="D795" s="72">
        <f>IFERROR(__xludf.DUMMYFUNCTION("iferror(divide(googlefinance($B795,""shares""),1000),"""")"),73478.0)</f>
        <v>73478</v>
      </c>
      <c r="E795" s="72">
        <f>IFERROR(__xludf.DUMMYFUNCTION("iferror(divide(googlefinance($B795,""volumeavg""),1000),"""")"),1314.2)</f>
        <v>1314.2</v>
      </c>
      <c r="F795" s="73">
        <f>IFERROR(__xludf.DUMMYFUNCTION("iferror(MINUS(divide(GOOGLEFINANCE($B795), INDEX(GOOGLEFINANCE($B795,""price"",today()-182),2,2)),1),"""")"),-0.10161920714684536)</f>
        <v>-0.1016192071</v>
      </c>
      <c r="G795" s="61">
        <f>IFERROR(__xludf.DUMMYFUNCTION("iferror(MINUS(divide(GOOGLEFINANCE($B795), INDEX(GOOGLEFINANCE($B795,""price"",today()-364),2,2)),1),"""")"),0.4995340167753961)</f>
        <v>0.4995340168</v>
      </c>
    </row>
    <row r="796">
      <c r="A796" s="71">
        <f t="shared" si="4"/>
        <v>792</v>
      </c>
      <c r="B796" s="47" t="s">
        <v>929</v>
      </c>
      <c r="C796" s="72">
        <f>IFERROR(__xludf.DUMMYFUNCTION("iferror(divide(googlefinance($B796,""marketcap""),1000000),"""")"),25195.248699)</f>
        <v>25195.2487</v>
      </c>
      <c r="D796" s="72">
        <f>IFERROR(__xludf.DUMMYFUNCTION("iferror(divide(googlefinance($B796,""shares""),1000),"""")"),775000.0)</f>
        <v>775000</v>
      </c>
      <c r="E796" s="72">
        <f>IFERROR(__xludf.DUMMYFUNCTION("iferror(divide(googlefinance($B796,""volumeavg""),1000),"""")"),8467.093)</f>
        <v>8467.093</v>
      </c>
      <c r="F796" s="73">
        <f>IFERROR(__xludf.DUMMYFUNCTION("iferror(MINUS(divide(GOOGLEFINANCE($B796), INDEX(GOOGLEFINANCE($B796,""price"",today()-182),2,2)),1),"""")"),0.023292414227258362)</f>
        <v>0.02329241423</v>
      </c>
      <c r="G796" s="61">
        <f>IFERROR(__xludf.DUMMYFUNCTION("iferror(MINUS(divide(GOOGLEFINANCE($B796), INDEX(GOOGLEFINANCE($B796,""price"",today()-364),2,2)),1),"""")"),0.2659657320872273)</f>
        <v>0.2659657321</v>
      </c>
    </row>
    <row r="797">
      <c r="A797" s="71">
        <f t="shared" si="4"/>
        <v>793</v>
      </c>
      <c r="B797" s="47" t="s">
        <v>930</v>
      </c>
      <c r="C797" s="72">
        <f>IFERROR(__xludf.DUMMYFUNCTION("iferror(divide(googlefinance($B797,""marketcap""),1000000),"""")"),604.12245)</f>
        <v>604.12245</v>
      </c>
      <c r="D797" s="72">
        <f>IFERROR(__xludf.DUMMYFUNCTION("iferror(divide(googlefinance($B797,""shares""),1000),"""")"),31863.0)</f>
        <v>31863</v>
      </c>
      <c r="E797" s="72">
        <f>IFERROR(__xludf.DUMMYFUNCTION("iferror(divide(googlefinance($B797,""volumeavg""),1000),"""")"),308.002)</f>
        <v>308.002</v>
      </c>
      <c r="F797" s="73">
        <f>IFERROR(__xludf.DUMMYFUNCTION("iferror(MINUS(divide(GOOGLEFINANCE($B797), INDEX(GOOGLEFINANCE($B797,""price"",today()-182),2,2)),1),"""")"),2.1338842975206616)</f>
        <v>2.133884298</v>
      </c>
      <c r="G797" s="61">
        <f>IFERROR(__xludf.DUMMYFUNCTION("iferror(MINUS(divide(GOOGLEFINANCE($B797), INDEX(GOOGLEFINANCE($B797,""price"",today()-364),2,2)),1),"""")"),-0.4130030959752321)</f>
        <v>-0.413003096</v>
      </c>
    </row>
    <row r="798">
      <c r="A798" s="71">
        <f t="shared" si="4"/>
        <v>794</v>
      </c>
      <c r="B798" s="47" t="s">
        <v>931</v>
      </c>
      <c r="C798" s="72">
        <f>IFERROR(__xludf.DUMMYFUNCTION("iferror(divide(googlefinance($B798,""marketcap""),1000000),"""")"),1550.587068)</f>
        <v>1550.587068</v>
      </c>
      <c r="D798" s="72">
        <f>IFERROR(__xludf.DUMMYFUNCTION("iferror(divide(googlefinance($B798,""shares""),1000),"""")"),115543.0)</f>
        <v>115543</v>
      </c>
      <c r="E798" s="72">
        <f>IFERROR(__xludf.DUMMYFUNCTION("iferror(divide(googlefinance($B798,""volumeavg""),1000),"""")"),211.272)</f>
        <v>211.272</v>
      </c>
      <c r="F798" s="73">
        <f>IFERROR(__xludf.DUMMYFUNCTION("iferror(MINUS(divide(GOOGLEFINANCE($B798), INDEX(GOOGLEFINANCE($B798,""price"",today()-182),2,2)),1),"""")"),0.6365853658536587)</f>
        <v>0.6365853659</v>
      </c>
      <c r="G798" s="61">
        <f>IFERROR(__xludf.DUMMYFUNCTION("iferror(MINUS(divide(GOOGLEFINANCE($B798), INDEX(GOOGLEFINANCE($B798,""price"",today()-364),2,2)),1),"""")"),0.0787781350482315)</f>
        <v>0.07877813505</v>
      </c>
    </row>
    <row r="799">
      <c r="A799" s="71">
        <f t="shared" si="4"/>
        <v>795</v>
      </c>
      <c r="B799" s="47" t="s">
        <v>932</v>
      </c>
      <c r="C799" s="72">
        <f>IFERROR(__xludf.DUMMYFUNCTION("iferror(divide(googlefinance($B799,""marketcap""),1000000),"""")"),907.583303)</f>
        <v>907.583303</v>
      </c>
      <c r="D799" s="72">
        <f>IFERROR(__xludf.DUMMYFUNCTION("iferror(divide(googlefinance($B799,""shares""),1000),"""")"),20173.0)</f>
        <v>20173</v>
      </c>
      <c r="E799" s="72">
        <f>IFERROR(__xludf.DUMMYFUNCTION("iferror(divide(googlefinance($B799,""volumeavg""),1000),"""")"),83.238)</f>
        <v>83.238</v>
      </c>
      <c r="F799" s="73" t="str">
        <f>IFERROR(__xludf.DUMMYFUNCTION("iferror(MINUS(divide(GOOGLEFINANCE($B799), INDEX(GOOGLEFINANCE($B799,""price"",today()-182),2,2)),1),"""")"),"")</f>
        <v/>
      </c>
      <c r="G799" s="61" t="str">
        <f>IFERROR(__xludf.DUMMYFUNCTION("iferror(MINUS(divide(GOOGLEFINANCE($B799), INDEX(GOOGLEFINANCE($B799,""price"",today()-364),2,2)),1),"""")"),"")</f>
        <v/>
      </c>
    </row>
    <row r="800">
      <c r="A800" s="71">
        <f t="shared" si="4"/>
        <v>796</v>
      </c>
      <c r="B800" s="47" t="s">
        <v>933</v>
      </c>
      <c r="C800" s="72">
        <f>IFERROR(__xludf.DUMMYFUNCTION("iferror(divide(googlefinance($B800,""marketcap""),1000000),"""")"),2313.462671)</f>
        <v>2313.462671</v>
      </c>
      <c r="D800" s="72">
        <f>IFERROR(__xludf.DUMMYFUNCTION("iferror(divide(googlefinance($B800,""shares""),1000),"""")"),26616.0)</f>
        <v>26616</v>
      </c>
      <c r="E800" s="72">
        <f>IFERROR(__xludf.DUMMYFUNCTION("iferror(divide(googlefinance($B800,""volumeavg""),1000),"""")"),177.103)</f>
        <v>177.103</v>
      </c>
      <c r="F800" s="73">
        <f>IFERROR(__xludf.DUMMYFUNCTION("iferror(MINUS(divide(GOOGLEFINANCE($B800), INDEX(GOOGLEFINANCE($B800,""price"",today()-182),2,2)),1),"""")"),0.18033677349266708)</f>
        <v>0.1803367735</v>
      </c>
      <c r="G800" s="61">
        <f>IFERROR(__xludf.DUMMYFUNCTION("iferror(MINUS(divide(GOOGLEFINANCE($B800), INDEX(GOOGLEFINANCE($B800,""price"",today()-364),2,2)),1),"""")"),4.176891006551519)</f>
        <v>4.176891007</v>
      </c>
    </row>
    <row r="801">
      <c r="A801" s="71">
        <f t="shared" si="4"/>
        <v>797</v>
      </c>
      <c r="B801" s="47" t="s">
        <v>934</v>
      </c>
      <c r="C801" s="72">
        <f>IFERROR(__xludf.DUMMYFUNCTION("iferror(divide(googlefinance($B801,""marketcap""),1000000),"""")"),909.46)</f>
        <v>909.46</v>
      </c>
      <c r="D801" s="72">
        <f>IFERROR(__xludf.DUMMYFUNCTION("iferror(divide(googlefinance($B801,""shares""),1000),"""")"),19664.0)</f>
        <v>19664</v>
      </c>
      <c r="E801" s="72">
        <f>IFERROR(__xludf.DUMMYFUNCTION("iferror(divide(googlefinance($B801,""volumeavg""),1000),"""")"),120.332)</f>
        <v>120.332</v>
      </c>
      <c r="F801" s="73">
        <f>IFERROR(__xludf.DUMMYFUNCTION("iferror(MINUS(divide(GOOGLEFINANCE($B801), INDEX(GOOGLEFINANCE($B801,""price"",today()-182),2,2)),1),"""")"),0.1910893638938964)</f>
        <v>0.1910893639</v>
      </c>
      <c r="G801" s="61">
        <f>IFERROR(__xludf.DUMMYFUNCTION("iferror(MINUS(divide(GOOGLEFINANCE($B801), INDEX(GOOGLEFINANCE($B801,""price"",today()-364),2,2)),1),"""")"),-0.05573703552470388)</f>
        <v>-0.05573703552</v>
      </c>
    </row>
    <row r="802">
      <c r="A802" s="71">
        <f t="shared" si="4"/>
        <v>798</v>
      </c>
      <c r="B802" s="47" t="s">
        <v>935</v>
      </c>
      <c r="C802" s="72">
        <f>IFERROR(__xludf.DUMMYFUNCTION("iferror(divide(googlefinance($B802,""marketcap""),1000000),"""")"),3669.846536)</f>
        <v>3669.846536</v>
      </c>
      <c r="D802" s="72">
        <f>IFERROR(__xludf.DUMMYFUNCTION("iferror(divide(googlefinance($B802,""shares""),1000),"""")"),157775.0)</f>
        <v>157775</v>
      </c>
      <c r="E802" s="72">
        <f>IFERROR(__xludf.DUMMYFUNCTION("iferror(divide(googlefinance($B802,""volumeavg""),1000),"""")"),9726.34)</f>
        <v>9726.34</v>
      </c>
      <c r="F802" s="73">
        <f>IFERROR(__xludf.DUMMYFUNCTION("iferror(MINUS(divide(GOOGLEFINANCE($B802), INDEX(GOOGLEFINANCE($B802,""price"",today()-182),2,2)),1),"""")"),0.46750788643533125)</f>
        <v>0.4675078864</v>
      </c>
      <c r="G802" s="61">
        <f>IFERROR(__xludf.DUMMYFUNCTION("iferror(MINUS(divide(GOOGLEFINANCE($B802), INDEX(GOOGLEFINANCE($B802,""price"",today()-364),2,2)),1),"""")"),-0.525499796001632)</f>
        <v>-0.525499796</v>
      </c>
    </row>
    <row r="803">
      <c r="A803" s="71">
        <f t="shared" si="4"/>
        <v>799</v>
      </c>
      <c r="B803" s="47" t="s">
        <v>936</v>
      </c>
      <c r="C803" s="72">
        <f>IFERROR(__xludf.DUMMYFUNCTION("iferror(divide(googlefinance($B803,""marketcap""),1000000),"""")"),17411.211806)</f>
        <v>17411.21181</v>
      </c>
      <c r="D803" s="72">
        <f>IFERROR(__xludf.DUMMYFUNCTION("iferror(divide(googlefinance($B803,""shares""),1000),"""")"),94349.0)</f>
        <v>94349</v>
      </c>
      <c r="E803" s="72">
        <f>IFERROR(__xludf.DUMMYFUNCTION("iferror(divide(googlefinance($B803,""volumeavg""),1000),"""")"),997.225)</f>
        <v>997.225</v>
      </c>
      <c r="F803" s="73">
        <f>IFERROR(__xludf.DUMMYFUNCTION("iferror(MINUS(divide(GOOGLEFINANCE($B803), INDEX(GOOGLEFINANCE($B803,""price"",today()-182),2,2)),1),"""")"),0.7005160339107999)</f>
        <v>0.7005160339</v>
      </c>
      <c r="G803" s="61">
        <f>IFERROR(__xludf.DUMMYFUNCTION("iferror(MINUS(divide(GOOGLEFINANCE($B803), INDEX(GOOGLEFINANCE($B803,""price"",today()-364),2,2)),1),"""")"),0.3976067858224781)</f>
        <v>0.3976067858</v>
      </c>
    </row>
    <row r="804">
      <c r="A804" s="71">
        <f t="shared" si="4"/>
        <v>800</v>
      </c>
      <c r="B804" s="47" t="s">
        <v>937</v>
      </c>
      <c r="C804" s="72">
        <f>IFERROR(__xludf.DUMMYFUNCTION("iferror(divide(googlefinance($B804,""marketcap""),1000000),"""")"),2642.129389)</f>
        <v>2642.129389</v>
      </c>
      <c r="D804" s="72">
        <f>IFERROR(__xludf.DUMMYFUNCTION("iferror(divide(googlefinance($B804,""shares""),1000),"""")"),122719.0)</f>
        <v>122719</v>
      </c>
      <c r="E804" s="72">
        <f>IFERROR(__xludf.DUMMYFUNCTION("iferror(divide(googlefinance($B804,""volumeavg""),1000),"""")"),992.573)</f>
        <v>992.573</v>
      </c>
      <c r="F804" s="73">
        <f>IFERROR(__xludf.DUMMYFUNCTION("iferror(MINUS(divide(GOOGLEFINANCE($B804), INDEX(GOOGLEFINANCE($B804,""price"",today()-182),2,2)),1),"""")"),1.1107843137254902)</f>
        <v>1.110784314</v>
      </c>
      <c r="G804" s="61">
        <f>IFERROR(__xludf.DUMMYFUNCTION("iferror(MINUS(divide(GOOGLEFINANCE($B804), INDEX(GOOGLEFINANCE($B804,""price"",today()-364),2,2)),1),"""")"),0.04616132167152598)</f>
        <v>0.04616132167</v>
      </c>
    </row>
    <row r="805">
      <c r="A805" s="71">
        <f t="shared" si="4"/>
        <v>801</v>
      </c>
      <c r="B805" s="47" t="s">
        <v>938</v>
      </c>
      <c r="C805" s="72">
        <f>IFERROR(__xludf.DUMMYFUNCTION("iferror(divide(googlefinance($B805,""marketcap""),1000000),"""")"),245.078564)</f>
        <v>245.078564</v>
      </c>
      <c r="D805" s="72">
        <f>IFERROR(__xludf.DUMMYFUNCTION("iferror(divide(googlefinance($B805,""shares""),1000),"""")"),172106.0)</f>
        <v>172106</v>
      </c>
      <c r="E805" s="72">
        <f>IFERROR(__xludf.DUMMYFUNCTION("iferror(divide(googlefinance($B805,""volumeavg""),1000),"""")"),997.815)</f>
        <v>997.815</v>
      </c>
      <c r="F805" s="73">
        <f>IFERROR(__xludf.DUMMYFUNCTION("iferror(MINUS(divide(GOOGLEFINANCE($B805), INDEX(GOOGLEFINANCE($B805,""price"",today()-182),2,2)),1),"""")"),0.6960000000000002)</f>
        <v>0.696</v>
      </c>
      <c r="G805" s="61">
        <f>IFERROR(__xludf.DUMMYFUNCTION("iferror(MINUS(divide(GOOGLEFINANCE($B805), INDEX(GOOGLEFINANCE($B805,""price"",today()-364),2,2)),1),"""")"),-0.4891566265060241)</f>
        <v>-0.4891566265</v>
      </c>
    </row>
    <row r="806">
      <c r="A806" s="71">
        <f t="shared" si="4"/>
        <v>802</v>
      </c>
      <c r="B806" s="47" t="s">
        <v>939</v>
      </c>
      <c r="C806" s="72">
        <f>IFERROR(__xludf.DUMMYFUNCTION("iferror(divide(googlefinance($B806,""marketcap""),1000000),"""")"),1662.037028)</f>
        <v>1662.037028</v>
      </c>
      <c r="D806" s="72">
        <f>IFERROR(__xludf.DUMMYFUNCTION("iferror(divide(googlefinance($B806,""shares""),1000),"""")"),56283.0)</f>
        <v>56283</v>
      </c>
      <c r="E806" s="72">
        <f>IFERROR(__xludf.DUMMYFUNCTION("iferror(divide(googlefinance($B806,""volumeavg""),1000),"""")"),757.7)</f>
        <v>757.7</v>
      </c>
      <c r="F806" s="73">
        <f>IFERROR(__xludf.DUMMYFUNCTION("iferror(MINUS(divide(GOOGLEFINANCE($B806), INDEX(GOOGLEFINANCE($B806,""price"",today()-182),2,2)),1),"""")"),2.8350649350649353)</f>
        <v>2.835064935</v>
      </c>
      <c r="G806" s="61">
        <f>IFERROR(__xludf.DUMMYFUNCTION("iferror(MINUS(divide(GOOGLEFINANCE($B806), INDEX(GOOGLEFINANCE($B806,""price"",today()-364),2,2)),1),"""")"),0.803909590714722)</f>
        <v>0.8039095907</v>
      </c>
    </row>
    <row r="807">
      <c r="A807" s="71">
        <f t="shared" si="4"/>
        <v>803</v>
      </c>
      <c r="B807" s="47" t="s">
        <v>940</v>
      </c>
      <c r="C807" s="72">
        <f>IFERROR(__xludf.DUMMYFUNCTION("iferror(divide(googlefinance($B807,""marketcap""),1000000),"""")"),3323.082043)</f>
        <v>3323.082043</v>
      </c>
      <c r="D807" s="72">
        <f>IFERROR(__xludf.DUMMYFUNCTION("iferror(divide(googlefinance($B807,""shares""),1000),"""")"),17800.0)</f>
        <v>17800</v>
      </c>
      <c r="E807" s="72">
        <f>IFERROR(__xludf.DUMMYFUNCTION("iferror(divide(googlefinance($B807,""volumeavg""),1000),"""")"),66.158)</f>
        <v>66.158</v>
      </c>
      <c r="F807" s="73">
        <f>IFERROR(__xludf.DUMMYFUNCTION("iferror(MINUS(divide(GOOGLEFINANCE($B807), INDEX(GOOGLEFINANCE($B807,""price"",today()-182),2,2)),1),"""")"),0.5335140463282406)</f>
        <v>0.5335140463</v>
      </c>
      <c r="G807" s="61">
        <f>IFERROR(__xludf.DUMMYFUNCTION("iferror(MINUS(divide(GOOGLEFINANCE($B807), INDEX(GOOGLEFINANCE($B807,""price"",today()-364),2,2)),1),"""")"),0.15949319918017513)</f>
        <v>0.1594931992</v>
      </c>
    </row>
    <row r="808">
      <c r="A808" s="71">
        <f t="shared" si="4"/>
        <v>804</v>
      </c>
      <c r="B808" s="47" t="s">
        <v>941</v>
      </c>
      <c r="C808" s="72">
        <f>IFERROR(__xludf.DUMMYFUNCTION("iferror(divide(googlefinance($B808,""marketcap""),1000000),"""")"),1.1294560944E7)</f>
        <v>11294560.94</v>
      </c>
      <c r="D808" s="72">
        <f>IFERROR(__xludf.DUMMYFUNCTION("iferror(divide(googlefinance($B808,""shares""),1000),"""")"),243208.0)</f>
        <v>243208</v>
      </c>
      <c r="E808" s="72">
        <f>IFERROR(__xludf.DUMMYFUNCTION("iferror(divide(googlefinance($B808,""volumeavg""),1000),"""")"),3.01)</f>
        <v>3.01</v>
      </c>
      <c r="F808" s="73">
        <f>IFERROR(__xludf.DUMMYFUNCTION("iferror(MINUS(divide(GOOGLEFINANCE($B808), INDEX(GOOGLEFINANCE($B808,""price"",today()-182),2,2)),1),"""")"),0.5538722922270991)</f>
        <v>0.5538722922</v>
      </c>
      <c r="G808" s="61">
        <f>IFERROR(__xludf.DUMMYFUNCTION("iferror(MINUS(divide(GOOGLEFINANCE($B808), INDEX(GOOGLEFINANCE($B808,""price"",today()-364),2,2)),1),"""")"),0.4144864028869699)</f>
        <v>0.4144864029</v>
      </c>
    </row>
    <row r="809">
      <c r="A809" s="71">
        <f t="shared" si="4"/>
        <v>805</v>
      </c>
      <c r="B809" s="47" t="s">
        <v>942</v>
      </c>
      <c r="C809" s="72">
        <f>IFERROR(__xludf.DUMMYFUNCTION("iferror(divide(googlefinance($B809,""marketcap""),1000000),"""")"),238.680952)</f>
        <v>238.680952</v>
      </c>
      <c r="D809" s="72">
        <f>IFERROR(__xludf.DUMMYFUNCTION("iferror(divide(googlefinance($B809,""shares""),1000),"""")"),46256.0)</f>
        <v>46256</v>
      </c>
      <c r="E809" s="72">
        <f>IFERROR(__xludf.DUMMYFUNCTION("iferror(divide(googlefinance($B809,""volumeavg""),1000),"""")"),190.136)</f>
        <v>190.136</v>
      </c>
      <c r="F809" s="73">
        <f>IFERROR(__xludf.DUMMYFUNCTION("iferror(MINUS(divide(GOOGLEFINANCE($B809), INDEX(GOOGLEFINANCE($B809,""price"",today()-182),2,2)),1),"""")"),0.29648241206030157)</f>
        <v>0.2964824121</v>
      </c>
      <c r="G809" s="61">
        <f>IFERROR(__xludf.DUMMYFUNCTION("iferror(MINUS(divide(GOOGLEFINANCE($B809), INDEX(GOOGLEFINANCE($B809,""price"",today()-364),2,2)),1),"""")"),0.4617563739376771)</f>
        <v>0.4617563739</v>
      </c>
    </row>
    <row r="810">
      <c r="A810" s="71">
        <f t="shared" si="4"/>
        <v>806</v>
      </c>
      <c r="B810" s="47" t="s">
        <v>943</v>
      </c>
      <c r="C810" s="72">
        <f>IFERROR(__xludf.DUMMYFUNCTION("iferror(divide(googlefinance($B810,""marketcap""),1000000),"""")"),5370.361701)</f>
        <v>5370.361701</v>
      </c>
      <c r="D810" s="72">
        <f>IFERROR(__xludf.DUMMYFUNCTION("iferror(divide(googlefinance($B810,""shares""),1000),"""")"),22441.0)</f>
        <v>22441</v>
      </c>
      <c r="E810" s="72">
        <f>IFERROR(__xludf.DUMMYFUNCTION("iferror(divide(googlefinance($B810,""volumeavg""),1000),"""")"),463.418)</f>
        <v>463.418</v>
      </c>
      <c r="F810" s="73">
        <f>IFERROR(__xludf.DUMMYFUNCTION("iferror(MINUS(divide(GOOGLEFINANCE($B810), INDEX(GOOGLEFINANCE($B810,""price"",today()-182),2,2)),1),"""")"),2.57869101978691)</f>
        <v>2.57869102</v>
      </c>
      <c r="G810" s="61">
        <f>IFERROR(__xludf.DUMMYFUNCTION("iferror(MINUS(divide(GOOGLEFINANCE($B810), INDEX(GOOGLEFINANCE($B810,""price"",today()-364),2,2)),1),"""")"),0.8063921327596806)</f>
        <v>0.8063921328</v>
      </c>
    </row>
    <row r="811">
      <c r="A811" s="71">
        <f t="shared" si="4"/>
        <v>807</v>
      </c>
      <c r="B811" s="47" t="s">
        <v>944</v>
      </c>
      <c r="C811" s="72">
        <f>IFERROR(__xludf.DUMMYFUNCTION("iferror(divide(googlefinance($B811,""marketcap""),1000000),"""")"),4894.868059)</f>
        <v>4894.868059</v>
      </c>
      <c r="D811" s="72">
        <f>IFERROR(__xludf.DUMMYFUNCTION("iferror(divide(googlefinance($B811,""shares""),1000),"""")"),27524.0)</f>
        <v>27524</v>
      </c>
      <c r="E811" s="72">
        <f>IFERROR(__xludf.DUMMYFUNCTION("iferror(divide(googlefinance($B811,""volumeavg""),1000),"""")"),87.35)</f>
        <v>87.35</v>
      </c>
      <c r="F811" s="73">
        <f>IFERROR(__xludf.DUMMYFUNCTION("iferror(MINUS(divide(GOOGLEFINANCE($B811), INDEX(GOOGLEFINANCE($B811,""price"",today()-182),2,2)),1),"""")"),0.300665545235135)</f>
        <v>0.3006655452</v>
      </c>
      <c r="G811" s="61">
        <f>IFERROR(__xludf.DUMMYFUNCTION("iferror(MINUS(divide(GOOGLEFINANCE($B811), INDEX(GOOGLEFINANCE($B811,""price"",today()-364),2,2)),1),"""")"),0.2412060301507537)</f>
        <v>0.2412060302</v>
      </c>
    </row>
    <row r="812">
      <c r="A812" s="71">
        <f t="shared" si="4"/>
        <v>808</v>
      </c>
      <c r="B812" s="47" t="s">
        <v>945</v>
      </c>
      <c r="C812" s="72">
        <f>IFERROR(__xludf.DUMMYFUNCTION("iferror(divide(googlefinance($B812,""marketcap""),1000000),"""")"),891.76958)</f>
        <v>891.76958</v>
      </c>
      <c r="D812" s="72">
        <f>IFERROR(__xludf.DUMMYFUNCTION("iferror(divide(googlefinance($B812,""shares""),1000),"""")"),38874.0)</f>
        <v>38874</v>
      </c>
      <c r="E812" s="72">
        <f>IFERROR(__xludf.DUMMYFUNCTION("iferror(divide(googlefinance($B812,""volumeavg""),1000),"""")"),221.199)</f>
        <v>221.199</v>
      </c>
      <c r="F812" s="73">
        <f>IFERROR(__xludf.DUMMYFUNCTION("iferror(MINUS(divide(GOOGLEFINANCE($B812), INDEX(GOOGLEFINANCE($B812,""price"",today()-182),2,2)),1),"""")"),1.2848605577689245)</f>
        <v>1.284860558</v>
      </c>
      <c r="G812" s="61">
        <f>IFERROR(__xludf.DUMMYFUNCTION("iferror(MINUS(divide(GOOGLEFINANCE($B812), INDEX(GOOGLEFINANCE($B812,""price"",today()-364),2,2)),1),"""")"),0.4509803921568627)</f>
        <v>0.4509803922</v>
      </c>
    </row>
    <row r="813">
      <c r="A813" s="71">
        <f t="shared" si="4"/>
        <v>809</v>
      </c>
      <c r="B813" s="47" t="s">
        <v>946</v>
      </c>
      <c r="C813" s="72">
        <f>IFERROR(__xludf.DUMMYFUNCTION("iferror(divide(googlefinance($B813,""marketcap""),1000000),"""")"),8425.594395)</f>
        <v>8425.594395</v>
      </c>
      <c r="D813" s="72">
        <f>IFERROR(__xludf.DUMMYFUNCTION("iferror(divide(googlefinance($B813,""shares""),1000),"""")"),277889.0)</f>
        <v>277889</v>
      </c>
      <c r="E813" s="72">
        <f>IFERROR(__xludf.DUMMYFUNCTION("iferror(divide(googlefinance($B813,""volumeavg""),1000),"""")"),5699.072)</f>
        <v>5699.072</v>
      </c>
      <c r="F813" s="73">
        <f>IFERROR(__xludf.DUMMYFUNCTION("iferror(MINUS(divide(GOOGLEFINANCE($B813), INDEX(GOOGLEFINANCE($B813,""price"",today()-182),2,2)),1),"""")"),2.1002044989775053)</f>
        <v>2.100204499</v>
      </c>
      <c r="G813" s="61">
        <f>IFERROR(__xludf.DUMMYFUNCTION("iferror(MINUS(divide(GOOGLEFINANCE($B813), INDEX(GOOGLEFINANCE($B813,""price"",today()-364),2,2)),1),"""")"),0.6067832538420772)</f>
        <v>0.6067832538</v>
      </c>
    </row>
    <row r="814">
      <c r="A814" s="71">
        <f t="shared" si="4"/>
        <v>810</v>
      </c>
      <c r="B814" s="47" t="s">
        <v>947</v>
      </c>
      <c r="C814" s="72">
        <f>IFERROR(__xludf.DUMMYFUNCTION("iferror(divide(googlefinance($B814,""marketcap""),1000000),"""")"),248.565773)</f>
        <v>248.565773</v>
      </c>
      <c r="D814" s="72">
        <f>IFERROR(__xludf.DUMMYFUNCTION("iferror(divide(googlefinance($B814,""shares""),1000),"""")"),40221.0)</f>
        <v>40221</v>
      </c>
      <c r="E814" s="72">
        <f>IFERROR(__xludf.DUMMYFUNCTION("iferror(divide(googlefinance($B814,""volumeavg""),1000),"""")"),441.935)</f>
        <v>441.935</v>
      </c>
      <c r="F814" s="73">
        <f>IFERROR(__xludf.DUMMYFUNCTION("iferror(MINUS(divide(GOOGLEFINANCE($B814), INDEX(GOOGLEFINANCE($B814,""price"",today()-182),2,2)),1),"""")"),-0.15688949522510232)</f>
        <v>-0.1568894952</v>
      </c>
      <c r="G814" s="61">
        <f>IFERROR(__xludf.DUMMYFUNCTION("iferror(MINUS(divide(GOOGLEFINANCE($B814), INDEX(GOOGLEFINANCE($B814,""price"",today()-364),2,2)),1),"""")"),-0.5521739130434783)</f>
        <v>-0.552173913</v>
      </c>
    </row>
    <row r="815">
      <c r="A815" s="71">
        <f t="shared" si="4"/>
        <v>811</v>
      </c>
      <c r="B815" s="47" t="s">
        <v>948</v>
      </c>
      <c r="C815" s="72">
        <f>IFERROR(__xludf.DUMMYFUNCTION("iferror(divide(googlefinance($B815,""marketcap""),1000000),"""")"),221.8261)</f>
        <v>221.8261</v>
      </c>
      <c r="D815" s="72">
        <f>IFERROR(__xludf.DUMMYFUNCTION("iferror(divide(googlefinance($B815,""shares""),1000),"""")"),21769.0)</f>
        <v>21769</v>
      </c>
      <c r="E815" s="72">
        <f>IFERROR(__xludf.DUMMYFUNCTION("iferror(divide(googlefinance($B815,""volumeavg""),1000),"""")"),65.592)</f>
        <v>65.592</v>
      </c>
      <c r="F815" s="73">
        <f>IFERROR(__xludf.DUMMYFUNCTION("iferror(MINUS(divide(GOOGLEFINANCE($B815), INDEX(GOOGLEFINANCE($B815,""price"",today()-182),2,2)),1),"""")"),1.0339321357285427)</f>
        <v>1.033932136</v>
      </c>
      <c r="G815" s="61">
        <f>IFERROR(__xludf.DUMMYFUNCTION("iferror(MINUS(divide(GOOGLEFINANCE($B815), INDEX(GOOGLEFINANCE($B815,""price"",today()-364),2,2)),1),"""")"),0.12472406181015439)</f>
        <v>0.1247240618</v>
      </c>
    </row>
    <row r="816">
      <c r="A816" s="71">
        <f t="shared" si="4"/>
        <v>812</v>
      </c>
      <c r="B816" s="47" t="s">
        <v>949</v>
      </c>
      <c r="C816" s="72">
        <f>IFERROR(__xludf.DUMMYFUNCTION("iferror(divide(googlefinance($B816,""marketcap""),1000000),"""")"),12830.129005)</f>
        <v>12830.12901</v>
      </c>
      <c r="D816" s="72">
        <f>IFERROR(__xludf.DUMMYFUNCTION("iferror(divide(googlefinance($B816,""shares""),1000),"""")"),142194.0)</f>
        <v>142194</v>
      </c>
      <c r="E816" s="72">
        <f>IFERROR(__xludf.DUMMYFUNCTION("iferror(divide(googlefinance($B816,""volumeavg""),1000),"""")"),974.089)</f>
        <v>974.089</v>
      </c>
      <c r="F816" s="73">
        <f>IFERROR(__xludf.DUMMYFUNCTION("iferror(MINUS(divide(GOOGLEFINANCE($B816), INDEX(GOOGLEFINANCE($B816,""price"",today()-182),2,2)),1),"""")"),0.24438008550544743)</f>
        <v>0.2443800855</v>
      </c>
      <c r="G816" s="61">
        <f>IFERROR(__xludf.DUMMYFUNCTION("iferror(MINUS(divide(GOOGLEFINANCE($B816), INDEX(GOOGLEFINANCE($B816,""price"",today()-364),2,2)),1),"""")"),0.04517548940113514)</f>
        <v>0.0451754894</v>
      </c>
    </row>
    <row r="817">
      <c r="A817" s="71">
        <f t="shared" si="4"/>
        <v>813</v>
      </c>
      <c r="B817" s="47" t="s">
        <v>950</v>
      </c>
      <c r="C817" s="72">
        <f>IFERROR(__xludf.DUMMYFUNCTION("iferror(divide(googlefinance($B817,""marketcap""),1000000),"""")"),497.211)</f>
        <v>497.211</v>
      </c>
      <c r="D817" s="72">
        <f>IFERROR(__xludf.DUMMYFUNCTION("iferror(divide(googlefinance($B817,""shares""),1000),"""")"),32604.0)</f>
        <v>32604</v>
      </c>
      <c r="E817" s="72">
        <f>IFERROR(__xludf.DUMMYFUNCTION("iferror(divide(googlefinance($B817,""volumeavg""),1000),"""")"),269.024)</f>
        <v>269.024</v>
      </c>
      <c r="F817" s="73">
        <f>IFERROR(__xludf.DUMMYFUNCTION("iferror(MINUS(divide(GOOGLEFINANCE($B817), INDEX(GOOGLEFINANCE($B817,""price"",today()-182),2,2)),1),"""")"),1.300150829562594)</f>
        <v>1.30015083</v>
      </c>
      <c r="G817" s="61">
        <f>IFERROR(__xludf.DUMMYFUNCTION("iferror(MINUS(divide(GOOGLEFINANCE($B817), INDEX(GOOGLEFINANCE($B817,""price"",today()-364),2,2)),1),"""")"),0.261373035566584)</f>
        <v>0.2613730356</v>
      </c>
    </row>
    <row r="818">
      <c r="A818" s="71">
        <f t="shared" si="4"/>
        <v>814</v>
      </c>
      <c r="B818" s="47" t="s">
        <v>951</v>
      </c>
      <c r="C818" s="72">
        <f>IFERROR(__xludf.DUMMYFUNCTION("iferror(divide(googlefinance($B818,""marketcap""),1000000),"""")"),11.216799)</f>
        <v>11.216799</v>
      </c>
      <c r="D818" s="72">
        <f>IFERROR(__xludf.DUMMYFUNCTION("iferror(divide(googlefinance($B818,""shares""),1000),"""")"),4006.0)</f>
        <v>4006</v>
      </c>
      <c r="E818" s="72">
        <f>IFERROR(__xludf.DUMMYFUNCTION("iferror(divide(googlefinance($B818,""volumeavg""),1000),"""")"),282.598)</f>
        <v>282.598</v>
      </c>
      <c r="F818" s="73">
        <f>IFERROR(__xludf.DUMMYFUNCTION("iferror(MINUS(divide(GOOGLEFINANCE($B818), INDEX(GOOGLEFINANCE($B818,""price"",today()-182),2,2)),1),"""")"),0.9310344827586206)</f>
        <v>0.9310344828</v>
      </c>
      <c r="G818" s="61">
        <f>IFERROR(__xludf.DUMMYFUNCTION("iferror(MINUS(divide(GOOGLEFINANCE($B818), INDEX(GOOGLEFINANCE($B818,""price"",today()-364),2,2)),1),"""")"),0.10236220472440927)</f>
        <v>0.1023622047</v>
      </c>
    </row>
    <row r="819">
      <c r="A819" s="71">
        <f t="shared" si="4"/>
        <v>815</v>
      </c>
      <c r="B819" s="47" t="s">
        <v>952</v>
      </c>
      <c r="C819" s="72">
        <f>IFERROR(__xludf.DUMMYFUNCTION("iferror(divide(googlefinance($B819,""marketcap""),1000000),"""")"),5948.41753)</f>
        <v>5948.41753</v>
      </c>
      <c r="D819" s="72">
        <f>IFERROR(__xludf.DUMMYFUNCTION("iferror(divide(googlefinance($B819,""shares""),1000),"""")"),132393.0)</f>
        <v>132393</v>
      </c>
      <c r="E819" s="72">
        <f>IFERROR(__xludf.DUMMYFUNCTION("iferror(divide(googlefinance($B819,""volumeavg""),1000),"""")"),963.395)</f>
        <v>963.395</v>
      </c>
      <c r="F819" s="73">
        <f>IFERROR(__xludf.DUMMYFUNCTION("iferror(MINUS(divide(GOOGLEFINANCE($B819), INDEX(GOOGLEFINANCE($B819,""price"",today()-182),2,2)),1),"""")"),0.8846476510067114)</f>
        <v>0.884647651</v>
      </c>
      <c r="G819" s="61">
        <f>IFERROR(__xludf.DUMMYFUNCTION("iferror(MINUS(divide(GOOGLEFINANCE($B819), INDEX(GOOGLEFINANCE($B819,""price"",today()-364),2,2)),1),"""")"),0.10095564812545943)</f>
        <v>0.1009556481</v>
      </c>
    </row>
    <row r="820">
      <c r="A820" s="71">
        <f t="shared" si="4"/>
        <v>816</v>
      </c>
      <c r="B820" s="47" t="s">
        <v>953</v>
      </c>
      <c r="C820" s="72">
        <f>IFERROR(__xludf.DUMMYFUNCTION("iferror(divide(googlefinance($B820,""marketcap""),1000000),"""")"),4452.572438)</f>
        <v>4452.572438</v>
      </c>
      <c r="D820" s="72">
        <f>IFERROR(__xludf.DUMMYFUNCTION("iferror(divide(googlefinance($B820,""shares""),1000),"""")"),264013.0)</f>
        <v>264013</v>
      </c>
      <c r="E820" s="72">
        <f>IFERROR(__xludf.DUMMYFUNCTION("iferror(divide(googlefinance($B820,""volumeavg""),1000),"""")"),159.358)</f>
        <v>159.358</v>
      </c>
      <c r="F820" s="73" t="str">
        <f>IFERROR(__xludf.DUMMYFUNCTION("iferror(MINUS(divide(GOOGLEFINANCE($B820), INDEX(GOOGLEFINANCE($B820,""price"",today()-182),2,2)),1),"""")"),"")</f>
        <v/>
      </c>
      <c r="G820" s="61" t="str">
        <f>IFERROR(__xludf.DUMMYFUNCTION("iferror(MINUS(divide(GOOGLEFINANCE($B820), INDEX(GOOGLEFINANCE($B820,""price"",today()-364),2,2)),1),"""")"),"")</f>
        <v/>
      </c>
    </row>
    <row r="821">
      <c r="A821" s="71">
        <f t="shared" si="4"/>
        <v>817</v>
      </c>
      <c r="B821" s="47" t="s">
        <v>954</v>
      </c>
      <c r="C821" s="72">
        <f>IFERROR(__xludf.DUMMYFUNCTION("iferror(divide(googlefinance($B821,""marketcap""),1000000),"""")"),23804.538158)</f>
        <v>23804.53816</v>
      </c>
      <c r="D821" s="72">
        <f>IFERROR(__xludf.DUMMYFUNCTION("iferror(divide(googlefinance($B821,""shares""),1000),"""")"),274618.0)</f>
        <v>274618</v>
      </c>
      <c r="E821" s="72">
        <f>IFERROR(__xludf.DUMMYFUNCTION("iferror(divide(googlefinance($B821,""volumeavg""),1000),"""")"),2486.548)</f>
        <v>2486.548</v>
      </c>
      <c r="F821" s="73">
        <f>IFERROR(__xludf.DUMMYFUNCTION("iferror(MINUS(divide(GOOGLEFINANCE($B821), INDEX(GOOGLEFINANCE($B821,""price"",today()-182),2,2)),1),"""")"),1.2928403755868545)</f>
        <v>1.292840376</v>
      </c>
      <c r="G821" s="61">
        <f>IFERROR(__xludf.DUMMYFUNCTION("iferror(MINUS(divide(GOOGLEFINANCE($B821), INDEX(GOOGLEFINANCE($B821,""price"",today()-364),2,2)),1),"""")"),0.44436229205175604)</f>
        <v>0.4443622921</v>
      </c>
    </row>
    <row r="822">
      <c r="A822" s="71">
        <f t="shared" si="4"/>
        <v>818</v>
      </c>
      <c r="B822" s="47" t="s">
        <v>955</v>
      </c>
      <c r="C822" s="72">
        <f>IFERROR(__xludf.DUMMYFUNCTION("iferror(divide(googlefinance($B822,""marketcap""),1000000),"""")"),129.371732)</f>
        <v>129.371732</v>
      </c>
      <c r="D822" s="72">
        <f>IFERROR(__xludf.DUMMYFUNCTION("iferror(divide(googlefinance($B822,""shares""),1000),"""")"),11133.0)</f>
        <v>11133</v>
      </c>
      <c r="E822" s="72">
        <f>IFERROR(__xludf.DUMMYFUNCTION("iferror(divide(googlefinance($B822,""volumeavg""),1000),"""")"),247.404)</f>
        <v>247.404</v>
      </c>
      <c r="F822" s="73">
        <f>IFERROR(__xludf.DUMMYFUNCTION("iferror(MINUS(divide(GOOGLEFINANCE($B822), INDEX(GOOGLEFINANCE($B822,""price"",today()-182),2,2)),1),"""")"),1.4941176470588236)</f>
        <v>1.494117647</v>
      </c>
      <c r="G822" s="61">
        <f>IFERROR(__xludf.DUMMYFUNCTION("iferror(MINUS(divide(GOOGLEFINANCE($B822), INDEX(GOOGLEFINANCE($B822,""price"",today()-364),2,2)),1),"""")"),2.183183183183183)</f>
        <v>2.183183183</v>
      </c>
    </row>
    <row r="823">
      <c r="A823" s="71">
        <f t="shared" si="4"/>
        <v>819</v>
      </c>
      <c r="B823" s="47" t="s">
        <v>956</v>
      </c>
      <c r="C823" s="72">
        <f>IFERROR(__xludf.DUMMYFUNCTION("iferror(divide(googlefinance($B823,""marketcap""),1000000),"""")"),188.898637)</f>
        <v>188.898637</v>
      </c>
      <c r="D823" s="72">
        <f>IFERROR(__xludf.DUMMYFUNCTION("iferror(divide(googlefinance($B823,""shares""),1000),"""")"),14354.0)</f>
        <v>14354</v>
      </c>
      <c r="E823" s="72">
        <f>IFERROR(__xludf.DUMMYFUNCTION("iferror(divide(googlefinance($B823,""volumeavg""),1000),"""")"),70.932)</f>
        <v>70.932</v>
      </c>
      <c r="F823" s="73">
        <f>IFERROR(__xludf.DUMMYFUNCTION("iferror(MINUS(divide(GOOGLEFINANCE($B823), INDEX(GOOGLEFINANCE($B823,""price"",today()-182),2,2)),1),"""")"),0.39702760084925703)</f>
        <v>0.3970276008</v>
      </c>
      <c r="G823" s="61">
        <f>IFERROR(__xludf.DUMMYFUNCTION("iferror(MINUS(divide(GOOGLEFINANCE($B823), INDEX(GOOGLEFINANCE($B823,""price"",today()-364),2,2)),1),"""")"),-0.05595408895265419)</f>
        <v>-0.05595408895</v>
      </c>
    </row>
    <row r="824">
      <c r="A824" s="71">
        <f t="shared" si="4"/>
        <v>820</v>
      </c>
      <c r="B824" s="47" t="s">
        <v>957</v>
      </c>
      <c r="C824" s="72" t="str">
        <f>IFERROR(__xludf.DUMMYFUNCTION("iferror(divide(googlefinance($B824,""marketcap""),1000000),"""")"),"")</f>
        <v/>
      </c>
      <c r="D824" s="72" t="str">
        <f>IFERROR(__xludf.DUMMYFUNCTION("iferror(divide(googlefinance($B824,""shares""),1000),"""")"),"")</f>
        <v/>
      </c>
      <c r="E824" s="72" t="str">
        <f>IFERROR(__xludf.DUMMYFUNCTION("iferror(divide(googlefinance($B824,""volumeavg""),1000),"""")"),"")</f>
        <v/>
      </c>
      <c r="F824" s="73" t="str">
        <f>IFERROR(__xludf.DUMMYFUNCTION("iferror(MINUS(divide(GOOGLEFINANCE($B824), INDEX(GOOGLEFINANCE($B824,""price"",today()-182),2,2)),1),"""")"),"")</f>
        <v/>
      </c>
      <c r="G824" s="61" t="str">
        <f>IFERROR(__xludf.DUMMYFUNCTION("iferror(MINUS(divide(GOOGLEFINANCE($B824), INDEX(GOOGLEFINANCE($B824,""price"",today()-364),2,2)),1),"""")"),"")</f>
        <v/>
      </c>
    </row>
    <row r="825">
      <c r="A825" s="71">
        <f t="shared" si="4"/>
        <v>821</v>
      </c>
      <c r="B825" s="47" t="s">
        <v>958</v>
      </c>
      <c r="C825" s="72">
        <f>IFERROR(__xludf.DUMMYFUNCTION("iferror(divide(googlefinance($B825,""marketcap""),1000000),"""")"),2752.514167)</f>
        <v>2752.514167</v>
      </c>
      <c r="D825" s="72">
        <f>IFERROR(__xludf.DUMMYFUNCTION("iferror(divide(googlefinance($B825,""shares""),1000),"""")"),25089.0)</f>
        <v>25089</v>
      </c>
      <c r="E825" s="72">
        <f>IFERROR(__xludf.DUMMYFUNCTION("iferror(divide(googlefinance($B825,""volumeavg""),1000),"""")"),291.483)</f>
        <v>291.483</v>
      </c>
      <c r="F825" s="73">
        <f>IFERROR(__xludf.DUMMYFUNCTION("iferror(MINUS(divide(GOOGLEFINANCE($B825), INDEX(GOOGLEFINANCE($B825,""price"",today()-182),2,2)),1),"""")"),1.5284627794422678)</f>
        <v>1.528462779</v>
      </c>
      <c r="G825" s="61">
        <f>IFERROR(__xludf.DUMMYFUNCTION("iferror(MINUS(divide(GOOGLEFINANCE($B825), INDEX(GOOGLEFINANCE($B825,""price"",today()-364),2,2)),1),"""")"),0.3486170866625691)</f>
        <v>0.3486170867</v>
      </c>
    </row>
    <row r="826">
      <c r="A826" s="71">
        <f t="shared" si="4"/>
        <v>822</v>
      </c>
      <c r="B826" s="47" t="s">
        <v>959</v>
      </c>
      <c r="C826" s="72">
        <f>IFERROR(__xludf.DUMMYFUNCTION("iferror(divide(googlefinance($B826,""marketcap""),1000000),"""")"),1513.743724)</f>
        <v>1513.743724</v>
      </c>
      <c r="D826" s="72">
        <f>IFERROR(__xludf.DUMMYFUNCTION("iferror(divide(googlefinance($B826,""shares""),1000),"""")"),16078.0)</f>
        <v>16078</v>
      </c>
      <c r="E826" s="72">
        <f>IFERROR(__xludf.DUMMYFUNCTION("iferror(divide(googlefinance($B826,""volumeavg""),1000),"""")"),219.168)</f>
        <v>219.168</v>
      </c>
      <c r="F826" s="73">
        <f>IFERROR(__xludf.DUMMYFUNCTION("iferror(MINUS(divide(GOOGLEFINANCE($B826), INDEX(GOOGLEFINANCE($B826,""price"",today()-182),2,2)),1),"""")"),0.29202689721421704)</f>
        <v>0.2920268972</v>
      </c>
      <c r="G826" s="61">
        <f>IFERROR(__xludf.DUMMYFUNCTION("iferror(MINUS(divide(GOOGLEFINANCE($B826), INDEX(GOOGLEFINANCE($B826,""price"",today()-364),2,2)),1),"""")"),-0.09471153846153846)</f>
        <v>-0.09471153846</v>
      </c>
    </row>
    <row r="827">
      <c r="A827" s="71">
        <f t="shared" si="4"/>
        <v>823</v>
      </c>
      <c r="B827" s="47" t="s">
        <v>960</v>
      </c>
      <c r="C827" s="72">
        <f>IFERROR(__xludf.DUMMYFUNCTION("iferror(divide(googlefinance($B827,""marketcap""),1000000),"""")"),17830.043762)</f>
        <v>17830.04376</v>
      </c>
      <c r="D827" s="72">
        <f>IFERROR(__xludf.DUMMYFUNCTION("iferror(divide(googlefinance($B827,""shares""),1000),"""")"),97400.0)</f>
        <v>97400</v>
      </c>
      <c r="E827" s="72">
        <f>IFERROR(__xludf.DUMMYFUNCTION("iferror(divide(googlefinance($B827,""volumeavg""),1000),"""")"),810.67)</f>
        <v>810.67</v>
      </c>
      <c r="F827" s="73">
        <f>IFERROR(__xludf.DUMMYFUNCTION("iferror(MINUS(divide(GOOGLEFINANCE($B827), INDEX(GOOGLEFINANCE($B827,""price"",today()-182),2,2)),1),"""")"),0.7070123088399851)</f>
        <v>0.7070123088</v>
      </c>
      <c r="G827" s="61">
        <f>IFERROR(__xludf.DUMMYFUNCTION("iferror(MINUS(divide(GOOGLEFINANCE($B827), INDEX(GOOGLEFINANCE($B827,""price"",today()-364),2,2)),1),"""")"),0.06004980022004758)</f>
        <v>0.06004980022</v>
      </c>
    </row>
    <row r="828">
      <c r="A828" s="71">
        <f t="shared" si="4"/>
        <v>824</v>
      </c>
      <c r="B828" s="47" t="s">
        <v>961</v>
      </c>
      <c r="C828" s="72">
        <f>IFERROR(__xludf.DUMMYFUNCTION("iferror(divide(googlefinance($B828,""marketcap""),1000000),"""")"),10505.696206)</f>
        <v>10505.69621</v>
      </c>
      <c r="D828" s="72">
        <f>IFERROR(__xludf.DUMMYFUNCTION("iferror(divide(googlefinance($B828,""shares""),1000),"""")"),38254.0)</f>
        <v>38254</v>
      </c>
      <c r="E828" s="72">
        <f>IFERROR(__xludf.DUMMYFUNCTION("iferror(divide(googlefinance($B828,""volumeavg""),1000),"""")"),207.602)</f>
        <v>207.602</v>
      </c>
      <c r="F828" s="73">
        <f>IFERROR(__xludf.DUMMYFUNCTION("iferror(MINUS(divide(GOOGLEFINANCE($B828), INDEX(GOOGLEFINANCE($B828,""price"",today()-182),2,2)),1),"""")"),0.5106991583695473)</f>
        <v>0.5106991584</v>
      </c>
      <c r="G828" s="61">
        <f>IFERROR(__xludf.DUMMYFUNCTION("iferror(MINUS(divide(GOOGLEFINANCE($B828), INDEX(GOOGLEFINANCE($B828,""price"",today()-364),2,2)),1),"""")"),0.14893528009036516)</f>
        <v>0.1489352801</v>
      </c>
    </row>
    <row r="829">
      <c r="A829" s="71">
        <f t="shared" si="4"/>
        <v>825</v>
      </c>
      <c r="B829" s="47" t="s">
        <v>962</v>
      </c>
      <c r="C829" s="72">
        <f>IFERROR(__xludf.DUMMYFUNCTION("iferror(divide(googlefinance($B829,""marketcap""),1000000),"""")"),516.505449)</f>
        <v>516.505449</v>
      </c>
      <c r="D829" s="72">
        <f>IFERROR(__xludf.DUMMYFUNCTION("iferror(divide(googlefinance($B829,""shares""),1000),"""")"),49856.0)</f>
        <v>49856</v>
      </c>
      <c r="E829" s="72">
        <f>IFERROR(__xludf.DUMMYFUNCTION("iferror(divide(googlefinance($B829,""volumeavg""),1000),"""")"),545.872)</f>
        <v>545.872</v>
      </c>
      <c r="F829" s="73">
        <f>IFERROR(__xludf.DUMMYFUNCTION("iferror(MINUS(divide(GOOGLEFINANCE($B829), INDEX(GOOGLEFINANCE($B829,""price"",today()-182),2,2)),1),"""")"),2.129909365558912)</f>
        <v>2.129909366</v>
      </c>
      <c r="G829" s="61">
        <f>IFERROR(__xludf.DUMMYFUNCTION("iferror(MINUS(divide(GOOGLEFINANCE($B829), INDEX(GOOGLEFINANCE($B829,""price"",today()-364),2,2)),1),"""")"),-0.4143583945732052)</f>
        <v>-0.4143583946</v>
      </c>
    </row>
    <row r="830">
      <c r="A830" s="71">
        <f t="shared" si="4"/>
        <v>826</v>
      </c>
      <c r="B830" s="47" t="s">
        <v>963</v>
      </c>
      <c r="C830" s="72" t="str">
        <f>IFERROR(__xludf.DUMMYFUNCTION("iferror(divide(googlefinance($B830,""marketcap""),1000000),"""")"),"")</f>
        <v/>
      </c>
      <c r="D830" s="72" t="str">
        <f>IFERROR(__xludf.DUMMYFUNCTION("iferror(divide(googlefinance($B830,""shares""),1000),"""")"),"")</f>
        <v/>
      </c>
      <c r="E830" s="72" t="str">
        <f>IFERROR(__xludf.DUMMYFUNCTION("iferror(divide(googlefinance($B830,""volumeavg""),1000),"""")"),"")</f>
        <v/>
      </c>
      <c r="F830" s="73" t="str">
        <f>IFERROR(__xludf.DUMMYFUNCTION("iferror(MINUS(divide(GOOGLEFINANCE($B830), INDEX(GOOGLEFINANCE($B830,""price"",today()-182),2,2)),1),"""")"),"")</f>
        <v/>
      </c>
      <c r="G830" s="61" t="str">
        <f>IFERROR(__xludf.DUMMYFUNCTION("iferror(MINUS(divide(GOOGLEFINANCE($B830), INDEX(GOOGLEFINANCE($B830,""price"",today()-364),2,2)),1),"""")"),"")</f>
        <v/>
      </c>
    </row>
    <row r="831">
      <c r="A831" s="71">
        <f t="shared" si="4"/>
        <v>827</v>
      </c>
      <c r="B831" s="47" t="s">
        <v>964</v>
      </c>
      <c r="C831" s="72">
        <f>IFERROR(__xludf.DUMMYFUNCTION("iferror(divide(googlefinance($B831,""marketcap""),1000000),"""")"),2207.535149)</f>
        <v>2207.535149</v>
      </c>
      <c r="D831" s="72">
        <f>IFERROR(__xludf.DUMMYFUNCTION("iferror(divide(googlefinance($B831,""shares""),1000),"""")"),48667.0)</f>
        <v>48667</v>
      </c>
      <c r="E831" s="72">
        <f>IFERROR(__xludf.DUMMYFUNCTION("iferror(divide(googlefinance($B831,""volumeavg""),1000),"""")"),449.076)</f>
        <v>449.076</v>
      </c>
      <c r="F831" s="73">
        <f>IFERROR(__xludf.DUMMYFUNCTION("iferror(MINUS(divide(GOOGLEFINANCE($B831), INDEX(GOOGLEFINANCE($B831,""price"",today()-182),2,2)),1),"""")"),0.24002186987424823)</f>
        <v>0.2400218699</v>
      </c>
      <c r="G831" s="61">
        <f>IFERROR(__xludf.DUMMYFUNCTION("iferror(MINUS(divide(GOOGLEFINANCE($B831), INDEX(GOOGLEFINANCE($B831,""price"",today()-364),2,2)),1),"""")"),-0.4223863491659239)</f>
        <v>-0.4223863492</v>
      </c>
    </row>
    <row r="832">
      <c r="A832" s="71">
        <f t="shared" si="4"/>
        <v>828</v>
      </c>
      <c r="B832" s="47" t="s">
        <v>965</v>
      </c>
      <c r="C832" s="72">
        <f>IFERROR(__xludf.DUMMYFUNCTION("iferror(divide(googlefinance($B832,""marketcap""),1000000),"""")"),128.875444)</f>
        <v>128.875444</v>
      </c>
      <c r="D832" s="72">
        <f>IFERROR(__xludf.DUMMYFUNCTION("iferror(divide(googlefinance($B832,""shares""),1000),"""")"),27362.0)</f>
        <v>27362</v>
      </c>
      <c r="E832" s="72">
        <f>IFERROR(__xludf.DUMMYFUNCTION("iferror(divide(googlefinance($B832,""volumeavg""),1000),"""")"),546.404)</f>
        <v>546.404</v>
      </c>
      <c r="F832" s="73">
        <f>IFERROR(__xludf.DUMMYFUNCTION("iferror(MINUS(divide(GOOGLEFINANCE($B832), INDEX(GOOGLEFINANCE($B832,""price"",today()-182),2,2)),1),"""")"),0.17164179104477628)</f>
        <v>0.171641791</v>
      </c>
      <c r="G832" s="61">
        <f>IFERROR(__xludf.DUMMYFUNCTION("iferror(MINUS(divide(GOOGLEFINANCE($B832), INDEX(GOOGLEFINANCE($B832,""price"",today()-364),2,2)),1),"""")"),-0.5364173228346456)</f>
        <v>-0.5364173228</v>
      </c>
    </row>
    <row r="833">
      <c r="A833" s="71">
        <f t="shared" si="4"/>
        <v>829</v>
      </c>
      <c r="B833" s="47" t="s">
        <v>966</v>
      </c>
      <c r="C833" s="72">
        <f>IFERROR(__xludf.DUMMYFUNCTION("iferror(divide(googlefinance($B833,""marketcap""),1000000),"""")"),623.513347)</f>
        <v>623.513347</v>
      </c>
      <c r="D833" s="72">
        <f>IFERROR(__xludf.DUMMYFUNCTION("iferror(divide(googlefinance($B833,""shares""),1000),"""")"),28853.0)</f>
        <v>28853</v>
      </c>
      <c r="E833" s="72">
        <f>IFERROR(__xludf.DUMMYFUNCTION("iferror(divide(googlefinance($B833,""volumeavg""),1000),"""")"),1056.007)</f>
        <v>1056.007</v>
      </c>
      <c r="F833" s="73">
        <f>IFERROR(__xludf.DUMMYFUNCTION("iferror(MINUS(divide(GOOGLEFINANCE($B833), INDEX(GOOGLEFINANCE($B833,""price"",today()-182),2,2)),1),"""")"),4.194711538461538)</f>
        <v>4.194711538</v>
      </c>
      <c r="G833" s="61">
        <f>IFERROR(__xludf.DUMMYFUNCTION("iferror(MINUS(divide(GOOGLEFINANCE($B833), INDEX(GOOGLEFINANCE($B833,""price"",today()-364),2,2)),1),"""")"),1.3387445887445888)</f>
        <v>1.338744589</v>
      </c>
    </row>
    <row r="834">
      <c r="A834" s="71">
        <f t="shared" si="4"/>
        <v>830</v>
      </c>
      <c r="B834" s="47" t="s">
        <v>967</v>
      </c>
      <c r="C834" s="72">
        <f>IFERROR(__xludf.DUMMYFUNCTION("iferror(divide(googlefinance($B834,""marketcap""),1000000),"""")"),145832.982067)</f>
        <v>145832.9821</v>
      </c>
      <c r="D834" s="72">
        <f>IFERROR(__xludf.DUMMYFUNCTION("iferror(divide(googlefinance($B834,""shares""),1000),"""")"),956470.0)</f>
        <v>956470</v>
      </c>
      <c r="E834" s="72">
        <f>IFERROR(__xludf.DUMMYFUNCTION("iferror(divide(googlefinance($B834,""volumeavg""),1000),"""")"),2730.614)</f>
        <v>2730.614</v>
      </c>
      <c r="F834" s="73">
        <f>IFERROR(__xludf.DUMMYFUNCTION("iferror(MINUS(divide(GOOGLEFINANCE($B834), INDEX(GOOGLEFINANCE($B834,""price"",today()-182),2,2)),1),"""")"),0.2456699346405229)</f>
        <v>0.2456699346</v>
      </c>
      <c r="G834" s="61">
        <f>IFERROR(__xludf.DUMMYFUNCTION("iferror(MINUS(divide(GOOGLEFINANCE($B834), INDEX(GOOGLEFINANCE($B834,""price"",today()-364),2,2)),1),"""")"),0.3125860881542699)</f>
        <v>0.3125860882</v>
      </c>
    </row>
    <row r="835">
      <c r="A835" s="71">
        <f t="shared" si="4"/>
        <v>831</v>
      </c>
      <c r="B835" s="47" t="s">
        <v>968</v>
      </c>
      <c r="C835" s="72">
        <f>IFERROR(__xludf.DUMMYFUNCTION("iferror(divide(googlefinance($B835,""marketcap""),1000000),"""")"),260.107766)</f>
        <v>260.107766</v>
      </c>
      <c r="D835" s="72">
        <f>IFERROR(__xludf.DUMMYFUNCTION("iferror(divide(googlefinance($B835,""shares""),1000),"""")"),17816.0)</f>
        <v>17816</v>
      </c>
      <c r="E835" s="72">
        <f>IFERROR(__xludf.DUMMYFUNCTION("iferror(divide(googlefinance($B835,""volumeavg""),1000),"""")"),41.755)</f>
        <v>41.755</v>
      </c>
      <c r="F835" s="73">
        <f>IFERROR(__xludf.DUMMYFUNCTION("iferror(MINUS(divide(GOOGLEFINANCE($B835), INDEX(GOOGLEFINANCE($B835,""price"",today()-182),2,2)),1),"""")"),0.050359712230215736)</f>
        <v>0.05035971223</v>
      </c>
      <c r="G835" s="61">
        <f>IFERROR(__xludf.DUMMYFUNCTION("iferror(MINUS(divide(GOOGLEFINANCE($B835), INDEX(GOOGLEFINANCE($B835,""price"",today()-364),2,2)),1),"""")"),-0.2065217391304347)</f>
        <v>-0.2065217391</v>
      </c>
    </row>
    <row r="836">
      <c r="A836" s="71">
        <f t="shared" si="4"/>
        <v>832</v>
      </c>
      <c r="B836" s="47" t="s">
        <v>969</v>
      </c>
      <c r="C836" s="72">
        <f>IFERROR(__xludf.DUMMYFUNCTION("iferror(divide(googlefinance($B836,""marketcap""),1000000),"""")"),110681.860162)</f>
        <v>110681.8602</v>
      </c>
      <c r="D836" s="72">
        <f>IFERROR(__xludf.DUMMYFUNCTION("iferror(divide(googlefinance($B836,""shares""),1000),"""")"),279542.0)</f>
        <v>279542</v>
      </c>
      <c r="E836" s="72">
        <f>IFERROR(__xludf.DUMMYFUNCTION("iferror(divide(googlefinance($B836,""volumeavg""),1000),"""")"),961.343)</f>
        <v>961.343</v>
      </c>
      <c r="F836" s="73">
        <f>IFERROR(__xludf.DUMMYFUNCTION("iferror(MINUS(divide(GOOGLEFINANCE($B836), INDEX(GOOGLEFINANCE($B836,""price"",today()-182),2,2)),1),"""")"),0.3595906874527848)</f>
        <v>0.3595906875</v>
      </c>
      <c r="G836" s="61">
        <f>IFERROR(__xludf.DUMMYFUNCTION("iferror(MINUS(divide(GOOGLEFINANCE($B836), INDEX(GOOGLEFINANCE($B836,""price"",today()-364),2,2)),1),"""")"),0.01980682549903423)</f>
        <v>0.0198068255</v>
      </c>
    </row>
    <row r="837">
      <c r="A837" s="71">
        <f t="shared" si="4"/>
        <v>833</v>
      </c>
      <c r="B837" s="47" t="s">
        <v>970</v>
      </c>
      <c r="C837" s="72">
        <f>IFERROR(__xludf.DUMMYFUNCTION("iferror(divide(googlefinance($B837,""marketcap""),1000000),"""")"),1384.304926)</f>
        <v>1384.304926</v>
      </c>
      <c r="D837" s="72">
        <f>IFERROR(__xludf.DUMMYFUNCTION("iferror(divide(googlefinance($B837,""shares""),1000),"""")"),62104.0)</f>
        <v>62104</v>
      </c>
      <c r="E837" s="72">
        <f>IFERROR(__xludf.DUMMYFUNCTION("iferror(divide(googlefinance($B837,""volumeavg""),1000),"""")"),7.867)</f>
        <v>7.867</v>
      </c>
      <c r="F837" s="73">
        <f>IFERROR(__xludf.DUMMYFUNCTION("iferror(MINUS(divide(GOOGLEFINANCE($B837), INDEX(GOOGLEFINANCE($B837,""price"",today()-182),2,2)),1),"""")"),0.6090225563909775)</f>
        <v>0.6090225564</v>
      </c>
      <c r="G837" s="61">
        <f>IFERROR(__xludf.DUMMYFUNCTION("iferror(MINUS(divide(GOOGLEFINANCE($B837), INDEX(GOOGLEFINANCE($B837,""price"",today()-364),2,2)),1),"""")"),0.0023419203747074846)</f>
        <v>0.002341920375</v>
      </c>
    </row>
    <row r="838">
      <c r="A838" s="71">
        <f t="shared" si="4"/>
        <v>834</v>
      </c>
      <c r="B838" s="47" t="s">
        <v>971</v>
      </c>
      <c r="C838" s="72">
        <f>IFERROR(__xludf.DUMMYFUNCTION("iferror(divide(googlefinance($B838,""marketcap""),1000000),"""")"),283.061504)</f>
        <v>283.061504</v>
      </c>
      <c r="D838" s="72">
        <f>IFERROR(__xludf.DUMMYFUNCTION("iferror(divide(googlefinance($B838,""shares""),1000),"""")"),29242.0)</f>
        <v>29242</v>
      </c>
      <c r="E838" s="72">
        <f>IFERROR(__xludf.DUMMYFUNCTION("iferror(divide(googlefinance($B838,""volumeavg""),1000),"""")"),147.302)</f>
        <v>147.302</v>
      </c>
      <c r="F838" s="73">
        <f>IFERROR(__xludf.DUMMYFUNCTION("iferror(MINUS(divide(GOOGLEFINANCE($B838), INDEX(GOOGLEFINANCE($B838,""price"",today()-182),2,2)),1),"""")"),0.1510107015457789)</f>
        <v>0.1510107015</v>
      </c>
      <c r="G838" s="61">
        <f>IFERROR(__xludf.DUMMYFUNCTION("iferror(MINUS(divide(GOOGLEFINANCE($B838), INDEX(GOOGLEFINANCE($B838,""price"",today()-364),2,2)),1),"""")"),-0.1003717472118959)</f>
        <v>-0.1003717472</v>
      </c>
    </row>
    <row r="839">
      <c r="A839" s="71">
        <f t="shared" si="4"/>
        <v>835</v>
      </c>
      <c r="B839" s="47" t="s">
        <v>972</v>
      </c>
      <c r="C839" s="72">
        <f>IFERROR(__xludf.DUMMYFUNCTION("iferror(divide(googlefinance($B839,""marketcap""),1000000),"""")"),875.918407)</f>
        <v>875.918407</v>
      </c>
      <c r="D839" s="72">
        <f>IFERROR(__xludf.DUMMYFUNCTION("iferror(divide(googlefinance($B839,""shares""),1000),"""")"),66813.0)</f>
        <v>66813</v>
      </c>
      <c r="E839" s="72">
        <f>IFERROR(__xludf.DUMMYFUNCTION("iferror(divide(googlefinance($B839,""volumeavg""),1000),"""")"),467.529)</f>
        <v>467.529</v>
      </c>
      <c r="F839" s="73">
        <f>IFERROR(__xludf.DUMMYFUNCTION("iferror(MINUS(divide(GOOGLEFINANCE($B839), INDEX(GOOGLEFINANCE($B839,""price"",today()-182),2,2)),1),"""")"),0.23913043478260865)</f>
        <v>0.2391304348</v>
      </c>
      <c r="G839" s="61">
        <f>IFERROR(__xludf.DUMMYFUNCTION("iferror(MINUS(divide(GOOGLEFINANCE($B839), INDEX(GOOGLEFINANCE($B839,""price"",today()-364),2,2)),1),"""")"),-0.5030326004548901)</f>
        <v>-0.5030326005</v>
      </c>
    </row>
    <row r="840">
      <c r="A840" s="71">
        <f t="shared" si="4"/>
        <v>836</v>
      </c>
      <c r="B840" s="47" t="s">
        <v>973</v>
      </c>
      <c r="C840" s="72">
        <f>IFERROR(__xludf.DUMMYFUNCTION("iferror(divide(googlefinance($B840,""marketcap""),1000000),"""")"),569.004485)</f>
        <v>569.004485</v>
      </c>
      <c r="D840" s="72">
        <f>IFERROR(__xludf.DUMMYFUNCTION("iferror(divide(googlefinance($B840,""shares""),1000),"""")"),35922.0)</f>
        <v>35922</v>
      </c>
      <c r="E840" s="72">
        <f>IFERROR(__xludf.DUMMYFUNCTION("iferror(divide(googlefinance($B840,""volumeavg""),1000),"""")"),268.936)</f>
        <v>268.936</v>
      </c>
      <c r="F840" s="73">
        <f>IFERROR(__xludf.DUMMYFUNCTION("iferror(MINUS(divide(GOOGLEFINANCE($B840), INDEX(GOOGLEFINANCE($B840,""price"",today()-182),2,2)),1),"""")"),1.0101522842639592)</f>
        <v>1.010152284</v>
      </c>
      <c r="G840" s="61">
        <f>IFERROR(__xludf.DUMMYFUNCTION("iferror(MINUS(divide(GOOGLEFINANCE($B840), INDEX(GOOGLEFINANCE($B840,""price"",today()-364),2,2)),1),"""")"),0.3980582524271845)</f>
        <v>0.3980582524</v>
      </c>
    </row>
    <row r="841">
      <c r="A841" s="71">
        <f t="shared" si="4"/>
        <v>837</v>
      </c>
      <c r="B841" s="47" t="s">
        <v>974</v>
      </c>
      <c r="C841" s="72">
        <f>IFERROR(__xludf.DUMMYFUNCTION("iferror(divide(googlefinance($B841,""marketcap""),1000000),"""")"),158.63782)</f>
        <v>158.63782</v>
      </c>
      <c r="D841" s="72">
        <f>IFERROR(__xludf.DUMMYFUNCTION("iferror(divide(googlefinance($B841,""shares""),1000),"""")"),23642.0)</f>
        <v>23642</v>
      </c>
      <c r="E841" s="72">
        <f>IFERROR(__xludf.DUMMYFUNCTION("iferror(divide(googlefinance($B841,""volumeavg""),1000),"""")"),50.45)</f>
        <v>50.45</v>
      </c>
      <c r="F841" s="73">
        <f>IFERROR(__xludf.DUMMYFUNCTION("iferror(MINUS(divide(GOOGLEFINANCE($B841), INDEX(GOOGLEFINANCE($B841,""price"",today()-182),2,2)),1),"""")"),0.2612781954887218)</f>
        <v>0.2612781955</v>
      </c>
      <c r="G841" s="61">
        <f>IFERROR(__xludf.DUMMYFUNCTION("iferror(MINUS(divide(GOOGLEFINANCE($B841), INDEX(GOOGLEFINANCE($B841,""price"",today()-364),2,2)),1),"""")"),-0.3711340206185567)</f>
        <v>-0.3711340206</v>
      </c>
    </row>
    <row r="842">
      <c r="A842" s="71">
        <f t="shared" si="4"/>
        <v>838</v>
      </c>
      <c r="B842" s="47" t="s">
        <v>975</v>
      </c>
      <c r="C842" s="72">
        <f>IFERROR(__xludf.DUMMYFUNCTION("iferror(divide(googlefinance($B842,""marketcap""),1000000),"""")"),11880.185155)</f>
        <v>11880.18516</v>
      </c>
      <c r="D842" s="72">
        <f>IFERROR(__xludf.DUMMYFUNCTION("iferror(divide(googlefinance($B842,""shares""),1000),"""")"),168585.0)</f>
        <v>168585</v>
      </c>
      <c r="E842" s="72">
        <f>IFERROR(__xludf.DUMMYFUNCTION("iferror(divide(googlefinance($B842,""volumeavg""),1000),"""")"),458.84)</f>
        <v>458.84</v>
      </c>
      <c r="F842" s="73">
        <f>IFERROR(__xludf.DUMMYFUNCTION("iferror(MINUS(divide(GOOGLEFINANCE($B842), INDEX(GOOGLEFINANCE($B842,""price"",today()-182),2,2)),1),"""")"),0.6834687052078356)</f>
        <v>0.6834687052</v>
      </c>
      <c r="G842" s="61">
        <f>IFERROR(__xludf.DUMMYFUNCTION("iferror(MINUS(divide(GOOGLEFINANCE($B842), INDEX(GOOGLEFINANCE($B842,""price"",today()-364),2,2)),1),"""")"),0.7387120651369354)</f>
        <v>0.7387120651</v>
      </c>
    </row>
    <row r="843">
      <c r="A843" s="71">
        <f t="shared" si="4"/>
        <v>839</v>
      </c>
      <c r="B843" s="47" t="s">
        <v>976</v>
      </c>
      <c r="C843" s="72">
        <f>IFERROR(__xludf.DUMMYFUNCTION("iferror(divide(googlefinance($B843,""marketcap""),1000000),"""")"),65860.927145)</f>
        <v>65860.92715</v>
      </c>
      <c r="D843" s="72">
        <f>IFERROR(__xludf.DUMMYFUNCTION("iferror(divide(googlefinance($B843,""shares""),1000),"""")"),596026.0)</f>
        <v>596026</v>
      </c>
      <c r="E843" s="72">
        <f>IFERROR(__xludf.DUMMYFUNCTION("iferror(divide(googlefinance($B843,""volumeavg""),1000),"""")"),393.135)</f>
        <v>393.135</v>
      </c>
      <c r="F843" s="73">
        <f>IFERROR(__xludf.DUMMYFUNCTION("iferror(MINUS(divide(GOOGLEFINANCE($B843), INDEX(GOOGLEFINANCE($B843,""price"",today()-182),2,2)),1),"""")"),0.23906705539358586)</f>
        <v>0.2390670554</v>
      </c>
      <c r="G843" s="61">
        <f>IFERROR(__xludf.DUMMYFUNCTION("iferror(MINUS(divide(GOOGLEFINANCE($B843), INDEX(GOOGLEFINANCE($B843,""price"",today()-364),2,2)),1),"""")"),-0.19507575757575757)</f>
        <v>-0.1950757576</v>
      </c>
    </row>
    <row r="844">
      <c r="A844" s="71">
        <f t="shared" si="4"/>
        <v>840</v>
      </c>
      <c r="B844" s="47" t="s">
        <v>977</v>
      </c>
      <c r="C844" s="72">
        <f>IFERROR(__xludf.DUMMYFUNCTION("iferror(divide(googlefinance($B844,""marketcap""),1000000),"""")"),123774.441157)</f>
        <v>123774.4412</v>
      </c>
      <c r="D844" s="72">
        <f>IFERROR(__xludf.DUMMYFUNCTION("iferror(divide(googlefinance($B844,""shares""),1000),"""")"),755736.0)</f>
        <v>755736</v>
      </c>
      <c r="E844" s="72">
        <f>IFERROR(__xludf.DUMMYFUNCTION("iferror(divide(googlefinance($B844,""volumeavg""),1000),"""")"),4307.616)</f>
        <v>4307.616</v>
      </c>
      <c r="F844" s="73">
        <f>IFERROR(__xludf.DUMMYFUNCTION("iferror(MINUS(divide(GOOGLEFINANCE($B844), INDEX(GOOGLEFINANCE($B844,""price"",today()-182),2,2)),1),"""")"),1.4680530440024113)</f>
        <v>1.468053044</v>
      </c>
      <c r="G844" s="61">
        <f>IFERROR(__xludf.DUMMYFUNCTION("iferror(MINUS(divide(GOOGLEFINANCE($B844), INDEX(GOOGLEFINANCE($B844,""price"",today()-364),2,2)),1),"""")"),0.476027397260274)</f>
        <v>0.4760273973</v>
      </c>
    </row>
    <row r="845">
      <c r="A845" s="71">
        <f t="shared" si="4"/>
        <v>841</v>
      </c>
      <c r="B845" s="47" t="s">
        <v>978</v>
      </c>
      <c r="C845" s="72">
        <f>IFERROR(__xludf.DUMMYFUNCTION("iferror(divide(googlefinance($B845,""marketcap""),1000000),"""")"),99.841198)</f>
        <v>99.841198</v>
      </c>
      <c r="D845" s="72">
        <f>IFERROR(__xludf.DUMMYFUNCTION("iferror(divide(googlefinance($B845,""shares""),1000),"""")"),65685.0)</f>
        <v>65685</v>
      </c>
      <c r="E845" s="72">
        <f>IFERROR(__xludf.DUMMYFUNCTION("iferror(divide(googlefinance($B845,""volumeavg""),1000),"""")"),5939.708)</f>
        <v>5939.708</v>
      </c>
      <c r="F845" s="73">
        <f>IFERROR(__xludf.DUMMYFUNCTION("iferror(MINUS(divide(GOOGLEFINANCE($B845), INDEX(GOOGLEFINANCE($B845,""price"",today()-182),2,2)),1),"""")"),3.0)</f>
        <v>3</v>
      </c>
      <c r="G845" s="61">
        <f>IFERROR(__xludf.DUMMYFUNCTION("iferror(MINUS(divide(GOOGLEFINANCE($B845), INDEX(GOOGLEFINANCE($B845,""price"",today()-364),2,2)),1),"""")"),-0.47038327526132406)</f>
        <v>-0.4703832753</v>
      </c>
    </row>
    <row r="846">
      <c r="A846" s="71">
        <f t="shared" si="4"/>
        <v>842</v>
      </c>
      <c r="B846" s="47" t="s">
        <v>979</v>
      </c>
      <c r="C846" s="72">
        <f>IFERROR(__xludf.DUMMYFUNCTION("iferror(divide(googlefinance($B846,""marketcap""),1000000),"""")"),446.5167)</f>
        <v>446.5167</v>
      </c>
      <c r="D846" s="72">
        <f>IFERROR(__xludf.DUMMYFUNCTION("iferror(divide(googlefinance($B846,""shares""),1000),"""")"),51030.0)</f>
        <v>51030</v>
      </c>
      <c r="E846" s="72">
        <f>IFERROR(__xludf.DUMMYFUNCTION("iferror(divide(googlefinance($B846,""volumeavg""),1000),"""")"),463.969)</f>
        <v>463.969</v>
      </c>
      <c r="F846" s="73">
        <f>IFERROR(__xludf.DUMMYFUNCTION("iferror(MINUS(divide(GOOGLEFINANCE($B846), INDEX(GOOGLEFINANCE($B846,""price"",today()-182),2,2)),1),"""")"),0.2068965517241379)</f>
        <v>0.2068965517</v>
      </c>
      <c r="G846" s="61">
        <f>IFERROR(__xludf.DUMMYFUNCTION("iferror(MINUS(divide(GOOGLEFINANCE($B846), INDEX(GOOGLEFINANCE($B846,""price"",today()-364),2,2)),1),"""")"),-0.19577205882352944)</f>
        <v>-0.1957720588</v>
      </c>
    </row>
    <row r="847">
      <c r="A847" s="71">
        <f t="shared" si="4"/>
        <v>843</v>
      </c>
      <c r="B847" s="47" t="s">
        <v>980</v>
      </c>
      <c r="C847" s="72">
        <f>IFERROR(__xludf.DUMMYFUNCTION("iferror(divide(googlefinance($B847,""marketcap""),1000000),"""")"),113.946778)</f>
        <v>113.946778</v>
      </c>
      <c r="D847" s="72">
        <f>IFERROR(__xludf.DUMMYFUNCTION("iferror(divide(googlefinance($B847,""shares""),1000),"""")"),59658.0)</f>
        <v>59658</v>
      </c>
      <c r="E847" s="72">
        <f>IFERROR(__xludf.DUMMYFUNCTION("iferror(divide(googlefinance($B847,""volumeavg""),1000),"""")"),492.452)</f>
        <v>492.452</v>
      </c>
      <c r="F847" s="73">
        <f>IFERROR(__xludf.DUMMYFUNCTION("iferror(MINUS(divide(GOOGLEFINANCE($B847), INDEX(GOOGLEFINANCE($B847,""price"",today()-182),2,2)),1),"""")"),0.5039370078740157)</f>
        <v>0.5039370079</v>
      </c>
      <c r="G847" s="61">
        <f>IFERROR(__xludf.DUMMYFUNCTION("iferror(MINUS(divide(GOOGLEFINANCE($B847), INDEX(GOOGLEFINANCE($B847,""price"",today()-364),2,2)),1),"""")"),0.29054054054054057)</f>
        <v>0.2905405405</v>
      </c>
    </row>
    <row r="848">
      <c r="A848" s="71">
        <f t="shared" si="4"/>
        <v>844</v>
      </c>
      <c r="B848" s="47" t="s">
        <v>981</v>
      </c>
      <c r="C848" s="72">
        <f>IFERROR(__xludf.DUMMYFUNCTION("iferror(divide(googlefinance($B848,""marketcap""),1000000),"""")"),3575.854897)</f>
        <v>3575.854897</v>
      </c>
      <c r="D848" s="72">
        <f>IFERROR(__xludf.DUMMYFUNCTION("iferror(divide(googlefinance($B848,""shares""),1000),"""")"),112307.0)</f>
        <v>112307</v>
      </c>
      <c r="E848" s="72">
        <f>IFERROR(__xludf.DUMMYFUNCTION("iferror(divide(googlefinance($B848,""volumeavg""),1000),"""")"),1256.761)</f>
        <v>1256.761</v>
      </c>
      <c r="F848" s="73">
        <f>IFERROR(__xludf.DUMMYFUNCTION("iferror(MINUS(divide(GOOGLEFINANCE($B848), INDEX(GOOGLEFINANCE($B848,""price"",today()-182),2,2)),1),"""")"),1.2281315605318404)</f>
        <v>1.228131561</v>
      </c>
      <c r="G848" s="61">
        <f>IFERROR(__xludf.DUMMYFUNCTION("iferror(MINUS(divide(GOOGLEFINANCE($B848), INDEX(GOOGLEFINANCE($B848,""price"",today()-364),2,2)),1),"""")"),0.2705506783719074)</f>
        <v>0.2705506784</v>
      </c>
    </row>
    <row r="849">
      <c r="A849" s="71">
        <f t="shared" si="4"/>
        <v>845</v>
      </c>
      <c r="B849" s="47" t="s">
        <v>982</v>
      </c>
      <c r="C849" s="72">
        <f>IFERROR(__xludf.DUMMYFUNCTION("iferror(divide(googlefinance($B849,""marketcap""),1000000),"""")"),223.102494)</f>
        <v>223.102494</v>
      </c>
      <c r="D849" s="72">
        <f>IFERROR(__xludf.DUMMYFUNCTION("iferror(divide(googlefinance($B849,""shares""),1000),"""")"),37750.0)</f>
        <v>37750</v>
      </c>
      <c r="E849" s="72">
        <f>IFERROR(__xludf.DUMMYFUNCTION("iferror(divide(googlefinance($B849,""volumeavg""),1000),"""")"),223.604)</f>
        <v>223.604</v>
      </c>
      <c r="F849" s="73">
        <f>IFERROR(__xludf.DUMMYFUNCTION("iferror(MINUS(divide(GOOGLEFINANCE($B849), INDEX(GOOGLEFINANCE($B849,""price"",today()-182),2,2)),1),"""")"),0.43795620437956195)</f>
        <v>0.4379562044</v>
      </c>
      <c r="G849" s="61">
        <f>IFERROR(__xludf.DUMMYFUNCTION("iferror(MINUS(divide(GOOGLEFINANCE($B849), INDEX(GOOGLEFINANCE($B849,""price"",today()-364),2,2)),1),"""")"),0.47381546134663344)</f>
        <v>0.4738154613</v>
      </c>
    </row>
    <row r="850">
      <c r="A850" s="71">
        <f t="shared" si="4"/>
        <v>846</v>
      </c>
      <c r="B850" s="47" t="s">
        <v>983</v>
      </c>
      <c r="C850" s="72">
        <f>IFERROR(__xludf.DUMMYFUNCTION("iferror(divide(googlefinance($B850,""marketcap""),1000000),"""")"),44545.233383)</f>
        <v>44545.23338</v>
      </c>
      <c r="D850" s="72">
        <f>IFERROR(__xludf.DUMMYFUNCTION("iferror(divide(googlefinance($B850,""shares""),1000),"""")"),145625.0)</f>
        <v>145625</v>
      </c>
      <c r="E850" s="72">
        <f>IFERROR(__xludf.DUMMYFUNCTION("iferror(divide(googlefinance($B850,""volumeavg""),1000),"""")"),1770.754)</f>
        <v>1770.754</v>
      </c>
      <c r="F850" s="73">
        <f>IFERROR(__xludf.DUMMYFUNCTION("iferror(MINUS(divide(GOOGLEFINANCE($B850), INDEX(GOOGLEFINANCE($B850,""price"",today()-182),2,2)),1),"""")"),0.6280270370961734)</f>
        <v>0.6280270371</v>
      </c>
      <c r="G850" s="61">
        <f>IFERROR(__xludf.DUMMYFUNCTION("iferror(MINUS(divide(GOOGLEFINANCE($B850), INDEX(GOOGLEFINANCE($B850,""price"",today()-364),2,2)),1),"""")"),0.2999447537291231)</f>
        <v>0.2999447537</v>
      </c>
    </row>
    <row r="851">
      <c r="A851" s="71">
        <f t="shared" si="4"/>
        <v>847</v>
      </c>
      <c r="B851" s="47" t="s">
        <v>984</v>
      </c>
      <c r="C851" s="72">
        <f>IFERROR(__xludf.DUMMYFUNCTION("iferror(divide(googlefinance($B851,""marketcap""),1000000),"""")"),3848.188032)</f>
        <v>3848.188032</v>
      </c>
      <c r="D851" s="72">
        <f>IFERROR(__xludf.DUMMYFUNCTION("iferror(divide(googlefinance($B851,""shares""),1000),"""")"),135309.0)</f>
        <v>135309</v>
      </c>
      <c r="E851" s="72">
        <f>IFERROR(__xludf.DUMMYFUNCTION("iferror(divide(googlefinance($B851,""volumeavg""),1000),"""")"),910.327)</f>
        <v>910.327</v>
      </c>
      <c r="F851" s="73">
        <f>IFERROR(__xludf.DUMMYFUNCTION("iferror(MINUS(divide(GOOGLEFINANCE($B851), INDEX(GOOGLEFINANCE($B851,""price"",today()-182),2,2)),1),"""")"),0.9138627187079409)</f>
        <v>0.9138627187</v>
      </c>
      <c r="G851" s="61">
        <f>IFERROR(__xludf.DUMMYFUNCTION("iferror(MINUS(divide(GOOGLEFINANCE($B851), INDEX(GOOGLEFINANCE($B851,""price"",today()-364),2,2)),1),"""")"),0.45995893223819295)</f>
        <v>0.4599589322</v>
      </c>
    </row>
    <row r="852">
      <c r="A852" s="71">
        <f t="shared" si="4"/>
        <v>848</v>
      </c>
      <c r="B852" s="47" t="s">
        <v>985</v>
      </c>
      <c r="C852" s="72">
        <f>IFERROR(__xludf.DUMMYFUNCTION("iferror(divide(googlefinance($B852,""marketcap""),1000000),"""")"),4975.453536)</f>
        <v>4975.453536</v>
      </c>
      <c r="D852" s="72">
        <f>IFERROR(__xludf.DUMMYFUNCTION("iferror(divide(googlefinance($B852,""shares""),1000),"""")"),38379.0)</f>
        <v>38379</v>
      </c>
      <c r="E852" s="72">
        <f>IFERROR(__xludf.DUMMYFUNCTION("iferror(divide(googlefinance($B852,""volumeavg""),1000),"""")"),295.658)</f>
        <v>295.658</v>
      </c>
      <c r="F852" s="73">
        <f>IFERROR(__xludf.DUMMYFUNCTION("iferror(MINUS(divide(GOOGLEFINANCE($B852), INDEX(GOOGLEFINANCE($B852,""price"",today()-182),2,2)),1),"""")"),0.39803731262805986)</f>
        <v>0.3980373126</v>
      </c>
      <c r="G852" s="61">
        <f>IFERROR(__xludf.DUMMYFUNCTION("iferror(MINUS(divide(GOOGLEFINANCE($B852), INDEX(GOOGLEFINANCE($B852,""price"",today()-364),2,2)),1),"""")"),0.14290752005642227)</f>
        <v>0.1429075201</v>
      </c>
    </row>
    <row r="853">
      <c r="A853" s="71">
        <f t="shared" si="4"/>
        <v>849</v>
      </c>
      <c r="B853" s="47" t="s">
        <v>986</v>
      </c>
      <c r="C853" s="72">
        <f>IFERROR(__xludf.DUMMYFUNCTION("iferror(divide(googlefinance($B853,""marketcap""),1000000),"""")"),39499.262454)</f>
        <v>39499.26245</v>
      </c>
      <c r="D853" s="72">
        <f>IFERROR(__xludf.DUMMYFUNCTION("iferror(divide(googlefinance($B853,""shares""),1000),"""")"),124921.0)</f>
        <v>124921</v>
      </c>
      <c r="E853" s="72">
        <f>IFERROR(__xludf.DUMMYFUNCTION("iferror(divide(googlefinance($B853,""volumeavg""),1000),"""")"),1897.221)</f>
        <v>1897.221</v>
      </c>
      <c r="F853" s="73">
        <f>IFERROR(__xludf.DUMMYFUNCTION("iferror(MINUS(divide(GOOGLEFINANCE($B853), INDEX(GOOGLEFINANCE($B853,""price"",today()-182),2,2)),1),"""")"),0.8369189746075998)</f>
        <v>0.8369189746</v>
      </c>
      <c r="G853" s="61">
        <f>IFERROR(__xludf.DUMMYFUNCTION("iferror(MINUS(divide(GOOGLEFINANCE($B853), INDEX(GOOGLEFINANCE($B853,""price"",today()-364),2,2)),1),"""")"),0.6012150026413101)</f>
        <v>0.6012150026</v>
      </c>
    </row>
    <row r="854">
      <c r="A854" s="71">
        <f t="shared" si="4"/>
        <v>850</v>
      </c>
      <c r="B854" s="47" t="s">
        <v>987</v>
      </c>
      <c r="C854" s="72">
        <f>IFERROR(__xludf.DUMMYFUNCTION("iferror(divide(googlefinance($B854,""marketcap""),1000000),"""")"),189.571654)</f>
        <v>189.571654</v>
      </c>
      <c r="D854" s="72">
        <f>IFERROR(__xludf.DUMMYFUNCTION("iferror(divide(googlefinance($B854,""shares""),1000),"""")"),30799.0)</f>
        <v>30799</v>
      </c>
      <c r="E854" s="72">
        <f>IFERROR(__xludf.DUMMYFUNCTION("iferror(divide(googlefinance($B854,""volumeavg""),1000),"""")"),210.243)</f>
        <v>210.243</v>
      </c>
      <c r="F854" s="73">
        <f>IFERROR(__xludf.DUMMYFUNCTION("iferror(MINUS(divide(GOOGLEFINANCE($B854), INDEX(GOOGLEFINANCE($B854,""price"",today()-182),2,2)),1),"""")"),0.28333333333333344)</f>
        <v>0.2833333333</v>
      </c>
      <c r="G854" s="61">
        <f>IFERROR(__xludf.DUMMYFUNCTION("iferror(MINUS(divide(GOOGLEFINANCE($B854), INDEX(GOOGLEFINANCE($B854,""price"",today()-364),2,2)),1),"""")"),0.0032573289902280145)</f>
        <v>0.00325732899</v>
      </c>
    </row>
    <row r="855">
      <c r="A855" s="71">
        <f t="shared" si="4"/>
        <v>851</v>
      </c>
      <c r="B855" s="52" t="s">
        <v>988</v>
      </c>
      <c r="C855" s="72">
        <f>IFERROR(__xludf.DUMMYFUNCTION("iferror(divide(googlefinance($B855,""marketcap""),1000000),"""")"),23830.8297)</f>
        <v>23830.8297</v>
      </c>
      <c r="D855" s="72">
        <f>IFERROR(__xludf.DUMMYFUNCTION("iferror(divide(googlefinance($B855,""shares""),1000),"""")"),589872.0)</f>
        <v>589872</v>
      </c>
      <c r="E855" s="72">
        <f>IFERROR(__xludf.DUMMYFUNCTION("iferror(divide(googlefinance($B855,""volumeavg""),1000),"""")"),12320.701)</f>
        <v>12320.701</v>
      </c>
      <c r="F855" s="73">
        <f>IFERROR(__xludf.DUMMYFUNCTION("iferror(MINUS(divide(GOOGLEFINANCE($B855), INDEX(GOOGLEFINANCE($B855,""price"",today()-182),2,2)),1),"""")"),0.26487163431433935)</f>
        <v>0.2648716343</v>
      </c>
      <c r="G855" s="61">
        <f>IFERROR(__xludf.DUMMYFUNCTION("iferror(MINUS(divide(GOOGLEFINANCE($B855), INDEX(GOOGLEFINANCE($B855,""price"",today()-364),2,2)),1),"""")"),-0.25857955588181325)</f>
        <v>-0.2585795559</v>
      </c>
    </row>
    <row r="856">
      <c r="A856" s="71">
        <f t="shared" si="4"/>
        <v>852</v>
      </c>
      <c r="B856" s="47" t="s">
        <v>989</v>
      </c>
      <c r="C856" s="72">
        <f>IFERROR(__xludf.DUMMYFUNCTION("iferror(divide(googlefinance($B856,""marketcap""),1000000),"""")"),13000.848641)</f>
        <v>13000.84864</v>
      </c>
      <c r="D856" s="72">
        <f>IFERROR(__xludf.DUMMYFUNCTION("iferror(divide(googlefinance($B856,""shares""),1000),"""")"),101585.0)</f>
        <v>101585</v>
      </c>
      <c r="E856" s="72">
        <f>IFERROR(__xludf.DUMMYFUNCTION("iferror(divide(googlefinance($B856,""volumeavg""),1000),"""")"),4173.442)</f>
        <v>4173.442</v>
      </c>
      <c r="F856" s="73">
        <f>IFERROR(__xludf.DUMMYFUNCTION("iferror(MINUS(divide(GOOGLEFINANCE($B856), INDEX(GOOGLEFINANCE($B856,""price"",today()-182),2,2)),1),"""")"),4.675388026607539)</f>
        <v>4.675388027</v>
      </c>
      <c r="G856" s="61">
        <f>IFERROR(__xludf.DUMMYFUNCTION("iferror(MINUS(divide(GOOGLEFINANCE($B856), INDEX(GOOGLEFINANCE($B856,""price"",today()-364),2,2)),1),"""")"),4.363788767812238)</f>
        <v>4.363788768</v>
      </c>
    </row>
    <row r="857">
      <c r="A857" s="71">
        <f t="shared" si="4"/>
        <v>853</v>
      </c>
      <c r="B857" s="47" t="s">
        <v>990</v>
      </c>
      <c r="C857" s="72">
        <f>IFERROR(__xludf.DUMMYFUNCTION("iferror(divide(googlefinance($B857,""marketcap""),1000000),"""")"),37487.467362)</f>
        <v>37487.46736</v>
      </c>
      <c r="D857" s="72">
        <f>IFERROR(__xludf.DUMMYFUNCTION("iferror(divide(googlefinance($B857,""shares""),1000),"""")"),763803.0)</f>
        <v>763803</v>
      </c>
      <c r="E857" s="72">
        <f>IFERROR(__xludf.DUMMYFUNCTION("iferror(divide(googlefinance($B857,""volumeavg""),1000),"""")"),6387.792)</f>
        <v>6387.792</v>
      </c>
      <c r="F857" s="73">
        <f>IFERROR(__xludf.DUMMYFUNCTION("iferror(MINUS(divide(GOOGLEFINANCE($B857), INDEX(GOOGLEFINANCE($B857,""price"",today()-182),2,2)),1),"""")"),0.1332255830062341)</f>
        <v>0.133225583</v>
      </c>
      <c r="G857" s="61">
        <f>IFERROR(__xludf.DUMMYFUNCTION("iferror(MINUS(divide(GOOGLEFINANCE($B857), INDEX(GOOGLEFINANCE($B857,""price"",today()-364),2,2)),1),"""")"),-0.12870584058228296)</f>
        <v>-0.1287058406</v>
      </c>
    </row>
    <row r="858">
      <c r="A858" s="71">
        <f t="shared" si="4"/>
        <v>854</v>
      </c>
      <c r="B858" s="47" t="s">
        <v>991</v>
      </c>
      <c r="C858" s="72">
        <f>IFERROR(__xludf.DUMMYFUNCTION("iferror(divide(googlefinance($B858,""marketcap""),1000000),"""")"),10186.511178)</f>
        <v>10186.51118</v>
      </c>
      <c r="D858" s="72">
        <f>IFERROR(__xludf.DUMMYFUNCTION("iferror(divide(googlefinance($B858,""shares""),1000),"""")"),145314.0)</f>
        <v>145314</v>
      </c>
      <c r="E858" s="72">
        <f>IFERROR(__xludf.DUMMYFUNCTION("iferror(divide(googlefinance($B858,""volumeavg""),1000),"""")"),901.69)</f>
        <v>901.69</v>
      </c>
      <c r="F858" s="73">
        <f>IFERROR(__xludf.DUMMYFUNCTION("iferror(MINUS(divide(GOOGLEFINANCE($B858), INDEX(GOOGLEFINANCE($B858,""price"",today()-182),2,2)),1),"""")"),0.4717614948561828)</f>
        <v>0.4717614949</v>
      </c>
      <c r="G858" s="61">
        <f>IFERROR(__xludf.DUMMYFUNCTION("iferror(MINUS(divide(GOOGLEFINANCE($B858), INDEX(GOOGLEFINANCE($B858,""price"",today()-364),2,2)),1),"""")"),-0.0465179542981502)</f>
        <v>-0.0465179543</v>
      </c>
    </row>
    <row r="859">
      <c r="A859" s="71">
        <f t="shared" si="4"/>
        <v>855</v>
      </c>
      <c r="B859" s="47" t="s">
        <v>992</v>
      </c>
      <c r="C859" s="72">
        <f>IFERROR(__xludf.DUMMYFUNCTION("iferror(divide(googlefinance($B859,""marketcap""),1000000),"""")"),182.079865)</f>
        <v>182.079865</v>
      </c>
      <c r="D859" s="72">
        <f>IFERROR(__xludf.DUMMYFUNCTION("iferror(divide(googlefinance($B859,""shares""),1000),"""")"),107106.0)</f>
        <v>107106</v>
      </c>
      <c r="E859" s="72">
        <f>IFERROR(__xludf.DUMMYFUNCTION("iferror(divide(googlefinance($B859,""volumeavg""),1000),"""")"),949.71)</f>
        <v>949.71</v>
      </c>
      <c r="F859" s="73">
        <f>IFERROR(__xludf.DUMMYFUNCTION("iferror(MINUS(divide(GOOGLEFINANCE($B859), INDEX(GOOGLEFINANCE($B859,""price"",today()-182),2,2)),1),"""")"),-0.154228855721393)</f>
        <v>-0.1542288557</v>
      </c>
      <c r="G859" s="61">
        <f>IFERROR(__xludf.DUMMYFUNCTION("iferror(MINUS(divide(GOOGLEFINANCE($B859), INDEX(GOOGLEFINANCE($B859,""price"",today()-364),2,2)),1),"""")"),-0.5224719101123596)</f>
        <v>-0.5224719101</v>
      </c>
    </row>
    <row r="860">
      <c r="A860" s="71">
        <f t="shared" si="4"/>
        <v>856</v>
      </c>
      <c r="B860" s="47" t="s">
        <v>993</v>
      </c>
      <c r="C860" s="72">
        <f>IFERROR(__xludf.DUMMYFUNCTION("iferror(divide(googlefinance($B860,""marketcap""),1000000),"""")"),26673.736609)</f>
        <v>26673.73661</v>
      </c>
      <c r="D860" s="72">
        <f>IFERROR(__xludf.DUMMYFUNCTION("iferror(divide(googlefinance($B860,""shares""),1000),"""")"),333839.0)</f>
        <v>333839</v>
      </c>
      <c r="E860" s="72">
        <f>IFERROR(__xludf.DUMMYFUNCTION("iferror(divide(googlefinance($B860,""volumeavg""),1000),"""")"),1913.502)</f>
        <v>1913.502</v>
      </c>
      <c r="F860" s="73">
        <f>IFERROR(__xludf.DUMMYFUNCTION("iferror(MINUS(divide(GOOGLEFINANCE($B860), INDEX(GOOGLEFINANCE($B860,""price"",today()-182),2,2)),1),"""")"),0.9023809523809525)</f>
        <v>0.9023809524</v>
      </c>
      <c r="G860" s="61">
        <f>IFERROR(__xludf.DUMMYFUNCTION("iferror(MINUS(divide(GOOGLEFINANCE($B860), INDEX(GOOGLEFINANCE($B860,""price"",today()-364),2,2)),1),"""")"),-0.09502774946200021)</f>
        <v>-0.09502774946</v>
      </c>
    </row>
    <row r="861">
      <c r="A861" s="71">
        <f t="shared" si="4"/>
        <v>857</v>
      </c>
      <c r="B861" s="47" t="s">
        <v>994</v>
      </c>
      <c r="C861" s="72">
        <f>IFERROR(__xludf.DUMMYFUNCTION("iferror(divide(googlefinance($B861,""marketcap""),1000000),"""")"),151.093244)</f>
        <v>151.093244</v>
      </c>
      <c r="D861" s="72">
        <f>IFERROR(__xludf.DUMMYFUNCTION("iferror(divide(googlefinance($B861,""shares""),1000),"""")"),12925.0)</f>
        <v>12925</v>
      </c>
      <c r="E861" s="72">
        <f>IFERROR(__xludf.DUMMYFUNCTION("iferror(divide(googlefinance($B861,""volumeavg""),1000),"""")"),33.378)</f>
        <v>33.378</v>
      </c>
      <c r="F861" s="73" t="str">
        <f>IFERROR(__xludf.DUMMYFUNCTION("iferror(MINUS(divide(GOOGLEFINANCE($B861), INDEX(GOOGLEFINANCE($B861,""price"",today()-182),2,2)),1),"""")"),"")</f>
        <v/>
      </c>
      <c r="G861" s="61" t="str">
        <f>IFERROR(__xludf.DUMMYFUNCTION("iferror(MINUS(divide(GOOGLEFINANCE($B861), INDEX(GOOGLEFINANCE($B861,""price"",today()-364),2,2)),1),"""")"),"")</f>
        <v/>
      </c>
    </row>
    <row r="862">
      <c r="A862" s="71">
        <f t="shared" si="4"/>
        <v>858</v>
      </c>
      <c r="B862" s="47" t="s">
        <v>995</v>
      </c>
      <c r="C862" s="72">
        <f>IFERROR(__xludf.DUMMYFUNCTION("iferror(divide(googlefinance($B862,""marketcap""),1000000),"""")"),181.690802)</f>
        <v>181.690802</v>
      </c>
      <c r="D862" s="72">
        <f>IFERROR(__xludf.DUMMYFUNCTION("iferror(divide(googlefinance($B862,""shares""),1000),"""")"),26332.0)</f>
        <v>26332</v>
      </c>
      <c r="E862" s="72">
        <f>IFERROR(__xludf.DUMMYFUNCTION("iferror(divide(googlefinance($B862,""volumeavg""),1000),"""")"),87.379)</f>
        <v>87.379</v>
      </c>
      <c r="F862" s="73">
        <f>IFERROR(__xludf.DUMMYFUNCTION("iferror(MINUS(divide(GOOGLEFINANCE($B862), INDEX(GOOGLEFINANCE($B862,""price"",today()-182),2,2)),1),"""")"),1.4731182795698925)</f>
        <v>1.47311828</v>
      </c>
      <c r="G862" s="61">
        <f>IFERROR(__xludf.DUMMYFUNCTION("iferror(MINUS(divide(GOOGLEFINANCE($B862), INDEX(GOOGLEFINANCE($B862,""price"",today()-364),2,2)),1),"""")"),0.3911290322580645)</f>
        <v>0.3911290323</v>
      </c>
    </row>
    <row r="863">
      <c r="A863" s="71">
        <f t="shared" si="4"/>
        <v>859</v>
      </c>
      <c r="B863" s="47" t="s">
        <v>996</v>
      </c>
      <c r="C863" s="72">
        <f>IFERROR(__xludf.DUMMYFUNCTION("iferror(divide(googlefinance($B863,""marketcap""),1000000),"""")"),12722.453098)</f>
        <v>12722.4531</v>
      </c>
      <c r="D863" s="72">
        <f>IFERROR(__xludf.DUMMYFUNCTION("iferror(divide(googlefinance($B863,""shares""),1000),"""")"),217255.0)</f>
        <v>217255</v>
      </c>
      <c r="E863" s="72">
        <f>IFERROR(__xludf.DUMMYFUNCTION("iferror(divide(googlefinance($B863,""volumeavg""),1000),"""")"),2364.623)</f>
        <v>2364.623</v>
      </c>
      <c r="F863" s="73">
        <f>IFERROR(__xludf.DUMMYFUNCTION("iferror(MINUS(divide(GOOGLEFINANCE($B863), INDEX(GOOGLEFINANCE($B863,""price"",today()-182),2,2)),1),"""")"),0.7238740064763027)</f>
        <v>0.7238740065</v>
      </c>
      <c r="G863" s="61">
        <f>IFERROR(__xludf.DUMMYFUNCTION("iferror(MINUS(divide(GOOGLEFINANCE($B863), INDEX(GOOGLEFINANCE($B863,""price"",today()-364),2,2)),1),"""")"),-0.13102834248404804)</f>
        <v>-0.1310283425</v>
      </c>
    </row>
    <row r="864">
      <c r="A864" s="71">
        <f t="shared" si="4"/>
        <v>860</v>
      </c>
      <c r="B864" s="47" t="s">
        <v>997</v>
      </c>
      <c r="C864" s="72">
        <f>IFERROR(__xludf.DUMMYFUNCTION("iferror(divide(googlefinance($B864,""marketcap""),1000000),"""")"),1500.38947)</f>
        <v>1500.38947</v>
      </c>
      <c r="D864" s="72">
        <f>IFERROR(__xludf.DUMMYFUNCTION("iferror(divide(googlefinance($B864,""shares""),1000),"""")"),45996.0)</f>
        <v>45996</v>
      </c>
      <c r="E864" s="72">
        <f>IFERROR(__xludf.DUMMYFUNCTION("iferror(divide(googlefinance($B864,""volumeavg""),1000),"""")"),342.638)</f>
        <v>342.638</v>
      </c>
      <c r="F864" s="73">
        <f>IFERROR(__xludf.DUMMYFUNCTION("iferror(MINUS(divide(GOOGLEFINANCE($B864), INDEX(GOOGLEFINANCE($B864,""price"",today()-182),2,2)),1),"""")"),0.8714859437751004)</f>
        <v>0.8714859438</v>
      </c>
      <c r="G864" s="61">
        <f>IFERROR(__xludf.DUMMYFUNCTION("iferror(MINUS(divide(GOOGLEFINANCE($B864), INDEX(GOOGLEFINANCE($B864,""price"",today()-364),2,2)),1),"""")"),0.009282178217821624)</f>
        <v>0.009282178218</v>
      </c>
    </row>
    <row r="865">
      <c r="A865" s="71">
        <f t="shared" si="4"/>
        <v>861</v>
      </c>
      <c r="B865" s="47" t="s">
        <v>998</v>
      </c>
      <c r="C865" s="72">
        <f>IFERROR(__xludf.DUMMYFUNCTION("iferror(divide(googlefinance($B865,""marketcap""),1000000),"""")"),2128.287601)</f>
        <v>2128.287601</v>
      </c>
      <c r="D865" s="72">
        <f>IFERROR(__xludf.DUMMYFUNCTION("iferror(divide(googlefinance($B865,""shares""),1000),"""")"),310246.0)</f>
        <v>310246</v>
      </c>
      <c r="E865" s="72">
        <f>IFERROR(__xludf.DUMMYFUNCTION("iferror(divide(googlefinance($B865,""volumeavg""),1000),"""")"),27961.519)</f>
        <v>27961.519</v>
      </c>
      <c r="F865" s="73">
        <f>IFERROR(__xludf.DUMMYFUNCTION("iferror(MINUS(divide(GOOGLEFINANCE($B865), INDEX(GOOGLEFINANCE($B865,""price"",today()-182),2,2)),1),"""")"),0.13953488372093026)</f>
        <v>0.1395348837</v>
      </c>
      <c r="G865" s="61">
        <f>IFERROR(__xludf.DUMMYFUNCTION("iferror(MINUS(divide(GOOGLEFINANCE($B865), INDEX(GOOGLEFINANCE($B865,""price"",today()-364),2,2)),1),"""")"),-0.5548345230369889)</f>
        <v>-0.554834523</v>
      </c>
    </row>
    <row r="866">
      <c r="A866" s="71">
        <f t="shared" si="4"/>
        <v>862</v>
      </c>
      <c r="B866" s="47" t="s">
        <v>999</v>
      </c>
      <c r="C866" s="72">
        <f>IFERROR(__xludf.DUMMYFUNCTION("iferror(divide(googlefinance($B866,""marketcap""),1000000),"""")"),2203.4775)</f>
        <v>2203.4775</v>
      </c>
      <c r="D866" s="72">
        <f>IFERROR(__xludf.DUMMYFUNCTION("iferror(divide(googlefinance($B866,""shares""),1000),"""")"),93765.0)</f>
        <v>93765</v>
      </c>
      <c r="E866" s="72">
        <f>IFERROR(__xludf.DUMMYFUNCTION("iferror(divide(googlefinance($B866,""volumeavg""),1000),"""")"),585.155)</f>
        <v>585.155</v>
      </c>
      <c r="F866" s="73">
        <f>IFERROR(__xludf.DUMMYFUNCTION("iferror(MINUS(divide(GOOGLEFINANCE($B866), INDEX(GOOGLEFINANCE($B866,""price"",today()-182),2,2)),1),"""")"),1.2826086956521738)</f>
        <v>1.282608696</v>
      </c>
      <c r="G866" s="61">
        <f>IFERROR(__xludf.DUMMYFUNCTION("iferror(MINUS(divide(GOOGLEFINANCE($B866), INDEX(GOOGLEFINANCE($B866,""price"",today()-364),2,2)),1),"""")"),0.589492430988424)</f>
        <v>0.589492431</v>
      </c>
    </row>
    <row r="867">
      <c r="A867" s="71">
        <f t="shared" si="4"/>
        <v>863</v>
      </c>
      <c r="B867" s="47" t="s">
        <v>1000</v>
      </c>
      <c r="C867" s="72">
        <f>IFERROR(__xludf.DUMMYFUNCTION("iferror(divide(googlefinance($B867,""marketcap""),1000000),"""")"),2689.116309)</f>
        <v>2689.116309</v>
      </c>
      <c r="D867" s="72">
        <f>IFERROR(__xludf.DUMMYFUNCTION("iferror(divide(googlefinance($B867,""shares""),1000),"""")"),40573.0)</f>
        <v>40573</v>
      </c>
      <c r="E867" s="72">
        <f>IFERROR(__xludf.DUMMYFUNCTION("iferror(divide(googlefinance($B867,""volumeavg""),1000),"""")"),131.604)</f>
        <v>131.604</v>
      </c>
      <c r="F867" s="73">
        <f>IFERROR(__xludf.DUMMYFUNCTION("iferror(MINUS(divide(GOOGLEFINANCE($B867), INDEX(GOOGLEFINANCE($B867,""price"",today()-182),2,2)),1),"""")"),0.22949586155003776)</f>
        <v>0.2294958616</v>
      </c>
      <c r="G867" s="61">
        <f>IFERROR(__xludf.DUMMYFUNCTION("iferror(MINUS(divide(GOOGLEFINANCE($B867), INDEX(GOOGLEFINANCE($B867,""price"",today()-364),2,2)),1),"""")"),-0.06628571428571428)</f>
        <v>-0.06628571429</v>
      </c>
    </row>
    <row r="868">
      <c r="A868" s="71">
        <f t="shared" si="4"/>
        <v>864</v>
      </c>
      <c r="B868" s="47" t="s">
        <v>1001</v>
      </c>
      <c r="C868" s="72">
        <f>IFERROR(__xludf.DUMMYFUNCTION("iferror(divide(googlefinance($B868,""marketcap""),1000000),"""")"),33861.730337)</f>
        <v>33861.73034</v>
      </c>
      <c r="D868" s="72">
        <f>IFERROR(__xludf.DUMMYFUNCTION("iferror(divide(googlefinance($B868,""shares""),1000),"""")"),324315.0)</f>
        <v>324315</v>
      </c>
      <c r="E868" s="72">
        <f>IFERROR(__xludf.DUMMYFUNCTION("iferror(divide(googlefinance($B868,""volumeavg""),1000),"""")"),2887.476)</f>
        <v>2887.476</v>
      </c>
      <c r="F868" s="73">
        <f>IFERROR(__xludf.DUMMYFUNCTION("iferror(MINUS(divide(GOOGLEFINANCE($B868), INDEX(GOOGLEFINANCE($B868,""price"",today()-182),2,2)),1),"""")"),0.39997318315902386)</f>
        <v>0.3999731832</v>
      </c>
      <c r="G868" s="61">
        <f>IFERROR(__xludf.DUMMYFUNCTION("iferror(MINUS(divide(GOOGLEFINANCE($B868), INDEX(GOOGLEFINANCE($B868,""price"",today()-364),2,2)),1),"""")"),-0.17767976687406473)</f>
        <v>-0.1776797669</v>
      </c>
    </row>
    <row r="869">
      <c r="A869" s="71">
        <f t="shared" si="4"/>
        <v>865</v>
      </c>
      <c r="B869" s="47" t="s">
        <v>1002</v>
      </c>
      <c r="C869" s="72">
        <f>IFERROR(__xludf.DUMMYFUNCTION("iferror(divide(googlefinance($B869,""marketcap""),1000000),"""")"),14986.019801)</f>
        <v>14986.0198</v>
      </c>
      <c r="D869" s="72">
        <f>IFERROR(__xludf.DUMMYFUNCTION("iferror(divide(googlefinance($B869,""shares""),1000),"""")"),260400.0)</f>
        <v>260400</v>
      </c>
      <c r="E869" s="72">
        <f>IFERROR(__xludf.DUMMYFUNCTION("iferror(divide(googlefinance($B869,""volumeavg""),1000),"""")"),1568.641)</f>
        <v>1568.641</v>
      </c>
      <c r="F869" s="73">
        <f>IFERROR(__xludf.DUMMYFUNCTION("iferror(MINUS(divide(GOOGLEFINANCE($B869), INDEX(GOOGLEFINANCE($B869,""price"",today()-182),2,2)),1),"""")"),0.9528333898880217)</f>
        <v>0.9528333899</v>
      </c>
      <c r="G869" s="61">
        <f>IFERROR(__xludf.DUMMYFUNCTION("iferror(MINUS(divide(GOOGLEFINANCE($B869), INDEX(GOOGLEFINANCE($B869,""price"",today()-364),2,2)),1),"""")"),0.416441053408811)</f>
        <v>0.4164410534</v>
      </c>
    </row>
    <row r="870">
      <c r="A870" s="71">
        <f t="shared" si="4"/>
        <v>866</v>
      </c>
      <c r="B870" s="47" t="s">
        <v>1003</v>
      </c>
      <c r="C870" s="72">
        <f>IFERROR(__xludf.DUMMYFUNCTION("iferror(divide(googlefinance($B870,""marketcap""),1000000),"""")"),12360.003254)</f>
        <v>12360.00325</v>
      </c>
      <c r="D870" s="72">
        <f>IFERROR(__xludf.DUMMYFUNCTION("iferror(divide(googlefinance($B870,""shares""),1000),"""")"),54948.0)</f>
        <v>54948</v>
      </c>
      <c r="E870" s="72">
        <f>IFERROR(__xludf.DUMMYFUNCTION("iferror(divide(googlefinance($B870,""volumeavg""),1000),"""")"),384.93)</f>
        <v>384.93</v>
      </c>
      <c r="F870" s="73">
        <f>IFERROR(__xludf.DUMMYFUNCTION("iferror(MINUS(divide(GOOGLEFINANCE($B870), INDEX(GOOGLEFINANCE($B870,""price"",today()-182),2,2)),1),"""")"),0.4502901353965185)</f>
        <v>0.4502901354</v>
      </c>
      <c r="G870" s="61">
        <f>IFERROR(__xludf.DUMMYFUNCTION("iferror(MINUS(divide(GOOGLEFINANCE($B870), INDEX(GOOGLEFINANCE($B870,""price"",today()-364),2,2)),1),"""")"),0.4800631662060799)</f>
        <v>0.4800631662</v>
      </c>
    </row>
    <row r="871">
      <c r="A871" s="71">
        <f t="shared" si="4"/>
        <v>867</v>
      </c>
      <c r="B871" s="47" t="s">
        <v>1004</v>
      </c>
      <c r="C871" s="72">
        <f>IFERROR(__xludf.DUMMYFUNCTION("iferror(divide(googlefinance($B871,""marketcap""),1000000),"""")"),4114.1983)</f>
        <v>4114.1983</v>
      </c>
      <c r="D871" s="72">
        <f>IFERROR(__xludf.DUMMYFUNCTION("iferror(divide(googlefinance($B871,""shares""),1000),"""")"),346897.0)</f>
        <v>346897</v>
      </c>
      <c r="E871" s="72">
        <f>IFERROR(__xludf.DUMMYFUNCTION("iferror(divide(googlefinance($B871,""volumeavg""),1000),"""")"),2056.446)</f>
        <v>2056.446</v>
      </c>
      <c r="F871" s="73">
        <f>IFERROR(__xludf.DUMMYFUNCTION("iferror(MINUS(divide(GOOGLEFINANCE($B871), INDEX(GOOGLEFINANCE($B871,""price"",today()-182),2,2)),1),"""")"),0.5983827493261455)</f>
        <v>0.5983827493</v>
      </c>
      <c r="G871" s="61">
        <f>IFERROR(__xludf.DUMMYFUNCTION("iferror(MINUS(divide(GOOGLEFINANCE($B871), INDEX(GOOGLEFINANCE($B871,""price"",today()-364),2,2)),1),"""")"),0.04493392070484581)</f>
        <v>0.0449339207</v>
      </c>
    </row>
    <row r="872">
      <c r="A872" s="71">
        <f t="shared" si="4"/>
        <v>868</v>
      </c>
      <c r="B872" s="47" t="s">
        <v>1005</v>
      </c>
      <c r="C872" s="72">
        <f>IFERROR(__xludf.DUMMYFUNCTION("iferror(divide(googlefinance($B872,""marketcap""),1000000),"""")"),1781.623386)</f>
        <v>1781.623386</v>
      </c>
      <c r="D872" s="72">
        <f>IFERROR(__xludf.DUMMYFUNCTION("iferror(divide(googlefinance($B872,""shares""),1000),"""")"),43076.0)</f>
        <v>43076</v>
      </c>
      <c r="E872" s="72">
        <f>IFERROR(__xludf.DUMMYFUNCTION("iferror(divide(googlefinance($B872,""volumeavg""),1000),"""")"),209.898)</f>
        <v>209.898</v>
      </c>
      <c r="F872" s="73">
        <f>IFERROR(__xludf.DUMMYFUNCTION("iferror(MINUS(divide(GOOGLEFINANCE($B872), INDEX(GOOGLEFINANCE($B872,""price"",today()-182),2,2)),1),"""")"),0.33807829181494653)</f>
        <v>0.3380782918</v>
      </c>
      <c r="G872" s="61">
        <f>IFERROR(__xludf.DUMMYFUNCTION("iferror(MINUS(divide(GOOGLEFINANCE($B872), INDEX(GOOGLEFINANCE($B872,""price"",today()-364),2,2)),1),"""")"),0.07372793354101748)</f>
        <v>0.07372793354</v>
      </c>
    </row>
    <row r="873">
      <c r="A873" s="71">
        <f t="shared" si="4"/>
        <v>869</v>
      </c>
      <c r="B873" s="47" t="s">
        <v>1006</v>
      </c>
      <c r="C873" s="72">
        <f>IFERROR(__xludf.DUMMYFUNCTION("iferror(divide(googlefinance($B873,""marketcap""),1000000),"""")"),1675.833731)</f>
        <v>1675.833731</v>
      </c>
      <c r="D873" s="72">
        <f>IFERROR(__xludf.DUMMYFUNCTION("iferror(divide(googlefinance($B873,""shares""),1000),"""")"),60873.0)</f>
        <v>60873</v>
      </c>
      <c r="E873" s="72">
        <f>IFERROR(__xludf.DUMMYFUNCTION("iferror(divide(googlefinance($B873,""volumeavg""),1000),"""")"),1442.953)</f>
        <v>1442.953</v>
      </c>
      <c r="F873" s="73">
        <f>IFERROR(__xludf.DUMMYFUNCTION("iferror(MINUS(divide(GOOGLEFINANCE($B873), INDEX(GOOGLEFINANCE($B873,""price"",today()-182),2,2)),1),"""")"),2.534017971758665)</f>
        <v>2.534017972</v>
      </c>
      <c r="G873" s="61">
        <f>IFERROR(__xludf.DUMMYFUNCTION("iferror(MINUS(divide(GOOGLEFINANCE($B873), INDEX(GOOGLEFINANCE($B873,""price"",today()-364),2,2)),1),"""")"),2.0252747252747256)</f>
        <v>2.025274725</v>
      </c>
    </row>
    <row r="874">
      <c r="A874" s="71">
        <f t="shared" si="4"/>
        <v>870</v>
      </c>
      <c r="B874" s="47" t="s">
        <v>1007</v>
      </c>
      <c r="C874" s="72">
        <f>IFERROR(__xludf.DUMMYFUNCTION("iferror(divide(googlefinance($B874,""marketcap""),1000000),"""")"),181.210815)</f>
        <v>181.210815</v>
      </c>
      <c r="D874" s="72">
        <f>IFERROR(__xludf.DUMMYFUNCTION("iferror(divide(googlefinance($B874,""shares""),1000),"""")"),149761.0)</f>
        <v>149761</v>
      </c>
      <c r="E874" s="72">
        <f>IFERROR(__xludf.DUMMYFUNCTION("iferror(divide(googlefinance($B874,""volumeavg""),1000),"""")"),150.408)</f>
        <v>150.408</v>
      </c>
      <c r="F874" s="73">
        <f>IFERROR(__xludf.DUMMYFUNCTION("iferror(MINUS(divide(GOOGLEFINANCE($B874), INDEX(GOOGLEFINANCE($B874,""price"",today()-182),2,2)),1),"""")"),0.44047619047619047)</f>
        <v>0.4404761905</v>
      </c>
      <c r="G874" s="61">
        <f>IFERROR(__xludf.DUMMYFUNCTION("iferror(MINUS(divide(GOOGLEFINANCE($B874), INDEX(GOOGLEFINANCE($B874,""price"",today()-364),2,2)),1),"""")"),-0.18243243243243246)</f>
        <v>-0.1824324324</v>
      </c>
    </row>
    <row r="875">
      <c r="A875" s="71">
        <f t="shared" si="4"/>
        <v>871</v>
      </c>
      <c r="B875" s="47" t="s">
        <v>1008</v>
      </c>
      <c r="C875" s="72">
        <f>IFERROR(__xludf.DUMMYFUNCTION("iferror(divide(googlefinance($B875,""marketcap""),1000000),"""")"),203.665314)</f>
        <v>203.665314</v>
      </c>
      <c r="D875" s="72">
        <f>IFERROR(__xludf.DUMMYFUNCTION("iferror(divide(googlefinance($B875,""shares""),1000),"""")"),55728.0)</f>
        <v>55728</v>
      </c>
      <c r="E875" s="72">
        <f>IFERROR(__xludf.DUMMYFUNCTION("iferror(divide(googlefinance($B875,""volumeavg""),1000),"""")"),1224.432)</f>
        <v>1224.432</v>
      </c>
      <c r="F875" s="73">
        <f>IFERROR(__xludf.DUMMYFUNCTION("iferror(MINUS(divide(GOOGLEFINANCE($B875), INDEX(GOOGLEFINANCE($B875,""price"",today()-182),2,2)),1),"""")"),0.5254237288135595)</f>
        <v>0.5254237288</v>
      </c>
      <c r="G875" s="61">
        <f>IFERROR(__xludf.DUMMYFUNCTION("iferror(MINUS(divide(GOOGLEFINANCE($B875), INDEX(GOOGLEFINANCE($B875,""price"",today()-364),2,2)),1),"""")"),-0.1408114558472554)</f>
        <v>-0.1408114558</v>
      </c>
    </row>
    <row r="876">
      <c r="A876" s="71">
        <f t="shared" si="4"/>
        <v>872</v>
      </c>
      <c r="B876" s="47" t="s">
        <v>1009</v>
      </c>
      <c r="C876" s="72">
        <f>IFERROR(__xludf.DUMMYFUNCTION("iferror(divide(googlefinance($B876,""marketcap""),1000000),"""")"),1030.775591)</f>
        <v>1030.775591</v>
      </c>
      <c r="D876" s="72">
        <f>IFERROR(__xludf.DUMMYFUNCTION("iferror(divide(googlefinance($B876,""shares""),1000),"""")"),20621.0)</f>
        <v>20621</v>
      </c>
      <c r="E876" s="72">
        <f>IFERROR(__xludf.DUMMYFUNCTION("iferror(divide(googlefinance($B876,""volumeavg""),1000),"""")"),228.469)</f>
        <v>228.469</v>
      </c>
      <c r="F876" s="73">
        <f>IFERROR(__xludf.DUMMYFUNCTION("iferror(MINUS(divide(GOOGLEFINANCE($B876), INDEX(GOOGLEFINANCE($B876,""price"",today()-182),2,2)),1),"""")"),1.0825726141078835)</f>
        <v>1.082572614</v>
      </c>
      <c r="G876" s="61">
        <f>IFERROR(__xludf.DUMMYFUNCTION("iferror(MINUS(divide(GOOGLEFINANCE($B876), INDEX(GOOGLEFINANCE($B876,""price"",today()-364),2,2)),1),"""")"),0.6300746995777851)</f>
        <v>0.6300746996</v>
      </c>
    </row>
    <row r="877">
      <c r="A877" s="71">
        <f t="shared" si="4"/>
        <v>873</v>
      </c>
      <c r="B877" s="47" t="s">
        <v>1010</v>
      </c>
      <c r="C877" s="72">
        <f>IFERROR(__xludf.DUMMYFUNCTION("iferror(divide(googlefinance($B877,""marketcap""),1000000),"""")"),165622.447102)</f>
        <v>165622.4471</v>
      </c>
      <c r="D877" s="72">
        <f>IFERROR(__xludf.DUMMYFUNCTION("iferror(divide(googlefinance($B877,""shares""),1000),"""")"),744103.0)</f>
        <v>744103</v>
      </c>
      <c r="E877" s="72">
        <f>IFERROR(__xludf.DUMMYFUNCTION("iferror(divide(googlefinance($B877,""volumeavg""),1000),"""")"),2894.589)</f>
        <v>2894.589</v>
      </c>
      <c r="F877" s="73">
        <f>IFERROR(__xludf.DUMMYFUNCTION("iferror(MINUS(divide(GOOGLEFINANCE($B877), INDEX(GOOGLEFINANCE($B877,""price"",today()-182),2,2)),1),"""")"),0.4989561586638831)</f>
        <v>0.4989561587</v>
      </c>
      <c r="G877" s="61">
        <f>IFERROR(__xludf.DUMMYFUNCTION("iferror(MINUS(divide(GOOGLEFINANCE($B877), INDEX(GOOGLEFINANCE($B877,""price"",today()-364),2,2)),1),"""")"),0.06299250202970552)</f>
        <v>0.06299250203</v>
      </c>
    </row>
    <row r="878">
      <c r="A878" s="71">
        <f t="shared" si="4"/>
        <v>874</v>
      </c>
      <c r="B878" s="47" t="s">
        <v>1011</v>
      </c>
      <c r="C878" s="72">
        <f>IFERROR(__xludf.DUMMYFUNCTION("iferror(divide(googlefinance($B878,""marketcap""),1000000),"""")"),321.767585)</f>
        <v>321.767585</v>
      </c>
      <c r="D878" s="72">
        <f>IFERROR(__xludf.DUMMYFUNCTION("iferror(divide(googlefinance($B878,""shares""),1000),"""")"),18872.0)</f>
        <v>18872</v>
      </c>
      <c r="E878" s="72">
        <f>IFERROR(__xludf.DUMMYFUNCTION("iferror(divide(googlefinance($B878,""volumeavg""),1000),"""")"),322.377)</f>
        <v>322.377</v>
      </c>
      <c r="F878" s="73">
        <f>IFERROR(__xludf.DUMMYFUNCTION("iferror(MINUS(divide(GOOGLEFINANCE($B878), INDEX(GOOGLEFINANCE($B878,""price"",today()-182),2,2)),1),"""")"),1.5184638109305761)</f>
        <v>1.518463811</v>
      </c>
      <c r="G878" s="61">
        <f>IFERROR(__xludf.DUMMYFUNCTION("iferror(MINUS(divide(GOOGLEFINANCE($B878), INDEX(GOOGLEFINANCE($B878,""price"",today()-364),2,2)),1),"""")"),0.172627235213205)</f>
        <v>0.1726272352</v>
      </c>
    </row>
    <row r="879">
      <c r="A879" s="71">
        <f t="shared" si="4"/>
        <v>875</v>
      </c>
      <c r="B879" s="47" t="s">
        <v>1012</v>
      </c>
      <c r="C879" s="72">
        <f>IFERROR(__xludf.DUMMYFUNCTION("iferror(divide(googlefinance($B879,""marketcap""),1000000),"""")"),26133.830192)</f>
        <v>26133.83019</v>
      </c>
      <c r="D879" s="72">
        <f>IFERROR(__xludf.DUMMYFUNCTION("iferror(divide(googlefinance($B879,""shares""),1000),"""")"),252452.0)</f>
        <v>252452</v>
      </c>
      <c r="E879" s="72">
        <f>IFERROR(__xludf.DUMMYFUNCTION("iferror(divide(googlefinance($B879,""volumeavg""),1000),"""")"),2436.487)</f>
        <v>2436.487</v>
      </c>
      <c r="F879" s="73">
        <f>IFERROR(__xludf.DUMMYFUNCTION("iferror(MINUS(divide(GOOGLEFINANCE($B879), INDEX(GOOGLEFINANCE($B879,""price"",today()-182),2,2)),1),"""")"),0.7357478202548624)</f>
        <v>0.7357478203</v>
      </c>
      <c r="G879" s="61">
        <f>IFERROR(__xludf.DUMMYFUNCTION("iferror(MINUS(divide(GOOGLEFINANCE($B879), INDEX(GOOGLEFINANCE($B879,""price"",today()-364),2,2)),1),"""")"),0.14449972360420116)</f>
        <v>0.1444997236</v>
      </c>
    </row>
    <row r="880">
      <c r="A880" s="71">
        <f t="shared" si="4"/>
        <v>876</v>
      </c>
      <c r="B880" s="47" t="s">
        <v>1013</v>
      </c>
      <c r="C880" s="72">
        <f>IFERROR(__xludf.DUMMYFUNCTION("iferror(divide(googlefinance($B880,""marketcap""),1000000),"""")"),24571.785)</f>
        <v>24571.785</v>
      </c>
      <c r="D880" s="72">
        <f>IFERROR(__xludf.DUMMYFUNCTION("iferror(divide(googlefinance($B880,""shares""),1000),"""")"),162190.0)</f>
        <v>162190</v>
      </c>
      <c r="E880" s="72">
        <f>IFERROR(__xludf.DUMMYFUNCTION("iferror(divide(googlefinance($B880,""volumeavg""),1000),"""")"),1030.639)</f>
        <v>1030.639</v>
      </c>
      <c r="F880" s="73">
        <f>IFERROR(__xludf.DUMMYFUNCTION("iferror(MINUS(divide(GOOGLEFINANCE($B880), INDEX(GOOGLEFINANCE($B880,""price"",today()-182),2,2)),1),"""")"),0.21229094982795882)</f>
        <v>0.2122909498</v>
      </c>
      <c r="G880" s="61">
        <f>IFERROR(__xludf.DUMMYFUNCTION("iferror(MINUS(divide(GOOGLEFINANCE($B880), INDEX(GOOGLEFINANCE($B880,""price"",today()-364),2,2)),1),"""")"),0.03187576624438093)</f>
        <v>0.03187576624</v>
      </c>
    </row>
    <row r="881">
      <c r="A881" s="71">
        <f t="shared" si="4"/>
        <v>877</v>
      </c>
      <c r="B881" s="47" t="s">
        <v>1014</v>
      </c>
      <c r="C881" s="72">
        <f>IFERROR(__xludf.DUMMYFUNCTION("iferror(divide(googlefinance($B881,""marketcap""),1000000),"""")"),2356.105533)</f>
        <v>2356.105533</v>
      </c>
      <c r="D881" s="72">
        <f>IFERROR(__xludf.DUMMYFUNCTION("iferror(divide(googlefinance($B881,""shares""),1000),"""")"),87718.0)</f>
        <v>87718</v>
      </c>
      <c r="E881" s="72">
        <f>IFERROR(__xludf.DUMMYFUNCTION("iferror(divide(googlefinance($B881,""volumeavg""),1000),"""")"),5319.953)</f>
        <v>5319.953</v>
      </c>
      <c r="F881" s="73">
        <f>IFERROR(__xludf.DUMMYFUNCTION("iferror(MINUS(divide(GOOGLEFINANCE($B881), INDEX(GOOGLEFINANCE($B881,""price"",today()-182),2,2)),1),"""")"),7.664516129032258)</f>
        <v>7.664516129</v>
      </c>
      <c r="G881" s="61">
        <f>IFERROR(__xludf.DUMMYFUNCTION("iferror(MINUS(divide(GOOGLEFINANCE($B881), INDEX(GOOGLEFINANCE($B881,""price"",today()-364),2,2)),1),"""")"),5.698254364089776)</f>
        <v>5.698254364</v>
      </c>
    </row>
    <row r="882">
      <c r="A882" s="71">
        <f t="shared" si="4"/>
        <v>878</v>
      </c>
      <c r="B882" s="47" t="s">
        <v>1015</v>
      </c>
      <c r="C882" s="72">
        <f>IFERROR(__xludf.DUMMYFUNCTION("iferror(divide(googlefinance($B882,""marketcap""),1000000),"""")"),837.649486)</f>
        <v>837.649486</v>
      </c>
      <c r="D882" s="72">
        <f>IFERROR(__xludf.DUMMYFUNCTION("iferror(divide(googlefinance($B882,""shares""),1000),"""")"),18190.0)</f>
        <v>18190</v>
      </c>
      <c r="E882" s="72">
        <f>IFERROR(__xludf.DUMMYFUNCTION("iferror(divide(googlefinance($B882,""volumeavg""),1000),"""")"),72.376)</f>
        <v>72.376</v>
      </c>
      <c r="F882" s="73">
        <f>IFERROR(__xludf.DUMMYFUNCTION("iferror(MINUS(divide(GOOGLEFINANCE($B882), INDEX(GOOGLEFINANCE($B882,""price"",today()-182),2,2)),1),"""")"),1.9349904397705546)</f>
        <v>1.93499044</v>
      </c>
      <c r="G882" s="61">
        <f>IFERROR(__xludf.DUMMYFUNCTION("iferror(MINUS(divide(GOOGLEFINANCE($B882), INDEX(GOOGLEFINANCE($B882,""price"",today()-364),2,2)),1),"""")"),0.05065023956194392)</f>
        <v>0.05065023956</v>
      </c>
    </row>
    <row r="883">
      <c r="A883" s="71">
        <f t="shared" si="4"/>
        <v>879</v>
      </c>
      <c r="B883" s="47" t="s">
        <v>1016</v>
      </c>
      <c r="C883" s="72">
        <f>IFERROR(__xludf.DUMMYFUNCTION("iferror(divide(googlefinance($B883,""marketcap""),1000000),"""")"),1582.756279)</f>
        <v>1582.756279</v>
      </c>
      <c r="D883" s="72">
        <f>IFERROR(__xludf.DUMMYFUNCTION("iferror(divide(googlefinance($B883,""shares""),1000),"""")"),85462.0)</f>
        <v>85462</v>
      </c>
      <c r="E883" s="72">
        <f>IFERROR(__xludf.DUMMYFUNCTION("iferror(divide(googlefinance($B883,""volumeavg""),1000),"""")"),656.316)</f>
        <v>656.316</v>
      </c>
      <c r="F883" s="73">
        <f>IFERROR(__xludf.DUMMYFUNCTION("iferror(MINUS(divide(GOOGLEFINANCE($B883), INDEX(GOOGLEFINANCE($B883,""price"",today()-182),2,2)),1),"""")"),0.9702127659574467)</f>
        <v>0.970212766</v>
      </c>
      <c r="G883" s="61">
        <f>IFERROR(__xludf.DUMMYFUNCTION("iferror(MINUS(divide(GOOGLEFINANCE($B883), INDEX(GOOGLEFINANCE($B883,""price"",today()-364),2,2)),1),"""")"),-0.19478260869565223)</f>
        <v>-0.1947826087</v>
      </c>
    </row>
    <row r="884">
      <c r="A884" s="71">
        <f t="shared" si="4"/>
        <v>880</v>
      </c>
      <c r="B884" s="47" t="s">
        <v>1017</v>
      </c>
      <c r="C884" s="72">
        <f>IFERROR(__xludf.DUMMYFUNCTION("iferror(divide(googlefinance($B884,""marketcap""),1000000),"""")"),3010.913596)</f>
        <v>3010.913596</v>
      </c>
      <c r="D884" s="72">
        <f>IFERROR(__xludf.DUMMYFUNCTION("iferror(divide(googlefinance($B884,""shares""),1000),"""")"),63401.0)</f>
        <v>63401</v>
      </c>
      <c r="E884" s="72">
        <f>IFERROR(__xludf.DUMMYFUNCTION("iferror(divide(googlefinance($B884,""volumeavg""),1000),"""")"),532.963)</f>
        <v>532.963</v>
      </c>
      <c r="F884" s="73">
        <f>IFERROR(__xludf.DUMMYFUNCTION("iferror(MINUS(divide(GOOGLEFINANCE($B884), INDEX(GOOGLEFINANCE($B884,""price"",today()-182),2,2)),1),"""")"),1.3498268184067292)</f>
        <v>1.349826818</v>
      </c>
      <c r="G884" s="61">
        <f>IFERROR(__xludf.DUMMYFUNCTION("iferror(MINUS(divide(GOOGLEFINANCE($B884), INDEX(GOOGLEFINANCE($B884,""price"",today()-364),2,2)),1),"""")"),0.11925524393118092)</f>
        <v>0.1192552439</v>
      </c>
    </row>
    <row r="885">
      <c r="A885" s="71">
        <f t="shared" si="4"/>
        <v>881</v>
      </c>
      <c r="B885" s="47" t="s">
        <v>1018</v>
      </c>
      <c r="C885" s="72">
        <f>IFERROR(__xludf.DUMMYFUNCTION("iferror(divide(googlefinance($B885,""marketcap""),1000000),"""")"),1824.771552)</f>
        <v>1824.771552</v>
      </c>
      <c r="D885" s="72">
        <f>IFERROR(__xludf.DUMMYFUNCTION("iferror(divide(googlefinance($B885,""shares""),1000),"""")"),15438.0)</f>
        <v>15438</v>
      </c>
      <c r="E885" s="72">
        <f>IFERROR(__xludf.DUMMYFUNCTION("iferror(divide(googlefinance($B885,""volumeavg""),1000),"""")"),115.004)</f>
        <v>115.004</v>
      </c>
      <c r="F885" s="73">
        <f>IFERROR(__xludf.DUMMYFUNCTION("iferror(MINUS(divide(GOOGLEFINANCE($B885), INDEX(GOOGLEFINANCE($B885,""price"",today()-182),2,2)),1),"""")"),0.6921975662133144)</f>
        <v>0.6921975662</v>
      </c>
      <c r="G885" s="61">
        <f>IFERROR(__xludf.DUMMYFUNCTION("iferror(MINUS(divide(GOOGLEFINANCE($B885), INDEX(GOOGLEFINANCE($B885,""price"",today()-364),2,2)),1),"""")"),0.24447252053063795)</f>
        <v>0.2444725205</v>
      </c>
    </row>
    <row r="886">
      <c r="A886" s="71">
        <f t="shared" si="4"/>
        <v>882</v>
      </c>
      <c r="B886" s="47" t="s">
        <v>1019</v>
      </c>
      <c r="C886" s="72">
        <f>IFERROR(__xludf.DUMMYFUNCTION("iferror(divide(googlefinance($B886,""marketcap""),1000000),"""")"),81715.215672)</f>
        <v>81715.21567</v>
      </c>
      <c r="D886" s="72">
        <f>IFERROR(__xludf.DUMMYFUNCTION("iferror(divide(googlefinance($B886,""shares""),1000),"""")"),1428338.0)</f>
        <v>1428338</v>
      </c>
      <c r="E886" s="72">
        <f>IFERROR(__xludf.DUMMYFUNCTION("iferror(divide(googlefinance($B886,""volumeavg""),1000),"""")"),5727.441)</f>
        <v>5727.441</v>
      </c>
      <c r="F886" s="73">
        <f>IFERROR(__xludf.DUMMYFUNCTION("iferror(MINUS(divide(GOOGLEFINANCE($B886), INDEX(GOOGLEFINANCE($B886,""price"",today()-182),2,2)),1),"""")"),0.3206371191135735)</f>
        <v>0.3206371191</v>
      </c>
      <c r="G886" s="61">
        <f>IFERROR(__xludf.DUMMYFUNCTION("iferror(MINUS(divide(GOOGLEFINANCE($B886), INDEX(GOOGLEFINANCE($B886,""price"",today()-364),2,2)),1),"""")"),0.04684354986276307)</f>
        <v>0.04684354986</v>
      </c>
    </row>
    <row r="887">
      <c r="A887" s="71">
        <f t="shared" si="4"/>
        <v>883</v>
      </c>
      <c r="B887" s="47" t="s">
        <v>1020</v>
      </c>
      <c r="C887" s="72">
        <f>IFERROR(__xludf.DUMMYFUNCTION("iferror(divide(googlefinance($B887,""marketcap""),1000000),"""")"),1346.123977)</f>
        <v>1346.123977</v>
      </c>
      <c r="D887" s="72">
        <f>IFERROR(__xludf.DUMMYFUNCTION("iferror(divide(googlefinance($B887,""shares""),1000),"""")"),162969.0)</f>
        <v>162969</v>
      </c>
      <c r="E887" s="72">
        <f>IFERROR(__xludf.DUMMYFUNCTION("iferror(divide(googlefinance($B887,""volumeavg""),1000),"""")"),1168.403)</f>
        <v>1168.403</v>
      </c>
      <c r="F887" s="73">
        <f>IFERROR(__xludf.DUMMYFUNCTION("iferror(MINUS(divide(GOOGLEFINANCE($B887), INDEX(GOOGLEFINANCE($B887,""price"",today()-182),2,2)),1),"""")"),0.4990925589836661)</f>
        <v>0.499092559</v>
      </c>
      <c r="G887" s="61">
        <f>IFERROR(__xludf.DUMMYFUNCTION("iferror(MINUS(divide(GOOGLEFINANCE($B887), INDEX(GOOGLEFINANCE($B887,""price"",today()-364),2,2)),1),"""")"),-0.24220183486238533)</f>
        <v>-0.2422018349</v>
      </c>
    </row>
    <row r="888">
      <c r="A888" s="71">
        <f t="shared" si="4"/>
        <v>884</v>
      </c>
      <c r="B888" s="47" t="s">
        <v>1021</v>
      </c>
      <c r="C888" s="72">
        <f>IFERROR(__xludf.DUMMYFUNCTION("iferror(divide(googlefinance($B888,""marketcap""),1000000),"""")"),144919.815868)</f>
        <v>144919.8159</v>
      </c>
      <c r="D888" s="72">
        <f>IFERROR(__xludf.DUMMYFUNCTION("iferror(divide(googlefinance($B888,""shares""),1000),"""")"),1344215.0)</f>
        <v>1344215</v>
      </c>
      <c r="E888" s="72">
        <f>IFERROR(__xludf.DUMMYFUNCTION("iferror(divide(googlefinance($B888,""volumeavg""),1000),"""")"),4644.436)</f>
        <v>4644.436</v>
      </c>
      <c r="F888" s="73">
        <f>IFERROR(__xludf.DUMMYFUNCTION("iferror(MINUS(divide(GOOGLEFINANCE($B888), INDEX(GOOGLEFINANCE($B888,""price"",today()-182),2,2)),1),"""")"),0.3918151303898787)</f>
        <v>0.3918151304</v>
      </c>
      <c r="G888" s="61">
        <f>IFERROR(__xludf.DUMMYFUNCTION("iferror(MINUS(divide(GOOGLEFINANCE($B888), INDEX(GOOGLEFINANCE($B888,""price"",today()-364),2,2)),1),"""")"),-0.030311207051628042)</f>
        <v>-0.03031120705</v>
      </c>
    </row>
    <row r="889">
      <c r="A889" s="71">
        <f t="shared" si="4"/>
        <v>885</v>
      </c>
      <c r="B889" s="47" t="s">
        <v>1022</v>
      </c>
      <c r="C889" s="72">
        <f>IFERROR(__xludf.DUMMYFUNCTION("iferror(divide(googlefinance($B889,""marketcap""),1000000),"""")"),4732.319276)</f>
        <v>4732.319276</v>
      </c>
      <c r="D889" s="72">
        <f>IFERROR(__xludf.DUMMYFUNCTION("iferror(divide(googlefinance($B889,""shares""),1000),"""")"),200522.0)</f>
        <v>200522</v>
      </c>
      <c r="E889" s="72">
        <f>IFERROR(__xludf.DUMMYFUNCTION("iferror(divide(googlefinance($B889,""volumeavg""),1000),"""")"),1008.597)</f>
        <v>1008.597</v>
      </c>
      <c r="F889" s="73">
        <f>IFERROR(__xludf.DUMMYFUNCTION("iferror(MINUS(divide(GOOGLEFINANCE($B889), INDEX(GOOGLEFINANCE($B889,""price"",today()-182),2,2)),1),"""")"),0.2840043525571274)</f>
        <v>0.2840043526</v>
      </c>
      <c r="G889" s="61">
        <f>IFERROR(__xludf.DUMMYFUNCTION("iferror(MINUS(divide(GOOGLEFINANCE($B889), INDEX(GOOGLEFINANCE($B889,""price"",today()-364),2,2)),1),"""")"),-0.15894511760513175)</f>
        <v>-0.1589451176</v>
      </c>
    </row>
    <row r="890">
      <c r="A890" s="71">
        <f t="shared" si="4"/>
        <v>886</v>
      </c>
      <c r="B890" s="47" t="s">
        <v>1023</v>
      </c>
      <c r="C890" s="72">
        <f>IFERROR(__xludf.DUMMYFUNCTION("iferror(divide(googlefinance($B890,""marketcap""),1000000),"""")"),4124.323958)</f>
        <v>4124.323958</v>
      </c>
      <c r="D890" s="72">
        <f>IFERROR(__xludf.DUMMYFUNCTION("iferror(divide(googlefinance($B890,""shares""),1000),"""")"),35408.0)</f>
        <v>35408</v>
      </c>
      <c r="E890" s="72">
        <f>IFERROR(__xludf.DUMMYFUNCTION("iferror(divide(googlefinance($B890,""volumeavg""),1000),"""")"),274.37)</f>
        <v>274.37</v>
      </c>
      <c r="F890" s="73">
        <f>IFERROR(__xludf.DUMMYFUNCTION("iferror(MINUS(divide(GOOGLEFINANCE($B890), INDEX(GOOGLEFINANCE($B890,""price"",today()-182),2,2)),1),"""")"),0.6846977147816027)</f>
        <v>0.6846977148</v>
      </c>
      <c r="G890" s="61">
        <f>IFERROR(__xludf.DUMMYFUNCTION("iferror(MINUS(divide(GOOGLEFINANCE($B890), INDEX(GOOGLEFINANCE($B890,""price"",today()-364),2,2)),1),"""")"),0.37035294117647055)</f>
        <v>0.3703529412</v>
      </c>
    </row>
    <row r="891">
      <c r="A891" s="71">
        <f t="shared" si="4"/>
        <v>887</v>
      </c>
      <c r="B891" s="47" t="s">
        <v>1024</v>
      </c>
      <c r="C891" s="72">
        <f>IFERROR(__xludf.DUMMYFUNCTION("iferror(divide(googlefinance($B891,""marketcap""),1000000),"""")"),365.6965)</f>
        <v>365.6965</v>
      </c>
      <c r="D891" s="72">
        <f>IFERROR(__xludf.DUMMYFUNCTION("iferror(divide(googlefinance($B891,""shares""),1000),"""")"),112522.0)</f>
        <v>112522</v>
      </c>
      <c r="E891" s="72">
        <f>IFERROR(__xludf.DUMMYFUNCTION("iferror(divide(googlefinance($B891,""volumeavg""),1000),"""")"),1012.297)</f>
        <v>1012.297</v>
      </c>
      <c r="F891" s="73">
        <f>IFERROR(__xludf.DUMMYFUNCTION("iferror(MINUS(divide(GOOGLEFINANCE($B891), INDEX(GOOGLEFINANCE($B891,""price"",today()-182),2,2)),1),"""")"),2.0660377358490565)</f>
        <v>2.066037736</v>
      </c>
      <c r="G891" s="61">
        <f>IFERROR(__xludf.DUMMYFUNCTION("iferror(MINUS(divide(GOOGLEFINANCE($B891), INDEX(GOOGLEFINANCE($B891,""price"",today()-364),2,2)),1),"""")"),0.7105263157894737)</f>
        <v>0.7105263158</v>
      </c>
    </row>
    <row r="892">
      <c r="A892" s="71">
        <f t="shared" si="4"/>
        <v>888</v>
      </c>
      <c r="B892" s="47" t="s">
        <v>1025</v>
      </c>
      <c r="C892" s="72">
        <f>IFERROR(__xludf.DUMMYFUNCTION("iferror(divide(googlefinance($B892,""marketcap""),1000000),"""")"),1819.560416)</f>
        <v>1819.560416</v>
      </c>
      <c r="D892" s="72">
        <f>IFERROR(__xludf.DUMMYFUNCTION("iferror(divide(googlefinance($B892,""shares""),1000),"""")"),76196.0)</f>
        <v>76196</v>
      </c>
      <c r="E892" s="72">
        <f>IFERROR(__xludf.DUMMYFUNCTION("iferror(divide(googlefinance($B892,""volumeavg""),1000),"""")"),303.154)</f>
        <v>303.154</v>
      </c>
      <c r="F892" s="73">
        <f>IFERROR(__xludf.DUMMYFUNCTION("iferror(MINUS(divide(GOOGLEFINANCE($B892), INDEX(GOOGLEFINANCE($B892,""price"",today()-182),2,2)),1),"""")"),1.4)</f>
        <v>1.4</v>
      </c>
      <c r="G892" s="61">
        <f>IFERROR(__xludf.DUMMYFUNCTION("iferror(MINUS(divide(GOOGLEFINANCE($B892), INDEX(GOOGLEFINANCE($B892,""price"",today()-364),2,2)),1),"""")"),-0.3412413793103448)</f>
        <v>-0.3412413793</v>
      </c>
    </row>
    <row r="893">
      <c r="A893" s="71">
        <f t="shared" si="4"/>
        <v>889</v>
      </c>
      <c r="B893" s="47" t="s">
        <v>1026</v>
      </c>
      <c r="C893" s="72">
        <f>IFERROR(__xludf.DUMMYFUNCTION("iferror(divide(googlefinance($B893,""marketcap""),1000000),"""")"),2856.677551)</f>
        <v>2856.677551</v>
      </c>
      <c r="D893" s="72">
        <f>IFERROR(__xludf.DUMMYFUNCTION("iferror(divide(googlefinance($B893,""shares""),1000),"""")"),586587.0)</f>
        <v>586587</v>
      </c>
      <c r="E893" s="72">
        <f>IFERROR(__xludf.DUMMYFUNCTION("iferror(divide(googlefinance($B893,""volumeavg""),1000),"""")"),1803.595)</f>
        <v>1803.595</v>
      </c>
      <c r="F893" s="73">
        <f>IFERROR(__xludf.DUMMYFUNCTION("iferror(MINUS(divide(GOOGLEFINANCE($B893), INDEX(GOOGLEFINANCE($B893,""price"",today()-182),2,2)),1),"""")"),4.056022408963586)</f>
        <v>4.056022409</v>
      </c>
      <c r="G893" s="61">
        <f>IFERROR(__xludf.DUMMYFUNCTION("iferror(MINUS(divide(GOOGLEFINANCE($B893), INDEX(GOOGLEFINANCE($B893,""price"",today()-364),2,2)),1),"""")"),1.662241887905605)</f>
        <v>1.662241888</v>
      </c>
    </row>
    <row r="894">
      <c r="A894" s="71">
        <f t="shared" si="4"/>
        <v>890</v>
      </c>
      <c r="B894" s="47" t="s">
        <v>1027</v>
      </c>
      <c r="C894" s="72">
        <f>IFERROR(__xludf.DUMMYFUNCTION("iferror(divide(googlefinance($B894,""marketcap""),1000000),"""")"),144.488584)</f>
        <v>144.488584</v>
      </c>
      <c r="D894" s="72">
        <f>IFERROR(__xludf.DUMMYFUNCTION("iferror(divide(googlefinance($B894,""shares""),1000),"""")"),42622.0)</f>
        <v>42622</v>
      </c>
      <c r="E894" s="72">
        <f>IFERROR(__xludf.DUMMYFUNCTION("iferror(divide(googlefinance($B894,""volumeavg""),1000),"""")"),97.88)</f>
        <v>97.88</v>
      </c>
      <c r="F894" s="73">
        <f>IFERROR(__xludf.DUMMYFUNCTION("iferror(MINUS(divide(GOOGLEFINANCE($B894), INDEX(GOOGLEFINANCE($B894,""price"",today()-182),2,2)),1),"""")"),0.3294117647058825)</f>
        <v>0.3294117647</v>
      </c>
      <c r="G894" s="61">
        <f>IFERROR(__xludf.DUMMYFUNCTION("iferror(MINUS(divide(GOOGLEFINANCE($B894), INDEX(GOOGLEFINANCE($B894,""price"",today()-364),2,2)),1),"""")"),-0.12176165803108807)</f>
        <v>-0.121761658</v>
      </c>
    </row>
    <row r="895">
      <c r="A895" s="71">
        <f t="shared" si="4"/>
        <v>891</v>
      </c>
      <c r="B895" s="47" t="s">
        <v>1028</v>
      </c>
      <c r="C895" s="72">
        <f>IFERROR(__xludf.DUMMYFUNCTION("iferror(divide(googlefinance($B895,""marketcap""),1000000),"""")"),121.099093)</f>
        <v>121.099093</v>
      </c>
      <c r="D895" s="72">
        <f>IFERROR(__xludf.DUMMYFUNCTION("iferror(divide(googlefinance($B895,""shares""),1000),"""")"),29110.0)</f>
        <v>29110</v>
      </c>
      <c r="E895" s="72">
        <f>IFERROR(__xludf.DUMMYFUNCTION("iferror(divide(googlefinance($B895,""volumeavg""),1000),"""")"),244.174)</f>
        <v>244.174</v>
      </c>
      <c r="F895" s="73">
        <f>IFERROR(__xludf.DUMMYFUNCTION("iferror(MINUS(divide(GOOGLEFINANCE($B895), INDEX(GOOGLEFINANCE($B895,""price"",today()-182),2,2)),1),"""")"),0.12129380053908356)</f>
        <v>0.1212938005</v>
      </c>
      <c r="G895" s="61">
        <f>IFERROR(__xludf.DUMMYFUNCTION("iferror(MINUS(divide(GOOGLEFINANCE($B895), INDEX(GOOGLEFINANCE($B895,""price"",today()-364),2,2)),1),"""")"),-0.7404865876481597)</f>
        <v>-0.7404865876</v>
      </c>
    </row>
    <row r="896">
      <c r="A896" s="71">
        <f t="shared" si="4"/>
        <v>892</v>
      </c>
      <c r="B896" s="47" t="s">
        <v>1029</v>
      </c>
      <c r="C896" s="72">
        <f>IFERROR(__xludf.DUMMYFUNCTION("iferror(divide(googlefinance($B896,""marketcap""),1000000),"""")"),1875.248184)</f>
        <v>1875.248184</v>
      </c>
      <c r="D896" s="72">
        <f>IFERROR(__xludf.DUMMYFUNCTION("iferror(divide(googlefinance($B896,""shares""),1000),"""")"),25310.0)</f>
        <v>25310</v>
      </c>
      <c r="E896" s="72">
        <f>IFERROR(__xludf.DUMMYFUNCTION("iferror(divide(googlefinance($B896,""volumeavg""),1000),"""")"),108.146)</f>
        <v>108.146</v>
      </c>
      <c r="F896" s="73">
        <f>IFERROR(__xludf.DUMMYFUNCTION("iferror(MINUS(divide(GOOGLEFINANCE($B896), INDEX(GOOGLEFINANCE($B896,""price"",today()-182),2,2)),1),"""")"),0.9647308406258288)</f>
        <v>0.9647308406</v>
      </c>
      <c r="G896" s="61">
        <f>IFERROR(__xludf.DUMMYFUNCTION("iferror(MINUS(divide(GOOGLEFINANCE($B896), INDEX(GOOGLEFINANCE($B896,""price"",today()-364),2,2)),1),"""")"),0.19269156471345794)</f>
        <v>0.1926915647</v>
      </c>
    </row>
    <row r="897">
      <c r="A897" s="71">
        <f t="shared" si="4"/>
        <v>893</v>
      </c>
      <c r="B897" s="47" t="s">
        <v>1030</v>
      </c>
      <c r="C897" s="72">
        <f>IFERROR(__xludf.DUMMYFUNCTION("iferror(divide(googlefinance($B897,""marketcap""),1000000),"""")"),11108.688345)</f>
        <v>11108.68835</v>
      </c>
      <c r="D897" s="72">
        <f>IFERROR(__xludf.DUMMYFUNCTION("iferror(divide(googlefinance($B897,""shares""),1000),"""")"),493281.0)</f>
        <v>493281</v>
      </c>
      <c r="E897" s="72">
        <f>IFERROR(__xludf.DUMMYFUNCTION("iferror(divide(googlefinance($B897,""volumeavg""),1000),"""")"),19188.935)</f>
        <v>19188.935</v>
      </c>
      <c r="F897" s="73">
        <f>IFERROR(__xludf.DUMMYFUNCTION("iferror(MINUS(divide(GOOGLEFINANCE($B897), INDEX(GOOGLEFINANCE($B897,""price"",today()-182),2,2)),1),"""")"),1.4720087815587268)</f>
        <v>1.472008782</v>
      </c>
      <c r="G897" s="61">
        <f>IFERROR(__xludf.DUMMYFUNCTION("iferror(MINUS(divide(GOOGLEFINANCE($B897), INDEX(GOOGLEFINANCE($B897,""price"",today()-364),2,2)),1),"""")"),-0.21941074523396886)</f>
        <v>-0.2194107452</v>
      </c>
    </row>
    <row r="898">
      <c r="A898" s="71">
        <f t="shared" si="4"/>
        <v>894</v>
      </c>
      <c r="B898" s="47" t="s">
        <v>1031</v>
      </c>
      <c r="C898" s="72">
        <f>IFERROR(__xludf.DUMMYFUNCTION("iferror(divide(googlefinance($B898,""marketcap""),1000000),"""")"),1689.532702)</f>
        <v>1689.532702</v>
      </c>
      <c r="D898" s="72">
        <f>IFERROR(__xludf.DUMMYFUNCTION("iferror(divide(googlefinance($B898,""shares""),1000),"""")"),54117.0)</f>
        <v>54117</v>
      </c>
      <c r="E898" s="72">
        <f>IFERROR(__xludf.DUMMYFUNCTION("iferror(divide(googlefinance($B898,""volumeavg""),1000),"""")"),448.653)</f>
        <v>448.653</v>
      </c>
      <c r="F898" s="73">
        <f>IFERROR(__xludf.DUMMYFUNCTION("iferror(MINUS(divide(GOOGLEFINANCE($B898), INDEX(GOOGLEFINANCE($B898,""price"",today()-182),2,2)),1),"""")"),5.423868312757201)</f>
        <v>5.423868313</v>
      </c>
      <c r="G898" s="61">
        <f>IFERROR(__xludf.DUMMYFUNCTION("iferror(MINUS(divide(GOOGLEFINANCE($B898), INDEX(GOOGLEFINANCE($B898,""price"",today()-364),2,2)),1),"""")"),1.4239130434782608)</f>
        <v>1.423913043</v>
      </c>
    </row>
    <row r="899">
      <c r="A899" s="71">
        <f t="shared" si="4"/>
        <v>895</v>
      </c>
      <c r="B899" s="47" t="s">
        <v>1032</v>
      </c>
      <c r="C899" s="72">
        <f>IFERROR(__xludf.DUMMYFUNCTION("iferror(divide(googlefinance($B899,""marketcap""),1000000),"""")"),3814.82416)</f>
        <v>3814.82416</v>
      </c>
      <c r="D899" s="72">
        <f>IFERROR(__xludf.DUMMYFUNCTION("iferror(divide(googlefinance($B899,""shares""),1000),"""")"),131455.0)</f>
        <v>131455</v>
      </c>
      <c r="E899" s="72">
        <f>IFERROR(__xludf.DUMMYFUNCTION("iferror(divide(googlefinance($B899,""volumeavg""),1000),"""")"),955.765)</f>
        <v>955.765</v>
      </c>
      <c r="F899" s="73">
        <f>IFERROR(__xludf.DUMMYFUNCTION("iferror(MINUS(divide(GOOGLEFINANCE($B899), INDEX(GOOGLEFINANCE($B899,""price"",today()-182),2,2)),1),"""")"),0.8080996884735201)</f>
        <v>0.8080996885</v>
      </c>
      <c r="G899" s="61">
        <f>IFERROR(__xludf.DUMMYFUNCTION("iferror(MINUS(divide(GOOGLEFINANCE($B899), INDEX(GOOGLEFINANCE($B899,""price"",today()-364),2,2)),1),"""")"),-0.06567933032839668)</f>
        <v>-0.06567933033</v>
      </c>
    </row>
    <row r="900">
      <c r="A900" s="71">
        <f t="shared" si="4"/>
        <v>896</v>
      </c>
      <c r="B900" s="47" t="s">
        <v>1033</v>
      </c>
      <c r="C900" s="72">
        <f>IFERROR(__xludf.DUMMYFUNCTION("iferror(divide(googlefinance($B900,""marketcap""),1000000),"""")"),673.826272)</f>
        <v>673.826272</v>
      </c>
      <c r="D900" s="72">
        <f>IFERROR(__xludf.DUMMYFUNCTION("iferror(divide(googlefinance($B900,""shares""),1000),"""")"),16913.0)</f>
        <v>16913</v>
      </c>
      <c r="E900" s="72">
        <f>IFERROR(__xludf.DUMMYFUNCTION("iferror(divide(googlefinance($B900,""volumeavg""),1000),"""")"),96.643)</f>
        <v>96.643</v>
      </c>
      <c r="F900" s="73">
        <f>IFERROR(__xludf.DUMMYFUNCTION("iferror(MINUS(divide(GOOGLEFINANCE($B900), INDEX(GOOGLEFINANCE($B900,""price"",today()-182),2,2)),1),"""")"),0.6368118323746921)</f>
        <v>0.6368118324</v>
      </c>
      <c r="G900" s="61">
        <f>IFERROR(__xludf.DUMMYFUNCTION("iferror(MINUS(divide(GOOGLEFINANCE($B900), INDEX(GOOGLEFINANCE($B900,""price"",today()-364),2,2)),1),"""")"),-0.2295494101721136)</f>
        <v>-0.2295494102</v>
      </c>
    </row>
    <row r="901">
      <c r="A901" s="71">
        <f t="shared" si="4"/>
        <v>897</v>
      </c>
      <c r="B901" s="47" t="s">
        <v>1034</v>
      </c>
      <c r="C901" s="72">
        <f>IFERROR(__xludf.DUMMYFUNCTION("iferror(divide(googlefinance($B901,""marketcap""),1000000),"""")"),387.471577)</f>
        <v>387.471577</v>
      </c>
      <c r="D901" s="72">
        <f>IFERROR(__xludf.DUMMYFUNCTION("iferror(divide(googlefinance($B901,""shares""),1000),"""")"),48253.0)</f>
        <v>48253</v>
      </c>
      <c r="E901" s="72">
        <f>IFERROR(__xludf.DUMMYFUNCTION("iferror(divide(googlefinance($B901,""volumeavg""),1000),"""")"),248.562)</f>
        <v>248.562</v>
      </c>
      <c r="F901" s="73">
        <f>IFERROR(__xludf.DUMMYFUNCTION("iferror(MINUS(divide(GOOGLEFINANCE($B901), INDEX(GOOGLEFINANCE($B901,""price"",today()-182),2,2)),1),"""")"),0.33167495854063)</f>
        <v>0.3316749585</v>
      </c>
      <c r="G901" s="61">
        <f>IFERROR(__xludf.DUMMYFUNCTION("iferror(MINUS(divide(GOOGLEFINANCE($B901), INDEX(GOOGLEFINANCE($B901,""price"",today()-364),2,2)),1),"""")"),-0.31949152542372894)</f>
        <v>-0.3194915254</v>
      </c>
    </row>
    <row r="902">
      <c r="A902" s="71">
        <f t="shared" si="4"/>
        <v>898</v>
      </c>
      <c r="B902" s="47" t="s">
        <v>1035</v>
      </c>
      <c r="C902" s="72">
        <f>IFERROR(__xludf.DUMMYFUNCTION("iferror(divide(googlefinance($B902,""marketcap""),1000000),"""")"),489.081675)</f>
        <v>489.081675</v>
      </c>
      <c r="D902" s="72">
        <f>IFERROR(__xludf.DUMMYFUNCTION("iferror(divide(googlefinance($B902,""shares""),1000),"""")"),37363.0)</f>
        <v>37363</v>
      </c>
      <c r="E902" s="72">
        <f>IFERROR(__xludf.DUMMYFUNCTION("iferror(divide(googlefinance($B902,""volumeavg""),1000),"""")"),108.593)</f>
        <v>108.593</v>
      </c>
      <c r="F902" s="73">
        <f>IFERROR(__xludf.DUMMYFUNCTION("iferror(MINUS(divide(GOOGLEFINANCE($B902), INDEX(GOOGLEFINANCE($B902,""price"",today()-182),2,2)),1),"""")"),0.3851851851851853)</f>
        <v>0.3851851852</v>
      </c>
      <c r="G902" s="61">
        <f>IFERROR(__xludf.DUMMYFUNCTION("iferror(MINUS(divide(GOOGLEFINANCE($B902), INDEX(GOOGLEFINANCE($B902,""price"",today()-364),2,2)),1),"""")"),-0.28430836522689995)</f>
        <v>-0.2843083652</v>
      </c>
    </row>
    <row r="903">
      <c r="A903" s="71">
        <f t="shared" si="4"/>
        <v>899</v>
      </c>
      <c r="B903" s="47" t="s">
        <v>1036</v>
      </c>
      <c r="C903" s="72">
        <f>IFERROR(__xludf.DUMMYFUNCTION("iferror(divide(googlefinance($B903,""marketcap""),1000000),"""")"),7360.138904)</f>
        <v>7360.138904</v>
      </c>
      <c r="D903" s="72">
        <f>IFERROR(__xludf.DUMMYFUNCTION("iferror(divide(googlefinance($B903,""shares""),1000),"""")"),71195.0)</f>
        <v>71195</v>
      </c>
      <c r="E903" s="72">
        <f>IFERROR(__xludf.DUMMYFUNCTION("iferror(divide(googlefinance($B903,""volumeavg""),1000),"""")"),679.573)</f>
        <v>679.573</v>
      </c>
      <c r="F903" s="73">
        <f>IFERROR(__xludf.DUMMYFUNCTION("iferror(MINUS(divide(GOOGLEFINANCE($B903), INDEX(GOOGLEFINANCE($B903,""price"",today()-182),2,2)),1),"""")"),0.7623593590180702)</f>
        <v>0.762359359</v>
      </c>
      <c r="G903" s="61">
        <f>IFERROR(__xludf.DUMMYFUNCTION("iferror(MINUS(divide(GOOGLEFINANCE($B903), INDEX(GOOGLEFINANCE($B903,""price"",today()-364),2,2)),1),"""")"),-0.16216873328470705)</f>
        <v>-0.1621687333</v>
      </c>
    </row>
    <row r="904">
      <c r="A904" s="71">
        <f t="shared" si="4"/>
        <v>900</v>
      </c>
      <c r="B904" s="47" t="s">
        <v>1037</v>
      </c>
      <c r="C904" s="72">
        <f>IFERROR(__xludf.DUMMYFUNCTION("iferror(divide(googlefinance($B904,""marketcap""),1000000),"""")"),1272.760466)</f>
        <v>1272.760466</v>
      </c>
      <c r="D904" s="72">
        <f>IFERROR(__xludf.DUMMYFUNCTION("iferror(divide(googlefinance($B904,""shares""),1000),"""")"),28544.0)</f>
        <v>28544</v>
      </c>
      <c r="E904" s="72">
        <f>IFERROR(__xludf.DUMMYFUNCTION("iferror(divide(googlefinance($B904,""volumeavg""),1000),"""")"),246.701)</f>
        <v>246.701</v>
      </c>
      <c r="F904" s="73">
        <f>IFERROR(__xludf.DUMMYFUNCTION("iferror(MINUS(divide(GOOGLEFINANCE($B904), INDEX(GOOGLEFINANCE($B904,""price"",today()-182),2,2)),1),"""")"),2.4273635664873177)</f>
        <v>2.427363566</v>
      </c>
      <c r="G904" s="61">
        <f>IFERROR(__xludf.DUMMYFUNCTION("iferror(MINUS(divide(GOOGLEFINANCE($B904), INDEX(GOOGLEFINANCE($B904,""price"",today()-364),2,2)),1),"""")"),0.18432934926958855)</f>
        <v>0.1843293493</v>
      </c>
    </row>
    <row r="905">
      <c r="A905" s="71">
        <f t="shared" si="4"/>
        <v>901</v>
      </c>
      <c r="B905" s="47" t="s">
        <v>1038</v>
      </c>
      <c r="C905" s="72">
        <f>IFERROR(__xludf.DUMMYFUNCTION("iferror(divide(googlefinance($B905,""marketcap""),1000000),"""")"),2297.380766)</f>
        <v>2297.380766</v>
      </c>
      <c r="D905" s="72">
        <f>IFERROR(__xludf.DUMMYFUNCTION("iferror(divide(googlefinance($B905,""shares""),1000),"""")"),87022.0)</f>
        <v>87022</v>
      </c>
      <c r="E905" s="72">
        <f>IFERROR(__xludf.DUMMYFUNCTION("iferror(divide(googlefinance($B905,""volumeavg""),1000),"""")"),699.586)</f>
        <v>699.586</v>
      </c>
      <c r="F905" s="73">
        <f>IFERROR(__xludf.DUMMYFUNCTION("iferror(MINUS(divide(GOOGLEFINANCE($B905), INDEX(GOOGLEFINANCE($B905,""price"",today()-182),2,2)),1),"""")"),0.7391304347826086)</f>
        <v>0.7391304348</v>
      </c>
      <c r="G905" s="61">
        <f>IFERROR(__xludf.DUMMYFUNCTION("iferror(MINUS(divide(GOOGLEFINANCE($B905), INDEX(GOOGLEFINANCE($B905,""price"",today()-364),2,2)),1),"""")"),-0.3297791317593298)</f>
        <v>-0.3297791318</v>
      </c>
    </row>
    <row r="906">
      <c r="A906" s="71">
        <f t="shared" si="4"/>
        <v>902</v>
      </c>
      <c r="B906" s="47" t="s">
        <v>1039</v>
      </c>
      <c r="C906" s="72">
        <f>IFERROR(__xludf.DUMMYFUNCTION("iferror(divide(googlefinance($B906,""marketcap""),1000000),"""")"),5230.873069)</f>
        <v>5230.873069</v>
      </c>
      <c r="D906" s="72">
        <f>IFERROR(__xludf.DUMMYFUNCTION("iferror(divide(googlefinance($B906,""shares""),1000),"""")"),55618.0)</f>
        <v>55618</v>
      </c>
      <c r="E906" s="72">
        <f>IFERROR(__xludf.DUMMYFUNCTION("iferror(divide(googlefinance($B906,""volumeavg""),1000),"""")"),817.939)</f>
        <v>817.939</v>
      </c>
      <c r="F906" s="73">
        <f>IFERROR(__xludf.DUMMYFUNCTION("iferror(MINUS(divide(GOOGLEFINANCE($B906), INDEX(GOOGLEFINANCE($B906,""price"",today()-182),2,2)),1),"""")"),0.9980879541108987)</f>
        <v>0.9980879541</v>
      </c>
      <c r="G906" s="61">
        <f>IFERROR(__xludf.DUMMYFUNCTION("iferror(MINUS(divide(GOOGLEFINANCE($B906), INDEX(GOOGLEFINANCE($B906,""price"",today()-364),2,2)),1),"""")"),-0.18451400329489298)</f>
        <v>-0.1845140033</v>
      </c>
    </row>
    <row r="907">
      <c r="A907" s="71">
        <f t="shared" si="4"/>
        <v>903</v>
      </c>
      <c r="B907" s="47" t="s">
        <v>1040</v>
      </c>
      <c r="C907" s="72">
        <f>IFERROR(__xludf.DUMMYFUNCTION("iferror(divide(googlefinance($B907,""marketcap""),1000000),"""")"),1488.386649)</f>
        <v>1488.386649</v>
      </c>
      <c r="D907" s="72">
        <f>IFERROR(__xludf.DUMMYFUNCTION("iferror(divide(googlefinance($B907,""shares""),1000),"""")"),147438.0)</f>
        <v>147438</v>
      </c>
      <c r="E907" s="72">
        <f>IFERROR(__xludf.DUMMYFUNCTION("iferror(divide(googlefinance($B907,""volumeavg""),1000),"""")"),4323.131)</f>
        <v>4323.131</v>
      </c>
      <c r="F907" s="73">
        <f>IFERROR(__xludf.DUMMYFUNCTION("iferror(MINUS(divide(GOOGLEFINANCE($B907), INDEX(GOOGLEFINANCE($B907,""price"",today()-182),2,2)),1),"""")"),5.474358974358974)</f>
        <v>5.474358974</v>
      </c>
      <c r="G907" s="61">
        <f>IFERROR(__xludf.DUMMYFUNCTION("iferror(MINUS(divide(GOOGLEFINANCE($B907), INDEX(GOOGLEFINANCE($B907,""price"",today()-364),2,2)),1),"""")"),0.16628175519630473)</f>
        <v>0.1662817552</v>
      </c>
    </row>
    <row r="908">
      <c r="A908" s="71">
        <f t="shared" si="4"/>
        <v>904</v>
      </c>
      <c r="B908" s="47" t="s">
        <v>1041</v>
      </c>
      <c r="C908" s="72">
        <f>IFERROR(__xludf.DUMMYFUNCTION("iferror(divide(googlefinance($B908,""marketcap""),1000000),"""")"),544.808569)</f>
        <v>544.808569</v>
      </c>
      <c r="D908" s="72">
        <f>IFERROR(__xludf.DUMMYFUNCTION("iferror(divide(googlefinance($B908,""shares""),1000),"""")"),25399.0)</f>
        <v>25399</v>
      </c>
      <c r="E908" s="72">
        <f>IFERROR(__xludf.DUMMYFUNCTION("iferror(divide(googlefinance($B908,""volumeavg""),1000),"""")"),82.871)</f>
        <v>82.871</v>
      </c>
      <c r="F908" s="73">
        <f>IFERROR(__xludf.DUMMYFUNCTION("iferror(MINUS(divide(GOOGLEFINANCE($B908), INDEX(GOOGLEFINANCE($B908,""price"",today()-182),2,2)),1),"""")"),0.8915343915343914)</f>
        <v>0.8915343915</v>
      </c>
      <c r="G908" s="61">
        <f>IFERROR(__xludf.DUMMYFUNCTION("iferror(MINUS(divide(GOOGLEFINANCE($B908), INDEX(GOOGLEFINANCE($B908,""price"",today()-364),2,2)),1),"""")"),1.3189189189189188)</f>
        <v>1.318918919</v>
      </c>
    </row>
    <row r="909">
      <c r="A909" s="71">
        <f t="shared" si="4"/>
        <v>905</v>
      </c>
      <c r="B909" s="47" t="s">
        <v>1042</v>
      </c>
      <c r="C909" s="72">
        <f>IFERROR(__xludf.DUMMYFUNCTION("iferror(divide(googlefinance($B909,""marketcap""),1000000),"""")"),213.247302)</f>
        <v>213.247302</v>
      </c>
      <c r="D909" s="72">
        <f>IFERROR(__xludf.DUMMYFUNCTION("iferror(divide(googlefinance($B909,""shares""),1000),"""")"),24710.0)</f>
        <v>24710</v>
      </c>
      <c r="E909" s="72">
        <f>IFERROR(__xludf.DUMMYFUNCTION("iferror(divide(googlefinance($B909,""volumeavg""),1000),"""")"),505.119)</f>
        <v>505.119</v>
      </c>
      <c r="F909" s="73">
        <f>IFERROR(__xludf.DUMMYFUNCTION("iferror(MINUS(divide(GOOGLEFINANCE($B909), INDEX(GOOGLEFINANCE($B909,""price"",today()-182),2,2)),1),"""")"),-0.28202995008319454)</f>
        <v>-0.2820299501</v>
      </c>
      <c r="G909" s="61">
        <f>IFERROR(__xludf.DUMMYFUNCTION("iferror(MINUS(divide(GOOGLEFINANCE($B909), INDEX(GOOGLEFINANCE($B909,""price"",today()-364),2,2)),1),"""")"),-0.5685)</f>
        <v>-0.5685</v>
      </c>
    </row>
    <row r="910">
      <c r="A910" s="71">
        <f t="shared" si="4"/>
        <v>906</v>
      </c>
      <c r="B910" s="47" t="s">
        <v>1043</v>
      </c>
      <c r="C910" s="72">
        <f>IFERROR(__xludf.DUMMYFUNCTION("iferror(divide(googlefinance($B910,""marketcap""),1000000),"""")"),25689.231679)</f>
        <v>25689.23168</v>
      </c>
      <c r="D910" s="72">
        <f>IFERROR(__xludf.DUMMYFUNCTION("iferror(divide(googlefinance($B910,""shares""),1000),"""")"),123945.0)</f>
        <v>123945</v>
      </c>
      <c r="E910" s="72">
        <f>IFERROR(__xludf.DUMMYFUNCTION("iferror(divide(googlefinance($B910,""volumeavg""),1000),"""")"),424.491)</f>
        <v>424.491</v>
      </c>
      <c r="F910" s="73">
        <f>IFERROR(__xludf.DUMMYFUNCTION("iferror(MINUS(divide(GOOGLEFINANCE($B910), INDEX(GOOGLEFINANCE($B910,""price"",today()-182),2,2)),1),"""")"),0.5475349285370161)</f>
        <v>0.5475349285</v>
      </c>
      <c r="G910" s="61">
        <f>IFERROR(__xludf.DUMMYFUNCTION("iferror(MINUS(divide(GOOGLEFINANCE($B910), INDEX(GOOGLEFINANCE($B910,""price"",today()-364),2,2)),1),"""")"),0.20350942924940685)</f>
        <v>0.2035094292</v>
      </c>
    </row>
    <row r="911">
      <c r="A911" s="71">
        <f t="shared" si="4"/>
        <v>907</v>
      </c>
      <c r="B911" s="47" t="s">
        <v>1044</v>
      </c>
      <c r="C911" s="72">
        <f>IFERROR(__xludf.DUMMYFUNCTION("iferror(divide(googlefinance($B911,""marketcap""),1000000),"""")"),25876.786448)</f>
        <v>25876.78645</v>
      </c>
      <c r="D911" s="72">
        <f>IFERROR(__xludf.DUMMYFUNCTION("iferror(divide(googlefinance($B911,""shares""),1000),"""")"),1430447.0)</f>
        <v>1430447</v>
      </c>
      <c r="E911" s="72">
        <f>IFERROR(__xludf.DUMMYFUNCTION("iferror(divide(googlefinance($B911,""volumeavg""),1000),"""")"),3464.701)</f>
        <v>3464.701</v>
      </c>
      <c r="F911" s="73">
        <f>IFERROR(__xludf.DUMMYFUNCTION("iferror(MINUS(divide(GOOGLEFINANCE($B911), INDEX(GOOGLEFINANCE($B911,""price"",today()-182),2,2)),1),"""")"),0.3439821693907874)</f>
        <v>0.3439821694</v>
      </c>
      <c r="G911" s="61">
        <f>IFERROR(__xludf.DUMMYFUNCTION("iferror(MINUS(divide(GOOGLEFINANCE($B911), INDEX(GOOGLEFINANCE($B911,""price"",today()-364),2,2)),1),"""")"),-0.13028846153846152)</f>
        <v>-0.1302884615</v>
      </c>
    </row>
    <row r="912">
      <c r="A912" s="71">
        <f t="shared" si="4"/>
        <v>908</v>
      </c>
      <c r="B912" s="47" t="s">
        <v>1045</v>
      </c>
      <c r="C912" s="72">
        <f>IFERROR(__xludf.DUMMYFUNCTION("iferror(divide(googlefinance($B912,""marketcap""),1000000),"""")"),2033.993005)</f>
        <v>2033.993005</v>
      </c>
      <c r="D912" s="72">
        <f>IFERROR(__xludf.DUMMYFUNCTION("iferror(divide(googlefinance($B912,""shares""),1000),"""")"),58871.0)</f>
        <v>58871</v>
      </c>
      <c r="E912" s="72">
        <f>IFERROR(__xludf.DUMMYFUNCTION("iferror(divide(googlefinance($B912,""volumeavg""),1000),"""")"),640.195)</f>
        <v>640.195</v>
      </c>
      <c r="F912" s="73">
        <f>IFERROR(__xludf.DUMMYFUNCTION("iferror(MINUS(divide(GOOGLEFINANCE($B912), INDEX(GOOGLEFINANCE($B912,""price"",today()-182),2,2)),1),"""")"),0.7827657378740969)</f>
        <v>0.7827657379</v>
      </c>
      <c r="G912" s="61">
        <f>IFERROR(__xludf.DUMMYFUNCTION("iferror(MINUS(divide(GOOGLEFINANCE($B912), INDEX(GOOGLEFINANCE($B912,""price"",today()-364),2,2)),1),"""")"),-0.2378116037943967)</f>
        <v>-0.2378116038</v>
      </c>
    </row>
    <row r="913">
      <c r="A913" s="71">
        <f t="shared" si="4"/>
        <v>909</v>
      </c>
      <c r="B913" s="47" t="s">
        <v>1046</v>
      </c>
      <c r="C913" s="72">
        <f>IFERROR(__xludf.DUMMYFUNCTION("iferror(divide(googlefinance($B913,""marketcap""),1000000),"""")"),14133.817353)</f>
        <v>14133.81735</v>
      </c>
      <c r="D913" s="72">
        <f>IFERROR(__xludf.DUMMYFUNCTION("iferror(divide(googlefinance($B913,""shares""),1000),"""")"),62269.0)</f>
        <v>62269</v>
      </c>
      <c r="E913" s="72">
        <f>IFERROR(__xludf.DUMMYFUNCTION("iferror(divide(googlefinance($B913,""volumeavg""),1000),"""")"),533.659)</f>
        <v>533.659</v>
      </c>
      <c r="F913" s="73">
        <f>IFERROR(__xludf.DUMMYFUNCTION("iferror(MINUS(divide(GOOGLEFINANCE($B913), INDEX(GOOGLEFINANCE($B913,""price"",today()-182),2,2)),1),"""")"),0.4775419867204791)</f>
        <v>0.4775419867</v>
      </c>
      <c r="G913" s="61">
        <f>IFERROR(__xludf.DUMMYFUNCTION("iferror(MINUS(divide(GOOGLEFINANCE($B913), INDEX(GOOGLEFINANCE($B913,""price"",today()-364),2,2)),1),"""")"),-0.14800495476896525)</f>
        <v>-0.1480049548</v>
      </c>
    </row>
    <row r="914">
      <c r="A914" s="71">
        <f t="shared" si="4"/>
        <v>910</v>
      </c>
      <c r="B914" s="47" t="s">
        <v>1047</v>
      </c>
      <c r="C914" s="72">
        <f>IFERROR(__xludf.DUMMYFUNCTION("iferror(divide(googlefinance($B914,""marketcap""),1000000),"""")"),442.307737)</f>
        <v>442.307737</v>
      </c>
      <c r="D914" s="72">
        <f>IFERROR(__xludf.DUMMYFUNCTION("iferror(divide(googlefinance($B914,""shares""),1000),"""")"),229175.0)</f>
        <v>229175</v>
      </c>
      <c r="E914" s="72">
        <f>IFERROR(__xludf.DUMMYFUNCTION("iferror(divide(googlefinance($B914,""volumeavg""),1000),"""")"),2448.657)</f>
        <v>2448.657</v>
      </c>
      <c r="F914" s="73">
        <f>IFERROR(__xludf.DUMMYFUNCTION("iferror(MINUS(divide(GOOGLEFINANCE($B914), INDEX(GOOGLEFINANCE($B914,""price"",today()-182),2,2)),1),"""")"),0.9108910891089108)</f>
        <v>0.9108910891</v>
      </c>
      <c r="G914" s="61">
        <f>IFERROR(__xludf.DUMMYFUNCTION("iferror(MINUS(divide(GOOGLEFINANCE($B914), INDEX(GOOGLEFINANCE($B914,""price"",today()-364),2,2)),1),"""")"),0.46212121212121193)</f>
        <v>0.4621212121</v>
      </c>
    </row>
    <row r="915">
      <c r="A915" s="71">
        <f t="shared" si="4"/>
        <v>911</v>
      </c>
      <c r="B915" s="47" t="s">
        <v>1048</v>
      </c>
      <c r="C915" s="72" t="str">
        <f>IFERROR(__xludf.DUMMYFUNCTION("iferror(divide(googlefinance($B915,""marketcap""),1000000),"""")"),"")</f>
        <v/>
      </c>
      <c r="D915" s="72" t="str">
        <f>IFERROR(__xludf.DUMMYFUNCTION("iferror(divide(googlefinance($B915,""shares""),1000),"""")"),"")</f>
        <v/>
      </c>
      <c r="E915" s="72" t="str">
        <f>IFERROR(__xludf.DUMMYFUNCTION("iferror(divide(googlefinance($B915,""volumeavg""),1000),"""")"),"")</f>
        <v/>
      </c>
      <c r="F915" s="73" t="str">
        <f>IFERROR(__xludf.DUMMYFUNCTION("iferror(MINUS(divide(GOOGLEFINANCE($B915), INDEX(GOOGLEFINANCE($B915,""price"",today()-182),2,2)),1),"""")"),"")</f>
        <v/>
      </c>
      <c r="G915" s="61" t="str">
        <f>IFERROR(__xludf.DUMMYFUNCTION("iferror(MINUS(divide(GOOGLEFINANCE($B915), INDEX(GOOGLEFINANCE($B915,""price"",today()-364),2,2)),1),"""")"),"")</f>
        <v/>
      </c>
    </row>
    <row r="916">
      <c r="A916" s="71">
        <f t="shared" si="4"/>
        <v>912</v>
      </c>
      <c r="B916" s="47" t="s">
        <v>1049</v>
      </c>
      <c r="C916" s="72">
        <f>IFERROR(__xludf.DUMMYFUNCTION("iferror(divide(googlefinance($B916,""marketcap""),1000000),"""")"),27227.34765)</f>
        <v>27227.34765</v>
      </c>
      <c r="D916" s="72">
        <f>IFERROR(__xludf.DUMMYFUNCTION("iferror(divide(googlefinance($B916,""shares""),1000),"""")"),44373.0)</f>
        <v>44373</v>
      </c>
      <c r="E916" s="72">
        <f>IFERROR(__xludf.DUMMYFUNCTION("iferror(divide(googlefinance($B916,""volumeavg""),1000),"""")"),250.056)</f>
        <v>250.056</v>
      </c>
      <c r="F916" s="73">
        <f>IFERROR(__xludf.DUMMYFUNCTION("iferror(MINUS(divide(GOOGLEFINANCE($B916), INDEX(GOOGLEFINANCE($B916,""price"",today()-182),2,2)),1),"""")"),0.9832214765100671)</f>
        <v>0.9832214765</v>
      </c>
      <c r="G916" s="61">
        <f>IFERROR(__xludf.DUMMYFUNCTION("iferror(MINUS(divide(GOOGLEFINANCE($B916), INDEX(GOOGLEFINANCE($B916,""price"",today()-364),2,2)),1),"""")"),-0.23741935483870968)</f>
        <v>-0.2374193548</v>
      </c>
    </row>
    <row r="917">
      <c r="A917" s="71">
        <f t="shared" si="4"/>
        <v>913</v>
      </c>
      <c r="B917" s="47" t="s">
        <v>1050</v>
      </c>
      <c r="C917" s="72">
        <f>IFERROR(__xludf.DUMMYFUNCTION("iferror(divide(googlefinance($B917,""marketcap""),1000000),"""")"),1395.677797)</f>
        <v>1395.677797</v>
      </c>
      <c r="D917" s="72">
        <f>IFERROR(__xludf.DUMMYFUNCTION("iferror(divide(googlefinance($B917,""shares""),1000),"""")"),33286.0)</f>
        <v>33286</v>
      </c>
      <c r="E917" s="72">
        <f>IFERROR(__xludf.DUMMYFUNCTION("iferror(divide(googlefinance($B917,""volumeavg""),1000),"""")"),388.783)</f>
        <v>388.783</v>
      </c>
      <c r="F917" s="73">
        <f>IFERROR(__xludf.DUMMYFUNCTION("iferror(MINUS(divide(GOOGLEFINANCE($B917), INDEX(GOOGLEFINANCE($B917,""price"",today()-182),2,2)),1),"""")"),-0.0019043084979766256)</f>
        <v>-0.001904308498</v>
      </c>
      <c r="G917" s="61">
        <f>IFERROR(__xludf.DUMMYFUNCTION("iferror(MINUS(divide(GOOGLEFINANCE($B917), INDEX(GOOGLEFINANCE($B917,""price"",today()-364),2,2)),1),"""")"),-0.45368078175895765)</f>
        <v>-0.4536807818</v>
      </c>
    </row>
    <row r="918">
      <c r="A918" s="71">
        <f t="shared" si="4"/>
        <v>914</v>
      </c>
      <c r="B918" s="47" t="s">
        <v>1051</v>
      </c>
      <c r="C918" s="72">
        <f>IFERROR(__xludf.DUMMYFUNCTION("iferror(divide(googlefinance($B918,""marketcap""),1000000),"""")"),42566.130677)</f>
        <v>42566.13068</v>
      </c>
      <c r="D918" s="72">
        <f>IFERROR(__xludf.DUMMYFUNCTION("iferror(divide(googlefinance($B918,""shares""),1000),"""")"),527396.0)</f>
        <v>527396</v>
      </c>
      <c r="E918" s="72">
        <f>IFERROR(__xludf.DUMMYFUNCTION("iferror(divide(googlefinance($B918,""volumeavg""),1000),"""")"),2000.342)</f>
        <v>2000.342</v>
      </c>
      <c r="F918" s="73">
        <f>IFERROR(__xludf.DUMMYFUNCTION("iferror(MINUS(divide(GOOGLEFINANCE($B918), INDEX(GOOGLEFINANCE($B918,""price"",today()-182),2,2)),1),"""")"),0.5491362763915546)</f>
        <v>0.5491362764</v>
      </c>
      <c r="G918" s="61">
        <f>IFERROR(__xludf.DUMMYFUNCTION("iferror(MINUS(divide(GOOGLEFINANCE($B918), INDEX(GOOGLEFINANCE($B918,""price"",today()-364),2,2)),1),"""")"),0.38320479862896306)</f>
        <v>0.3832047986</v>
      </c>
    </row>
    <row r="919">
      <c r="A919" s="71">
        <f t="shared" si="4"/>
        <v>915</v>
      </c>
      <c r="B919" s="47" t="s">
        <v>1052</v>
      </c>
      <c r="C919" s="72">
        <f>IFERROR(__xludf.DUMMYFUNCTION("iferror(divide(googlefinance($B919,""marketcap""),1000000),"""")"),6225.438667)</f>
        <v>6225.438667</v>
      </c>
      <c r="D919" s="72">
        <f>IFERROR(__xludf.DUMMYFUNCTION("iferror(divide(googlefinance($B919,""shares""),1000),"""")"),118965.0)</f>
        <v>118965</v>
      </c>
      <c r="E919" s="72">
        <f>IFERROR(__xludf.DUMMYFUNCTION("iferror(divide(googlefinance($B919,""volumeavg""),1000),"""")"),5301.997)</f>
        <v>5301.997</v>
      </c>
      <c r="F919" s="73">
        <f>IFERROR(__xludf.DUMMYFUNCTION("iferror(MINUS(divide(GOOGLEFINANCE($B919), INDEX(GOOGLEFINANCE($B919,""price"",today()-182),2,2)),1),"""")"),1.1333061557276802)</f>
        <v>1.133306156</v>
      </c>
      <c r="G919" s="61">
        <f>IFERROR(__xludf.DUMMYFUNCTION("iferror(MINUS(divide(GOOGLEFINANCE($B919), INDEX(GOOGLEFINANCE($B919,""price"",today()-364),2,2)),1),"""")"),2.911061285500747)</f>
        <v>2.911061286</v>
      </c>
    </row>
    <row r="920">
      <c r="A920" s="71">
        <f t="shared" si="4"/>
        <v>916</v>
      </c>
      <c r="B920" s="47" t="s">
        <v>1053</v>
      </c>
      <c r="C920" s="72">
        <f>IFERROR(__xludf.DUMMYFUNCTION("iferror(divide(googlefinance($B920,""marketcap""),1000000),"""")"),84.998103)</f>
        <v>84.998103</v>
      </c>
      <c r="D920" s="72">
        <f>IFERROR(__xludf.DUMMYFUNCTION("iferror(divide(googlefinance($B920,""shares""),1000),"""")"),19767.0)</f>
        <v>19767</v>
      </c>
      <c r="E920" s="72">
        <f>IFERROR(__xludf.DUMMYFUNCTION("iferror(divide(googlefinance($B920,""volumeavg""),1000),"""")"),12.826)</f>
        <v>12.826</v>
      </c>
      <c r="F920" s="73">
        <f>IFERROR(__xludf.DUMMYFUNCTION("iferror(MINUS(divide(GOOGLEFINANCE($B920), INDEX(GOOGLEFINANCE($B920,""price"",today()-182),2,2)),1),"""")"),0.35646687697160884)</f>
        <v>0.356466877</v>
      </c>
      <c r="G920" s="61">
        <f>IFERROR(__xludf.DUMMYFUNCTION("iferror(MINUS(divide(GOOGLEFINANCE($B920), INDEX(GOOGLEFINANCE($B920,""price"",today()-364),2,2)),1),"""")"),-0.3364197530864198)</f>
        <v>-0.3364197531</v>
      </c>
    </row>
    <row r="921">
      <c r="A921" s="71">
        <f t="shared" si="4"/>
        <v>917</v>
      </c>
      <c r="B921" s="47" t="s">
        <v>1054</v>
      </c>
      <c r="C921" s="72">
        <f>IFERROR(__xludf.DUMMYFUNCTION("iferror(divide(googlefinance($B921,""marketcap""),1000000),"""")"),75934.102554)</f>
        <v>75934.10255</v>
      </c>
      <c r="D921" s="72">
        <f>IFERROR(__xludf.DUMMYFUNCTION("iferror(divide(googlefinance($B921,""shares""),1000),"""")"),1858397.0)</f>
        <v>1858397</v>
      </c>
      <c r="E921" s="72">
        <f>IFERROR(__xludf.DUMMYFUNCTION("iferror(divide(googlefinance($B921,""volumeavg""),1000),"""")"),7680.03)</f>
        <v>7680.03</v>
      </c>
      <c r="F921" s="73">
        <f>IFERROR(__xludf.DUMMYFUNCTION("iferror(MINUS(divide(GOOGLEFINANCE($B921), INDEX(GOOGLEFINANCE($B921,""price"",today()-182),2,2)),1),"""")"),0.19194865810968498)</f>
        <v>0.1919486581</v>
      </c>
      <c r="G921" s="61">
        <f>IFERROR(__xludf.DUMMYFUNCTION("iferror(MINUS(divide(GOOGLEFINANCE($B921), INDEX(GOOGLEFINANCE($B921,""price"",today()-364),2,2)),1),"""")"),0.0012251899044350978)</f>
        <v>0.001225189904</v>
      </c>
    </row>
    <row r="922">
      <c r="A922" s="71">
        <f t="shared" si="4"/>
        <v>918</v>
      </c>
      <c r="B922" s="47" t="s">
        <v>1055</v>
      </c>
      <c r="C922" s="72">
        <f>IFERROR(__xludf.DUMMYFUNCTION("iferror(divide(googlefinance($B922,""marketcap""),1000000),"""")"),3140.088805)</f>
        <v>3140.088805</v>
      </c>
      <c r="D922" s="72">
        <f>IFERROR(__xludf.DUMMYFUNCTION("iferror(divide(googlefinance($B922,""shares""),1000),"""")"),337048.0)</f>
        <v>337048</v>
      </c>
      <c r="E922" s="72">
        <f>IFERROR(__xludf.DUMMYFUNCTION("iferror(divide(googlefinance($B922,""volumeavg""),1000),"""")"),3989.783)</f>
        <v>3989.783</v>
      </c>
      <c r="F922" s="73">
        <f>IFERROR(__xludf.DUMMYFUNCTION("iferror(MINUS(divide(GOOGLEFINANCE($B922), INDEX(GOOGLEFINANCE($B922,""price"",today()-182),2,2)),1),"""")"),-0.3135283363802559)</f>
        <v>-0.3135283364</v>
      </c>
      <c r="G922" s="61">
        <f>IFERROR(__xludf.DUMMYFUNCTION("iferror(MINUS(divide(GOOGLEFINANCE($B922), INDEX(GOOGLEFINANCE($B922,""price"",today()-364),2,2)),1),"""")"),-0.5742630385487528)</f>
        <v>-0.5742630385</v>
      </c>
    </row>
    <row r="923">
      <c r="A923" s="71">
        <f t="shared" si="4"/>
        <v>919</v>
      </c>
      <c r="B923" s="47" t="s">
        <v>1056</v>
      </c>
      <c r="C923" s="72">
        <f>IFERROR(__xludf.DUMMYFUNCTION("iferror(divide(googlefinance($B923,""marketcap""),1000000),"""")"),3790.577801)</f>
        <v>3790.577801</v>
      </c>
      <c r="D923" s="72">
        <f>IFERROR(__xludf.DUMMYFUNCTION("iferror(divide(googlefinance($B923,""shares""),1000),"""")"),32890.0)</f>
        <v>32890</v>
      </c>
      <c r="E923" s="72">
        <f>IFERROR(__xludf.DUMMYFUNCTION("iferror(divide(googlefinance($B923,""volumeavg""),1000),"""")"),72.413)</f>
        <v>72.413</v>
      </c>
      <c r="F923" s="73">
        <f>IFERROR(__xludf.DUMMYFUNCTION("iferror(MINUS(divide(GOOGLEFINANCE($B923), INDEX(GOOGLEFINANCE($B923,""price"",today()-182),2,2)),1),"""")"),0.6213358962037483)</f>
        <v>0.6213358962</v>
      </c>
      <c r="G923" s="61">
        <f>IFERROR(__xludf.DUMMYFUNCTION("iferror(MINUS(divide(GOOGLEFINANCE($B923), INDEX(GOOGLEFINANCE($B923,""price"",today()-364),2,2)),1),"""")"),0.15350427350427354)</f>
        <v>0.1535042735</v>
      </c>
    </row>
    <row r="924">
      <c r="A924" s="71">
        <f t="shared" si="4"/>
        <v>920</v>
      </c>
      <c r="B924" s="47" t="s">
        <v>1057</v>
      </c>
      <c r="C924" s="72">
        <f>IFERROR(__xludf.DUMMYFUNCTION("iferror(divide(googlefinance($B924,""marketcap""),1000000),"""")"),884.789898)</f>
        <v>884.789898</v>
      </c>
      <c r="D924" s="72">
        <f>IFERROR(__xludf.DUMMYFUNCTION("iferror(divide(googlefinance($B924,""shares""),1000),"""")"),30658.0)</f>
        <v>30658</v>
      </c>
      <c r="E924" s="72">
        <f>IFERROR(__xludf.DUMMYFUNCTION("iferror(divide(googlefinance($B924,""volumeavg""),1000),"""")"),53.544)</f>
        <v>53.544</v>
      </c>
      <c r="F924" s="73">
        <f>IFERROR(__xludf.DUMMYFUNCTION("iferror(MINUS(divide(GOOGLEFINANCE($B924), INDEX(GOOGLEFINANCE($B924,""price"",today()-182),2,2)),1),"""")"),1.150521609538003)</f>
        <v>1.15052161</v>
      </c>
      <c r="G924" s="61">
        <f>IFERROR(__xludf.DUMMYFUNCTION("iferror(MINUS(divide(GOOGLEFINANCE($B924), INDEX(GOOGLEFINANCE($B924,""price"",today()-364),2,2)),1),"""")"),0.6240855374226224)</f>
        <v>0.6240855374</v>
      </c>
    </row>
    <row r="925">
      <c r="A925" s="71">
        <f t="shared" si="4"/>
        <v>921</v>
      </c>
      <c r="B925" s="47" t="s">
        <v>1058</v>
      </c>
      <c r="C925" s="72">
        <f>IFERROR(__xludf.DUMMYFUNCTION("iferror(divide(googlefinance($B925,""marketcap""),1000000),"""")"),7301.273486)</f>
        <v>7301.273486</v>
      </c>
      <c r="D925" s="72">
        <f>IFERROR(__xludf.DUMMYFUNCTION("iferror(divide(googlefinance($B925,""shares""),1000),"""")"),379090.0)</f>
        <v>379090</v>
      </c>
      <c r="E925" s="72">
        <f>IFERROR(__xludf.DUMMYFUNCTION("iferror(divide(googlefinance($B925,""volumeavg""),1000),"""")"),4380.357)</f>
        <v>4380.357</v>
      </c>
      <c r="F925" s="73">
        <f>IFERROR(__xludf.DUMMYFUNCTION("iferror(MINUS(divide(GOOGLEFINANCE($B925), INDEX(GOOGLEFINANCE($B925,""price"",today()-182),2,2)),1),"""")"),1.008342022940563)</f>
        <v>1.008342023</v>
      </c>
      <c r="G925" s="61">
        <f>IFERROR(__xludf.DUMMYFUNCTION("iferror(MINUS(divide(GOOGLEFINANCE($B925), INDEX(GOOGLEFINANCE($B925,""price"",today()-364),2,2)),1),"""")"),-0.06911551474142097)</f>
        <v>-0.06911551474</v>
      </c>
    </row>
    <row r="926">
      <c r="A926" s="71">
        <f t="shared" si="4"/>
        <v>922</v>
      </c>
      <c r="B926" s="47" t="s">
        <v>1059</v>
      </c>
      <c r="C926" s="72">
        <f>IFERROR(__xludf.DUMMYFUNCTION("iferror(divide(googlefinance($B926,""marketcap""),1000000),"""")"),5.658414)</f>
        <v>5.658414</v>
      </c>
      <c r="D926" s="72">
        <f>IFERROR(__xludf.DUMMYFUNCTION("iferror(divide(googlefinance($B926,""shares""),1000),"""")"),3537.0)</f>
        <v>3537</v>
      </c>
      <c r="E926" s="72">
        <f>IFERROR(__xludf.DUMMYFUNCTION("iferror(divide(googlefinance($B926,""volumeavg""),1000),"""")"),92.138)</f>
        <v>92.138</v>
      </c>
      <c r="F926" s="73">
        <f>IFERROR(__xludf.DUMMYFUNCTION("iferror(MINUS(divide(GOOGLEFINANCE($B926), INDEX(GOOGLEFINANCE($B926,""price"",today()-182),2,2)),1),"""")"),0.7391304347826086)</f>
        <v>0.7391304348</v>
      </c>
      <c r="G926" s="61">
        <f>IFERROR(__xludf.DUMMYFUNCTION("iferror(MINUS(divide(GOOGLEFINANCE($B926), INDEX(GOOGLEFINANCE($B926,""price"",today()-364),2,2)),1),"""")"),-0.31034482758620685)</f>
        <v>-0.3103448276</v>
      </c>
    </row>
    <row r="927">
      <c r="A927" s="71">
        <f t="shared" si="4"/>
        <v>923</v>
      </c>
      <c r="B927" s="47" t="s">
        <v>1060</v>
      </c>
      <c r="C927" s="72">
        <f>IFERROR(__xludf.DUMMYFUNCTION("iferror(divide(googlefinance($B927,""marketcap""),1000000),"""")"),202.18657)</f>
        <v>202.18657</v>
      </c>
      <c r="D927" s="72">
        <f>IFERROR(__xludf.DUMMYFUNCTION("iferror(divide(googlefinance($B927,""shares""),1000),"""")"),16573.0)</f>
        <v>16573</v>
      </c>
      <c r="E927" s="72">
        <f>IFERROR(__xludf.DUMMYFUNCTION("iferror(divide(googlefinance($B927,""volumeavg""),1000),"""")"),227.244)</f>
        <v>227.244</v>
      </c>
      <c r="F927" s="73">
        <f>IFERROR(__xludf.DUMMYFUNCTION("iferror(MINUS(divide(GOOGLEFINANCE($B927), INDEX(GOOGLEFINANCE($B927,""price"",today()-182),2,2)),1),"""")"),0.32897603485838767)</f>
        <v>0.3289760349</v>
      </c>
      <c r="G927" s="61">
        <f>IFERROR(__xludf.DUMMYFUNCTION("iferror(MINUS(divide(GOOGLEFINANCE($B927), INDEX(GOOGLEFINANCE($B927,""price"",today()-364),2,2)),1),"""")"),-0.49545078577336643)</f>
        <v>-0.4954507858</v>
      </c>
    </row>
    <row r="928">
      <c r="A928" s="71">
        <f t="shared" si="4"/>
        <v>924</v>
      </c>
      <c r="B928" s="47" t="s">
        <v>1061</v>
      </c>
      <c r="C928" s="72">
        <f>IFERROR(__xludf.DUMMYFUNCTION("iferror(divide(googlefinance($B928,""marketcap""),1000000),"""")"),89.427227)</f>
        <v>89.427227</v>
      </c>
      <c r="D928" s="72">
        <f>IFERROR(__xludf.DUMMYFUNCTION("iferror(divide(googlefinance($B928,""shares""),1000),"""")"),210417.0)</f>
        <v>210417</v>
      </c>
      <c r="E928" s="72" t="str">
        <f>IFERROR(__xludf.DUMMYFUNCTION("iferror(divide(googlefinance($B928,""volumeavg""),1000),"""")"),"")</f>
        <v/>
      </c>
      <c r="F928" s="73">
        <f>IFERROR(__xludf.DUMMYFUNCTION("iferror(MINUS(divide(GOOGLEFINANCE($B928), INDEX(GOOGLEFINANCE($B928,""price"",today()-182),2,2)),1),"""")"),0.22857142857142865)</f>
        <v>0.2285714286</v>
      </c>
      <c r="G928" s="61">
        <f>IFERROR(__xludf.DUMMYFUNCTION("iferror(MINUS(divide(GOOGLEFINANCE($B928), INDEX(GOOGLEFINANCE($B928,""price"",today()-364),2,2)),1),"""")"),-0.6293103448275862)</f>
        <v>-0.6293103448</v>
      </c>
    </row>
    <row r="929">
      <c r="A929" s="71">
        <f t="shared" si="4"/>
        <v>925</v>
      </c>
      <c r="B929" s="47" t="s">
        <v>1062</v>
      </c>
      <c r="C929" s="72">
        <f>IFERROR(__xludf.DUMMYFUNCTION("iferror(divide(googlefinance($B929,""marketcap""),1000000),"""")"),9280.948546)</f>
        <v>9280.948546</v>
      </c>
      <c r="D929" s="72">
        <f>IFERROR(__xludf.DUMMYFUNCTION("iferror(divide(googlefinance($B929,""shares""),1000),"""")"),528829.0)</f>
        <v>528829</v>
      </c>
      <c r="E929" s="72">
        <f>IFERROR(__xludf.DUMMYFUNCTION("iferror(divide(googlefinance($B929,""volumeavg""),1000),"""")"),3804.782)</f>
        <v>3804.782</v>
      </c>
      <c r="F929" s="73">
        <f>IFERROR(__xludf.DUMMYFUNCTION("iferror(MINUS(divide(GOOGLEFINANCE($B929), INDEX(GOOGLEFINANCE($B929,""price"",today()-182),2,2)),1),"""")"),0.24733475479744138)</f>
        <v>0.2473347548</v>
      </c>
      <c r="G929" s="61">
        <f>IFERROR(__xludf.DUMMYFUNCTION("iferror(MINUS(divide(GOOGLEFINANCE($B929), INDEX(GOOGLEFINANCE($B929,""price"",today()-364),2,2)),1),"""")"),-0.07825630252100835)</f>
        <v>-0.07825630252</v>
      </c>
    </row>
    <row r="930">
      <c r="A930" s="71">
        <f t="shared" si="4"/>
        <v>926</v>
      </c>
      <c r="B930" s="47" t="s">
        <v>1063</v>
      </c>
      <c r="C930" s="72">
        <f>IFERROR(__xludf.DUMMYFUNCTION("iferror(divide(googlefinance($B930,""marketcap""),1000000),"""")"),11323.016457)</f>
        <v>11323.01646</v>
      </c>
      <c r="D930" s="72">
        <f>IFERROR(__xludf.DUMMYFUNCTION("iferror(divide(googlefinance($B930,""shares""),1000),"""")"),44913.0)</f>
        <v>44913</v>
      </c>
      <c r="E930" s="72">
        <f>IFERROR(__xludf.DUMMYFUNCTION("iferror(divide(googlefinance($B930,""volumeavg""),1000),"""")"),292.924)</f>
        <v>292.924</v>
      </c>
      <c r="F930" s="73">
        <f>IFERROR(__xludf.DUMMYFUNCTION("iferror(MINUS(divide(GOOGLEFINANCE($B930), INDEX(GOOGLEFINANCE($B930,""price"",today()-182),2,2)),1),"""")"),0.8644431297145394)</f>
        <v>0.8644431297</v>
      </c>
      <c r="G930" s="61">
        <f>IFERROR(__xludf.DUMMYFUNCTION("iferror(MINUS(divide(GOOGLEFINANCE($B930), INDEX(GOOGLEFINANCE($B930,""price"",today()-364),2,2)),1),"""")"),0.6342127438905814)</f>
        <v>0.6342127439</v>
      </c>
    </row>
    <row r="931">
      <c r="A931" s="71">
        <f t="shared" si="4"/>
        <v>927</v>
      </c>
      <c r="B931" s="47" t="s">
        <v>1064</v>
      </c>
      <c r="C931" s="72">
        <f>IFERROR(__xludf.DUMMYFUNCTION("iferror(divide(googlefinance($B931,""marketcap""),1000000),"""")"),709.272691)</f>
        <v>709.272691</v>
      </c>
      <c r="D931" s="72">
        <f>IFERROR(__xludf.DUMMYFUNCTION("iferror(divide(googlefinance($B931,""shares""),1000),"""")"),33969.0)</f>
        <v>33969</v>
      </c>
      <c r="E931" s="72">
        <f>IFERROR(__xludf.DUMMYFUNCTION("iferror(divide(googlefinance($B931,""volumeavg""),1000),"""")"),73.6)</f>
        <v>73.6</v>
      </c>
      <c r="F931" s="73">
        <f>IFERROR(__xludf.DUMMYFUNCTION("iferror(MINUS(divide(GOOGLEFINANCE($B931), INDEX(GOOGLEFINANCE($B931,""price"",today()-182),2,2)),1),"""")"),1.6363636363636362)</f>
        <v>1.636363636</v>
      </c>
      <c r="G931" s="61">
        <f>IFERROR(__xludf.DUMMYFUNCTION("iferror(MINUS(divide(GOOGLEFINANCE($B931), INDEX(GOOGLEFINANCE($B931,""price"",today()-364),2,2)),1),"""")"),0.3846153846153846)</f>
        <v>0.3846153846</v>
      </c>
    </row>
    <row r="932">
      <c r="A932" s="71">
        <f t="shared" si="4"/>
        <v>928</v>
      </c>
      <c r="B932" s="47" t="s">
        <v>1065</v>
      </c>
      <c r="C932" s="72">
        <f>IFERROR(__xludf.DUMMYFUNCTION("iferror(divide(googlefinance($B932,""marketcap""),1000000),"""")"),107.056201)</f>
        <v>107.056201</v>
      </c>
      <c r="D932" s="72">
        <f>IFERROR(__xludf.DUMMYFUNCTION("iferror(divide(googlefinance($B932,""shares""),1000),"""")"),18948.0)</f>
        <v>18948</v>
      </c>
      <c r="E932" s="72">
        <f>IFERROR(__xludf.DUMMYFUNCTION("iferror(divide(googlefinance($B932,""volumeavg""),1000),"""")"),327.745)</f>
        <v>327.745</v>
      </c>
      <c r="F932" s="73">
        <f>IFERROR(__xludf.DUMMYFUNCTION("iferror(MINUS(divide(GOOGLEFINANCE($B932), INDEX(GOOGLEFINANCE($B932,""price"",today()-182),2,2)),1),"""")"),1.3739495798319332)</f>
        <v>1.37394958</v>
      </c>
      <c r="G932" s="61">
        <f>IFERROR(__xludf.DUMMYFUNCTION("iferror(MINUS(divide(GOOGLEFINANCE($B932), INDEX(GOOGLEFINANCE($B932,""price"",today()-364),2,2)),1),"""")"),-0.1199376947040498)</f>
        <v>-0.1199376947</v>
      </c>
    </row>
    <row r="933">
      <c r="A933" s="71">
        <f t="shared" si="4"/>
        <v>929</v>
      </c>
      <c r="B933" s="47" t="s">
        <v>1066</v>
      </c>
      <c r="C933" s="72">
        <f>IFERROR(__xludf.DUMMYFUNCTION("iferror(divide(googlefinance($B933,""marketcap""),1000000),"""")"),216604.197696)</f>
        <v>216604.1977</v>
      </c>
      <c r="D933" s="72">
        <f>IFERROR(__xludf.DUMMYFUNCTION("iferror(divide(googlefinance($B933,""shares""),1000),"""")"),2529241.0)</f>
        <v>2529241</v>
      </c>
      <c r="E933" s="72">
        <f>IFERROR(__xludf.DUMMYFUNCTION("iferror(divide(googlefinance($B933,""volumeavg""),1000),"""")"),7649.803)</f>
        <v>7649.803</v>
      </c>
      <c r="F933" s="73">
        <f>IFERROR(__xludf.DUMMYFUNCTION("iferror(MINUS(divide(GOOGLEFINANCE($B933), INDEX(GOOGLEFINANCE($B933,""price"",today()-182),2,2)),1),"""")"),0.20011210762331832)</f>
        <v>0.2001121076</v>
      </c>
      <c r="G933" s="61">
        <f>IFERROR(__xludf.DUMMYFUNCTION("iferror(MINUS(divide(GOOGLEFINANCE($B933), INDEX(GOOGLEFINANCE($B933,""price"",today()-364),2,2)),1),"""")"),0.005636449037106583)</f>
        <v>0.005636449037</v>
      </c>
    </row>
    <row r="934">
      <c r="A934" s="71">
        <f t="shared" si="4"/>
        <v>930</v>
      </c>
      <c r="B934" s="47" t="s">
        <v>1067</v>
      </c>
      <c r="C934" s="72">
        <f>IFERROR(__xludf.DUMMYFUNCTION("iferror(divide(googlefinance($B934,""marketcap""),1000000),"""")"),26788.511189)</f>
        <v>26788.51119</v>
      </c>
      <c r="D934" s="72">
        <f>IFERROR(__xludf.DUMMYFUNCTION("iferror(divide(googlefinance($B934,""shares""),1000),"""")"),394587.0)</f>
        <v>394587</v>
      </c>
      <c r="E934" s="72">
        <f>IFERROR(__xludf.DUMMYFUNCTION("iferror(divide(googlefinance($B934,""volumeavg""),1000),"""")"),12710.961)</f>
        <v>12710.961</v>
      </c>
      <c r="F934" s="73">
        <f>IFERROR(__xludf.DUMMYFUNCTION("iferror(MINUS(divide(GOOGLEFINANCE($B934), INDEX(GOOGLEFINANCE($B934,""price"",today()-182),2,2)),1),"""")"),1.4074468085106382)</f>
        <v>1.407446809</v>
      </c>
      <c r="G934" s="61">
        <f>IFERROR(__xludf.DUMMYFUNCTION("iferror(MINUS(divide(GOOGLEFINANCE($B934), INDEX(GOOGLEFINANCE($B934,""price"",today()-364),2,2)),1),"""")"),2.757055893746541)</f>
        <v>2.757055894</v>
      </c>
    </row>
    <row r="935">
      <c r="A935" s="71">
        <f t="shared" si="4"/>
        <v>931</v>
      </c>
      <c r="B935" s="47" t="s">
        <v>1068</v>
      </c>
      <c r="C935" s="72">
        <f>IFERROR(__xludf.DUMMYFUNCTION("iferror(divide(googlefinance($B935,""marketcap""),1000000),"""")"),392.855628)</f>
        <v>392.855628</v>
      </c>
      <c r="D935" s="72">
        <f>IFERROR(__xludf.DUMMYFUNCTION("iferror(divide(googlefinance($B935,""shares""),1000),"""")"),122195.0)</f>
        <v>122195</v>
      </c>
      <c r="E935" s="72">
        <f>IFERROR(__xludf.DUMMYFUNCTION("iferror(divide(googlefinance($B935,""volumeavg""),1000),"""")"),8060.958)</f>
        <v>8060.958</v>
      </c>
      <c r="F935" s="73">
        <f>IFERROR(__xludf.DUMMYFUNCTION("iferror(MINUS(divide(GOOGLEFINANCE($B935), INDEX(GOOGLEFINANCE($B935,""price"",today()-182),2,2)),1),"""")"),0.5333333333333334)</f>
        <v>0.5333333333</v>
      </c>
      <c r="G935" s="61">
        <f>IFERROR(__xludf.DUMMYFUNCTION("iferror(MINUS(divide(GOOGLEFINANCE($B935), INDEX(GOOGLEFINANCE($B935,""price"",today()-364),2,2)),1),"""")"),1.251748251748252)</f>
        <v>1.251748252</v>
      </c>
    </row>
    <row r="936">
      <c r="A936" s="71">
        <f t="shared" si="4"/>
        <v>932</v>
      </c>
      <c r="B936" s="47" t="s">
        <v>1069</v>
      </c>
      <c r="C936" s="72">
        <f>IFERROR(__xludf.DUMMYFUNCTION("iferror(divide(googlefinance($B936,""marketcap""),1000000),"""")"),1657.695418)</f>
        <v>1657.695418</v>
      </c>
      <c r="D936" s="72">
        <f>IFERROR(__xludf.DUMMYFUNCTION("iferror(divide(googlefinance($B936,""shares""),1000),"""")"),68415.0)</f>
        <v>68415</v>
      </c>
      <c r="E936" s="72">
        <f>IFERROR(__xludf.DUMMYFUNCTION("iferror(divide(googlefinance($B936,""volumeavg""),1000),"""")"),881.705)</f>
        <v>881.705</v>
      </c>
      <c r="F936" s="73">
        <f>IFERROR(__xludf.DUMMYFUNCTION("iferror(MINUS(divide(GOOGLEFINANCE($B936), INDEX(GOOGLEFINANCE($B936,""price"",today()-182),2,2)),1),"""")"),4.494331065759637)</f>
        <v>4.494331066</v>
      </c>
      <c r="G936" s="61">
        <f>IFERROR(__xludf.DUMMYFUNCTION("iferror(MINUS(divide(GOOGLEFINANCE($B936), INDEX(GOOGLEFINANCE($B936,""price"",today()-364),2,2)),1),"""")"),12.845714285714285)</f>
        <v>12.84571429</v>
      </c>
    </row>
    <row r="937">
      <c r="A937" s="71">
        <f t="shared" si="4"/>
        <v>933</v>
      </c>
      <c r="B937" s="47" t="s">
        <v>1070</v>
      </c>
      <c r="C937" s="72">
        <f>IFERROR(__xludf.DUMMYFUNCTION("iferror(divide(googlefinance($B937,""marketcap""),1000000),"""")"),1398.657966)</f>
        <v>1398.657966</v>
      </c>
      <c r="D937" s="72">
        <f>IFERROR(__xludf.DUMMYFUNCTION("iferror(divide(googlefinance($B937,""shares""),1000),"""")"),82663.0)</f>
        <v>82663</v>
      </c>
      <c r="E937" s="72">
        <f>IFERROR(__xludf.DUMMYFUNCTION("iferror(divide(googlefinance($B937,""volumeavg""),1000),"""")"),322.81)</f>
        <v>322.81</v>
      </c>
      <c r="F937" s="73">
        <f>IFERROR(__xludf.DUMMYFUNCTION("iferror(MINUS(divide(GOOGLEFINANCE($B937), INDEX(GOOGLEFINANCE($B937,""price"",today()-182),2,2)),1),"""")"),0.5013309671694768)</f>
        <v>0.5013309672</v>
      </c>
      <c r="G937" s="61">
        <f>IFERROR(__xludf.DUMMYFUNCTION("iferror(MINUS(divide(GOOGLEFINANCE($B937), INDEX(GOOGLEFINANCE($B937,""price"",today()-364),2,2)),1),"""")"),0.1898734177215191)</f>
        <v>0.1898734177</v>
      </c>
    </row>
    <row r="938">
      <c r="A938" s="71">
        <f t="shared" si="4"/>
        <v>934</v>
      </c>
      <c r="B938" s="47" t="s">
        <v>1071</v>
      </c>
      <c r="C938" s="72">
        <f>IFERROR(__xludf.DUMMYFUNCTION("iferror(divide(googlefinance($B938,""marketcap""),1000000),"""")"),7214.305824)</f>
        <v>7214.305824</v>
      </c>
      <c r="D938" s="72">
        <f>IFERROR(__xludf.DUMMYFUNCTION("iferror(divide(googlefinance($B938,""shares""),1000),"""")"),44541.0)</f>
        <v>44541</v>
      </c>
      <c r="E938" s="72">
        <f>IFERROR(__xludf.DUMMYFUNCTION("iferror(divide(googlefinance($B938,""volumeavg""),1000),"""")"),397.642)</f>
        <v>397.642</v>
      </c>
      <c r="F938" s="73">
        <f>IFERROR(__xludf.DUMMYFUNCTION("iferror(MINUS(divide(GOOGLEFINANCE($B938), INDEX(GOOGLEFINANCE($B938,""price"",today()-182),2,2)),1),"""")"),1.2586807976572305)</f>
        <v>1.258680798</v>
      </c>
      <c r="G938" s="61">
        <f>IFERROR(__xludf.DUMMYFUNCTION("iferror(MINUS(divide(GOOGLEFINANCE($B938), INDEX(GOOGLEFINANCE($B938,""price"",today()-364),2,2)),1),"""")"),0.7334118150684932)</f>
        <v>0.7334118151</v>
      </c>
    </row>
    <row r="939">
      <c r="A939" s="71">
        <f t="shared" si="4"/>
        <v>935</v>
      </c>
      <c r="B939" s="47" t="s">
        <v>1072</v>
      </c>
      <c r="C939" s="72">
        <f>IFERROR(__xludf.DUMMYFUNCTION("iferror(divide(googlefinance($B939,""marketcap""),1000000),"""")"),338.514038)</f>
        <v>338.514038</v>
      </c>
      <c r="D939" s="72">
        <f>IFERROR(__xludf.DUMMYFUNCTION("iferror(divide(googlefinance($B939,""shares""),1000),"""")"),29057.0)</f>
        <v>29057</v>
      </c>
      <c r="E939" s="72">
        <f>IFERROR(__xludf.DUMMYFUNCTION("iferror(divide(googlefinance($B939,""volumeavg""),1000),"""")"),78.251)</f>
        <v>78.251</v>
      </c>
      <c r="F939" s="73">
        <f>IFERROR(__xludf.DUMMYFUNCTION("iferror(MINUS(divide(GOOGLEFINANCE($B939), INDEX(GOOGLEFINANCE($B939,""price"",today()-182),2,2)),1),"""")"),-0.029975020815986686)</f>
        <v>-0.02997502082</v>
      </c>
      <c r="G939" s="61">
        <f>IFERROR(__xludf.DUMMYFUNCTION("iferror(MINUS(divide(GOOGLEFINANCE($B939), INDEX(GOOGLEFINANCE($B939,""price"",today()-364),2,2)),1),"""")"),-0.4175)</f>
        <v>-0.4175</v>
      </c>
    </row>
    <row r="940">
      <c r="A940" s="71">
        <f t="shared" si="4"/>
        <v>936</v>
      </c>
      <c r="B940" s="47" t="s">
        <v>1073</v>
      </c>
      <c r="C940" s="72">
        <f>IFERROR(__xludf.DUMMYFUNCTION("iferror(divide(googlefinance($B940,""marketcap""),1000000),"""")"),25938.544027)</f>
        <v>25938.54403</v>
      </c>
      <c r="D940" s="72">
        <f>IFERROR(__xludf.DUMMYFUNCTION("iferror(divide(googlefinance($B940,""shares""),1000),"""")"),670160.0)</f>
        <v>670160</v>
      </c>
      <c r="E940" s="72">
        <f>IFERROR(__xludf.DUMMYFUNCTION("iferror(divide(googlefinance($B940,""volumeavg""),1000),"""")"),8453.61)</f>
        <v>8453.61</v>
      </c>
      <c r="F940" s="73">
        <f>IFERROR(__xludf.DUMMYFUNCTION("iferror(MINUS(divide(GOOGLEFINANCE($B940), INDEX(GOOGLEFINANCE($B940,""price"",today()-182),2,2)),1),"""")"),1.0733797536154257)</f>
        <v>1.073379754</v>
      </c>
      <c r="G940" s="61">
        <f>IFERROR(__xludf.DUMMYFUNCTION("iferror(MINUS(divide(GOOGLEFINANCE($B940), INDEX(GOOGLEFINANCE($B940,""price"",today()-364),2,2)),1),"""")"),0.5583735909822867)</f>
        <v>0.558373591</v>
      </c>
    </row>
    <row r="941">
      <c r="A941" s="71">
        <f t="shared" si="4"/>
        <v>937</v>
      </c>
      <c r="B941" s="47" t="s">
        <v>1074</v>
      </c>
      <c r="C941" s="72">
        <f>IFERROR(__xludf.DUMMYFUNCTION("iferror(divide(googlefinance($B941,""marketcap""),1000000),"""")"),4.09804)</f>
        <v>4.09804</v>
      </c>
      <c r="D941" s="72">
        <f>IFERROR(__xludf.DUMMYFUNCTION("iferror(divide(googlefinance($B941,""shares""),1000),"""")"),186274.557)</f>
        <v>186274.557</v>
      </c>
      <c r="E941" s="72">
        <f>IFERROR(__xludf.DUMMYFUNCTION("iferror(divide(googlefinance($B941,""volumeavg""),1000),"""")"),262.291)</f>
        <v>262.291</v>
      </c>
      <c r="F941" s="73">
        <f>IFERROR(__xludf.DUMMYFUNCTION("iferror(MINUS(divide(GOOGLEFINANCE($B941), INDEX(GOOGLEFINANCE($B941,""price"",today()-182),2,2)),1),"""")"),1.0)</f>
        <v>1</v>
      </c>
      <c r="G941" s="61">
        <f>IFERROR(__xludf.DUMMYFUNCTION("iferror(MINUS(divide(GOOGLEFINANCE($B941), INDEX(GOOGLEFINANCE($B941,""price"",today()-364),2,2)),1),"""")"),0.0)</f>
        <v>0</v>
      </c>
    </row>
    <row r="942">
      <c r="A942" s="71">
        <f t="shared" si="4"/>
        <v>938</v>
      </c>
      <c r="B942" s="47" t="s">
        <v>1075</v>
      </c>
      <c r="C942" s="72">
        <f>IFERROR(__xludf.DUMMYFUNCTION("iferror(divide(googlefinance($B942,""marketcap""),1000000),"""")"),14040.960726)</f>
        <v>14040.96073</v>
      </c>
      <c r="D942" s="72">
        <f>IFERROR(__xludf.DUMMYFUNCTION("iferror(divide(googlefinance($B942,""shares""),1000),"""")"),1021904.0)</f>
        <v>1021904</v>
      </c>
      <c r="E942" s="72">
        <f>IFERROR(__xludf.DUMMYFUNCTION("iferror(divide(googlefinance($B942,""volumeavg""),1000),"""")"),3461.687)</f>
        <v>3461.687</v>
      </c>
      <c r="F942" s="73">
        <f>IFERROR(__xludf.DUMMYFUNCTION("iferror(MINUS(divide(GOOGLEFINANCE($B942), INDEX(GOOGLEFINANCE($B942,""price"",today()-182),2,2)),1),"""")"),0.7751937984496124)</f>
        <v>0.7751937984</v>
      </c>
      <c r="G942" s="61">
        <f>IFERROR(__xludf.DUMMYFUNCTION("iferror(MINUS(divide(GOOGLEFINANCE($B942), INDEX(GOOGLEFINANCE($B942,""price"",today()-364),2,2)),1),"""")"),-0.08582834331337319)</f>
        <v>-0.08582834331</v>
      </c>
    </row>
    <row r="943">
      <c r="A943" s="71">
        <f t="shared" si="4"/>
        <v>939</v>
      </c>
      <c r="B943" s="47" t="s">
        <v>1076</v>
      </c>
      <c r="C943" s="72">
        <f>IFERROR(__xludf.DUMMYFUNCTION("iferror(divide(googlefinance($B943,""marketcap""),1000000),"""")"),638.963209)</f>
        <v>638.963209</v>
      </c>
      <c r="D943" s="72">
        <f>IFERROR(__xludf.DUMMYFUNCTION("iferror(divide(googlefinance($B943,""shares""),1000),"""")"),49919.0)</f>
        <v>49919</v>
      </c>
      <c r="E943" s="72">
        <f>IFERROR(__xludf.DUMMYFUNCTION("iferror(divide(googlefinance($B943,""volumeavg""),1000),"""")"),326.865)</f>
        <v>326.865</v>
      </c>
      <c r="F943" s="73">
        <f>IFERROR(__xludf.DUMMYFUNCTION("iferror(MINUS(divide(GOOGLEFINANCE($B943), INDEX(GOOGLEFINANCE($B943,""price"",today()-182),2,2)),1),"""")"),-0.01765157329240208)</f>
        <v>-0.01765157329</v>
      </c>
      <c r="G943" s="61">
        <f>IFERROR(__xludf.DUMMYFUNCTION("iferror(MINUS(divide(GOOGLEFINANCE($B943), INDEX(GOOGLEFINANCE($B943,""price"",today()-364),2,2)),1),"""")"),0.8577648766328014)</f>
        <v>0.8577648766</v>
      </c>
    </row>
    <row r="944">
      <c r="A944" s="71">
        <f t="shared" si="4"/>
        <v>940</v>
      </c>
      <c r="B944" s="47" t="s">
        <v>1077</v>
      </c>
      <c r="C944" s="72">
        <f>IFERROR(__xludf.DUMMYFUNCTION("iferror(divide(googlefinance($B944,""marketcap""),1000000),"""")"),3826.58312)</f>
        <v>3826.58312</v>
      </c>
      <c r="D944" s="72">
        <f>IFERROR(__xludf.DUMMYFUNCTION("iferror(divide(googlefinance($B944,""shares""),1000),"""")"),37604.0)</f>
        <v>37604</v>
      </c>
      <c r="E944" s="72">
        <f>IFERROR(__xludf.DUMMYFUNCTION("iferror(divide(googlefinance($B944,""volumeavg""),1000),"""")"),357.053)</f>
        <v>357.053</v>
      </c>
      <c r="F944" s="73">
        <f>IFERROR(__xludf.DUMMYFUNCTION("iferror(MINUS(divide(GOOGLEFINANCE($B944), INDEX(GOOGLEFINANCE($B944,""price"",today()-182),2,2)),1),"""")"),2.25632)</f>
        <v>2.25632</v>
      </c>
      <c r="G944" s="61">
        <f>IFERROR(__xludf.DUMMYFUNCTION("iferror(MINUS(divide(GOOGLEFINANCE($B944), INDEX(GOOGLEFINANCE($B944,""price"",today()-364),2,2)),1),"""")"),0.44751066856330035)</f>
        <v>0.4475106686</v>
      </c>
    </row>
    <row r="945">
      <c r="A945" s="71">
        <f t="shared" si="4"/>
        <v>941</v>
      </c>
      <c r="B945" s="47" t="s">
        <v>1078</v>
      </c>
      <c r="C945" s="72">
        <f>IFERROR(__xludf.DUMMYFUNCTION("iferror(divide(googlefinance($B945,""marketcap""),1000000),"""")"),469.29021)</f>
        <v>469.29021</v>
      </c>
      <c r="D945" s="72">
        <f>IFERROR(__xludf.DUMMYFUNCTION("iferror(divide(googlefinance($B945,""shares""),1000),"""")"),416271.0)</f>
        <v>416271</v>
      </c>
      <c r="E945" s="72">
        <f>IFERROR(__xludf.DUMMYFUNCTION("iferror(divide(googlefinance($B945,""volumeavg""),1000),"""")"),64.428)</f>
        <v>64.428</v>
      </c>
      <c r="F945" s="73">
        <f>IFERROR(__xludf.DUMMYFUNCTION("iferror(MINUS(divide(GOOGLEFINANCE($B945), INDEX(GOOGLEFINANCE($B945,""price"",today()-182),2,2)),1),"""")"),0.2384615384615385)</f>
        <v>0.2384615385</v>
      </c>
      <c r="G945" s="61">
        <f>IFERROR(__xludf.DUMMYFUNCTION("iferror(MINUS(divide(GOOGLEFINANCE($B945), INDEX(GOOGLEFINANCE($B945,""price"",today()-364),2,2)),1),"""")"),-0.21463414634146327)</f>
        <v>-0.2146341463</v>
      </c>
    </row>
    <row r="946">
      <c r="A946" s="71">
        <f t="shared" si="4"/>
        <v>942</v>
      </c>
      <c r="B946" s="47" t="s">
        <v>1079</v>
      </c>
      <c r="C946" s="72">
        <f>IFERROR(__xludf.DUMMYFUNCTION("iferror(divide(googlefinance($B946,""marketcap""),1000000),"""")"),8797.603736)</f>
        <v>8797.603736</v>
      </c>
      <c r="D946" s="72">
        <f>IFERROR(__xludf.DUMMYFUNCTION("iferror(divide(googlefinance($B946,""shares""),1000),"""")"),40122.0)</f>
        <v>40122</v>
      </c>
      <c r="E946" s="72">
        <f>IFERROR(__xludf.DUMMYFUNCTION("iferror(divide(googlefinance($B946,""volumeavg""),1000),"""")"),411.861)</f>
        <v>411.861</v>
      </c>
      <c r="F946" s="73">
        <f>IFERROR(__xludf.DUMMYFUNCTION("iferror(MINUS(divide(GOOGLEFINANCE($B946), INDEX(GOOGLEFINANCE($B946,""price"",today()-182),2,2)),1),"""")"),0.5111647139903517)</f>
        <v>0.511164714</v>
      </c>
      <c r="G946" s="61">
        <f>IFERROR(__xludf.DUMMYFUNCTION("iferror(MINUS(divide(GOOGLEFINANCE($B946), INDEX(GOOGLEFINANCE($B946,""price"",today()-364),2,2)),1),"""")"),-0.07006234361084007)</f>
        <v>-0.07006234361</v>
      </c>
    </row>
    <row r="947">
      <c r="A947" s="71">
        <f t="shared" si="4"/>
        <v>943</v>
      </c>
      <c r="B947" s="47" t="s">
        <v>1080</v>
      </c>
      <c r="C947" s="72">
        <f>IFERROR(__xludf.DUMMYFUNCTION("iferror(divide(googlefinance($B947,""marketcap""),1000000),"""")"),230.468343)</f>
        <v>230.468343</v>
      </c>
      <c r="D947" s="72">
        <f>IFERROR(__xludf.DUMMYFUNCTION("iferror(divide(googlefinance($B947,""shares""),1000),"""")"),26460.0)</f>
        <v>26460</v>
      </c>
      <c r="E947" s="72">
        <f>IFERROR(__xludf.DUMMYFUNCTION("iferror(divide(googlefinance($B947,""volumeavg""),1000),"""")"),126.754)</f>
        <v>126.754</v>
      </c>
      <c r="F947" s="73">
        <f>IFERROR(__xludf.DUMMYFUNCTION("iferror(MINUS(divide(GOOGLEFINANCE($B947), INDEX(GOOGLEFINANCE($B947,""price"",today()-182),2,2)),1),"""")"),0.029550827423167947)</f>
        <v>0.02955082742</v>
      </c>
      <c r="G947" s="61">
        <f>IFERROR(__xludf.DUMMYFUNCTION("iferror(MINUS(divide(GOOGLEFINANCE($B947), INDEX(GOOGLEFINANCE($B947,""price"",today()-364),2,2)),1),"""")"),-0.4941927990708478)</f>
        <v>-0.4941927991</v>
      </c>
    </row>
    <row r="948">
      <c r="A948" s="71">
        <f t="shared" si="4"/>
        <v>944</v>
      </c>
      <c r="B948" s="47" t="s">
        <v>1081</v>
      </c>
      <c r="C948" s="72">
        <f>IFERROR(__xludf.DUMMYFUNCTION("iferror(divide(googlefinance($B948,""marketcap""),1000000),"""")"),2193.159211)</f>
        <v>2193.159211</v>
      </c>
      <c r="D948" s="72">
        <f>IFERROR(__xludf.DUMMYFUNCTION("iferror(divide(googlefinance($B948,""shares""),1000),"""")"),66885.0)</f>
        <v>66885</v>
      </c>
      <c r="E948" s="72">
        <f>IFERROR(__xludf.DUMMYFUNCTION("iferror(divide(googlefinance($B948,""volumeavg""),1000),"""")"),497.14)</f>
        <v>497.14</v>
      </c>
      <c r="F948" s="73">
        <f>IFERROR(__xludf.DUMMYFUNCTION("iferror(MINUS(divide(GOOGLEFINANCE($B948), INDEX(GOOGLEFINANCE($B948,""price"",today()-182),2,2)),1),"""")"),1.0328580285182891)</f>
        <v>1.032858029</v>
      </c>
      <c r="G948" s="61">
        <f>IFERROR(__xludf.DUMMYFUNCTION("iferror(MINUS(divide(GOOGLEFINANCE($B948), INDEX(GOOGLEFINANCE($B948,""price"",today()-364),2,2)),1),"""")"),0.4904545454545455)</f>
        <v>0.4904545455</v>
      </c>
    </row>
    <row r="949">
      <c r="A949" s="71">
        <f t="shared" si="4"/>
        <v>945</v>
      </c>
      <c r="B949" s="47" t="s">
        <v>1082</v>
      </c>
      <c r="C949" s="72">
        <f>IFERROR(__xludf.DUMMYFUNCTION("iferror(divide(googlefinance($B949,""marketcap""),1000000),"""")"),314.831516)</f>
        <v>314.831516</v>
      </c>
      <c r="D949" s="72">
        <f>IFERROR(__xludf.DUMMYFUNCTION("iferror(divide(googlefinance($B949,""shares""),1000),"""")"),34521.0)</f>
        <v>34521</v>
      </c>
      <c r="E949" s="72">
        <f>IFERROR(__xludf.DUMMYFUNCTION("iferror(divide(googlefinance($B949,""volumeavg""),1000),"""")"),356.495)</f>
        <v>356.495</v>
      </c>
      <c r="F949" s="73">
        <f>IFERROR(__xludf.DUMMYFUNCTION("iferror(MINUS(divide(GOOGLEFINANCE($B949), INDEX(GOOGLEFINANCE($B949,""price"",today()-182),2,2)),1),"""")"),-0.06938775510204098)</f>
        <v>-0.0693877551</v>
      </c>
      <c r="G949" s="61">
        <f>IFERROR(__xludf.DUMMYFUNCTION("iferror(MINUS(divide(GOOGLEFINANCE($B949), INDEX(GOOGLEFINANCE($B949,""price"",today()-364),2,2)),1),"""")"),-0.31117824773413905)</f>
        <v>-0.3111782477</v>
      </c>
    </row>
    <row r="950">
      <c r="A950" s="71">
        <f t="shared" si="4"/>
        <v>946</v>
      </c>
      <c r="B950" s="47" t="s">
        <v>1083</v>
      </c>
      <c r="C950" s="72">
        <f>IFERROR(__xludf.DUMMYFUNCTION("iferror(divide(googlefinance($B950,""marketcap""),1000000),"""")"),1708.047246)</f>
        <v>1708.047246</v>
      </c>
      <c r="D950" s="72">
        <f>IFERROR(__xludf.DUMMYFUNCTION("iferror(divide(googlefinance($B950,""shares""),1000),"""")"),34120.0)</f>
        <v>34120</v>
      </c>
      <c r="E950" s="72">
        <f>IFERROR(__xludf.DUMMYFUNCTION("iferror(divide(googlefinance($B950,""volumeavg""),1000),"""")"),106.459)</f>
        <v>106.459</v>
      </c>
      <c r="F950" s="73">
        <f>IFERROR(__xludf.DUMMYFUNCTION("iferror(MINUS(divide(GOOGLEFINANCE($B950), INDEX(GOOGLEFINANCE($B950,""price"",today()-182),2,2)),1),"""")"),0.6477946017116525)</f>
        <v>0.6477946017</v>
      </c>
      <c r="G950" s="61">
        <f>IFERROR(__xludf.DUMMYFUNCTION("iferror(MINUS(divide(GOOGLEFINANCE($B950), INDEX(GOOGLEFINANCE($B950,""price"",today()-364),2,2)),1),"""")"),-0.059906103286384904)</f>
        <v>-0.05990610329</v>
      </c>
    </row>
    <row r="951">
      <c r="A951" s="71">
        <f t="shared" si="4"/>
        <v>947</v>
      </c>
      <c r="B951" s="47" t="s">
        <v>1084</v>
      </c>
      <c r="C951" s="72">
        <f>IFERROR(__xludf.DUMMYFUNCTION("iferror(divide(googlefinance($B951,""marketcap""),1000000),"""")"),3306.308287)</f>
        <v>3306.308287</v>
      </c>
      <c r="D951" s="72">
        <f>IFERROR(__xludf.DUMMYFUNCTION("iferror(divide(googlefinance($B951,""shares""),1000),"""")"),73818.0)</f>
        <v>73818</v>
      </c>
      <c r="E951" s="72">
        <f>IFERROR(__xludf.DUMMYFUNCTION("iferror(divide(googlefinance($B951,""volumeavg""),1000),"""")"),609.968)</f>
        <v>609.968</v>
      </c>
      <c r="F951" s="73">
        <f>IFERROR(__xludf.DUMMYFUNCTION("iferror(MINUS(divide(GOOGLEFINANCE($B951), INDEX(GOOGLEFINANCE($B951,""price"",today()-182),2,2)),1),"""")"),0.6750186985789082)</f>
        <v>0.6750186986</v>
      </c>
      <c r="G951" s="61">
        <f>IFERROR(__xludf.DUMMYFUNCTION("iferror(MINUS(divide(GOOGLEFINANCE($B951), INDEX(GOOGLEFINANCE($B951,""price"",today()-364),2,2)),1),"""")"),-0.2909608991609942)</f>
        <v>-0.2909608992</v>
      </c>
    </row>
    <row r="952">
      <c r="A952" s="71">
        <f t="shared" si="4"/>
        <v>948</v>
      </c>
      <c r="B952" s="47" t="s">
        <v>1085</v>
      </c>
      <c r="C952" s="72">
        <f>IFERROR(__xludf.DUMMYFUNCTION("iferror(divide(googlefinance($B952,""marketcap""),1000000),"""")"),56638.677531)</f>
        <v>56638.67753</v>
      </c>
      <c r="D952" s="72">
        <f>IFERROR(__xludf.DUMMYFUNCTION("iferror(divide(googlefinance($B952,""shares""),1000),"""")"),1110998.0)</f>
        <v>1110998</v>
      </c>
      <c r="E952" s="72">
        <f>IFERROR(__xludf.DUMMYFUNCTION("iferror(divide(googlefinance($B952,""volumeavg""),1000),"""")"),19177.073)</f>
        <v>19177.073</v>
      </c>
      <c r="F952" s="73">
        <f>IFERROR(__xludf.DUMMYFUNCTION("iferror(MINUS(divide(GOOGLEFINANCE($B952), INDEX(GOOGLEFINANCE($B952,""price"",today()-182),2,2)),1),"""")"),0.4117972860703405)</f>
        <v>0.4117972861</v>
      </c>
      <c r="G952" s="61">
        <f>IFERROR(__xludf.DUMMYFUNCTION("iferror(MINUS(divide(GOOGLEFINANCE($B952), INDEX(GOOGLEFINANCE($B952,""price"",today()-364),2,2)),1),"""")"),0.03702196908055333)</f>
        <v>0.03702196908</v>
      </c>
    </row>
    <row r="953">
      <c r="A953" s="71">
        <f t="shared" si="4"/>
        <v>949</v>
      </c>
      <c r="B953" s="47" t="s">
        <v>1086</v>
      </c>
      <c r="C953" s="72">
        <f>IFERROR(__xludf.DUMMYFUNCTION("iferror(divide(googlefinance($B953,""marketcap""),1000000),"""")"),3993.301097)</f>
        <v>3993.301097</v>
      </c>
      <c r="D953" s="72">
        <f>IFERROR(__xludf.DUMMYFUNCTION("iferror(divide(googlefinance($B953,""shares""),1000),"""")"),29178.0)</f>
        <v>29178</v>
      </c>
      <c r="E953" s="72">
        <f>IFERROR(__xludf.DUMMYFUNCTION("iferror(divide(googlefinance($B953,""volumeavg""),1000),"""")"),260.716)</f>
        <v>260.716</v>
      </c>
      <c r="F953" s="73">
        <f>IFERROR(__xludf.DUMMYFUNCTION("iferror(MINUS(divide(GOOGLEFINANCE($B953), INDEX(GOOGLEFINANCE($B953,""price"",today()-182),2,2)),1),"""")"),0.4642131165079706)</f>
        <v>0.4642131165</v>
      </c>
      <c r="G953" s="61">
        <f>IFERROR(__xludf.DUMMYFUNCTION("iferror(MINUS(divide(GOOGLEFINANCE($B953), INDEX(GOOGLEFINANCE($B953,""price"",today()-364),2,2)),1),"""")"),0.5770914957363449)</f>
        <v>0.5770914957</v>
      </c>
    </row>
    <row r="954">
      <c r="A954" s="71">
        <f t="shared" si="4"/>
        <v>950</v>
      </c>
      <c r="B954" s="47" t="s">
        <v>1087</v>
      </c>
      <c r="C954" s="72">
        <f>IFERROR(__xludf.DUMMYFUNCTION("iferror(divide(googlefinance($B954,""marketcap""),1000000),"""")"),462.86349)</f>
        <v>462.86349</v>
      </c>
      <c r="D954" s="72">
        <f>IFERROR(__xludf.DUMMYFUNCTION("iferror(divide(googlefinance($B954,""shares""),1000),"""")"),402490.0)</f>
        <v>402490</v>
      </c>
      <c r="E954" s="72">
        <f>IFERROR(__xludf.DUMMYFUNCTION("iferror(divide(googlefinance($B954,""volumeavg""),1000),"""")"),4799.274)</f>
        <v>4799.274</v>
      </c>
      <c r="F954" s="73">
        <f>IFERROR(__xludf.DUMMYFUNCTION("iferror(MINUS(divide(GOOGLEFINANCE($B954), INDEX(GOOGLEFINANCE($B954,""price"",today()-182),2,2)),1),"""")"),0.9827586206896552)</f>
        <v>0.9827586207</v>
      </c>
      <c r="G954" s="61">
        <f>IFERROR(__xludf.DUMMYFUNCTION("iferror(MINUS(divide(GOOGLEFINANCE($B954), INDEX(GOOGLEFINANCE($B954,""price"",today()-364),2,2)),1),"""")"),-0.3502824858757063)</f>
        <v>-0.3502824859</v>
      </c>
    </row>
    <row r="955">
      <c r="A955" s="71">
        <f t="shared" si="4"/>
        <v>951</v>
      </c>
      <c r="B955" s="47" t="s">
        <v>1088</v>
      </c>
      <c r="C955" s="72">
        <f>IFERROR(__xludf.DUMMYFUNCTION("iferror(divide(googlefinance($B955,""marketcap""),1000000),"""")"),461.653561)</f>
        <v>461.653561</v>
      </c>
      <c r="D955" s="72">
        <f>IFERROR(__xludf.DUMMYFUNCTION("iferror(divide(googlefinance($B955,""shares""),1000),"""")"),35160.0)</f>
        <v>35160</v>
      </c>
      <c r="E955" s="72">
        <f>IFERROR(__xludf.DUMMYFUNCTION("iferror(divide(googlefinance($B955,""volumeavg""),1000),"""")"),328.912)</f>
        <v>328.912</v>
      </c>
      <c r="F955" s="73">
        <f>IFERROR(__xludf.DUMMYFUNCTION("iferror(MINUS(divide(GOOGLEFINANCE($B955), INDEX(GOOGLEFINANCE($B955,""price"",today()-182),2,2)),1),"""")"),0.6833333333333336)</f>
        <v>0.6833333333</v>
      </c>
      <c r="G955" s="61">
        <f>IFERROR(__xludf.DUMMYFUNCTION("iferror(MINUS(divide(GOOGLEFINANCE($B955), INDEX(GOOGLEFINANCE($B955,""price"",today()-364),2,2)),1),"""")"),0.22595704948646134)</f>
        <v>0.2259570495</v>
      </c>
    </row>
    <row r="956">
      <c r="A956" s="71">
        <f t="shared" si="4"/>
        <v>952</v>
      </c>
      <c r="B956" s="47" t="s">
        <v>1089</v>
      </c>
      <c r="C956" s="72">
        <f>IFERROR(__xludf.DUMMYFUNCTION("iferror(divide(googlefinance($B956,""marketcap""),1000000),"""")"),17871.441031)</f>
        <v>17871.44103</v>
      </c>
      <c r="D956" s="72">
        <f>IFERROR(__xludf.DUMMYFUNCTION("iferror(divide(googlefinance($B956,""shares""),1000),"""")"),266977.0)</f>
        <v>266977</v>
      </c>
      <c r="E956" s="72">
        <f>IFERROR(__xludf.DUMMYFUNCTION("iferror(divide(googlefinance($B956,""volumeavg""),1000),"""")"),3593.071)</f>
        <v>3593.071</v>
      </c>
      <c r="F956" s="73">
        <f>IFERROR(__xludf.DUMMYFUNCTION("iferror(MINUS(divide(GOOGLEFINANCE($B956), INDEX(GOOGLEFINANCE($B956,""price"",today()-182),2,2)),1),"""")"),0.5172257479601088)</f>
        <v>0.517225748</v>
      </c>
      <c r="G956" s="61">
        <f>IFERROR(__xludf.DUMMYFUNCTION("iferror(MINUS(divide(GOOGLEFINANCE($B956), INDEX(GOOGLEFINANCE($B956,""price"",today()-364),2,2)),1),"""")"),0.17541703248463558)</f>
        <v>0.1754170325</v>
      </c>
    </row>
    <row r="957">
      <c r="A957" s="71">
        <f t="shared" si="4"/>
        <v>953</v>
      </c>
      <c r="B957" s="47" t="s">
        <v>1090</v>
      </c>
      <c r="C957" s="72">
        <f>IFERROR(__xludf.DUMMYFUNCTION("iferror(divide(googlefinance($B957,""marketcap""),1000000),"""")"),1754.854373)</f>
        <v>1754.854373</v>
      </c>
      <c r="D957" s="72">
        <f>IFERROR(__xludf.DUMMYFUNCTION("iferror(divide(googlefinance($B957,""shares""),1000),"""")"),73920.0)</f>
        <v>73920</v>
      </c>
      <c r="E957" s="72">
        <f>IFERROR(__xludf.DUMMYFUNCTION("iferror(divide(googlefinance($B957,""volumeavg""),1000),"""")"),401.933)</f>
        <v>401.933</v>
      </c>
      <c r="F957" s="73">
        <f>IFERROR(__xludf.DUMMYFUNCTION("iferror(MINUS(divide(GOOGLEFINANCE($B957), INDEX(GOOGLEFINANCE($B957,""price"",today()-182),2,2)),1),"""")"),1.594535519125683)</f>
        <v>1.594535519</v>
      </c>
      <c r="G957" s="61">
        <f>IFERROR(__xludf.DUMMYFUNCTION("iferror(MINUS(divide(GOOGLEFINANCE($B957), INDEX(GOOGLEFINANCE($B957,""price"",today()-364),2,2)),1),"""")"),0.07566832804712265)</f>
        <v>0.07566832805</v>
      </c>
    </row>
    <row r="958">
      <c r="A958" s="71">
        <f t="shared" si="4"/>
        <v>954</v>
      </c>
      <c r="B958" s="47" t="s">
        <v>1091</v>
      </c>
      <c r="C958" s="72">
        <f>IFERROR(__xludf.DUMMYFUNCTION("iferror(divide(googlefinance($B958,""marketcap""),1000000),"""")"),936.850857)</f>
        <v>936.850857</v>
      </c>
      <c r="D958" s="72">
        <f>IFERROR(__xludf.DUMMYFUNCTION("iferror(divide(googlefinance($B958,""shares""),1000),"""")"),74709.0)</f>
        <v>74709</v>
      </c>
      <c r="E958" s="72">
        <f>IFERROR(__xludf.DUMMYFUNCTION("iferror(divide(googlefinance($B958,""volumeavg""),1000),"""")"),850.035)</f>
        <v>850.035</v>
      </c>
      <c r="F958" s="73">
        <f>IFERROR(__xludf.DUMMYFUNCTION("iferror(MINUS(divide(GOOGLEFINANCE($B958), INDEX(GOOGLEFINANCE($B958,""price"",today()-182),2,2)),1),"""")"),-0.0055511498810467685)</f>
        <v>-0.005551149881</v>
      </c>
      <c r="G958" s="61">
        <f>IFERROR(__xludf.DUMMYFUNCTION("iferror(MINUS(divide(GOOGLEFINANCE($B958), INDEX(GOOGLEFINANCE($B958,""price"",today()-364),2,2)),1),"""")"),-0.5406593406593407)</f>
        <v>-0.5406593407</v>
      </c>
    </row>
    <row r="959">
      <c r="A959" s="71">
        <f t="shared" si="4"/>
        <v>955</v>
      </c>
      <c r="B959" s="47" t="s">
        <v>1092</v>
      </c>
      <c r="C959" s="72">
        <f>IFERROR(__xludf.DUMMYFUNCTION("iferror(divide(googlefinance($B959,""marketcap""),1000000),"""")"),8353.861825)</f>
        <v>8353.861825</v>
      </c>
      <c r="D959" s="72">
        <f>IFERROR(__xludf.DUMMYFUNCTION("iferror(divide(googlefinance($B959,""shares""),1000),"""")"),516947.0)</f>
        <v>516947</v>
      </c>
      <c r="E959" s="72">
        <f>IFERROR(__xludf.DUMMYFUNCTION("iferror(divide(googlefinance($B959,""volumeavg""),1000),"""")"),5427.55)</f>
        <v>5427.55</v>
      </c>
      <c r="F959" s="73">
        <f>IFERROR(__xludf.DUMMYFUNCTION("iferror(MINUS(divide(GOOGLEFINANCE($B959), INDEX(GOOGLEFINANCE($B959,""price"",today()-182),2,2)),1),"""")"),0.059672131147541)</f>
        <v>0.05967213115</v>
      </c>
      <c r="G959" s="61">
        <f>IFERROR(__xludf.DUMMYFUNCTION("iferror(MINUS(divide(GOOGLEFINANCE($B959), INDEX(GOOGLEFINANCE($B959,""price"",today()-364),2,2)),1),"""")"),-0.2304761904761905)</f>
        <v>-0.2304761905</v>
      </c>
    </row>
    <row r="960">
      <c r="A960" s="71">
        <f t="shared" si="4"/>
        <v>956</v>
      </c>
      <c r="B960" s="47" t="s">
        <v>1093</v>
      </c>
      <c r="C960" s="72">
        <f>IFERROR(__xludf.DUMMYFUNCTION("iferror(divide(googlefinance($B960,""marketcap""),1000000),"""")"),6903.111011)</f>
        <v>6903.111011</v>
      </c>
      <c r="D960" s="72">
        <f>IFERROR(__xludf.DUMMYFUNCTION("iferror(divide(googlefinance($B960,""shares""),1000),"""")"),53003.0)</f>
        <v>53003</v>
      </c>
      <c r="E960" s="72">
        <f>IFERROR(__xludf.DUMMYFUNCTION("iferror(divide(googlefinance($B960,""volumeavg""),1000),"""")"),375.592)</f>
        <v>375.592</v>
      </c>
      <c r="F960" s="73">
        <f>IFERROR(__xludf.DUMMYFUNCTION("iferror(MINUS(divide(GOOGLEFINANCE($B960), INDEX(GOOGLEFINANCE($B960,""price"",today()-182),2,2)),1),"""")"),1.871885336273429)</f>
        <v>1.871885336</v>
      </c>
      <c r="G960" s="61">
        <f>IFERROR(__xludf.DUMMYFUNCTION("iferror(MINUS(divide(GOOGLEFINANCE($B960), INDEX(GOOGLEFINANCE($B960,""price"",today()-364),2,2)),1),"""")"),1.123939986953686)</f>
        <v>1.123939987</v>
      </c>
    </row>
    <row r="961">
      <c r="A961" s="71">
        <f t="shared" si="4"/>
        <v>957</v>
      </c>
      <c r="B961" s="47" t="s">
        <v>1094</v>
      </c>
      <c r="C961" s="72">
        <f>IFERROR(__xludf.DUMMYFUNCTION("iferror(divide(googlefinance($B961,""marketcap""),1000000),"""")"),610.546875)</f>
        <v>610.546875</v>
      </c>
      <c r="D961" s="72">
        <f>IFERROR(__xludf.DUMMYFUNCTION("iferror(divide(googlefinance($B961,""shares""),1000),"""")"),16709.0)</f>
        <v>16709</v>
      </c>
      <c r="E961" s="72">
        <f>IFERROR(__xludf.DUMMYFUNCTION("iferror(divide(googlefinance($B961,""volumeavg""),1000),"""")"),67.727)</f>
        <v>67.727</v>
      </c>
      <c r="F961" s="73">
        <f>IFERROR(__xludf.DUMMYFUNCTION("iferror(MINUS(divide(GOOGLEFINANCE($B961), INDEX(GOOGLEFINANCE($B961,""price"",today()-182),2,2)),1),"""")"),0.8652373660030628)</f>
        <v>0.865237366</v>
      </c>
      <c r="G961" s="61">
        <f>IFERROR(__xludf.DUMMYFUNCTION("iferror(MINUS(divide(GOOGLEFINANCE($B961), INDEX(GOOGLEFINANCE($B961,""price"",today()-364),2,2)),1),"""")"),0.1298701298701297)</f>
        <v>0.1298701299</v>
      </c>
    </row>
    <row r="962">
      <c r="A962" s="71">
        <f t="shared" si="4"/>
        <v>958</v>
      </c>
      <c r="B962" s="47" t="s">
        <v>1095</v>
      </c>
      <c r="C962" s="72">
        <f>IFERROR(__xludf.DUMMYFUNCTION("iferror(divide(googlefinance($B962,""marketcap""),1000000),"""")"),759.891)</f>
        <v>759.891</v>
      </c>
      <c r="D962" s="72">
        <f>IFERROR(__xludf.DUMMYFUNCTION("iferror(divide(googlefinance($B962,""shares""),1000),"""")"),506594.0)</f>
        <v>506594</v>
      </c>
      <c r="E962" s="72">
        <f>IFERROR(__xludf.DUMMYFUNCTION("iferror(divide(googlefinance($B962,""volumeavg""),1000),"""")"),21748.473)</f>
        <v>21748.473</v>
      </c>
      <c r="F962" s="73">
        <f>IFERROR(__xludf.DUMMYFUNCTION("iferror(MINUS(divide(GOOGLEFINANCE($B962), INDEX(GOOGLEFINANCE($B962,""price"",today()-182),2,2)),1),"""")"),2.1666666666666665)</f>
        <v>2.166666667</v>
      </c>
      <c r="G962" s="61">
        <f>IFERROR(__xludf.DUMMYFUNCTION("iferror(MINUS(divide(GOOGLEFINANCE($B962), INDEX(GOOGLEFINANCE($B962,""price"",today()-364),2,2)),1),"""")"),0.7538461538461536)</f>
        <v>0.7538461538</v>
      </c>
    </row>
    <row r="963">
      <c r="A963" s="71">
        <f t="shared" si="4"/>
        <v>959</v>
      </c>
      <c r="B963" s="47" t="s">
        <v>1096</v>
      </c>
      <c r="C963" s="72">
        <f>IFERROR(__xludf.DUMMYFUNCTION("iferror(divide(googlefinance($B963,""marketcap""),1000000),"""")"),3394.669035)</f>
        <v>3394.669035</v>
      </c>
      <c r="D963" s="72">
        <f>IFERROR(__xludf.DUMMYFUNCTION("iferror(divide(googlefinance($B963,""shares""),1000),"""")"),48523.0)</f>
        <v>48523</v>
      </c>
      <c r="E963" s="72">
        <f>IFERROR(__xludf.DUMMYFUNCTION("iferror(divide(googlefinance($B963,""volumeavg""),1000),"""")"),295.78)</f>
        <v>295.78</v>
      </c>
      <c r="F963" s="73" t="str">
        <f>IFERROR(__xludf.DUMMYFUNCTION("iferror(MINUS(divide(GOOGLEFINANCE($B963), INDEX(GOOGLEFINANCE($B963,""price"",today()-182),2,2)),1),"""")"),"")</f>
        <v/>
      </c>
      <c r="G963" s="61" t="str">
        <f>IFERROR(__xludf.DUMMYFUNCTION("iferror(MINUS(divide(GOOGLEFINANCE($B963), INDEX(GOOGLEFINANCE($B963,""price"",today()-364),2,2)),1),"""")"),"")</f>
        <v/>
      </c>
    </row>
    <row r="964">
      <c r="A964" s="71">
        <f t="shared" si="4"/>
        <v>960</v>
      </c>
      <c r="B964" s="47" t="s">
        <v>1097</v>
      </c>
      <c r="C964" s="72">
        <f>IFERROR(__xludf.DUMMYFUNCTION("iferror(divide(googlefinance($B964,""marketcap""),1000000),"""")"),576.30533)</f>
        <v>576.30533</v>
      </c>
      <c r="D964" s="72">
        <f>IFERROR(__xludf.DUMMYFUNCTION("iferror(divide(googlefinance($B964,""shares""),1000),"""")"),149690.0)</f>
        <v>149690</v>
      </c>
      <c r="E964" s="72">
        <f>IFERROR(__xludf.DUMMYFUNCTION("iferror(divide(googlefinance($B964,""volumeavg""),1000),"""")"),3616.336)</f>
        <v>3616.336</v>
      </c>
      <c r="F964" s="73">
        <f>IFERROR(__xludf.DUMMYFUNCTION("iferror(MINUS(divide(GOOGLEFINANCE($B964), INDEX(GOOGLEFINANCE($B964,""price"",today()-182),2,2)),1),"""")"),0.5650406504065042)</f>
        <v>0.5650406504</v>
      </c>
      <c r="G964" s="61">
        <f>IFERROR(__xludf.DUMMYFUNCTION("iferror(MINUS(divide(GOOGLEFINANCE($B964), INDEX(GOOGLEFINANCE($B964,""price"",today()-364),2,2)),1),"""")"),0.9154228855721396)</f>
        <v>0.9154228856</v>
      </c>
    </row>
    <row r="965">
      <c r="A965" s="71">
        <f t="shared" si="4"/>
        <v>961</v>
      </c>
      <c r="B965" s="47" t="s">
        <v>1098</v>
      </c>
      <c r="C965" s="72">
        <f>IFERROR(__xludf.DUMMYFUNCTION("iferror(divide(googlefinance($B965,""marketcap""),1000000),"""")"),213.609649)</f>
        <v>213.609649</v>
      </c>
      <c r="D965" s="72">
        <f>IFERROR(__xludf.DUMMYFUNCTION("iferror(divide(googlefinance($B965,""shares""),1000),"""")"),4115.0)</f>
        <v>4115</v>
      </c>
      <c r="E965" s="72">
        <f>IFERROR(__xludf.DUMMYFUNCTION("iferror(divide(googlefinance($B965,""volumeavg""),1000),"""")"),5.317)</f>
        <v>5.317</v>
      </c>
      <c r="F965" s="73">
        <f>IFERROR(__xludf.DUMMYFUNCTION("iferror(MINUS(divide(GOOGLEFINANCE($B965), INDEX(GOOGLEFINANCE($B965,""price"",today()-182),2,2)),1),"""")"),0.09353275753107226)</f>
        <v>0.09353275753</v>
      </c>
      <c r="G965" s="61">
        <f>IFERROR(__xludf.DUMMYFUNCTION("iferror(MINUS(divide(GOOGLEFINANCE($B965), INDEX(GOOGLEFINANCE($B965,""price"",today()-364),2,2)),1),"""")"),-0.26628975265017674)</f>
        <v>-0.2662897527</v>
      </c>
    </row>
    <row r="966">
      <c r="A966" s="71">
        <f t="shared" si="4"/>
        <v>962</v>
      </c>
      <c r="B966" s="47" t="s">
        <v>1099</v>
      </c>
      <c r="C966" s="72">
        <f>IFERROR(__xludf.DUMMYFUNCTION("iferror(divide(googlefinance($B966,""marketcap""),1000000),"""")"),243.497271)</f>
        <v>243.497271</v>
      </c>
      <c r="D966" s="72">
        <f>IFERROR(__xludf.DUMMYFUNCTION("iferror(divide(googlefinance($B966,""shares""),1000),"""")"),19511.0)</f>
        <v>19511</v>
      </c>
      <c r="E966" s="72">
        <f>IFERROR(__xludf.DUMMYFUNCTION("iferror(divide(googlefinance($B966,""volumeavg""),1000),"""")"),31.517)</f>
        <v>31.517</v>
      </c>
      <c r="F966" s="73">
        <f>IFERROR(__xludf.DUMMYFUNCTION("iferror(MINUS(divide(GOOGLEFINANCE($B966), INDEX(GOOGLEFINANCE($B966,""price"",today()-182),2,2)),1),"""")"),0.6910569105691058)</f>
        <v>0.6910569106</v>
      </c>
      <c r="G966" s="61">
        <f>IFERROR(__xludf.DUMMYFUNCTION("iferror(MINUS(divide(GOOGLEFINANCE($B966), INDEX(GOOGLEFINANCE($B966,""price"",today()-364),2,2)),1),"""")"),0.3136842105263158)</f>
        <v>0.3136842105</v>
      </c>
    </row>
    <row r="967">
      <c r="A967" s="71">
        <f t="shared" si="4"/>
        <v>963</v>
      </c>
      <c r="B967" s="47" t="s">
        <v>1100</v>
      </c>
      <c r="C967" s="72">
        <f>IFERROR(__xludf.DUMMYFUNCTION("iferror(divide(googlefinance($B967,""marketcap""),1000000),"""")"),175.896193)</f>
        <v>175.896193</v>
      </c>
      <c r="D967" s="72">
        <f>IFERROR(__xludf.DUMMYFUNCTION("iferror(divide(googlefinance($B967,""shares""),1000),"""")"),97720.0)</f>
        <v>97720</v>
      </c>
      <c r="E967" s="72">
        <f>IFERROR(__xludf.DUMMYFUNCTION("iferror(divide(googlefinance($B967,""volumeavg""),1000),"""")"),1918.148)</f>
        <v>1918.148</v>
      </c>
      <c r="F967" s="73">
        <f>IFERROR(__xludf.DUMMYFUNCTION("iferror(MINUS(divide(GOOGLEFINANCE($B967), INDEX(GOOGLEFINANCE($B967,""price"",today()-182),2,2)),1),"""")"),0.5929203539823011)</f>
        <v>0.592920354</v>
      </c>
      <c r="G967" s="61">
        <f>IFERROR(__xludf.DUMMYFUNCTION("iferror(MINUS(divide(GOOGLEFINANCE($B967), INDEX(GOOGLEFINANCE($B967,""price"",today()-364),2,2)),1),"""")"),-0.375)</f>
        <v>-0.375</v>
      </c>
    </row>
    <row r="968">
      <c r="A968" s="71">
        <f t="shared" si="4"/>
        <v>964</v>
      </c>
      <c r="B968" s="47" t="s">
        <v>1101</v>
      </c>
      <c r="C968" s="72">
        <f>IFERROR(__xludf.DUMMYFUNCTION("iferror(divide(googlefinance($B968,""marketcap""),1000000),"""")"),9499.887106)</f>
        <v>9499.887106</v>
      </c>
      <c r="D968" s="72">
        <f>IFERROR(__xludf.DUMMYFUNCTION("iferror(divide(googlefinance($B968,""shares""),1000),"""")"),93255.0)</f>
        <v>93255</v>
      </c>
      <c r="E968" s="72">
        <f>IFERROR(__xludf.DUMMYFUNCTION("iferror(divide(googlefinance($B968,""volumeavg""),1000),"""")"),781.341)</f>
        <v>781.341</v>
      </c>
      <c r="F968" s="73">
        <f>IFERROR(__xludf.DUMMYFUNCTION("iferror(MINUS(divide(GOOGLEFINANCE($B968), INDEX(GOOGLEFINANCE($B968,""price"",today()-182),2,2)),1),"""")"),0.2632688492063493)</f>
        <v>0.2632688492</v>
      </c>
      <c r="G968" s="61">
        <f>IFERROR(__xludf.DUMMYFUNCTION("iferror(MINUS(divide(GOOGLEFINANCE($B968), INDEX(GOOGLEFINANCE($B968,""price"",today()-364),2,2)),1),"""")"),0.010314390558365583)</f>
        <v>0.01031439056</v>
      </c>
    </row>
    <row r="969">
      <c r="A969" s="71">
        <f t="shared" si="4"/>
        <v>965</v>
      </c>
      <c r="B969" s="47" t="s">
        <v>1102</v>
      </c>
      <c r="C969" s="72">
        <f>IFERROR(__xludf.DUMMYFUNCTION("iferror(divide(googlefinance($B969,""marketcap""),1000000),"""")"),136.356486)</f>
        <v>136.356486</v>
      </c>
      <c r="D969" s="72">
        <f>IFERROR(__xludf.DUMMYFUNCTION("iferror(divide(googlefinance($B969,""shares""),1000),"""")"),5464.0)</f>
        <v>5464</v>
      </c>
      <c r="E969" s="72">
        <f>IFERROR(__xludf.DUMMYFUNCTION("iferror(divide(googlefinance($B969,""volumeavg""),1000),"""")"),13.335)</f>
        <v>13.335</v>
      </c>
      <c r="F969" s="73">
        <f>IFERROR(__xludf.DUMMYFUNCTION("iferror(MINUS(divide(GOOGLEFINANCE($B969), INDEX(GOOGLEFINANCE($B969,""price"",today()-182),2,2)),1),"""")"),-0.15695652173913044)</f>
        <v>-0.1569565217</v>
      </c>
      <c r="G969" s="61">
        <f>IFERROR(__xludf.DUMMYFUNCTION("iferror(MINUS(divide(GOOGLEFINANCE($B969), INDEX(GOOGLEFINANCE($B969,""price"",today()-364),2,2)),1),"""")"),-0.6586868509065306)</f>
        <v>-0.6586868509</v>
      </c>
    </row>
    <row r="970">
      <c r="A970" s="71">
        <f t="shared" si="4"/>
        <v>966</v>
      </c>
      <c r="B970" s="47" t="s">
        <v>1103</v>
      </c>
      <c r="C970" s="72">
        <f>IFERROR(__xludf.DUMMYFUNCTION("iferror(divide(googlefinance($B970,""marketcap""),1000000),"""")"),4757.184003)</f>
        <v>4757.184003</v>
      </c>
      <c r="D970" s="72">
        <f>IFERROR(__xludf.DUMMYFUNCTION("iferror(divide(googlefinance($B970,""shares""),1000),"""")"),275619.0)</f>
        <v>275619</v>
      </c>
      <c r="E970" s="72">
        <f>IFERROR(__xludf.DUMMYFUNCTION("iferror(divide(googlefinance($B970,""volumeavg""),1000),"""")"),31408.115)</f>
        <v>31408.115</v>
      </c>
      <c r="F970" s="73">
        <f>IFERROR(__xludf.DUMMYFUNCTION("iferror(MINUS(divide(GOOGLEFINANCE($B970), INDEX(GOOGLEFINANCE($B970,""price"",today()-182),2,2)),1),"""")"),0.9793577981651376)</f>
        <v>0.9793577982</v>
      </c>
      <c r="G970" s="61">
        <f>IFERROR(__xludf.DUMMYFUNCTION("iferror(MINUS(divide(GOOGLEFINANCE($B970), INDEX(GOOGLEFINANCE($B970,""price"",today()-364),2,2)),1),"""")"),-0.6784050680081982)</f>
        <v>-0.678405068</v>
      </c>
    </row>
    <row r="971">
      <c r="A971" s="71">
        <f t="shared" si="4"/>
        <v>967</v>
      </c>
      <c r="B971" s="47" t="s">
        <v>1104</v>
      </c>
      <c r="C971" s="72">
        <f>IFERROR(__xludf.DUMMYFUNCTION("iferror(divide(googlefinance($B971,""marketcap""),1000000),"""")"),150.713828)</f>
        <v>150.713828</v>
      </c>
      <c r="D971" s="72">
        <f>IFERROR(__xludf.DUMMYFUNCTION("iferror(divide(googlefinance($B971,""shares""),1000),"""")"),32226.0)</f>
        <v>32226</v>
      </c>
      <c r="E971" s="72">
        <f>IFERROR(__xludf.DUMMYFUNCTION("iferror(divide(googlefinance($B971,""volumeavg""),1000),"""")"),158.296)</f>
        <v>158.296</v>
      </c>
      <c r="F971" s="73">
        <f>IFERROR(__xludf.DUMMYFUNCTION("iferror(MINUS(divide(GOOGLEFINANCE($B971), INDEX(GOOGLEFINANCE($B971,""price"",today()-182),2,2)),1),"""")"),-0.0633946830265848)</f>
        <v>-0.06339468303</v>
      </c>
      <c r="G971" s="61">
        <f>IFERROR(__xludf.DUMMYFUNCTION("iferror(MINUS(divide(GOOGLEFINANCE($B971), INDEX(GOOGLEFINANCE($B971,""price"",today()-364),2,2)),1),"""")"),-0.4275)</f>
        <v>-0.4275</v>
      </c>
    </row>
    <row r="972">
      <c r="A972" s="71">
        <f t="shared" si="4"/>
        <v>968</v>
      </c>
      <c r="B972" s="47" t="s">
        <v>1105</v>
      </c>
      <c r="C972" s="72">
        <f>IFERROR(__xludf.DUMMYFUNCTION("iferror(divide(googlefinance($B972,""marketcap""),1000000),"""")"),326.007775)</f>
        <v>326.007775</v>
      </c>
      <c r="D972" s="72">
        <f>IFERROR(__xludf.DUMMYFUNCTION("iferror(divide(googlefinance($B972,""shares""),1000),"""")"),44355.0)</f>
        <v>44355</v>
      </c>
      <c r="E972" s="72">
        <f>IFERROR(__xludf.DUMMYFUNCTION("iferror(divide(googlefinance($B972,""volumeavg""),1000),"""")"),321.01)</f>
        <v>321.01</v>
      </c>
      <c r="F972" s="73">
        <f>IFERROR(__xludf.DUMMYFUNCTION("iferror(MINUS(divide(GOOGLEFINANCE($B972), INDEX(GOOGLEFINANCE($B972,""price"",today()-182),2,2)),1),"""")"),0.9140625)</f>
        <v>0.9140625</v>
      </c>
      <c r="G972" s="61">
        <f>IFERROR(__xludf.DUMMYFUNCTION("iferror(MINUS(divide(GOOGLEFINANCE($B972), INDEX(GOOGLEFINANCE($B972,""price"",today()-364),2,2)),1),"""")"),0.24155405405405395)</f>
        <v>0.2415540541</v>
      </c>
    </row>
    <row r="973">
      <c r="A973" s="71">
        <f t="shared" si="4"/>
        <v>969</v>
      </c>
      <c r="B973" s="47" t="s">
        <v>1106</v>
      </c>
      <c r="C973" s="72">
        <f>IFERROR(__xludf.DUMMYFUNCTION("iferror(divide(googlefinance($B973,""marketcap""),1000000),"""")"),53259.675106)</f>
        <v>53259.67511</v>
      </c>
      <c r="D973" s="72">
        <f>IFERROR(__xludf.DUMMYFUNCTION("iferror(divide(googlefinance($B973,""shares""),1000),"""")"),803071.0)</f>
        <v>803071</v>
      </c>
      <c r="E973" s="72">
        <f>IFERROR(__xludf.DUMMYFUNCTION("iferror(divide(googlefinance($B973,""volumeavg""),1000),"""")"),5883.986)</f>
        <v>5883.986</v>
      </c>
      <c r="F973" s="73">
        <f>IFERROR(__xludf.DUMMYFUNCTION("iferror(MINUS(divide(GOOGLEFINANCE($B973), INDEX(GOOGLEFINANCE($B973,""price"",today()-182),2,2)),1),"""")"),0.6351084812623271)</f>
        <v>0.6351084813</v>
      </c>
      <c r="G973" s="61">
        <f>IFERROR(__xludf.DUMMYFUNCTION("iferror(MINUS(divide(GOOGLEFINANCE($B973), INDEX(GOOGLEFINANCE($B973,""price"",today()-364),2,2)),1),"""")"),0.6646586345381522)</f>
        <v>0.6646586345</v>
      </c>
    </row>
    <row r="974">
      <c r="A974" s="71">
        <f t="shared" si="4"/>
        <v>970</v>
      </c>
      <c r="B974" s="47" t="s">
        <v>1107</v>
      </c>
      <c r="C974" s="72">
        <f>IFERROR(__xludf.DUMMYFUNCTION("iferror(divide(googlefinance($B974,""marketcap""),1000000),"""")"),3979.976711)</f>
        <v>3979.976711</v>
      </c>
      <c r="D974" s="72">
        <f>IFERROR(__xludf.DUMMYFUNCTION("iferror(divide(googlefinance($B974,""shares""),1000),"""")"),53031.0)</f>
        <v>53031</v>
      </c>
      <c r="E974" s="72">
        <f>IFERROR(__xludf.DUMMYFUNCTION("iferror(divide(googlefinance($B974,""volumeavg""),1000),"""")"),152.898)</f>
        <v>152.898</v>
      </c>
      <c r="F974" s="73">
        <f>IFERROR(__xludf.DUMMYFUNCTION("iferror(MINUS(divide(GOOGLEFINANCE($B974), INDEX(GOOGLEFINANCE($B974,""price"",today()-182),2,2)),1),"""")"),0.3233997531299593)</f>
        <v>0.3233997531</v>
      </c>
      <c r="G974" s="61">
        <f>IFERROR(__xludf.DUMMYFUNCTION("iferror(MINUS(divide(GOOGLEFINANCE($B974), INDEX(GOOGLEFINANCE($B974,""price"",today()-364),2,2)),1),"""")"),5.332622317022473E-4)</f>
        <v>0.0005332622317</v>
      </c>
    </row>
    <row r="975">
      <c r="A975" s="71">
        <f t="shared" si="4"/>
        <v>971</v>
      </c>
      <c r="B975" s="47" t="s">
        <v>1108</v>
      </c>
      <c r="C975" s="72">
        <f>IFERROR(__xludf.DUMMYFUNCTION("iferror(divide(googlefinance($B975,""marketcap""),1000000),"""")"),144.2175)</f>
        <v>144.2175</v>
      </c>
      <c r="D975" s="72">
        <f>IFERROR(__xludf.DUMMYFUNCTION("iferror(divide(googlefinance($B975,""shares""),1000),"""")"),41205.0)</f>
        <v>41205</v>
      </c>
      <c r="E975" s="72">
        <f>IFERROR(__xludf.DUMMYFUNCTION("iferror(divide(googlefinance($B975,""volumeavg""),1000),"""")"),815.744)</f>
        <v>815.744</v>
      </c>
      <c r="F975" s="73">
        <f>IFERROR(__xludf.DUMMYFUNCTION("iferror(MINUS(divide(GOOGLEFINANCE($B975), INDEX(GOOGLEFINANCE($B975,""price"",today()-182),2,2)),1),"""")"),-0.2857142857142858)</f>
        <v>-0.2857142857</v>
      </c>
      <c r="G975" s="61">
        <f>IFERROR(__xludf.DUMMYFUNCTION("iferror(MINUS(divide(GOOGLEFINANCE($B975), INDEX(GOOGLEFINANCE($B975,""price"",today()-364),2,2)),1),"""")"),-0.5944380069524913)</f>
        <v>-0.594438007</v>
      </c>
    </row>
    <row r="976">
      <c r="A976" s="71">
        <f t="shared" si="4"/>
        <v>972</v>
      </c>
      <c r="B976" s="47" t="s">
        <v>1109</v>
      </c>
      <c r="C976" s="72">
        <f>IFERROR(__xludf.DUMMYFUNCTION("iferror(divide(googlefinance($B976,""marketcap""),1000000),"""")"),4001.133359)</f>
        <v>4001.133359</v>
      </c>
      <c r="D976" s="72">
        <f>IFERROR(__xludf.DUMMYFUNCTION("iferror(divide(googlefinance($B976,""shares""),1000),"""")"),10924.0)</f>
        <v>10924</v>
      </c>
      <c r="E976" s="72">
        <f>IFERROR(__xludf.DUMMYFUNCTION("iferror(divide(googlefinance($B976,""volumeavg""),1000),"""")"),46.792)</f>
        <v>46.792</v>
      </c>
      <c r="F976" s="73">
        <f>IFERROR(__xludf.DUMMYFUNCTION("iferror(MINUS(divide(GOOGLEFINANCE($B976), INDEX(GOOGLEFINANCE($B976,""price"",today()-182),2,2)),1),"""")"),-0.01574718512347839)</f>
        <v>-0.01574718512</v>
      </c>
      <c r="G976" s="61">
        <f>IFERROR(__xludf.DUMMYFUNCTION("iferror(MINUS(divide(GOOGLEFINANCE($B976), INDEX(GOOGLEFINANCE($B976,""price"",today()-364),2,2)),1),"""")"),-0.21001207833664048)</f>
        <v>-0.2100120783</v>
      </c>
    </row>
    <row r="977">
      <c r="A977" s="71">
        <f t="shared" si="4"/>
        <v>973</v>
      </c>
      <c r="B977" s="47" t="s">
        <v>1110</v>
      </c>
      <c r="C977" s="72">
        <f>IFERROR(__xludf.DUMMYFUNCTION("iferror(divide(googlefinance($B977,""marketcap""),1000000),"""")"),905.249584)</f>
        <v>905.249584</v>
      </c>
      <c r="D977" s="72">
        <f>IFERROR(__xludf.DUMMYFUNCTION("iferror(divide(googlefinance($B977,""shares""),1000),"""")"),133321.0)</f>
        <v>133321</v>
      </c>
      <c r="E977" s="72">
        <f>IFERROR(__xludf.DUMMYFUNCTION("iferror(divide(googlefinance($B977,""volumeavg""),1000),"""")"),43.276)</f>
        <v>43.276</v>
      </c>
      <c r="F977" s="73">
        <f>IFERROR(__xludf.DUMMYFUNCTION("iferror(MINUS(divide(GOOGLEFINANCE($B977), INDEX(GOOGLEFINANCE($B977,""price"",today()-182),2,2)),1),"""")"),1.5241635687732344)</f>
        <v>1.524163569</v>
      </c>
      <c r="G977" s="61">
        <f>IFERROR(__xludf.DUMMYFUNCTION("iferror(MINUS(divide(GOOGLEFINANCE($B977), INDEX(GOOGLEFINANCE($B977,""price"",today()-364),2,2)),1),"""")"),-0.3057259713701431)</f>
        <v>-0.3057259714</v>
      </c>
    </row>
    <row r="978">
      <c r="A978" s="71">
        <f t="shared" si="4"/>
        <v>974</v>
      </c>
      <c r="B978" s="55" t="s">
        <v>1111</v>
      </c>
      <c r="C978" s="72">
        <f>IFERROR(__xludf.DUMMYFUNCTION("iferror(divide(googlefinance($B978,""marketcap""),1000000),"""")"),3872.7765)</f>
        <v>3872.7765</v>
      </c>
      <c r="D978" s="72">
        <f>IFERROR(__xludf.DUMMYFUNCTION("iferror(divide(googlefinance($B978,""shares""),1000),"""")"),329598.0)</f>
        <v>329598</v>
      </c>
      <c r="E978" s="72">
        <f>IFERROR(__xludf.DUMMYFUNCTION("iferror(divide(googlefinance($B978,""volumeavg""),1000),"""")"),1910.952)</f>
        <v>1910.952</v>
      </c>
      <c r="F978" s="73">
        <f>IFERROR(__xludf.DUMMYFUNCTION("iferror(MINUS(divide(GOOGLEFINANCE($B978), INDEX(GOOGLEFINANCE($B978,""price"",today()-182),2,2)),1),"""")"),0.7433234421364985)</f>
        <v>0.7433234421</v>
      </c>
      <c r="G978" s="61">
        <f>IFERROR(__xludf.DUMMYFUNCTION("iferror(MINUS(divide(GOOGLEFINANCE($B978), INDEX(GOOGLEFINANCE($B978,""price"",today()-364),2,2)),1),"""")"),0.8416927899686522)</f>
        <v>0.84169279</v>
      </c>
    </row>
    <row r="979">
      <c r="A979" s="71">
        <f t="shared" si="4"/>
        <v>975</v>
      </c>
      <c r="B979" s="47" t="s">
        <v>1112</v>
      </c>
      <c r="C979" s="72">
        <f>IFERROR(__xludf.DUMMYFUNCTION("iferror(divide(googlefinance($B979,""marketcap""),1000000),"""")"),1696.759993)</f>
        <v>1696.759993</v>
      </c>
      <c r="D979" s="72">
        <f>IFERROR(__xludf.DUMMYFUNCTION("iferror(divide(googlefinance($B979,""shares""),1000),"""")"),676000.0)</f>
        <v>676000</v>
      </c>
      <c r="E979" s="72">
        <f>IFERROR(__xludf.DUMMYFUNCTION("iferror(divide(googlefinance($B979,""volumeavg""),1000),"""")"),7880.219)</f>
        <v>7880.219</v>
      </c>
      <c r="F979" s="73">
        <f>IFERROR(__xludf.DUMMYFUNCTION("iferror(MINUS(divide(GOOGLEFINANCE($B979), INDEX(GOOGLEFINANCE($B979,""price"",today()-182),2,2)),1),"""")"),2.8)</f>
        <v>2.8</v>
      </c>
      <c r="G979" s="61">
        <f>IFERROR(__xludf.DUMMYFUNCTION("iferror(MINUS(divide(GOOGLEFINANCE($B979), INDEX(GOOGLEFINANCE($B979,""price"",today()-364),2,2)),1),"""")"),0.6239316239316239)</f>
        <v>0.6239316239</v>
      </c>
    </row>
    <row r="980">
      <c r="A980" s="71">
        <f t="shared" si="4"/>
        <v>976</v>
      </c>
      <c r="B980" s="47" t="s">
        <v>1113</v>
      </c>
      <c r="C980" s="72">
        <f>IFERROR(__xludf.DUMMYFUNCTION("iferror(divide(googlefinance($B980,""marketcap""),1000000),"""")"),1315.297962)</f>
        <v>1315.297962</v>
      </c>
      <c r="D980" s="72">
        <f>IFERROR(__xludf.DUMMYFUNCTION("iferror(divide(googlefinance($B980,""shares""),1000),"""")"),68828.0)</f>
        <v>68828</v>
      </c>
      <c r="E980" s="72">
        <f>IFERROR(__xludf.DUMMYFUNCTION("iferror(divide(googlefinance($B980,""volumeavg""),1000),"""")"),171.464)</f>
        <v>171.464</v>
      </c>
      <c r="F980" s="73">
        <f>IFERROR(__xludf.DUMMYFUNCTION("iferror(MINUS(divide(GOOGLEFINANCE($B980), INDEX(GOOGLEFINANCE($B980,""price"",today()-182),2,2)),1),"""")"),0.6389365351629501)</f>
        <v>0.6389365352</v>
      </c>
      <c r="G980" s="61">
        <f>IFERROR(__xludf.DUMMYFUNCTION("iferror(MINUS(divide(GOOGLEFINANCE($B980), INDEX(GOOGLEFINANCE($B980,""price"",today()-364),2,2)),1),"""")"),0.15748031496062986)</f>
        <v>0.157480315</v>
      </c>
    </row>
    <row r="981">
      <c r="A981" s="71">
        <f t="shared" si="4"/>
        <v>977</v>
      </c>
      <c r="B981" s="47" t="s">
        <v>1114</v>
      </c>
      <c r="C981" s="72">
        <f>IFERROR(__xludf.DUMMYFUNCTION("iferror(divide(googlefinance($B981,""marketcap""),1000000),"""")"),232.447673)</f>
        <v>232.447673</v>
      </c>
      <c r="D981" s="72">
        <f>IFERROR(__xludf.DUMMYFUNCTION("iferror(divide(googlefinance($B981,""shares""),1000),"""")"),22524.0)</f>
        <v>22524</v>
      </c>
      <c r="E981" s="72">
        <f>IFERROR(__xludf.DUMMYFUNCTION("iferror(divide(googlefinance($B981,""volumeavg""),1000),"""")"),165.007)</f>
        <v>165.007</v>
      </c>
      <c r="F981" s="73">
        <f>IFERROR(__xludf.DUMMYFUNCTION("iferror(MINUS(divide(GOOGLEFINANCE($B981), INDEX(GOOGLEFINANCE($B981,""price"",today()-182),2,2)),1),"""")"),0.3096446700507616)</f>
        <v>0.3096446701</v>
      </c>
      <c r="G981" s="61">
        <f>IFERROR(__xludf.DUMMYFUNCTION("iferror(MINUS(divide(GOOGLEFINANCE($B981), INDEX(GOOGLEFINANCE($B981,""price"",today()-364),2,2)),1),"""")"),-0.036414565826330625)</f>
        <v>-0.03641456583</v>
      </c>
    </row>
    <row r="982">
      <c r="A982" s="71">
        <f t="shared" si="4"/>
        <v>978</v>
      </c>
      <c r="B982" s="47" t="s">
        <v>1115</v>
      </c>
      <c r="C982" s="72">
        <f>IFERROR(__xludf.DUMMYFUNCTION("iferror(divide(googlefinance($B982,""marketcap""),1000000),"""")"),2337.872614)</f>
        <v>2337.872614</v>
      </c>
      <c r="D982" s="72">
        <f>IFERROR(__xludf.DUMMYFUNCTION("iferror(divide(googlefinance($B982,""shares""),1000),"""")"),41276.0)</f>
        <v>41276</v>
      </c>
      <c r="E982" s="72">
        <f>IFERROR(__xludf.DUMMYFUNCTION("iferror(divide(googlefinance($B982,""volumeavg""),1000),"""")"),231.193)</f>
        <v>231.193</v>
      </c>
      <c r="F982" s="73">
        <f>IFERROR(__xludf.DUMMYFUNCTION("iferror(MINUS(divide(GOOGLEFINANCE($B982), INDEX(GOOGLEFINANCE($B982,""price"",today()-182),2,2)),1),"""")"),1.0113636363636362)</f>
        <v>1.011363636</v>
      </c>
      <c r="G982" s="61">
        <f>IFERROR(__xludf.DUMMYFUNCTION("iferror(MINUS(divide(GOOGLEFINANCE($B982), INDEX(GOOGLEFINANCE($B982,""price"",today()-364),2,2)),1),"""")"),-0.3559244939731635)</f>
        <v>-0.355924494</v>
      </c>
    </row>
    <row r="983">
      <c r="A983" s="71">
        <f t="shared" si="4"/>
        <v>979</v>
      </c>
      <c r="B983" s="47" t="s">
        <v>1116</v>
      </c>
      <c r="C983" s="72">
        <f>IFERROR(__xludf.DUMMYFUNCTION("iferror(divide(googlefinance($B983,""marketcap""),1000000),"""")"),2848.22354)</f>
        <v>2848.22354</v>
      </c>
      <c r="D983" s="72">
        <f>IFERROR(__xludf.DUMMYFUNCTION("iferror(divide(googlefinance($B983,""shares""),1000),"""")"),44650.0)</f>
        <v>44650</v>
      </c>
      <c r="E983" s="72">
        <f>IFERROR(__xludf.DUMMYFUNCTION("iferror(divide(googlefinance($B983,""volumeavg""),1000),"""")"),241.076)</f>
        <v>241.076</v>
      </c>
      <c r="F983" s="73">
        <f>IFERROR(__xludf.DUMMYFUNCTION("iferror(MINUS(divide(GOOGLEFINANCE($B983), INDEX(GOOGLEFINANCE($B983,""price"",today()-182),2,2)),1),"""")"),0.6866737176097302)</f>
        <v>0.6866737176</v>
      </c>
      <c r="G983" s="61">
        <f>IFERROR(__xludf.DUMMYFUNCTION("iferror(MINUS(divide(GOOGLEFINANCE($B983), INDEX(GOOGLEFINANCE($B983,""price"",today()-364),2,2)),1),"""")"),-0.23190848886213122)</f>
        <v>-0.2319084889</v>
      </c>
    </row>
    <row r="984">
      <c r="A984" s="71">
        <f t="shared" si="4"/>
        <v>980</v>
      </c>
      <c r="B984" s="47" t="s">
        <v>1117</v>
      </c>
      <c r="C984" s="72">
        <f>IFERROR(__xludf.DUMMYFUNCTION("iferror(divide(googlefinance($B984,""marketcap""),1000000),"""")"),899.390091)</f>
        <v>899.390091</v>
      </c>
      <c r="D984" s="72">
        <f>IFERROR(__xludf.DUMMYFUNCTION("iferror(divide(googlefinance($B984,""shares""),1000),"""")"),107970.0)</f>
        <v>107970</v>
      </c>
      <c r="E984" s="72">
        <f>IFERROR(__xludf.DUMMYFUNCTION("iferror(divide(googlefinance($B984,""volumeavg""),1000),"""")"),1398.614)</f>
        <v>1398.614</v>
      </c>
      <c r="F984" s="73">
        <f>IFERROR(__xludf.DUMMYFUNCTION("iferror(MINUS(divide(GOOGLEFINANCE($B984), INDEX(GOOGLEFINANCE($B984,""price"",today()-182),2,2)),1),"""")"),1.9024390243902438)</f>
        <v>1.902439024</v>
      </c>
      <c r="G984" s="61">
        <f>IFERROR(__xludf.DUMMYFUNCTION("iferror(MINUS(divide(GOOGLEFINANCE($B984), INDEX(GOOGLEFINANCE($B984,""price"",today()-364),2,2)),1),"""")"),5.457364341085271)</f>
        <v>5.457364341</v>
      </c>
    </row>
    <row r="985">
      <c r="A985" s="71">
        <f t="shared" si="4"/>
        <v>981</v>
      </c>
      <c r="B985" s="47" t="s">
        <v>1118</v>
      </c>
      <c r="C985" s="72">
        <f>IFERROR(__xludf.DUMMYFUNCTION("iferror(divide(googlefinance($B985,""marketcap""),1000000),"""")"),144853.190319)</f>
        <v>144853.1903</v>
      </c>
      <c r="D985" s="72">
        <f>IFERROR(__xludf.DUMMYFUNCTION("iferror(divide(googlefinance($B985,""shares""),1000),"""")"),1244871.0)</f>
        <v>1244871</v>
      </c>
      <c r="E985" s="72">
        <f>IFERROR(__xludf.DUMMYFUNCTION("iferror(divide(googlefinance($B985,""volumeavg""),1000),"""")"),5664.859)</f>
        <v>5664.859</v>
      </c>
      <c r="F985" s="73">
        <f>IFERROR(__xludf.DUMMYFUNCTION("iferror(MINUS(divide(GOOGLEFINANCE($B985), INDEX(GOOGLEFINANCE($B985,""price"",today()-182),2,2)),1),"""")"),0.7251297257227576)</f>
        <v>0.7251297257</v>
      </c>
      <c r="G985" s="61">
        <f>IFERROR(__xludf.DUMMYFUNCTION("iferror(MINUS(divide(GOOGLEFINANCE($B985), INDEX(GOOGLEFINANCE($B985,""price"",today()-364),2,2)),1),"""")"),0.34240886017535743)</f>
        <v>0.3424088602</v>
      </c>
    </row>
    <row r="986">
      <c r="A986" s="71">
        <f t="shared" si="4"/>
        <v>982</v>
      </c>
      <c r="B986" s="47" t="s">
        <v>1119</v>
      </c>
      <c r="C986" s="72">
        <f>IFERROR(__xludf.DUMMYFUNCTION("iferror(divide(googlefinance($B986,""marketcap""),1000000),"""")"),3638.819925)</f>
        <v>3638.819925</v>
      </c>
      <c r="D986" s="72">
        <f>IFERROR(__xludf.DUMMYFUNCTION("iferror(divide(googlefinance($B986,""shares""),1000),"""")"),178900.0)</f>
        <v>178900</v>
      </c>
      <c r="E986" s="72">
        <f>IFERROR(__xludf.DUMMYFUNCTION("iferror(divide(googlefinance($B986,""volumeavg""),1000),"""")"),897.338)</f>
        <v>897.338</v>
      </c>
      <c r="F986" s="73">
        <f>IFERROR(__xludf.DUMMYFUNCTION("iferror(MINUS(divide(GOOGLEFINANCE($B986), INDEX(GOOGLEFINANCE($B986,""price"",today()-182),2,2)),1),"""")"),0.25015365703749226)</f>
        <v>0.250153657</v>
      </c>
      <c r="G986" s="61">
        <f>IFERROR(__xludf.DUMMYFUNCTION("iferror(MINUS(divide(GOOGLEFINANCE($B986), INDEX(GOOGLEFINANCE($B986,""price"",today()-364),2,2)),1),"""")"),0.0094292803970224)</f>
        <v>0.009429280397</v>
      </c>
    </row>
    <row r="987">
      <c r="A987" s="71">
        <f t="shared" si="4"/>
        <v>983</v>
      </c>
      <c r="B987" s="47" t="s">
        <v>1120</v>
      </c>
      <c r="C987" s="72">
        <f>IFERROR(__xludf.DUMMYFUNCTION("iferror(divide(googlefinance($B987,""marketcap""),1000000),"""")"),997.537242)</f>
        <v>997.537242</v>
      </c>
      <c r="D987" s="72">
        <f>IFERROR(__xludf.DUMMYFUNCTION("iferror(divide(googlefinance($B987,""shares""),1000),"""")"),32674.0)</f>
        <v>32674</v>
      </c>
      <c r="E987" s="72">
        <f>IFERROR(__xludf.DUMMYFUNCTION("iferror(divide(googlefinance($B987,""volumeavg""),1000),"""")"),149.082)</f>
        <v>149.082</v>
      </c>
      <c r="F987" s="73" t="str">
        <f>IFERROR(__xludf.DUMMYFUNCTION("iferror(MINUS(divide(GOOGLEFINANCE($B987), INDEX(GOOGLEFINANCE($B987,""price"",today()-182),2,2)),1),"""")"),"")</f>
        <v/>
      </c>
      <c r="G987" s="61" t="str">
        <f>IFERROR(__xludf.DUMMYFUNCTION("iferror(MINUS(divide(GOOGLEFINANCE($B987), INDEX(GOOGLEFINANCE($B987,""price"",today()-364),2,2)),1),"""")"),"")</f>
        <v/>
      </c>
    </row>
    <row r="988">
      <c r="A988" s="71">
        <f t="shared" si="4"/>
        <v>984</v>
      </c>
      <c r="B988" s="47" t="s">
        <v>1121</v>
      </c>
      <c r="C988" s="72">
        <f>IFERROR(__xludf.DUMMYFUNCTION("iferror(divide(googlefinance($B988,""marketcap""),1000000),"""")"),468.384213)</f>
        <v>468.384213</v>
      </c>
      <c r="D988" s="72">
        <f>IFERROR(__xludf.DUMMYFUNCTION("iferror(divide(googlefinance($B988,""shares""),1000),"""")"),29967.0)</f>
        <v>29967</v>
      </c>
      <c r="E988" s="72">
        <f>IFERROR(__xludf.DUMMYFUNCTION("iferror(divide(googlefinance($B988,""volumeavg""),1000),"""")"),2679.999)</f>
        <v>2679.999</v>
      </c>
      <c r="F988" s="73">
        <f>IFERROR(__xludf.DUMMYFUNCTION("iferror(MINUS(divide(GOOGLEFINANCE($B988), INDEX(GOOGLEFINANCE($B988,""price"",today()-182),2,2)),1),"""")"),11.023076923076923)</f>
        <v>11.02307692</v>
      </c>
      <c r="G988" s="61">
        <f>IFERROR(__xludf.DUMMYFUNCTION("iferror(MINUS(divide(GOOGLEFINANCE($B988), INDEX(GOOGLEFINANCE($B988,""price"",today()-364),2,2)),1),"""")"),10.931297709923664)</f>
        <v>10.93129771</v>
      </c>
    </row>
    <row r="989">
      <c r="A989" s="71">
        <f t="shared" si="4"/>
        <v>985</v>
      </c>
      <c r="B989" s="47" t="s">
        <v>1122</v>
      </c>
      <c r="C989" s="72">
        <f>IFERROR(__xludf.DUMMYFUNCTION("iferror(divide(googlefinance($B989,""marketcap""),1000000),"""")"),88.778621)</f>
        <v>88.778621</v>
      </c>
      <c r="D989" s="72">
        <f>IFERROR(__xludf.DUMMYFUNCTION("iferror(divide(googlefinance($B989,""shares""),1000),"""")"),192997.0)</f>
        <v>192997</v>
      </c>
      <c r="E989" s="72">
        <f>IFERROR(__xludf.DUMMYFUNCTION("iferror(divide(googlefinance($B989,""volumeavg""),1000),"""")"),1240.153)</f>
        <v>1240.153</v>
      </c>
      <c r="F989" s="73">
        <f>IFERROR(__xludf.DUMMYFUNCTION("iferror(MINUS(divide(GOOGLEFINANCE($B989), INDEX(GOOGLEFINANCE($B989,""price"",today()-182),2,2)),1),"""")"),1.0909090909090908)</f>
        <v>1.090909091</v>
      </c>
      <c r="G989" s="61">
        <f>IFERROR(__xludf.DUMMYFUNCTION("iferror(MINUS(divide(GOOGLEFINANCE($B989), INDEX(GOOGLEFINANCE($B989,""price"",today()-364),2,2)),1),"""")"),0.5862068965517244)</f>
        <v>0.5862068966</v>
      </c>
    </row>
    <row r="990">
      <c r="A990" s="71">
        <f t="shared" si="4"/>
        <v>986</v>
      </c>
      <c r="B990" s="47" t="s">
        <v>1123</v>
      </c>
      <c r="C990" s="72">
        <f>IFERROR(__xludf.DUMMYFUNCTION("iferror(divide(googlefinance($B990,""marketcap""),1000000),"""")"),208.928137)</f>
        <v>208.928137</v>
      </c>
      <c r="D990" s="72">
        <f>IFERROR(__xludf.DUMMYFUNCTION("iferror(divide(googlefinance($B990,""shares""),1000),"""")"),28803.0)</f>
        <v>28803</v>
      </c>
      <c r="E990" s="72">
        <f>IFERROR(__xludf.DUMMYFUNCTION("iferror(divide(googlefinance($B990,""volumeavg""),1000),"""")"),100.475)</f>
        <v>100.475</v>
      </c>
      <c r="F990" s="73">
        <f>IFERROR(__xludf.DUMMYFUNCTION("iferror(MINUS(divide(GOOGLEFINANCE($B990), INDEX(GOOGLEFINANCE($B990,""price"",today()-182),2,2)),1),"""")"),0.2578947368421052)</f>
        <v>0.2578947368</v>
      </c>
      <c r="G990" s="61">
        <f>IFERROR(__xludf.DUMMYFUNCTION("iferror(MINUS(divide(GOOGLEFINANCE($B990), INDEX(GOOGLEFINANCE($B990,""price"",today()-364),2,2)),1),"""")"),-0.4005016722408027)</f>
        <v>-0.4005016722</v>
      </c>
    </row>
    <row r="991">
      <c r="A991" s="71">
        <f t="shared" si="4"/>
        <v>987</v>
      </c>
      <c r="B991" s="47" t="s">
        <v>1124</v>
      </c>
      <c r="C991" s="72">
        <f>IFERROR(__xludf.DUMMYFUNCTION("iferror(divide(googlefinance($B991,""marketcap""),1000000),"""")"),57322.941149)</f>
        <v>57322.94115</v>
      </c>
      <c r="D991" s="72">
        <f>IFERROR(__xludf.DUMMYFUNCTION("iferror(divide(googlefinance($B991,""shares""),1000),"""")"),166714.0)</f>
        <v>166714</v>
      </c>
      <c r="E991" s="72">
        <f>IFERROR(__xludf.DUMMYFUNCTION("iferror(divide(googlefinance($B991,""volumeavg""),1000),"""")"),638.707)</f>
        <v>638.707</v>
      </c>
      <c r="F991" s="73">
        <f>IFERROR(__xludf.DUMMYFUNCTION("iferror(MINUS(divide(GOOGLEFINANCE($B991), INDEX(GOOGLEFINANCE($B991,""price"",today()-182),2,2)),1),"""")"),0.21061897049503564)</f>
        <v>0.2106189705</v>
      </c>
      <c r="G991" s="61">
        <f>IFERROR(__xludf.DUMMYFUNCTION("iferror(MINUS(divide(GOOGLEFINANCE($B991), INDEX(GOOGLEFINANCE($B991,""price"",today()-364),2,2)),1),"""")"),-0.06610896843935044)</f>
        <v>-0.06610896844</v>
      </c>
    </row>
    <row r="992">
      <c r="A992" s="71">
        <f t="shared" si="4"/>
        <v>988</v>
      </c>
      <c r="B992" s="47" t="s">
        <v>1125</v>
      </c>
      <c r="C992" s="72">
        <f>IFERROR(__xludf.DUMMYFUNCTION("iferror(divide(googlefinance($B992,""marketcap""),1000000),"""")"),5138.561645)</f>
        <v>5138.561645</v>
      </c>
      <c r="D992" s="72">
        <f>IFERROR(__xludf.DUMMYFUNCTION("iferror(divide(googlefinance($B992,""shares""),1000),"""")"),196729.0)</f>
        <v>196729</v>
      </c>
      <c r="E992" s="72">
        <f>IFERROR(__xludf.DUMMYFUNCTION("iferror(divide(googlefinance($B992,""volumeavg""),1000),"""")"),1637.848)</f>
        <v>1637.848</v>
      </c>
      <c r="F992" s="73">
        <f>IFERROR(__xludf.DUMMYFUNCTION("iferror(MINUS(divide(GOOGLEFINANCE($B992), INDEX(GOOGLEFINANCE($B992,""price"",today()-182),2,2)),1),"""")"),0.568768768768769)</f>
        <v>0.5687687688</v>
      </c>
      <c r="G992" s="61">
        <f>IFERROR(__xludf.DUMMYFUNCTION("iferror(MINUS(divide(GOOGLEFINANCE($B992), INDEX(GOOGLEFINANCE($B992,""price"",today()-364),2,2)),1),"""")"),0.258188824662813)</f>
        <v>0.2581888247</v>
      </c>
    </row>
    <row r="993">
      <c r="A993" s="71">
        <f t="shared" si="4"/>
        <v>989</v>
      </c>
      <c r="B993" s="47" t="s">
        <v>1126</v>
      </c>
      <c r="C993" s="72">
        <f>IFERROR(__xludf.DUMMYFUNCTION("iferror(divide(googlefinance($B993,""marketcap""),1000000),"""")"),71.964501)</f>
        <v>71.964501</v>
      </c>
      <c r="D993" s="72">
        <f>IFERROR(__xludf.DUMMYFUNCTION("iferror(divide(googlefinance($B993,""shares""),1000),"""")"),137468.0)</f>
        <v>137468</v>
      </c>
      <c r="E993" s="72">
        <f>IFERROR(__xludf.DUMMYFUNCTION("iferror(divide(googlefinance($B993,""volumeavg""),1000),"""")"),11786.647)</f>
        <v>11786.647</v>
      </c>
      <c r="F993" s="73">
        <f>IFERROR(__xludf.DUMMYFUNCTION("iferror(MINUS(divide(GOOGLEFINANCE($B993), INDEX(GOOGLEFINANCE($B993,""price"",today()-182),2,2)),1),"""")"),-0.054545454545454564)</f>
        <v>-0.05454545455</v>
      </c>
      <c r="G993" s="61">
        <f>IFERROR(__xludf.DUMMYFUNCTION("iferror(MINUS(divide(GOOGLEFINANCE($B993), INDEX(GOOGLEFINANCE($B993,""price"",today()-364),2,2)),1),"""")"),-0.8122743682310469)</f>
        <v>-0.8122743682</v>
      </c>
    </row>
    <row r="994">
      <c r="A994" s="71">
        <f t="shared" si="4"/>
        <v>990</v>
      </c>
      <c r="B994" s="47" t="s">
        <v>1127</v>
      </c>
      <c r="C994" s="72">
        <f>IFERROR(__xludf.DUMMYFUNCTION("iferror(divide(googlefinance($B994,""marketcap""),1000000),"""")"),593.555346)</f>
        <v>593.555346</v>
      </c>
      <c r="D994" s="72">
        <f>IFERROR(__xludf.DUMMYFUNCTION("iferror(divide(googlefinance($B994,""shares""),1000),"""")"),7021.0)</f>
        <v>7021</v>
      </c>
      <c r="E994" s="72">
        <f>IFERROR(__xludf.DUMMYFUNCTION("iferror(divide(googlefinance($B994,""volumeavg""),1000),"""")"),24.403)</f>
        <v>24.403</v>
      </c>
      <c r="F994" s="73">
        <f>IFERROR(__xludf.DUMMYFUNCTION("iferror(MINUS(divide(GOOGLEFINANCE($B994), INDEX(GOOGLEFINANCE($B994,""price"",today()-182),2,2)),1),"""")"),0.14817329892706788)</f>
        <v>0.1481732989</v>
      </c>
      <c r="G994" s="61">
        <f>IFERROR(__xludf.DUMMYFUNCTION("iferror(MINUS(divide(GOOGLEFINANCE($B994), INDEX(GOOGLEFINANCE($B994,""price"",today()-364),2,2)),1),"""")"),-0.041713897075493)</f>
        <v>-0.04171389708</v>
      </c>
    </row>
    <row r="995">
      <c r="A995" s="71">
        <f t="shared" si="4"/>
        <v>991</v>
      </c>
      <c r="B995" s="47" t="s">
        <v>1128</v>
      </c>
      <c r="C995" s="72">
        <f>IFERROR(__xludf.DUMMYFUNCTION("iferror(divide(googlefinance($B995,""marketcap""),1000000),"""")"),306.314225)</f>
        <v>306.314225</v>
      </c>
      <c r="D995" s="72">
        <f>IFERROR(__xludf.DUMMYFUNCTION("iferror(divide(googlefinance($B995,""shares""),1000),"""")"),49565.0)</f>
        <v>49565</v>
      </c>
      <c r="E995" s="72">
        <f>IFERROR(__xludf.DUMMYFUNCTION("iferror(divide(googlefinance($B995,""volumeavg""),1000),"""")"),1459.545)</f>
        <v>1459.545</v>
      </c>
      <c r="F995" s="73">
        <f>IFERROR(__xludf.DUMMYFUNCTION("iferror(MINUS(divide(GOOGLEFINANCE($B995), INDEX(GOOGLEFINANCE($B995,""price"",today()-182),2,2)),1),"""")"),0.1573033707865168)</f>
        <v>0.1573033708</v>
      </c>
      <c r="G995" s="61">
        <f>IFERROR(__xludf.DUMMYFUNCTION("iferror(MINUS(divide(GOOGLEFINANCE($B995), INDEX(GOOGLEFINANCE($B995,""price"",today()-364),2,2)),1),"""")"),-0.014354066985645897)</f>
        <v>-0.01435406699</v>
      </c>
    </row>
    <row r="996">
      <c r="A996" s="71">
        <f t="shared" si="4"/>
        <v>992</v>
      </c>
      <c r="B996" s="47" t="s">
        <v>1129</v>
      </c>
      <c r="C996" s="72">
        <f>IFERROR(__xludf.DUMMYFUNCTION("iferror(divide(googlefinance($B996,""marketcap""),1000000),"""")"),1274.418132)</f>
        <v>1274.418132</v>
      </c>
      <c r="D996" s="72">
        <f>IFERROR(__xludf.DUMMYFUNCTION("iferror(divide(googlefinance($B996,""shares""),1000),"""")"),25241.0)</f>
        <v>25241</v>
      </c>
      <c r="E996" s="72">
        <f>IFERROR(__xludf.DUMMYFUNCTION("iferror(divide(googlefinance($B996,""volumeavg""),1000),"""")"),27.277)</f>
        <v>27.277</v>
      </c>
      <c r="F996" s="73">
        <f>IFERROR(__xludf.DUMMYFUNCTION("iferror(MINUS(divide(GOOGLEFINANCE($B996), INDEX(GOOGLEFINANCE($B996,""price"",today()-182),2,2)),1),"""")"),0.28179741051028184)</f>
        <v>0.2817974105</v>
      </c>
      <c r="G996" s="61">
        <f>IFERROR(__xludf.DUMMYFUNCTION("iferror(MINUS(divide(GOOGLEFINANCE($B996), INDEX(GOOGLEFINANCE($B996,""price"",today()-364),2,2)),1),"""")"),-0.19447989789406506)</f>
        <v>-0.1944798979</v>
      </c>
    </row>
    <row r="997">
      <c r="A997" s="71">
        <f t="shared" si="4"/>
        <v>993</v>
      </c>
      <c r="B997" s="47" t="s">
        <v>1130</v>
      </c>
      <c r="C997" s="72">
        <f>IFERROR(__xludf.DUMMYFUNCTION("iferror(divide(googlefinance($B997,""marketcap""),1000000),"""")"),1174.474946)</f>
        <v>1174.474946</v>
      </c>
      <c r="D997" s="72">
        <f>IFERROR(__xludf.DUMMYFUNCTION("iferror(divide(googlefinance($B997,""shares""),1000),"""")"),37038.0)</f>
        <v>37038</v>
      </c>
      <c r="E997" s="72">
        <f>IFERROR(__xludf.DUMMYFUNCTION("iferror(divide(googlefinance($B997,""volumeavg""),1000),"""")"),189.205)</f>
        <v>189.205</v>
      </c>
      <c r="F997" s="73" t="str">
        <f>IFERROR(__xludf.DUMMYFUNCTION("iferror(MINUS(divide(GOOGLEFINANCE($B997), INDEX(GOOGLEFINANCE($B997,""price"",today()-182),2,2)),1),"""")"),"")</f>
        <v/>
      </c>
      <c r="G997" s="61" t="str">
        <f>IFERROR(__xludf.DUMMYFUNCTION("iferror(MINUS(divide(GOOGLEFINANCE($B997), INDEX(GOOGLEFINANCE($B997,""price"",today()-364),2,2)),1),"""")"),"")</f>
        <v/>
      </c>
    </row>
    <row r="998">
      <c r="A998" s="71">
        <f t="shared" si="4"/>
        <v>994</v>
      </c>
      <c r="B998" s="47" t="s">
        <v>1131</v>
      </c>
      <c r="C998" s="72">
        <f>IFERROR(__xludf.DUMMYFUNCTION("iferror(divide(googlefinance($B998,""marketcap""),1000000),"""")"),56874.001082)</f>
        <v>56874.00108</v>
      </c>
      <c r="D998" s="72">
        <f>IFERROR(__xludf.DUMMYFUNCTION("iferror(divide(googlefinance($B998,""shares""),1000),"""")"),255109.0)</f>
        <v>255109</v>
      </c>
      <c r="E998" s="72">
        <f>IFERROR(__xludf.DUMMYFUNCTION("iferror(divide(googlefinance($B998,""volumeavg""),1000),"""")"),1289.648)</f>
        <v>1289.648</v>
      </c>
      <c r="F998" s="73">
        <f>IFERROR(__xludf.DUMMYFUNCTION("iferror(MINUS(divide(GOOGLEFINANCE($B998), INDEX(GOOGLEFINANCE($B998,""price"",today()-182),2,2)),1),"""")"),0.8021178562767763)</f>
        <v>0.8021178563</v>
      </c>
      <c r="G998" s="61">
        <f>IFERROR(__xludf.DUMMYFUNCTION("iferror(MINUS(divide(GOOGLEFINANCE($B998), INDEX(GOOGLEFINANCE($B998,""price"",today()-364),2,2)),1),"""")"),0.2351930854895008)</f>
        <v>0.2351930855</v>
      </c>
    </row>
    <row r="999">
      <c r="A999" s="71">
        <f t="shared" si="4"/>
        <v>995</v>
      </c>
      <c r="B999" s="47" t="s">
        <v>1132</v>
      </c>
      <c r="C999" s="72">
        <f>IFERROR(__xludf.DUMMYFUNCTION("iferror(divide(googlefinance($B999,""marketcap""),1000000),"""")"),1688.097787)</f>
        <v>1688.097787</v>
      </c>
      <c r="D999" s="72">
        <f>IFERROR(__xludf.DUMMYFUNCTION("iferror(divide(googlefinance($B999,""shares""),1000),"""")"),37986.0)</f>
        <v>37986</v>
      </c>
      <c r="E999" s="72">
        <f>IFERROR(__xludf.DUMMYFUNCTION("iferror(divide(googlefinance($B999,""volumeavg""),1000),"""")"),365.152)</f>
        <v>365.152</v>
      </c>
      <c r="F999" s="73">
        <f>IFERROR(__xludf.DUMMYFUNCTION("iferror(MINUS(divide(GOOGLEFINANCE($B999), INDEX(GOOGLEFINANCE($B999,""price"",today()-182),2,2)),1),"""")"),1.488241881298992)</f>
        <v>1.488241881</v>
      </c>
      <c r="G999" s="61">
        <f>IFERROR(__xludf.DUMMYFUNCTION("iferror(MINUS(divide(GOOGLEFINANCE($B999), INDEX(GOOGLEFINANCE($B999,""price"",today()-364),2,2)),1),"""")"),0.8250513347022586)</f>
        <v>0.8250513347</v>
      </c>
    </row>
    <row r="1000">
      <c r="A1000" s="71">
        <f t="shared" si="4"/>
        <v>996</v>
      </c>
      <c r="B1000" s="47" t="s">
        <v>1133</v>
      </c>
      <c r="C1000" s="72">
        <f>IFERROR(__xludf.DUMMYFUNCTION("iferror(divide(googlefinance($B1000,""marketcap""),1000000),"""")"),68370.0)</f>
        <v>68370</v>
      </c>
      <c r="D1000" s="72">
        <f>IFERROR(__xludf.DUMMYFUNCTION("iferror(divide(googlefinance($B1000,""shares""),1000),"""")"),43000.0)</f>
        <v>43000</v>
      </c>
      <c r="E1000" s="72">
        <f>IFERROR(__xludf.DUMMYFUNCTION("iferror(divide(googlefinance($B1000,""volumeavg""),1000),"""")"),0.528)</f>
        <v>0.528</v>
      </c>
      <c r="F1000" s="73">
        <f>IFERROR(__xludf.DUMMYFUNCTION("iferror(MINUS(divide(GOOGLEFINANCE($B1000), INDEX(GOOGLEFINANCE($B1000,""price"",today()-182),2,2)),1),"""")"),0.7543859649122806)</f>
        <v>0.7543859649</v>
      </c>
      <c r="G1000" s="61">
        <f>IFERROR(__xludf.DUMMYFUNCTION("iferror(MINUS(divide(GOOGLEFINANCE($B1000), INDEX(GOOGLEFINANCE($B1000,""price"",today()-364),2,2)),1),"""")"),0.9900497512437811)</f>
        <v>0.9900497512</v>
      </c>
    </row>
    <row r="1001">
      <c r="A1001" s="71">
        <f t="shared" si="4"/>
        <v>997</v>
      </c>
      <c r="B1001" s="47" t="s">
        <v>1134</v>
      </c>
      <c r="C1001" s="72">
        <f>IFERROR(__xludf.DUMMYFUNCTION("iferror(divide(googlefinance($B1001,""marketcap""),1000000),"""")"),1318.735494)</f>
        <v>1318.735494</v>
      </c>
      <c r="D1001" s="72">
        <f>IFERROR(__xludf.DUMMYFUNCTION("iferror(divide(googlefinance($B1001,""shares""),1000),"""")"),58741.0)</f>
        <v>58741</v>
      </c>
      <c r="E1001" s="72">
        <f>IFERROR(__xludf.DUMMYFUNCTION("iferror(divide(googlefinance($B1001,""volumeavg""),1000),"""")"),767.593)</f>
        <v>767.593</v>
      </c>
      <c r="F1001" s="73">
        <f>IFERROR(__xludf.DUMMYFUNCTION("iferror(MINUS(divide(GOOGLEFINANCE($B1001), INDEX(GOOGLEFINANCE($B1001,""price"",today()-182),2,2)),1),"""")"),0.8599834299917148)</f>
        <v>0.85998343</v>
      </c>
      <c r="G1001" s="61">
        <f>IFERROR(__xludf.DUMMYFUNCTION("iferror(MINUS(divide(GOOGLEFINANCE($B1001), INDEX(GOOGLEFINANCE($B1001,""price"",today()-364),2,2)),1),"""")"),0.5644599303135889)</f>
        <v>0.5644599303</v>
      </c>
    </row>
    <row r="1002">
      <c r="A1002" s="71">
        <f t="shared" si="4"/>
        <v>998</v>
      </c>
      <c r="B1002" s="47" t="s">
        <v>1135</v>
      </c>
      <c r="C1002" s="72">
        <f>IFERROR(__xludf.DUMMYFUNCTION("iferror(divide(googlefinance($B1002,""marketcap""),1000000),"""")"),4.98381)</f>
        <v>4.98381</v>
      </c>
      <c r="D1002" s="72">
        <f>IFERROR(__xludf.DUMMYFUNCTION("iferror(divide(googlefinance($B1002,""shares""),1000),"""")"),2949.0)</f>
        <v>2949</v>
      </c>
      <c r="E1002" s="72">
        <f>IFERROR(__xludf.DUMMYFUNCTION("iferror(divide(googlefinance($B1002,""volumeavg""),1000),"""")"),7321.569)</f>
        <v>7321.569</v>
      </c>
      <c r="F1002" s="73">
        <f>IFERROR(__xludf.DUMMYFUNCTION("iferror(MINUS(divide(GOOGLEFINANCE($B1002), INDEX(GOOGLEFINANCE($B1002,""price"",today()-182),2,2)),1),"""")"),0.06962025316455689)</f>
        <v>0.06962025316</v>
      </c>
      <c r="G1002" s="61">
        <f>IFERROR(__xludf.DUMMYFUNCTION("iferror(MINUS(divide(GOOGLEFINANCE($B1002), INDEX(GOOGLEFINANCE($B1002,""price"",today()-364),2,2)),1),"""")"),-0.27467811158798283)</f>
        <v>-0.2746781116</v>
      </c>
    </row>
    <row r="1003">
      <c r="A1003" s="71">
        <f t="shared" si="4"/>
        <v>999</v>
      </c>
      <c r="B1003" s="47" t="s">
        <v>1136</v>
      </c>
      <c r="C1003" s="72">
        <f>IFERROR(__xludf.DUMMYFUNCTION("iferror(divide(googlefinance($B1003,""marketcap""),1000000),"""")"),30597.288004)</f>
        <v>30597.288</v>
      </c>
      <c r="D1003" s="72">
        <f>IFERROR(__xludf.DUMMYFUNCTION("iferror(divide(googlefinance($B1003,""shares""),1000),"""")"),569146.0)</f>
        <v>569146</v>
      </c>
      <c r="E1003" s="72">
        <f>IFERROR(__xludf.DUMMYFUNCTION("iferror(divide(googlefinance($B1003,""volumeavg""),1000),"""")"),1643.194)</f>
        <v>1643.194</v>
      </c>
      <c r="F1003" s="73">
        <f>IFERROR(__xludf.DUMMYFUNCTION("iferror(MINUS(divide(GOOGLEFINANCE($B1003), INDEX(GOOGLEFINANCE($B1003,""price"",today()-182),2,2)),1),"""")"),0.47099099099099107)</f>
        <v>0.470990991</v>
      </c>
      <c r="G1003" s="61">
        <f>IFERROR(__xludf.DUMMYFUNCTION("iferror(MINUS(divide(GOOGLEFINANCE($B1003), INDEX(GOOGLEFINANCE($B1003,""price"",today()-364),2,2)),1),"""")"),-0.20845452782625562)</f>
        <v>-0.2084545278</v>
      </c>
    </row>
    <row r="1004">
      <c r="A1004" s="71">
        <f t="shared" si="4"/>
        <v>1000</v>
      </c>
      <c r="B1004" s="47" t="s">
        <v>1137</v>
      </c>
      <c r="C1004" s="72">
        <f>IFERROR(__xludf.DUMMYFUNCTION("iferror(divide(googlefinance($B1004,""marketcap""),1000000),"""")"),5122.250644)</f>
        <v>5122.250644</v>
      </c>
      <c r="D1004" s="72">
        <f>IFERROR(__xludf.DUMMYFUNCTION("iferror(divide(googlefinance($B1004,""shares""),1000),"""")"),84054.0)</f>
        <v>84054</v>
      </c>
      <c r="E1004" s="72">
        <f>IFERROR(__xludf.DUMMYFUNCTION("iferror(divide(googlefinance($B1004,""volumeavg""),1000),"""")"),829.283)</f>
        <v>829.283</v>
      </c>
      <c r="F1004" s="73">
        <f>IFERROR(__xludf.DUMMYFUNCTION("iferror(MINUS(divide(GOOGLEFINANCE($B1004), INDEX(GOOGLEFINANCE($B1004,""price"",today()-182),2,2)),1),"""")"),1.4278884462151393)</f>
        <v>1.427888446</v>
      </c>
      <c r="G1004" s="61">
        <f>IFERROR(__xludf.DUMMYFUNCTION("iferror(MINUS(divide(GOOGLEFINANCE($B1004), INDEX(GOOGLEFINANCE($B1004,""price"",today()-364),2,2)),1),"""")"),0.8072360616844603)</f>
        <v>0.8072360617</v>
      </c>
    </row>
    <row r="1005">
      <c r="A1005" s="71">
        <f t="shared" si="4"/>
        <v>1001</v>
      </c>
      <c r="B1005" s="47" t="s">
        <v>1138</v>
      </c>
      <c r="C1005" s="72">
        <f>IFERROR(__xludf.DUMMYFUNCTION("iferror(divide(googlefinance($B1005,""marketcap""),1000000),"""")"),14783.798518)</f>
        <v>14783.79852</v>
      </c>
      <c r="D1005" s="72">
        <f>IFERROR(__xludf.DUMMYFUNCTION("iferror(divide(googlefinance($B1005,""shares""),1000),"""")"),301895.0)</f>
        <v>301895</v>
      </c>
      <c r="E1005" s="72">
        <f>IFERROR(__xludf.DUMMYFUNCTION("iferror(divide(googlefinance($B1005,""volumeavg""),1000),"""")"),1784.609)</f>
        <v>1784.609</v>
      </c>
      <c r="F1005" s="73">
        <f>IFERROR(__xludf.DUMMYFUNCTION("iferror(MINUS(divide(GOOGLEFINANCE($B1005), INDEX(GOOGLEFINANCE($B1005,""price"",today()-182),2,2)),1),"""")"),0.5987593862226575)</f>
        <v>0.5987593862</v>
      </c>
      <c r="G1005" s="61">
        <f>IFERROR(__xludf.DUMMYFUNCTION("iferror(MINUS(divide(GOOGLEFINANCE($B1005), INDEX(GOOGLEFINANCE($B1005,""price"",today()-364),2,2)),1),"""")"),-0.06936526035727852)</f>
        <v>-0.06936526036</v>
      </c>
    </row>
    <row r="1006">
      <c r="A1006" s="71">
        <f t="shared" si="4"/>
        <v>1002</v>
      </c>
      <c r="B1006" s="47" t="s">
        <v>1139</v>
      </c>
      <c r="C1006" s="72">
        <f>IFERROR(__xludf.DUMMYFUNCTION("iferror(divide(googlefinance($B1006,""marketcap""),1000000),"""")"),2705.525628)</f>
        <v>2705.525628</v>
      </c>
      <c r="D1006" s="72">
        <f>IFERROR(__xludf.DUMMYFUNCTION("iferror(divide(googlefinance($B1006,""shares""),1000),"""")"),51387.0)</f>
        <v>51387</v>
      </c>
      <c r="E1006" s="72">
        <f>IFERROR(__xludf.DUMMYFUNCTION("iferror(divide(googlefinance($B1006,""volumeavg""),1000),"""")"),452.919)</f>
        <v>452.919</v>
      </c>
      <c r="F1006" s="73">
        <f>IFERROR(__xludf.DUMMYFUNCTION("iferror(MINUS(divide(GOOGLEFINANCE($B1006), INDEX(GOOGLEFINANCE($B1006,""price"",today()-182),2,2)),1),"""")"),1.6658227848101266)</f>
        <v>1.665822785</v>
      </c>
      <c r="G1006" s="61">
        <f>IFERROR(__xludf.DUMMYFUNCTION("iferror(MINUS(divide(GOOGLEFINANCE($B1006), INDEX(GOOGLEFINANCE($B1006,""price"",today()-364),2,2)),1),"""")"),0.23475609756097549)</f>
        <v>0.2347560976</v>
      </c>
    </row>
    <row r="1007">
      <c r="A1007" s="71">
        <f t="shared" si="4"/>
        <v>1003</v>
      </c>
      <c r="B1007" s="47" t="s">
        <v>1140</v>
      </c>
      <c r="C1007" s="72">
        <f>IFERROR(__xludf.DUMMYFUNCTION("iferror(divide(googlefinance($B1007,""marketcap""),1000000),"""")"),7078.22191)</f>
        <v>7078.22191</v>
      </c>
      <c r="D1007" s="72">
        <f>IFERROR(__xludf.DUMMYFUNCTION("iferror(divide(googlefinance($B1007,""shares""),1000),"""")"),61278.0)</f>
        <v>61278</v>
      </c>
      <c r="E1007" s="72">
        <f>IFERROR(__xludf.DUMMYFUNCTION("iferror(divide(googlefinance($B1007,""volumeavg""),1000),"""")"),7984.207)</f>
        <v>7984.207</v>
      </c>
      <c r="F1007" s="73">
        <f>IFERROR(__xludf.DUMMYFUNCTION("iferror(MINUS(divide(GOOGLEFINANCE($B1007), INDEX(GOOGLEFINANCE($B1007,""price"",today()-182),2,2)),1),"""")"),10.160386473429952)</f>
        <v>10.16038647</v>
      </c>
      <c r="G1007" s="61">
        <f>IFERROR(__xludf.DUMMYFUNCTION("iferror(MINUS(divide(GOOGLEFINANCE($B1007), INDEX(GOOGLEFINANCE($B1007,""price"",today()-364),2,2)),1),"""")"),16.635114503816794)</f>
        <v>16.6351145</v>
      </c>
    </row>
    <row r="1008">
      <c r="A1008" s="71">
        <f t="shared" si="4"/>
        <v>1004</v>
      </c>
      <c r="B1008" s="54" t="s">
        <v>1141</v>
      </c>
      <c r="C1008" s="72">
        <f>IFERROR(__xludf.DUMMYFUNCTION("iferror(divide(googlefinance($B1008,""marketcap""),1000000),"""")"),307955.142838)</f>
        <v>307955.1428</v>
      </c>
      <c r="D1008" s="72">
        <f>IFERROR(__xludf.DUMMYFUNCTION("iferror(divide(googlefinance($B1008,""shares""),1000),"""")"),617714.0)</f>
        <v>617714</v>
      </c>
      <c r="E1008" s="72">
        <f>IFERROR(__xludf.DUMMYFUNCTION("iferror(divide(googlefinance($B1008,""volumeavg""),1000),"""")"),15083.603)</f>
        <v>15083.603</v>
      </c>
      <c r="F1008" s="73">
        <f>IFERROR(__xludf.DUMMYFUNCTION("iferror(MINUS(divide(GOOGLEFINANCE($B1008), INDEX(GOOGLEFINANCE($B1008,""price"",today()-182),2,2)),1),"""")"),1.4230376670716889)</f>
        <v>1.423037667</v>
      </c>
      <c r="G1008" s="61">
        <f>IFERROR(__xludf.DUMMYFUNCTION("iferror(MINUS(divide(GOOGLEFINANCE($B1008), INDEX(GOOGLEFINANCE($B1008,""price"",today()-364),2,2)),1),"""")"),1.886907174706121)</f>
        <v>1.886907175</v>
      </c>
    </row>
    <row r="1009">
      <c r="A1009" s="71">
        <f t="shared" si="4"/>
        <v>1005</v>
      </c>
      <c r="B1009" s="54" t="s">
        <v>1142</v>
      </c>
      <c r="C1009" s="72">
        <f>IFERROR(__xludf.DUMMYFUNCTION("iferror(divide(googlefinance($B1009,""marketcap""),1000000),"""")"),250.114547)</f>
        <v>250.114547</v>
      </c>
      <c r="D1009" s="72">
        <f>IFERROR(__xludf.DUMMYFUNCTION("iferror(divide(googlefinance($B1009,""shares""),1000),"""")"),4835.0)</f>
        <v>4835</v>
      </c>
      <c r="E1009" s="72">
        <f>IFERROR(__xludf.DUMMYFUNCTION("iferror(divide(googlefinance($B1009,""volumeavg""),1000),"""")"),18.127)</f>
        <v>18.127</v>
      </c>
      <c r="F1009" s="73">
        <f>IFERROR(__xludf.DUMMYFUNCTION("iferror(MINUS(divide(GOOGLEFINANCE($B1009), INDEX(GOOGLEFINANCE($B1009,""price"",today()-182),2,2)),1),"""")"),0.1429518338488731)</f>
        <v>0.1429518338</v>
      </c>
      <c r="G1009" s="61">
        <f>IFERROR(__xludf.DUMMYFUNCTION("iferror(MINUS(divide(GOOGLEFINANCE($B1009), INDEX(GOOGLEFINANCE($B1009,""price"",today()-364),2,2)),1),"""")"),-0.264258284739013)</f>
        <v>-0.2642582847</v>
      </c>
    </row>
    <row r="1010">
      <c r="A1010" s="71">
        <f t="shared" si="4"/>
        <v>1006</v>
      </c>
      <c r="B1010" s="47" t="s">
        <v>1143</v>
      </c>
      <c r="C1010" s="72">
        <f>IFERROR(__xludf.DUMMYFUNCTION("iferror(divide(googlefinance($B1010,""marketcap""),1000000),"""")"),538.924219)</f>
        <v>538.924219</v>
      </c>
      <c r="D1010" s="72">
        <f>IFERROR(__xludf.DUMMYFUNCTION("iferror(divide(googlefinance($B1010,""shares""),1000),"""")"),55905.0)</f>
        <v>55905</v>
      </c>
      <c r="E1010" s="72">
        <f>IFERROR(__xludf.DUMMYFUNCTION("iferror(divide(googlefinance($B1010,""volumeavg""),1000),"""")"),72.87)</f>
        <v>72.87</v>
      </c>
      <c r="F1010" s="73">
        <f>IFERROR(__xludf.DUMMYFUNCTION("iferror(MINUS(divide(GOOGLEFINANCE($B1010), INDEX(GOOGLEFINANCE($B1010,""price"",today()-182),2,2)),1),"""")"),1.2789598108747042)</f>
        <v>1.278959811</v>
      </c>
      <c r="G1010" s="61">
        <f>IFERROR(__xludf.DUMMYFUNCTION("iferror(MINUS(divide(GOOGLEFINANCE($B1010), INDEX(GOOGLEFINANCE($B1010,""price"",today()-364),2,2)),1),"""")"),-0.12839059674502706)</f>
        <v>-0.1283905967</v>
      </c>
    </row>
    <row r="1011">
      <c r="A1011" s="71">
        <f t="shared" si="4"/>
        <v>1007</v>
      </c>
      <c r="B1011" s="47" t="s">
        <v>1144</v>
      </c>
      <c r="C1011" s="72">
        <f>IFERROR(__xludf.DUMMYFUNCTION("iferror(divide(googlefinance($B1011,""marketcap""),1000000),"""")"),1406.723515)</f>
        <v>1406.723515</v>
      </c>
      <c r="D1011" s="72">
        <f>IFERROR(__xludf.DUMMYFUNCTION("iferror(divide(googlefinance($B1011,""shares""),1000),"""")"),28073.0)</f>
        <v>28073</v>
      </c>
      <c r="E1011" s="72">
        <f>IFERROR(__xludf.DUMMYFUNCTION("iferror(divide(googlefinance($B1011,""volumeavg""),1000),"""")"),125.709)</f>
        <v>125.709</v>
      </c>
      <c r="F1011" s="73">
        <f>IFERROR(__xludf.DUMMYFUNCTION("iferror(MINUS(divide(GOOGLEFINANCE($B1011), INDEX(GOOGLEFINANCE($B1011,""price"",today()-182),2,2)),1),"""")"),0.755781359495445)</f>
        <v>0.7557813595</v>
      </c>
      <c r="G1011" s="61">
        <f>IFERROR(__xludf.DUMMYFUNCTION("iferror(MINUS(divide(GOOGLEFINANCE($B1011), INDEX(GOOGLEFINANCE($B1011,""price"",today()-364),2,2)),1),"""")"),0.6035200000000001)</f>
        <v>0.60352</v>
      </c>
    </row>
    <row r="1012">
      <c r="A1012" s="71">
        <f t="shared" si="4"/>
        <v>1008</v>
      </c>
      <c r="B1012" s="47" t="s">
        <v>1145</v>
      </c>
      <c r="C1012" s="72">
        <f>IFERROR(__xludf.DUMMYFUNCTION("iferror(divide(googlefinance($B1012,""marketcap""),1000000),"""")"),127163.802222)</f>
        <v>127163.8022</v>
      </c>
      <c r="D1012" s="72">
        <f>IFERROR(__xludf.DUMMYFUNCTION("iferror(divide(googlefinance($B1012,""shares""),1000),"""")"),1812564.0)</f>
        <v>1812564</v>
      </c>
      <c r="E1012" s="72">
        <f>IFERROR(__xludf.DUMMYFUNCTION("iferror(divide(googlefinance($B1012,""volumeavg""),1000),"""")"),860.57)</f>
        <v>860.57</v>
      </c>
      <c r="F1012" s="73">
        <f>IFERROR(__xludf.DUMMYFUNCTION("iferror(MINUS(divide(GOOGLEFINANCE($B1012), INDEX(GOOGLEFINANCE($B1012,""price"",today()-182),2,2)),1),"""")"),0.40659118479579437)</f>
        <v>0.4065911848</v>
      </c>
      <c r="G1012" s="61">
        <f>IFERROR(__xludf.DUMMYFUNCTION("iferror(MINUS(divide(GOOGLEFINANCE($B1012), INDEX(GOOGLEFINANCE($B1012,""price"",today()-364),2,2)),1),"""")"),0.31412920287117485)</f>
        <v>0.3141292029</v>
      </c>
    </row>
    <row r="1013">
      <c r="A1013" s="71">
        <f t="shared" si="4"/>
        <v>1009</v>
      </c>
      <c r="B1013" s="47" t="s">
        <v>1146</v>
      </c>
      <c r="C1013" s="72">
        <f>IFERROR(__xludf.DUMMYFUNCTION("iferror(divide(googlefinance($B1013,""marketcap""),1000000),"""")"),15355.451326)</f>
        <v>15355.45133</v>
      </c>
      <c r="D1013" s="72">
        <f>IFERROR(__xludf.DUMMYFUNCTION("iferror(divide(googlefinance($B1013,""shares""),1000),"""")"),3702.0)</f>
        <v>3702</v>
      </c>
      <c r="E1013" s="72">
        <f>IFERROR(__xludf.DUMMYFUNCTION("iferror(divide(googlefinance($B1013,""volumeavg""),1000),"""")"),20.731)</f>
        <v>20.731</v>
      </c>
      <c r="F1013" s="73">
        <f>IFERROR(__xludf.DUMMYFUNCTION("iferror(MINUS(divide(GOOGLEFINANCE($B1013), INDEX(GOOGLEFINANCE($B1013,""price"",today()-182),2,2)),1),"""")"),0.7825853392296156)</f>
        <v>0.7825853392</v>
      </c>
      <c r="G1013" s="61">
        <f>IFERROR(__xludf.DUMMYFUNCTION("iferror(MINUS(divide(GOOGLEFINANCE($B1013), INDEX(GOOGLEFINANCE($B1013,""price"",today()-364),2,2)),1),"""")"),0.14101643628361193)</f>
        <v>0.1410164363</v>
      </c>
    </row>
    <row r="1014">
      <c r="A1014" s="71">
        <f t="shared" si="4"/>
        <v>1010</v>
      </c>
      <c r="B1014" s="47" t="s">
        <v>1147</v>
      </c>
      <c r="C1014" s="72">
        <f>IFERROR(__xludf.DUMMYFUNCTION("iferror(divide(googlefinance($B1014,""marketcap""),1000000),"""")"),224428.542181)</f>
        <v>224428.5422</v>
      </c>
      <c r="D1014" s="72">
        <f>IFERROR(__xludf.DUMMYFUNCTION("iferror(divide(googlefinance($B1014,""shares""),1000),"""")"),2467061.0)</f>
        <v>2467061</v>
      </c>
      <c r="E1014" s="72">
        <f>IFERROR(__xludf.DUMMYFUNCTION("iferror(divide(googlefinance($B1014,""volumeavg""),1000),"""")"),1746.252)</f>
        <v>1746.252</v>
      </c>
      <c r="F1014" s="73">
        <f>IFERROR(__xludf.DUMMYFUNCTION("iferror(MINUS(divide(GOOGLEFINANCE($B1014), INDEX(GOOGLEFINANCE($B1014,""price"",today()-182),2,2)),1),"""")"),0.25614471140568895)</f>
        <v>0.2561447114</v>
      </c>
      <c r="G1014" s="61">
        <f>IFERROR(__xludf.DUMMYFUNCTION("iferror(MINUS(divide(GOOGLEFINANCE($B1014), INDEX(GOOGLEFINANCE($B1014,""price"",today()-364),2,2)),1),"""")"),0.044791547031124423)</f>
        <v>0.04479154703</v>
      </c>
    </row>
    <row r="1015">
      <c r="A1015" s="71">
        <f t="shared" si="4"/>
        <v>1011</v>
      </c>
      <c r="B1015" s="47" t="s">
        <v>1148</v>
      </c>
      <c r="C1015" s="72">
        <f>IFERROR(__xludf.DUMMYFUNCTION("iferror(divide(googlefinance($B1015,""marketcap""),1000000),"""")"),4082.426342)</f>
        <v>4082.426342</v>
      </c>
      <c r="D1015" s="72">
        <f>IFERROR(__xludf.DUMMYFUNCTION("iferror(divide(googlefinance($B1015,""shares""),1000),"""")"),159221.0)</f>
        <v>159221</v>
      </c>
      <c r="E1015" s="72">
        <f>IFERROR(__xludf.DUMMYFUNCTION("iferror(divide(googlefinance($B1015,""volumeavg""),1000),"""")"),1147.755)</f>
        <v>1147.755</v>
      </c>
      <c r="F1015" s="73">
        <f>IFERROR(__xludf.DUMMYFUNCTION("iferror(MINUS(divide(GOOGLEFINANCE($B1015), INDEX(GOOGLEFINANCE($B1015,""price"",today()-182),2,2)),1),"""")"),1.1474036850921276)</f>
        <v>1.147403685</v>
      </c>
      <c r="G1015" s="61">
        <f>IFERROR(__xludf.DUMMYFUNCTION("iferror(MINUS(divide(GOOGLEFINANCE($B1015), INDEX(GOOGLEFINANCE($B1015,""price"",today()-364),2,2)),1),"""")"),-0.10879388251651023)</f>
        <v>-0.1087938825</v>
      </c>
    </row>
    <row r="1016">
      <c r="A1016" s="71">
        <f t="shared" si="4"/>
        <v>1012</v>
      </c>
      <c r="B1016" s="47" t="s">
        <v>1149</v>
      </c>
      <c r="C1016" s="72">
        <f>IFERROR(__xludf.DUMMYFUNCTION("iferror(divide(googlefinance($B1016,""marketcap""),1000000),"""")"),5158.255779)</f>
        <v>5158.255779</v>
      </c>
      <c r="D1016" s="72">
        <f>IFERROR(__xludf.DUMMYFUNCTION("iferror(divide(googlefinance($B1016,""shares""),1000),"""")"),132026.0)</f>
        <v>132026</v>
      </c>
      <c r="E1016" s="72">
        <f>IFERROR(__xludf.DUMMYFUNCTION("iferror(divide(googlefinance($B1016,""volumeavg""),1000),"""")"),2625.096)</f>
        <v>2625.096</v>
      </c>
      <c r="F1016" s="73">
        <f>IFERROR(__xludf.DUMMYFUNCTION("iferror(MINUS(divide(GOOGLEFINANCE($B1016), INDEX(GOOGLEFINANCE($B1016,""price"",today()-182),2,2)),1),"""")"),2.8492610837438423)</f>
        <v>2.849261084</v>
      </c>
      <c r="G1016" s="61">
        <f>IFERROR(__xludf.DUMMYFUNCTION("iferror(MINUS(divide(GOOGLEFINANCE($B1016), INDEX(GOOGLEFINANCE($B1016,""price"",today()-364),2,2)),1),"""")"),0.805452865064695)</f>
        <v>0.8054528651</v>
      </c>
    </row>
    <row r="1017">
      <c r="A1017" s="71">
        <f t="shared" si="4"/>
        <v>1013</v>
      </c>
      <c r="B1017" s="47" t="s">
        <v>1150</v>
      </c>
      <c r="C1017" s="72">
        <f>IFERROR(__xludf.DUMMYFUNCTION("iferror(divide(googlefinance($B1017,""marketcap""),1000000),"""")"),7599.212935)</f>
        <v>7599.212935</v>
      </c>
      <c r="D1017" s="72">
        <f>IFERROR(__xludf.DUMMYFUNCTION("iferror(divide(googlefinance($B1017,""shares""),1000),"""")"),424300.0)</f>
        <v>424300</v>
      </c>
      <c r="E1017" s="72">
        <f>IFERROR(__xludf.DUMMYFUNCTION("iferror(divide(googlefinance($B1017,""volumeavg""),1000),"""")"),2827.804)</f>
        <v>2827.804</v>
      </c>
      <c r="F1017" s="73">
        <f>IFERROR(__xludf.DUMMYFUNCTION("iferror(MINUS(divide(GOOGLEFINANCE($B1017), INDEX(GOOGLEFINANCE($B1017,""price"",today()-182),2,2)),1),"""")"),0.5683012259194395)</f>
        <v>0.5683012259</v>
      </c>
      <c r="G1017" s="61">
        <f>IFERROR(__xludf.DUMMYFUNCTION("iferror(MINUS(divide(GOOGLEFINANCE($B1017), INDEX(GOOGLEFINANCE($B1017,""price"",today()-364),2,2)),1),"""")"),0.011864406779661163)</f>
        <v>0.01186440678</v>
      </c>
    </row>
    <row r="1018">
      <c r="A1018" s="71">
        <f t="shared" si="4"/>
        <v>1014</v>
      </c>
      <c r="B1018" s="47" t="s">
        <v>1151</v>
      </c>
      <c r="C1018" s="72">
        <f>IFERROR(__xludf.DUMMYFUNCTION("iferror(divide(googlefinance($B1018,""marketcap""),1000000),"""")"),588.19366)</f>
        <v>588.19366</v>
      </c>
      <c r="D1018" s="72">
        <f>IFERROR(__xludf.DUMMYFUNCTION("iferror(divide(googlefinance($B1018,""shares""),1000),"""")"),32805.0)</f>
        <v>32805</v>
      </c>
      <c r="E1018" s="72">
        <f>IFERROR(__xludf.DUMMYFUNCTION("iferror(divide(googlefinance($B1018,""volumeavg""),1000),"""")"),194.778)</f>
        <v>194.778</v>
      </c>
      <c r="F1018" s="73">
        <f>IFERROR(__xludf.DUMMYFUNCTION("iferror(MINUS(divide(GOOGLEFINANCE($B1018), INDEX(GOOGLEFINANCE($B1018,""price"",today()-182),2,2)),1),"""")"),1.1421744324970131)</f>
        <v>1.142174432</v>
      </c>
      <c r="G1018" s="61">
        <f>IFERROR(__xludf.DUMMYFUNCTION("iferror(MINUS(divide(GOOGLEFINANCE($B1018), INDEX(GOOGLEFINANCE($B1018,""price"",today()-364),2,2)),1),"""")"),-0.03028664142779869)</f>
        <v>-0.03028664143</v>
      </c>
    </row>
    <row r="1019">
      <c r="A1019" s="71">
        <f t="shared" si="4"/>
        <v>1015</v>
      </c>
      <c r="B1019" s="47" t="s">
        <v>1152</v>
      </c>
      <c r="C1019" s="72">
        <f>IFERROR(__xludf.DUMMYFUNCTION("iferror(divide(googlefinance($B1019,""marketcap""),1000000),"""")"),35673.658836)</f>
        <v>35673.65884</v>
      </c>
      <c r="D1019" s="72">
        <f>IFERROR(__xludf.DUMMYFUNCTION("iferror(divide(googlefinance($B1019,""shares""),1000),"""")"),279224.0)</f>
        <v>279224</v>
      </c>
      <c r="E1019" s="72">
        <f>IFERROR(__xludf.DUMMYFUNCTION("iferror(divide(googlefinance($B1019,""volumeavg""),1000),"""")"),1672.572)</f>
        <v>1672.572</v>
      </c>
      <c r="F1019" s="73">
        <f>IFERROR(__xludf.DUMMYFUNCTION("iferror(MINUS(divide(GOOGLEFINANCE($B1019), INDEX(GOOGLEFINANCE($B1019,""price"",today()-182),2,2)),1),"""")"),0.7363413971187824)</f>
        <v>0.7363413971</v>
      </c>
      <c r="G1019" s="61">
        <f>IFERROR(__xludf.DUMMYFUNCTION("iferror(MINUS(divide(GOOGLEFINANCE($B1019), INDEX(GOOGLEFINANCE($B1019,""price"",today()-364),2,2)),1),"""")"),0.219083969465649)</f>
        <v>0.2190839695</v>
      </c>
    </row>
    <row r="1020">
      <c r="A1020" s="71">
        <f t="shared" si="4"/>
        <v>1016</v>
      </c>
      <c r="B1020" s="47" t="s">
        <v>1153</v>
      </c>
      <c r="C1020" s="72">
        <f>IFERROR(__xludf.DUMMYFUNCTION("iferror(divide(googlefinance($B1020,""marketcap""),1000000),"""")"),259.824798)</f>
        <v>259.824798</v>
      </c>
      <c r="D1020" s="72">
        <f>IFERROR(__xludf.DUMMYFUNCTION("iferror(divide(googlefinance($B1020,""shares""),1000),"""")"),27553.0)</f>
        <v>27553</v>
      </c>
      <c r="E1020" s="72">
        <f>IFERROR(__xludf.DUMMYFUNCTION("iferror(divide(googlefinance($B1020,""volumeavg""),1000),"""")"),527.214)</f>
        <v>527.214</v>
      </c>
      <c r="F1020" s="73">
        <f>IFERROR(__xludf.DUMMYFUNCTION("iferror(MINUS(divide(GOOGLEFINANCE($B1020), INDEX(GOOGLEFINANCE($B1020,""price"",today()-182),2,2)),1),"""")"),-0.7099354044909258)</f>
        <v>-0.7099354045</v>
      </c>
      <c r="G1020" s="61">
        <f>IFERROR(__xludf.DUMMYFUNCTION("iferror(MINUS(divide(GOOGLEFINANCE($B1020), INDEX(GOOGLEFINANCE($B1020,""price"",today()-364),2,2)),1),"""")"),-0.7562047569803516)</f>
        <v>-0.756204757</v>
      </c>
    </row>
    <row r="1021">
      <c r="A1021" s="71">
        <f t="shared" si="4"/>
        <v>1017</v>
      </c>
      <c r="B1021" s="47" t="s">
        <v>1154</v>
      </c>
      <c r="C1021" s="72" t="str">
        <f>IFERROR(__xludf.DUMMYFUNCTION("iferror(divide(googlefinance($B1021,""marketcap""),1000000),"""")"),"")</f>
        <v/>
      </c>
      <c r="D1021" s="72" t="str">
        <f>IFERROR(__xludf.DUMMYFUNCTION("iferror(divide(googlefinance($B1021,""shares""),1000),"""")"),"")</f>
        <v/>
      </c>
      <c r="E1021" s="72" t="str">
        <f>IFERROR(__xludf.DUMMYFUNCTION("iferror(divide(googlefinance($B1021,""volumeavg""),1000),"""")"),"")</f>
        <v/>
      </c>
      <c r="F1021" s="73" t="str">
        <f>IFERROR(__xludf.DUMMYFUNCTION("iferror(MINUS(divide(GOOGLEFINANCE($B1021), INDEX(GOOGLEFINANCE($B1021,""price"",today()-182),2,2)),1),"""")"),"")</f>
        <v/>
      </c>
      <c r="G1021" s="61" t="str">
        <f>IFERROR(__xludf.DUMMYFUNCTION("iferror(MINUS(divide(GOOGLEFINANCE($B1021), INDEX(GOOGLEFINANCE($B1021,""price"",today()-364),2,2)),1),"""")"),"")</f>
        <v/>
      </c>
    </row>
    <row r="1022">
      <c r="A1022" s="71">
        <f t="shared" si="4"/>
        <v>1018</v>
      </c>
      <c r="B1022" s="47" t="s">
        <v>1155</v>
      </c>
      <c r="C1022" s="72">
        <f>IFERROR(__xludf.DUMMYFUNCTION("iferror(divide(googlefinance($B1022,""marketcap""),1000000),"""")"),1965.6315)</f>
        <v>1965.6315</v>
      </c>
      <c r="D1022" s="72">
        <f>IFERROR(__xludf.DUMMYFUNCTION("iferror(divide(googlefinance($B1022,""shares""),1000),"""")"),424175.998)</f>
        <v>424175.998</v>
      </c>
      <c r="E1022" s="72">
        <f>IFERROR(__xludf.DUMMYFUNCTION("iferror(divide(googlefinance($B1022,""volumeavg""),1000),"""")"),5135.369)</f>
        <v>5135.369</v>
      </c>
      <c r="F1022" s="73">
        <f>IFERROR(__xludf.DUMMYFUNCTION("iferror(MINUS(divide(GOOGLEFINANCE($B1022), INDEX(GOOGLEFINANCE($B1022,""price"",today()-182),2,2)),1),"""")"),-0.34512022630834516)</f>
        <v>-0.3451202263</v>
      </c>
      <c r="G1022" s="61">
        <f>IFERROR(__xludf.DUMMYFUNCTION("iferror(MINUS(divide(GOOGLEFINANCE($B1022), INDEX(GOOGLEFINANCE($B1022,""price"",today()-364),2,2)),1),"""")"),0.15174129353233834)</f>
        <v>0.1517412935</v>
      </c>
    </row>
    <row r="1023">
      <c r="A1023" s="71">
        <f t="shared" si="4"/>
        <v>1019</v>
      </c>
      <c r="B1023" s="47" t="s">
        <v>1156</v>
      </c>
      <c r="C1023" s="72">
        <f>IFERROR(__xludf.DUMMYFUNCTION("iferror(divide(googlefinance($B1023,""marketcap""),1000000),"""")"),162.159305)</f>
        <v>162.159305</v>
      </c>
      <c r="D1023" s="72">
        <f>IFERROR(__xludf.DUMMYFUNCTION("iferror(divide(googlefinance($B1023,""shares""),1000),"""")"),55917.0)</f>
        <v>55917</v>
      </c>
      <c r="E1023" s="72">
        <f>IFERROR(__xludf.DUMMYFUNCTION("iferror(divide(googlefinance($B1023,""volumeavg""),1000),"""")"),495.527)</f>
        <v>495.527</v>
      </c>
      <c r="F1023" s="73">
        <f>IFERROR(__xludf.DUMMYFUNCTION("iferror(MINUS(divide(GOOGLEFINANCE($B1023), INDEX(GOOGLEFINANCE($B1023,""price"",today()-182),2,2)),1),"""")"),0.4215686274509802)</f>
        <v>0.4215686275</v>
      </c>
      <c r="G1023" s="61">
        <f>IFERROR(__xludf.DUMMYFUNCTION("iferror(MINUS(divide(GOOGLEFINANCE($B1023), INDEX(GOOGLEFINANCE($B1023,""price"",today()-364),2,2)),1),"""")"),-0.6715741789354474)</f>
        <v>-0.6715741789</v>
      </c>
    </row>
    <row r="1024">
      <c r="A1024" s="71">
        <f t="shared" si="4"/>
        <v>1020</v>
      </c>
      <c r="B1024" s="47" t="s">
        <v>1157</v>
      </c>
      <c r="C1024" s="72">
        <f>IFERROR(__xludf.DUMMYFUNCTION("iferror(divide(googlefinance($B1024,""marketcap""),1000000),"""")"),7370.881953)</f>
        <v>7370.881953</v>
      </c>
      <c r="D1024" s="72">
        <f>IFERROR(__xludf.DUMMYFUNCTION("iferror(divide(googlefinance($B1024,""shares""),1000),"""")"),108014.0)</f>
        <v>108014</v>
      </c>
      <c r="E1024" s="72">
        <f>IFERROR(__xludf.DUMMYFUNCTION("iferror(divide(googlefinance($B1024,""volumeavg""),1000),"""")"),797.459)</f>
        <v>797.459</v>
      </c>
      <c r="F1024" s="73">
        <f>IFERROR(__xludf.DUMMYFUNCTION("iferror(MINUS(divide(GOOGLEFINANCE($B1024), INDEX(GOOGLEFINANCE($B1024,""price"",today()-182),2,2)),1),"""")"),1.189284568495348)</f>
        <v>1.189284568</v>
      </c>
      <c r="G1024" s="61">
        <f>IFERROR(__xludf.DUMMYFUNCTION("iferror(MINUS(divide(GOOGLEFINANCE($B1024), INDEX(GOOGLEFINANCE($B1024,""price"",today()-364),2,2)),1),"""")"),0.11868852459016388)</f>
        <v>0.1186885246</v>
      </c>
    </row>
    <row r="1025">
      <c r="A1025" s="71">
        <f t="shared" si="4"/>
        <v>1021</v>
      </c>
      <c r="B1025" s="47" t="s">
        <v>1158</v>
      </c>
      <c r="C1025" s="72">
        <f>IFERROR(__xludf.DUMMYFUNCTION("iferror(divide(googlefinance($B1025,""marketcap""),1000000),"""")"),557.178324)</f>
        <v>557.178324</v>
      </c>
      <c r="D1025" s="72">
        <f>IFERROR(__xludf.DUMMYFUNCTION("iferror(divide(googlefinance($B1025,""shares""),1000),"""")"),62958.0)</f>
        <v>62958</v>
      </c>
      <c r="E1025" s="72">
        <f>IFERROR(__xludf.DUMMYFUNCTION("iferror(divide(googlefinance($B1025,""volumeavg""),1000),"""")"),800.572)</f>
        <v>800.572</v>
      </c>
      <c r="F1025" s="73">
        <f>IFERROR(__xludf.DUMMYFUNCTION("iferror(MINUS(divide(GOOGLEFINANCE($B1025), INDEX(GOOGLEFINANCE($B1025,""price"",today()-182),2,2)),1),"""")"),1.1223021582733814)</f>
        <v>1.122302158</v>
      </c>
      <c r="G1025" s="61">
        <f>IFERROR(__xludf.DUMMYFUNCTION("iferror(MINUS(divide(GOOGLEFINANCE($B1025), INDEX(GOOGLEFINANCE($B1025,""price"",today()-364),2,2)),1),"""")"),1.13768115942029)</f>
        <v>1.137681159</v>
      </c>
    </row>
    <row r="1026">
      <c r="A1026" s="71">
        <f t="shared" si="4"/>
        <v>1022</v>
      </c>
      <c r="B1026" s="47" t="s">
        <v>1159</v>
      </c>
      <c r="C1026" s="72">
        <f>IFERROR(__xludf.DUMMYFUNCTION("iferror(divide(googlefinance($B1026,""marketcap""),1000000),"""")"),276.067269)</f>
        <v>276.067269</v>
      </c>
      <c r="D1026" s="72">
        <f>IFERROR(__xludf.DUMMYFUNCTION("iferror(divide(googlefinance($B1026,""shares""),1000),"""")"),5307.0)</f>
        <v>5307</v>
      </c>
      <c r="E1026" s="72">
        <f>IFERROR(__xludf.DUMMYFUNCTION("iferror(divide(googlefinance($B1026,""volumeavg""),1000),"""")"),10.538)</f>
        <v>10.538</v>
      </c>
      <c r="F1026" s="73">
        <f>IFERROR(__xludf.DUMMYFUNCTION("iferror(MINUS(divide(GOOGLEFINANCE($B1026), INDEX(GOOGLEFINANCE($B1026,""price"",today()-182),2,2)),1),"""")"),0.1640896181760807)</f>
        <v>0.1640896182</v>
      </c>
      <c r="G1026" s="61">
        <f>IFERROR(__xludf.DUMMYFUNCTION("iferror(MINUS(divide(GOOGLEFINANCE($B1026), INDEX(GOOGLEFINANCE($B1026,""price"",today()-364),2,2)),1),"""")"),0.05975294455616198)</f>
        <v>0.05975294456</v>
      </c>
    </row>
    <row r="1027">
      <c r="A1027" s="71">
        <f t="shared" si="4"/>
        <v>1023</v>
      </c>
      <c r="B1027" s="47" t="s">
        <v>1160</v>
      </c>
      <c r="C1027" s="72">
        <f>IFERROR(__xludf.DUMMYFUNCTION("iferror(divide(googlefinance($B1027,""marketcap""),1000000),"""")"),22351.5555)</f>
        <v>22351.5555</v>
      </c>
      <c r="D1027" s="72">
        <f>IFERROR(__xludf.DUMMYFUNCTION("iferror(divide(googlefinance($B1027,""shares""),1000),"""")"),117331.0)</f>
        <v>117331</v>
      </c>
      <c r="E1027" s="72">
        <f>IFERROR(__xludf.DUMMYFUNCTION("iferror(divide(googlefinance($B1027,""volumeavg""),1000),"""")"),751.004)</f>
        <v>751.004</v>
      </c>
      <c r="F1027" s="73">
        <f>IFERROR(__xludf.DUMMYFUNCTION("iferror(MINUS(divide(GOOGLEFINANCE($B1027), INDEX(GOOGLEFINANCE($B1027,""price"",today()-182),2,2)),1),"""")"),0.6940862605602489)</f>
        <v>0.6940862606</v>
      </c>
      <c r="G1027" s="61">
        <f>IFERROR(__xludf.DUMMYFUNCTION("iferror(MINUS(divide(GOOGLEFINANCE($B1027), INDEX(GOOGLEFINANCE($B1027,""price"",today()-364),2,2)),1),"""")"),0.6843501326259949)</f>
        <v>0.6843501326</v>
      </c>
    </row>
    <row r="1028">
      <c r="A1028" s="71">
        <f t="shared" si="4"/>
        <v>1024</v>
      </c>
      <c r="B1028" s="47" t="s">
        <v>1161</v>
      </c>
      <c r="C1028" s="72">
        <f>IFERROR(__xludf.DUMMYFUNCTION("iferror(divide(googlefinance($B1028,""marketcap""),1000000),"""")"),1143.882243)</f>
        <v>1143.882243</v>
      </c>
      <c r="D1028" s="72">
        <f>IFERROR(__xludf.DUMMYFUNCTION("iferror(divide(googlefinance($B1028,""shares""),1000),"""")"),52665.0)</f>
        <v>52665</v>
      </c>
      <c r="E1028" s="72">
        <f>IFERROR(__xludf.DUMMYFUNCTION("iferror(divide(googlefinance($B1028,""volumeavg""),1000),"""")"),665.708)</f>
        <v>665.708</v>
      </c>
      <c r="F1028" s="73">
        <f>IFERROR(__xludf.DUMMYFUNCTION("iferror(MINUS(divide(GOOGLEFINANCE($B1028), INDEX(GOOGLEFINANCE($B1028,""price"",today()-182),2,2)),1),"""")"),0.2340909090909089)</f>
        <v>0.2340909091</v>
      </c>
      <c r="G1028" s="61">
        <f>IFERROR(__xludf.DUMMYFUNCTION("iferror(MINUS(divide(GOOGLEFINANCE($B1028), INDEX(GOOGLEFINANCE($B1028,""price"",today()-364),2,2)),1),"""")"),0.33251533742331274)</f>
        <v>0.3325153374</v>
      </c>
    </row>
    <row r="1029">
      <c r="A1029" s="71">
        <f t="shared" si="4"/>
        <v>1025</v>
      </c>
      <c r="B1029" s="47" t="s">
        <v>1162</v>
      </c>
      <c r="C1029" s="72">
        <f>IFERROR(__xludf.DUMMYFUNCTION("iferror(divide(googlefinance($B1029,""marketcap""),1000000),"""")"),569.870927)</f>
        <v>569.870927</v>
      </c>
      <c r="D1029" s="72">
        <f>IFERROR(__xludf.DUMMYFUNCTION("iferror(divide(googlefinance($B1029,""shares""),1000),"""")"),38583.0)</f>
        <v>38583</v>
      </c>
      <c r="E1029" s="72">
        <f>IFERROR(__xludf.DUMMYFUNCTION("iferror(divide(googlefinance($B1029,""volumeavg""),1000),"""")"),625.453)</f>
        <v>625.453</v>
      </c>
      <c r="F1029" s="73">
        <f>IFERROR(__xludf.DUMMYFUNCTION("iferror(MINUS(divide(GOOGLEFINANCE($B1029), INDEX(GOOGLEFINANCE($B1029,""price"",today()-182),2,2)),1),"""")"),-0.2919463087248322)</f>
        <v>-0.2919463087</v>
      </c>
      <c r="G1029" s="61">
        <f>IFERROR(__xludf.DUMMYFUNCTION("iferror(MINUS(divide(GOOGLEFINANCE($B1029), INDEX(GOOGLEFINANCE($B1029,""price"",today()-364),2,2)),1),"""")"),-0.48302415120756037)</f>
        <v>-0.4830241512</v>
      </c>
    </row>
    <row r="1030">
      <c r="A1030" s="71">
        <f t="shared" si="4"/>
        <v>1026</v>
      </c>
      <c r="B1030" s="47" t="s">
        <v>1163</v>
      </c>
      <c r="C1030" s="72">
        <f>IFERROR(__xludf.DUMMYFUNCTION("iferror(divide(googlefinance($B1030,""marketcap""),1000000),"""")"),898.836799)</f>
        <v>898.836799</v>
      </c>
      <c r="D1030" s="72">
        <f>IFERROR(__xludf.DUMMYFUNCTION("iferror(divide(googlefinance($B1030,""shares""),1000),"""")"),60487.0)</f>
        <v>60487</v>
      </c>
      <c r="E1030" s="72">
        <f>IFERROR(__xludf.DUMMYFUNCTION("iferror(divide(googlefinance($B1030,""volumeavg""),1000),"""")"),457.501)</f>
        <v>457.501</v>
      </c>
      <c r="F1030" s="73">
        <f>IFERROR(__xludf.DUMMYFUNCTION("iferror(MINUS(divide(GOOGLEFINANCE($B1030), INDEX(GOOGLEFINANCE($B1030,""price"",today()-182),2,2)),1),"""")"),0.9839786381842455)</f>
        <v>0.9839786382</v>
      </c>
      <c r="G1030" s="61">
        <f>IFERROR(__xludf.DUMMYFUNCTION("iferror(MINUS(divide(GOOGLEFINANCE($B1030), INDEX(GOOGLEFINANCE($B1030,""price"",today()-364),2,2)),1),"""")"),-0.10427968655816755)</f>
        <v>-0.1042796866</v>
      </c>
    </row>
    <row r="1031">
      <c r="A1031" s="71">
        <f t="shared" si="4"/>
        <v>1027</v>
      </c>
      <c r="B1031" s="47" t="s">
        <v>1164</v>
      </c>
      <c r="C1031" s="72">
        <f>IFERROR(__xludf.DUMMYFUNCTION("iferror(divide(googlefinance($B1031,""marketcap""),1000000),"""")"),237.955317)</f>
        <v>237.955317</v>
      </c>
      <c r="D1031" s="72">
        <f>IFERROR(__xludf.DUMMYFUNCTION("iferror(divide(googlefinance($B1031,""shares""),1000),"""")"),30625.0)</f>
        <v>30625</v>
      </c>
      <c r="E1031" s="72">
        <f>IFERROR(__xludf.DUMMYFUNCTION("iferror(divide(googlefinance($B1031,""volumeavg""),1000),"""")"),485.145)</f>
        <v>485.145</v>
      </c>
      <c r="F1031" s="73">
        <f>IFERROR(__xludf.DUMMYFUNCTION("iferror(MINUS(divide(GOOGLEFINANCE($B1031), INDEX(GOOGLEFINANCE($B1031,""price"",today()-182),2,2)),1),"""")"),1.3761467889908254)</f>
        <v>1.376146789</v>
      </c>
      <c r="G1031" s="61">
        <f>IFERROR(__xludf.DUMMYFUNCTION("iferror(MINUS(divide(GOOGLEFINANCE($B1031), INDEX(GOOGLEFINANCE($B1031,""price"",today()-364),2,2)),1),"""")"),1.6979166666666665)</f>
        <v>1.697916667</v>
      </c>
    </row>
    <row r="1032">
      <c r="A1032" s="71">
        <f t="shared" si="4"/>
        <v>1028</v>
      </c>
      <c r="B1032" s="47" t="s">
        <v>1165</v>
      </c>
      <c r="C1032" s="72">
        <f>IFERROR(__xludf.DUMMYFUNCTION("iferror(divide(googlefinance($B1032,""marketcap""),1000000),"""")"),7387.909131)</f>
        <v>7387.909131</v>
      </c>
      <c r="D1032" s="72">
        <f>IFERROR(__xludf.DUMMYFUNCTION("iferror(divide(googlefinance($B1032,""shares""),1000),"""")"),226971.0)</f>
        <v>226971</v>
      </c>
      <c r="E1032" s="72">
        <f>IFERROR(__xludf.DUMMYFUNCTION("iferror(divide(googlefinance($B1032,""volumeavg""),1000),"""")"),1278.201)</f>
        <v>1278.201</v>
      </c>
      <c r="F1032" s="73">
        <f>IFERROR(__xludf.DUMMYFUNCTION("iferror(MINUS(divide(GOOGLEFINANCE($B1032), INDEX(GOOGLEFINANCE($B1032,""price"",today()-182),2,2)),1),"""")"),0.45118145341061067)</f>
        <v>0.4511814534</v>
      </c>
      <c r="G1032" s="61">
        <f>IFERROR(__xludf.DUMMYFUNCTION("iferror(MINUS(divide(GOOGLEFINANCE($B1032), INDEX(GOOGLEFINANCE($B1032,""price"",today()-364),2,2)),1),"""")"),-0.2051282051282053)</f>
        <v>-0.2051282051</v>
      </c>
    </row>
    <row r="1033">
      <c r="A1033" s="71">
        <f t="shared" si="4"/>
        <v>1029</v>
      </c>
      <c r="B1033" s="47" t="s">
        <v>1166</v>
      </c>
      <c r="C1033" s="72">
        <f>IFERROR(__xludf.DUMMYFUNCTION("iferror(divide(googlefinance($B1033,""marketcap""),1000000),"""")"),421.96975)</f>
        <v>421.96975</v>
      </c>
      <c r="D1033" s="72">
        <f>IFERROR(__xludf.DUMMYFUNCTION("iferror(divide(googlefinance($B1033,""shares""),1000),"""")"),99287.0)</f>
        <v>99287</v>
      </c>
      <c r="E1033" s="72">
        <f>IFERROR(__xludf.DUMMYFUNCTION("iferror(divide(googlefinance($B1033,""volumeavg""),1000),"""")"),1211.961)</f>
        <v>1211.961</v>
      </c>
      <c r="F1033" s="73">
        <f>IFERROR(__xludf.DUMMYFUNCTION("iferror(MINUS(divide(GOOGLEFINANCE($B1033), INDEX(GOOGLEFINANCE($B1033,""price"",today()-182),2,2)),1),"""")"),0.47058823529411753)</f>
        <v>0.4705882353</v>
      </c>
      <c r="G1033" s="61">
        <f>IFERROR(__xludf.DUMMYFUNCTION("iferror(MINUS(divide(GOOGLEFINANCE($B1033), INDEX(GOOGLEFINANCE($B1033,""price"",today()-364),2,2)),1),"""")"),-0.6918056562726613)</f>
        <v>-0.6918056563</v>
      </c>
    </row>
    <row r="1034">
      <c r="A1034" s="71">
        <f t="shared" si="4"/>
        <v>1030</v>
      </c>
      <c r="B1034" s="47" t="s">
        <v>1167</v>
      </c>
      <c r="C1034" s="72">
        <f>IFERROR(__xludf.DUMMYFUNCTION("iferror(divide(googlefinance($B1034,""marketcap""),1000000),"""")"),81.819907)</f>
        <v>81.819907</v>
      </c>
      <c r="D1034" s="72">
        <f>IFERROR(__xludf.DUMMYFUNCTION("iferror(divide(googlefinance($B1034,""shares""),1000),"""")"),1350164.0)</f>
        <v>1350164</v>
      </c>
      <c r="E1034" s="72">
        <f>IFERROR(__xludf.DUMMYFUNCTION("iferror(divide(googlefinance($B1034,""volumeavg""),1000),"""")"),102.692)</f>
        <v>102.692</v>
      </c>
      <c r="F1034" s="73">
        <f>IFERROR(__xludf.DUMMYFUNCTION("iferror(MINUS(divide(GOOGLEFINANCE($B1034), INDEX(GOOGLEFINANCE($B1034,""price"",today()-182),2,2)),1),"""")"),1.8317757009345792)</f>
        <v>1.831775701</v>
      </c>
      <c r="G1034" s="61">
        <f>IFERROR(__xludf.DUMMYFUNCTION("iferror(MINUS(divide(GOOGLEFINANCE($B1034), INDEX(GOOGLEFINANCE($B1034,""price"",today()-364),2,2)),1),"""")"),1.1642857142857141)</f>
        <v>1.164285714</v>
      </c>
    </row>
    <row r="1035">
      <c r="A1035" s="71">
        <f t="shared" si="4"/>
        <v>1031</v>
      </c>
      <c r="B1035" s="47" t="s">
        <v>1168</v>
      </c>
      <c r="C1035" s="72">
        <f>IFERROR(__xludf.DUMMYFUNCTION("iferror(divide(googlefinance($B1035,""marketcap""),1000000),"""")"),5504.005599)</f>
        <v>5504.005599</v>
      </c>
      <c r="D1035" s="72">
        <f>IFERROR(__xludf.DUMMYFUNCTION("iferror(divide(googlefinance($B1035,""shares""),1000),"""")"),65376.0)</f>
        <v>65376</v>
      </c>
      <c r="E1035" s="72">
        <f>IFERROR(__xludf.DUMMYFUNCTION("iferror(divide(googlefinance($B1035,""volumeavg""),1000),"""")"),1195.76)</f>
        <v>1195.76</v>
      </c>
      <c r="F1035" s="73">
        <f>IFERROR(__xludf.DUMMYFUNCTION("iferror(MINUS(divide(GOOGLEFINANCE($B1035), INDEX(GOOGLEFINANCE($B1035,""price"",today()-182),2,2)),1),"""")"),1.170964414646725)</f>
        <v>1.170964415</v>
      </c>
      <c r="G1035" s="61">
        <f>IFERROR(__xludf.DUMMYFUNCTION("iferror(MINUS(divide(GOOGLEFINANCE($B1035), INDEX(GOOGLEFINANCE($B1035,""price"",today()-364),2,2)),1),"""")"),0.3461784457946915)</f>
        <v>0.3461784458</v>
      </c>
    </row>
    <row r="1036">
      <c r="A1036" s="71">
        <f t="shared" si="4"/>
        <v>1032</v>
      </c>
      <c r="B1036" s="47" t="s">
        <v>1169</v>
      </c>
      <c r="C1036" s="72">
        <f>IFERROR(__xludf.DUMMYFUNCTION("iferror(divide(googlefinance($B1036,""marketcap""),1000000),"""")"),1952.752921)</f>
        <v>1952.752921</v>
      </c>
      <c r="D1036" s="72">
        <f>IFERROR(__xludf.DUMMYFUNCTION("iferror(divide(googlefinance($B1036,""shares""),1000),"""")"),157862.0)</f>
        <v>157862</v>
      </c>
      <c r="E1036" s="72">
        <f>IFERROR(__xludf.DUMMYFUNCTION("iferror(divide(googlefinance($B1036,""volumeavg""),1000),"""")"),3070.895)</f>
        <v>3070.895</v>
      </c>
      <c r="F1036" s="73">
        <f>IFERROR(__xludf.DUMMYFUNCTION("iferror(MINUS(divide(GOOGLEFINANCE($B1036), INDEX(GOOGLEFINANCE($B1036,""price"",today()-182),2,2)),1),"""")"),0.05366269165247006)</f>
        <v>0.05366269165</v>
      </c>
      <c r="G1036" s="61">
        <f>IFERROR(__xludf.DUMMYFUNCTION("iferror(MINUS(divide(GOOGLEFINANCE($B1036), INDEX(GOOGLEFINANCE($B1036,""price"",today()-364),2,2)),1),"""")"),-0.3360171765968868)</f>
        <v>-0.3360171766</v>
      </c>
    </row>
    <row r="1037">
      <c r="A1037" s="71">
        <f t="shared" si="4"/>
        <v>1033</v>
      </c>
      <c r="B1037" s="47" t="s">
        <v>1170</v>
      </c>
      <c r="C1037" s="72">
        <f>IFERROR(__xludf.DUMMYFUNCTION("iferror(divide(googlefinance($B1037,""marketcap""),1000000),"""")"),1593.484534)</f>
        <v>1593.484534</v>
      </c>
      <c r="D1037" s="72">
        <f>IFERROR(__xludf.DUMMYFUNCTION("iferror(divide(googlefinance($B1037,""shares""),1000),"""")"),344005.0)</f>
        <v>344005</v>
      </c>
      <c r="E1037" s="72">
        <f>IFERROR(__xludf.DUMMYFUNCTION("iferror(divide(googlefinance($B1037,""volumeavg""),1000),"""")"),88.119)</f>
        <v>88.119</v>
      </c>
      <c r="F1037" s="73">
        <f>IFERROR(__xludf.DUMMYFUNCTION("iferror(MINUS(divide(GOOGLEFINANCE($B1037), INDEX(GOOGLEFINANCE($B1037,""price"",today()-182),2,2)),1),"""")"),0.5376740376740374)</f>
        <v>0.5376740377</v>
      </c>
      <c r="G1037" s="61">
        <f>IFERROR(__xludf.DUMMYFUNCTION("iferror(MINUS(divide(GOOGLEFINANCE($B1037), INDEX(GOOGLEFINANCE($B1037,""price"",today()-364),2,2)),1),"""")"),-0.21623878104779792)</f>
        <v>-0.216238781</v>
      </c>
    </row>
    <row r="1038">
      <c r="A1038" s="71">
        <f t="shared" si="4"/>
        <v>1034</v>
      </c>
      <c r="B1038" s="47" t="s">
        <v>1171</v>
      </c>
      <c r="C1038" s="72">
        <f>IFERROR(__xludf.DUMMYFUNCTION("iferror(divide(googlefinance($B1038,""marketcap""),1000000),"""")"),776.937676)</f>
        <v>776.937676</v>
      </c>
      <c r="D1038" s="72">
        <f>IFERROR(__xludf.DUMMYFUNCTION("iferror(divide(googlefinance($B1038,""shares""),1000),"""")"),61418.0)</f>
        <v>61418</v>
      </c>
      <c r="E1038" s="72">
        <f>IFERROR(__xludf.DUMMYFUNCTION("iferror(divide(googlefinance($B1038,""volumeavg""),1000),"""")"),2532.291)</f>
        <v>2532.291</v>
      </c>
      <c r="F1038" s="73">
        <f>IFERROR(__xludf.DUMMYFUNCTION("iferror(MINUS(divide(GOOGLEFINANCE($B1038), INDEX(GOOGLEFINANCE($B1038,""price"",today()-182),2,2)),1),"""")"),0.10287707061900608)</f>
        <v>0.1028770706</v>
      </c>
      <c r="G1038" s="61">
        <f>IFERROR(__xludf.DUMMYFUNCTION("iferror(MINUS(divide(GOOGLEFINANCE($B1038), INDEX(GOOGLEFINANCE($B1038,""price"",today()-364),2,2)),1),"""")"),-0.305708013172338)</f>
        <v>-0.3057080132</v>
      </c>
    </row>
    <row r="1039">
      <c r="A1039" s="71">
        <f t="shared" si="4"/>
        <v>1035</v>
      </c>
      <c r="B1039" s="47" t="s">
        <v>1172</v>
      </c>
      <c r="C1039" s="72">
        <f>IFERROR(__xludf.DUMMYFUNCTION("iferror(divide(googlefinance($B1039,""marketcap""),1000000),"""")"),934.391625)</f>
        <v>934.391625</v>
      </c>
      <c r="D1039" s="72">
        <f>IFERROR(__xludf.DUMMYFUNCTION("iferror(divide(googlefinance($B1039,""shares""),1000),"""")"),63781.0)</f>
        <v>63781</v>
      </c>
      <c r="E1039" s="72">
        <f>IFERROR(__xludf.DUMMYFUNCTION("iferror(divide(googlefinance($B1039,""volumeavg""),1000),"""")"),1573.724)</f>
        <v>1573.724</v>
      </c>
      <c r="F1039" s="73">
        <f>IFERROR(__xludf.DUMMYFUNCTION("iferror(MINUS(divide(GOOGLEFINANCE($B1039), INDEX(GOOGLEFINANCE($B1039,""price"",today()-182),2,2)),1),"""")"),1.478849407783418)</f>
        <v>1.478849408</v>
      </c>
      <c r="G1039" s="61">
        <f>IFERROR(__xludf.DUMMYFUNCTION("iferror(MINUS(divide(GOOGLEFINANCE($B1039), INDEX(GOOGLEFINANCE($B1039,""price"",today()-364),2,2)),1),"""")"),1.6114081996434937)</f>
        <v>1.6114082</v>
      </c>
    </row>
    <row r="1040">
      <c r="A1040" s="71">
        <f t="shared" si="4"/>
        <v>1036</v>
      </c>
      <c r="B1040" s="47" t="s">
        <v>1173</v>
      </c>
      <c r="C1040" s="72">
        <f>IFERROR(__xludf.DUMMYFUNCTION("iferror(divide(googlefinance($B1040,""marketcap""),1000000),"""")"),4834.892147)</f>
        <v>4834.892147</v>
      </c>
      <c r="D1040" s="72">
        <f>IFERROR(__xludf.DUMMYFUNCTION("iferror(divide(googlefinance($B1040,""shares""),1000),"""")"),169052.173)</f>
        <v>169052.173</v>
      </c>
      <c r="E1040" s="72">
        <f>IFERROR(__xludf.DUMMYFUNCTION("iferror(divide(googlefinance($B1040,""volumeavg""),1000),"""")"),171.085)</f>
        <v>171.085</v>
      </c>
      <c r="F1040" s="73">
        <f>IFERROR(__xludf.DUMMYFUNCTION("iferror(MINUS(divide(GOOGLEFINANCE($B1040), INDEX(GOOGLEFINANCE($B1040,""price"",today()-182),2,2)),1),"""")"),0.14859437751004023)</f>
        <v>0.1485943775</v>
      </c>
      <c r="G1040" s="61">
        <f>IFERROR(__xludf.DUMMYFUNCTION("iferror(MINUS(divide(GOOGLEFINANCE($B1040), INDEX(GOOGLEFINANCE($B1040,""price"",today()-364),2,2)),1),"""")"),0.0792452830188679)</f>
        <v>0.07924528302</v>
      </c>
    </row>
    <row r="1041">
      <c r="A1041" s="71">
        <f t="shared" si="4"/>
        <v>1037</v>
      </c>
      <c r="B1041" s="56" t="s">
        <v>1174</v>
      </c>
      <c r="C1041" s="72">
        <f>IFERROR(__xludf.DUMMYFUNCTION("iferror(divide(googlefinance($B1041,""marketcap""),1000000),"""")"),1666457.984)</f>
        <v>1666457.984</v>
      </c>
      <c r="D1041" s="72">
        <f>IFERROR(__xludf.DUMMYFUNCTION("iferror(divide(googlefinance($B1041,""shares""),1000),"""")"),206245.0)</f>
        <v>206245</v>
      </c>
      <c r="E1041" s="72">
        <f>IFERROR(__xludf.DUMMYFUNCTION("iferror(divide(googlefinance($B1041,""volumeavg""),1000),"""")"),4.425)</f>
        <v>4.425</v>
      </c>
      <c r="F1041" s="73">
        <f>IFERROR(__xludf.DUMMYFUNCTION("iferror(MINUS(divide(GOOGLEFINANCE($B1041), INDEX(GOOGLEFINANCE($B1041,""price"",today()-182),2,2)),1),"""")"),0.6277202619902813)</f>
        <v>0.627720262</v>
      </c>
      <c r="G1041" s="61">
        <f>IFERROR(__xludf.DUMMYFUNCTION("iferror(MINUS(divide(GOOGLEFINANCE($B1041), INDEX(GOOGLEFINANCE($B1041,""price"",today()-364),2,2)),1),"""")"),0.4293135435992581)</f>
        <v>0.4293135436</v>
      </c>
    </row>
    <row r="1042">
      <c r="A1042" s="71">
        <f t="shared" si="4"/>
        <v>1038</v>
      </c>
      <c r="B1042" s="47" t="s">
        <v>1175</v>
      </c>
      <c r="C1042" s="72">
        <f>IFERROR(__xludf.DUMMYFUNCTION("iferror(divide(googlefinance($B1042,""marketcap""),1000000),"""")"),8997.001643)</f>
        <v>8997.001643</v>
      </c>
      <c r="D1042" s="72">
        <f>IFERROR(__xludf.DUMMYFUNCTION("iferror(divide(googlefinance($B1042,""shares""),1000),"""")"),410822.0)</f>
        <v>410822</v>
      </c>
      <c r="E1042" s="72">
        <f>IFERROR(__xludf.DUMMYFUNCTION("iferror(divide(googlefinance($B1042,""volumeavg""),1000),"""")"),6119.921)</f>
        <v>6119.921</v>
      </c>
      <c r="F1042" s="73">
        <f>IFERROR(__xludf.DUMMYFUNCTION("iferror(MINUS(divide(GOOGLEFINANCE($B1042), INDEX(GOOGLEFINANCE($B1042,""price"",today()-182),2,2)),1),"""")"),1.0240295748613675)</f>
        <v>1.024029575</v>
      </c>
      <c r="G1042" s="61">
        <f>IFERROR(__xludf.DUMMYFUNCTION("iferror(MINUS(divide(GOOGLEFINANCE($B1042), INDEX(GOOGLEFINANCE($B1042,""price"",today()-364),2,2)),1),"""")"),0.13354037267080732)</f>
        <v>0.1335403727</v>
      </c>
    </row>
    <row r="1043">
      <c r="A1043" s="71">
        <f t="shared" si="4"/>
        <v>1039</v>
      </c>
      <c r="B1043" s="47" t="s">
        <v>1176</v>
      </c>
      <c r="C1043" s="72">
        <f>IFERROR(__xludf.DUMMYFUNCTION("iferror(divide(googlefinance($B1043,""marketcap""),1000000),"""")"),119.227528)</f>
        <v>119.227528</v>
      </c>
      <c r="D1043" s="72">
        <f>IFERROR(__xludf.DUMMYFUNCTION("iferror(divide(googlefinance($B1043,""shares""),1000),"""")"),27663.0)</f>
        <v>27663</v>
      </c>
      <c r="E1043" s="72">
        <f>IFERROR(__xludf.DUMMYFUNCTION("iferror(divide(googlefinance($B1043,""volumeavg""),1000),"""")"),321.649)</f>
        <v>321.649</v>
      </c>
      <c r="F1043" s="73">
        <f>IFERROR(__xludf.DUMMYFUNCTION("iferror(MINUS(divide(GOOGLEFINANCE($B1043), INDEX(GOOGLEFINANCE($B1043,""price"",today()-182),2,2)),1),"""")"),2.290076335877862)</f>
        <v>2.290076336</v>
      </c>
      <c r="G1043" s="61">
        <f>IFERROR(__xludf.DUMMYFUNCTION("iferror(MINUS(divide(GOOGLEFINANCE($B1043), INDEX(GOOGLEFINANCE($B1043,""price"",today()-364),2,2)),1),"""")"),0.9590909090909088)</f>
        <v>0.9590909091</v>
      </c>
    </row>
    <row r="1044">
      <c r="A1044" s="71">
        <f t="shared" si="4"/>
        <v>1040</v>
      </c>
      <c r="B1044" s="47" t="s">
        <v>1177</v>
      </c>
      <c r="C1044" s="72">
        <f>IFERROR(__xludf.DUMMYFUNCTION("iferror(divide(googlefinance($B1044,""marketcap""),1000000),"""")"),44.9135)</f>
        <v>44.9135</v>
      </c>
      <c r="D1044" s="72">
        <f>IFERROR(__xludf.DUMMYFUNCTION("iferror(divide(googlefinance($B1044,""shares""),1000),"""")"),179654.0)</f>
        <v>179654</v>
      </c>
      <c r="E1044" s="72">
        <f>IFERROR(__xludf.DUMMYFUNCTION("iferror(divide(googlefinance($B1044,""volumeavg""),1000),"""")"),19588.027)</f>
        <v>19588.027</v>
      </c>
      <c r="F1044" s="73">
        <f>IFERROR(__xludf.DUMMYFUNCTION("iferror(MINUS(divide(GOOGLEFINANCE($B1044), INDEX(GOOGLEFINANCE($B1044,""price"",today()-182),2,2)),1),"""")"),-0.16666666666666663)</f>
        <v>-0.1666666667</v>
      </c>
      <c r="G1044" s="61">
        <f>IFERROR(__xludf.DUMMYFUNCTION("iferror(MINUS(divide(GOOGLEFINANCE($B1044), INDEX(GOOGLEFINANCE($B1044,""price"",today()-364),2,2)),1),"""")"),-0.84375)</f>
        <v>-0.84375</v>
      </c>
    </row>
    <row r="1045">
      <c r="A1045" s="71">
        <f t="shared" si="4"/>
        <v>1041</v>
      </c>
      <c r="B1045" s="47" t="s">
        <v>1178</v>
      </c>
      <c r="C1045" s="72">
        <f>IFERROR(__xludf.DUMMYFUNCTION("iferror(divide(googlefinance($B1045,""marketcap""),1000000),"""")"),2096.571419)</f>
        <v>2096.571419</v>
      </c>
      <c r="D1045" s="72">
        <f>IFERROR(__xludf.DUMMYFUNCTION("iferror(divide(googlefinance($B1045,""shares""),1000),"""")"),669831.0)</f>
        <v>669831</v>
      </c>
      <c r="E1045" s="72">
        <f>IFERROR(__xludf.DUMMYFUNCTION("iferror(divide(googlefinance($B1045,""volumeavg""),1000),"""")"),14366.009)</f>
        <v>14366.009</v>
      </c>
      <c r="F1045" s="73">
        <f>IFERROR(__xludf.DUMMYFUNCTION("iferror(MINUS(divide(GOOGLEFINANCE($B1045), INDEX(GOOGLEFINANCE($B1045,""price"",today()-182),2,2)),1),"""")"),1.2357142857142858)</f>
        <v>1.235714286</v>
      </c>
      <c r="G1045" s="61">
        <f>IFERROR(__xludf.DUMMYFUNCTION("iferror(MINUS(divide(GOOGLEFINANCE($B1045), INDEX(GOOGLEFINANCE($B1045,""price"",today()-364),2,2)),1),"""")"),0.5495049504950495)</f>
        <v>0.5495049505</v>
      </c>
    </row>
    <row r="1046">
      <c r="A1046" s="71">
        <f t="shared" si="4"/>
        <v>1042</v>
      </c>
      <c r="B1046" s="47" t="s">
        <v>1179</v>
      </c>
      <c r="C1046" s="72">
        <f>IFERROR(__xludf.DUMMYFUNCTION("iferror(divide(googlefinance($B1046,""marketcap""),1000000),"""")"),226.685126)</f>
        <v>226.685126</v>
      </c>
      <c r="D1046" s="72">
        <f>IFERROR(__xludf.DUMMYFUNCTION("iferror(divide(googlefinance($B1046,""shares""),1000),"""")"),51992.0)</f>
        <v>51992</v>
      </c>
      <c r="E1046" s="72">
        <f>IFERROR(__xludf.DUMMYFUNCTION("iferror(divide(googlefinance($B1046,""volumeavg""),1000),"""")"),504.214)</f>
        <v>504.214</v>
      </c>
      <c r="F1046" s="73">
        <f>IFERROR(__xludf.DUMMYFUNCTION("iferror(MINUS(divide(GOOGLEFINANCE($B1046), INDEX(GOOGLEFINANCE($B1046,""price"",today()-182),2,2)),1),"""")"),0.1880108991825613)</f>
        <v>0.1880108992</v>
      </c>
      <c r="G1046" s="61">
        <f>IFERROR(__xludf.DUMMYFUNCTION("iferror(MINUS(divide(GOOGLEFINANCE($B1046), INDEX(GOOGLEFINANCE($B1046,""price"",today()-364),2,2)),1),"""")"),-0.4487989886219974)</f>
        <v>-0.4487989886</v>
      </c>
    </row>
    <row r="1047">
      <c r="A1047" s="71">
        <f t="shared" si="4"/>
        <v>1043</v>
      </c>
      <c r="B1047" s="47" t="s">
        <v>1180</v>
      </c>
      <c r="C1047" s="72">
        <f>IFERROR(__xludf.DUMMYFUNCTION("iferror(divide(googlefinance($B1047,""marketcap""),1000000),"""")"),2862.449393)</f>
        <v>2862.449393</v>
      </c>
      <c r="D1047" s="72">
        <f>IFERROR(__xludf.DUMMYFUNCTION("iferror(divide(googlefinance($B1047,""shares""),1000),"""")"),165651.0)</f>
        <v>165651</v>
      </c>
      <c r="E1047" s="72">
        <f>IFERROR(__xludf.DUMMYFUNCTION("iferror(divide(googlefinance($B1047,""volumeavg""),1000),"""")"),846.771)</f>
        <v>846.771</v>
      </c>
      <c r="F1047" s="73">
        <f>IFERROR(__xludf.DUMMYFUNCTION("iferror(MINUS(divide(GOOGLEFINANCE($B1047), INDEX(GOOGLEFINANCE($B1047,""price"",today()-182),2,2)),1),"""")"),1.0138248847926268)</f>
        <v>1.013824885</v>
      </c>
      <c r="G1047" s="61">
        <f>IFERROR(__xludf.DUMMYFUNCTION("iferror(MINUS(divide(GOOGLEFINANCE($B1047), INDEX(GOOGLEFINANCE($B1047,""price"",today()-364),2,2)),1),"""")"),0.07020408163265301)</f>
        <v>0.07020408163</v>
      </c>
    </row>
    <row r="1048">
      <c r="A1048" s="71">
        <f t="shared" si="4"/>
        <v>1044</v>
      </c>
      <c r="B1048" s="47" t="s">
        <v>1181</v>
      </c>
      <c r="C1048" s="72">
        <f>IFERROR(__xludf.DUMMYFUNCTION("iferror(divide(googlefinance($B1048,""marketcap""),1000000),"""")"),432.210099)</f>
        <v>432.210099</v>
      </c>
      <c r="D1048" s="72">
        <f>IFERROR(__xludf.DUMMYFUNCTION("iferror(divide(googlefinance($B1048,""shares""),1000),"""")"),105417.0)</f>
        <v>105417</v>
      </c>
      <c r="E1048" s="72">
        <f>IFERROR(__xludf.DUMMYFUNCTION("iferror(divide(googlefinance($B1048,""volumeavg""),1000),"""")"),90.443)</f>
        <v>90.443</v>
      </c>
      <c r="F1048" s="73">
        <f>IFERROR(__xludf.DUMMYFUNCTION("iferror(MINUS(divide(GOOGLEFINANCE($B1048), INDEX(GOOGLEFINANCE($B1048,""price"",today()-182),2,2)),1),"""")"),0.3531353135313531)</f>
        <v>0.3531353135</v>
      </c>
      <c r="G1048" s="61">
        <f>IFERROR(__xludf.DUMMYFUNCTION("iferror(MINUS(divide(GOOGLEFINANCE($B1048), INDEX(GOOGLEFINANCE($B1048,""price"",today()-364),2,2)),1),"""")"),-0.38897168405365135)</f>
        <v>-0.3889716841</v>
      </c>
    </row>
    <row r="1049">
      <c r="A1049" s="71">
        <f t="shared" si="4"/>
        <v>1045</v>
      </c>
      <c r="B1049" s="47" t="s">
        <v>1182</v>
      </c>
      <c r="C1049" s="72">
        <f>IFERROR(__xludf.DUMMYFUNCTION("iferror(divide(googlefinance($B1049,""marketcap""),1000000),"""")"),105.830259)</f>
        <v>105.830259</v>
      </c>
      <c r="D1049" s="72">
        <f>IFERROR(__xludf.DUMMYFUNCTION("iferror(divide(googlefinance($B1049,""shares""),1000),"""")"),22094.0)</f>
        <v>22094</v>
      </c>
      <c r="E1049" s="72">
        <f>IFERROR(__xludf.DUMMYFUNCTION("iferror(divide(googlefinance($B1049,""volumeavg""),1000),"""")"),38.97)</f>
        <v>38.97</v>
      </c>
      <c r="F1049" s="73">
        <f>IFERROR(__xludf.DUMMYFUNCTION("iferror(MINUS(divide(GOOGLEFINANCE($B1049), INDEX(GOOGLEFINANCE($B1049,""price"",today()-182),2,2)),1),"""")"),0.6020066889632105)</f>
        <v>0.602006689</v>
      </c>
      <c r="G1049" s="61">
        <f>IFERROR(__xludf.DUMMYFUNCTION("iferror(MINUS(divide(GOOGLEFINANCE($B1049), INDEX(GOOGLEFINANCE($B1049,""price"",today()-364),2,2)),1),"""")"),0.10879629629629628)</f>
        <v>0.1087962963</v>
      </c>
    </row>
    <row r="1050">
      <c r="A1050" s="71">
        <f t="shared" si="4"/>
        <v>1046</v>
      </c>
      <c r="B1050" s="47" t="s">
        <v>1183</v>
      </c>
      <c r="C1050" s="72">
        <f>IFERROR(__xludf.DUMMYFUNCTION("iferror(divide(googlefinance($B1050,""marketcap""),1000000),"""")"),661.28365)</f>
        <v>661.28365</v>
      </c>
      <c r="D1050" s="72">
        <f>IFERROR(__xludf.DUMMYFUNCTION("iferror(divide(googlefinance($B1050,""shares""),1000),"""")"),29956.0)</f>
        <v>29956</v>
      </c>
      <c r="E1050" s="72">
        <f>IFERROR(__xludf.DUMMYFUNCTION("iferror(divide(googlefinance($B1050,""volumeavg""),1000),"""")"),103.397)</f>
        <v>103.397</v>
      </c>
      <c r="F1050" s="73" t="str">
        <f>IFERROR(__xludf.DUMMYFUNCTION("iferror(MINUS(divide(GOOGLEFINANCE($B1050), INDEX(GOOGLEFINANCE($B1050,""price"",today()-182),2,2)),1),"""")"),"")</f>
        <v/>
      </c>
      <c r="G1050" s="61" t="str">
        <f>IFERROR(__xludf.DUMMYFUNCTION("iferror(MINUS(divide(GOOGLEFINANCE($B1050), INDEX(GOOGLEFINANCE($B1050,""price"",today()-364),2,2)),1),"""")"),"")</f>
        <v/>
      </c>
    </row>
    <row r="1051">
      <c r="A1051" s="71">
        <f t="shared" si="4"/>
        <v>1047</v>
      </c>
      <c r="B1051" s="47" t="s">
        <v>1184</v>
      </c>
      <c r="C1051" s="72">
        <f>IFERROR(__xludf.DUMMYFUNCTION("iferror(divide(googlefinance($B1051,""marketcap""),1000000),"""")"),34617.241434)</f>
        <v>34617.24143</v>
      </c>
      <c r="D1051" s="72">
        <f>IFERROR(__xludf.DUMMYFUNCTION("iferror(divide(googlefinance($B1051,""shares""),1000),"""")"),74065.0)</f>
        <v>74065</v>
      </c>
      <c r="E1051" s="72">
        <f>IFERROR(__xludf.DUMMYFUNCTION("iferror(divide(googlefinance($B1051,""volumeavg""),1000),"""")"),440.022)</f>
        <v>440.022</v>
      </c>
      <c r="F1051" s="73">
        <f>IFERROR(__xludf.DUMMYFUNCTION("iferror(MINUS(divide(GOOGLEFINANCE($B1051), INDEX(GOOGLEFINANCE($B1051,""price"",today()-182),2,2)),1),"""")"),0.7719604200629337)</f>
        <v>0.7719604201</v>
      </c>
      <c r="G1051" s="61">
        <f>IFERROR(__xludf.DUMMYFUNCTION("iferror(MINUS(divide(GOOGLEFINANCE($B1051), INDEX(GOOGLEFINANCE($B1051,""price"",today()-364),2,2)),1),"""")"),0.1718146718146718)</f>
        <v>0.1718146718</v>
      </c>
    </row>
    <row r="1052">
      <c r="A1052" s="71">
        <f t="shared" si="4"/>
        <v>1048</v>
      </c>
      <c r="B1052" s="47" t="s">
        <v>1185</v>
      </c>
      <c r="C1052" s="72">
        <f>IFERROR(__xludf.DUMMYFUNCTION("iferror(divide(googlefinance($B1052,""marketcap""),1000000),"""")"),62.346552)</f>
        <v>62.346552</v>
      </c>
      <c r="D1052" s="72">
        <f>IFERROR(__xludf.DUMMYFUNCTION("iferror(divide(googlefinance($B1052,""shares""),1000),"""")"),23527.0)</f>
        <v>23527</v>
      </c>
      <c r="E1052" s="72">
        <f>IFERROR(__xludf.DUMMYFUNCTION("iferror(divide(googlefinance($B1052,""volumeavg""),1000),"""")"),93.955)</f>
        <v>93.955</v>
      </c>
      <c r="F1052" s="73">
        <f>IFERROR(__xludf.DUMMYFUNCTION("iferror(MINUS(divide(GOOGLEFINANCE($B1052), INDEX(GOOGLEFINANCE($B1052,""price"",today()-182),2,2)),1),"""")"),-0.1225165562913908)</f>
        <v>-0.1225165563</v>
      </c>
      <c r="G1052" s="61">
        <f>IFERROR(__xludf.DUMMYFUNCTION("iferror(MINUS(divide(GOOGLEFINANCE($B1052), INDEX(GOOGLEFINANCE($B1052,""price"",today()-364),2,2)),1),"""")"),-0.14516129032258074)</f>
        <v>-0.1451612903</v>
      </c>
    </row>
    <row r="1053">
      <c r="A1053" s="71">
        <f t="shared" si="4"/>
        <v>1049</v>
      </c>
      <c r="B1053" s="47" t="s">
        <v>1186</v>
      </c>
      <c r="C1053" s="72">
        <f>IFERROR(__xludf.DUMMYFUNCTION("iferror(divide(googlefinance($B1053,""marketcap""),1000000),"""")"),504.473614)</f>
        <v>504.473614</v>
      </c>
      <c r="D1053" s="72">
        <f>IFERROR(__xludf.DUMMYFUNCTION("iferror(divide(googlefinance($B1053,""shares""),1000),"""")"),97577.0)</f>
        <v>97577</v>
      </c>
      <c r="E1053" s="72">
        <f>IFERROR(__xludf.DUMMYFUNCTION("iferror(divide(googlefinance($B1053,""volumeavg""),1000),"""")"),1496.314)</f>
        <v>1496.314</v>
      </c>
      <c r="F1053" s="73">
        <f>IFERROR(__xludf.DUMMYFUNCTION("iferror(MINUS(divide(GOOGLEFINANCE($B1053), INDEX(GOOGLEFINANCE($B1053,""price"",today()-182),2,2)),1),"""")"),-0.1741214057507987)</f>
        <v>-0.1741214058</v>
      </c>
      <c r="G1053" s="61">
        <f>IFERROR(__xludf.DUMMYFUNCTION("iferror(MINUS(divide(GOOGLEFINANCE($B1053), INDEX(GOOGLEFINANCE($B1053,""price"",today()-364),2,2)),1),"""")"),-0.6539491298527442)</f>
        <v>-0.6539491299</v>
      </c>
    </row>
    <row r="1054">
      <c r="A1054" s="71">
        <f t="shared" si="4"/>
        <v>1050</v>
      </c>
      <c r="B1054" s="47" t="s">
        <v>1187</v>
      </c>
      <c r="C1054" s="72">
        <f>IFERROR(__xludf.DUMMYFUNCTION("iferror(divide(googlefinance($B1054,""marketcap""),1000000),"""")"),3347.025909)</f>
        <v>3347.025909</v>
      </c>
      <c r="D1054" s="72">
        <f>IFERROR(__xludf.DUMMYFUNCTION("iferror(divide(googlefinance($B1054,""shares""),1000),"""")"),80700.0)</f>
        <v>80700</v>
      </c>
      <c r="E1054" s="72">
        <f>IFERROR(__xludf.DUMMYFUNCTION("iferror(divide(googlefinance($B1054,""volumeavg""),1000),"""")"),267.007)</f>
        <v>267.007</v>
      </c>
      <c r="F1054" s="73">
        <f>IFERROR(__xludf.DUMMYFUNCTION("iferror(MINUS(divide(GOOGLEFINANCE($B1054), INDEX(GOOGLEFINANCE($B1054,""price"",today()-182),2,2)),1),"""")"),2.0048216007714563)</f>
        <v>2.004821601</v>
      </c>
      <c r="G1054" s="61">
        <f>IFERROR(__xludf.DUMMYFUNCTION("iferror(MINUS(divide(GOOGLEFINANCE($B1054), INDEX(GOOGLEFINANCE($B1054,""price"",today()-364),2,2)),1),"""")"),0.30759546789760805)</f>
        <v>0.3075954679</v>
      </c>
    </row>
    <row r="1055">
      <c r="A1055" s="71">
        <f t="shared" si="4"/>
        <v>1051</v>
      </c>
      <c r="B1055" s="47" t="s">
        <v>1188</v>
      </c>
      <c r="C1055" s="72">
        <f>IFERROR(__xludf.DUMMYFUNCTION("iferror(divide(googlefinance($B1055,""marketcap""),1000000),"""")"),193.39488)</f>
        <v>193.39488</v>
      </c>
      <c r="D1055" s="72">
        <f>IFERROR(__xludf.DUMMYFUNCTION("iferror(divide(googlefinance($B1055,""shares""),1000),"""")"),86337.0)</f>
        <v>86337</v>
      </c>
      <c r="E1055" s="72">
        <f>IFERROR(__xludf.DUMMYFUNCTION("iferror(divide(googlefinance($B1055,""volumeavg""),1000),"""")"),224.31)</f>
        <v>224.31</v>
      </c>
      <c r="F1055" s="73">
        <f>IFERROR(__xludf.DUMMYFUNCTION("iferror(MINUS(divide(GOOGLEFINANCE($B1055), INDEX(GOOGLEFINANCE($B1055,""price"",today()-182),2,2)),1),"""")"),0.1256281407035178)</f>
        <v>0.1256281407</v>
      </c>
      <c r="G1055" s="61">
        <f>IFERROR(__xludf.DUMMYFUNCTION("iferror(MINUS(divide(GOOGLEFINANCE($B1055), INDEX(GOOGLEFINANCE($B1055,""price"",today()-364),2,2)),1),"""")"),0.23756906077348083)</f>
        <v>0.2375690608</v>
      </c>
    </row>
    <row r="1056">
      <c r="A1056" s="71">
        <f t="shared" si="4"/>
        <v>1052</v>
      </c>
      <c r="B1056" s="47" t="s">
        <v>1189</v>
      </c>
      <c r="C1056" s="72">
        <f>IFERROR(__xludf.DUMMYFUNCTION("iferror(divide(googlefinance($B1056,""marketcap""),1000000),"""")"),328.482456)</f>
        <v>328.482456</v>
      </c>
      <c r="D1056" s="72">
        <f>IFERROR(__xludf.DUMMYFUNCTION("iferror(divide(googlefinance($B1056,""shares""),1000),"""")"),63783.0)</f>
        <v>63783</v>
      </c>
      <c r="E1056" s="72">
        <f>IFERROR(__xludf.DUMMYFUNCTION("iferror(divide(googlefinance($B1056,""volumeavg""),1000),"""")"),374.53)</f>
        <v>374.53</v>
      </c>
      <c r="F1056" s="73">
        <f>IFERROR(__xludf.DUMMYFUNCTION("iferror(MINUS(divide(GOOGLEFINANCE($B1056), INDEX(GOOGLEFINANCE($B1056,""price"",today()-182),2,2)),1),"""")"),0.3517060367454068)</f>
        <v>0.3517060367</v>
      </c>
      <c r="G1056" s="61">
        <f>IFERROR(__xludf.DUMMYFUNCTION("iferror(MINUS(divide(GOOGLEFINANCE($B1056), INDEX(GOOGLEFINANCE($B1056,""price"",today()-364),2,2)),1),"""")"),0.3881401617250675)</f>
        <v>0.3881401617</v>
      </c>
    </row>
    <row r="1057">
      <c r="A1057" s="71">
        <f t="shared" si="4"/>
        <v>1053</v>
      </c>
      <c r="B1057" s="47" t="s">
        <v>1190</v>
      </c>
      <c r="C1057" s="72">
        <f>IFERROR(__xludf.DUMMYFUNCTION("iferror(divide(googlefinance($B1057,""marketcap""),1000000),"""")"),85.892943)</f>
        <v>85.892943</v>
      </c>
      <c r="D1057" s="72">
        <f>IFERROR(__xludf.DUMMYFUNCTION("iferror(divide(googlefinance($B1057,""shares""),1000),"""")"),19791.0)</f>
        <v>19791</v>
      </c>
      <c r="E1057" s="72">
        <f>IFERROR(__xludf.DUMMYFUNCTION("iferror(divide(googlefinance($B1057,""volumeavg""),1000),"""")"),74.083)</f>
        <v>74.083</v>
      </c>
      <c r="F1057" s="73">
        <f>IFERROR(__xludf.DUMMYFUNCTION("iferror(MINUS(divide(GOOGLEFINANCE($B1057), INDEX(GOOGLEFINANCE($B1057,""price"",today()-182),2,2)),1),"""")"),1.3977900552486187)</f>
        <v>1.397790055</v>
      </c>
      <c r="G1057" s="61">
        <f>IFERROR(__xludf.DUMMYFUNCTION("iferror(MINUS(divide(GOOGLEFINANCE($B1057), INDEX(GOOGLEFINANCE($B1057,""price"",today()-364),2,2)),1),"""")"),0.21229050279329598)</f>
        <v>0.2122905028</v>
      </c>
    </row>
    <row r="1058">
      <c r="A1058" s="71">
        <f t="shared" si="4"/>
        <v>1054</v>
      </c>
      <c r="B1058" s="47" t="s">
        <v>1191</v>
      </c>
      <c r="C1058" s="72">
        <f>IFERROR(__xludf.DUMMYFUNCTION("iferror(divide(googlefinance($B1058,""marketcap""),1000000),"""")"),833.650672)</f>
        <v>833.650672</v>
      </c>
      <c r="D1058" s="72">
        <f>IFERROR(__xludf.DUMMYFUNCTION("iferror(divide(googlefinance($B1058,""shares""),1000),"""")"),71558.0)</f>
        <v>71558</v>
      </c>
      <c r="E1058" s="72">
        <f>IFERROR(__xludf.DUMMYFUNCTION("iferror(divide(googlefinance($B1058,""volumeavg""),1000),"""")"),3017.719)</f>
        <v>3017.719</v>
      </c>
      <c r="F1058" s="73">
        <f>IFERROR(__xludf.DUMMYFUNCTION("iferror(MINUS(divide(GOOGLEFINANCE($B1058), INDEX(GOOGLEFINANCE($B1058,""price"",today()-182),2,2)),1),"""")"),0.6339410939691446)</f>
        <v>0.633941094</v>
      </c>
      <c r="G1058" s="61">
        <f>IFERROR(__xludf.DUMMYFUNCTION("iferror(MINUS(divide(GOOGLEFINANCE($B1058), INDEX(GOOGLEFINANCE($B1058,""price"",today()-364),2,2)),1),"""")"),0.5248691099476441)</f>
        <v>0.5248691099</v>
      </c>
    </row>
    <row r="1059">
      <c r="A1059" s="71">
        <f t="shared" si="4"/>
        <v>1055</v>
      </c>
      <c r="B1059" s="47" t="s">
        <v>1192</v>
      </c>
      <c r="C1059" s="72">
        <f>IFERROR(__xludf.DUMMYFUNCTION("iferror(divide(googlefinance($B1059,""marketcap""),1000000),"""")"),187.603035)</f>
        <v>187.603035</v>
      </c>
      <c r="D1059" s="72">
        <f>IFERROR(__xludf.DUMMYFUNCTION("iferror(divide(googlefinance($B1059,""shares""),1000),"""")"),48227.0)</f>
        <v>48227</v>
      </c>
      <c r="E1059" s="72">
        <f>IFERROR(__xludf.DUMMYFUNCTION("iferror(divide(googlefinance($B1059,""volumeavg""),1000),"""")"),368.19)</f>
        <v>368.19</v>
      </c>
      <c r="F1059" s="73">
        <f>IFERROR(__xludf.DUMMYFUNCTION("iferror(MINUS(divide(GOOGLEFINANCE($B1059), INDEX(GOOGLEFINANCE($B1059,""price"",today()-182),2,2)),1),"""")"),1.274853801169591)</f>
        <v>1.274853801</v>
      </c>
      <c r="G1059" s="61">
        <f>IFERROR(__xludf.DUMMYFUNCTION("iferror(MINUS(divide(GOOGLEFINANCE($B1059), INDEX(GOOGLEFINANCE($B1059,""price"",today()-364),2,2)),1),"""")"),0.7762557077625571)</f>
        <v>0.7762557078</v>
      </c>
    </row>
    <row r="1060">
      <c r="A1060" s="71">
        <f t="shared" si="4"/>
        <v>1056</v>
      </c>
      <c r="B1060" s="47" t="s">
        <v>1193</v>
      </c>
      <c r="C1060" s="72">
        <f>IFERROR(__xludf.DUMMYFUNCTION("iferror(divide(googlefinance($B1060,""marketcap""),1000000),"""")"),83.447037)</f>
        <v>83.447037</v>
      </c>
      <c r="D1060" s="72">
        <f>IFERROR(__xludf.DUMMYFUNCTION("iferror(divide(googlefinance($B1060,""shares""),1000),"""")"),127183.0)</f>
        <v>127183</v>
      </c>
      <c r="E1060" s="72">
        <f>IFERROR(__xludf.DUMMYFUNCTION("iferror(divide(googlefinance($B1060,""volumeavg""),1000),"""")"),3291.557)</f>
        <v>3291.557</v>
      </c>
      <c r="F1060" s="73">
        <f>IFERROR(__xludf.DUMMYFUNCTION("iferror(MINUS(divide(GOOGLEFINANCE($B1060), INDEX(GOOGLEFINANCE($B1060,""price"",today()-182),2,2)),1),"""")"),0.19999999999999996)</f>
        <v>0.2</v>
      </c>
      <c r="G1060" s="61">
        <f>IFERROR(__xludf.DUMMYFUNCTION("iferror(MINUS(divide(GOOGLEFINANCE($B1060), INDEX(GOOGLEFINANCE($B1060,""price"",today()-364),2,2)),1),"""")"),-0.611764705882353)</f>
        <v>-0.6117647059</v>
      </c>
    </row>
    <row r="1061">
      <c r="A1061" s="71">
        <f t="shared" si="4"/>
        <v>1057</v>
      </c>
      <c r="B1061" s="47" t="s">
        <v>1194</v>
      </c>
      <c r="C1061" s="72">
        <f>IFERROR(__xludf.DUMMYFUNCTION("iferror(divide(googlefinance($B1061,""marketcap""),1000000),"""")"),423.691685)</f>
        <v>423.691685</v>
      </c>
      <c r="D1061" s="72">
        <f>IFERROR(__xludf.DUMMYFUNCTION("iferror(divide(googlefinance($B1061,""shares""),1000),"""")"),63333.0)</f>
        <v>63333</v>
      </c>
      <c r="E1061" s="72">
        <f>IFERROR(__xludf.DUMMYFUNCTION("iferror(divide(googlefinance($B1061,""volumeavg""),1000),"""")"),1425.744)</f>
        <v>1425.744</v>
      </c>
      <c r="F1061" s="73">
        <f>IFERROR(__xludf.DUMMYFUNCTION("iferror(MINUS(divide(GOOGLEFINANCE($B1061), INDEX(GOOGLEFINANCE($B1061,""price"",today()-182),2,2)),1),"""")"),1.9213973799126638)</f>
        <v>1.92139738</v>
      </c>
      <c r="G1061" s="61">
        <f>IFERROR(__xludf.DUMMYFUNCTION("iferror(MINUS(divide(GOOGLEFINANCE($B1061), INDEX(GOOGLEFINANCE($B1061,""price"",today()-364),2,2)),1),"""")"),1.9866071428571428)</f>
        <v>1.986607143</v>
      </c>
    </row>
    <row r="1062">
      <c r="A1062" s="71">
        <f t="shared" si="4"/>
        <v>1058</v>
      </c>
      <c r="B1062" s="47" t="s">
        <v>1195</v>
      </c>
      <c r="C1062" s="72">
        <f>IFERROR(__xludf.DUMMYFUNCTION("iferror(divide(googlefinance($B1062,""marketcap""),1000000),"""")"),326.00737)</f>
        <v>326.00737</v>
      </c>
      <c r="D1062" s="72">
        <f>IFERROR(__xludf.DUMMYFUNCTION("iferror(divide(googlefinance($B1062,""shares""),1000),"""")"),25956.0)</f>
        <v>25956</v>
      </c>
      <c r="E1062" s="72">
        <f>IFERROR(__xludf.DUMMYFUNCTION("iferror(divide(googlefinance($B1062,""volumeavg""),1000),"""")"),125.076)</f>
        <v>125.076</v>
      </c>
      <c r="F1062" s="73">
        <f>IFERROR(__xludf.DUMMYFUNCTION("iferror(MINUS(divide(GOOGLEFINANCE($B1062), INDEX(GOOGLEFINANCE($B1062,""price"",today()-182),2,2)),1),"""")"),0.27383367139959436)</f>
        <v>0.2738336714</v>
      </c>
      <c r="G1062" s="61">
        <f>IFERROR(__xludf.DUMMYFUNCTION("iferror(MINUS(divide(GOOGLEFINANCE($B1062), INDEX(GOOGLEFINANCE($B1062,""price"",today()-364),2,2)),1),"""")"),-0.13676975945017178)</f>
        <v>-0.1367697595</v>
      </c>
    </row>
    <row r="1063">
      <c r="A1063" s="71">
        <f t="shared" si="4"/>
        <v>1059</v>
      </c>
      <c r="B1063" s="47" t="s">
        <v>1196</v>
      </c>
      <c r="C1063" s="72">
        <f>IFERROR(__xludf.DUMMYFUNCTION("iferror(divide(googlefinance($B1063,""marketcap""),1000000),"""")"),783.721416)</f>
        <v>783.721416</v>
      </c>
      <c r="D1063" s="72">
        <f>IFERROR(__xludf.DUMMYFUNCTION("iferror(divide(googlefinance($B1063,""shares""),1000),"""")"),16876.0)</f>
        <v>16876</v>
      </c>
      <c r="E1063" s="72">
        <f>IFERROR(__xludf.DUMMYFUNCTION("iferror(divide(googlefinance($B1063,""volumeavg""),1000),"""")"),154.532)</f>
        <v>154.532</v>
      </c>
      <c r="F1063" s="73">
        <f>IFERROR(__xludf.DUMMYFUNCTION("iferror(MINUS(divide(GOOGLEFINANCE($B1063), INDEX(GOOGLEFINANCE($B1063,""price"",today()-182),2,2)),1),"""")"),0.36668628605061815)</f>
        <v>0.3666862861</v>
      </c>
      <c r="G1063" s="61">
        <f>IFERROR(__xludf.DUMMYFUNCTION("iferror(MINUS(divide(GOOGLEFINANCE($B1063), INDEX(GOOGLEFINANCE($B1063,""price"",today()-364),2,2)),1),"""")"),-0.3400596845246555)</f>
        <v>-0.3400596845</v>
      </c>
    </row>
    <row r="1064">
      <c r="A1064" s="71">
        <f t="shared" si="4"/>
        <v>1060</v>
      </c>
      <c r="B1064" s="47" t="s">
        <v>1197</v>
      </c>
      <c r="C1064" s="72">
        <f>IFERROR(__xludf.DUMMYFUNCTION("iferror(divide(googlefinance($B1064,""marketcap""),1000000),"""")"),574.29188)</f>
        <v>574.29188</v>
      </c>
      <c r="D1064" s="72">
        <f>IFERROR(__xludf.DUMMYFUNCTION("iferror(divide(googlefinance($B1064,""shares""),1000),"""")"),25753.0)</f>
        <v>25753</v>
      </c>
      <c r="E1064" s="72">
        <f>IFERROR(__xludf.DUMMYFUNCTION("iferror(divide(googlefinance($B1064,""volumeavg""),1000),"""")"),57.755)</f>
        <v>57.755</v>
      </c>
      <c r="F1064" s="73">
        <f>IFERROR(__xludf.DUMMYFUNCTION("iferror(MINUS(divide(GOOGLEFINANCE($B1064), INDEX(GOOGLEFINANCE($B1064,""price"",today()-182),2,2)),1),"""")"),-0.3741229301150716)</f>
        <v>-0.3741229301</v>
      </c>
      <c r="G1064" s="61" t="str">
        <f>IFERROR(__xludf.DUMMYFUNCTION("iferror(MINUS(divide(GOOGLEFINANCE($B1064), INDEX(GOOGLEFINANCE($B1064,""price"",today()-364),2,2)),1),"""")"),"")</f>
        <v/>
      </c>
    </row>
    <row r="1065">
      <c r="A1065" s="71">
        <f t="shared" si="4"/>
        <v>1061</v>
      </c>
      <c r="B1065" s="47" t="s">
        <v>1198</v>
      </c>
      <c r="C1065" s="72">
        <f>IFERROR(__xludf.DUMMYFUNCTION("iferror(divide(googlefinance($B1065,""marketcap""),1000000),"""")"),7395.459731)</f>
        <v>7395.459731</v>
      </c>
      <c r="D1065" s="72">
        <f>IFERROR(__xludf.DUMMYFUNCTION("iferror(divide(googlefinance($B1065,""shares""),1000),"""")"),210158.0)</f>
        <v>210158</v>
      </c>
      <c r="E1065" s="72">
        <f>IFERROR(__xludf.DUMMYFUNCTION("iferror(divide(googlefinance($B1065,""volumeavg""),1000),"""")"),2871.888)</f>
        <v>2871.888</v>
      </c>
      <c r="F1065" s="73">
        <f>IFERROR(__xludf.DUMMYFUNCTION("iferror(MINUS(divide(GOOGLEFINANCE($B1065), INDEX(GOOGLEFINANCE($B1065,""price"",today()-182),2,2)),1),"""")"),1.9898045879354291)</f>
        <v>1.989804588</v>
      </c>
      <c r="G1065" s="61">
        <f>IFERROR(__xludf.DUMMYFUNCTION("iferror(MINUS(divide(GOOGLEFINANCE($B1065), INDEX(GOOGLEFINANCE($B1065,""price"",today()-364),2,2)),1),"""")"),1.094642857142857)</f>
        <v>1.094642857</v>
      </c>
    </row>
    <row r="1066">
      <c r="A1066" s="71">
        <f t="shared" si="4"/>
        <v>1062</v>
      </c>
      <c r="B1066" s="47" t="s">
        <v>1199</v>
      </c>
      <c r="C1066" s="72">
        <f>IFERROR(__xludf.DUMMYFUNCTION("iferror(divide(googlefinance($B1066,""marketcap""),1000000),"""")"),4236.475314)</f>
        <v>4236.475314</v>
      </c>
      <c r="D1066" s="72">
        <f>IFERROR(__xludf.DUMMYFUNCTION("iferror(divide(googlefinance($B1066,""shares""),1000),"""")"),476850.0)</f>
        <v>476850</v>
      </c>
      <c r="E1066" s="72">
        <f>IFERROR(__xludf.DUMMYFUNCTION("iferror(divide(googlefinance($B1066,""volumeavg""),1000),"""")"),89.002)</f>
        <v>89.002</v>
      </c>
      <c r="F1066" s="73">
        <f>IFERROR(__xludf.DUMMYFUNCTION("iferror(MINUS(divide(GOOGLEFINANCE($B1066), INDEX(GOOGLEFINANCE($B1066,""price"",today()-182),2,2)),1),"""")"),0.6029719547928003)</f>
        <v>0.6029719548</v>
      </c>
      <c r="G1066" s="61">
        <f>IFERROR(__xludf.DUMMYFUNCTION("iferror(MINUS(divide(GOOGLEFINANCE($B1066), INDEX(GOOGLEFINANCE($B1066,""price"",today()-364),2,2)),1),"""")"),-0.2167109838412763)</f>
        <v>-0.2167109838</v>
      </c>
    </row>
    <row r="1067">
      <c r="A1067" s="71">
        <f t="shared" si="4"/>
        <v>1063</v>
      </c>
      <c r="B1067" s="47" t="s">
        <v>1200</v>
      </c>
      <c r="C1067" s="72">
        <f>IFERROR(__xludf.DUMMYFUNCTION("iferror(divide(googlefinance($B1067,""marketcap""),1000000),"""")"),1379.738019)</f>
        <v>1379.738019</v>
      </c>
      <c r="D1067" s="72">
        <f>IFERROR(__xludf.DUMMYFUNCTION("iferror(divide(googlefinance($B1067,""shares""),1000),"""")"),176663.0)</f>
        <v>176663</v>
      </c>
      <c r="E1067" s="72">
        <f>IFERROR(__xludf.DUMMYFUNCTION("iferror(divide(googlefinance($B1067,""volumeavg""),1000),"""")"),3298.058)</f>
        <v>3298.058</v>
      </c>
      <c r="F1067" s="73">
        <f>IFERROR(__xludf.DUMMYFUNCTION("iferror(MINUS(divide(GOOGLEFINANCE($B1067), INDEX(GOOGLEFINANCE($B1067,""price"",today()-182),2,2)),1),"""")"),1.9141791044776117)</f>
        <v>1.914179104</v>
      </c>
      <c r="G1067" s="61">
        <f>IFERROR(__xludf.DUMMYFUNCTION("iferror(MINUS(divide(GOOGLEFINANCE($B1067), INDEX(GOOGLEFINANCE($B1067,""price"",today()-364),2,2)),1),"""")"),0.38721136767317943)</f>
        <v>0.3872113677</v>
      </c>
    </row>
    <row r="1068">
      <c r="A1068" s="71">
        <f t="shared" si="4"/>
        <v>1064</v>
      </c>
      <c r="B1068" s="47" t="s">
        <v>1201</v>
      </c>
      <c r="C1068" s="72">
        <f>IFERROR(__xludf.DUMMYFUNCTION("iferror(divide(googlefinance($B1068,""marketcap""),1000000),"""")"),3934.140205)</f>
        <v>3934.140205</v>
      </c>
      <c r="D1068" s="72">
        <f>IFERROR(__xludf.DUMMYFUNCTION("iferror(divide(googlefinance($B1068,""shares""),1000),"""")"),80338.0)</f>
        <v>80338</v>
      </c>
      <c r="E1068" s="72">
        <f>IFERROR(__xludf.DUMMYFUNCTION("iferror(divide(googlefinance($B1068,""volumeavg""),1000),"""")"),285.429)</f>
        <v>285.429</v>
      </c>
      <c r="F1068" s="73">
        <f>IFERROR(__xludf.DUMMYFUNCTION("iferror(MINUS(divide(GOOGLEFINANCE($B1068), INDEX(GOOGLEFINANCE($B1068,""price"",today()-182),2,2)),1),"""")"),1.2168401991851514)</f>
        <v>1.216840199</v>
      </c>
      <c r="G1068" s="61">
        <f>IFERROR(__xludf.DUMMYFUNCTION("iferror(MINUS(divide(GOOGLEFINANCE($B1068), INDEX(GOOGLEFINANCE($B1068,""price"",today()-364),2,2)),1),"""")"),0.06921397379912664)</f>
        <v>0.0692139738</v>
      </c>
    </row>
    <row r="1069">
      <c r="A1069" s="71">
        <f t="shared" si="4"/>
        <v>1065</v>
      </c>
      <c r="B1069" s="47" t="s">
        <v>1202</v>
      </c>
      <c r="C1069" s="72">
        <f>IFERROR(__xludf.DUMMYFUNCTION("iferror(divide(googlefinance($B1069,""marketcap""),1000000),"""")"),711.57883)</f>
        <v>711.57883</v>
      </c>
      <c r="D1069" s="72">
        <f>IFERROR(__xludf.DUMMYFUNCTION("iferror(divide(googlefinance($B1069,""shares""),1000),"""")"),20288.0)</f>
        <v>20288</v>
      </c>
      <c r="E1069" s="72">
        <f>IFERROR(__xludf.DUMMYFUNCTION("iferror(divide(googlefinance($B1069,""volumeavg""),1000),"""")"),156.346)</f>
        <v>156.346</v>
      </c>
      <c r="F1069" s="73">
        <f>IFERROR(__xludf.DUMMYFUNCTION("iferror(MINUS(divide(GOOGLEFINANCE($B1069), INDEX(GOOGLEFINANCE($B1069,""price"",today()-182),2,2)),1),"""")"),-0.015668718522663716)</f>
        <v>-0.01566871852</v>
      </c>
      <c r="G1069" s="61">
        <f>IFERROR(__xludf.DUMMYFUNCTION("iferror(MINUS(divide(GOOGLEFINANCE($B1069), INDEX(GOOGLEFINANCE($B1069,""price"",today()-364),2,2)),1),"""")"),-0.2154326494201606)</f>
        <v>-0.2154326494</v>
      </c>
    </row>
    <row r="1070">
      <c r="A1070" s="71">
        <f t="shared" si="4"/>
        <v>1066</v>
      </c>
      <c r="B1070" s="47" t="s">
        <v>1203</v>
      </c>
      <c r="C1070" s="72">
        <f>IFERROR(__xludf.DUMMYFUNCTION("iferror(divide(googlefinance($B1070,""marketcap""),1000000),"""")"),495.935977)</f>
        <v>495.935977</v>
      </c>
      <c r="D1070" s="72">
        <f>IFERROR(__xludf.DUMMYFUNCTION("iferror(divide(googlefinance($B1070,""shares""),1000),"""")"),29520.0)</f>
        <v>29520</v>
      </c>
      <c r="E1070" s="72">
        <f>IFERROR(__xludf.DUMMYFUNCTION("iferror(divide(googlefinance($B1070,""volumeavg""),1000),"""")"),123.867)</f>
        <v>123.867</v>
      </c>
      <c r="F1070" s="73" t="str">
        <f>IFERROR(__xludf.DUMMYFUNCTION("iferror(MINUS(divide(GOOGLEFINANCE($B1070), INDEX(GOOGLEFINANCE($B1070,""price"",today()-182),2,2)),1),"""")"),"")</f>
        <v/>
      </c>
      <c r="G1070" s="61" t="str">
        <f>IFERROR(__xludf.DUMMYFUNCTION("iferror(MINUS(divide(GOOGLEFINANCE($B1070), INDEX(GOOGLEFINANCE($B1070,""price"",today()-364),2,2)),1),"""")"),"")</f>
        <v/>
      </c>
    </row>
    <row r="1071">
      <c r="A1071" s="71">
        <f t="shared" si="4"/>
        <v>1067</v>
      </c>
      <c r="B1071" s="47" t="s">
        <v>1204</v>
      </c>
      <c r="C1071" s="72">
        <f>IFERROR(__xludf.DUMMYFUNCTION("iferror(divide(googlefinance($B1071,""marketcap""),1000000),"""")"),108.158404)</f>
        <v>108.158404</v>
      </c>
      <c r="D1071" s="72">
        <f>IFERROR(__xludf.DUMMYFUNCTION("iferror(divide(googlefinance($B1071,""shares""),1000),"""")"),45066.0)</f>
        <v>45066</v>
      </c>
      <c r="E1071" s="72">
        <f>IFERROR(__xludf.DUMMYFUNCTION("iferror(divide(googlefinance($B1071,""volumeavg""),1000),"""")"),39.101)</f>
        <v>39.101</v>
      </c>
      <c r="F1071" s="73">
        <f>IFERROR(__xludf.DUMMYFUNCTION("iferror(MINUS(divide(GOOGLEFINANCE($B1071), INDEX(GOOGLEFINANCE($B1071,""price"",today()-182),2,2)),1),"""")"),0.41176470588235303)</f>
        <v>0.4117647059</v>
      </c>
      <c r="G1071" s="61">
        <f>IFERROR(__xludf.DUMMYFUNCTION("iferror(MINUS(divide(GOOGLEFINANCE($B1071), INDEX(GOOGLEFINANCE($B1071,""price"",today()-364),2,2)),1),"""")"),-0.2660550458715597)</f>
        <v>-0.2660550459</v>
      </c>
    </row>
    <row r="1072">
      <c r="A1072" s="71">
        <f t="shared" si="4"/>
        <v>1068</v>
      </c>
      <c r="B1072" s="47" t="s">
        <v>1205</v>
      </c>
      <c r="C1072" s="72">
        <f>IFERROR(__xludf.DUMMYFUNCTION("iferror(divide(googlefinance($B1072,""marketcap""),1000000),"""")"),754.629336)</f>
        <v>754.629336</v>
      </c>
      <c r="D1072" s="72">
        <f>IFERROR(__xludf.DUMMYFUNCTION("iferror(divide(googlefinance($B1072,""shares""),1000),"""")"),45487.0)</f>
        <v>45487</v>
      </c>
      <c r="E1072" s="72">
        <f>IFERROR(__xludf.DUMMYFUNCTION("iferror(divide(googlefinance($B1072,""volumeavg""),1000),"""")"),217.227)</f>
        <v>217.227</v>
      </c>
      <c r="F1072" s="73">
        <f>IFERROR(__xludf.DUMMYFUNCTION("iferror(MINUS(divide(GOOGLEFINANCE($B1072), INDEX(GOOGLEFINANCE($B1072,""price"",today()-182),2,2)),1),"""")"),0.6945863125638407)</f>
        <v>0.6945863126</v>
      </c>
      <c r="G1072" s="61" t="str">
        <f>IFERROR(__xludf.DUMMYFUNCTION("iferror(MINUS(divide(GOOGLEFINANCE($B1072), INDEX(GOOGLEFINANCE($B1072,""price"",today()-364),2,2)),1),"""")"),"")</f>
        <v/>
      </c>
    </row>
    <row r="1073">
      <c r="A1073" s="71">
        <f t="shared" si="4"/>
        <v>1069</v>
      </c>
      <c r="B1073" s="47" t="s">
        <v>1206</v>
      </c>
      <c r="C1073" s="72">
        <f>IFERROR(__xludf.DUMMYFUNCTION("iferror(divide(googlefinance($B1073,""marketcap""),1000000),"""")"),1218.175567)</f>
        <v>1218.175567</v>
      </c>
      <c r="D1073" s="72">
        <f>IFERROR(__xludf.DUMMYFUNCTION("iferror(divide(googlefinance($B1073,""shares""),1000),"""")"),23449.0)</f>
        <v>23449</v>
      </c>
      <c r="E1073" s="72">
        <f>IFERROR(__xludf.DUMMYFUNCTION("iferror(divide(googlefinance($B1073,""volumeavg""),1000),"""")"),148.592)</f>
        <v>148.592</v>
      </c>
      <c r="F1073" s="73">
        <f>IFERROR(__xludf.DUMMYFUNCTION("iferror(MINUS(divide(GOOGLEFINANCE($B1073), INDEX(GOOGLEFINANCE($B1073,""price"",today()-182),2,2)),1),"""")"),1.6833677685950414)</f>
        <v>1.683367769</v>
      </c>
      <c r="G1073" s="61">
        <f>IFERROR(__xludf.DUMMYFUNCTION("iferror(MINUS(divide(GOOGLEFINANCE($B1073), INDEX(GOOGLEFINANCE($B1073,""price"",today()-364),2,2)),1),"""")"),0.22264062132266416)</f>
        <v>0.2226406213</v>
      </c>
    </row>
    <row r="1074">
      <c r="A1074" s="71">
        <f t="shared" si="4"/>
        <v>1070</v>
      </c>
      <c r="B1074" s="47" t="s">
        <v>1207</v>
      </c>
      <c r="C1074" s="72">
        <f>IFERROR(__xludf.DUMMYFUNCTION("iferror(divide(googlefinance($B1074,""marketcap""),1000000),"""")"),1800.279376)</f>
        <v>1800.279376</v>
      </c>
      <c r="D1074" s="72">
        <f>IFERROR(__xludf.DUMMYFUNCTION("iferror(divide(googlefinance($B1074,""shares""),1000),"""")"),50189.0)</f>
        <v>50189</v>
      </c>
      <c r="E1074" s="72">
        <f>IFERROR(__xludf.DUMMYFUNCTION("iferror(divide(googlefinance($B1074,""volumeavg""),1000),"""")"),336.635)</f>
        <v>336.635</v>
      </c>
      <c r="F1074" s="73">
        <f>IFERROR(__xludf.DUMMYFUNCTION("iferror(MINUS(divide(GOOGLEFINANCE($B1074), INDEX(GOOGLEFINANCE($B1074,""price"",today()-182),2,2)),1),"""")"),0.18853545394300864)</f>
        <v>0.1885354539</v>
      </c>
      <c r="G1074" s="61">
        <f>IFERROR(__xludf.DUMMYFUNCTION("iferror(MINUS(divide(GOOGLEFINANCE($B1074), INDEX(GOOGLEFINANCE($B1074,""price"",today()-364),2,2)),1),"""")"),0.0643916913946585)</f>
        <v>0.06439169139</v>
      </c>
    </row>
    <row r="1075">
      <c r="A1075" s="71">
        <f t="shared" si="4"/>
        <v>1071</v>
      </c>
      <c r="B1075" s="47" t="s">
        <v>1208</v>
      </c>
      <c r="C1075" s="72">
        <f>IFERROR(__xludf.DUMMYFUNCTION("iferror(divide(googlefinance($B1075,""marketcap""),1000000),"""")"),400.340936)</f>
        <v>400.340936</v>
      </c>
      <c r="D1075" s="72">
        <f>IFERROR(__xludf.DUMMYFUNCTION("iferror(divide(googlefinance($B1075,""shares""),1000),"""")"),39677.0)</f>
        <v>39677</v>
      </c>
      <c r="E1075" s="72">
        <f>IFERROR(__xludf.DUMMYFUNCTION("iferror(divide(googlefinance($B1075,""volumeavg""),1000),"""")"),830.898)</f>
        <v>830.898</v>
      </c>
      <c r="F1075" s="73">
        <f>IFERROR(__xludf.DUMMYFUNCTION("iferror(MINUS(divide(GOOGLEFINANCE($B1075), INDEX(GOOGLEFINANCE($B1075,""price"",today()-182),2,2)),1),"""")"),0.2902813299232736)</f>
        <v>0.2902813299</v>
      </c>
      <c r="G1075" s="61">
        <f>IFERROR(__xludf.DUMMYFUNCTION("iferror(MINUS(divide(GOOGLEFINANCE($B1075), INDEX(GOOGLEFINANCE($B1075,""price"",today()-364),2,2)),1),"""")"),-0.067467652495379)</f>
        <v>-0.0674676525</v>
      </c>
    </row>
    <row r="1076">
      <c r="A1076" s="71">
        <f t="shared" si="4"/>
        <v>1072</v>
      </c>
      <c r="B1076" s="47" t="s">
        <v>1209</v>
      </c>
      <c r="C1076" s="72">
        <f>IFERROR(__xludf.DUMMYFUNCTION("iferror(divide(googlefinance($B1076,""marketcap""),1000000),"""")"),2559.818353)</f>
        <v>2559.818353</v>
      </c>
      <c r="D1076" s="72">
        <f>IFERROR(__xludf.DUMMYFUNCTION("iferror(divide(googlefinance($B1076,""shares""),1000),"""")"),42742.0)</f>
        <v>42742</v>
      </c>
      <c r="E1076" s="72">
        <f>IFERROR(__xludf.DUMMYFUNCTION("iferror(divide(googlefinance($B1076,""volumeavg""),1000),"""")"),594.706)</f>
        <v>594.706</v>
      </c>
      <c r="F1076" s="73">
        <f>IFERROR(__xludf.DUMMYFUNCTION("iferror(MINUS(divide(GOOGLEFINANCE($B1076), INDEX(GOOGLEFINANCE($B1076,""price"",today()-182),2,2)),1),"""")"),0.9055042952593064)</f>
        <v>0.9055042953</v>
      </c>
      <c r="G1076" s="61">
        <f>IFERROR(__xludf.DUMMYFUNCTION("iferror(MINUS(divide(GOOGLEFINANCE($B1076), INDEX(GOOGLEFINANCE($B1076,""price"",today()-364),2,2)),1),"""")"),0.6116792249730896)</f>
        <v>0.611679225</v>
      </c>
    </row>
    <row r="1077">
      <c r="A1077" s="71">
        <f t="shared" si="4"/>
        <v>1073</v>
      </c>
      <c r="B1077" s="47" t="s">
        <v>1210</v>
      </c>
      <c r="C1077" s="72">
        <f>IFERROR(__xludf.DUMMYFUNCTION("iferror(divide(googlefinance($B1077,""marketcap""),1000000),"""")"),2516.663986)</f>
        <v>2516.663986</v>
      </c>
      <c r="D1077" s="72">
        <f>IFERROR(__xludf.DUMMYFUNCTION("iferror(divide(googlefinance($B1077,""shares""),1000),"""")"),50924.0)</f>
        <v>50924</v>
      </c>
      <c r="E1077" s="72">
        <f>IFERROR(__xludf.DUMMYFUNCTION("iferror(divide(googlefinance($B1077,""volumeavg""),1000),"""")"),179.308)</f>
        <v>179.308</v>
      </c>
      <c r="F1077" s="73" t="str">
        <f>IFERROR(__xludf.DUMMYFUNCTION("iferror(MINUS(divide(GOOGLEFINANCE($B1077), INDEX(GOOGLEFINANCE($B1077,""price"",today()-182),2,2)),1),"""")"),"")</f>
        <v/>
      </c>
      <c r="G1077" s="61" t="str">
        <f>IFERROR(__xludf.DUMMYFUNCTION("iferror(MINUS(divide(GOOGLEFINANCE($B1077), INDEX(GOOGLEFINANCE($B1077,""price"",today()-364),2,2)),1),"""")"),"")</f>
        <v/>
      </c>
    </row>
    <row r="1078">
      <c r="A1078" s="71">
        <f t="shared" si="4"/>
        <v>1074</v>
      </c>
      <c r="B1078" s="47" t="s">
        <v>1211</v>
      </c>
      <c r="C1078" s="72">
        <f>IFERROR(__xludf.DUMMYFUNCTION("iferror(divide(googlefinance($B1078,""marketcap""),1000000),"""")"),2351.037563)</f>
        <v>2351.037563</v>
      </c>
      <c r="D1078" s="72">
        <f>IFERROR(__xludf.DUMMYFUNCTION("iferror(divide(googlefinance($B1078,""shares""),1000),"""")"),96354.0)</f>
        <v>96354</v>
      </c>
      <c r="E1078" s="72">
        <f>IFERROR(__xludf.DUMMYFUNCTION("iferror(divide(googlefinance($B1078,""volumeavg""),1000),"""")"),1008.55)</f>
        <v>1008.55</v>
      </c>
      <c r="F1078" s="73">
        <f>IFERROR(__xludf.DUMMYFUNCTION("iferror(MINUS(divide(GOOGLEFINANCE($B1078), INDEX(GOOGLEFINANCE($B1078,""price"",today()-182),2,2)),1),"""")"),0.4960147148988352)</f>
        <v>0.4960147149</v>
      </c>
      <c r="G1078" s="61">
        <f>IFERROR(__xludf.DUMMYFUNCTION("iferror(MINUS(divide(GOOGLEFINANCE($B1078), INDEX(GOOGLEFINANCE($B1078,""price"",today()-364),2,2)),1),"""")"),0.383219954648526)</f>
        <v>0.3832199546</v>
      </c>
    </row>
    <row r="1079">
      <c r="A1079" s="71">
        <f t="shared" si="4"/>
        <v>1075</v>
      </c>
      <c r="B1079" s="47" t="s">
        <v>1212</v>
      </c>
      <c r="C1079" s="72">
        <f>IFERROR(__xludf.DUMMYFUNCTION("iferror(divide(googlefinance($B1079,""marketcap""),1000000),"""")"),705.585708)</f>
        <v>705.585708</v>
      </c>
      <c r="D1079" s="72">
        <f>IFERROR(__xludf.DUMMYFUNCTION("iferror(divide(googlefinance($B1079,""shares""),1000),"""")"),36521.0)</f>
        <v>36521</v>
      </c>
      <c r="E1079" s="72">
        <f>IFERROR(__xludf.DUMMYFUNCTION("iferror(divide(googlefinance($B1079,""volumeavg""),1000),"""")"),209.207)</f>
        <v>209.207</v>
      </c>
      <c r="F1079" s="73">
        <f>IFERROR(__xludf.DUMMYFUNCTION("iferror(MINUS(divide(GOOGLEFINANCE($B1079), INDEX(GOOGLEFINANCE($B1079,""price"",today()-182),2,2)),1),"""")"),1.109170305676856)</f>
        <v>1.109170306</v>
      </c>
      <c r="G1079" s="61">
        <f>IFERROR(__xludf.DUMMYFUNCTION("iferror(MINUS(divide(GOOGLEFINANCE($B1079), INDEX(GOOGLEFINANCE($B1079,""price"",today()-364),2,2)),1),"""")"),0.48159509202454)</f>
        <v>0.481595092</v>
      </c>
    </row>
    <row r="1080">
      <c r="A1080" s="71">
        <f t="shared" si="4"/>
        <v>1076</v>
      </c>
      <c r="B1080" s="47" t="s">
        <v>1213</v>
      </c>
      <c r="C1080" s="72">
        <f>IFERROR(__xludf.DUMMYFUNCTION("iferror(divide(googlefinance($B1080,""marketcap""),1000000),"""")"),368.731758)</f>
        <v>368.731758</v>
      </c>
      <c r="D1080" s="72">
        <f>IFERROR(__xludf.DUMMYFUNCTION("iferror(divide(googlefinance($B1080,""shares""),1000),"""")"),113982.0)</f>
        <v>113982</v>
      </c>
      <c r="E1080" s="72">
        <f>IFERROR(__xludf.DUMMYFUNCTION("iferror(divide(googlefinance($B1080,""volumeavg""),1000),"""")"),1165.858)</f>
        <v>1165.858</v>
      </c>
      <c r="F1080" s="73">
        <f>IFERROR(__xludf.DUMMYFUNCTION("iferror(MINUS(divide(GOOGLEFINANCE($B1080), INDEX(GOOGLEFINANCE($B1080,""price"",today()-182),2,2)),1),"""")"),0.5428571428571429)</f>
        <v>0.5428571429</v>
      </c>
      <c r="G1080" s="61">
        <f>IFERROR(__xludf.DUMMYFUNCTION("iferror(MINUS(divide(GOOGLEFINANCE($B1080), INDEX(GOOGLEFINANCE($B1080,""price"",today()-364),2,2)),1),"""")"),0.8100558659217878)</f>
        <v>0.8100558659</v>
      </c>
    </row>
    <row r="1081">
      <c r="A1081" s="71">
        <f t="shared" si="4"/>
        <v>1077</v>
      </c>
      <c r="B1081" s="47" t="s">
        <v>1214</v>
      </c>
      <c r="C1081" s="72">
        <f>IFERROR(__xludf.DUMMYFUNCTION("iferror(divide(googlefinance($B1081,""marketcap""),1000000),"""")"),10046.258431)</f>
        <v>10046.25843</v>
      </c>
      <c r="D1081" s="72">
        <f>IFERROR(__xludf.DUMMYFUNCTION("iferror(divide(googlefinance($B1081,""shares""),1000),"""")"),137629.0)</f>
        <v>137629</v>
      </c>
      <c r="E1081" s="72">
        <f>IFERROR(__xludf.DUMMYFUNCTION("iferror(divide(googlefinance($B1081,""volumeavg""),1000),"""")"),8759.586)</f>
        <v>8759.586</v>
      </c>
      <c r="F1081" s="73">
        <f>IFERROR(__xludf.DUMMYFUNCTION("iferror(MINUS(divide(GOOGLEFINANCE($B1081), INDEX(GOOGLEFINANCE($B1081,""price"",today()-182),2,2)),1),"""")"),8.252217997465147)</f>
        <v>8.252217997</v>
      </c>
      <c r="G1081" s="61">
        <f>IFERROR(__xludf.DUMMYFUNCTION("iferror(MINUS(divide(GOOGLEFINANCE($B1081), INDEX(GOOGLEFINANCE($B1081,""price"",today()-364),2,2)),1),"""")"),2.6943319838056676)</f>
        <v>2.694331984</v>
      </c>
    </row>
    <row r="1082">
      <c r="A1082" s="71">
        <f t="shared" si="4"/>
        <v>1078</v>
      </c>
      <c r="B1082" s="47" t="s">
        <v>1215</v>
      </c>
      <c r="C1082" s="72">
        <f>IFERROR(__xludf.DUMMYFUNCTION("iferror(divide(googlefinance($B1082,""marketcap""),1000000),"""")"),184432.978174)</f>
        <v>184432.9782</v>
      </c>
      <c r="D1082" s="72">
        <f>IFERROR(__xludf.DUMMYFUNCTION("iferror(divide(googlefinance($B1082,""shares""),1000),"""")"),1384633.0)</f>
        <v>1384633</v>
      </c>
      <c r="E1082" s="72">
        <f>IFERROR(__xludf.DUMMYFUNCTION("iferror(divide(googlefinance($B1082,""volumeavg""),1000),"""")"),3750.175)</f>
        <v>3750.175</v>
      </c>
      <c r="F1082" s="73">
        <f>IFERROR(__xludf.DUMMYFUNCTION("iferror(MINUS(divide(GOOGLEFINANCE($B1082), INDEX(GOOGLEFINANCE($B1082,""price"",today()-182),2,2)),1),"""")"),0.28163186760319436)</f>
        <v>0.2816318676</v>
      </c>
      <c r="G1082" s="61">
        <f>IFERROR(__xludf.DUMMYFUNCTION("iferror(MINUS(divide(GOOGLEFINANCE($B1082), INDEX(GOOGLEFINANCE($B1082,""price"",today()-364),2,2)),1),"""")"),-0.01120926434563152)</f>
        <v>-0.01120926435</v>
      </c>
    </row>
    <row r="1083">
      <c r="A1083" s="71">
        <f t="shared" si="4"/>
        <v>1079</v>
      </c>
      <c r="B1083" s="47" t="s">
        <v>1216</v>
      </c>
      <c r="C1083" s="72">
        <f>IFERROR(__xludf.DUMMYFUNCTION("iferror(divide(googlefinance($B1083,""marketcap""),1000000),"""")"),894.584608)</f>
        <v>894.584608</v>
      </c>
      <c r="D1083" s="72">
        <f>IFERROR(__xludf.DUMMYFUNCTION("iferror(divide(googlefinance($B1083,""shares""),1000),"""")"),24918.0)</f>
        <v>24918</v>
      </c>
      <c r="E1083" s="72">
        <f>IFERROR(__xludf.DUMMYFUNCTION("iferror(divide(googlefinance($B1083,""volumeavg""),1000),"""")"),460.643)</f>
        <v>460.643</v>
      </c>
      <c r="F1083" s="73">
        <f>IFERROR(__xludf.DUMMYFUNCTION("iferror(MINUS(divide(GOOGLEFINANCE($B1083), INDEX(GOOGLEFINANCE($B1083,""price"",today()-182),2,2)),1),"""")"),0.7462353597322922)</f>
        <v>0.7462353597</v>
      </c>
      <c r="G1083" s="61">
        <f>IFERROR(__xludf.DUMMYFUNCTION("iferror(MINUS(divide(GOOGLEFINANCE($B1083), INDEX(GOOGLEFINANCE($B1083,""price"",today()-364),2,2)),1),"""")"),0.14983474109438122)</f>
        <v>0.1498347411</v>
      </c>
    </row>
    <row r="1084">
      <c r="A1084" s="71">
        <f t="shared" si="4"/>
        <v>1080</v>
      </c>
      <c r="B1084" s="47" t="s">
        <v>1217</v>
      </c>
      <c r="C1084" s="72">
        <f>IFERROR(__xludf.DUMMYFUNCTION("iferror(divide(googlefinance($B1084,""marketcap""),1000000),"""")"),204604.246264)</f>
        <v>204604.2463</v>
      </c>
      <c r="D1084" s="72">
        <f>IFERROR(__xludf.DUMMYFUNCTION("iferror(divide(googlefinance($B1084,""shares""),1000),"""")"),5556880.0)</f>
        <v>5556880</v>
      </c>
      <c r="E1084" s="72">
        <f>IFERROR(__xludf.DUMMYFUNCTION("iferror(divide(googlefinance($B1084,""volumeavg""),1000),"""")"),22510.305)</f>
        <v>22510.305</v>
      </c>
      <c r="F1084" s="73">
        <f>IFERROR(__xludf.DUMMYFUNCTION("iferror(MINUS(divide(GOOGLEFINANCE($B1084), INDEX(GOOGLEFINANCE($B1084,""price"",today()-182),2,2)),1),"""")"),0.2692175112030333)</f>
        <v>0.2692175112</v>
      </c>
      <c r="G1084" s="61">
        <f>IFERROR(__xludf.DUMMYFUNCTION("iferror(MINUS(divide(GOOGLEFINANCE($B1084), INDEX(GOOGLEFINANCE($B1084,""price"",today()-364),2,2)),1),"""")"),0.0035431997819570515)</f>
        <v>0.003543199782</v>
      </c>
    </row>
    <row r="1085">
      <c r="A1085" s="71">
        <f t="shared" si="4"/>
        <v>1081</v>
      </c>
      <c r="B1085" s="47" t="s">
        <v>1218</v>
      </c>
      <c r="C1085" s="72">
        <f>IFERROR(__xludf.DUMMYFUNCTION("iferror(divide(googlefinance($B1085,""marketcap""),1000000),"""")"),5106.507962)</f>
        <v>5106.507962</v>
      </c>
      <c r="D1085" s="72">
        <f>IFERROR(__xludf.DUMMYFUNCTION("iferror(divide(googlefinance($B1085,""shares""),1000),"""")"),132740.0)</f>
        <v>132740</v>
      </c>
      <c r="E1085" s="72">
        <f>IFERROR(__xludf.DUMMYFUNCTION("iferror(divide(googlefinance($B1085,""volumeavg""),1000),"""")"),1029.725)</f>
        <v>1029.725</v>
      </c>
      <c r="F1085" s="73">
        <f>IFERROR(__xludf.DUMMYFUNCTION("iferror(MINUS(divide(GOOGLEFINANCE($B1085), INDEX(GOOGLEFINANCE($B1085,""price"",today()-182),2,2)),1),"""")"),1.4119122257053291)</f>
        <v>1.411912226</v>
      </c>
      <c r="G1085" s="61">
        <f>IFERROR(__xludf.DUMMYFUNCTION("iferror(MINUS(divide(GOOGLEFINANCE($B1085), INDEX(GOOGLEFINANCE($B1085,""price"",today()-364),2,2)),1),"""")"),-0.16478506296135487)</f>
        <v>-0.164785063</v>
      </c>
    </row>
    <row r="1086">
      <c r="A1086" s="71">
        <f t="shared" si="4"/>
        <v>1082</v>
      </c>
      <c r="B1086" s="47" t="s">
        <v>1219</v>
      </c>
      <c r="C1086" s="72">
        <f>IFERROR(__xludf.DUMMYFUNCTION("iferror(divide(googlefinance($B1086,""marketcap""),1000000),"""")"),342372.690556)</f>
        <v>342372.6906</v>
      </c>
      <c r="D1086" s="72">
        <f>IFERROR(__xludf.DUMMYFUNCTION("iferror(divide(googlefinance($B1086,""shares""),1000),"""")"),2489621.0)</f>
        <v>2489621</v>
      </c>
      <c r="E1086" s="72">
        <f>IFERROR(__xludf.DUMMYFUNCTION("iferror(divide(googlefinance($B1086,""volumeavg""),1000),"""")"),5752.739)</f>
        <v>5752.739</v>
      </c>
      <c r="F1086" s="73">
        <f>IFERROR(__xludf.DUMMYFUNCTION("iferror(MINUS(divide(GOOGLEFINANCE($B1086), INDEX(GOOGLEFINANCE($B1086,""price"",today()-182),2,2)),1),"""")"),0.34257541735819586)</f>
        <v>0.3425754174</v>
      </c>
      <c r="G1086" s="61">
        <f>IFERROR(__xludf.DUMMYFUNCTION("iferror(MINUS(divide(GOOGLEFINANCE($B1086), INDEX(GOOGLEFINANCE($B1086,""price"",today()-364),2,2)),1),"""")"),0.12500000000000022)</f>
        <v>0.125</v>
      </c>
    </row>
    <row r="1087">
      <c r="A1087" s="71">
        <f t="shared" si="4"/>
        <v>1083</v>
      </c>
      <c r="B1087" s="47" t="s">
        <v>1220</v>
      </c>
      <c r="C1087" s="72">
        <f>IFERROR(__xludf.DUMMYFUNCTION("iferror(divide(googlefinance($B1087,""marketcap""),1000000),"""")"),2355.074317)</f>
        <v>2355.074317</v>
      </c>
      <c r="D1087" s="72">
        <f>IFERROR(__xludf.DUMMYFUNCTION("iferror(divide(googlefinance($B1087,""shares""),1000),"""")"),85983.0)</f>
        <v>85983</v>
      </c>
      <c r="E1087" s="72">
        <f>IFERROR(__xludf.DUMMYFUNCTION("iferror(divide(googlefinance($B1087,""volumeavg""),1000),"""")"),896.252)</f>
        <v>896.252</v>
      </c>
      <c r="F1087" s="73">
        <f>IFERROR(__xludf.DUMMYFUNCTION("iferror(MINUS(divide(GOOGLEFINANCE($B1087), INDEX(GOOGLEFINANCE($B1087,""price"",today()-182),2,2)),1),"""")"),0.4046153846153846)</f>
        <v>0.4046153846</v>
      </c>
      <c r="G1087" s="61" t="str">
        <f>IFERROR(__xludf.DUMMYFUNCTION("iferror(MINUS(divide(GOOGLEFINANCE($B1087), INDEX(GOOGLEFINANCE($B1087,""price"",today()-364),2,2)),1),"""")"),"")</f>
        <v/>
      </c>
    </row>
    <row r="1088">
      <c r="A1088" s="71">
        <f t="shared" si="4"/>
        <v>1084</v>
      </c>
      <c r="B1088" s="47" t="s">
        <v>1221</v>
      </c>
      <c r="C1088" s="72">
        <f>IFERROR(__xludf.DUMMYFUNCTION("iferror(divide(googlefinance($B1088,""marketcap""),1000000),"""")"),1079.022855)</f>
        <v>1079.022855</v>
      </c>
      <c r="D1088" s="72">
        <f>IFERROR(__xludf.DUMMYFUNCTION("iferror(divide(googlefinance($B1088,""shares""),1000),"""")"),58963.0)</f>
        <v>58963</v>
      </c>
      <c r="E1088" s="72">
        <f>IFERROR(__xludf.DUMMYFUNCTION("iferror(divide(googlefinance($B1088,""volumeavg""),1000),"""")"),344.596)</f>
        <v>344.596</v>
      </c>
      <c r="F1088" s="73">
        <f>IFERROR(__xludf.DUMMYFUNCTION("iferror(MINUS(divide(GOOGLEFINANCE($B1088), INDEX(GOOGLEFINANCE($B1088,""price"",today()-182),2,2)),1),"""")"),1.2564734895191125)</f>
        <v>1.25647349</v>
      </c>
      <c r="G1088" s="61">
        <f>IFERROR(__xludf.DUMMYFUNCTION("iferror(MINUS(divide(GOOGLEFINANCE($B1088), INDEX(GOOGLEFINANCE($B1088,""price"",today()-364),2,2)),1),"""")"),0.09384339509862527)</f>
        <v>0.0938433951</v>
      </c>
    </row>
    <row r="1089">
      <c r="A1089" s="71">
        <f t="shared" si="4"/>
        <v>1085</v>
      </c>
      <c r="B1089" s="47" t="s">
        <v>1222</v>
      </c>
      <c r="C1089" s="72">
        <f>IFERROR(__xludf.DUMMYFUNCTION("iferror(divide(googlefinance($B1089,""marketcap""),1000000),"""")"),27521.268281)</f>
        <v>27521.26828</v>
      </c>
      <c r="D1089" s="72">
        <f>IFERROR(__xludf.DUMMYFUNCTION("iferror(divide(googlefinance($B1089,""shares""),1000),"""")"),128562.0)</f>
        <v>128562</v>
      </c>
      <c r="E1089" s="72">
        <f>IFERROR(__xludf.DUMMYFUNCTION("iferror(divide(googlefinance($B1089,""volumeavg""),1000),"""")"),901.575)</f>
        <v>901.575</v>
      </c>
      <c r="F1089" s="73">
        <f>IFERROR(__xludf.DUMMYFUNCTION("iferror(MINUS(divide(GOOGLEFINANCE($B1089), INDEX(GOOGLEFINANCE($B1089,""price"",today()-182),2,2)),1),"""")"),1.0899150639461093)</f>
        <v>1.089915064</v>
      </c>
      <c r="G1089" s="61">
        <f>IFERROR(__xludf.DUMMYFUNCTION("iferror(MINUS(divide(GOOGLEFINANCE($B1089), INDEX(GOOGLEFINANCE($B1089,""price"",today()-364),2,2)),1),"""")"),0.20916177135110714)</f>
        <v>0.2091617714</v>
      </c>
    </row>
    <row r="1090">
      <c r="A1090" s="71">
        <f t="shared" si="4"/>
        <v>1086</v>
      </c>
      <c r="B1090" s="47" t="s">
        <v>1223</v>
      </c>
      <c r="C1090" s="72">
        <f>IFERROR(__xludf.DUMMYFUNCTION("iferror(divide(googlefinance($B1090,""marketcap""),1000000),"""")"),103.287359)</f>
        <v>103.287359</v>
      </c>
      <c r="D1090" s="72">
        <f>IFERROR(__xludf.DUMMYFUNCTION("iferror(divide(googlefinance($B1090,""shares""),1000),"""")"),29343.0)</f>
        <v>29343</v>
      </c>
      <c r="E1090" s="72">
        <f>IFERROR(__xludf.DUMMYFUNCTION("iferror(divide(googlefinance($B1090,""volumeavg""),1000),"""")"),367.111)</f>
        <v>367.111</v>
      </c>
      <c r="F1090" s="73">
        <f>IFERROR(__xludf.DUMMYFUNCTION("iferror(MINUS(divide(GOOGLEFINANCE($B1090), INDEX(GOOGLEFINANCE($B1090,""price"",today()-182),2,2)),1),"""")"),0.23076923076923084)</f>
        <v>0.2307692308</v>
      </c>
      <c r="G1090" s="61">
        <f>IFERROR(__xludf.DUMMYFUNCTION("iferror(MINUS(divide(GOOGLEFINANCE($B1090), INDEX(GOOGLEFINANCE($B1090,""price"",today()-364),2,2)),1),"""")"),-0.2589473684210526)</f>
        <v>-0.2589473684</v>
      </c>
    </row>
    <row r="1091">
      <c r="A1091" s="71">
        <f t="shared" si="4"/>
        <v>1087</v>
      </c>
      <c r="B1091" s="47" t="s">
        <v>1224</v>
      </c>
      <c r="C1091" s="72">
        <f>IFERROR(__xludf.DUMMYFUNCTION("iferror(divide(googlefinance($B1091,""marketcap""),1000000),"""")"),1064.46375)</f>
        <v>1064.46375</v>
      </c>
      <c r="D1091" s="72">
        <f>IFERROR(__xludf.DUMMYFUNCTION("iferror(divide(googlefinance($B1091,""shares""),1000),"""")"),28965.0)</f>
        <v>28965</v>
      </c>
      <c r="E1091" s="72">
        <f>IFERROR(__xludf.DUMMYFUNCTION("iferror(divide(googlefinance($B1091,""volumeavg""),1000),"""")"),44.597)</f>
        <v>44.597</v>
      </c>
      <c r="F1091" s="73">
        <f>IFERROR(__xludf.DUMMYFUNCTION("iferror(MINUS(divide(GOOGLEFINANCE($B1091), INDEX(GOOGLEFINANCE($B1091,""price"",today()-182),2,2)),1),"""")"),0.41346153846153855)</f>
        <v>0.4134615385</v>
      </c>
      <c r="G1091" s="61" t="str">
        <f>IFERROR(__xludf.DUMMYFUNCTION("iferror(MINUS(divide(GOOGLEFINANCE($B1091), INDEX(GOOGLEFINANCE($B1091,""price"",today()-364),2,2)),1),"""")"),"")</f>
        <v/>
      </c>
    </row>
    <row r="1092">
      <c r="A1092" s="71">
        <f t="shared" si="4"/>
        <v>1088</v>
      </c>
      <c r="B1092" s="47" t="s">
        <v>1225</v>
      </c>
      <c r="C1092" s="72">
        <f>IFERROR(__xludf.DUMMYFUNCTION("iferror(divide(googlefinance($B1092,""marketcap""),1000000),"""")"),42655.501181)</f>
        <v>42655.50118</v>
      </c>
      <c r="D1092" s="72">
        <f>IFERROR(__xludf.DUMMYFUNCTION("iferror(divide(googlefinance($B1092,""shares""),1000),"""")"),911053.0)</f>
        <v>911053</v>
      </c>
      <c r="E1092" s="72">
        <f>IFERROR(__xludf.DUMMYFUNCTION("iferror(divide(googlefinance($B1092,""volumeavg""),1000),"""")"),505.422)</f>
        <v>505.422</v>
      </c>
      <c r="F1092" s="73">
        <f>IFERROR(__xludf.DUMMYFUNCTION("iferror(MINUS(divide(GOOGLEFINANCE($B1092), INDEX(GOOGLEFINANCE($B1092,""price"",today()-182),2,2)),1),"""")"),0.4531346989447549)</f>
        <v>0.4531346989</v>
      </c>
      <c r="G1092" s="61">
        <f>IFERROR(__xludf.DUMMYFUNCTION("iferror(MINUS(divide(GOOGLEFINANCE($B1092), INDEX(GOOGLEFINANCE($B1092,""price"",today()-364),2,2)),1),"""")"),-0.003617791019365879)</f>
        <v>-0.003617791019</v>
      </c>
    </row>
    <row r="1093">
      <c r="A1093" s="71">
        <f t="shared" si="4"/>
        <v>1089</v>
      </c>
      <c r="B1093" s="47" t="s">
        <v>1226</v>
      </c>
      <c r="C1093" s="72">
        <f>IFERROR(__xludf.DUMMYFUNCTION("iferror(divide(googlefinance($B1093,""marketcap""),1000000),"""")"),12191.371634)</f>
        <v>12191.37163</v>
      </c>
      <c r="D1093" s="72">
        <f>IFERROR(__xludf.DUMMYFUNCTION("iferror(divide(googlefinance($B1093,""shares""),1000),"""")"),268178.0)</f>
        <v>268178</v>
      </c>
      <c r="E1093" s="72">
        <f>IFERROR(__xludf.DUMMYFUNCTION("iferror(divide(googlefinance($B1093,""volumeavg""),1000),"""")"),2436.102)</f>
        <v>2436.102</v>
      </c>
      <c r="F1093" s="73">
        <f>IFERROR(__xludf.DUMMYFUNCTION("iferror(MINUS(divide(GOOGLEFINANCE($B1093), INDEX(GOOGLEFINANCE($B1093,""price"",today()-182),2,2)),1),"""")"),1.2994436014162876)</f>
        <v>1.299443601</v>
      </c>
      <c r="G1093" s="61">
        <f>IFERROR(__xludf.DUMMYFUNCTION("iferror(MINUS(divide(GOOGLEFINANCE($B1093), INDEX(GOOGLEFINANCE($B1093,""price"",today()-364),2,2)),1),"""")"),0.27410313901345296)</f>
        <v>0.274103139</v>
      </c>
    </row>
    <row r="1094">
      <c r="A1094" s="71">
        <f t="shared" si="4"/>
        <v>1090</v>
      </c>
      <c r="B1094" s="47" t="s">
        <v>1227</v>
      </c>
      <c r="C1094" s="72">
        <f>IFERROR(__xludf.DUMMYFUNCTION("iferror(divide(googlefinance($B1094,""marketcap""),1000000),"""")"),5600.250887)</f>
        <v>5600.250887</v>
      </c>
      <c r="D1094" s="72">
        <f>IFERROR(__xludf.DUMMYFUNCTION("iferror(divide(googlefinance($B1094,""shares""),1000),"""")"),61339.0)</f>
        <v>61339</v>
      </c>
      <c r="E1094" s="72">
        <f>IFERROR(__xludf.DUMMYFUNCTION("iferror(divide(googlefinance($B1094,""volumeavg""),1000),"""")"),626.961)</f>
        <v>626.961</v>
      </c>
      <c r="F1094" s="73">
        <f>IFERROR(__xludf.DUMMYFUNCTION("iferror(MINUS(divide(GOOGLEFINANCE($B1094), INDEX(GOOGLEFINANCE($B1094,""price"",today()-182),2,2)),1),"""")"),0.8828624458651266)</f>
        <v>0.8828624459</v>
      </c>
      <c r="G1094" s="61">
        <f>IFERROR(__xludf.DUMMYFUNCTION("iferror(MINUS(divide(GOOGLEFINANCE($B1094), INDEX(GOOGLEFINANCE($B1094,""price"",today()-364),2,2)),1),"""")"),0.035147392290249435)</f>
        <v>0.03514739229</v>
      </c>
    </row>
    <row r="1095">
      <c r="A1095" s="71">
        <f t="shared" si="4"/>
        <v>1091</v>
      </c>
      <c r="B1095" s="47" t="s">
        <v>1228</v>
      </c>
      <c r="C1095" s="72">
        <f>IFERROR(__xludf.DUMMYFUNCTION("iferror(divide(googlefinance($B1095,""marketcap""),1000000),"""")"),3886.443792)</f>
        <v>3886.443792</v>
      </c>
      <c r="D1095" s="72">
        <f>IFERROR(__xludf.DUMMYFUNCTION("iferror(divide(googlefinance($B1095,""shares""),1000),"""")"),121870.0)</f>
        <v>121870</v>
      </c>
      <c r="E1095" s="72">
        <f>IFERROR(__xludf.DUMMYFUNCTION("iferror(divide(googlefinance($B1095,""volumeavg""),1000),"""")"),704.388)</f>
        <v>704.388</v>
      </c>
      <c r="F1095" s="73">
        <f>IFERROR(__xludf.DUMMYFUNCTION("iferror(MINUS(divide(GOOGLEFINANCE($B1095), INDEX(GOOGLEFINANCE($B1095,""price"",today()-182),2,2)),1),"""")"),0.10460685833044692)</f>
        <v>0.1046068583</v>
      </c>
      <c r="G1095" s="61">
        <f>IFERROR(__xludf.DUMMYFUNCTION("iferror(MINUS(divide(GOOGLEFINANCE($B1095), INDEX(GOOGLEFINANCE($B1095,""price"",today()-364),2,2)),1),"""")"),-0.12269601100412653)</f>
        <v>-0.122696011</v>
      </c>
    </row>
    <row r="1096">
      <c r="A1096" s="71">
        <f t="shared" si="4"/>
        <v>1092</v>
      </c>
      <c r="B1096" s="47" t="s">
        <v>1229</v>
      </c>
      <c r="C1096" s="72">
        <f>IFERROR(__xludf.DUMMYFUNCTION("iferror(divide(googlefinance($B1096,""marketcap""),1000000),"""")"),156.671844)</f>
        <v>156.671844</v>
      </c>
      <c r="D1096" s="72">
        <f>IFERROR(__xludf.DUMMYFUNCTION("iferror(divide(googlefinance($B1096,""shares""),1000),"""")"),52399.0)</f>
        <v>52399</v>
      </c>
      <c r="E1096" s="72">
        <f>IFERROR(__xludf.DUMMYFUNCTION("iferror(divide(googlefinance($B1096,""volumeavg""),1000),"""")"),502.921)</f>
        <v>502.921</v>
      </c>
      <c r="F1096" s="73">
        <f>IFERROR(__xludf.DUMMYFUNCTION("iferror(MINUS(divide(GOOGLEFINANCE($B1096), INDEX(GOOGLEFINANCE($B1096,""price"",today()-182),2,2)),1),"""")"),0.5101010101010102)</f>
        <v>0.5101010101</v>
      </c>
      <c r="G1096" s="61">
        <f>IFERROR(__xludf.DUMMYFUNCTION("iferror(MINUS(divide(GOOGLEFINANCE($B1096), INDEX(GOOGLEFINANCE($B1096,""price"",today()-364),2,2)),1),"""")"),-0.4809027777777777)</f>
        <v>-0.4809027778</v>
      </c>
    </row>
    <row r="1097">
      <c r="A1097" s="71">
        <f t="shared" si="4"/>
        <v>1093</v>
      </c>
      <c r="B1097" s="47" t="s">
        <v>1230</v>
      </c>
      <c r="C1097" s="72">
        <f>IFERROR(__xludf.DUMMYFUNCTION("iferror(divide(googlefinance($B1097,""marketcap""),1000000),"""")"),1.67834657375E7)</f>
        <v>16783465.74</v>
      </c>
      <c r="D1097" s="72">
        <f>IFERROR(__xludf.DUMMYFUNCTION("iferror(divide(googlefinance($B1097,""shares""),1000),"""")"),87187.0)</f>
        <v>87187</v>
      </c>
      <c r="E1097" s="72">
        <f>IFERROR(__xludf.DUMMYFUNCTION("iferror(divide(googlefinance($B1097,""volumeavg""),1000),"""")"),149.681)</f>
        <v>149.681</v>
      </c>
      <c r="F1097" s="73">
        <f>IFERROR(__xludf.DUMMYFUNCTION("iferror(MINUS(divide(GOOGLEFINANCE($B1097), INDEX(GOOGLEFINANCE($B1097,""price"",today()-182),2,2)),1),"""")"),0.48836363636363633)</f>
        <v>0.4883636364</v>
      </c>
      <c r="G1097" s="61">
        <f>IFERROR(__xludf.DUMMYFUNCTION("iferror(MINUS(divide(GOOGLEFINANCE($B1097), INDEX(GOOGLEFINANCE($B1097,""price"",today()-364),2,2)),1),"""")"),-0.1607545622308797)</f>
        <v>-0.1607545622</v>
      </c>
    </row>
    <row r="1098">
      <c r="A1098" s="71">
        <f t="shared" si="4"/>
        <v>1094</v>
      </c>
      <c r="B1098" s="47" t="s">
        <v>1231</v>
      </c>
      <c r="C1098" s="72">
        <f>IFERROR(__xludf.DUMMYFUNCTION("iferror(divide(googlefinance($B1098,""marketcap""),1000000),"""")"),660.813519)</f>
        <v>660.813519</v>
      </c>
      <c r="D1098" s="72">
        <f>IFERROR(__xludf.DUMMYFUNCTION("iferror(divide(googlefinance($B1098,""shares""),1000),"""")"),65622.0)</f>
        <v>65622</v>
      </c>
      <c r="E1098" s="72">
        <f>IFERROR(__xludf.DUMMYFUNCTION("iferror(divide(googlefinance($B1098,""volumeavg""),1000),"""")"),624.764)</f>
        <v>624.764</v>
      </c>
      <c r="F1098" s="73">
        <f>IFERROR(__xludf.DUMMYFUNCTION("iferror(MINUS(divide(GOOGLEFINANCE($B1098), INDEX(GOOGLEFINANCE($B1098,""price"",today()-182),2,2)),1),"""")"),0.06673728813559321)</f>
        <v>0.06673728814</v>
      </c>
      <c r="G1098" s="61">
        <f>IFERROR(__xludf.DUMMYFUNCTION("iferror(MINUS(divide(GOOGLEFINANCE($B1098), INDEX(GOOGLEFINANCE($B1098,""price"",today()-364),2,2)),1),"""")"),-0.062383612662942234)</f>
        <v>-0.06238361266</v>
      </c>
    </row>
    <row r="1099">
      <c r="A1099" s="71">
        <f t="shared" si="4"/>
        <v>1095</v>
      </c>
      <c r="B1099" s="47" t="s">
        <v>1232</v>
      </c>
      <c r="C1099" s="72">
        <f>IFERROR(__xludf.DUMMYFUNCTION("iferror(divide(googlefinance($B1099,""marketcap""),1000000),"""")"),670.036354)</f>
        <v>670.036354</v>
      </c>
      <c r="D1099" s="72">
        <f>IFERROR(__xludf.DUMMYFUNCTION("iferror(divide(googlefinance($B1099,""shares""),1000),"""")"),47453.0)</f>
        <v>47453</v>
      </c>
      <c r="E1099" s="72">
        <f>IFERROR(__xludf.DUMMYFUNCTION("iferror(divide(googlefinance($B1099,""volumeavg""),1000),"""")"),6089.908)</f>
        <v>6089.908</v>
      </c>
      <c r="F1099" s="73">
        <f>IFERROR(__xludf.DUMMYFUNCTION("iferror(MINUS(divide(GOOGLEFINANCE($B1099), INDEX(GOOGLEFINANCE($B1099,""price"",today()-182),2,2)),1),"""")"),0.8195876288659794)</f>
        <v>0.8195876289</v>
      </c>
      <c r="G1099" s="61">
        <f>IFERROR(__xludf.DUMMYFUNCTION("iferror(MINUS(divide(GOOGLEFINANCE($B1099), INDEX(GOOGLEFINANCE($B1099,""price"",today()-364),2,2)),1),"""")"),-0.6614720690481899)</f>
        <v>-0.661472069</v>
      </c>
    </row>
    <row r="1100">
      <c r="A1100" s="71">
        <f t="shared" si="4"/>
        <v>1096</v>
      </c>
      <c r="B1100" s="47" t="s">
        <v>1233</v>
      </c>
      <c r="C1100" s="72">
        <f>IFERROR(__xludf.DUMMYFUNCTION("iferror(divide(googlefinance($B1100,""marketcap""),1000000),"""")"),430.491883)</f>
        <v>430.491883</v>
      </c>
      <c r="D1100" s="72">
        <f>IFERROR(__xludf.DUMMYFUNCTION("iferror(divide(googlefinance($B1100,""shares""),1000),"""")"),14588.0)</f>
        <v>14588</v>
      </c>
      <c r="E1100" s="72">
        <f>IFERROR(__xludf.DUMMYFUNCTION("iferror(divide(googlefinance($B1100,""volumeavg""),1000),"""")"),1739.334)</f>
        <v>1739.334</v>
      </c>
      <c r="F1100" s="73">
        <f>IFERROR(__xludf.DUMMYFUNCTION("iferror(MINUS(divide(GOOGLEFINANCE($B1100), INDEX(GOOGLEFINANCE($B1100,""price"",today()-182),2,2)),1),"""")"),0.6169863013698631)</f>
        <v>0.6169863014</v>
      </c>
      <c r="G1100" s="61">
        <f>IFERROR(__xludf.DUMMYFUNCTION("iferror(MINUS(divide(GOOGLEFINANCE($B1100), INDEX(GOOGLEFINANCE($B1100,""price"",today()-364),2,2)),1),"""")"),-0.6175479523068947)</f>
        <v>-0.6175479523</v>
      </c>
    </row>
    <row r="1101">
      <c r="A1101" s="71">
        <f t="shared" si="4"/>
        <v>1097</v>
      </c>
      <c r="B1101" s="47" t="s">
        <v>1234</v>
      </c>
      <c r="C1101" s="72">
        <f>IFERROR(__xludf.DUMMYFUNCTION("iferror(divide(googlefinance($B1101,""marketcap""),1000000),"""")"),5191.358136)</f>
        <v>5191.358136</v>
      </c>
      <c r="D1101" s="72">
        <f>IFERROR(__xludf.DUMMYFUNCTION("iferror(divide(googlefinance($B1101,""shares""),1000),"""")"),80009.0)</f>
        <v>80009</v>
      </c>
      <c r="E1101" s="72">
        <f>IFERROR(__xludf.DUMMYFUNCTION("iferror(divide(googlefinance($B1101,""volumeavg""),1000),"""")"),1654.986)</f>
        <v>1654.986</v>
      </c>
      <c r="F1101" s="73">
        <f>IFERROR(__xludf.DUMMYFUNCTION("iferror(MINUS(divide(GOOGLEFINANCE($B1101), INDEX(GOOGLEFINANCE($B1101,""price"",today()-182),2,2)),1),"""")"),0.7686413203654583)</f>
        <v>0.7686413204</v>
      </c>
      <c r="G1101" s="61">
        <f>IFERROR(__xludf.DUMMYFUNCTION("iferror(MINUS(divide(GOOGLEFINANCE($B1101), INDEX(GOOGLEFINANCE($B1101,""price"",today()-364),2,2)),1),"""")"),-0.005469008949287479)</f>
        <v>-0.005469008949</v>
      </c>
    </row>
    <row r="1102">
      <c r="A1102" s="71">
        <f t="shared" si="4"/>
        <v>1098</v>
      </c>
      <c r="B1102" s="47" t="s">
        <v>1235</v>
      </c>
      <c r="C1102" s="72">
        <f>IFERROR(__xludf.DUMMYFUNCTION("iferror(divide(googlefinance($B1102,""marketcap""),1000000),"""")"),835.668403)</f>
        <v>835.668403</v>
      </c>
      <c r="D1102" s="72">
        <f>IFERROR(__xludf.DUMMYFUNCTION("iferror(divide(googlefinance($B1102,""shares""),1000),"""")"),22857.0)</f>
        <v>22857</v>
      </c>
      <c r="E1102" s="72">
        <f>IFERROR(__xludf.DUMMYFUNCTION("iferror(divide(googlefinance($B1102,""volumeavg""),1000),"""")"),74.224)</f>
        <v>74.224</v>
      </c>
      <c r="F1102" s="73">
        <f>IFERROR(__xludf.DUMMYFUNCTION("iferror(MINUS(divide(GOOGLEFINANCE($B1102), INDEX(GOOGLEFINANCE($B1102,""price"",today()-182),2,2)),1),"""")"),0.34115920763022745)</f>
        <v>0.3411592076</v>
      </c>
      <c r="G1102" s="61">
        <f>IFERROR(__xludf.DUMMYFUNCTION("iferror(MINUS(divide(GOOGLEFINANCE($B1102), INDEX(GOOGLEFINANCE($B1102,""price"",today()-364),2,2)),1),"""")"),-0.1916869334512491)</f>
        <v>-0.1916869335</v>
      </c>
    </row>
    <row r="1103">
      <c r="A1103" s="71">
        <f t="shared" si="4"/>
        <v>1099</v>
      </c>
      <c r="B1103" s="47" t="s">
        <v>1236</v>
      </c>
      <c r="C1103" s="72">
        <f>IFERROR(__xludf.DUMMYFUNCTION("iferror(divide(googlefinance($B1103,""marketcap""),1000000),"""")"),978.963309)</f>
        <v>978.963309</v>
      </c>
      <c r="D1103" s="72">
        <f>IFERROR(__xludf.DUMMYFUNCTION("iferror(divide(googlefinance($B1103,""shares""),1000),"""")"),35444.0)</f>
        <v>35444</v>
      </c>
      <c r="E1103" s="72">
        <f>IFERROR(__xludf.DUMMYFUNCTION("iferror(divide(googlefinance($B1103,""volumeavg""),1000),"""")"),83.592)</f>
        <v>83.592</v>
      </c>
      <c r="F1103" s="73" t="str">
        <f>IFERROR(__xludf.DUMMYFUNCTION("iferror(MINUS(divide(GOOGLEFINANCE($B1103), INDEX(GOOGLEFINANCE($B1103,""price"",today()-182),2,2)),1),"""")"),"")</f>
        <v/>
      </c>
      <c r="G1103" s="61" t="str">
        <f>IFERROR(__xludf.DUMMYFUNCTION("iferror(MINUS(divide(GOOGLEFINANCE($B1103), INDEX(GOOGLEFINANCE($B1103,""price"",today()-364),2,2)),1),"""")"),"")</f>
        <v/>
      </c>
    </row>
    <row r="1104">
      <c r="A1104" s="71">
        <f t="shared" si="4"/>
        <v>1100</v>
      </c>
      <c r="B1104" s="47" t="s">
        <v>1237</v>
      </c>
      <c r="C1104" s="72">
        <f>IFERROR(__xludf.DUMMYFUNCTION("iferror(divide(googlefinance($B1104,""marketcap""),1000000),"""")"),609.257848)</f>
        <v>609.257848</v>
      </c>
      <c r="D1104" s="72">
        <f>IFERROR(__xludf.DUMMYFUNCTION("iferror(divide(googlefinance($B1104,""shares""),1000),"""")"),134494.0)</f>
        <v>134494</v>
      </c>
      <c r="E1104" s="72">
        <f>IFERROR(__xludf.DUMMYFUNCTION("iferror(divide(googlefinance($B1104,""volumeavg""),1000),"""")"),502.042)</f>
        <v>502.042</v>
      </c>
      <c r="F1104" s="73">
        <f>IFERROR(__xludf.DUMMYFUNCTION("iferror(MINUS(divide(GOOGLEFINANCE($B1104), INDEX(GOOGLEFINANCE($B1104,""price"",today()-182),2,2)),1),"""")"),0.8719008264462811)</f>
        <v>0.8719008264</v>
      </c>
      <c r="G1104" s="61">
        <f>IFERROR(__xludf.DUMMYFUNCTION("iferror(MINUS(divide(GOOGLEFINANCE($B1104), INDEX(GOOGLEFINANCE($B1104,""price"",today()-364),2,2)),1),"""")"),-0.427307206068268)</f>
        <v>-0.4273072061</v>
      </c>
    </row>
    <row r="1105">
      <c r="A1105" s="71">
        <f t="shared" si="4"/>
        <v>1101</v>
      </c>
      <c r="B1105" s="47" t="s">
        <v>1238</v>
      </c>
      <c r="C1105" s="72">
        <f>IFERROR(__xludf.DUMMYFUNCTION("iferror(divide(googlefinance($B1105,""marketcap""),1000000),"""")"),123757.59979)</f>
        <v>123757.5998</v>
      </c>
      <c r="D1105" s="72">
        <f>IFERROR(__xludf.DUMMYFUNCTION("iferror(divide(googlefinance($B1105,""shares""),1000),"""")"),1557287.0)</f>
        <v>1557287</v>
      </c>
      <c r="E1105" s="72">
        <f>IFERROR(__xludf.DUMMYFUNCTION("iferror(divide(googlefinance($B1105,""volumeavg""),1000),"""")"),3535.698)</f>
        <v>3535.698</v>
      </c>
      <c r="F1105" s="73">
        <f>IFERROR(__xludf.DUMMYFUNCTION("iferror(MINUS(divide(GOOGLEFINANCE($B1105), INDEX(GOOGLEFINANCE($B1105,""price"",today()-182),2,2)),1),"""")"),0.30086757243411344)</f>
        <v>0.3008675724</v>
      </c>
      <c r="G1105" s="61">
        <f>IFERROR(__xludf.DUMMYFUNCTION("iferror(MINUS(divide(GOOGLEFINANCE($B1105), INDEX(GOOGLEFINANCE($B1105,""price"",today()-364),2,2)),1),"""")"),0.11615168539325826)</f>
        <v>0.1161516854</v>
      </c>
    </row>
    <row r="1106">
      <c r="A1106" s="71">
        <f t="shared" si="4"/>
        <v>1102</v>
      </c>
      <c r="B1106" s="47" t="s">
        <v>1239</v>
      </c>
      <c r="C1106" s="72">
        <f>IFERROR(__xludf.DUMMYFUNCTION("iferror(divide(googlefinance($B1106,""marketcap""),1000000),"""")"),15947.91438)</f>
        <v>15947.91438</v>
      </c>
      <c r="D1106" s="72" t="str">
        <f>IFERROR(__xludf.DUMMYFUNCTION("iferror(divide(googlefinance($B1106,""shares""),1000),"""")"),"")</f>
        <v/>
      </c>
      <c r="E1106" s="72" t="str">
        <f>IFERROR(__xludf.DUMMYFUNCTION("iferror(divide(googlefinance($B1106,""volumeavg""),1000),"""")"),"")</f>
        <v/>
      </c>
      <c r="F1106" s="73">
        <f>IFERROR(__xludf.DUMMYFUNCTION("iferror(MINUS(divide(GOOGLEFINANCE($B1106), INDEX(GOOGLEFINANCE($B1106,""price"",today()-182),2,2)),1),"""")"),0.4247787610619469)</f>
        <v>0.4247787611</v>
      </c>
      <c r="G1106" s="61">
        <f>IFERROR(__xludf.DUMMYFUNCTION("iferror(MINUS(divide(GOOGLEFINANCE($B1106), INDEX(GOOGLEFINANCE($B1106,""price"",today()-364),2,2)),1),"""")"),-0.3364655456643587)</f>
        <v>-0.3364655457</v>
      </c>
    </row>
    <row r="1107">
      <c r="A1107" s="71">
        <f t="shared" si="4"/>
        <v>1103</v>
      </c>
      <c r="B1107" s="47" t="s">
        <v>1240</v>
      </c>
      <c r="C1107" s="72">
        <f>IFERROR(__xludf.DUMMYFUNCTION("iferror(divide(googlefinance($B1107,""marketcap""),1000000),"""")"),5.99215)</f>
        <v>5.99215</v>
      </c>
      <c r="D1107" s="72">
        <f>IFERROR(__xludf.DUMMYFUNCTION("iferror(divide(googlefinance($B1107,""shares""),1000),"""")"),384005.966)</f>
        <v>384005.966</v>
      </c>
      <c r="E1107" s="72">
        <f>IFERROR(__xludf.DUMMYFUNCTION("iferror(divide(googlefinance($B1107,""volumeavg""),1000),"""")"),1114.649)</f>
        <v>1114.649</v>
      </c>
      <c r="F1107" s="73">
        <f>IFERROR(__xludf.DUMMYFUNCTION("iferror(MINUS(divide(GOOGLEFINANCE($B1107), INDEX(GOOGLEFINANCE($B1107,""price"",today()-182),2,2)),1),"""")"),-0.24855491329479762)</f>
        <v>-0.2485549133</v>
      </c>
      <c r="G1107" s="61">
        <f>IFERROR(__xludf.DUMMYFUNCTION("iferror(MINUS(divide(GOOGLEFINANCE($B1107), INDEX(GOOGLEFINANCE($B1107,""price"",today()-364),2,2)),1),"""")"),-0.5470383275261324)</f>
        <v>-0.5470383275</v>
      </c>
    </row>
    <row r="1108">
      <c r="A1108" s="71">
        <f t="shared" si="4"/>
        <v>1104</v>
      </c>
      <c r="B1108" s="47" t="s">
        <v>1241</v>
      </c>
      <c r="C1108" s="72">
        <f>IFERROR(__xludf.DUMMYFUNCTION("iferror(divide(googlefinance($B1108,""marketcap""),1000000),"""")"),12194.726382)</f>
        <v>12194.72638</v>
      </c>
      <c r="D1108" s="72">
        <f>IFERROR(__xludf.DUMMYFUNCTION("iferror(divide(googlefinance($B1108,""shares""),1000),"""")"),40076.0)</f>
        <v>40076</v>
      </c>
      <c r="E1108" s="72">
        <f>IFERROR(__xludf.DUMMYFUNCTION("iferror(divide(googlefinance($B1108,""volumeavg""),1000),"""")"),255.825)</f>
        <v>255.825</v>
      </c>
      <c r="F1108" s="73">
        <f>IFERROR(__xludf.DUMMYFUNCTION("iferror(MINUS(divide(GOOGLEFINANCE($B1108), INDEX(GOOGLEFINANCE($B1108,""price"",today()-182),2,2)),1),"""")"),0.8136249850995352)</f>
        <v>0.8136249851</v>
      </c>
      <c r="G1108" s="61">
        <f>IFERROR(__xludf.DUMMYFUNCTION("iferror(MINUS(divide(GOOGLEFINANCE($B1108), INDEX(GOOGLEFINANCE($B1108,""price"",today()-364),2,2)),1),"""")"),0.5525000000000002)</f>
        <v>0.5525</v>
      </c>
    </row>
    <row r="1109">
      <c r="A1109" s="71">
        <f t="shared" si="4"/>
        <v>1105</v>
      </c>
      <c r="B1109" s="47" t="s">
        <v>1242</v>
      </c>
      <c r="C1109" s="72">
        <f>IFERROR(__xludf.DUMMYFUNCTION("iferror(divide(googlefinance($B1109,""marketcap""),1000000),"""")"),5827.98885)</f>
        <v>5827.98885</v>
      </c>
      <c r="D1109" s="72">
        <f>IFERROR(__xludf.DUMMYFUNCTION("iferror(divide(googlefinance($B1109,""shares""),1000),"""")"),67704.0)</f>
        <v>67704</v>
      </c>
      <c r="E1109" s="72">
        <f>IFERROR(__xludf.DUMMYFUNCTION("iferror(divide(googlefinance($B1109,""volumeavg""),1000),"""")"),498.009)</f>
        <v>498.009</v>
      </c>
      <c r="F1109" s="73">
        <f>IFERROR(__xludf.DUMMYFUNCTION("iferror(MINUS(divide(GOOGLEFINANCE($B1109), INDEX(GOOGLEFINANCE($B1109,""price"",today()-182),2,2)),1),"""")"),0.18502202643171795)</f>
        <v>0.1850220264</v>
      </c>
      <c r="G1109" s="61">
        <f>IFERROR(__xludf.DUMMYFUNCTION("iferror(MINUS(divide(GOOGLEFINANCE($B1109), INDEX(GOOGLEFINANCE($B1109,""price"",today()-364),2,2)),1),"""")"),-0.1853113761120575)</f>
        <v>-0.1853113761</v>
      </c>
    </row>
    <row r="1110">
      <c r="A1110" s="71">
        <f t="shared" si="4"/>
        <v>1106</v>
      </c>
      <c r="B1110" s="47" t="s">
        <v>1243</v>
      </c>
      <c r="C1110" s="72">
        <f>IFERROR(__xludf.DUMMYFUNCTION("iferror(divide(googlefinance($B1110,""marketcap""),1000000),"""")"),3215.243514)</f>
        <v>3215.243514</v>
      </c>
      <c r="D1110" s="72">
        <f>IFERROR(__xludf.DUMMYFUNCTION("iferror(divide(googlefinance($B1110,""shares""),1000),"""")"),59774.0)</f>
        <v>59774</v>
      </c>
      <c r="E1110" s="72">
        <f>IFERROR(__xludf.DUMMYFUNCTION("iferror(divide(googlefinance($B1110,""volumeavg""),1000),"""")"),337.545)</f>
        <v>337.545</v>
      </c>
      <c r="F1110" s="73">
        <f>IFERROR(__xludf.DUMMYFUNCTION("iferror(MINUS(divide(GOOGLEFINANCE($B1110), INDEX(GOOGLEFINANCE($B1110,""price"",today()-182),2,2)),1),"""")"),0.2843839541547277)</f>
        <v>0.2843839542</v>
      </c>
      <c r="G1110" s="61">
        <f>IFERROR(__xludf.DUMMYFUNCTION("iferror(MINUS(divide(GOOGLEFINANCE($B1110), INDEX(GOOGLEFINANCE($B1110,""price"",today()-364),2,2)),1),"""")"),0.1765091863517061)</f>
        <v>0.1765091864</v>
      </c>
    </row>
    <row r="1111">
      <c r="A1111" s="71">
        <f t="shared" si="4"/>
        <v>1107</v>
      </c>
      <c r="B1111" s="47" t="s">
        <v>1244</v>
      </c>
      <c r="C1111" s="72">
        <f>IFERROR(__xludf.DUMMYFUNCTION("iferror(divide(googlefinance($B1111,""marketcap""),1000000),"""")"),4077.774496)</f>
        <v>4077.774496</v>
      </c>
      <c r="D1111" s="72">
        <f>IFERROR(__xludf.DUMMYFUNCTION("iferror(divide(googlefinance($B1111,""shares""),1000),"""")"),244032.0)</f>
        <v>244032</v>
      </c>
      <c r="E1111" s="72">
        <f>IFERROR(__xludf.DUMMYFUNCTION("iferror(divide(googlefinance($B1111,""volumeavg""),1000),"""")"),779.04)</f>
        <v>779.04</v>
      </c>
      <c r="F1111" s="73">
        <f>IFERROR(__xludf.DUMMYFUNCTION("iferror(MINUS(divide(GOOGLEFINANCE($B1111), INDEX(GOOGLEFINANCE($B1111,""price"",today()-182),2,2)),1),"""")"),-0.05325779036827183)</f>
        <v>-0.05325779037</v>
      </c>
      <c r="G1111" s="61">
        <f>IFERROR(__xludf.DUMMYFUNCTION("iferror(MINUS(divide(GOOGLEFINANCE($B1111), INDEX(GOOGLEFINANCE($B1111,""price"",today()-364),2,2)),1),"""")"),-0.45177165354330706)</f>
        <v>-0.4517716535</v>
      </c>
    </row>
    <row r="1112">
      <c r="A1112" s="71">
        <f t="shared" si="4"/>
        <v>1108</v>
      </c>
      <c r="B1112" s="47" t="s">
        <v>1245</v>
      </c>
      <c r="C1112" s="72">
        <f>IFERROR(__xludf.DUMMYFUNCTION("iferror(divide(googlefinance($B1112,""marketcap""),1000000),"""")"),11503.338)</f>
        <v>11503.338</v>
      </c>
      <c r="D1112" s="72">
        <f>IFERROR(__xludf.DUMMYFUNCTION("iferror(divide(googlefinance($B1112,""shares""),1000),"""")"),348586.0)</f>
        <v>348586</v>
      </c>
      <c r="E1112" s="72">
        <f>IFERROR(__xludf.DUMMYFUNCTION("iferror(divide(googlefinance($B1112,""volumeavg""),1000),"""")"),766.953)</f>
        <v>766.953</v>
      </c>
      <c r="F1112" s="73">
        <f>IFERROR(__xludf.DUMMYFUNCTION("iferror(MINUS(divide(GOOGLEFINANCE($B1112), INDEX(GOOGLEFINANCE($B1112,""price"",today()-182),2,2)),1),"""")"),1.272727272727273)</f>
        <v>1.272727273</v>
      </c>
      <c r="G1112" s="61" t="str">
        <f>IFERROR(__xludf.DUMMYFUNCTION("iferror(MINUS(divide(GOOGLEFINANCE($B1112), INDEX(GOOGLEFINANCE($B1112,""price"",today()-364),2,2)),1),"""")"),"")</f>
        <v/>
      </c>
    </row>
    <row r="1113">
      <c r="A1113" s="71">
        <f t="shared" si="4"/>
        <v>1109</v>
      </c>
      <c r="B1113" s="47" t="s">
        <v>1246</v>
      </c>
      <c r="C1113" s="72">
        <f>IFERROR(__xludf.DUMMYFUNCTION("iferror(divide(googlefinance($B1113,""marketcap""),1000000),"""")"),30500.02725)</f>
        <v>30500.02725</v>
      </c>
      <c r="D1113" s="72">
        <f>IFERROR(__xludf.DUMMYFUNCTION("iferror(divide(googlefinance($B1113,""shares""),1000),"""")"),235977.0)</f>
        <v>235977</v>
      </c>
      <c r="E1113" s="72">
        <f>IFERROR(__xludf.DUMMYFUNCTION("iferror(divide(googlefinance($B1113,""volumeavg""),1000),"""")"),1294.034)</f>
        <v>1294.034</v>
      </c>
      <c r="F1113" s="73">
        <f>IFERROR(__xludf.DUMMYFUNCTION("iferror(MINUS(divide(GOOGLEFINANCE($B1113), INDEX(GOOGLEFINANCE($B1113,""price"",today()-182),2,2)),1),"""")"),0.6212995484194681)</f>
        <v>0.6212995484</v>
      </c>
      <c r="G1113" s="61">
        <f>IFERROR(__xludf.DUMMYFUNCTION("iferror(MINUS(divide(GOOGLEFINANCE($B1113), INDEX(GOOGLEFINANCE($B1113,""price"",today()-364),2,2)),1),"""")"),0.08376656045614617)</f>
        <v>0.08376656046</v>
      </c>
    </row>
    <row r="1114">
      <c r="A1114" s="71">
        <f t="shared" si="4"/>
        <v>1110</v>
      </c>
      <c r="B1114" s="47" t="s">
        <v>1247</v>
      </c>
      <c r="C1114" s="72">
        <f>IFERROR(__xludf.DUMMYFUNCTION("iferror(divide(googlefinance($B1114,""marketcap""),1000000),"""")"),6595.018749)</f>
        <v>6595.018749</v>
      </c>
      <c r="D1114" s="72">
        <f>IFERROR(__xludf.DUMMYFUNCTION("iferror(divide(googlefinance($B1114,""shares""),1000),"""")"),63961.0)</f>
        <v>63961</v>
      </c>
      <c r="E1114" s="72">
        <f>IFERROR(__xludf.DUMMYFUNCTION("iferror(divide(googlefinance($B1114,""volumeavg""),1000),"""")"),298.571)</f>
        <v>298.571</v>
      </c>
      <c r="F1114" s="73">
        <f>IFERROR(__xludf.DUMMYFUNCTION("iferror(MINUS(divide(GOOGLEFINANCE($B1114), INDEX(GOOGLEFINANCE($B1114,""price"",today()-182),2,2)),1),"""")"),0.5259730649696612)</f>
        <v>0.525973065</v>
      </c>
      <c r="G1114" s="61">
        <f>IFERROR(__xludf.DUMMYFUNCTION("iferror(MINUS(divide(GOOGLEFINANCE($B1114), INDEX(GOOGLEFINANCE($B1114,""price"",today()-364),2,2)),1),"""")"),-0.03319268635724337)</f>
        <v>-0.03319268636</v>
      </c>
    </row>
    <row r="1115">
      <c r="A1115" s="71">
        <f t="shared" si="4"/>
        <v>1111</v>
      </c>
      <c r="B1115" s="47" t="s">
        <v>1248</v>
      </c>
      <c r="C1115" s="72">
        <f>IFERROR(__xludf.DUMMYFUNCTION("iferror(divide(googlefinance($B1115,""marketcap""),1000000),"""")"),6602.902545)</f>
        <v>6602.902545</v>
      </c>
      <c r="D1115" s="72">
        <f>IFERROR(__xludf.DUMMYFUNCTION("iferror(divide(googlefinance($B1115,""shares""),1000),"""")"),136480.0)</f>
        <v>136480</v>
      </c>
      <c r="E1115" s="72">
        <f>IFERROR(__xludf.DUMMYFUNCTION("iferror(divide(googlefinance($B1115,""volumeavg""),1000),"""")"),829.705)</f>
        <v>829.705</v>
      </c>
      <c r="F1115" s="73">
        <f>IFERROR(__xludf.DUMMYFUNCTION("iferror(MINUS(divide(GOOGLEFINANCE($B1115), INDEX(GOOGLEFINANCE($B1115,""price"",today()-182),2,2)),1),"""")"),0.14835034417279847)</f>
        <v>0.1483503442</v>
      </c>
      <c r="G1115" s="61">
        <f>IFERROR(__xludf.DUMMYFUNCTION("iferror(MINUS(divide(GOOGLEFINANCE($B1115), INDEX(GOOGLEFINANCE($B1115,""price"",today()-364),2,2)),1),"""")"),-0.12418537291817522)</f>
        <v>-0.1241853729</v>
      </c>
    </row>
    <row r="1116">
      <c r="A1116" s="71">
        <f t="shared" si="4"/>
        <v>1112</v>
      </c>
      <c r="B1116" s="47" t="s">
        <v>1249</v>
      </c>
      <c r="C1116" s="72">
        <f>IFERROR(__xludf.DUMMYFUNCTION("iferror(divide(googlefinance($B1116,""marketcap""),1000000),"""")"),885.906749)</f>
        <v>885.906749</v>
      </c>
      <c r="D1116" s="72">
        <f>IFERROR(__xludf.DUMMYFUNCTION("iferror(divide(googlefinance($B1116,""shares""),1000),"""")"),48252.0)</f>
        <v>48252</v>
      </c>
      <c r="E1116" s="72">
        <f>IFERROR(__xludf.DUMMYFUNCTION("iferror(divide(googlefinance($B1116,""volumeavg""),1000),"""")"),514.12)</f>
        <v>514.12</v>
      </c>
      <c r="F1116" s="73">
        <f>IFERROR(__xludf.DUMMYFUNCTION("iferror(MINUS(divide(GOOGLEFINANCE($B1116), INDEX(GOOGLEFINANCE($B1116,""price"",today()-182),2,2)),1),"""")"),0.47588424437299026)</f>
        <v>0.4758842444</v>
      </c>
      <c r="G1116" s="61">
        <f>IFERROR(__xludf.DUMMYFUNCTION("iferror(MINUS(divide(GOOGLEFINANCE($B1116), INDEX(GOOGLEFINANCE($B1116,""price"",today()-364),2,2)),1),"""")"),-0.08792846497764528)</f>
        <v>-0.08792846498</v>
      </c>
    </row>
    <row r="1117">
      <c r="A1117" s="71">
        <f t="shared" si="4"/>
        <v>1113</v>
      </c>
      <c r="B1117" s="47" t="s">
        <v>1250</v>
      </c>
      <c r="C1117" s="72">
        <f>IFERROR(__xludf.DUMMYFUNCTION("iferror(divide(googlefinance($B1117,""marketcap""),1000000),"""")"),2342.583201)</f>
        <v>2342.583201</v>
      </c>
      <c r="D1117" s="72">
        <f>IFERROR(__xludf.DUMMYFUNCTION("iferror(divide(googlefinance($B1117,""shares""),1000),"""")"),39499.0)</f>
        <v>39499</v>
      </c>
      <c r="E1117" s="72">
        <f>IFERROR(__xludf.DUMMYFUNCTION("iferror(divide(googlefinance($B1117,""volumeavg""),1000),"""")"),1061.182)</f>
        <v>1061.182</v>
      </c>
      <c r="F1117" s="73">
        <f>IFERROR(__xludf.DUMMYFUNCTION("iferror(MINUS(divide(GOOGLEFINANCE($B1117), INDEX(GOOGLEFINANCE($B1117,""price"",today()-182),2,2)),1),"""")"),0.7783191230207063)</f>
        <v>0.778319123</v>
      </c>
      <c r="G1117" s="61">
        <f>IFERROR(__xludf.DUMMYFUNCTION("iferror(MINUS(divide(GOOGLEFINANCE($B1117), INDEX(GOOGLEFINANCE($B1117,""price"",today()-364),2,2)),1),"""")"),0.1326609775019394)</f>
        <v>0.1326609775</v>
      </c>
    </row>
    <row r="1118">
      <c r="A1118" s="71">
        <f t="shared" si="4"/>
        <v>1114</v>
      </c>
      <c r="B1118" s="47" t="s">
        <v>1251</v>
      </c>
      <c r="C1118" s="72">
        <f>IFERROR(__xludf.DUMMYFUNCTION("iferror(divide(googlefinance($B1118,""marketcap""),1000000),"""")"),3322.560551)</f>
        <v>3322.560551</v>
      </c>
      <c r="D1118" s="72">
        <f>IFERROR(__xludf.DUMMYFUNCTION("iferror(divide(googlefinance($B1118,""shares""),1000),"""")"),33209.0)</f>
        <v>33209</v>
      </c>
      <c r="E1118" s="72">
        <f>IFERROR(__xludf.DUMMYFUNCTION("iferror(divide(googlefinance($B1118,""volumeavg""),1000),"""")"),2341.3)</f>
        <v>2341.3</v>
      </c>
      <c r="F1118" s="73">
        <f>IFERROR(__xludf.DUMMYFUNCTION("iferror(MINUS(divide(GOOGLEFINANCE($B1118), INDEX(GOOGLEFINANCE($B1118,""price"",today()-182),2,2)),1),"""")"),1.095287958115183)</f>
        <v>1.095287958</v>
      </c>
      <c r="G1118" s="61">
        <f>IFERROR(__xludf.DUMMYFUNCTION("iferror(MINUS(divide(GOOGLEFINANCE($B1118), INDEX(GOOGLEFINANCE($B1118,""price"",today()-364),2,2)),1),"""")"),1.9417818288738609)</f>
        <v>1.941781829</v>
      </c>
    </row>
    <row r="1119">
      <c r="A1119" s="71">
        <f t="shared" si="4"/>
        <v>1115</v>
      </c>
      <c r="B1119" s="47" t="s">
        <v>1252</v>
      </c>
      <c r="C1119" s="72">
        <f>IFERROR(__xludf.DUMMYFUNCTION("iferror(divide(googlefinance($B1119,""marketcap""),1000000),"""")"),427.7761)</f>
        <v>427.7761</v>
      </c>
      <c r="D1119" s="72">
        <f>IFERROR(__xludf.DUMMYFUNCTION("iferror(divide(googlefinance($B1119,""shares""),1000),"""")"),46548.0)</f>
        <v>46548</v>
      </c>
      <c r="E1119" s="72">
        <f>IFERROR(__xludf.DUMMYFUNCTION("iferror(divide(googlefinance($B1119,""volumeavg""),1000),"""")"),64.471)</f>
        <v>64.471</v>
      </c>
      <c r="F1119" s="73" t="str">
        <f>IFERROR(__xludf.DUMMYFUNCTION("iferror(MINUS(divide(GOOGLEFINANCE($B1119), INDEX(GOOGLEFINANCE($B1119,""price"",today()-182),2,2)),1),"""")"),"")</f>
        <v/>
      </c>
      <c r="G1119" s="61" t="str">
        <f>IFERROR(__xludf.DUMMYFUNCTION("iferror(MINUS(divide(GOOGLEFINANCE($B1119), INDEX(GOOGLEFINANCE($B1119,""price"",today()-364),2,2)),1),"""")"),"")</f>
        <v/>
      </c>
    </row>
    <row r="1120">
      <c r="A1120" s="71">
        <f t="shared" si="4"/>
        <v>1116</v>
      </c>
      <c r="B1120" s="47" t="s">
        <v>1253</v>
      </c>
      <c r="C1120" s="72">
        <f>IFERROR(__xludf.DUMMYFUNCTION("iferror(divide(googlefinance($B1120,""marketcap""),1000000),"""")"),299.027037)</f>
        <v>299.027037</v>
      </c>
      <c r="D1120" s="72">
        <f>IFERROR(__xludf.DUMMYFUNCTION("iferror(divide(googlefinance($B1120,""shares""),1000),"""")"),53976.0)</f>
        <v>53976</v>
      </c>
      <c r="E1120" s="72">
        <f>IFERROR(__xludf.DUMMYFUNCTION("iferror(divide(googlefinance($B1120,""volumeavg""),1000),"""")"),142.637)</f>
        <v>142.637</v>
      </c>
      <c r="F1120" s="73">
        <f>IFERROR(__xludf.DUMMYFUNCTION("iferror(MINUS(divide(GOOGLEFINANCE($B1120), INDEX(GOOGLEFINANCE($B1120,""price"",today()-182),2,2)),1),"""")"),0.03551401869158877)</f>
        <v>0.03551401869</v>
      </c>
      <c r="G1120" s="61">
        <f>IFERROR(__xludf.DUMMYFUNCTION("iferror(MINUS(divide(GOOGLEFINANCE($B1120), INDEX(GOOGLEFINANCE($B1120,""price"",today()-364),2,2)),1),"""")"),-0.21306818181818177)</f>
        <v>-0.2130681818</v>
      </c>
    </row>
    <row r="1121">
      <c r="A1121" s="71">
        <f t="shared" si="4"/>
        <v>1117</v>
      </c>
      <c r="B1121" s="47" t="s">
        <v>1254</v>
      </c>
      <c r="C1121" s="72">
        <f>IFERROR(__xludf.DUMMYFUNCTION("iferror(divide(googlefinance($B1121,""marketcap""),1000000),"""")"),415.074384)</f>
        <v>415.074384</v>
      </c>
      <c r="D1121" s="72">
        <f>IFERROR(__xludf.DUMMYFUNCTION("iferror(divide(googlefinance($B1121,""shares""),1000),"""")"),39911.0)</f>
        <v>39911</v>
      </c>
      <c r="E1121" s="72">
        <f>IFERROR(__xludf.DUMMYFUNCTION("iferror(divide(googlefinance($B1121,""volumeavg""),1000),"""")"),222.602)</f>
        <v>222.602</v>
      </c>
      <c r="F1121" s="73">
        <f>IFERROR(__xludf.DUMMYFUNCTION("iferror(MINUS(divide(GOOGLEFINANCE($B1121), INDEX(GOOGLEFINANCE($B1121,""price"",today()-182),2,2)),1),"""")"),0.1594202898550725)</f>
        <v>0.1594202899</v>
      </c>
      <c r="G1121" s="61">
        <f>IFERROR(__xludf.DUMMYFUNCTION("iferror(MINUS(divide(GOOGLEFINANCE($B1121), INDEX(GOOGLEFINANCE($B1121,""price"",today()-364),2,2)),1),"""")"),0.2425328554360815)</f>
        <v>0.2425328554</v>
      </c>
    </row>
    <row r="1122">
      <c r="A1122" s="71">
        <f t="shared" si="4"/>
        <v>1118</v>
      </c>
      <c r="B1122" s="47" t="s">
        <v>1255</v>
      </c>
      <c r="C1122" s="72">
        <f>IFERROR(__xludf.DUMMYFUNCTION("iferror(divide(googlefinance($B1122,""marketcap""),1000000),"""")"),296.379339)</f>
        <v>296.379339</v>
      </c>
      <c r="D1122" s="72">
        <f>IFERROR(__xludf.DUMMYFUNCTION("iferror(divide(googlefinance($B1122,""shares""),1000),"""")"),45387.0)</f>
        <v>45387</v>
      </c>
      <c r="E1122" s="72">
        <f>IFERROR(__xludf.DUMMYFUNCTION("iferror(divide(googlefinance($B1122,""volumeavg""),1000),"""")"),639.998)</f>
        <v>639.998</v>
      </c>
      <c r="F1122" s="73">
        <f>IFERROR(__xludf.DUMMYFUNCTION("iferror(MINUS(divide(GOOGLEFINANCE($B1122), INDEX(GOOGLEFINANCE($B1122,""price"",today()-182),2,2)),1),"""")"),1.2595155709342563)</f>
        <v>1.259515571</v>
      </c>
      <c r="G1122" s="61">
        <f>IFERROR(__xludf.DUMMYFUNCTION("iferror(MINUS(divide(GOOGLEFINANCE($B1122), INDEX(GOOGLEFINANCE($B1122,""price"",today()-364),2,2)),1),"""")"),0.4674157303370787)</f>
        <v>0.4674157303</v>
      </c>
    </row>
    <row r="1123">
      <c r="A1123" s="71">
        <f t="shared" si="4"/>
        <v>1119</v>
      </c>
      <c r="B1123" s="47" t="s">
        <v>1256</v>
      </c>
      <c r="C1123" s="72">
        <f>IFERROR(__xludf.DUMMYFUNCTION("iferror(divide(googlefinance($B1123,""marketcap""),1000000),"""")"),287.590076)</f>
        <v>287.590076</v>
      </c>
      <c r="D1123" s="72">
        <f>IFERROR(__xludf.DUMMYFUNCTION("iferror(divide(googlefinance($B1123,""shares""),1000),"""")"),94602.0)</f>
        <v>94602</v>
      </c>
      <c r="E1123" s="72">
        <f>IFERROR(__xludf.DUMMYFUNCTION("iferror(divide(googlefinance($B1123,""volumeavg""),1000),"""")"),7099.413)</f>
        <v>7099.413</v>
      </c>
      <c r="F1123" s="73">
        <f>IFERROR(__xludf.DUMMYFUNCTION("iferror(MINUS(divide(GOOGLEFINANCE($B1123), INDEX(GOOGLEFINANCE($B1123,""price"",today()-182),2,2)),1),"""")"),4.241379310344828)</f>
        <v>4.24137931</v>
      </c>
      <c r="G1123" s="61">
        <f>IFERROR(__xludf.DUMMYFUNCTION("iferror(MINUS(divide(GOOGLEFINANCE($B1123), INDEX(GOOGLEFINANCE($B1123,""price"",today()-364),2,2)),1),"""")"),-0.4899328859060402)</f>
        <v>-0.4899328859</v>
      </c>
    </row>
    <row r="1124">
      <c r="A1124" s="71">
        <f t="shared" si="4"/>
        <v>1120</v>
      </c>
      <c r="B1124" s="47" t="s">
        <v>1257</v>
      </c>
      <c r="C1124" s="72">
        <f>IFERROR(__xludf.DUMMYFUNCTION("iferror(divide(googlefinance($B1124,""marketcap""),1000000),"""")"),834.069582)</f>
        <v>834.069582</v>
      </c>
      <c r="D1124" s="72">
        <f>IFERROR(__xludf.DUMMYFUNCTION("iferror(divide(googlefinance($B1124,""shares""),1000),"""")"),56280.0)</f>
        <v>56280</v>
      </c>
      <c r="E1124" s="72">
        <f>IFERROR(__xludf.DUMMYFUNCTION("iferror(divide(googlefinance($B1124,""volumeavg""),1000),"""")"),631.071)</f>
        <v>631.071</v>
      </c>
      <c r="F1124" s="73">
        <f>IFERROR(__xludf.DUMMYFUNCTION("iferror(MINUS(divide(GOOGLEFINANCE($B1124), INDEX(GOOGLEFINANCE($B1124,""price"",today()-182),2,2)),1),"""")"),1.2352941176470589)</f>
        <v>1.235294118</v>
      </c>
      <c r="G1124" s="61">
        <f>IFERROR(__xludf.DUMMYFUNCTION("iferror(MINUS(divide(GOOGLEFINANCE($B1124), INDEX(GOOGLEFINANCE($B1124,""price"",today()-364),2,2)),1),"""")"),0.7642857142857142)</f>
        <v>0.7642857143</v>
      </c>
    </row>
    <row r="1125">
      <c r="A1125" s="71">
        <f t="shared" si="4"/>
        <v>1121</v>
      </c>
      <c r="B1125" s="47" t="s">
        <v>1258</v>
      </c>
      <c r="C1125" s="72">
        <f>IFERROR(__xludf.DUMMYFUNCTION("iferror(divide(googlefinance($B1125,""marketcap""),1000000),"""")"),398.262611)</f>
        <v>398.262611</v>
      </c>
      <c r="D1125" s="72">
        <f>IFERROR(__xludf.DUMMYFUNCTION("iferror(divide(googlefinance($B1125,""shares""),1000),"""")"),34215.0)</f>
        <v>34215</v>
      </c>
      <c r="E1125" s="72">
        <f>IFERROR(__xludf.DUMMYFUNCTION("iferror(divide(googlefinance($B1125,""volumeavg""),1000),"""")"),152.061)</f>
        <v>152.061</v>
      </c>
      <c r="F1125" s="73">
        <f>IFERROR(__xludf.DUMMYFUNCTION("iferror(MINUS(divide(GOOGLEFINANCE($B1125), INDEX(GOOGLEFINANCE($B1125,""price"",today()-182),2,2)),1),"""")"),-0.0536585365853659)</f>
        <v>-0.05365853659</v>
      </c>
      <c r="G1125" s="61">
        <f>IFERROR(__xludf.DUMMYFUNCTION("iferror(MINUS(divide(GOOGLEFINANCE($B1125), INDEX(GOOGLEFINANCE($B1125,""price"",today()-364),2,2)),1),"""")"),-0.1415929203539823)</f>
        <v>-0.1415929204</v>
      </c>
    </row>
    <row r="1126">
      <c r="A1126" s="71">
        <f t="shared" si="4"/>
        <v>1122</v>
      </c>
      <c r="B1126" s="47" t="s">
        <v>1259</v>
      </c>
      <c r="C1126" s="72">
        <f>IFERROR(__xludf.DUMMYFUNCTION("iferror(divide(googlefinance($B1126,""marketcap""),1000000),"""")"),2094.857736)</f>
        <v>2094.857736</v>
      </c>
      <c r="D1126" s="72">
        <f>IFERROR(__xludf.DUMMYFUNCTION("iferror(divide(googlefinance($B1126,""shares""),1000),"""")"),30649.0)</f>
        <v>30649</v>
      </c>
      <c r="E1126" s="72">
        <f>IFERROR(__xludf.DUMMYFUNCTION("iferror(divide(googlefinance($B1126,""volumeavg""),1000),"""")"),106.679)</f>
        <v>106.679</v>
      </c>
      <c r="F1126" s="73">
        <f>IFERROR(__xludf.DUMMYFUNCTION("iferror(MINUS(divide(GOOGLEFINANCE($B1126), INDEX(GOOGLEFINANCE($B1126,""price"",today()-182),2,2)),1),"""")"),0.46548027444253837)</f>
        <v>0.4654802744</v>
      </c>
      <c r="G1126" s="61">
        <f>IFERROR(__xludf.DUMMYFUNCTION("iferror(MINUS(divide(GOOGLEFINANCE($B1126), INDEX(GOOGLEFINANCE($B1126,""price"",today()-364),2,2)),1),"""")"),0.13274776267815702)</f>
        <v>0.1327477627</v>
      </c>
    </row>
    <row r="1127">
      <c r="A1127" s="71">
        <f t="shared" si="4"/>
        <v>1123</v>
      </c>
      <c r="B1127" s="47" t="s">
        <v>1260</v>
      </c>
      <c r="C1127" s="72">
        <f>IFERROR(__xludf.DUMMYFUNCTION("iferror(divide(googlefinance($B1127,""marketcap""),1000000),"""")"),887.749117)</f>
        <v>887.749117</v>
      </c>
      <c r="D1127" s="72">
        <f>IFERROR(__xludf.DUMMYFUNCTION("iferror(divide(googlefinance($B1127,""shares""),1000),"""")"),38464.0)</f>
        <v>38464</v>
      </c>
      <c r="E1127" s="72">
        <f>IFERROR(__xludf.DUMMYFUNCTION("iferror(divide(googlefinance($B1127,""volumeavg""),1000),"""")"),694.184)</f>
        <v>694.184</v>
      </c>
      <c r="F1127" s="73">
        <f>IFERROR(__xludf.DUMMYFUNCTION("iferror(MINUS(divide(GOOGLEFINANCE($B1127), INDEX(GOOGLEFINANCE($B1127,""price"",today()-182),2,2)),1),"""")"),2.5290519877675837)</f>
        <v>2.529051988</v>
      </c>
      <c r="G1127" s="61">
        <f>IFERROR(__xludf.DUMMYFUNCTION("iferror(MINUS(divide(GOOGLEFINANCE($B1127), INDEX(GOOGLEFINANCE($B1127,""price"",today()-364),2,2)),1),"""")"),0.4064594759293112)</f>
        <v>0.4064594759</v>
      </c>
    </row>
    <row r="1128">
      <c r="A1128" s="71">
        <f t="shared" si="4"/>
        <v>1124</v>
      </c>
      <c r="B1128" s="47" t="s">
        <v>1261</v>
      </c>
      <c r="C1128" s="72">
        <f>IFERROR(__xludf.DUMMYFUNCTION("iferror(divide(googlefinance($B1128,""marketcap""),1000000),"""")"),249.416805)</f>
        <v>249.416805</v>
      </c>
      <c r="D1128" s="72">
        <f>IFERROR(__xludf.DUMMYFUNCTION("iferror(divide(googlefinance($B1128,""shares""),1000),"""")"),25555.0)</f>
        <v>25555</v>
      </c>
      <c r="E1128" s="72">
        <f>IFERROR(__xludf.DUMMYFUNCTION("iferror(divide(googlefinance($B1128,""volumeavg""),1000),"""")"),476.706)</f>
        <v>476.706</v>
      </c>
      <c r="F1128" s="73">
        <f>IFERROR(__xludf.DUMMYFUNCTION("iferror(MINUS(divide(GOOGLEFINANCE($B1128), INDEX(GOOGLEFINANCE($B1128,""price"",today()-182),2,2)),1),"""")"),1.9397590361445785)</f>
        <v>1.939759036</v>
      </c>
      <c r="G1128" s="61">
        <f>IFERROR(__xludf.DUMMYFUNCTION("iferror(MINUS(divide(GOOGLEFINANCE($B1128), INDEX(GOOGLEFINANCE($B1128,""price"",today()-364),2,2)),1),"""")"),1.3574879227053143)</f>
        <v>1.357487923</v>
      </c>
    </row>
    <row r="1129">
      <c r="A1129" s="71">
        <f t="shared" si="4"/>
        <v>1125</v>
      </c>
      <c r="B1129" s="47" t="s">
        <v>1262</v>
      </c>
      <c r="C1129" s="72">
        <f>IFERROR(__xludf.DUMMYFUNCTION("iferror(divide(googlefinance($B1129,""marketcap""),1000000),"""")"),587.29)</f>
        <v>587.29</v>
      </c>
      <c r="D1129" s="72">
        <f>IFERROR(__xludf.DUMMYFUNCTION("iferror(divide(googlefinance($B1129,""shares""),1000),"""")"),61820.0)</f>
        <v>61820</v>
      </c>
      <c r="E1129" s="72">
        <f>IFERROR(__xludf.DUMMYFUNCTION("iferror(divide(googlefinance($B1129,""volumeavg""),1000),"""")"),482.337)</f>
        <v>482.337</v>
      </c>
      <c r="F1129" s="73" t="str">
        <f>IFERROR(__xludf.DUMMYFUNCTION("iferror(MINUS(divide(GOOGLEFINANCE($B1129), INDEX(GOOGLEFINANCE($B1129,""price"",today()-182),2,2)),1),"""")"),"")</f>
        <v/>
      </c>
      <c r="G1129" s="61" t="str">
        <f>IFERROR(__xludf.DUMMYFUNCTION("iferror(MINUS(divide(GOOGLEFINANCE($B1129), INDEX(GOOGLEFINANCE($B1129,""price"",today()-364),2,2)),1),"""")"),"")</f>
        <v/>
      </c>
    </row>
    <row r="1130">
      <c r="A1130" s="71">
        <f t="shared" si="4"/>
        <v>1126</v>
      </c>
      <c r="B1130" s="47" t="s">
        <v>1263</v>
      </c>
      <c r="C1130" s="72">
        <f>IFERROR(__xludf.DUMMYFUNCTION("iferror(divide(googlefinance($B1130,""marketcap""),1000000),"""")"),3215.8925)</f>
        <v>3215.8925</v>
      </c>
      <c r="D1130" s="72">
        <f>IFERROR(__xludf.DUMMYFUNCTION("iferror(divide(googlefinance($B1130,""shares""),1000),"""")"),67703.0)</f>
        <v>67703</v>
      </c>
      <c r="E1130" s="72">
        <f>IFERROR(__xludf.DUMMYFUNCTION("iferror(divide(googlefinance($B1130,""volumeavg""),1000),"""")"),713.648)</f>
        <v>713.648</v>
      </c>
      <c r="F1130" s="73">
        <f>IFERROR(__xludf.DUMMYFUNCTION("iferror(MINUS(divide(GOOGLEFINANCE($B1130), INDEX(GOOGLEFINANCE($B1130,""price"",today()-182),2,2)),1),"""")"),0.20131512392513917)</f>
        <v>0.2013151239</v>
      </c>
      <c r="G1130" s="61">
        <f>IFERROR(__xludf.DUMMYFUNCTION("iferror(MINUS(divide(GOOGLEFINANCE($B1130), INDEX(GOOGLEFINANCE($B1130,""price"",today()-364),2,2)),1),"""")"),0.21888632281241982)</f>
        <v>0.2188863228</v>
      </c>
    </row>
    <row r="1131">
      <c r="A1131" s="71">
        <f t="shared" si="4"/>
        <v>1127</v>
      </c>
      <c r="B1131" s="47" t="s">
        <v>1264</v>
      </c>
      <c r="C1131" s="72">
        <f>IFERROR(__xludf.DUMMYFUNCTION("iferror(divide(googlefinance($B1131,""marketcap""),1000000),"""")"),779.572271)</f>
        <v>779.572271</v>
      </c>
      <c r="D1131" s="72">
        <f>IFERROR(__xludf.DUMMYFUNCTION("iferror(divide(googlefinance($B1131,""shares""),1000),"""")"),36807.0)</f>
        <v>36807</v>
      </c>
      <c r="E1131" s="72">
        <f>IFERROR(__xludf.DUMMYFUNCTION("iferror(divide(googlefinance($B1131,""volumeavg""),1000),"""")"),327.537)</f>
        <v>327.537</v>
      </c>
      <c r="F1131" s="73">
        <f>IFERROR(__xludf.DUMMYFUNCTION("iferror(MINUS(divide(GOOGLEFINANCE($B1131), INDEX(GOOGLEFINANCE($B1131,""price"",today()-182),2,2)),1),"""")"),2.748672566371681)</f>
        <v>2.748672566</v>
      </c>
      <c r="G1131" s="61">
        <f>IFERROR(__xludf.DUMMYFUNCTION("iferror(MINUS(divide(GOOGLEFINANCE($B1131), INDEX(GOOGLEFINANCE($B1131,""price"",today()-364),2,2)),1),"""")"),0.5336712527154235)</f>
        <v>0.5336712527</v>
      </c>
    </row>
    <row r="1132">
      <c r="A1132" s="71">
        <f t="shared" si="4"/>
        <v>1128</v>
      </c>
      <c r="B1132" s="47" t="s">
        <v>1265</v>
      </c>
      <c r="C1132" s="72">
        <f>IFERROR(__xludf.DUMMYFUNCTION("iferror(divide(googlefinance($B1132,""marketcap""),1000000),"""")"),225.318083)</f>
        <v>225.318083</v>
      </c>
      <c r="D1132" s="72">
        <f>IFERROR(__xludf.DUMMYFUNCTION("iferror(divide(googlefinance($B1132,""shares""),1000),"""")"),5776.0)</f>
        <v>5776</v>
      </c>
      <c r="E1132" s="72">
        <f>IFERROR(__xludf.DUMMYFUNCTION("iferror(divide(googlefinance($B1132,""volumeavg""),1000),"""")"),9.747)</f>
        <v>9.747</v>
      </c>
      <c r="F1132" s="73">
        <f>IFERROR(__xludf.DUMMYFUNCTION("iferror(MINUS(divide(GOOGLEFINANCE($B1132), INDEX(GOOGLEFINANCE($B1132,""price"",today()-182),2,2)),1),"""")"),0.7337777777777776)</f>
        <v>0.7337777778</v>
      </c>
      <c r="G1132" s="61">
        <f>IFERROR(__xludf.DUMMYFUNCTION("iferror(MINUS(divide(GOOGLEFINANCE($B1132), INDEX(GOOGLEFINANCE($B1132,""price"",today()-364),2,2)),1),"""")"),-0.3294946717084909)</f>
        <v>-0.3294946717</v>
      </c>
    </row>
    <row r="1133">
      <c r="A1133" s="71">
        <f t="shared" si="4"/>
        <v>1129</v>
      </c>
      <c r="B1133" s="47" t="s">
        <v>1266</v>
      </c>
      <c r="C1133" s="72">
        <f>IFERROR(__xludf.DUMMYFUNCTION("iferror(divide(googlefinance($B1133,""marketcap""),1000000),"""")"),3476.000376)</f>
        <v>3476.000376</v>
      </c>
      <c r="D1133" s="72">
        <f>IFERROR(__xludf.DUMMYFUNCTION("iferror(divide(googlefinance($B1133,""shares""),1000),"""")"),186681.0)</f>
        <v>186681</v>
      </c>
      <c r="E1133" s="72">
        <f>IFERROR(__xludf.DUMMYFUNCTION("iferror(divide(googlefinance($B1133,""volumeavg""),1000),"""")"),2533.045)</f>
        <v>2533.045</v>
      </c>
      <c r="F1133" s="73">
        <f>IFERROR(__xludf.DUMMYFUNCTION("iferror(MINUS(divide(GOOGLEFINANCE($B1133), INDEX(GOOGLEFINANCE($B1133,""price"",today()-182),2,2)),1),"""")"),1.5569620253164556)</f>
        <v>1.556962025</v>
      </c>
      <c r="G1133" s="61">
        <f>IFERROR(__xludf.DUMMYFUNCTION("iferror(MINUS(divide(GOOGLEFINANCE($B1133), INDEX(GOOGLEFINANCE($B1133,""price"",today()-364),2,2)),1),"""")"),0.18326359832635997)</f>
        <v>0.1832635983</v>
      </c>
    </row>
    <row r="1134">
      <c r="A1134" s="71">
        <f t="shared" si="4"/>
        <v>1130</v>
      </c>
      <c r="B1134" s="47" t="s">
        <v>1267</v>
      </c>
      <c r="C1134" s="72">
        <f>IFERROR(__xludf.DUMMYFUNCTION("iferror(divide(googlefinance($B1134,""marketcap""),1000000),"""")"),5012.767581)</f>
        <v>5012.767581</v>
      </c>
      <c r="D1134" s="72">
        <f>IFERROR(__xludf.DUMMYFUNCTION("iferror(divide(googlefinance($B1134,""shares""),1000),"""")"),71093.0)</f>
        <v>71093</v>
      </c>
      <c r="E1134" s="72">
        <f>IFERROR(__xludf.DUMMYFUNCTION("iferror(divide(googlefinance($B1134,""volumeavg""),1000),"""")"),1314.77)</f>
        <v>1314.77</v>
      </c>
      <c r="F1134" s="73">
        <f>IFERROR(__xludf.DUMMYFUNCTION("iferror(MINUS(divide(GOOGLEFINANCE($B1134), INDEX(GOOGLEFINANCE($B1134,""price"",today()-182),2,2)),1),"""")"),1.2334494773519165)</f>
        <v>1.233449477</v>
      </c>
      <c r="G1134" s="61">
        <f>IFERROR(__xludf.DUMMYFUNCTION("iferror(MINUS(divide(GOOGLEFINANCE($B1134), INDEX(GOOGLEFINANCE($B1134,""price"",today()-364),2,2)),1),"""")"),-0.1811636279177795)</f>
        <v>-0.1811636279</v>
      </c>
    </row>
    <row r="1135">
      <c r="A1135" s="71">
        <f t="shared" si="4"/>
        <v>1131</v>
      </c>
      <c r="B1135" s="47" t="s">
        <v>1268</v>
      </c>
      <c r="C1135" s="72">
        <f>IFERROR(__xludf.DUMMYFUNCTION("iferror(divide(googlefinance($B1135,""marketcap""),1000000),"""")"),7257.139174)</f>
        <v>7257.139174</v>
      </c>
      <c r="D1135" s="72">
        <f>IFERROR(__xludf.DUMMYFUNCTION("iferror(divide(googlefinance($B1135,""shares""),1000),"""")"),138021.0)</f>
        <v>138021</v>
      </c>
      <c r="E1135" s="72">
        <f>IFERROR(__xludf.DUMMYFUNCTION("iferror(divide(googlefinance($B1135,""volumeavg""),1000),"""")"),1232.836)</f>
        <v>1232.836</v>
      </c>
      <c r="F1135" s="73">
        <f>IFERROR(__xludf.DUMMYFUNCTION("iferror(MINUS(divide(GOOGLEFINANCE($B1135), INDEX(GOOGLEFINANCE($B1135,""price"",today()-182),2,2)),1),"""")"),1.0923199363310783)</f>
        <v>1.092319936</v>
      </c>
      <c r="G1135" s="61">
        <f>IFERROR(__xludf.DUMMYFUNCTION("iferror(MINUS(divide(GOOGLEFINANCE($B1135), INDEX(GOOGLEFINANCE($B1135,""price"",today()-364),2,2)),1),"""")"),0.39877627028465)</f>
        <v>0.3987762703</v>
      </c>
    </row>
    <row r="1136">
      <c r="A1136" s="71">
        <f t="shared" si="4"/>
        <v>1132</v>
      </c>
      <c r="B1136" s="47" t="s">
        <v>1269</v>
      </c>
      <c r="C1136" s="72">
        <f>IFERROR(__xludf.DUMMYFUNCTION("iferror(divide(googlefinance($B1136,""marketcap""),1000000),"""")"),9.787109)</f>
        <v>9.787109</v>
      </c>
      <c r="D1136" s="72">
        <f>IFERROR(__xludf.DUMMYFUNCTION("iferror(divide(googlefinance($B1136,""shares""),1000),"""")"),47742.0)</f>
        <v>47742</v>
      </c>
      <c r="E1136" s="72" t="str">
        <f>IFERROR(__xludf.DUMMYFUNCTION("iferror(divide(googlefinance($B1136,""volumeavg""),1000),"""")"),"")</f>
        <v/>
      </c>
      <c r="F1136" s="73">
        <f>IFERROR(__xludf.DUMMYFUNCTION("iferror(MINUS(divide(GOOGLEFINANCE($B1136), INDEX(GOOGLEFINANCE($B1136,""price"",today()-182),2,2)),1),"""")"),0.4999999999999998)</f>
        <v>0.5</v>
      </c>
      <c r="G1136" s="61">
        <f>IFERROR(__xludf.DUMMYFUNCTION("iferror(MINUS(divide(GOOGLEFINANCE($B1136), INDEX(GOOGLEFINANCE($B1136,""price"",today()-364),2,2)),1),"""")"),0.23529411764705865)</f>
        <v>0.2352941176</v>
      </c>
    </row>
    <row r="1137">
      <c r="A1137" s="71">
        <f t="shared" si="4"/>
        <v>1133</v>
      </c>
      <c r="B1137" s="47" t="s">
        <v>1270</v>
      </c>
      <c r="C1137" s="72">
        <f>IFERROR(__xludf.DUMMYFUNCTION("iferror(divide(googlefinance($B1137,""marketcap""),1000000),"""")"),89.308311)</f>
        <v>89.308311</v>
      </c>
      <c r="D1137" s="72">
        <f>IFERROR(__xludf.DUMMYFUNCTION("iferror(divide(googlefinance($B1137,""shares""),1000),"""")"),40411.0)</f>
        <v>40411</v>
      </c>
      <c r="E1137" s="72">
        <f>IFERROR(__xludf.DUMMYFUNCTION("iferror(divide(googlefinance($B1137,""volumeavg""),1000),"""")"),452.388)</f>
        <v>452.388</v>
      </c>
      <c r="F1137" s="73">
        <f>IFERROR(__xludf.DUMMYFUNCTION("iferror(MINUS(divide(GOOGLEFINANCE($B1137), INDEX(GOOGLEFINANCE($B1137,""price"",today()-182),2,2)),1),"""")"),-0.11244979919678721)</f>
        <v>-0.1124497992</v>
      </c>
      <c r="G1137" s="61">
        <f>IFERROR(__xludf.DUMMYFUNCTION("iferror(MINUS(divide(GOOGLEFINANCE($B1137), INDEX(GOOGLEFINANCE($B1137,""price"",today()-364),2,2)),1),"""")"),-0.40108401084010836)</f>
        <v>-0.4010840108</v>
      </c>
    </row>
    <row r="1138">
      <c r="A1138" s="71">
        <f t="shared" si="4"/>
        <v>1134</v>
      </c>
      <c r="B1138" s="47" t="s">
        <v>1271</v>
      </c>
      <c r="C1138" s="72">
        <f>IFERROR(__xludf.DUMMYFUNCTION("iferror(divide(googlefinance($B1138,""marketcap""),1000000),"""")"),237.3687)</f>
        <v>237.3687</v>
      </c>
      <c r="D1138" s="72" t="str">
        <f>IFERROR(__xludf.DUMMYFUNCTION("iferror(divide(googlefinance($B1138,""shares""),1000),"""")"),"")</f>
        <v/>
      </c>
      <c r="E1138" s="72">
        <f>IFERROR(__xludf.DUMMYFUNCTION("iferror(divide(googlefinance($B1138,""volumeavg""),1000),"""")"),21.534)</f>
        <v>21.534</v>
      </c>
      <c r="F1138" s="73" t="str">
        <f>IFERROR(__xludf.DUMMYFUNCTION("iferror(MINUS(divide(GOOGLEFINANCE($B1138), INDEX(GOOGLEFINANCE($B1138,""price"",today()-182),2,2)),1),"""")"),"")</f>
        <v/>
      </c>
      <c r="G1138" s="61" t="str">
        <f>IFERROR(__xludf.DUMMYFUNCTION("iferror(MINUS(divide(GOOGLEFINANCE($B1138), INDEX(GOOGLEFINANCE($B1138,""price"",today()-364),2,2)),1),"""")"),"")</f>
        <v/>
      </c>
    </row>
    <row r="1139">
      <c r="A1139" s="71">
        <f t="shared" si="4"/>
        <v>1135</v>
      </c>
      <c r="B1139" s="47" t="s">
        <v>1272</v>
      </c>
      <c r="C1139" s="72">
        <f>IFERROR(__xludf.DUMMYFUNCTION("iferror(divide(googlefinance($B1139,""marketcap""),1000000),"""")"),2731.950502)</f>
        <v>2731.950502</v>
      </c>
      <c r="D1139" s="72">
        <f>IFERROR(__xludf.DUMMYFUNCTION("iferror(divide(googlefinance($B1139,""shares""),1000),"""")"),32814.0)</f>
        <v>32814</v>
      </c>
      <c r="E1139" s="72">
        <f>IFERROR(__xludf.DUMMYFUNCTION("iferror(divide(googlefinance($B1139,""volumeavg""),1000),"""")"),637.546)</f>
        <v>637.546</v>
      </c>
      <c r="F1139" s="73">
        <f>IFERROR(__xludf.DUMMYFUNCTION("iferror(MINUS(divide(GOOGLEFINANCE($B1139), INDEX(GOOGLEFINANCE($B1139,""price"",today()-182),2,2)),1),"""")"),0.6325490196078432)</f>
        <v>0.6325490196</v>
      </c>
      <c r="G1139" s="61">
        <f>IFERROR(__xludf.DUMMYFUNCTION("iferror(MINUS(divide(GOOGLEFINANCE($B1139), INDEX(GOOGLEFINANCE($B1139,""price"",today()-364),2,2)),1),"""")"),0.599615754082613)</f>
        <v>0.5996157541</v>
      </c>
    </row>
    <row r="1140">
      <c r="A1140" s="71">
        <f t="shared" si="4"/>
        <v>1136</v>
      </c>
      <c r="B1140" s="47" t="s">
        <v>1273</v>
      </c>
      <c r="C1140" s="72">
        <f>IFERROR(__xludf.DUMMYFUNCTION("iferror(divide(googlefinance($B1140,""marketcap""),1000000),"""")"),129615.194981)</f>
        <v>129615.195</v>
      </c>
      <c r="D1140" s="72">
        <f>IFERROR(__xludf.DUMMYFUNCTION("iferror(divide(googlefinance($B1140,""shares""),1000),"""")"),1128266.0)</f>
        <v>1128266</v>
      </c>
      <c r="E1140" s="72">
        <f>IFERROR(__xludf.DUMMYFUNCTION("iferror(divide(googlefinance($B1140,""volumeavg""),1000),"""")"),9107.465)</f>
        <v>9107.465</v>
      </c>
      <c r="F1140" s="73">
        <f>IFERROR(__xludf.DUMMYFUNCTION("iferror(MINUS(divide(GOOGLEFINANCE($B1140), INDEX(GOOGLEFINANCE($B1140,""price"",today()-182),2,2)),1),"""")"),0.8860614020686259)</f>
        <v>0.8860614021</v>
      </c>
      <c r="G1140" s="61">
        <f>IFERROR(__xludf.DUMMYFUNCTION("iferror(MINUS(divide(GOOGLEFINANCE($B1140), INDEX(GOOGLEFINANCE($B1140,""price"",today()-364),2,2)),1),"""")"),0.5028780743066457)</f>
        <v>0.5028780743</v>
      </c>
    </row>
    <row r="1141">
      <c r="A1141" s="71">
        <f t="shared" si="4"/>
        <v>1137</v>
      </c>
      <c r="B1141" s="47" t="s">
        <v>1274</v>
      </c>
      <c r="C1141" s="72">
        <f>IFERROR(__xludf.DUMMYFUNCTION("iferror(divide(googlefinance($B1141,""marketcap""),1000000),"""")"),7162.9625)</f>
        <v>7162.9625</v>
      </c>
      <c r="D1141" s="72">
        <f>IFERROR(__xludf.DUMMYFUNCTION("iferror(divide(googlefinance($B1141,""shares""),1000),"""")"),41950.0)</f>
        <v>41950</v>
      </c>
      <c r="E1141" s="72">
        <f>IFERROR(__xludf.DUMMYFUNCTION("iferror(divide(googlefinance($B1141,""volumeavg""),1000),"""")"),1549.34)</f>
        <v>1549.34</v>
      </c>
      <c r="F1141" s="73">
        <f>IFERROR(__xludf.DUMMYFUNCTION("iferror(MINUS(divide(GOOGLEFINANCE($B1141), INDEX(GOOGLEFINANCE($B1141,""price"",today()-182),2,2)),1),"""")"),0.9209134885813928)</f>
        <v>0.9209134886</v>
      </c>
      <c r="G1141" s="61">
        <f>IFERROR(__xludf.DUMMYFUNCTION("iferror(MINUS(divide(GOOGLEFINANCE($B1141), INDEX(GOOGLEFINANCE($B1141,""price"",today()-364),2,2)),1),"""")"),1.6600716622526872)</f>
        <v>1.660071662</v>
      </c>
    </row>
    <row r="1142">
      <c r="A1142" s="71">
        <f t="shared" si="4"/>
        <v>1138</v>
      </c>
      <c r="B1142" s="47" t="s">
        <v>1275</v>
      </c>
      <c r="C1142" s="72">
        <f>IFERROR(__xludf.DUMMYFUNCTION("iferror(divide(googlefinance($B1142,""marketcap""),1000000),"""")"),11389.896542)</f>
        <v>11389.89654</v>
      </c>
      <c r="D1142" s="72">
        <f>IFERROR(__xludf.DUMMYFUNCTION("iferror(divide(googlefinance($B1142,""shares""),1000),"""")"),228163.0)</f>
        <v>228163</v>
      </c>
      <c r="E1142" s="72">
        <f>IFERROR(__xludf.DUMMYFUNCTION("iferror(divide(googlefinance($B1142,""volumeavg""),1000),"""")"),1688.094)</f>
        <v>1688.094</v>
      </c>
      <c r="F1142" s="73">
        <f>IFERROR(__xludf.DUMMYFUNCTION("iferror(MINUS(divide(GOOGLEFINANCE($B1142), INDEX(GOOGLEFINANCE($B1142,""price"",today()-182),2,2)),1),"""")"),0.3706754530477758)</f>
        <v>0.370675453</v>
      </c>
      <c r="G1142" s="61">
        <f>IFERROR(__xludf.DUMMYFUNCTION("iferror(MINUS(divide(GOOGLEFINANCE($B1142), INDEX(GOOGLEFINANCE($B1142,""price"",today()-364),2,2)),1),"""")"),0.48262548262548255)</f>
        <v>0.4826254826</v>
      </c>
    </row>
    <row r="1143">
      <c r="A1143" s="71">
        <f t="shared" si="4"/>
        <v>1139</v>
      </c>
      <c r="B1143" s="47" t="s">
        <v>1276</v>
      </c>
      <c r="C1143" s="72">
        <f>IFERROR(__xludf.DUMMYFUNCTION("iferror(divide(googlefinance($B1143,""marketcap""),1000000),"""")"),3110.332327)</f>
        <v>3110.332327</v>
      </c>
      <c r="D1143" s="72">
        <f>IFERROR(__xludf.DUMMYFUNCTION("iferror(divide(googlefinance($B1143,""shares""),1000),"""")"),420149.728)</f>
        <v>420149.728</v>
      </c>
      <c r="E1143" s="72" t="str">
        <f>IFERROR(__xludf.DUMMYFUNCTION("iferror(divide(googlefinance($B1143,""volumeavg""),1000),"""")"),"")</f>
        <v/>
      </c>
      <c r="F1143" s="73">
        <f>IFERROR(__xludf.DUMMYFUNCTION("iferror(MINUS(divide(GOOGLEFINANCE($B1143), INDEX(GOOGLEFINANCE($B1143,""price"",today()-182),2,2)),1),"""")"),0.48477157360406076)</f>
        <v>0.4847715736</v>
      </c>
      <c r="G1143" s="61">
        <f>IFERROR(__xludf.DUMMYFUNCTION("iferror(MINUS(divide(GOOGLEFINANCE($B1143), INDEX(GOOGLEFINANCE($B1143,""price"",today()-364),2,2)),1),"""")"),-0.38095238095238093)</f>
        <v>-0.380952381</v>
      </c>
    </row>
    <row r="1144">
      <c r="A1144" s="71">
        <f t="shared" si="4"/>
        <v>1140</v>
      </c>
      <c r="B1144" s="47" t="s">
        <v>1277</v>
      </c>
      <c r="C1144" s="72">
        <f>IFERROR(__xludf.DUMMYFUNCTION("iferror(divide(googlefinance($B1144,""marketcap""),1000000),"""")"),14884.951148)</f>
        <v>14884.95115</v>
      </c>
      <c r="D1144" s="72">
        <f>IFERROR(__xludf.DUMMYFUNCTION("iferror(divide(googlefinance($B1144,""shares""),1000),"""")"),114236.0)</f>
        <v>114236</v>
      </c>
      <c r="E1144" s="72">
        <f>IFERROR(__xludf.DUMMYFUNCTION("iferror(divide(googlefinance($B1144,""volumeavg""),1000),"""")"),1278.51)</f>
        <v>1278.51</v>
      </c>
      <c r="F1144" s="73">
        <f>IFERROR(__xludf.DUMMYFUNCTION("iferror(MINUS(divide(GOOGLEFINANCE($B1144), INDEX(GOOGLEFINANCE($B1144,""price"",today()-182),2,2)),1),"""")"),0.8390966831333806)</f>
        <v>0.8390966831</v>
      </c>
      <c r="G1144" s="61">
        <f>IFERROR(__xludf.DUMMYFUNCTION("iferror(MINUS(divide(GOOGLEFINANCE($B1144), INDEX(GOOGLEFINANCE($B1144,""price"",today()-364),2,2)),1),"""")"),0.7149249802579627)</f>
        <v>0.7149249803</v>
      </c>
    </row>
    <row r="1145">
      <c r="A1145" s="71">
        <f t="shared" si="4"/>
        <v>1141</v>
      </c>
      <c r="B1145" s="47" t="s">
        <v>1278</v>
      </c>
      <c r="C1145" s="72">
        <f>IFERROR(__xludf.DUMMYFUNCTION("iferror(divide(googlefinance($B1145,""marketcap""),1000000),"""")"),34366.95149)</f>
        <v>34366.95149</v>
      </c>
      <c r="D1145" s="72">
        <f>IFERROR(__xludf.DUMMYFUNCTION("iferror(divide(googlefinance($B1145,""shares""),1000),"""")"),303113.0)</f>
        <v>303113</v>
      </c>
      <c r="E1145" s="72">
        <f>IFERROR(__xludf.DUMMYFUNCTION("iferror(divide(googlefinance($B1145,""volumeavg""),1000),"""")"),1952.002)</f>
        <v>1952.002</v>
      </c>
      <c r="F1145" s="73">
        <f>IFERROR(__xludf.DUMMYFUNCTION("iferror(MINUS(divide(GOOGLEFINANCE($B1145), INDEX(GOOGLEFINANCE($B1145,""price"",today()-182),2,2)),1),"""")"),0.7432854465958774)</f>
        <v>0.7432854466</v>
      </c>
      <c r="G1145" s="61">
        <f>IFERROR(__xludf.DUMMYFUNCTION("iferror(MINUS(divide(GOOGLEFINANCE($B1145), INDEX(GOOGLEFINANCE($B1145,""price"",today()-364),2,2)),1),"""")"),-0.2310235569637692)</f>
        <v>-0.231023557</v>
      </c>
    </row>
    <row r="1146">
      <c r="A1146" s="71">
        <f t="shared" si="4"/>
        <v>1142</v>
      </c>
      <c r="B1146" s="47" t="s">
        <v>1279</v>
      </c>
      <c r="C1146" s="72">
        <f>IFERROR(__xludf.DUMMYFUNCTION("iferror(divide(googlefinance($B1146,""marketcap""),1000000),"""")"),555.338509)</f>
        <v>555.338509</v>
      </c>
      <c r="D1146" s="72">
        <f>IFERROR(__xludf.DUMMYFUNCTION("iferror(divide(googlefinance($B1146,""shares""),1000),"""")"),98290.0)</f>
        <v>98290</v>
      </c>
      <c r="E1146" s="72">
        <f>IFERROR(__xludf.DUMMYFUNCTION("iferror(divide(googlefinance($B1146,""volumeavg""),1000),"""")"),870.704)</f>
        <v>870.704</v>
      </c>
      <c r="F1146" s="73">
        <f>IFERROR(__xludf.DUMMYFUNCTION("iferror(MINUS(divide(GOOGLEFINANCE($B1146), INDEX(GOOGLEFINANCE($B1146,""price"",today()-182),2,2)),1),"""")"),0.870860927152318)</f>
        <v>0.8708609272</v>
      </c>
      <c r="G1146" s="61">
        <f>IFERROR(__xludf.DUMMYFUNCTION("iferror(MINUS(divide(GOOGLEFINANCE($B1146), INDEX(GOOGLEFINANCE($B1146,""price"",today()-364),2,2)),1),"""")"),-0.34072345390898484)</f>
        <v>-0.3407234539</v>
      </c>
    </row>
    <row r="1147">
      <c r="A1147" s="71">
        <f t="shared" si="4"/>
        <v>1143</v>
      </c>
      <c r="B1147" s="47" t="s">
        <v>1280</v>
      </c>
      <c r="C1147" s="72">
        <f>IFERROR(__xludf.DUMMYFUNCTION("iferror(divide(googlefinance($B1147,""marketcap""),1000000),"""")"),1044.175235)</f>
        <v>1044.175235</v>
      </c>
      <c r="D1147" s="72">
        <f>IFERROR(__xludf.DUMMYFUNCTION("iferror(divide(googlefinance($B1147,""shares""),1000),"""")"),31489.0)</f>
        <v>31489</v>
      </c>
      <c r="E1147" s="72">
        <f>IFERROR(__xludf.DUMMYFUNCTION("iferror(divide(googlefinance($B1147,""volumeavg""),1000),"""")"),270.582)</f>
        <v>270.582</v>
      </c>
      <c r="F1147" s="73">
        <f>IFERROR(__xludf.DUMMYFUNCTION("iferror(MINUS(divide(GOOGLEFINANCE($B1147), INDEX(GOOGLEFINANCE($B1147,""price"",today()-182),2,2)),1),"""")"),1.3401552575864502)</f>
        <v>1.340155258</v>
      </c>
      <c r="G1147" s="61">
        <f>IFERROR(__xludf.DUMMYFUNCTION("iferror(MINUS(divide(GOOGLEFINANCE($B1147), INDEX(GOOGLEFINANCE($B1147,""price"",today()-364),2,2)),1),"""")"),0.368551382583574)</f>
        <v>0.3685513826</v>
      </c>
    </row>
    <row r="1148">
      <c r="A1148" s="71">
        <f t="shared" si="4"/>
        <v>1144</v>
      </c>
      <c r="B1148" s="47" t="s">
        <v>1281</v>
      </c>
      <c r="C1148" s="72">
        <f>IFERROR(__xludf.DUMMYFUNCTION("iferror(divide(googlefinance($B1148,""marketcap""),1000000),"""")"),34.602151)</f>
        <v>34.602151</v>
      </c>
      <c r="D1148" s="72">
        <f>IFERROR(__xludf.DUMMYFUNCTION("iferror(divide(googlefinance($B1148,""shares""),1000),"""")"),11055.0)</f>
        <v>11055</v>
      </c>
      <c r="E1148" s="72">
        <f>IFERROR(__xludf.DUMMYFUNCTION("iferror(divide(googlefinance($B1148,""volumeavg""),1000),"""")"),86.319)</f>
        <v>86.319</v>
      </c>
      <c r="F1148" s="73">
        <f>IFERROR(__xludf.DUMMYFUNCTION("iferror(MINUS(divide(GOOGLEFINANCE($B1148), INDEX(GOOGLEFINANCE($B1148,""price"",today()-182),2,2)),1),"""")"),0.2420634920634921)</f>
        <v>0.2420634921</v>
      </c>
      <c r="G1148" s="61">
        <f>IFERROR(__xludf.DUMMYFUNCTION("iferror(MINUS(divide(GOOGLEFINANCE($B1148), INDEX(GOOGLEFINANCE($B1148,""price"",today()-364),2,2)),1),"""")"),-0.4547038327526133)</f>
        <v>-0.4547038328</v>
      </c>
    </row>
    <row r="1149">
      <c r="A1149" s="71">
        <f t="shared" si="4"/>
        <v>1145</v>
      </c>
      <c r="B1149" s="47" t="s">
        <v>1282</v>
      </c>
      <c r="C1149" s="72">
        <f>IFERROR(__xludf.DUMMYFUNCTION("iferror(divide(googlefinance($B1149,""marketcap""),1000000),"""")"),1852.509293)</f>
        <v>1852.509293</v>
      </c>
      <c r="D1149" s="72">
        <f>IFERROR(__xludf.DUMMYFUNCTION("iferror(divide(googlefinance($B1149,""shares""),1000),"""")"),44446.0)</f>
        <v>44446</v>
      </c>
      <c r="E1149" s="72">
        <f>IFERROR(__xludf.DUMMYFUNCTION("iferror(divide(googlefinance($B1149,""volumeavg""),1000),"""")"),365.979)</f>
        <v>365.979</v>
      </c>
      <c r="F1149" s="73">
        <f>IFERROR(__xludf.DUMMYFUNCTION("iferror(MINUS(divide(GOOGLEFINANCE($B1149), INDEX(GOOGLEFINANCE($B1149,""price"",today()-182),2,2)),1),"""")"),-0.033395176252319025)</f>
        <v>-0.03339517625</v>
      </c>
      <c r="G1149" s="61">
        <f>IFERROR(__xludf.DUMMYFUNCTION("iferror(MINUS(divide(GOOGLEFINANCE($B1149), INDEX(GOOGLEFINANCE($B1149,""price"",today()-364),2,2)),1),"""")"),-0.10346311034631106)</f>
        <v>-0.1034631103</v>
      </c>
    </row>
    <row r="1150">
      <c r="A1150" s="71">
        <f t="shared" si="4"/>
        <v>1146</v>
      </c>
      <c r="B1150" s="47" t="s">
        <v>1283</v>
      </c>
      <c r="C1150" s="72">
        <f>IFERROR(__xludf.DUMMYFUNCTION("iferror(divide(googlefinance($B1150,""marketcap""),1000000),"""")"),35807.335811)</f>
        <v>35807.33581</v>
      </c>
      <c r="D1150" s="72">
        <f>IFERROR(__xludf.DUMMYFUNCTION("iferror(divide(googlefinance($B1150,""shares""),1000),"""")"),184748.0)</f>
        <v>184748</v>
      </c>
      <c r="E1150" s="72">
        <f>IFERROR(__xludf.DUMMYFUNCTION("iferror(divide(googlefinance($B1150,""volumeavg""),1000),"""")"),185.067)</f>
        <v>185.067</v>
      </c>
      <c r="F1150" s="73">
        <f>IFERROR(__xludf.DUMMYFUNCTION("iferror(MINUS(divide(GOOGLEFINANCE($B1150), INDEX(GOOGLEFINANCE($B1150,""price"",today()-182),2,2)),1),"""")"),0.36242476354256214)</f>
        <v>0.3624247635</v>
      </c>
      <c r="G1150" s="61">
        <f>IFERROR(__xludf.DUMMYFUNCTION("iferror(MINUS(divide(GOOGLEFINANCE($B1150), INDEX(GOOGLEFINANCE($B1150,""price"",today()-364),2,2)),1),"""")"),0.2502630194634401)</f>
        <v>0.2502630195</v>
      </c>
    </row>
    <row r="1151">
      <c r="A1151" s="71">
        <f t="shared" si="4"/>
        <v>1147</v>
      </c>
      <c r="B1151" s="47" t="s">
        <v>1284</v>
      </c>
      <c r="C1151" s="72">
        <f>IFERROR(__xludf.DUMMYFUNCTION("iferror(divide(googlefinance($B1151,""marketcap""),1000000),"""")"),721.836277)</f>
        <v>721.836277</v>
      </c>
      <c r="D1151" s="72">
        <f>IFERROR(__xludf.DUMMYFUNCTION("iferror(divide(googlefinance($B1151,""shares""),1000),"""")"),54643.0)</f>
        <v>54643</v>
      </c>
      <c r="E1151" s="72">
        <f>IFERROR(__xludf.DUMMYFUNCTION("iferror(divide(googlefinance($B1151,""volumeavg""),1000),"""")"),2290.471)</f>
        <v>2290.471</v>
      </c>
      <c r="F1151" s="73">
        <f>IFERROR(__xludf.DUMMYFUNCTION("iferror(MINUS(divide(GOOGLEFINANCE($B1151), INDEX(GOOGLEFINANCE($B1151,""price"",today()-182),2,2)),1),"""")"),-0.25070901871809403)</f>
        <v>-0.2507090187</v>
      </c>
      <c r="G1151" s="61">
        <f>IFERROR(__xludf.DUMMYFUNCTION("iferror(MINUS(divide(GOOGLEFINANCE($B1151), INDEX(GOOGLEFINANCE($B1151,""price"",today()-364),2,2)),1),"""")"),0.7851351351351352)</f>
        <v>0.7851351351</v>
      </c>
    </row>
    <row r="1152">
      <c r="A1152" s="71">
        <f t="shared" si="4"/>
        <v>1148</v>
      </c>
      <c r="B1152" s="47" t="s">
        <v>1285</v>
      </c>
      <c r="C1152" s="72">
        <f>IFERROR(__xludf.DUMMYFUNCTION("iferror(divide(googlefinance($B1152,""marketcap""),1000000),"""")"),270.041851)</f>
        <v>270.041851</v>
      </c>
      <c r="D1152" s="72">
        <f>IFERROR(__xludf.DUMMYFUNCTION("iferror(divide(googlefinance($B1152,""shares""),1000),"""")"),43485.0)</f>
        <v>43485</v>
      </c>
      <c r="E1152" s="72">
        <f>IFERROR(__xludf.DUMMYFUNCTION("iferror(divide(googlefinance($B1152,""volumeavg""),1000),"""")"),324.901)</f>
        <v>324.901</v>
      </c>
      <c r="F1152" s="73">
        <f>IFERROR(__xludf.DUMMYFUNCTION("iferror(MINUS(divide(GOOGLEFINANCE($B1152), INDEX(GOOGLEFINANCE($B1152,""price"",today()-182),2,2)),1),"""")"),0.9840255591054314)</f>
        <v>0.9840255591</v>
      </c>
      <c r="G1152" s="61">
        <f>IFERROR(__xludf.DUMMYFUNCTION("iferror(MINUS(divide(GOOGLEFINANCE($B1152), INDEX(GOOGLEFINANCE($B1152,""price"",today()-364),2,2)),1),"""")"),0.17836812144212533)</f>
        <v>0.1783681214</v>
      </c>
    </row>
    <row r="1153">
      <c r="A1153" s="71">
        <f t="shared" si="4"/>
        <v>1149</v>
      </c>
      <c r="B1153" s="47" t="s">
        <v>1286</v>
      </c>
      <c r="C1153" s="72">
        <f>IFERROR(__xludf.DUMMYFUNCTION("iferror(divide(googlefinance($B1153,""marketcap""),1000000),"""")"),898.256967)</f>
        <v>898.256967</v>
      </c>
      <c r="D1153" s="72">
        <f>IFERROR(__xludf.DUMMYFUNCTION("iferror(divide(googlefinance($B1153,""shares""),1000),"""")"),24469.0)</f>
        <v>24469</v>
      </c>
      <c r="E1153" s="72">
        <f>IFERROR(__xludf.DUMMYFUNCTION("iferror(divide(googlefinance($B1153,""volumeavg""),1000),"""")"),217.735)</f>
        <v>217.735</v>
      </c>
      <c r="F1153" s="73">
        <f>IFERROR(__xludf.DUMMYFUNCTION("iferror(MINUS(divide(GOOGLEFINANCE($B1153), INDEX(GOOGLEFINANCE($B1153,""price"",today()-182),2,2)),1),"""")"),1.4311258278145695)</f>
        <v>1.431125828</v>
      </c>
      <c r="G1153" s="61" t="str">
        <f>IFERROR(__xludf.DUMMYFUNCTION("iferror(MINUS(divide(GOOGLEFINANCE($B1153), INDEX(GOOGLEFINANCE($B1153,""price"",today()-364),2,2)),1),"""")"),"")</f>
        <v/>
      </c>
    </row>
    <row r="1154">
      <c r="A1154" s="71">
        <f t="shared" si="4"/>
        <v>1150</v>
      </c>
      <c r="B1154" s="47" t="s">
        <v>1287</v>
      </c>
      <c r="C1154" s="72">
        <f>IFERROR(__xludf.DUMMYFUNCTION("iferror(divide(googlefinance($B1154,""marketcap""),1000000),"""")"),4993.7906)</f>
        <v>4993.7906</v>
      </c>
      <c r="D1154" s="72">
        <f>IFERROR(__xludf.DUMMYFUNCTION("iferror(divide(googlefinance($B1154,""shares""),1000),"""")"),60590.0)</f>
        <v>60590</v>
      </c>
      <c r="E1154" s="72">
        <f>IFERROR(__xludf.DUMMYFUNCTION("iferror(divide(googlefinance($B1154,""volumeavg""),1000),"""")"),321.471)</f>
        <v>321.471</v>
      </c>
      <c r="F1154" s="73">
        <f>IFERROR(__xludf.DUMMYFUNCTION("iferror(MINUS(divide(GOOGLEFINANCE($B1154), INDEX(GOOGLEFINANCE($B1154,""price"",today()-182),2,2)),1),"""")"),1.2055124431362056)</f>
        <v>1.205512443</v>
      </c>
      <c r="G1154" s="61">
        <f>IFERROR(__xludf.DUMMYFUNCTION("iferror(MINUS(divide(GOOGLEFINANCE($B1154), INDEX(GOOGLEFINANCE($B1154,""price"",today()-364),2,2)),1),"""")"),0.9361052384308199)</f>
        <v>0.9361052384</v>
      </c>
    </row>
    <row r="1155">
      <c r="A1155" s="71">
        <f t="shared" si="4"/>
        <v>1151</v>
      </c>
      <c r="B1155" s="47" t="s">
        <v>1288</v>
      </c>
      <c r="C1155" s="72">
        <f>IFERROR(__xludf.DUMMYFUNCTION("iferror(divide(googlefinance($B1155,""marketcap""),1000000),"""")"),20.643479)</f>
        <v>20.643479</v>
      </c>
      <c r="D1155" s="72">
        <f>IFERROR(__xludf.DUMMYFUNCTION("iferror(divide(googlefinance($B1155,""shares""),1000),"""")"),2406.0)</f>
        <v>2406</v>
      </c>
      <c r="E1155" s="72">
        <f>IFERROR(__xludf.DUMMYFUNCTION("iferror(divide(googlefinance($B1155,""volumeavg""),1000),"""")"),5.933)</f>
        <v>5.933</v>
      </c>
      <c r="F1155" s="73">
        <f>IFERROR(__xludf.DUMMYFUNCTION("iferror(MINUS(divide(GOOGLEFINANCE($B1155), INDEX(GOOGLEFINANCE($B1155,""price"",today()-182),2,2)),1),"""")"),0.07250000000000001)</f>
        <v>0.0725</v>
      </c>
      <c r="G1155" s="61">
        <f>IFERROR(__xludf.DUMMYFUNCTION("iferror(MINUS(divide(GOOGLEFINANCE($B1155), INDEX(GOOGLEFINANCE($B1155,""price"",today()-364),2,2)),1),"""")"),-0.09589041095890416)</f>
        <v>-0.09589041096</v>
      </c>
    </row>
    <row r="1156">
      <c r="A1156" s="71">
        <f t="shared" si="4"/>
        <v>1152</v>
      </c>
      <c r="B1156" s="47" t="s">
        <v>1289</v>
      </c>
      <c r="C1156" s="72">
        <f>IFERROR(__xludf.DUMMYFUNCTION("iferror(divide(googlefinance($B1156,""marketcap""),1000000),"""")"),1539.953882)</f>
        <v>1539.953882</v>
      </c>
      <c r="D1156" s="72">
        <f>IFERROR(__xludf.DUMMYFUNCTION("iferror(divide(googlefinance($B1156,""shares""),1000),"""")"),53826.0)</f>
        <v>53826</v>
      </c>
      <c r="E1156" s="72">
        <f>IFERROR(__xludf.DUMMYFUNCTION("iferror(divide(googlefinance($B1156,""volumeavg""),1000),"""")"),671.121)</f>
        <v>671.121</v>
      </c>
      <c r="F1156" s="73">
        <f>IFERROR(__xludf.DUMMYFUNCTION("iferror(MINUS(divide(GOOGLEFINANCE($B1156), INDEX(GOOGLEFINANCE($B1156,""price"",today()-182),2,2)),1),"""")"),1.0975073313782988)</f>
        <v>1.097507331</v>
      </c>
      <c r="G1156" s="61">
        <f>IFERROR(__xludf.DUMMYFUNCTION("iferror(MINUS(divide(GOOGLEFINANCE($B1156), INDEX(GOOGLEFINANCE($B1156,""price"",today()-364),2,2)),1),"""")"),0.11366290385363942)</f>
        <v>0.1136629039</v>
      </c>
    </row>
    <row r="1157">
      <c r="A1157" s="71">
        <f t="shared" si="4"/>
        <v>1153</v>
      </c>
      <c r="B1157" s="47" t="s">
        <v>1290</v>
      </c>
      <c r="C1157" s="72">
        <f>IFERROR(__xludf.DUMMYFUNCTION("iferror(divide(googlefinance($B1157,""marketcap""),1000000),"""")"),1368.11057)</f>
        <v>1368.11057</v>
      </c>
      <c r="D1157" s="72">
        <f>IFERROR(__xludf.DUMMYFUNCTION("iferror(divide(googlefinance($B1157,""shares""),1000),"""")"),55188.0)</f>
        <v>55188</v>
      </c>
      <c r="E1157" s="72">
        <f>IFERROR(__xludf.DUMMYFUNCTION("iferror(divide(googlefinance($B1157,""volumeavg""),1000),"""")"),267.102)</f>
        <v>267.102</v>
      </c>
      <c r="F1157" s="73">
        <f>IFERROR(__xludf.DUMMYFUNCTION("iferror(MINUS(divide(GOOGLEFINANCE($B1157), INDEX(GOOGLEFINANCE($B1157,""price"",today()-182),2,2)),1),"""")"),0.9083910700538875)</f>
        <v>0.9083910701</v>
      </c>
      <c r="G1157" s="61">
        <f>IFERROR(__xludf.DUMMYFUNCTION("iferror(MINUS(divide(GOOGLEFINANCE($B1157), INDEX(GOOGLEFINANCE($B1157,""price"",today()-364),2,2)),1),"""")"),0.7898916967509024)</f>
        <v>0.7898916968</v>
      </c>
    </row>
    <row r="1158">
      <c r="A1158" s="71">
        <f t="shared" si="4"/>
        <v>1154</v>
      </c>
      <c r="B1158" s="47" t="s">
        <v>1291</v>
      </c>
      <c r="C1158" s="72">
        <f>IFERROR(__xludf.DUMMYFUNCTION("iferror(divide(googlefinance($B1158,""marketcap""),1000000),"""")"),190.482606)</f>
        <v>190.482606</v>
      </c>
      <c r="D1158" s="72">
        <f>IFERROR(__xludf.DUMMYFUNCTION("iferror(divide(googlefinance($B1158,""shares""),1000),"""")"),7315.0)</f>
        <v>7315</v>
      </c>
      <c r="E1158" s="72">
        <f>IFERROR(__xludf.DUMMYFUNCTION("iferror(divide(googlefinance($B1158,""volumeavg""),1000),"""")"),25.945)</f>
        <v>25.945</v>
      </c>
      <c r="F1158" s="73">
        <f>IFERROR(__xludf.DUMMYFUNCTION("iferror(MINUS(divide(GOOGLEFINANCE($B1158), INDEX(GOOGLEFINANCE($B1158,""price"",today()-182),2,2)),1),"""")"),0.6103896103896103)</f>
        <v>0.6103896104</v>
      </c>
      <c r="G1158" s="61">
        <f>IFERROR(__xludf.DUMMYFUNCTION("iferror(MINUS(divide(GOOGLEFINANCE($B1158), INDEX(GOOGLEFINANCE($B1158,""price"",today()-364),2,2)),1),"""")"),-0.19778188539741226)</f>
        <v>-0.1977818854</v>
      </c>
    </row>
    <row r="1159">
      <c r="A1159" s="71">
        <f t="shared" si="4"/>
        <v>1155</v>
      </c>
      <c r="B1159" s="47" t="s">
        <v>1292</v>
      </c>
      <c r="C1159" s="72">
        <f>IFERROR(__xludf.DUMMYFUNCTION("iferror(divide(googlefinance($B1159,""marketcap""),1000000),"""")"),14758.425)</f>
        <v>14758.425</v>
      </c>
      <c r="D1159" s="72">
        <f>IFERROR(__xludf.DUMMYFUNCTION("iferror(divide(googlefinance($B1159,""shares""),1000),"""")"),214668.0)</f>
        <v>214668</v>
      </c>
      <c r="E1159" s="72">
        <f>IFERROR(__xludf.DUMMYFUNCTION("iferror(divide(googlefinance($B1159,""volumeavg""),1000),"""")"),8965.575)</f>
        <v>8965.575</v>
      </c>
      <c r="F1159" s="73">
        <f>IFERROR(__xludf.DUMMYFUNCTION("iferror(MINUS(divide(GOOGLEFINANCE($B1159), INDEX(GOOGLEFINANCE($B1159,""price"",today()-182),2,2)),1),"""")"),1.8874422511549769)</f>
        <v>1.887442251</v>
      </c>
      <c r="G1159" s="61">
        <f>IFERROR(__xludf.DUMMYFUNCTION("iferror(MINUS(divide(GOOGLEFINANCE($B1159), INDEX(GOOGLEFINANCE($B1159,""price"",today()-364),2,2)),1),"""")"),-0.3844018624641834)</f>
        <v>-0.3844018625</v>
      </c>
    </row>
    <row r="1160">
      <c r="A1160" s="71">
        <f t="shared" si="4"/>
        <v>1156</v>
      </c>
      <c r="B1160" s="47" t="s">
        <v>1293</v>
      </c>
      <c r="C1160" s="72">
        <f>IFERROR(__xludf.DUMMYFUNCTION("iferror(divide(googlefinance($B1160,""marketcap""),1000000),"""")"),1863.131964)</f>
        <v>1863.131964</v>
      </c>
      <c r="D1160" s="72">
        <f>IFERROR(__xludf.DUMMYFUNCTION("iferror(divide(googlefinance($B1160,""shares""),1000),"""")"),115579.0)</f>
        <v>115579</v>
      </c>
      <c r="E1160" s="72">
        <f>IFERROR(__xludf.DUMMYFUNCTION("iferror(divide(googlefinance($B1160,""volumeavg""),1000),"""")"),1177.588)</f>
        <v>1177.588</v>
      </c>
      <c r="F1160" s="73">
        <f>IFERROR(__xludf.DUMMYFUNCTION("iferror(MINUS(divide(GOOGLEFINANCE($B1160), INDEX(GOOGLEFINANCE($B1160,""price"",today()-182),2,2)),1),"""")"),0.8214689265536725)</f>
        <v>0.8214689266</v>
      </c>
      <c r="G1160" s="61">
        <f>IFERROR(__xludf.DUMMYFUNCTION("iferror(MINUS(divide(GOOGLEFINANCE($B1160), INDEX(GOOGLEFINANCE($B1160,""price"",today()-364),2,2)),1),"""")"),0.5051353874883286)</f>
        <v>0.5051353875</v>
      </c>
    </row>
    <row r="1161">
      <c r="A1161" s="71">
        <f t="shared" si="4"/>
        <v>1157</v>
      </c>
      <c r="B1161" s="47" t="s">
        <v>1294</v>
      </c>
      <c r="C1161" s="72">
        <f>IFERROR(__xludf.DUMMYFUNCTION("iferror(divide(googlefinance($B1161,""marketcap""),1000000),"""")"),3713.888785)</f>
        <v>3713.888785</v>
      </c>
      <c r="D1161" s="72">
        <f>IFERROR(__xludf.DUMMYFUNCTION("iferror(divide(googlefinance($B1161,""shares""),1000),"""")"),352696.0)</f>
        <v>352696</v>
      </c>
      <c r="E1161" s="72">
        <f>IFERROR(__xludf.DUMMYFUNCTION("iferror(divide(googlefinance($B1161,""volumeavg""),1000),"""")"),502.836)</f>
        <v>502.836</v>
      </c>
      <c r="F1161" s="73">
        <f>IFERROR(__xludf.DUMMYFUNCTION("iferror(MINUS(divide(GOOGLEFINANCE($B1161), INDEX(GOOGLEFINANCE($B1161,""price"",today()-182),2,2)),1),"""")"),1.679389312977099)</f>
        <v>1.679389313</v>
      </c>
      <c r="G1161" s="61">
        <f>IFERROR(__xludf.DUMMYFUNCTION("iferror(MINUS(divide(GOOGLEFINANCE($B1161), INDEX(GOOGLEFINANCE($B1161,""price"",today()-364),2,2)),1),"""")"),0.3855263157894737)</f>
        <v>0.3855263158</v>
      </c>
    </row>
    <row r="1162">
      <c r="A1162" s="71">
        <f t="shared" si="4"/>
        <v>1158</v>
      </c>
      <c r="B1162" s="47" t="s">
        <v>1295</v>
      </c>
      <c r="C1162" s="72">
        <f>IFERROR(__xludf.DUMMYFUNCTION("iferror(divide(googlefinance($B1162,""marketcap""),1000000),"""")"),104.244081)</f>
        <v>104.244081</v>
      </c>
      <c r="D1162" s="72">
        <f>IFERROR(__xludf.DUMMYFUNCTION("iferror(divide(googlefinance($B1162,""shares""),1000),"""")"),20068.0)</f>
        <v>20068</v>
      </c>
      <c r="E1162" s="72">
        <f>IFERROR(__xludf.DUMMYFUNCTION("iferror(divide(googlefinance($B1162,""volumeavg""),1000),"""")"),85.554)</f>
        <v>85.554</v>
      </c>
      <c r="F1162" s="73">
        <f>IFERROR(__xludf.DUMMYFUNCTION("iferror(MINUS(divide(GOOGLEFINANCE($B1162), INDEX(GOOGLEFINANCE($B1162,""price"",today()-182),2,2)),1),"""")"),0.07462686567164178)</f>
        <v>0.07462686567</v>
      </c>
      <c r="G1162" s="61">
        <f>IFERROR(__xludf.DUMMYFUNCTION("iferror(MINUS(divide(GOOGLEFINANCE($B1162), INDEX(GOOGLEFINANCE($B1162,""price"",today()-364),2,2)),1),"""")"),-0.7209302325581395)</f>
        <v>-0.7209302326</v>
      </c>
    </row>
    <row r="1163">
      <c r="A1163" s="71">
        <f t="shared" si="4"/>
        <v>1159</v>
      </c>
      <c r="B1163" s="47" t="s">
        <v>1296</v>
      </c>
      <c r="C1163" s="72">
        <f>IFERROR(__xludf.DUMMYFUNCTION("iferror(divide(googlefinance($B1163,""marketcap""),1000000),"""")"),583.227624)</f>
        <v>583.227624</v>
      </c>
      <c r="D1163" s="72">
        <f>IFERROR(__xludf.DUMMYFUNCTION("iferror(divide(googlefinance($B1163,""shares""),1000),"""")"),46472.0)</f>
        <v>46472</v>
      </c>
      <c r="E1163" s="72">
        <f>IFERROR(__xludf.DUMMYFUNCTION("iferror(divide(googlefinance($B1163,""volumeavg""),1000),"""")"),583.084)</f>
        <v>583.084</v>
      </c>
      <c r="F1163" s="73">
        <f>IFERROR(__xludf.DUMMYFUNCTION("iferror(MINUS(divide(GOOGLEFINANCE($B1163), INDEX(GOOGLEFINANCE($B1163,""price"",today()-182),2,2)),1),"""")"),0.013731825525040486)</f>
        <v>0.01373182553</v>
      </c>
      <c r="G1163" s="61">
        <f>IFERROR(__xludf.DUMMYFUNCTION("iferror(MINUS(divide(GOOGLEFINANCE($B1163), INDEX(GOOGLEFINANCE($B1163,""price"",today()-364),2,2)),1),"""")"),-0.5591851071303126)</f>
        <v>-0.5591851071</v>
      </c>
    </row>
    <row r="1164">
      <c r="A1164" s="71">
        <f t="shared" si="4"/>
        <v>1160</v>
      </c>
      <c r="B1164" s="47" t="s">
        <v>1297</v>
      </c>
      <c r="C1164" s="72">
        <f>IFERROR(__xludf.DUMMYFUNCTION("iferror(divide(googlefinance($B1164,""marketcap""),1000000),"""")"),840704.288)</f>
        <v>840704.288</v>
      </c>
      <c r="D1164" s="72">
        <f>IFERROR(__xludf.DUMMYFUNCTION("iferror(divide(googlefinance($B1164,""shares""),1000),"""")"),166245.0)</f>
        <v>166245</v>
      </c>
      <c r="E1164" s="72">
        <f>IFERROR(__xludf.DUMMYFUNCTION("iferror(divide(googlefinance($B1164,""volumeavg""),1000),"""")"),126.281)</f>
        <v>126.281</v>
      </c>
      <c r="F1164" s="73">
        <f>IFERROR(__xludf.DUMMYFUNCTION("iferror(MINUS(divide(GOOGLEFINANCE($B1164), INDEX(GOOGLEFINANCE($B1164,""price"",today()-182),2,2)),1),"""")"),0.8059701492537312)</f>
        <v>0.8059701493</v>
      </c>
      <c r="G1164" s="61">
        <f>IFERROR(__xludf.DUMMYFUNCTION("iferror(MINUS(divide(GOOGLEFINANCE($B1164), INDEX(GOOGLEFINANCE($B1164,""price"",today()-364),2,2)),1),"""")"),0.7016108412170801)</f>
        <v>0.7016108412</v>
      </c>
    </row>
    <row r="1165">
      <c r="A1165" s="71">
        <f t="shared" si="4"/>
        <v>1161</v>
      </c>
      <c r="B1165" s="47" t="s">
        <v>1298</v>
      </c>
      <c r="C1165" s="72">
        <f>IFERROR(__xludf.DUMMYFUNCTION("iferror(divide(googlefinance($B1165,""marketcap""),1000000),"""")"),84.939441)</f>
        <v>84.939441</v>
      </c>
      <c r="D1165" s="72">
        <f>IFERROR(__xludf.DUMMYFUNCTION("iferror(divide(googlefinance($B1165,""shares""),1000),"""")"),31576.0)</f>
        <v>31576</v>
      </c>
      <c r="E1165" s="72">
        <f>IFERROR(__xludf.DUMMYFUNCTION("iferror(divide(googlefinance($B1165,""volumeavg""),1000),"""")"),340.201)</f>
        <v>340.201</v>
      </c>
      <c r="F1165" s="73">
        <f>IFERROR(__xludf.DUMMYFUNCTION("iferror(MINUS(divide(GOOGLEFINANCE($B1165), INDEX(GOOGLEFINANCE($B1165,""price"",today()-182),2,2)),1),"""")"),0.07171314741035872)</f>
        <v>0.07171314741</v>
      </c>
      <c r="G1165" s="61">
        <f>IFERROR(__xludf.DUMMYFUNCTION("iferror(MINUS(divide(GOOGLEFINANCE($B1165), INDEX(GOOGLEFINANCE($B1165,""price"",today()-364),2,2)),1),"""")"),-0.2807486631016043)</f>
        <v>-0.2807486631</v>
      </c>
    </row>
    <row r="1166">
      <c r="A1166" s="71">
        <f t="shared" si="4"/>
        <v>1162</v>
      </c>
      <c r="B1166" s="47" t="s">
        <v>1299</v>
      </c>
      <c r="C1166" s="72">
        <f>IFERROR(__xludf.DUMMYFUNCTION("iferror(divide(googlefinance($B1166,""marketcap""),1000000),"""")"),60111.6495)</f>
        <v>60111.6495</v>
      </c>
      <c r="D1166" s="72">
        <f>IFERROR(__xludf.DUMMYFUNCTION("iferror(divide(googlefinance($B1166,""shares""),1000),"""")"),104543.0)</f>
        <v>104543</v>
      </c>
      <c r="E1166" s="72">
        <f>IFERROR(__xludf.DUMMYFUNCTION("iferror(divide(googlefinance($B1166,""volumeavg""),1000),"""")"),680.242)</f>
        <v>680.242</v>
      </c>
      <c r="F1166" s="73">
        <f>IFERROR(__xludf.DUMMYFUNCTION("iferror(MINUS(divide(GOOGLEFINANCE($B1166), INDEX(GOOGLEFINANCE($B1166,""price"",today()-182),2,2)),1),"""")"),0.28863040255445327)</f>
        <v>0.2886304026</v>
      </c>
      <c r="G1166" s="61">
        <f>IFERROR(__xludf.DUMMYFUNCTION("iferror(MINUS(divide(GOOGLEFINANCE($B1166), INDEX(GOOGLEFINANCE($B1166,""price"",today()-364),2,2)),1),"""")"),0.9096224693277453)</f>
        <v>0.9096224693</v>
      </c>
    </row>
    <row r="1167">
      <c r="A1167" s="71">
        <f t="shared" si="4"/>
        <v>1163</v>
      </c>
      <c r="B1167" s="47" t="s">
        <v>1300</v>
      </c>
      <c r="C1167" s="72">
        <f>IFERROR(__xludf.DUMMYFUNCTION("iferror(divide(googlefinance($B1167,""marketcap""),1000000),"""")"),55.317597)</f>
        <v>55.317597</v>
      </c>
      <c r="D1167" s="72">
        <f>IFERROR(__xludf.DUMMYFUNCTION("iferror(divide(googlefinance($B1167,""shares""),1000),"""")"),23640.0)</f>
        <v>23640</v>
      </c>
      <c r="E1167" s="72">
        <f>IFERROR(__xludf.DUMMYFUNCTION("iferror(divide(googlefinance($B1167,""volumeavg""),1000),"""")"),425.847)</f>
        <v>425.847</v>
      </c>
      <c r="F1167" s="73">
        <f>IFERROR(__xludf.DUMMYFUNCTION("iferror(MINUS(divide(GOOGLEFINANCE($B1167), INDEX(GOOGLEFINANCE($B1167,""price"",today()-182),2,2)),1),"""")"),-0.6613603473227208)</f>
        <v>-0.6613603473</v>
      </c>
      <c r="G1167" s="61">
        <f>IFERROR(__xludf.DUMMYFUNCTION("iferror(MINUS(divide(GOOGLEFINANCE($B1167), INDEX(GOOGLEFINANCE($B1167,""price"",today()-364),2,2)),1),"""")"),-0.7794533459000943)</f>
        <v>-0.7794533459</v>
      </c>
    </row>
    <row r="1168">
      <c r="A1168" s="71">
        <f t="shared" si="4"/>
        <v>1164</v>
      </c>
      <c r="B1168" s="47" t="s">
        <v>1301</v>
      </c>
      <c r="C1168" s="72">
        <f>IFERROR(__xludf.DUMMYFUNCTION("iferror(divide(googlefinance($B1168,""marketcap""),1000000),"""")"),985.444443)</f>
        <v>985.444443</v>
      </c>
      <c r="D1168" s="72">
        <f>IFERROR(__xludf.DUMMYFUNCTION("iferror(divide(googlefinance($B1168,""shares""),1000),"""")"),40288.0)</f>
        <v>40288</v>
      </c>
      <c r="E1168" s="72">
        <f>IFERROR(__xludf.DUMMYFUNCTION("iferror(divide(googlefinance($B1168,""volumeavg""),1000),"""")"),175.691)</f>
        <v>175.691</v>
      </c>
      <c r="F1168" s="73">
        <f>IFERROR(__xludf.DUMMYFUNCTION("iferror(MINUS(divide(GOOGLEFINANCE($B1168), INDEX(GOOGLEFINANCE($B1168,""price"",today()-182),2,2)),1),"""")"),1.7268673355629875)</f>
        <v>1.726867336</v>
      </c>
      <c r="G1168" s="61">
        <f>IFERROR(__xludf.DUMMYFUNCTION("iferror(MINUS(divide(GOOGLEFINANCE($B1168), INDEX(GOOGLEFINANCE($B1168,""price"",today()-364),2,2)),1),"""")"),0.4499110847658565)</f>
        <v>0.4499110848</v>
      </c>
    </row>
    <row r="1169">
      <c r="A1169" s="71">
        <f t="shared" si="4"/>
        <v>1165</v>
      </c>
      <c r="B1169" s="47" t="s">
        <v>1302</v>
      </c>
      <c r="C1169" s="72">
        <f>IFERROR(__xludf.DUMMYFUNCTION("iferror(divide(googlefinance($B1169,""marketcap""),1000000),"""")"),3473.343569)</f>
        <v>3473.343569</v>
      </c>
      <c r="D1169" s="72">
        <f>IFERROR(__xludf.DUMMYFUNCTION("iferror(divide(googlefinance($B1169,""shares""),1000),"""")"),28559.0)</f>
        <v>28559</v>
      </c>
      <c r="E1169" s="72">
        <f>IFERROR(__xludf.DUMMYFUNCTION("iferror(divide(googlefinance($B1169,""volumeavg""),1000),"""")"),452.112)</f>
        <v>452.112</v>
      </c>
      <c r="F1169" s="73">
        <f>IFERROR(__xludf.DUMMYFUNCTION("iferror(MINUS(divide(GOOGLEFINANCE($B1169), INDEX(GOOGLEFINANCE($B1169,""price"",today()-182),2,2)),1),"""")"),-0.16752577319587625)</f>
        <v>-0.1675257732</v>
      </c>
      <c r="G1169" s="61">
        <f>IFERROR(__xludf.DUMMYFUNCTION("iferror(MINUS(divide(GOOGLEFINANCE($B1169), INDEX(GOOGLEFINANCE($B1169,""price"",today()-364),2,2)),1),"""")"),0.09503125331073203)</f>
        <v>0.09503125331</v>
      </c>
    </row>
    <row r="1170">
      <c r="A1170" s="71">
        <f t="shared" si="4"/>
        <v>1166</v>
      </c>
      <c r="B1170" s="47" t="s">
        <v>1303</v>
      </c>
      <c r="C1170" s="72">
        <f>IFERROR(__xludf.DUMMYFUNCTION("iferror(divide(googlefinance($B1170,""marketcap""),1000000),"""")"),365.285218)</f>
        <v>365.285218</v>
      </c>
      <c r="D1170" s="72">
        <f>IFERROR(__xludf.DUMMYFUNCTION("iferror(divide(googlefinance($B1170,""shares""),1000),"""")"),53326.0)</f>
        <v>53326</v>
      </c>
      <c r="E1170" s="72">
        <f>IFERROR(__xludf.DUMMYFUNCTION("iferror(divide(googlefinance($B1170,""volumeavg""),1000),"""")"),179.057)</f>
        <v>179.057</v>
      </c>
      <c r="F1170" s="73">
        <f>IFERROR(__xludf.DUMMYFUNCTION("iferror(MINUS(divide(GOOGLEFINANCE($B1170), INDEX(GOOGLEFINANCE($B1170,""price"",today()-182),2,2)),1),"""")"),-0.33365758754863817)</f>
        <v>-0.3336575875</v>
      </c>
      <c r="G1170" s="61">
        <f>IFERROR(__xludf.DUMMYFUNCTION("iferror(MINUS(divide(GOOGLEFINANCE($B1170), INDEX(GOOGLEFINANCE($B1170,""price"",today()-364),2,2)),1),"""")"),-0.6791569086651055)</f>
        <v>-0.6791569087</v>
      </c>
    </row>
    <row r="1171">
      <c r="A1171" s="71">
        <f t="shared" si="4"/>
        <v>1167</v>
      </c>
      <c r="B1171" s="47" t="s">
        <v>1304</v>
      </c>
      <c r="C1171" s="72">
        <f>IFERROR(__xludf.DUMMYFUNCTION("iferror(divide(googlefinance($B1171,""marketcap""),1000000),"""")"),481.148075)</f>
        <v>481.148075</v>
      </c>
      <c r="D1171" s="72">
        <f>IFERROR(__xludf.DUMMYFUNCTION("iferror(divide(googlefinance($B1171,""shares""),1000),"""")"),63476.0)</f>
        <v>63476</v>
      </c>
      <c r="E1171" s="72">
        <f>IFERROR(__xludf.DUMMYFUNCTION("iferror(divide(googlefinance($B1171,""volumeavg""),1000),"""")"),290.32)</f>
        <v>290.32</v>
      </c>
      <c r="F1171" s="73">
        <f>IFERROR(__xludf.DUMMYFUNCTION("iferror(MINUS(divide(GOOGLEFINANCE($B1171), INDEX(GOOGLEFINANCE($B1171,""price"",today()-182),2,2)),1),"""")"),0.42481203007518786)</f>
        <v>0.4248120301</v>
      </c>
      <c r="G1171" s="61">
        <f>IFERROR(__xludf.DUMMYFUNCTION("iferror(MINUS(divide(GOOGLEFINANCE($B1171), INDEX(GOOGLEFINANCE($B1171,""price"",today()-364),2,2)),1),"""")"),-0.3391455972101134)</f>
        <v>-0.3391455972</v>
      </c>
    </row>
    <row r="1172">
      <c r="A1172" s="71">
        <f t="shared" si="4"/>
        <v>1168</v>
      </c>
      <c r="B1172" s="47" t="s">
        <v>1305</v>
      </c>
      <c r="C1172" s="72">
        <f>IFERROR(__xludf.DUMMYFUNCTION("iferror(divide(googlefinance($B1172,""marketcap""),1000000),"""")"),7650.212482)</f>
        <v>7650.212482</v>
      </c>
      <c r="D1172" s="72">
        <f>IFERROR(__xludf.DUMMYFUNCTION("iferror(divide(googlefinance($B1172,""shares""),1000),"""")"),52503.0)</f>
        <v>52503</v>
      </c>
      <c r="E1172" s="72">
        <f>IFERROR(__xludf.DUMMYFUNCTION("iferror(divide(googlefinance($B1172,""volumeavg""),1000),"""")"),366.44)</f>
        <v>366.44</v>
      </c>
      <c r="F1172" s="73">
        <f>IFERROR(__xludf.DUMMYFUNCTION("iferror(MINUS(divide(GOOGLEFINANCE($B1172), INDEX(GOOGLEFINANCE($B1172,""price"",today()-182),2,2)),1),"""")"),0.6418028169014085)</f>
        <v>0.6418028169</v>
      </c>
      <c r="G1172" s="61">
        <f>IFERROR(__xludf.DUMMYFUNCTION("iferror(MINUS(divide(GOOGLEFINANCE($B1172), INDEX(GOOGLEFINANCE($B1172,""price"",today()-364),2,2)),1),"""")"),0.7815136324734075)</f>
        <v>0.7815136325</v>
      </c>
    </row>
    <row r="1173">
      <c r="A1173" s="71">
        <f t="shared" si="4"/>
        <v>1169</v>
      </c>
      <c r="B1173" s="47" t="s">
        <v>1306</v>
      </c>
      <c r="C1173" s="72">
        <f>IFERROR(__xludf.DUMMYFUNCTION("iferror(divide(googlefinance($B1173,""marketcap""),1000000),"""")"),8401.556073)</f>
        <v>8401.556073</v>
      </c>
      <c r="D1173" s="72">
        <f>IFERROR(__xludf.DUMMYFUNCTION("iferror(divide(googlefinance($B1173,""shares""),1000),"""")"),65591.0)</f>
        <v>65591</v>
      </c>
      <c r="E1173" s="72">
        <f>IFERROR(__xludf.DUMMYFUNCTION("iferror(divide(googlefinance($B1173,""volumeavg""),1000),"""")"),417.943)</f>
        <v>417.943</v>
      </c>
      <c r="F1173" s="73">
        <f>IFERROR(__xludf.DUMMYFUNCTION("iferror(MINUS(divide(GOOGLEFINANCE($B1173), INDEX(GOOGLEFINANCE($B1173,""price"",today()-182),2,2)),1),"""")"),0.7884669086847249)</f>
        <v>0.7884669087</v>
      </c>
      <c r="G1173" s="61">
        <f>IFERROR(__xludf.DUMMYFUNCTION("iferror(MINUS(divide(GOOGLEFINANCE($B1173), INDEX(GOOGLEFINANCE($B1173,""price"",today()-364),2,2)),1),"""")"),0.004863889542637612)</f>
        <v>0.004863889543</v>
      </c>
    </row>
    <row r="1174">
      <c r="A1174" s="71">
        <f t="shared" si="4"/>
        <v>1170</v>
      </c>
      <c r="B1174" s="47" t="s">
        <v>1307</v>
      </c>
      <c r="C1174" s="72">
        <f>IFERROR(__xludf.DUMMYFUNCTION("iferror(divide(googlefinance($B1174,""marketcap""),1000000),"""")"),1102.099697)</f>
        <v>1102.099697</v>
      </c>
      <c r="D1174" s="72">
        <f>IFERROR(__xludf.DUMMYFUNCTION("iferror(divide(googlefinance($B1174,""shares""),1000),"""")"),37334.0)</f>
        <v>37334</v>
      </c>
      <c r="E1174" s="72">
        <f>IFERROR(__xludf.DUMMYFUNCTION("iferror(divide(googlefinance($B1174,""volumeavg""),1000),"""")"),309.518)</f>
        <v>309.518</v>
      </c>
      <c r="F1174" s="73">
        <f>IFERROR(__xludf.DUMMYFUNCTION("iferror(MINUS(divide(GOOGLEFINANCE($B1174), INDEX(GOOGLEFINANCE($B1174,""price"",today()-182),2,2)),1),"""")"),0.07345454545454544)</f>
        <v>0.07345454545</v>
      </c>
      <c r="G1174" s="61">
        <f>IFERROR(__xludf.DUMMYFUNCTION("iferror(MINUS(divide(GOOGLEFINANCE($B1174), INDEX(GOOGLEFINANCE($B1174,""price"",today()-364),2,2)),1),"""")"),-0.2601503759398496)</f>
        <v>-0.2601503759</v>
      </c>
    </row>
    <row r="1175">
      <c r="A1175" s="71">
        <f t="shared" si="4"/>
        <v>1171</v>
      </c>
      <c r="B1175" s="47" t="s">
        <v>1308</v>
      </c>
      <c r="C1175" s="72">
        <f>IFERROR(__xludf.DUMMYFUNCTION("iferror(divide(googlefinance($B1175,""marketcap""),1000000),"""")"),1064.80657)</f>
        <v>1064.80657</v>
      </c>
      <c r="D1175" s="72">
        <f>IFERROR(__xludf.DUMMYFUNCTION("iferror(divide(googlefinance($B1175,""shares""),1000),"""")"),17496.0)</f>
        <v>17496</v>
      </c>
      <c r="E1175" s="72">
        <f>IFERROR(__xludf.DUMMYFUNCTION("iferror(divide(googlefinance($B1175,""volumeavg""),1000),"""")"),346.119)</f>
        <v>346.119</v>
      </c>
      <c r="F1175" s="73">
        <f>IFERROR(__xludf.DUMMYFUNCTION("iferror(MINUS(divide(GOOGLEFINANCE($B1175), INDEX(GOOGLEFINANCE($B1175,""price"",today()-182),2,2)),1),"""")"),0.35244444444444434)</f>
        <v>0.3524444444</v>
      </c>
      <c r="G1175" s="61">
        <f>IFERROR(__xludf.DUMMYFUNCTION("iferror(MINUS(divide(GOOGLEFINANCE($B1175), INDEX(GOOGLEFINANCE($B1175,""price"",today()-364),2,2)),1),"""")"),0.44354838709677424)</f>
        <v>0.4435483871</v>
      </c>
    </row>
    <row r="1176">
      <c r="A1176" s="71">
        <f t="shared" si="4"/>
        <v>1172</v>
      </c>
      <c r="B1176" s="47" t="s">
        <v>1309</v>
      </c>
      <c r="C1176" s="72">
        <f>IFERROR(__xludf.DUMMYFUNCTION("iferror(divide(googlefinance($B1176,""marketcap""),1000000),"""")"),196.299268)</f>
        <v>196.299268</v>
      </c>
      <c r="D1176" s="72">
        <f>IFERROR(__xludf.DUMMYFUNCTION("iferror(divide(googlefinance($B1176,""shares""),1000),"""")"),35626.0)</f>
        <v>35626</v>
      </c>
      <c r="E1176" s="72">
        <f>IFERROR(__xludf.DUMMYFUNCTION("iferror(divide(googlefinance($B1176,""volumeavg""),1000),"""")"),541.422)</f>
        <v>541.422</v>
      </c>
      <c r="F1176" s="73">
        <f>IFERROR(__xludf.DUMMYFUNCTION("iferror(MINUS(divide(GOOGLEFINANCE($B1176), INDEX(GOOGLEFINANCE($B1176,""price"",today()-182),2,2)),1),"""")"),-0.15620214395099552)</f>
        <v>-0.156202144</v>
      </c>
      <c r="G1176" s="61">
        <f>IFERROR(__xludf.DUMMYFUNCTION("iferror(MINUS(divide(GOOGLEFINANCE($B1176), INDEX(GOOGLEFINANCE($B1176,""price"",today()-364),2,2)),1),"""")"),-0.7245)</f>
        <v>-0.7245</v>
      </c>
    </row>
    <row r="1177">
      <c r="A1177" s="71">
        <f t="shared" si="4"/>
        <v>1173</v>
      </c>
      <c r="B1177" s="47" t="s">
        <v>1310</v>
      </c>
      <c r="C1177" s="72">
        <f>IFERROR(__xludf.DUMMYFUNCTION("iferror(divide(googlefinance($B1177,""marketcap""),1000000),"""")"),7406.343726)</f>
        <v>7406.343726</v>
      </c>
      <c r="D1177" s="72">
        <f>IFERROR(__xludf.DUMMYFUNCTION("iferror(divide(googlefinance($B1177,""shares""),1000),"""")"),19514.0)</f>
        <v>19514</v>
      </c>
      <c r="E1177" s="72">
        <f>IFERROR(__xludf.DUMMYFUNCTION("iferror(divide(googlefinance($B1177,""volumeavg""),1000),"""")"),714.187)</f>
        <v>714.187</v>
      </c>
      <c r="F1177" s="73">
        <f>IFERROR(__xludf.DUMMYFUNCTION("iferror(MINUS(divide(GOOGLEFINANCE($B1177), INDEX(GOOGLEFINANCE($B1177,""price"",today()-182),2,2)),1),"""")"),3.6212102763910874)</f>
        <v>3.621210276</v>
      </c>
      <c r="G1177" s="61">
        <f>IFERROR(__xludf.DUMMYFUNCTION("iferror(MINUS(divide(GOOGLEFINANCE($B1177), INDEX(GOOGLEFINANCE($B1177,""price"",today()-364),2,2)),1),"""")"),1.2457988165680476)</f>
        <v>1.245798817</v>
      </c>
    </row>
    <row r="1178">
      <c r="A1178" s="71">
        <f t="shared" si="4"/>
        <v>1174</v>
      </c>
      <c r="B1178" s="47" t="s">
        <v>1311</v>
      </c>
      <c r="C1178" s="72">
        <f>IFERROR(__xludf.DUMMYFUNCTION("iferror(divide(googlefinance($B1178,""marketcap""),1000000),"""")"),244.422291)</f>
        <v>244.422291</v>
      </c>
      <c r="D1178" s="72">
        <f>IFERROR(__xludf.DUMMYFUNCTION("iferror(divide(googlefinance($B1178,""shares""),1000),"""")"),317431.555)</f>
        <v>317431.555</v>
      </c>
      <c r="E1178" s="72">
        <f>IFERROR(__xludf.DUMMYFUNCTION("iferror(divide(googlefinance($B1178,""volumeavg""),1000),"""")"),889.686)</f>
        <v>889.686</v>
      </c>
      <c r="F1178" s="73">
        <f>IFERROR(__xludf.DUMMYFUNCTION("iferror(MINUS(divide(GOOGLEFINANCE($B1178), INDEX(GOOGLEFINANCE($B1178,""price"",today()-182),2,2)),1),"""")"),0.10000000000000009)</f>
        <v>0.1</v>
      </c>
      <c r="G1178" s="61">
        <f>IFERROR(__xludf.DUMMYFUNCTION("iferror(MINUS(divide(GOOGLEFINANCE($B1178), INDEX(GOOGLEFINANCE($B1178,""price"",today()-364),2,2)),1),"""")"),-0.22999999999999998)</f>
        <v>-0.23</v>
      </c>
    </row>
    <row r="1179">
      <c r="A1179" s="71">
        <f t="shared" si="4"/>
        <v>1175</v>
      </c>
      <c r="B1179" s="47" t="s">
        <v>1312</v>
      </c>
      <c r="C1179" s="72">
        <f>IFERROR(__xludf.DUMMYFUNCTION("iferror(divide(googlefinance($B1179,""marketcap""),1000000),"""")"),177.390004)</f>
        <v>177.390004</v>
      </c>
      <c r="D1179" s="72">
        <f>IFERROR(__xludf.DUMMYFUNCTION("iferror(divide(googlefinance($B1179,""shares""),1000),"""")"),9125.0)</f>
        <v>9125</v>
      </c>
      <c r="E1179" s="72">
        <f>IFERROR(__xludf.DUMMYFUNCTION("iferror(divide(googlefinance($B1179,""volumeavg""),1000),"""")"),110.325)</f>
        <v>110.325</v>
      </c>
      <c r="F1179" s="73">
        <f>IFERROR(__xludf.DUMMYFUNCTION("iferror(MINUS(divide(GOOGLEFINANCE($B1179), INDEX(GOOGLEFINANCE($B1179,""price"",today()-182),2,2)),1),"""")"),1.308788598574822)</f>
        <v>1.308788599</v>
      </c>
      <c r="G1179" s="61">
        <f>IFERROR(__xludf.DUMMYFUNCTION("iferror(MINUS(divide(GOOGLEFINANCE($B1179), INDEX(GOOGLEFINANCE($B1179,""price"",today()-364),2,2)),1),"""")"),0.1435294117647059)</f>
        <v>0.1435294118</v>
      </c>
    </row>
    <row r="1180">
      <c r="A1180" s="71">
        <f t="shared" si="4"/>
        <v>1176</v>
      </c>
      <c r="B1180" s="47" t="s">
        <v>1313</v>
      </c>
      <c r="C1180" s="72">
        <f>IFERROR(__xludf.DUMMYFUNCTION("iferror(divide(googlefinance($B1180,""marketcap""),1000000),"""")"),439.215383)</f>
        <v>439.215383</v>
      </c>
      <c r="D1180" s="72">
        <f>IFERROR(__xludf.DUMMYFUNCTION("iferror(divide(googlefinance($B1180,""shares""),1000),"""")"),168929.0)</f>
        <v>168929</v>
      </c>
      <c r="E1180" s="72">
        <f>IFERROR(__xludf.DUMMYFUNCTION("iferror(divide(googlefinance($B1180,""volumeavg""),1000),"""")"),2818.633)</f>
        <v>2818.633</v>
      </c>
      <c r="F1180" s="73">
        <f>IFERROR(__xludf.DUMMYFUNCTION("iferror(MINUS(divide(GOOGLEFINANCE($B1180), INDEX(GOOGLEFINANCE($B1180,""price"",today()-182),2,2)),1),"""")"),0.9696969696969697)</f>
        <v>0.9696969697</v>
      </c>
      <c r="G1180" s="61">
        <f>IFERROR(__xludf.DUMMYFUNCTION("iferror(MINUS(divide(GOOGLEFINANCE($B1180), INDEX(GOOGLEFINANCE($B1180,""price"",today()-364),2,2)),1),"""")"),0.5384615384615385)</f>
        <v>0.5384615385</v>
      </c>
    </row>
    <row r="1181">
      <c r="A1181" s="71">
        <f t="shared" si="4"/>
        <v>1177</v>
      </c>
      <c r="B1181" s="47" t="s">
        <v>1314</v>
      </c>
      <c r="C1181" s="72">
        <f>IFERROR(__xludf.DUMMYFUNCTION("iferror(divide(googlefinance($B1181,""marketcap""),1000000),"""")"),108781.895811)</f>
        <v>108781.8958</v>
      </c>
      <c r="D1181" s="72">
        <f>IFERROR(__xludf.DUMMYFUNCTION("iferror(divide(googlefinance($B1181,""shares""),1000),"""")"),1246700.0)</f>
        <v>1246700</v>
      </c>
      <c r="E1181" s="72">
        <f>IFERROR(__xludf.DUMMYFUNCTION("iferror(divide(googlefinance($B1181,""volumeavg""),1000),"""")"),1984.056)</f>
        <v>1984.056</v>
      </c>
      <c r="F1181" s="73">
        <f>IFERROR(__xludf.DUMMYFUNCTION("iferror(MINUS(divide(GOOGLEFINANCE($B1181), INDEX(GOOGLEFINANCE($B1181,""price"",today()-182),2,2)),1),"""")"),0.769756631118403)</f>
        <v>0.7697566311</v>
      </c>
      <c r="G1181" s="61">
        <f>IFERROR(__xludf.DUMMYFUNCTION("iferror(MINUS(divide(GOOGLEFINANCE($B1181), INDEX(GOOGLEFINANCE($B1181,""price"",today()-364),2,2)),1),"""")"),0.22529344945096552)</f>
        <v>0.2252934495</v>
      </c>
    </row>
    <row r="1182">
      <c r="A1182" s="71">
        <f t="shared" si="4"/>
        <v>1178</v>
      </c>
      <c r="B1182" s="47" t="s">
        <v>1315</v>
      </c>
      <c r="C1182" s="72">
        <f>IFERROR(__xludf.DUMMYFUNCTION("iferror(divide(googlefinance($B1182,""marketcap""),1000000),"""")"),142.203)</f>
        <v>142.203</v>
      </c>
      <c r="D1182" s="72">
        <f>IFERROR(__xludf.DUMMYFUNCTION("iferror(divide(googlefinance($B1182,""shares""),1000),"""")"),47401.0)</f>
        <v>47401</v>
      </c>
      <c r="E1182" s="72">
        <f>IFERROR(__xludf.DUMMYFUNCTION("iferror(divide(googlefinance($B1182,""volumeavg""),1000),"""")"),9133.314)</f>
        <v>9133.314</v>
      </c>
      <c r="F1182" s="73">
        <f>IFERROR(__xludf.DUMMYFUNCTION("iferror(MINUS(divide(GOOGLEFINANCE($B1182), INDEX(GOOGLEFINANCE($B1182,""price"",today()-182),2,2)),1),"""")"),3.2857142857142856)</f>
        <v>3.285714286</v>
      </c>
      <c r="G1182" s="61">
        <f>IFERROR(__xludf.DUMMYFUNCTION("iferror(MINUS(divide(GOOGLEFINANCE($B1182), INDEX(GOOGLEFINANCE($B1182,""price"",today()-364),2,2)),1),"""")"),0.4563106796116505)</f>
        <v>0.4563106796</v>
      </c>
    </row>
    <row r="1183">
      <c r="A1183" s="71">
        <f t="shared" si="4"/>
        <v>1179</v>
      </c>
      <c r="B1183" s="47" t="s">
        <v>1316</v>
      </c>
      <c r="C1183" s="72">
        <f>IFERROR(__xludf.DUMMYFUNCTION("iferror(divide(googlefinance($B1183,""marketcap""),1000000),"""")"),5752.998365)</f>
        <v>5752.998365</v>
      </c>
      <c r="D1183" s="72">
        <f>IFERROR(__xludf.DUMMYFUNCTION("iferror(divide(googlefinance($B1183,""shares""),1000),"""")"),48163.0)</f>
        <v>48163</v>
      </c>
      <c r="E1183" s="72">
        <f>IFERROR(__xludf.DUMMYFUNCTION("iferror(divide(googlefinance($B1183,""volumeavg""),1000),"""")"),1248.766)</f>
        <v>1248.766</v>
      </c>
      <c r="F1183" s="73">
        <f>IFERROR(__xludf.DUMMYFUNCTION("iferror(MINUS(divide(GOOGLEFINANCE($B1183), INDEX(GOOGLEFINANCE($B1183,""price"",today()-182),2,2)),1),"""")"),0.1824050442876446)</f>
        <v>0.1824050443</v>
      </c>
      <c r="G1183" s="61">
        <f>IFERROR(__xludf.DUMMYFUNCTION("iferror(MINUS(divide(GOOGLEFINANCE($B1183), INDEX(GOOGLEFINANCE($B1183,""price"",today()-364),2,2)),1),"""")"),-0.15284500376465515)</f>
        <v>-0.1528450038</v>
      </c>
    </row>
    <row r="1184">
      <c r="A1184" s="71">
        <f t="shared" si="4"/>
        <v>1180</v>
      </c>
      <c r="B1184" s="47" t="s">
        <v>1317</v>
      </c>
      <c r="C1184" s="72">
        <f>IFERROR(__xludf.DUMMYFUNCTION("iferror(divide(googlefinance($B1184,""marketcap""),1000000),"""")"),3615.190304)</f>
        <v>3615.190304</v>
      </c>
      <c r="D1184" s="72">
        <f>IFERROR(__xludf.DUMMYFUNCTION("iferror(divide(googlefinance($B1184,""shares""),1000),"""")"),89975.0)</f>
        <v>89975</v>
      </c>
      <c r="E1184" s="72">
        <f>IFERROR(__xludf.DUMMYFUNCTION("iferror(divide(googlefinance($B1184,""volumeavg""),1000),"""")"),275.324)</f>
        <v>275.324</v>
      </c>
      <c r="F1184" s="73" t="str">
        <f>IFERROR(__xludf.DUMMYFUNCTION("iferror(MINUS(divide(GOOGLEFINANCE($B1184), INDEX(GOOGLEFINANCE($B1184,""price"",today()-182),2,2)),1),"""")"),"")</f>
        <v/>
      </c>
      <c r="G1184" s="61" t="str">
        <f>IFERROR(__xludf.DUMMYFUNCTION("iferror(MINUS(divide(GOOGLEFINANCE($B1184), INDEX(GOOGLEFINANCE($B1184,""price"",today()-364),2,2)),1),"""")"),"")</f>
        <v/>
      </c>
    </row>
    <row r="1185">
      <c r="A1185" s="71">
        <f t="shared" si="4"/>
        <v>1181</v>
      </c>
      <c r="B1185" s="47" t="s">
        <v>1318</v>
      </c>
      <c r="C1185" s="72">
        <f>IFERROR(__xludf.DUMMYFUNCTION("iferror(divide(googlefinance($B1185,""marketcap""),1000000),"""")"),275.135728)</f>
        <v>275.135728</v>
      </c>
      <c r="D1185" s="72">
        <f>IFERROR(__xludf.DUMMYFUNCTION("iferror(divide(googlefinance($B1185,""shares""),1000),"""")"),49396.0)</f>
        <v>49396</v>
      </c>
      <c r="E1185" s="72">
        <f>IFERROR(__xludf.DUMMYFUNCTION("iferror(divide(googlefinance($B1185,""volumeavg""),1000),"""")"),200.135)</f>
        <v>200.135</v>
      </c>
      <c r="F1185" s="73">
        <f>IFERROR(__xludf.DUMMYFUNCTION("iferror(MINUS(divide(GOOGLEFINANCE($B1185), INDEX(GOOGLEFINANCE($B1185,""price"",today()-182),2,2)),1),"""")"),0.6479289940828403)</f>
        <v>0.6479289941</v>
      </c>
      <c r="G1185" s="61">
        <f>IFERROR(__xludf.DUMMYFUNCTION("iferror(MINUS(divide(GOOGLEFINANCE($B1185), INDEX(GOOGLEFINANCE($B1185,""price"",today()-364),2,2)),1),"""")"),0.06909788867562394)</f>
        <v>0.06909788868</v>
      </c>
    </row>
    <row r="1186">
      <c r="A1186" s="71">
        <f t="shared" si="4"/>
        <v>1182</v>
      </c>
      <c r="B1186" s="47" t="s">
        <v>1319</v>
      </c>
      <c r="C1186" s="72">
        <f>IFERROR(__xludf.DUMMYFUNCTION("iferror(divide(googlefinance($B1186,""marketcap""),1000000),"""")"),57.407186)</f>
        <v>57.407186</v>
      </c>
      <c r="D1186" s="72">
        <f>IFERROR(__xludf.DUMMYFUNCTION("iferror(divide(googlefinance($B1186,""shares""),1000),"""")"),25401.0)</f>
        <v>25401</v>
      </c>
      <c r="E1186" s="72">
        <f>IFERROR(__xludf.DUMMYFUNCTION("iferror(divide(googlefinance($B1186,""volumeavg""),1000),"""")"),66.09)</f>
        <v>66.09</v>
      </c>
      <c r="F1186" s="73">
        <f>IFERROR(__xludf.DUMMYFUNCTION("iferror(MINUS(divide(GOOGLEFINANCE($B1186), INDEX(GOOGLEFINANCE($B1186,""price"",today()-182),2,2)),1),"""")"),0.36969696969696964)</f>
        <v>0.3696969697</v>
      </c>
      <c r="G1186" s="61">
        <f>IFERROR(__xludf.DUMMYFUNCTION("iferror(MINUS(divide(GOOGLEFINANCE($B1186), INDEX(GOOGLEFINANCE($B1186,""price"",today()-364),2,2)),1),"""")"),-0.6282894736842106)</f>
        <v>-0.6282894737</v>
      </c>
    </row>
    <row r="1187">
      <c r="A1187" s="71">
        <f t="shared" si="4"/>
        <v>1183</v>
      </c>
      <c r="B1187" s="47" t="s">
        <v>1320</v>
      </c>
      <c r="C1187" s="72" t="str">
        <f>IFERROR(__xludf.DUMMYFUNCTION("iferror(divide(googlefinance($B1187,""marketcap""),1000000),"""")"),"")</f>
        <v/>
      </c>
      <c r="D1187" s="72" t="str">
        <f>IFERROR(__xludf.DUMMYFUNCTION("iferror(divide(googlefinance($B1187,""shares""),1000),"""")"),"")</f>
        <v/>
      </c>
      <c r="E1187" s="72" t="str">
        <f>IFERROR(__xludf.DUMMYFUNCTION("iferror(divide(googlefinance($B1187,""volumeavg""),1000),"""")"),"")</f>
        <v/>
      </c>
      <c r="F1187" s="73" t="str">
        <f>IFERROR(__xludf.DUMMYFUNCTION("iferror(MINUS(divide(GOOGLEFINANCE($B1187), INDEX(GOOGLEFINANCE($B1187,""price"",today()-182),2,2)),1),"""")"),"")</f>
        <v/>
      </c>
      <c r="G1187" s="61" t="str">
        <f>IFERROR(__xludf.DUMMYFUNCTION("iferror(MINUS(divide(GOOGLEFINANCE($B1187), INDEX(GOOGLEFINANCE($B1187,""price"",today()-364),2,2)),1),"""")"),"")</f>
        <v/>
      </c>
    </row>
    <row r="1188">
      <c r="A1188" s="71">
        <f t="shared" si="4"/>
        <v>1184</v>
      </c>
      <c r="B1188" s="47" t="s">
        <v>1321</v>
      </c>
      <c r="C1188" s="72">
        <f>IFERROR(__xludf.DUMMYFUNCTION("iferror(divide(googlefinance($B1188,""marketcap""),1000000),"""")"),1582.179022)</f>
        <v>1582.179022</v>
      </c>
      <c r="D1188" s="72">
        <f>IFERROR(__xludf.DUMMYFUNCTION("iferror(divide(googlefinance($B1188,""shares""),1000),"""")"),113744.0)</f>
        <v>113744</v>
      </c>
      <c r="E1188" s="72">
        <f>IFERROR(__xludf.DUMMYFUNCTION("iferror(divide(googlefinance($B1188,""volumeavg""),1000),"""")"),766.849)</f>
        <v>766.849</v>
      </c>
      <c r="F1188" s="73">
        <f>IFERROR(__xludf.DUMMYFUNCTION("iferror(MINUS(divide(GOOGLEFINANCE($B1188), INDEX(GOOGLEFINANCE($B1188,""price"",today()-182),2,2)),1),"""")"),0.4208375893769154)</f>
        <v>0.4208375894</v>
      </c>
      <c r="G1188" s="61">
        <f>IFERROR(__xludf.DUMMYFUNCTION("iferror(MINUS(divide(GOOGLEFINANCE($B1188), INDEX(GOOGLEFINANCE($B1188,""price"",today()-364),2,2)),1),"""")"),0.04981132075471706)</f>
        <v>0.04981132075</v>
      </c>
    </row>
    <row r="1189">
      <c r="A1189" s="71">
        <f t="shared" si="4"/>
        <v>1185</v>
      </c>
      <c r="B1189" s="47" t="s">
        <v>1322</v>
      </c>
      <c r="C1189" s="72">
        <f>IFERROR(__xludf.DUMMYFUNCTION("iferror(divide(googlefinance($B1189,""marketcap""),1000000),"""")"),87.8725)</f>
        <v>87.8725</v>
      </c>
      <c r="D1189" s="72">
        <f>IFERROR(__xludf.DUMMYFUNCTION("iferror(divide(googlefinance($B1189,""shares""),1000),"""")"),70298.0)</f>
        <v>70298</v>
      </c>
      <c r="E1189" s="72">
        <f>IFERROR(__xludf.DUMMYFUNCTION("iferror(divide(googlefinance($B1189,""volumeavg""),1000),"""")"),1236.158)</f>
        <v>1236.158</v>
      </c>
      <c r="F1189" s="73">
        <f>IFERROR(__xludf.DUMMYFUNCTION("iferror(MINUS(divide(GOOGLEFINANCE($B1189), INDEX(GOOGLEFINANCE($B1189,""price"",today()-182),2,2)),1),"""")"),-0.4075829383886256)</f>
        <v>-0.4075829384</v>
      </c>
      <c r="G1189" s="61">
        <f>IFERROR(__xludf.DUMMYFUNCTION("iferror(MINUS(divide(GOOGLEFINANCE($B1189), INDEX(GOOGLEFINANCE($B1189,""price"",today()-364),2,2)),1),"""")"),-0.617737003058104)</f>
        <v>-0.6177370031</v>
      </c>
    </row>
    <row r="1190">
      <c r="A1190" s="71">
        <f t="shared" si="4"/>
        <v>1186</v>
      </c>
      <c r="B1190" s="47" t="s">
        <v>1323</v>
      </c>
      <c r="C1190" s="72">
        <f>IFERROR(__xludf.DUMMYFUNCTION("iferror(divide(googlefinance($B1190,""marketcap""),1000000),"""")"),1252.275949)</f>
        <v>1252.275949</v>
      </c>
      <c r="D1190" s="72">
        <f>IFERROR(__xludf.DUMMYFUNCTION("iferror(divide(googlefinance($B1190,""shares""),1000),"""")"),37527.0)</f>
        <v>37527</v>
      </c>
      <c r="E1190" s="72">
        <f>IFERROR(__xludf.DUMMYFUNCTION("iferror(divide(googlefinance($B1190,""volumeavg""),1000),"""")"),160.498)</f>
        <v>160.498</v>
      </c>
      <c r="F1190" s="73" t="str">
        <f>IFERROR(__xludf.DUMMYFUNCTION("iferror(MINUS(divide(GOOGLEFINANCE($B1190), INDEX(GOOGLEFINANCE($B1190,""price"",today()-182),2,2)),1),"""")"),"")</f>
        <v/>
      </c>
      <c r="G1190" s="61" t="str">
        <f>IFERROR(__xludf.DUMMYFUNCTION("iferror(MINUS(divide(GOOGLEFINANCE($B1190), INDEX(GOOGLEFINANCE($B1190,""price"",today()-364),2,2)),1),"""")"),"")</f>
        <v/>
      </c>
    </row>
    <row r="1191">
      <c r="A1191" s="71">
        <f t="shared" si="4"/>
        <v>1187</v>
      </c>
      <c r="B1191" s="47" t="s">
        <v>1324</v>
      </c>
      <c r="C1191" s="72">
        <f>IFERROR(__xludf.DUMMYFUNCTION("iferror(divide(googlefinance($B1191,""marketcap""),1000000),"""")"),2071.50545)</f>
        <v>2071.50545</v>
      </c>
      <c r="D1191" s="72">
        <f>IFERROR(__xludf.DUMMYFUNCTION("iferror(divide(googlefinance($B1191,""shares""),1000),"""")"),32423.0)</f>
        <v>32423</v>
      </c>
      <c r="E1191" s="72">
        <f>IFERROR(__xludf.DUMMYFUNCTION("iferror(divide(googlefinance($B1191,""volumeavg""),1000),"""")"),216.807)</f>
        <v>216.807</v>
      </c>
      <c r="F1191" s="73">
        <f>IFERROR(__xludf.DUMMYFUNCTION("iferror(MINUS(divide(GOOGLEFINANCE($B1191), INDEX(GOOGLEFINANCE($B1191,""price"",today()-182),2,2)),1),"""")"),0.7484948002189382)</f>
        <v>0.7484948002</v>
      </c>
      <c r="G1191" s="61">
        <f>IFERROR(__xludf.DUMMYFUNCTION("iferror(MINUS(divide(GOOGLEFINANCE($B1191), INDEX(GOOGLEFINANCE($B1191,""price"",today()-364),2,2)),1),"""")"),0.38290043290043285)</f>
        <v>0.3829004329</v>
      </c>
    </row>
    <row r="1192">
      <c r="A1192" s="71">
        <f t="shared" si="4"/>
        <v>1188</v>
      </c>
      <c r="B1192" s="47" t="s">
        <v>1325</v>
      </c>
      <c r="C1192" s="72">
        <f>IFERROR(__xludf.DUMMYFUNCTION("iferror(divide(googlefinance($B1192,""marketcap""),1000000),"""")"),25767.867046)</f>
        <v>25767.86705</v>
      </c>
      <c r="D1192" s="72">
        <f>IFERROR(__xludf.DUMMYFUNCTION("iferror(divide(googlefinance($B1192,""shares""),1000),"""")"),115967.0)</f>
        <v>115967</v>
      </c>
      <c r="E1192" s="72">
        <f>IFERROR(__xludf.DUMMYFUNCTION("iferror(divide(googlefinance($B1192,""volumeavg""),1000),"""")"),513.055)</f>
        <v>513.055</v>
      </c>
      <c r="F1192" s="73">
        <f>IFERROR(__xludf.DUMMYFUNCTION("iferror(MINUS(divide(GOOGLEFINANCE($B1192), INDEX(GOOGLEFINANCE($B1192,""price"",today()-182),2,2)),1),"""")"),0.7525041407051027)</f>
        <v>0.7525041407</v>
      </c>
      <c r="G1192" s="61">
        <f>IFERROR(__xludf.DUMMYFUNCTION("iferror(MINUS(divide(GOOGLEFINANCE($B1192), INDEX(GOOGLEFINANCE($B1192,""price"",today()-364),2,2)),1),"""")"),0.371097124521782)</f>
        <v>0.3710971245</v>
      </c>
    </row>
    <row r="1193">
      <c r="A1193" s="71">
        <f t="shared" si="4"/>
        <v>1189</v>
      </c>
      <c r="B1193" s="47" t="s">
        <v>1326</v>
      </c>
      <c r="C1193" s="72">
        <f>IFERROR(__xludf.DUMMYFUNCTION("iferror(divide(googlefinance($B1193,""marketcap""),1000000),"""")"),41758.745521)</f>
        <v>41758.74552</v>
      </c>
      <c r="D1193" s="72">
        <f>IFERROR(__xludf.DUMMYFUNCTION("iferror(divide(googlefinance($B1193,""shares""),1000),"""")"),104711.0)</f>
        <v>104711</v>
      </c>
      <c r="E1193" s="72">
        <f>IFERROR(__xludf.DUMMYFUNCTION("iferror(divide(googlefinance($B1193,""volumeavg""),1000),"""")"),473.885)</f>
        <v>473.885</v>
      </c>
      <c r="F1193" s="73">
        <f>IFERROR(__xludf.DUMMYFUNCTION("iferror(MINUS(divide(GOOGLEFINANCE($B1193), INDEX(GOOGLEFINANCE($B1193,""price"",today()-182),2,2)),1),"""")"),0.408440755783154)</f>
        <v>0.4084407558</v>
      </c>
      <c r="G1193" s="61">
        <f>IFERROR(__xludf.DUMMYFUNCTION("iferror(MINUS(divide(GOOGLEFINANCE($B1193), INDEX(GOOGLEFINANCE($B1193,""price"",today()-364),2,2)),1),"""")"),0.10931849791376913)</f>
        <v>0.1093184979</v>
      </c>
    </row>
    <row r="1194">
      <c r="A1194" s="71">
        <f t="shared" si="4"/>
        <v>1190</v>
      </c>
      <c r="B1194" s="47" t="s">
        <v>1327</v>
      </c>
      <c r="C1194" s="72">
        <f>IFERROR(__xludf.DUMMYFUNCTION("iferror(divide(googlefinance($B1194,""marketcap""),1000000),"""")"),33421.842302)</f>
        <v>33421.8423</v>
      </c>
      <c r="D1194" s="72">
        <f>IFERROR(__xludf.DUMMYFUNCTION("iferror(divide(googlefinance($B1194,""shares""),1000),"""")"),356006.0)</f>
        <v>356006</v>
      </c>
      <c r="E1194" s="72">
        <f>IFERROR(__xludf.DUMMYFUNCTION("iferror(divide(googlefinance($B1194,""volumeavg""),1000),"""")"),2421.729)</f>
        <v>2421.729</v>
      </c>
      <c r="F1194" s="73">
        <f>IFERROR(__xludf.DUMMYFUNCTION("iferror(MINUS(divide(GOOGLEFINANCE($B1194), INDEX(GOOGLEFINANCE($B1194,""price"",today()-182),2,2)),1),"""")"),0.469170579029734)</f>
        <v>0.469170579</v>
      </c>
      <c r="G1194" s="61">
        <f>IFERROR(__xludf.DUMMYFUNCTION("iferror(MINUS(divide(GOOGLEFINANCE($B1194), INDEX(GOOGLEFINANCE($B1194,""price"",today()-364),2,2)),1),"""")"),-0.10377088305489268)</f>
        <v>-0.1037708831</v>
      </c>
    </row>
    <row r="1195">
      <c r="A1195" s="71">
        <f t="shared" si="4"/>
        <v>1191</v>
      </c>
      <c r="B1195" s="47" t="s">
        <v>1328</v>
      </c>
      <c r="C1195" s="72">
        <f>IFERROR(__xludf.DUMMYFUNCTION("iferror(divide(googlefinance($B1195,""marketcap""),1000000),"""")"),10891.653996)</f>
        <v>10891.654</v>
      </c>
      <c r="D1195" s="72">
        <f>IFERROR(__xludf.DUMMYFUNCTION("iferror(divide(googlefinance($B1195,""shares""),1000),"""")"),129972.0)</f>
        <v>129972</v>
      </c>
      <c r="E1195" s="72">
        <f>IFERROR(__xludf.DUMMYFUNCTION("iferror(divide(googlefinance($B1195,""volumeavg""),1000),"""")"),449.528)</f>
        <v>449.528</v>
      </c>
      <c r="F1195" s="73">
        <f>IFERROR(__xludf.DUMMYFUNCTION("iferror(MINUS(divide(GOOGLEFINANCE($B1195), INDEX(GOOGLEFINANCE($B1195,""price"",today()-182),2,2)),1),"""")"),0.6949838187702266)</f>
        <v>0.6949838188</v>
      </c>
      <c r="G1195" s="61">
        <f>IFERROR(__xludf.DUMMYFUNCTION("iferror(MINUS(divide(GOOGLEFINANCE($B1195), INDEX(GOOGLEFINANCE($B1195,""price"",today()-364),2,2)),1),"""")"),0.22460908958059322)</f>
        <v>0.2246090896</v>
      </c>
    </row>
    <row r="1196">
      <c r="A1196" s="71">
        <f t="shared" si="4"/>
        <v>1192</v>
      </c>
      <c r="B1196" s="47" t="s">
        <v>1329</v>
      </c>
      <c r="C1196" s="72">
        <f>IFERROR(__xludf.DUMMYFUNCTION("iferror(divide(googlefinance($B1196,""marketcap""),1000000),"""")"),25207.874806)</f>
        <v>25207.87481</v>
      </c>
      <c r="D1196" s="72">
        <f>IFERROR(__xludf.DUMMYFUNCTION("iferror(divide(googlefinance($B1196,""shares""),1000),"""")"),365899.0)</f>
        <v>365899</v>
      </c>
      <c r="E1196" s="72">
        <f>IFERROR(__xludf.DUMMYFUNCTION("iferror(divide(googlefinance($B1196,""volumeavg""),1000),"""")"),831.736)</f>
        <v>831.736</v>
      </c>
      <c r="F1196" s="73" t="str">
        <f>IFERROR(__xludf.DUMMYFUNCTION("iferror(MINUS(divide(GOOGLEFINANCE($B1196), INDEX(GOOGLEFINANCE($B1196,""price"",today()-182),2,2)),1),"""")"),"")</f>
        <v/>
      </c>
      <c r="G1196" s="61" t="str">
        <f>IFERROR(__xludf.DUMMYFUNCTION("iferror(MINUS(divide(GOOGLEFINANCE($B1196), INDEX(GOOGLEFINANCE($B1196,""price"",today()-364),2,2)),1),"""")"),"")</f>
        <v/>
      </c>
    </row>
    <row r="1197">
      <c r="A1197" s="71">
        <f t="shared" si="4"/>
        <v>1193</v>
      </c>
      <c r="B1197" s="47" t="s">
        <v>1330</v>
      </c>
      <c r="C1197" s="72">
        <f>IFERROR(__xludf.DUMMYFUNCTION("iferror(divide(googlefinance($B1197,""marketcap""),1000000),"""")"),1246.661692)</f>
        <v>1246.661692</v>
      </c>
      <c r="D1197" s="72">
        <f>IFERROR(__xludf.DUMMYFUNCTION("iferror(divide(googlefinance($B1197,""shares""),1000),"""")"),36753.0)</f>
        <v>36753</v>
      </c>
      <c r="E1197" s="72">
        <f>IFERROR(__xludf.DUMMYFUNCTION("iferror(divide(googlefinance($B1197,""volumeavg""),1000),"""")"),43.427)</f>
        <v>43.427</v>
      </c>
      <c r="F1197" s="73" t="str">
        <f>IFERROR(__xludf.DUMMYFUNCTION("iferror(MINUS(divide(GOOGLEFINANCE($B1197), INDEX(GOOGLEFINANCE($B1197,""price"",today()-182),2,2)),1),"""")"),"")</f>
        <v/>
      </c>
      <c r="G1197" s="61" t="str">
        <f>IFERROR(__xludf.DUMMYFUNCTION("iferror(MINUS(divide(GOOGLEFINANCE($B1197), INDEX(GOOGLEFINANCE($B1197,""price"",today()-364),2,2)),1),"""")"),"")</f>
        <v/>
      </c>
    </row>
    <row r="1198">
      <c r="A1198" s="71">
        <f t="shared" si="4"/>
        <v>1194</v>
      </c>
      <c r="B1198" s="47" t="s">
        <v>1331</v>
      </c>
      <c r="C1198" s="72">
        <f>IFERROR(__xludf.DUMMYFUNCTION("iferror(divide(googlefinance($B1198,""marketcap""),1000000),"""")"),225.189086)</f>
        <v>225.189086</v>
      </c>
      <c r="D1198" s="72">
        <f>IFERROR(__xludf.DUMMYFUNCTION("iferror(divide(googlefinance($B1198,""shares""),1000),"""")"),15541.0)</f>
        <v>15541</v>
      </c>
      <c r="E1198" s="72">
        <f>IFERROR(__xludf.DUMMYFUNCTION("iferror(divide(googlefinance($B1198,""volumeavg""),1000),"""")"),1266.66)</f>
        <v>1266.66</v>
      </c>
      <c r="F1198" s="73">
        <f>IFERROR(__xludf.DUMMYFUNCTION("iferror(MINUS(divide(GOOGLEFINANCE($B1198), INDEX(GOOGLEFINANCE($B1198,""price"",today()-182),2,2)),1),"""")"),1.2122137404580156)</f>
        <v>1.21221374</v>
      </c>
      <c r="G1198" s="61">
        <f>IFERROR(__xludf.DUMMYFUNCTION("iferror(MINUS(divide(GOOGLEFINANCE($B1198), INDEX(GOOGLEFINANCE($B1198,""price"",today()-364),2,2)),1),"""")"),-0.5746991488112709)</f>
        <v>-0.5746991488</v>
      </c>
    </row>
    <row r="1199">
      <c r="A1199" s="71">
        <f t="shared" si="4"/>
        <v>1195</v>
      </c>
      <c r="B1199" s="47" t="s">
        <v>1332</v>
      </c>
      <c r="C1199" s="72">
        <f>IFERROR(__xludf.DUMMYFUNCTION("iferror(divide(googlefinance($B1199,""marketcap""),1000000),"""")"),2085.830554)</f>
        <v>2085.830554</v>
      </c>
      <c r="D1199" s="72">
        <f>IFERROR(__xludf.DUMMYFUNCTION("iferror(divide(googlefinance($B1199,""shares""),1000),"""")"),71228.0)</f>
        <v>71228</v>
      </c>
      <c r="E1199" s="72">
        <f>IFERROR(__xludf.DUMMYFUNCTION("iferror(divide(googlefinance($B1199,""volumeavg""),1000),"""")"),2081.341)</f>
        <v>2081.341</v>
      </c>
      <c r="F1199" s="73">
        <f>IFERROR(__xludf.DUMMYFUNCTION("iferror(MINUS(divide(GOOGLEFINANCE($B1199), INDEX(GOOGLEFINANCE($B1199,""price"",today()-182),2,2)),1),"""")"),1.5219858156028372)</f>
        <v>1.521985816</v>
      </c>
      <c r="G1199" s="61">
        <f>IFERROR(__xludf.DUMMYFUNCTION("iferror(MINUS(divide(GOOGLEFINANCE($B1199), INDEX(GOOGLEFINANCE($B1199,""price"",today()-364),2,2)),1),"""")"),-0.16290018832391706)</f>
        <v>-0.1629001883</v>
      </c>
    </row>
    <row r="1200">
      <c r="A1200" s="71">
        <f t="shared" si="4"/>
        <v>1196</v>
      </c>
      <c r="B1200" s="47" t="s">
        <v>1333</v>
      </c>
      <c r="C1200" s="72">
        <f>IFERROR(__xludf.DUMMYFUNCTION("iferror(divide(googlefinance($B1200,""marketcap""),1000000),"""")"),106.100398)</f>
        <v>106.100398</v>
      </c>
      <c r="D1200" s="72">
        <f>IFERROR(__xludf.DUMMYFUNCTION("iferror(divide(googlefinance($B1200,""shares""),1000),"""")"),37893.0)</f>
        <v>37893</v>
      </c>
      <c r="E1200" s="72">
        <f>IFERROR(__xludf.DUMMYFUNCTION("iferror(divide(googlefinance($B1200,""volumeavg""),1000),"""")"),18.084)</f>
        <v>18.084</v>
      </c>
      <c r="F1200" s="73">
        <f>IFERROR(__xludf.DUMMYFUNCTION("iferror(MINUS(divide(GOOGLEFINANCE($B1200), INDEX(GOOGLEFINANCE($B1200,""price"",today()-182),2,2)),1),"""")"),-0.6000000000000001)</f>
        <v>-0.6</v>
      </c>
      <c r="G1200" s="61">
        <f>IFERROR(__xludf.DUMMYFUNCTION("iferror(MINUS(divide(GOOGLEFINANCE($B1200), INDEX(GOOGLEFINANCE($B1200,""price"",today()-364),2,2)),1),"""")"),-0.7197197197197198)</f>
        <v>-0.7197197197</v>
      </c>
    </row>
    <row r="1201">
      <c r="A1201" s="71">
        <f t="shared" si="4"/>
        <v>1197</v>
      </c>
      <c r="B1201" s="47" t="s">
        <v>1334</v>
      </c>
      <c r="C1201" s="72">
        <f>IFERROR(__xludf.DUMMYFUNCTION("iferror(divide(googlefinance($B1201,""marketcap""),1000000),"""")"),6852.725101)</f>
        <v>6852.725101</v>
      </c>
      <c r="D1201" s="72">
        <f>IFERROR(__xludf.DUMMYFUNCTION("iferror(divide(googlefinance($B1201,""shares""),1000),"""")"),63758.0)</f>
        <v>63758</v>
      </c>
      <c r="E1201" s="72">
        <f>IFERROR(__xludf.DUMMYFUNCTION("iferror(divide(googlefinance($B1201,""volumeavg""),1000),"""")"),345.5)</f>
        <v>345.5</v>
      </c>
      <c r="F1201" s="73">
        <f>IFERROR(__xludf.DUMMYFUNCTION("iferror(MINUS(divide(GOOGLEFINANCE($B1201), INDEX(GOOGLEFINANCE($B1201,""price"",today()-182),2,2)),1),"""")"),0.44442951216234383)</f>
        <v>0.4444295122</v>
      </c>
      <c r="G1201" s="61">
        <f>IFERROR(__xludf.DUMMYFUNCTION("iferror(MINUS(divide(GOOGLEFINANCE($B1201), INDEX(GOOGLEFINANCE($B1201,""price"",today()-364),2,2)),1),"""")"),0.06977207126505425)</f>
        <v>0.06977207127</v>
      </c>
    </row>
    <row r="1202">
      <c r="A1202" s="71">
        <f t="shared" si="4"/>
        <v>1198</v>
      </c>
      <c r="B1202" s="47" t="s">
        <v>1335</v>
      </c>
      <c r="C1202" s="72">
        <f>IFERROR(__xludf.DUMMYFUNCTION("iferror(divide(googlefinance($B1202,""marketcap""),1000000),"""")"),328.575053)</f>
        <v>328.575053</v>
      </c>
      <c r="D1202" s="72">
        <f>IFERROR(__xludf.DUMMYFUNCTION("iferror(divide(googlefinance($B1202,""shares""),1000),"""")"),589795.475)</f>
        <v>589795.475</v>
      </c>
      <c r="E1202" s="72">
        <f>IFERROR(__xludf.DUMMYFUNCTION("iferror(divide(googlefinance($B1202,""volumeavg""),1000),"""")"),1558.06)</f>
        <v>1558.06</v>
      </c>
      <c r="F1202" s="73">
        <f>IFERROR(__xludf.DUMMYFUNCTION("iferror(MINUS(divide(GOOGLEFINANCE($B1202), INDEX(GOOGLEFINANCE($B1202,""price"",today()-182),2,2)),1),"""")"),1.3625954198473282)</f>
        <v>1.36259542</v>
      </c>
      <c r="G1202" s="61">
        <f>IFERROR(__xludf.DUMMYFUNCTION("iferror(MINUS(divide(GOOGLEFINANCE($B1202), INDEX(GOOGLEFINANCE($B1202,""price"",today()-364),2,2)),1),"""")"),-0.6046132008516678)</f>
        <v>-0.6046132009</v>
      </c>
    </row>
    <row r="1203">
      <c r="A1203" s="71">
        <f t="shared" si="4"/>
        <v>1199</v>
      </c>
      <c r="B1203" s="47" t="s">
        <v>1336</v>
      </c>
      <c r="C1203" s="72">
        <f>IFERROR(__xludf.DUMMYFUNCTION("iferror(divide(googlefinance($B1203,""marketcap""),1000000),"""")"),1001.31945)</f>
        <v>1001.31945</v>
      </c>
      <c r="D1203" s="72">
        <f>IFERROR(__xludf.DUMMYFUNCTION("iferror(divide(googlefinance($B1203,""shares""),1000),"""")"),50906.0)</f>
        <v>50906</v>
      </c>
      <c r="E1203" s="72">
        <f>IFERROR(__xludf.DUMMYFUNCTION("iferror(divide(googlefinance($B1203,""volumeavg""),1000),"""")"),278.488)</f>
        <v>278.488</v>
      </c>
      <c r="F1203" s="73">
        <f>IFERROR(__xludf.DUMMYFUNCTION("iferror(MINUS(divide(GOOGLEFINANCE($B1203), INDEX(GOOGLEFINANCE($B1203,""price"",today()-182),2,2)),1),"""")"),0.778481012658228)</f>
        <v>0.7784810127</v>
      </c>
      <c r="G1203" s="61">
        <f>IFERROR(__xludf.DUMMYFUNCTION("iferror(MINUS(divide(GOOGLEFINANCE($B1203), INDEX(GOOGLEFINANCE($B1203,""price"",today()-364),2,2)),1),"""")"),0.5673306772908366)</f>
        <v>0.5673306773</v>
      </c>
    </row>
    <row r="1204">
      <c r="A1204" s="71">
        <f t="shared" si="4"/>
        <v>1200</v>
      </c>
      <c r="B1204" s="47" t="s">
        <v>1337</v>
      </c>
      <c r="C1204" s="72">
        <f>IFERROR(__xludf.DUMMYFUNCTION("iferror(divide(googlefinance($B1204,""marketcap""),1000000),"""")"),95952.012647)</f>
        <v>95952.01265</v>
      </c>
      <c r="D1204" s="72">
        <f>IFERROR(__xludf.DUMMYFUNCTION("iferror(divide(googlefinance($B1204,""shares""),1000),"""")"),1527655.0)</f>
        <v>1527655</v>
      </c>
      <c r="E1204" s="72">
        <f>IFERROR(__xludf.DUMMYFUNCTION("iferror(divide(googlefinance($B1204,""volumeavg""),1000),"""")"),8387.554)</f>
        <v>8387.554</v>
      </c>
      <c r="F1204" s="73">
        <f>IFERROR(__xludf.DUMMYFUNCTION("iferror(MINUS(divide(GOOGLEFINANCE($B1204), INDEX(GOOGLEFINANCE($B1204,""price"",today()-182),2,2)),1),"""")"),0.20927993839045067)</f>
        <v>0.2092799384</v>
      </c>
      <c r="G1204" s="61">
        <f>IFERROR(__xludf.DUMMYFUNCTION("iferror(MINUS(divide(GOOGLEFINANCE($B1204), INDEX(GOOGLEFINANCE($B1204,""price"",today()-364),2,2)),1),"""")"),-0.2638302859821846)</f>
        <v>-0.263830286</v>
      </c>
    </row>
    <row r="1205">
      <c r="A1205" s="71">
        <f t="shared" si="4"/>
        <v>1201</v>
      </c>
      <c r="B1205" s="47" t="s">
        <v>1338</v>
      </c>
      <c r="C1205" s="72">
        <f>IFERROR(__xludf.DUMMYFUNCTION("iferror(divide(googlefinance($B1205,""marketcap""),1000000),"""")"),412.71938)</f>
        <v>412.71938</v>
      </c>
      <c r="D1205" s="72">
        <f>IFERROR(__xludf.DUMMYFUNCTION("iferror(divide(googlefinance($B1205,""shares""),1000),"""")"),80767.0)</f>
        <v>80767</v>
      </c>
      <c r="E1205" s="72">
        <f>IFERROR(__xludf.DUMMYFUNCTION("iferror(divide(googlefinance($B1205,""volumeavg""),1000),"""")"),169.802)</f>
        <v>169.802</v>
      </c>
      <c r="F1205" s="73">
        <f>IFERROR(__xludf.DUMMYFUNCTION("iferror(MINUS(divide(GOOGLEFINANCE($B1205), INDEX(GOOGLEFINANCE($B1205,""price"",today()-182),2,2)),1),"""")"),0.2617283950617286)</f>
        <v>0.2617283951</v>
      </c>
      <c r="G1205" s="61">
        <f>IFERROR(__xludf.DUMMYFUNCTION("iferror(MINUS(divide(GOOGLEFINANCE($B1205), INDEX(GOOGLEFINANCE($B1205,""price"",today()-364),2,2)),1),"""")"),-0.5048449612403101)</f>
        <v>-0.5048449612</v>
      </c>
    </row>
    <row r="1206">
      <c r="A1206" s="71">
        <f t="shared" si="4"/>
        <v>1202</v>
      </c>
      <c r="B1206" s="47" t="s">
        <v>1339</v>
      </c>
      <c r="C1206" s="72" t="str">
        <f>IFERROR(__xludf.DUMMYFUNCTION("iferror(divide(googlefinance($B1206,""marketcap""),1000000),"""")"),"")</f>
        <v/>
      </c>
      <c r="D1206" s="72" t="str">
        <f>IFERROR(__xludf.DUMMYFUNCTION("iferror(divide(googlefinance($B1206,""shares""),1000),"""")"),"")</f>
        <v/>
      </c>
      <c r="E1206" s="72" t="str">
        <f>IFERROR(__xludf.DUMMYFUNCTION("iferror(divide(googlefinance($B1206,""volumeavg""),1000),"""")"),"")</f>
        <v/>
      </c>
      <c r="F1206" s="73" t="str">
        <f>IFERROR(__xludf.DUMMYFUNCTION("iferror(MINUS(divide(GOOGLEFINANCE($B1206), INDEX(GOOGLEFINANCE($B1206,""price"",today()-182),2,2)),1),"""")"),"")</f>
        <v/>
      </c>
      <c r="G1206" s="61" t="str">
        <f>IFERROR(__xludf.DUMMYFUNCTION("iferror(MINUS(divide(GOOGLEFINANCE($B1206), INDEX(GOOGLEFINANCE($B1206,""price"",today()-364),2,2)),1),"""")"),"")</f>
        <v/>
      </c>
    </row>
    <row r="1207">
      <c r="A1207" s="71">
        <f t="shared" si="4"/>
        <v>1203</v>
      </c>
      <c r="B1207" s="47" t="s">
        <v>1340</v>
      </c>
      <c r="C1207" s="72">
        <f>IFERROR(__xludf.DUMMYFUNCTION("iferror(divide(googlefinance($B1207,""marketcap""),1000000),"""")"),420.478095)</f>
        <v>420.478095</v>
      </c>
      <c r="D1207" s="72">
        <f>IFERROR(__xludf.DUMMYFUNCTION("iferror(divide(googlefinance($B1207,""shares""),1000),"""")"),34923.0)</f>
        <v>34923</v>
      </c>
      <c r="E1207" s="72">
        <f>IFERROR(__xludf.DUMMYFUNCTION("iferror(divide(googlefinance($B1207,""volumeavg""),1000),"""")"),1390.479)</f>
        <v>1390.479</v>
      </c>
      <c r="F1207" s="73">
        <f>IFERROR(__xludf.DUMMYFUNCTION("iferror(MINUS(divide(GOOGLEFINANCE($B1207), INDEX(GOOGLEFINANCE($B1207,""price"",today()-182),2,2)),1),"""")"),1.9294403892944034)</f>
        <v>1.929440389</v>
      </c>
      <c r="G1207" s="61">
        <f>IFERROR(__xludf.DUMMYFUNCTION("iferror(MINUS(divide(GOOGLEFINANCE($B1207), INDEX(GOOGLEFINANCE($B1207,""price"",today()-364),2,2)),1),"""")"),-0.3903797468354431)</f>
        <v>-0.3903797468</v>
      </c>
    </row>
    <row r="1208">
      <c r="A1208" s="71">
        <f t="shared" si="4"/>
        <v>1204</v>
      </c>
      <c r="B1208" s="47" t="s">
        <v>1341</v>
      </c>
      <c r="C1208" s="72">
        <f>IFERROR(__xludf.DUMMYFUNCTION("iferror(divide(googlefinance($B1208,""marketcap""),1000000),"""")"),2041.068899)</f>
        <v>2041.068899</v>
      </c>
      <c r="D1208" s="72">
        <f>IFERROR(__xludf.DUMMYFUNCTION("iferror(divide(googlefinance($B1208,""shares""),1000),"""")"),65926.0)</f>
        <v>65926</v>
      </c>
      <c r="E1208" s="72">
        <f>IFERROR(__xludf.DUMMYFUNCTION("iferror(divide(googlefinance($B1208,""volumeavg""),1000),"""")"),300.072)</f>
        <v>300.072</v>
      </c>
      <c r="F1208" s="73">
        <f>IFERROR(__xludf.DUMMYFUNCTION("iferror(MINUS(divide(GOOGLEFINANCE($B1208), INDEX(GOOGLEFINANCE($B1208,""price"",today()-182),2,2)),1),"""")"),0.33218588640275404)</f>
        <v>0.3321858864</v>
      </c>
      <c r="G1208" s="61" t="str">
        <f>IFERROR(__xludf.DUMMYFUNCTION("iferror(MINUS(divide(GOOGLEFINANCE($B1208), INDEX(GOOGLEFINANCE($B1208,""price"",today()-364),2,2)),1),"""")"),"")</f>
        <v/>
      </c>
    </row>
    <row r="1209">
      <c r="A1209" s="71">
        <f t="shared" si="4"/>
        <v>1205</v>
      </c>
      <c r="B1209" s="47" t="s">
        <v>1342</v>
      </c>
      <c r="C1209" s="72">
        <f>IFERROR(__xludf.DUMMYFUNCTION("iferror(divide(googlefinance($B1209,""marketcap""),1000000),"""")"),2116.94812)</f>
        <v>2116.94812</v>
      </c>
      <c r="D1209" s="72">
        <f>IFERROR(__xludf.DUMMYFUNCTION("iferror(divide(googlefinance($B1209,""shares""),1000),"""")"),65928.0)</f>
        <v>65928</v>
      </c>
      <c r="E1209" s="72">
        <f>IFERROR(__xludf.DUMMYFUNCTION("iferror(divide(googlefinance($B1209,""volumeavg""),1000),"""")"),582.194)</f>
        <v>582.194</v>
      </c>
      <c r="F1209" s="73">
        <f>IFERROR(__xludf.DUMMYFUNCTION("iferror(MINUS(divide(GOOGLEFINANCE($B1209), INDEX(GOOGLEFINANCE($B1209,""price"",today()-182),2,2)),1),"""")"),1.451145038167939)</f>
        <v>1.451145038</v>
      </c>
      <c r="G1209" s="61">
        <f>IFERROR(__xludf.DUMMYFUNCTION("iferror(MINUS(divide(GOOGLEFINANCE($B1209), INDEX(GOOGLEFINANCE($B1209,""price"",today()-364),2,2)),1),"""")"),1.232962447844228)</f>
        <v>1.232962448</v>
      </c>
    </row>
    <row r="1210">
      <c r="A1210" s="71">
        <f t="shared" si="4"/>
        <v>1206</v>
      </c>
      <c r="B1210" s="47" t="s">
        <v>1343</v>
      </c>
      <c r="C1210" s="72">
        <f>IFERROR(__xludf.DUMMYFUNCTION("iferror(divide(googlefinance($B1210,""marketcap""),1000000),"""")"),98676.858227)</f>
        <v>98676.85823</v>
      </c>
      <c r="D1210" s="72">
        <f>IFERROR(__xludf.DUMMYFUNCTION("iferror(divide(googlefinance($B1210,""shares""),1000),"""")"),1125292.0)</f>
        <v>1125292</v>
      </c>
      <c r="E1210" s="72">
        <f>IFERROR(__xludf.DUMMYFUNCTION("iferror(divide(googlefinance($B1210,""volumeavg""),1000),"""")"),500.683)</f>
        <v>500.683</v>
      </c>
      <c r="F1210" s="73">
        <f>IFERROR(__xludf.DUMMYFUNCTION("iferror(MINUS(divide(GOOGLEFINANCE($B1210), INDEX(GOOGLEFINANCE($B1210,""price"",today()-182),2,2)),1),"""")"),0.7715151515151515)</f>
        <v>0.7715151515</v>
      </c>
      <c r="G1210" s="61">
        <f>IFERROR(__xludf.DUMMYFUNCTION("iferror(MINUS(divide(GOOGLEFINANCE($B1210), INDEX(GOOGLEFINANCE($B1210,""price"",today()-364),2,2)),1),"""")"),0.3925678894711768)</f>
        <v>0.3925678895</v>
      </c>
    </row>
    <row r="1211">
      <c r="A1211" s="71">
        <f t="shared" si="4"/>
        <v>1207</v>
      </c>
      <c r="B1211" s="47" t="s">
        <v>1344</v>
      </c>
      <c r="C1211" s="72">
        <f>IFERROR(__xludf.DUMMYFUNCTION("iferror(divide(googlefinance($B1211,""marketcap""),1000000),"""")"),284.445975)</f>
        <v>284.445975</v>
      </c>
      <c r="D1211" s="72">
        <f>IFERROR(__xludf.DUMMYFUNCTION("iferror(divide(googlefinance($B1211,""shares""),1000),"""")"),63351.0)</f>
        <v>63351</v>
      </c>
      <c r="E1211" s="72">
        <f>IFERROR(__xludf.DUMMYFUNCTION("iferror(divide(googlefinance($B1211,""volumeavg""),1000),"""")"),455.967)</f>
        <v>455.967</v>
      </c>
      <c r="F1211" s="73">
        <f>IFERROR(__xludf.DUMMYFUNCTION("iferror(MINUS(divide(GOOGLEFINANCE($B1211), INDEX(GOOGLEFINANCE($B1211,""price"",today()-182),2,2)),1),"""")"),2.2071428571428573)</f>
        <v>2.207142857</v>
      </c>
      <c r="G1211" s="61">
        <f>IFERROR(__xludf.DUMMYFUNCTION("iferror(MINUS(divide(GOOGLEFINANCE($B1211), INDEX(GOOGLEFINANCE($B1211,""price"",today()-364),2,2)),1),"""")"),0.097799511002445)</f>
        <v>0.097799511</v>
      </c>
    </row>
    <row r="1212">
      <c r="A1212" s="71">
        <f t="shared" si="4"/>
        <v>1208</v>
      </c>
      <c r="B1212" s="47" t="s">
        <v>1345</v>
      </c>
      <c r="C1212" s="72">
        <f>IFERROR(__xludf.DUMMYFUNCTION("iferror(divide(googlefinance($B1212,""marketcap""),1000000),"""")"),234.800714)</f>
        <v>234.800714</v>
      </c>
      <c r="D1212" s="72">
        <f>IFERROR(__xludf.DUMMYFUNCTION("iferror(divide(googlefinance($B1212,""shares""),1000),"""")"),38117.0)</f>
        <v>38117</v>
      </c>
      <c r="E1212" s="72">
        <f>IFERROR(__xludf.DUMMYFUNCTION("iferror(divide(googlefinance($B1212,""volumeavg""),1000),"""")"),117.94)</f>
        <v>117.94</v>
      </c>
      <c r="F1212" s="73">
        <f>IFERROR(__xludf.DUMMYFUNCTION("iferror(MINUS(divide(GOOGLEFINANCE($B1212), INDEX(GOOGLEFINANCE($B1212,""price"",today()-182),2,2)),1),"""")"),0.35982339955849896)</f>
        <v>0.3598233996</v>
      </c>
      <c r="G1212" s="61">
        <f>IFERROR(__xludf.DUMMYFUNCTION("iferror(MINUS(divide(GOOGLEFINANCE($B1212), INDEX(GOOGLEFINANCE($B1212,""price"",today()-364),2,2)),1),"""")"),-0.308641975308642)</f>
        <v>-0.3086419753</v>
      </c>
    </row>
    <row r="1213">
      <c r="A1213" s="71">
        <f t="shared" si="4"/>
        <v>1209</v>
      </c>
      <c r="B1213" s="47" t="s">
        <v>1346</v>
      </c>
      <c r="C1213" s="72">
        <f>IFERROR(__xludf.DUMMYFUNCTION("iferror(divide(googlefinance($B1213,""marketcap""),1000000),"""")"),1255.615031)</f>
        <v>1255.615031</v>
      </c>
      <c r="D1213" s="72">
        <f>IFERROR(__xludf.DUMMYFUNCTION("iferror(divide(googlefinance($B1213,""shares""),1000),"""")"),44119.0)</f>
        <v>44119</v>
      </c>
      <c r="E1213" s="72">
        <f>IFERROR(__xludf.DUMMYFUNCTION("iferror(divide(googlefinance($B1213,""volumeavg""),1000),"""")"),363.152)</f>
        <v>363.152</v>
      </c>
      <c r="F1213" s="73">
        <f>IFERROR(__xludf.DUMMYFUNCTION("iferror(MINUS(divide(GOOGLEFINANCE($B1213), INDEX(GOOGLEFINANCE($B1213,""price"",today()-182),2,2)),1),"""")"),1.0141542816702054)</f>
        <v>1.014154282</v>
      </c>
      <c r="G1213" s="61">
        <f>IFERROR(__xludf.DUMMYFUNCTION("iferror(MINUS(divide(GOOGLEFINANCE($B1213), INDEX(GOOGLEFINANCE($B1213,""price"",today()-364),2,2)),1),"""")"),0.16115871073031407)</f>
        <v>0.1611587107</v>
      </c>
    </row>
    <row r="1214">
      <c r="A1214" s="71">
        <f t="shared" si="4"/>
        <v>1210</v>
      </c>
      <c r="B1214" s="47" t="s">
        <v>1347</v>
      </c>
      <c r="C1214" s="72">
        <f>IFERROR(__xludf.DUMMYFUNCTION("iferror(divide(googlefinance($B1214,""marketcap""),1000000),"""")"),1346.323834)</f>
        <v>1346.323834</v>
      </c>
      <c r="D1214" s="72">
        <f>IFERROR(__xludf.DUMMYFUNCTION("iferror(divide(googlefinance($B1214,""shares""),1000),"""")"),67048.0)</f>
        <v>67048</v>
      </c>
      <c r="E1214" s="72">
        <f>IFERROR(__xludf.DUMMYFUNCTION("iferror(divide(googlefinance($B1214,""volumeavg""),1000),"""")"),381.519)</f>
        <v>381.519</v>
      </c>
      <c r="F1214" s="73">
        <f>IFERROR(__xludf.DUMMYFUNCTION("iferror(MINUS(divide(GOOGLEFINANCE($B1214), INDEX(GOOGLEFINANCE($B1214,""price"",today()-182),2,2)),1),"""")"),1.7394270122783082)</f>
        <v>1.739427012</v>
      </c>
      <c r="G1214" s="61">
        <f>IFERROR(__xludf.DUMMYFUNCTION("iferror(MINUS(divide(GOOGLEFINANCE($B1214), INDEX(GOOGLEFINANCE($B1214,""price"",today()-364),2,2)),1),"""")"),0.38961937716262973)</f>
        <v>0.3896193772</v>
      </c>
    </row>
    <row r="1215">
      <c r="A1215" s="71">
        <f t="shared" si="4"/>
        <v>1211</v>
      </c>
      <c r="B1215" s="47" t="s">
        <v>1348</v>
      </c>
      <c r="C1215" s="72">
        <f>IFERROR(__xludf.DUMMYFUNCTION("iferror(divide(googlefinance($B1215,""marketcap""),1000000),"""")"),2740.190379)</f>
        <v>2740.190379</v>
      </c>
      <c r="D1215" s="72">
        <f>IFERROR(__xludf.DUMMYFUNCTION("iferror(divide(googlefinance($B1215,""shares""),1000),"""")"),22240.0)</f>
        <v>22240</v>
      </c>
      <c r="E1215" s="72">
        <f>IFERROR(__xludf.DUMMYFUNCTION("iferror(divide(googlefinance($B1215,""volumeavg""),1000),"""")"),205.465)</f>
        <v>205.465</v>
      </c>
      <c r="F1215" s="73">
        <f>IFERROR(__xludf.DUMMYFUNCTION("iferror(MINUS(divide(GOOGLEFINANCE($B1215), INDEX(GOOGLEFINANCE($B1215,""price"",today()-182),2,2)),1),"""")"),-0.03341962814779953)</f>
        <v>-0.03341962815</v>
      </c>
      <c r="G1215" s="61">
        <f>IFERROR(__xludf.DUMMYFUNCTION("iferror(MINUS(divide(GOOGLEFINANCE($B1215), INDEX(GOOGLEFINANCE($B1215,""price"",today()-364),2,2)),1),"""")"),-0.20586529165323886)</f>
        <v>-0.2058652917</v>
      </c>
    </row>
    <row r="1216">
      <c r="A1216" s="71">
        <f t="shared" si="4"/>
        <v>1212</v>
      </c>
      <c r="B1216" s="47" t="s">
        <v>1349</v>
      </c>
      <c r="C1216" s="72">
        <f>IFERROR(__xludf.DUMMYFUNCTION("iferror(divide(googlefinance($B1216,""marketcap""),1000000),"""")"),3123.63732)</f>
        <v>3123.63732</v>
      </c>
      <c r="D1216" s="72">
        <f>IFERROR(__xludf.DUMMYFUNCTION("iferror(divide(googlefinance($B1216,""shares""),1000),"""")"),51974.0)</f>
        <v>51974</v>
      </c>
      <c r="E1216" s="72">
        <f>IFERROR(__xludf.DUMMYFUNCTION("iferror(divide(googlefinance($B1216,""volumeavg""),1000),"""")"),687.551)</f>
        <v>687.551</v>
      </c>
      <c r="F1216" s="73">
        <f>IFERROR(__xludf.DUMMYFUNCTION("iferror(MINUS(divide(GOOGLEFINANCE($B1216), INDEX(GOOGLEFINANCE($B1216,""price"",today()-182),2,2)),1),"""")"),1.2593984962406015)</f>
        <v>1.259398496</v>
      </c>
      <c r="G1216" s="61">
        <f>IFERROR(__xludf.DUMMYFUNCTION("iferror(MINUS(divide(GOOGLEFINANCE($B1216), INDEX(GOOGLEFINANCE($B1216,""price"",today()-364),2,2)),1),"""")"),-0.6364846065444868)</f>
        <v>-0.6364846065</v>
      </c>
    </row>
    <row r="1217">
      <c r="A1217" s="71">
        <f t="shared" si="4"/>
        <v>1213</v>
      </c>
      <c r="B1217" s="47" t="s">
        <v>1350</v>
      </c>
      <c r="C1217" s="72">
        <f>IFERROR(__xludf.DUMMYFUNCTION("iferror(divide(googlefinance($B1217,""marketcap""),1000000),"""")"),1725.796125)</f>
        <v>1725.796125</v>
      </c>
      <c r="D1217" s="72">
        <f>IFERROR(__xludf.DUMMYFUNCTION("iferror(divide(googlefinance($B1217,""shares""),1000),"""")"),30583.0)</f>
        <v>30583</v>
      </c>
      <c r="E1217" s="72">
        <f>IFERROR(__xludf.DUMMYFUNCTION("iferror(divide(googlefinance($B1217,""volumeavg""),1000),"""")"),346.261)</f>
        <v>346.261</v>
      </c>
      <c r="F1217" s="73">
        <f>IFERROR(__xludf.DUMMYFUNCTION("iferror(MINUS(divide(GOOGLEFINANCE($B1217), INDEX(GOOGLEFINANCE($B1217,""price"",today()-182),2,2)),1),"""")"),2.678474114441417)</f>
        <v>2.678474114</v>
      </c>
      <c r="G1217" s="61">
        <f>IFERROR(__xludf.DUMMYFUNCTION("iferror(MINUS(divide(GOOGLEFINANCE($B1217), INDEX(GOOGLEFINANCE($B1217,""price"",today()-364),2,2)),1),"""")"),0.4057618882332523)</f>
        <v>0.4057618882</v>
      </c>
    </row>
    <row r="1218">
      <c r="A1218" s="71">
        <f t="shared" si="4"/>
        <v>1214</v>
      </c>
      <c r="B1218" s="47" t="s">
        <v>1351</v>
      </c>
      <c r="C1218" s="72">
        <f>IFERROR(__xludf.DUMMYFUNCTION("iferror(divide(googlefinance($B1218,""marketcap""),1000000),"""")"),3407.999217)</f>
        <v>3407.999217</v>
      </c>
      <c r="D1218" s="72">
        <f>IFERROR(__xludf.DUMMYFUNCTION("iferror(divide(googlefinance($B1218,""shares""),1000),"""")"),26149.0)</f>
        <v>26149</v>
      </c>
      <c r="E1218" s="72">
        <f>IFERROR(__xludf.DUMMYFUNCTION("iferror(divide(googlefinance($B1218,""volumeavg""),1000),"""")"),165.941)</f>
        <v>165.941</v>
      </c>
      <c r="F1218" s="73">
        <f>IFERROR(__xludf.DUMMYFUNCTION("iferror(MINUS(divide(GOOGLEFINANCE($B1218), INDEX(GOOGLEFINANCE($B1218,""price"",today()-182),2,2)),1),"""")"),0.868530465949821)</f>
        <v>0.8685304659</v>
      </c>
      <c r="G1218" s="61">
        <f>IFERROR(__xludf.DUMMYFUNCTION("iferror(MINUS(divide(GOOGLEFINANCE($B1218), INDEX(GOOGLEFINANCE($B1218,""price"",today()-364),2,2)),1),"""")"),0.4012471777228255)</f>
        <v>0.4012471777</v>
      </c>
    </row>
    <row r="1219">
      <c r="A1219" s="71">
        <f t="shared" si="4"/>
        <v>1215</v>
      </c>
      <c r="B1219" s="47" t="s">
        <v>1352</v>
      </c>
      <c r="C1219" s="72">
        <f>IFERROR(__xludf.DUMMYFUNCTION("iferror(divide(googlefinance($B1219,""marketcap""),1000000),"""")"),4540.281697)</f>
        <v>4540.281697</v>
      </c>
      <c r="D1219" s="72">
        <f>IFERROR(__xludf.DUMMYFUNCTION("iferror(divide(googlefinance($B1219,""shares""),1000),"""")"),58164.0)</f>
        <v>58164</v>
      </c>
      <c r="E1219" s="72">
        <f>IFERROR(__xludf.DUMMYFUNCTION("iferror(divide(googlefinance($B1219,""volumeavg""),1000),"""")"),548.469)</f>
        <v>548.469</v>
      </c>
      <c r="F1219" s="73">
        <f>IFERROR(__xludf.DUMMYFUNCTION("iferror(MINUS(divide(GOOGLEFINANCE($B1219), INDEX(GOOGLEFINANCE($B1219,""price"",today()-182),2,2)),1),"""")"),0.4919724770642202)</f>
        <v>0.4919724771</v>
      </c>
      <c r="G1219" s="61">
        <f>IFERROR(__xludf.DUMMYFUNCTION("iferror(MINUS(divide(GOOGLEFINANCE($B1219), INDEX(GOOGLEFINANCE($B1219,""price"",today()-364),2,2)),1),"""")"),-0.07467994310099568)</f>
        <v>-0.0746799431</v>
      </c>
    </row>
    <row r="1220">
      <c r="A1220" s="71">
        <f t="shared" si="4"/>
        <v>1216</v>
      </c>
      <c r="B1220" s="47" t="s">
        <v>1353</v>
      </c>
      <c r="C1220" s="72">
        <f>IFERROR(__xludf.DUMMYFUNCTION("iferror(divide(googlefinance($B1220,""marketcap""),1000000),"""")"),172.804718)</f>
        <v>172.804718</v>
      </c>
      <c r="D1220" s="72">
        <f>IFERROR(__xludf.DUMMYFUNCTION("iferror(divide(googlefinance($B1220,""shares""),1000),"""")"),11992.0)</f>
        <v>11992</v>
      </c>
      <c r="E1220" s="72">
        <f>IFERROR(__xludf.DUMMYFUNCTION("iferror(divide(googlefinance($B1220,""volumeavg""),1000),"""")"),222.32)</f>
        <v>222.32</v>
      </c>
      <c r="F1220" s="73">
        <f>IFERROR(__xludf.DUMMYFUNCTION("iferror(MINUS(divide(GOOGLEFINANCE($B1220), INDEX(GOOGLEFINANCE($B1220,""price"",today()-182),2,2)),1),"""")"),-0.34200913242009123)</f>
        <v>-0.3420091324</v>
      </c>
      <c r="G1220" s="61">
        <f>IFERROR(__xludf.DUMMYFUNCTION("iferror(MINUS(divide(GOOGLEFINANCE($B1220), INDEX(GOOGLEFINANCE($B1220,""price"",today()-364),2,2)),1),"""")"),-0.7482529699510831)</f>
        <v>-0.74825297</v>
      </c>
    </row>
    <row r="1221">
      <c r="A1221" s="71">
        <f t="shared" si="4"/>
        <v>1217</v>
      </c>
      <c r="B1221" s="47" t="s">
        <v>1354</v>
      </c>
      <c r="C1221" s="72">
        <f>IFERROR(__xludf.DUMMYFUNCTION("iferror(divide(googlefinance($B1221,""marketcap""),1000000),"""")"),2381.919691)</f>
        <v>2381.919691</v>
      </c>
      <c r="D1221" s="72">
        <f>IFERROR(__xludf.DUMMYFUNCTION("iferror(divide(googlefinance($B1221,""shares""),1000),"""")"),191012.0)</f>
        <v>191012</v>
      </c>
      <c r="E1221" s="72">
        <f>IFERROR(__xludf.DUMMYFUNCTION("iferror(divide(googlefinance($B1221,""volumeavg""),1000),"""")"),1801.793)</f>
        <v>1801.793</v>
      </c>
      <c r="F1221" s="73">
        <f>IFERROR(__xludf.DUMMYFUNCTION("iferror(MINUS(divide(GOOGLEFINANCE($B1221), INDEX(GOOGLEFINANCE($B1221,""price"",today()-182),2,2)),1),"""")"),1.0929203539823011)</f>
        <v>1.092920354</v>
      </c>
      <c r="G1221" s="61">
        <f>IFERROR(__xludf.DUMMYFUNCTION("iferror(MINUS(divide(GOOGLEFINANCE($B1221), INDEX(GOOGLEFINANCE($B1221,""price"",today()-364),2,2)),1),"""")"),0.6006768189509308)</f>
        <v>0.600676819</v>
      </c>
    </row>
    <row r="1222">
      <c r="A1222" s="71">
        <f t="shared" si="4"/>
        <v>1218</v>
      </c>
      <c r="B1222" s="52" t="s">
        <v>1355</v>
      </c>
      <c r="C1222" s="72">
        <f>IFERROR(__xludf.DUMMYFUNCTION("iferror(divide(googlefinance($B1222,""marketcap""),1000000),"""")"),1604.954726)</f>
        <v>1604.954726</v>
      </c>
      <c r="D1222" s="72">
        <f>IFERROR(__xludf.DUMMYFUNCTION("iferror(divide(googlefinance($B1222,""shares""),1000),"""")"),88672.0)</f>
        <v>88672</v>
      </c>
      <c r="E1222" s="72">
        <f>IFERROR(__xludf.DUMMYFUNCTION("iferror(divide(googlefinance($B1222,""volumeavg""),1000),"""")"),9536.402)</f>
        <v>9536.402</v>
      </c>
      <c r="F1222" s="73">
        <f>IFERROR(__xludf.DUMMYFUNCTION("iferror(MINUS(divide(GOOGLEFINANCE($B1222), INDEX(GOOGLEFINANCE($B1222,""price"",today()-182),2,2)),1),"""")"),1.0828538550057538)</f>
        <v>1.082853855</v>
      </c>
      <c r="G1222" s="61">
        <f>IFERROR(__xludf.DUMMYFUNCTION("iferror(MINUS(divide(GOOGLEFINANCE($B1222), INDEX(GOOGLEFINANCE($B1222,""price"",today()-364),2,2)),1),"""")"),-0.5240599526689456)</f>
        <v>-0.5240599527</v>
      </c>
    </row>
    <row r="1223">
      <c r="A1223" s="71">
        <f t="shared" si="4"/>
        <v>1219</v>
      </c>
      <c r="B1223" s="47" t="s">
        <v>1356</v>
      </c>
      <c r="C1223" s="72">
        <f>IFERROR(__xludf.DUMMYFUNCTION("iferror(divide(googlefinance($B1223,""marketcap""),1000000),"""")"),113.355865)</f>
        <v>113.355865</v>
      </c>
      <c r="D1223" s="72">
        <f>IFERROR(__xludf.DUMMYFUNCTION("iferror(divide(googlefinance($B1223,""shares""),1000),"""")"),102122.0)</f>
        <v>102122</v>
      </c>
      <c r="E1223" s="72">
        <f>IFERROR(__xludf.DUMMYFUNCTION("iferror(divide(googlefinance($B1223,""volumeavg""),1000),"""")"),144.788)</f>
        <v>144.788</v>
      </c>
      <c r="F1223" s="73">
        <f>IFERROR(__xludf.DUMMYFUNCTION("iferror(MINUS(divide(GOOGLEFINANCE($B1223), INDEX(GOOGLEFINANCE($B1223,""price"",today()-182),2,2)),1),"""")"),0.0990099009900991)</f>
        <v>0.09900990099</v>
      </c>
      <c r="G1223" s="61">
        <f>IFERROR(__xludf.DUMMYFUNCTION("iferror(MINUS(divide(GOOGLEFINANCE($B1223), INDEX(GOOGLEFINANCE($B1223,""price"",today()-364),2,2)),1),"""")"),-0.4336734693877551)</f>
        <v>-0.4336734694</v>
      </c>
    </row>
    <row r="1224">
      <c r="A1224" s="71">
        <f t="shared" si="4"/>
        <v>1220</v>
      </c>
      <c r="B1224" s="47" t="s">
        <v>1357</v>
      </c>
      <c r="C1224" s="72">
        <f>IFERROR(__xludf.DUMMYFUNCTION("iferror(divide(googlefinance($B1224,""marketcap""),1000000),"""")"),121.213881)</f>
        <v>121.213881</v>
      </c>
      <c r="D1224" s="72">
        <f>IFERROR(__xludf.DUMMYFUNCTION("iferror(divide(googlefinance($B1224,""shares""),1000),"""")"),54356.0)</f>
        <v>54356</v>
      </c>
      <c r="E1224" s="72">
        <f>IFERROR(__xludf.DUMMYFUNCTION("iferror(divide(googlefinance($B1224,""volumeavg""),1000),"""")"),520.699)</f>
        <v>520.699</v>
      </c>
      <c r="F1224" s="73">
        <f>IFERROR(__xludf.DUMMYFUNCTION("iferror(MINUS(divide(GOOGLEFINANCE($B1224), INDEX(GOOGLEFINANCE($B1224,""price"",today()-182),2,2)),1),"""")"),0.1925133689839571)</f>
        <v>0.192513369</v>
      </c>
      <c r="G1224" s="61">
        <f>IFERROR(__xludf.DUMMYFUNCTION("iferror(MINUS(divide(GOOGLEFINANCE($B1224), INDEX(GOOGLEFINANCE($B1224,""price"",today()-364),2,2)),1),"""")"),-0.16791044776119413)</f>
        <v>-0.1679104478</v>
      </c>
    </row>
    <row r="1225">
      <c r="A1225" s="71">
        <f t="shared" si="4"/>
        <v>1221</v>
      </c>
      <c r="B1225" s="47" t="s">
        <v>1358</v>
      </c>
      <c r="C1225" s="72">
        <f>IFERROR(__xludf.DUMMYFUNCTION("iferror(divide(googlefinance($B1225,""marketcap""),1000000),"""")"),1240.243454)</f>
        <v>1240.243454</v>
      </c>
      <c r="D1225" s="72">
        <f>IFERROR(__xludf.DUMMYFUNCTION("iferror(divide(googlefinance($B1225,""shares""),1000),"""")"),112852.0)</f>
        <v>112852</v>
      </c>
      <c r="E1225" s="72">
        <f>IFERROR(__xludf.DUMMYFUNCTION("iferror(divide(googlefinance($B1225,""volumeavg""),1000),"""")"),1153.684)</f>
        <v>1153.684</v>
      </c>
      <c r="F1225" s="73">
        <f>IFERROR(__xludf.DUMMYFUNCTION("iferror(MINUS(divide(GOOGLEFINANCE($B1225), INDEX(GOOGLEFINANCE($B1225,""price"",today()-182),2,2)),1),"""")"),0.21302428256070627)</f>
        <v>0.2130242826</v>
      </c>
      <c r="G1225" s="61">
        <f>IFERROR(__xludf.DUMMYFUNCTION("iferror(MINUS(divide(GOOGLEFINANCE($B1225), INDEX(GOOGLEFINANCE($B1225,""price"",today()-364),2,2)),1),"""")"),-0.23307745987438944)</f>
        <v>-0.2330774599</v>
      </c>
    </row>
    <row r="1226">
      <c r="A1226" s="71">
        <f t="shared" si="4"/>
        <v>1222</v>
      </c>
      <c r="B1226" s="47" t="s">
        <v>1359</v>
      </c>
      <c r="C1226" s="72">
        <f>IFERROR(__xludf.DUMMYFUNCTION("iferror(divide(googlefinance($B1226,""marketcap""),1000000),"""")"),670.11614)</f>
        <v>670.11614</v>
      </c>
      <c r="D1226" s="72">
        <f>IFERROR(__xludf.DUMMYFUNCTION("iferror(divide(googlefinance($B1226,""shares""),1000),"""")"),96074.0)</f>
        <v>96074</v>
      </c>
      <c r="E1226" s="72">
        <f>IFERROR(__xludf.DUMMYFUNCTION("iferror(divide(googlefinance($B1226,""volumeavg""),1000),"""")"),378.654)</f>
        <v>378.654</v>
      </c>
      <c r="F1226" s="73">
        <f>IFERROR(__xludf.DUMMYFUNCTION("iferror(MINUS(divide(GOOGLEFINANCE($B1226), INDEX(GOOGLEFINANCE($B1226,""price"",today()-182),2,2)),1),"""")"),0.24420677361853826)</f>
        <v>0.2442067736</v>
      </c>
      <c r="G1226" s="61">
        <f>IFERROR(__xludf.DUMMYFUNCTION("iferror(MINUS(divide(GOOGLEFINANCE($B1226), INDEX(GOOGLEFINANCE($B1226,""price"",today()-364),2,2)),1),"""")"),-0.31635651322233105)</f>
        <v>-0.3163565132</v>
      </c>
    </row>
    <row r="1227">
      <c r="A1227" s="71">
        <f t="shared" si="4"/>
        <v>1223</v>
      </c>
      <c r="B1227" s="47" t="s">
        <v>1360</v>
      </c>
      <c r="C1227" s="72">
        <f>IFERROR(__xludf.DUMMYFUNCTION("iferror(divide(googlefinance($B1227,""marketcap""),1000000),"""")"),101410.75)</f>
        <v>101410.75</v>
      </c>
      <c r="D1227" s="72">
        <f>IFERROR(__xludf.DUMMYFUNCTION("iferror(divide(googlefinance($B1227,""shares""),1000),"""")"),1169000.0)</f>
        <v>1169000</v>
      </c>
      <c r="E1227" s="72">
        <f>IFERROR(__xludf.DUMMYFUNCTION("iferror(divide(googlefinance($B1227,""volumeavg""),1000),"""")"),7687.07)</f>
        <v>7687.07</v>
      </c>
      <c r="F1227" s="73">
        <f>IFERROR(__xludf.DUMMYFUNCTION("iferror(MINUS(divide(GOOGLEFINANCE($B1227), INDEX(GOOGLEFINANCE($B1227,""price"",today()-182),2,2)),1),"""")"),0.4949164225400655)</f>
        <v>0.4949164225</v>
      </c>
      <c r="G1227" s="61">
        <f>IFERROR(__xludf.DUMMYFUNCTION("iferror(MINUS(divide(GOOGLEFINANCE($B1227), INDEX(GOOGLEFINANCE($B1227,""price"",today()-364),2,2)),1),"""")"),-0.03686021982902177)</f>
        <v>-0.03686021983</v>
      </c>
    </row>
    <row r="1228">
      <c r="A1228" s="71">
        <f t="shared" si="4"/>
        <v>1224</v>
      </c>
      <c r="B1228" s="47" t="s">
        <v>1361</v>
      </c>
      <c r="C1228" s="72">
        <f>IFERROR(__xludf.DUMMYFUNCTION("iferror(divide(googlefinance($B1228,""marketcap""),1000000),"""")"),36481.327965)</f>
        <v>36481.32797</v>
      </c>
      <c r="D1228" s="72">
        <f>IFERROR(__xludf.DUMMYFUNCTION("iferror(divide(googlefinance($B1228,""shares""),1000),"""")"),773073.0)</f>
        <v>773073</v>
      </c>
      <c r="E1228" s="72">
        <f>IFERROR(__xludf.DUMMYFUNCTION("iferror(divide(googlefinance($B1228,""volumeavg""),1000),"""")"),707.387)</f>
        <v>707.387</v>
      </c>
      <c r="F1228" s="73">
        <f>IFERROR(__xludf.DUMMYFUNCTION("iferror(MINUS(divide(GOOGLEFINANCE($B1228), INDEX(GOOGLEFINANCE($B1228,""price"",today()-182),2,2)),1),"""")"),0.857142857142857)</f>
        <v>0.8571428571</v>
      </c>
      <c r="G1228" s="61">
        <f>IFERROR(__xludf.DUMMYFUNCTION("iferror(MINUS(divide(GOOGLEFINANCE($B1228), INDEX(GOOGLEFINANCE($B1228,""price"",today()-364),2,2)),1),"""")"),0.3682226732386198)</f>
        <v>0.3682226732</v>
      </c>
    </row>
    <row r="1229">
      <c r="A1229" s="71">
        <f t="shared" si="4"/>
        <v>1225</v>
      </c>
      <c r="B1229" s="47" t="s">
        <v>1362</v>
      </c>
      <c r="C1229" s="72">
        <f>IFERROR(__xludf.DUMMYFUNCTION("iferror(divide(googlefinance($B1229,""marketcap""),1000000),"""")"),2553.851214)</f>
        <v>2553.851214</v>
      </c>
      <c r="D1229" s="72">
        <f>IFERROR(__xludf.DUMMYFUNCTION("iferror(divide(googlefinance($B1229,""shares""),1000),"""")"),22414.0)</f>
        <v>22414</v>
      </c>
      <c r="E1229" s="72">
        <f>IFERROR(__xludf.DUMMYFUNCTION("iferror(divide(googlefinance($B1229,""volumeavg""),1000),"""")"),73.76)</f>
        <v>73.76</v>
      </c>
      <c r="F1229" s="73">
        <f>IFERROR(__xludf.DUMMYFUNCTION("iferror(MINUS(divide(GOOGLEFINANCE($B1229), INDEX(GOOGLEFINANCE($B1229,""price"",today()-182),2,2)),1),"""")"),0.5189974670043993)</f>
        <v>0.518997467</v>
      </c>
      <c r="G1229" s="61">
        <f>IFERROR(__xludf.DUMMYFUNCTION("iferror(MINUS(divide(GOOGLEFINANCE($B1229), INDEX(GOOGLEFINANCE($B1229,""price"",today()-364),2,2)),1),"""")"),0.1829318936877078)</f>
        <v>0.1829318937</v>
      </c>
    </row>
    <row r="1230">
      <c r="A1230" s="71">
        <f t="shared" si="4"/>
        <v>1226</v>
      </c>
      <c r="B1230" s="47" t="s">
        <v>1363</v>
      </c>
      <c r="C1230" s="72">
        <f>IFERROR(__xludf.DUMMYFUNCTION("iferror(divide(googlefinance($B1230,""marketcap""),1000000),"""")"),206.266005)</f>
        <v>206.266005</v>
      </c>
      <c r="D1230" s="72">
        <f>IFERROR(__xludf.DUMMYFUNCTION("iferror(divide(googlefinance($B1230,""shares""),1000),"""")"),27320.0)</f>
        <v>27320</v>
      </c>
      <c r="E1230" s="72">
        <f>IFERROR(__xludf.DUMMYFUNCTION("iferror(divide(googlefinance($B1230,""volumeavg""),1000),"""")"),52.928)</f>
        <v>52.928</v>
      </c>
      <c r="F1230" s="73">
        <f>IFERROR(__xludf.DUMMYFUNCTION("iferror(MINUS(divide(GOOGLEFINANCE($B1230), INDEX(GOOGLEFINANCE($B1230,""price"",today()-182),2,2)),1),"""")"),0.2625418060200668)</f>
        <v>0.262541806</v>
      </c>
      <c r="G1230" s="61">
        <f>IFERROR(__xludf.DUMMYFUNCTION("iferror(MINUS(divide(GOOGLEFINANCE($B1230), INDEX(GOOGLEFINANCE($B1230,""price"",today()-364),2,2)),1),"""")"),0.27318718381112994)</f>
        <v>0.2731871838</v>
      </c>
    </row>
    <row r="1231">
      <c r="A1231" s="71">
        <f t="shared" si="4"/>
        <v>1227</v>
      </c>
      <c r="B1231" s="47" t="s">
        <v>1364</v>
      </c>
      <c r="C1231" s="72">
        <f>IFERROR(__xludf.DUMMYFUNCTION("iferror(divide(googlefinance($B1231,""marketcap""),1000000),"""")"),533.440855)</f>
        <v>533.440855</v>
      </c>
      <c r="D1231" s="72">
        <f>IFERROR(__xludf.DUMMYFUNCTION("iferror(divide(googlefinance($B1231,""shares""),1000),"""")"),14101.0)</f>
        <v>14101</v>
      </c>
      <c r="E1231" s="72">
        <f>IFERROR(__xludf.DUMMYFUNCTION("iferror(divide(googlefinance($B1231,""volumeavg""),1000),"""")"),339.793)</f>
        <v>339.793</v>
      </c>
      <c r="F1231" s="73">
        <f>IFERROR(__xludf.DUMMYFUNCTION("iferror(MINUS(divide(GOOGLEFINANCE($B1231), INDEX(GOOGLEFINANCE($B1231,""price"",today()-182),2,2)),1),"""")"),1.2885662431941922)</f>
        <v>1.288566243</v>
      </c>
      <c r="G1231" s="61">
        <f>IFERROR(__xludf.DUMMYFUNCTION("iferror(MINUS(divide(GOOGLEFINANCE($B1231), INDEX(GOOGLEFINANCE($B1231,""price"",today()-364),2,2)),1),"""")"),0.17411545623836133)</f>
        <v>0.1741154562</v>
      </c>
    </row>
    <row r="1232">
      <c r="A1232" s="71">
        <f t="shared" si="4"/>
        <v>1228</v>
      </c>
      <c r="B1232" s="47" t="s">
        <v>1365</v>
      </c>
      <c r="C1232" s="72">
        <f>IFERROR(__xludf.DUMMYFUNCTION("iferror(divide(googlefinance($B1232,""marketcap""),1000000),"""")"),4488.237468)</f>
        <v>4488.237468</v>
      </c>
      <c r="D1232" s="72">
        <f>IFERROR(__xludf.DUMMYFUNCTION("iferror(divide(googlefinance($B1232,""shares""),1000),"""")"),110711.0)</f>
        <v>110711</v>
      </c>
      <c r="E1232" s="72">
        <f>IFERROR(__xludf.DUMMYFUNCTION("iferror(divide(googlefinance($B1232,""volumeavg""),1000),"""")"),7396.72)</f>
        <v>7396.72</v>
      </c>
      <c r="F1232" s="73">
        <f>IFERROR(__xludf.DUMMYFUNCTION("iferror(MINUS(divide(GOOGLEFINANCE($B1232), INDEX(GOOGLEFINANCE($B1232,""price"",today()-182),2,2)),1),"""")"),1.8390243902439027)</f>
        <v>1.83902439</v>
      </c>
      <c r="G1232" s="61">
        <f>IFERROR(__xludf.DUMMYFUNCTION("iferror(MINUS(divide(GOOGLEFINANCE($B1232), INDEX(GOOGLEFINANCE($B1232,""price"",today()-364),2,2)),1),"""")"),-0.36219178082191783)</f>
        <v>-0.3621917808</v>
      </c>
    </row>
    <row r="1233">
      <c r="A1233" s="71">
        <f t="shared" si="4"/>
        <v>1229</v>
      </c>
      <c r="B1233" s="47" t="s">
        <v>1366</v>
      </c>
      <c r="C1233" s="72">
        <f>IFERROR(__xludf.DUMMYFUNCTION("iferror(divide(googlefinance($B1233,""marketcap""),1000000),"""")"),3504.102471)</f>
        <v>3504.102471</v>
      </c>
      <c r="D1233" s="72">
        <f>IFERROR(__xludf.DUMMYFUNCTION("iferror(divide(googlefinance($B1233,""shares""),1000),"""")"),55397.0)</f>
        <v>55397</v>
      </c>
      <c r="E1233" s="72">
        <f>IFERROR(__xludf.DUMMYFUNCTION("iferror(divide(googlefinance($B1233,""volumeavg""),1000),"""")"),1607.246)</f>
        <v>1607.246</v>
      </c>
      <c r="F1233" s="73">
        <f>IFERROR(__xludf.DUMMYFUNCTION("iferror(MINUS(divide(GOOGLEFINANCE($B1233), INDEX(GOOGLEFINANCE($B1233,""price"",today()-182),2,2)),1),"""")"),0.34059662775616095)</f>
        <v>0.3405966278</v>
      </c>
      <c r="G1233" s="61" t="str">
        <f>IFERROR(__xludf.DUMMYFUNCTION("iferror(MINUS(divide(GOOGLEFINANCE($B1233), INDEX(GOOGLEFINANCE($B1233,""price"",today()-364),2,2)),1),"""")"),"")</f>
        <v/>
      </c>
    </row>
    <row r="1234">
      <c r="A1234" s="71">
        <f t="shared" si="4"/>
        <v>1230</v>
      </c>
      <c r="B1234" s="47" t="s">
        <v>1367</v>
      </c>
      <c r="C1234" s="72">
        <f>IFERROR(__xludf.DUMMYFUNCTION("iferror(divide(googlefinance($B1234,""marketcap""),1000000),"""")"),1692.175845)</f>
        <v>1692.175845</v>
      </c>
      <c r="D1234" s="72">
        <f>IFERROR(__xludf.DUMMYFUNCTION("iferror(divide(googlefinance($B1234,""shares""),1000),"""")"),78269.0)</f>
        <v>78269</v>
      </c>
      <c r="E1234" s="72">
        <f>IFERROR(__xludf.DUMMYFUNCTION("iferror(divide(googlefinance($B1234,""volumeavg""),1000),"""")"),1865.097)</f>
        <v>1865.097</v>
      </c>
      <c r="F1234" s="73">
        <f>IFERROR(__xludf.DUMMYFUNCTION("iferror(MINUS(divide(GOOGLEFINANCE($B1234), INDEX(GOOGLEFINANCE($B1234,""price"",today()-182),2,2)),1),"""")"),1.2174358974358976)</f>
        <v>1.217435897</v>
      </c>
      <c r="G1234" s="61">
        <f>IFERROR(__xludf.DUMMYFUNCTION("iferror(MINUS(divide(GOOGLEFINANCE($B1234), INDEX(GOOGLEFINANCE($B1234,""price"",today()-364),2,2)),1),"""")"),-0.1995557201036653)</f>
        <v>-0.1995557201</v>
      </c>
    </row>
    <row r="1235">
      <c r="A1235" s="71">
        <f t="shared" si="4"/>
        <v>1231</v>
      </c>
      <c r="B1235" s="47" t="s">
        <v>1368</v>
      </c>
      <c r="C1235" s="72">
        <f>IFERROR(__xludf.DUMMYFUNCTION("iferror(divide(googlefinance($B1235,""marketcap""),1000000),"""")"),3314.655)</f>
        <v>3314.655</v>
      </c>
      <c r="D1235" s="72">
        <f>IFERROR(__xludf.DUMMYFUNCTION("iferror(divide(googlefinance($B1235,""shares""),1000),"""")"),1161.0)</f>
        <v>1161</v>
      </c>
      <c r="E1235" s="72">
        <f>IFERROR(__xludf.DUMMYFUNCTION("iferror(divide(googlefinance($B1235,""volumeavg""),1000),"""")"),1.01)</f>
        <v>1.01</v>
      </c>
      <c r="F1235" s="73">
        <f>IFERROR(__xludf.DUMMYFUNCTION("iferror(MINUS(divide(GOOGLEFINANCE($B1235), INDEX(GOOGLEFINANCE($B1235,""price"",today()-182),2,2)),1),"""")"),0.0746657431944111)</f>
        <v>0.07466574319</v>
      </c>
      <c r="G1235" s="61">
        <f>IFERROR(__xludf.DUMMYFUNCTION("iferror(MINUS(divide(GOOGLEFINANCE($B1235), INDEX(GOOGLEFINANCE($B1235,""price"",today()-364),2,2)),1),"""")"),-0.30195599022004893)</f>
        <v>-0.3019559902</v>
      </c>
    </row>
    <row r="1236">
      <c r="A1236" s="71">
        <f t="shared" si="4"/>
        <v>1232</v>
      </c>
      <c r="B1236" s="47" t="s">
        <v>1369</v>
      </c>
      <c r="C1236" s="72">
        <f>IFERROR(__xludf.DUMMYFUNCTION("iferror(divide(googlefinance($B1236,""marketcap""),1000000),"""")"),282.857531)</f>
        <v>282.857531</v>
      </c>
      <c r="D1236" s="72">
        <f>IFERROR(__xludf.DUMMYFUNCTION("iferror(divide(googlefinance($B1236,""shares""),1000),"""")"),107143.0)</f>
        <v>107143</v>
      </c>
      <c r="E1236" s="72">
        <f>IFERROR(__xludf.DUMMYFUNCTION("iferror(divide(googlefinance($B1236,""volumeavg""),1000),"""")"),1022.846)</f>
        <v>1022.846</v>
      </c>
      <c r="F1236" s="73">
        <f>IFERROR(__xludf.DUMMYFUNCTION("iferror(MINUS(divide(GOOGLEFINANCE($B1236), INDEX(GOOGLEFINANCE($B1236,""price"",today()-182),2,2)),1),"""")"),0.5260115606936417)</f>
        <v>0.5260115607</v>
      </c>
      <c r="G1236" s="61">
        <f>IFERROR(__xludf.DUMMYFUNCTION("iferror(MINUS(divide(GOOGLEFINANCE($B1236), INDEX(GOOGLEFINANCE($B1236,""price"",today()-364),2,2)),1),"""")"),0.45856353591160226)</f>
        <v>0.4585635359</v>
      </c>
    </row>
    <row r="1237">
      <c r="A1237" s="71">
        <f t="shared" si="4"/>
        <v>1233</v>
      </c>
      <c r="B1237" s="47" t="s">
        <v>1370</v>
      </c>
      <c r="C1237" s="72">
        <f>IFERROR(__xludf.DUMMYFUNCTION("iferror(divide(googlefinance($B1237,""marketcap""),1000000),"""")"),132.403794)</f>
        <v>132.403794</v>
      </c>
      <c r="D1237" s="72">
        <f>IFERROR(__xludf.DUMMYFUNCTION("iferror(divide(googlefinance($B1237,""shares""),1000),"""")"),117172.0)</f>
        <v>117172</v>
      </c>
      <c r="E1237" s="72">
        <f>IFERROR(__xludf.DUMMYFUNCTION("iferror(divide(googlefinance($B1237,""volumeavg""),1000),"""")"),1466.187)</f>
        <v>1466.187</v>
      </c>
      <c r="F1237" s="73">
        <f>IFERROR(__xludf.DUMMYFUNCTION("iferror(MINUS(divide(GOOGLEFINANCE($B1237), INDEX(GOOGLEFINANCE($B1237,""price"",today()-182),2,2)),1),"""")"),1.3061224489795915)</f>
        <v>1.306122449</v>
      </c>
      <c r="G1237" s="61">
        <f>IFERROR(__xludf.DUMMYFUNCTION("iferror(MINUS(divide(GOOGLEFINANCE($B1237), INDEX(GOOGLEFINANCE($B1237,""price"",today()-364),2,2)),1),"""")"),-0.00877192982456143)</f>
        <v>-0.008771929825</v>
      </c>
    </row>
    <row r="1238">
      <c r="A1238" s="71">
        <f t="shared" si="4"/>
        <v>1234</v>
      </c>
      <c r="B1238" s="47" t="s">
        <v>1371</v>
      </c>
      <c r="C1238" s="72">
        <f>IFERROR(__xludf.DUMMYFUNCTION("iferror(divide(googlefinance($B1238,""marketcap""),1000000),"""")"),966.712332)</f>
        <v>966.712332</v>
      </c>
      <c r="D1238" s="72">
        <f>IFERROR(__xludf.DUMMYFUNCTION("iferror(divide(googlefinance($B1238,""shares""),1000),"""")"),108864.0)</f>
        <v>108864</v>
      </c>
      <c r="E1238" s="72">
        <f>IFERROR(__xludf.DUMMYFUNCTION("iferror(divide(googlefinance($B1238,""volumeavg""),1000),"""")"),575.31)</f>
        <v>575.31</v>
      </c>
      <c r="F1238" s="73">
        <f>IFERROR(__xludf.DUMMYFUNCTION("iferror(MINUS(divide(GOOGLEFINANCE($B1238), INDEX(GOOGLEFINANCE($B1238,""price"",today()-182),2,2)),1),"""")"),0.18400000000000016)</f>
        <v>0.184</v>
      </c>
      <c r="G1238" s="61">
        <f>IFERROR(__xludf.DUMMYFUNCTION("iferror(MINUS(divide(GOOGLEFINANCE($B1238), INDEX(GOOGLEFINANCE($B1238,""price"",today()-364),2,2)),1),"""")"),-0.3702127659574468)</f>
        <v>-0.370212766</v>
      </c>
    </row>
    <row r="1239">
      <c r="A1239" s="71">
        <f t="shared" si="4"/>
        <v>1235</v>
      </c>
      <c r="B1239" s="47" t="s">
        <v>1372</v>
      </c>
      <c r="C1239" s="72">
        <f>IFERROR(__xludf.DUMMYFUNCTION("iferror(divide(googlefinance($B1239,""marketcap""),1000000),"""")"),2490.977378)</f>
        <v>2490.977378</v>
      </c>
      <c r="D1239" s="72">
        <f>IFERROR(__xludf.DUMMYFUNCTION("iferror(divide(googlefinance($B1239,""shares""),1000),"""")"),117944.0)</f>
        <v>117944</v>
      </c>
      <c r="E1239" s="72">
        <f>IFERROR(__xludf.DUMMYFUNCTION("iferror(divide(googlefinance($B1239,""volumeavg""),1000),"""")"),2137.906)</f>
        <v>2137.906</v>
      </c>
      <c r="F1239" s="73">
        <f>IFERROR(__xludf.DUMMYFUNCTION("iferror(MINUS(divide(GOOGLEFINANCE($B1239), INDEX(GOOGLEFINANCE($B1239,""price"",today()-182),2,2)),1),"""")"),0.19999999999999996)</f>
        <v>0.2</v>
      </c>
      <c r="G1239" s="61">
        <f>IFERROR(__xludf.DUMMYFUNCTION("iferror(MINUS(divide(GOOGLEFINANCE($B1239), INDEX(GOOGLEFINANCE($B1239,""price"",today()-364),2,2)),1),"""")"),0.09771309771309777)</f>
        <v>0.09771309771</v>
      </c>
    </row>
    <row r="1240">
      <c r="A1240" s="71">
        <f t="shared" si="4"/>
        <v>1236</v>
      </c>
      <c r="B1240" s="47" t="s">
        <v>1373</v>
      </c>
      <c r="C1240" s="72">
        <f>IFERROR(__xludf.DUMMYFUNCTION("iferror(divide(googlefinance($B1240,""marketcap""),1000000),"""")"),30564.243393)</f>
        <v>30564.24339</v>
      </c>
      <c r="D1240" s="72">
        <f>IFERROR(__xludf.DUMMYFUNCTION("iferror(divide(googlefinance($B1240,""shares""),1000),"""")"),173997.0)</f>
        <v>173997</v>
      </c>
      <c r="E1240" s="72">
        <f>IFERROR(__xludf.DUMMYFUNCTION("iferror(divide(googlefinance($B1240,""volumeavg""),1000),"""")"),871.527)</f>
        <v>871.527</v>
      </c>
      <c r="F1240" s="73">
        <f>IFERROR(__xludf.DUMMYFUNCTION("iferror(MINUS(divide(GOOGLEFINANCE($B1240), INDEX(GOOGLEFINANCE($B1240,""price"",today()-182),2,2)),1),"""")"),0.7590626877628679)</f>
        <v>0.7590626878</v>
      </c>
      <c r="G1240" s="61">
        <f>IFERROR(__xludf.DUMMYFUNCTION("iferror(MINUS(divide(GOOGLEFINANCE($B1240), INDEX(GOOGLEFINANCE($B1240,""price"",today()-364),2,2)),1),"""")"),1.373463045534387)</f>
        <v>1.373463046</v>
      </c>
    </row>
    <row r="1241">
      <c r="A1241" s="71">
        <f t="shared" si="4"/>
        <v>1237</v>
      </c>
      <c r="B1241" s="47" t="s">
        <v>1374</v>
      </c>
      <c r="C1241" s="72">
        <f>IFERROR(__xludf.DUMMYFUNCTION("iferror(divide(googlefinance($B1241,""marketcap""),1000000),"""")"),1519.850602)</f>
        <v>1519.850602</v>
      </c>
      <c r="D1241" s="72">
        <f>IFERROR(__xludf.DUMMYFUNCTION("iferror(divide(googlefinance($B1241,""shares""),1000),"""")"),140988.0)</f>
        <v>140988</v>
      </c>
      <c r="E1241" s="72">
        <f>IFERROR(__xludf.DUMMYFUNCTION("iferror(divide(googlefinance($B1241,""volumeavg""),1000),"""")"),1773.358)</f>
        <v>1773.358</v>
      </c>
      <c r="F1241" s="73">
        <f>IFERROR(__xludf.DUMMYFUNCTION("iferror(MINUS(divide(GOOGLEFINANCE($B1241), INDEX(GOOGLEFINANCE($B1241,""price"",today()-182),2,2)),1),"""")"),0.7936772046589018)</f>
        <v>0.7936772047</v>
      </c>
      <c r="G1241" s="61">
        <f>IFERROR(__xludf.DUMMYFUNCTION("iferror(MINUS(divide(GOOGLEFINANCE($B1241), INDEX(GOOGLEFINANCE($B1241,""price"",today()-364),2,2)),1),"""")"),0.011257035647279423)</f>
        <v>0.01125703565</v>
      </c>
    </row>
    <row r="1242">
      <c r="A1242" s="71">
        <f t="shared" si="4"/>
        <v>1238</v>
      </c>
      <c r="B1242" s="47" t="s">
        <v>1375</v>
      </c>
      <c r="C1242" s="72">
        <f>IFERROR(__xludf.DUMMYFUNCTION("iferror(divide(googlefinance($B1242,""marketcap""),1000000),"""")"),2605.469838)</f>
        <v>2605.469838</v>
      </c>
      <c r="D1242" s="72">
        <f>IFERROR(__xludf.DUMMYFUNCTION("iferror(divide(googlefinance($B1242,""shares""),1000),"""")"),38237.0)</f>
        <v>38237</v>
      </c>
      <c r="E1242" s="72">
        <f>IFERROR(__xludf.DUMMYFUNCTION("iferror(divide(googlefinance($B1242,""volumeavg""),1000),"""")"),1313.935)</f>
        <v>1313.935</v>
      </c>
      <c r="F1242" s="73">
        <f>IFERROR(__xludf.DUMMYFUNCTION("iferror(MINUS(divide(GOOGLEFINANCE($B1242), INDEX(GOOGLEFINANCE($B1242,""price"",today()-182),2,2)),1),"""")"),0.959171937895342)</f>
        <v>0.9591719379</v>
      </c>
      <c r="G1242" s="61">
        <f>IFERROR(__xludf.DUMMYFUNCTION("iferror(MINUS(divide(GOOGLEFINANCE($B1242), INDEX(GOOGLEFINANCE($B1242,""price"",today()-364),2,2)),1),"""")"),-0.3465669351745301)</f>
        <v>-0.3465669352</v>
      </c>
    </row>
    <row r="1243">
      <c r="A1243" s="71">
        <f t="shared" si="4"/>
        <v>1239</v>
      </c>
      <c r="B1243" s="47" t="s">
        <v>1376</v>
      </c>
      <c r="C1243" s="72">
        <f>IFERROR(__xludf.DUMMYFUNCTION("iferror(divide(googlefinance($B1243,""marketcap""),1000000),"""")"),1712.910631)</f>
        <v>1712.910631</v>
      </c>
      <c r="D1243" s="72">
        <f>IFERROR(__xludf.DUMMYFUNCTION("iferror(divide(googlefinance($B1243,""shares""),1000),"""")"),83151.0)</f>
        <v>83151</v>
      </c>
      <c r="E1243" s="72">
        <f>IFERROR(__xludf.DUMMYFUNCTION("iferror(divide(googlefinance($B1243,""volumeavg""),1000),"""")"),793.512)</f>
        <v>793.512</v>
      </c>
      <c r="F1243" s="73">
        <f>IFERROR(__xludf.DUMMYFUNCTION("iferror(MINUS(divide(GOOGLEFINANCE($B1243), INDEX(GOOGLEFINANCE($B1243,""price"",today()-182),2,2)),1),"""")"),0.06240330067044875)</f>
        <v>0.06240330067</v>
      </c>
      <c r="G1243" s="61">
        <f>IFERROR(__xludf.DUMMYFUNCTION("iferror(MINUS(divide(GOOGLEFINANCE($B1243), INDEX(GOOGLEFINANCE($B1243,""price"",today()-364),2,2)),1),"""")"),-0.40046565774155995)</f>
        <v>-0.4004656577</v>
      </c>
    </row>
    <row r="1244">
      <c r="A1244" s="71">
        <f t="shared" si="4"/>
        <v>1240</v>
      </c>
      <c r="B1244" s="47" t="s">
        <v>1377</v>
      </c>
      <c r="C1244" s="72">
        <f>IFERROR(__xludf.DUMMYFUNCTION("iferror(divide(googlefinance($B1244,""marketcap""),1000000),"""")"),64877.426996)</f>
        <v>64877.427</v>
      </c>
      <c r="D1244" s="72">
        <f>IFERROR(__xludf.DUMMYFUNCTION("iferror(divide(googlefinance($B1244,""shares""),1000),"""")"),91050.0)</f>
        <v>91050</v>
      </c>
      <c r="E1244" s="72">
        <f>IFERROR(__xludf.DUMMYFUNCTION("iferror(divide(googlefinance($B1244,""volumeavg""),1000),"""")"),411.834)</f>
        <v>411.834</v>
      </c>
      <c r="F1244" s="73">
        <f>IFERROR(__xludf.DUMMYFUNCTION("iferror(MINUS(divide(GOOGLEFINANCE($B1244), INDEX(GOOGLEFINANCE($B1244,""price"",today()-182),2,2)),1),"""")"),0.7265568209353039)</f>
        <v>0.7265568209</v>
      </c>
      <c r="G1244" s="61">
        <f>IFERROR(__xludf.DUMMYFUNCTION("iferror(MINUS(divide(GOOGLEFINANCE($B1244), INDEX(GOOGLEFINANCE($B1244,""price"",today()-364),2,2)),1),"""")"),0.29427471210084644)</f>
        <v>0.2942747121</v>
      </c>
    </row>
    <row r="1245">
      <c r="A1245" s="71">
        <f t="shared" si="4"/>
        <v>1241</v>
      </c>
      <c r="B1245" s="47" t="s">
        <v>1378</v>
      </c>
      <c r="C1245" s="72">
        <f>IFERROR(__xludf.DUMMYFUNCTION("iferror(divide(googlefinance($B1245,""marketcap""),1000000),"""")"),23213.276671)</f>
        <v>23213.27667</v>
      </c>
      <c r="D1245" s="72">
        <f>IFERROR(__xludf.DUMMYFUNCTION("iferror(divide(googlefinance($B1245,""shares""),1000),"""")"),1387524.0)</f>
        <v>1387524</v>
      </c>
      <c r="E1245" s="72">
        <f>IFERROR(__xludf.DUMMYFUNCTION("iferror(divide(googlefinance($B1245,""volumeavg""),1000),"""")"),1674.276)</f>
        <v>1674.276</v>
      </c>
      <c r="F1245" s="73">
        <f>IFERROR(__xludf.DUMMYFUNCTION("iferror(MINUS(divide(GOOGLEFINANCE($B1245), INDEX(GOOGLEFINANCE($B1245,""price"",today()-182),2,2)),1),"""")"),1.6528925619834713)</f>
        <v>1.652892562</v>
      </c>
      <c r="G1245" s="61">
        <f>IFERROR(__xludf.DUMMYFUNCTION("iferror(MINUS(divide(GOOGLEFINANCE($B1245), INDEX(GOOGLEFINANCE($B1245,""price"",today()-364),2,2)),1),"""")"),-0.04747774480712175)</f>
        <v>-0.04747774481</v>
      </c>
    </row>
    <row r="1246">
      <c r="A1246" s="71">
        <f t="shared" si="4"/>
        <v>1242</v>
      </c>
      <c r="B1246" s="47" t="s">
        <v>1379</v>
      </c>
      <c r="C1246" s="72">
        <f>IFERROR(__xludf.DUMMYFUNCTION("iferror(divide(googlefinance($B1246,""marketcap""),1000000),"""")"),59908.002853)</f>
        <v>59908.00285</v>
      </c>
      <c r="D1246" s="72">
        <f>IFERROR(__xludf.DUMMYFUNCTION("iferror(divide(googlefinance($B1246,""shares""),1000),"""")"),850000.0)</f>
        <v>850000</v>
      </c>
      <c r="E1246" s="72">
        <f>IFERROR(__xludf.DUMMYFUNCTION("iferror(divide(googlefinance($B1246,""volumeavg""),1000),"""")"),193.181)</f>
        <v>193.181</v>
      </c>
      <c r="F1246" s="73">
        <f>IFERROR(__xludf.DUMMYFUNCTION("iferror(MINUS(divide(GOOGLEFINANCE($B1246), INDEX(GOOGLEFINANCE($B1246,""price"",today()-182),2,2)),1),"""")"),1.0411236605849985)</f>
        <v>1.041123661</v>
      </c>
      <c r="G1246" s="61">
        <f>IFERROR(__xludf.DUMMYFUNCTION("iferror(MINUS(divide(GOOGLEFINANCE($B1246), INDEX(GOOGLEFINANCE($B1246,""price"",today()-364),2,2)),1),"""")"),0.309793718639658)</f>
        <v>0.3097937186</v>
      </c>
    </row>
    <row r="1247">
      <c r="A1247" s="71">
        <f t="shared" si="4"/>
        <v>1243</v>
      </c>
      <c r="B1247" s="47" t="s">
        <v>1380</v>
      </c>
      <c r="C1247" s="72">
        <f>IFERROR(__xludf.DUMMYFUNCTION("iferror(divide(googlefinance($B1247,""marketcap""),1000000),"""")"),983.525017)</f>
        <v>983.525017</v>
      </c>
      <c r="D1247" s="72">
        <f>IFERROR(__xludf.DUMMYFUNCTION("iferror(divide(googlefinance($B1247,""shares""),1000),"""")"),52343.0)</f>
        <v>52343</v>
      </c>
      <c r="E1247" s="72">
        <f>IFERROR(__xludf.DUMMYFUNCTION("iferror(divide(googlefinance($B1247,""volumeavg""),1000),"""")"),1908.781)</f>
        <v>1908.781</v>
      </c>
      <c r="F1247" s="73">
        <f>IFERROR(__xludf.DUMMYFUNCTION("iferror(MINUS(divide(GOOGLEFINANCE($B1247), INDEX(GOOGLEFINANCE($B1247,""price"",today()-182),2,2)),1),"""")"),1.4276485788113695)</f>
        <v>1.427648579</v>
      </c>
      <c r="G1247" s="61">
        <f>IFERROR(__xludf.DUMMYFUNCTION("iferror(MINUS(divide(GOOGLEFINANCE($B1247), INDEX(GOOGLEFINANCE($B1247,""price"",today()-364),2,2)),1),"""")"),0.16925948973242066)</f>
        <v>0.1692594897</v>
      </c>
    </row>
    <row r="1248">
      <c r="A1248" s="71">
        <f t="shared" si="4"/>
        <v>1244</v>
      </c>
      <c r="B1248" s="47" t="s">
        <v>1381</v>
      </c>
      <c r="C1248" s="72">
        <f>IFERROR(__xludf.DUMMYFUNCTION("iferror(divide(googlefinance($B1248,""marketcap""),1000000),"""")"),554.657743)</f>
        <v>554.657743</v>
      </c>
      <c r="D1248" s="72">
        <f>IFERROR(__xludf.DUMMYFUNCTION("iferror(divide(googlefinance($B1248,""shares""),1000),"""")"),78121.0)</f>
        <v>78121</v>
      </c>
      <c r="E1248" s="72">
        <f>IFERROR(__xludf.DUMMYFUNCTION("iferror(divide(googlefinance($B1248,""volumeavg""),1000),"""")"),310.816)</f>
        <v>310.816</v>
      </c>
      <c r="F1248" s="73">
        <f>IFERROR(__xludf.DUMMYFUNCTION("iferror(MINUS(divide(GOOGLEFINANCE($B1248), INDEX(GOOGLEFINANCE($B1248,""price"",today()-182),2,2)),1),"""")"),0.4884696016771488)</f>
        <v>0.4884696017</v>
      </c>
      <c r="G1248" s="61">
        <f>IFERROR(__xludf.DUMMYFUNCTION("iferror(MINUS(divide(GOOGLEFINANCE($B1248), INDEX(GOOGLEFINANCE($B1248,""price"",today()-364),2,2)),1),"""")"),0.2792792792792793)</f>
        <v>0.2792792793</v>
      </c>
    </row>
    <row r="1249">
      <c r="A1249" s="71">
        <f t="shared" si="4"/>
        <v>1245</v>
      </c>
      <c r="B1249" s="47" t="s">
        <v>1382</v>
      </c>
      <c r="C1249" s="72" t="str">
        <f>IFERROR(__xludf.DUMMYFUNCTION("iferror(divide(googlefinance($B1249,""marketcap""),1000000),"""")"),"")</f>
        <v/>
      </c>
      <c r="D1249" s="72" t="str">
        <f>IFERROR(__xludf.DUMMYFUNCTION("iferror(divide(googlefinance($B1249,""shares""),1000),"""")"),"")</f>
        <v/>
      </c>
      <c r="E1249" s="72" t="str">
        <f>IFERROR(__xludf.DUMMYFUNCTION("iferror(divide(googlefinance($B1249,""volumeavg""),1000),"""")"),"")</f>
        <v/>
      </c>
      <c r="F1249" s="73" t="str">
        <f>IFERROR(__xludf.DUMMYFUNCTION("iferror(MINUS(divide(GOOGLEFINANCE($B1249), INDEX(GOOGLEFINANCE($B1249,""price"",today()-182),2,2)),1),"""")"),"")</f>
        <v/>
      </c>
      <c r="G1249" s="61" t="str">
        <f>IFERROR(__xludf.DUMMYFUNCTION("iferror(MINUS(divide(GOOGLEFINANCE($B1249), INDEX(GOOGLEFINANCE($B1249,""price"",today()-364),2,2)),1),"""")"),"")</f>
        <v/>
      </c>
    </row>
    <row r="1250">
      <c r="A1250" s="71">
        <f t="shared" si="4"/>
        <v>1246</v>
      </c>
      <c r="B1250" s="47" t="s">
        <v>1383</v>
      </c>
      <c r="C1250" s="72">
        <f>IFERROR(__xludf.DUMMYFUNCTION("iferror(divide(googlefinance($B1250,""marketcap""),1000000),"""")"),2302.027948)</f>
        <v>2302.027948</v>
      </c>
      <c r="D1250" s="72">
        <f>IFERROR(__xludf.DUMMYFUNCTION("iferror(divide(googlefinance($B1250,""shares""),1000),"""")"),33680.0)</f>
        <v>33680</v>
      </c>
      <c r="E1250" s="72">
        <f>IFERROR(__xludf.DUMMYFUNCTION("iferror(divide(googlefinance($B1250,""volumeavg""),1000),"""")"),336.561)</f>
        <v>336.561</v>
      </c>
      <c r="F1250" s="73">
        <f>IFERROR(__xludf.DUMMYFUNCTION("iferror(MINUS(divide(GOOGLEFINANCE($B1250), INDEX(GOOGLEFINANCE($B1250,""price"",today()-182),2,2)),1),"""")"),1.7897959183673469)</f>
        <v>1.789795918</v>
      </c>
      <c r="G1250" s="61">
        <f>IFERROR(__xludf.DUMMYFUNCTION("iferror(MINUS(divide(GOOGLEFINANCE($B1250), INDEX(GOOGLEFINANCE($B1250,""price"",today()-364),2,2)),1),"""")"),0.9346164732521935)</f>
        <v>0.9346164733</v>
      </c>
    </row>
    <row r="1251">
      <c r="A1251" s="71">
        <f t="shared" si="4"/>
        <v>1247</v>
      </c>
      <c r="B1251" s="47" t="s">
        <v>1384</v>
      </c>
      <c r="C1251" s="72">
        <f>IFERROR(__xludf.DUMMYFUNCTION("iferror(divide(googlefinance($B1251,""marketcap""),1000000),"""")"),22785.127209)</f>
        <v>22785.12721</v>
      </c>
      <c r="D1251" s="72">
        <f>IFERROR(__xludf.DUMMYFUNCTION("iferror(divide(googlefinance($B1251,""shares""),1000),"""")"),497709.0)</f>
        <v>497709</v>
      </c>
      <c r="E1251" s="72">
        <f>IFERROR(__xludf.DUMMYFUNCTION("iferror(divide(googlefinance($B1251,""volumeavg""),1000),"""")"),0.615)</f>
        <v>0.615</v>
      </c>
      <c r="F1251" s="73">
        <f>IFERROR(__xludf.DUMMYFUNCTION("iferror(MINUS(divide(GOOGLEFINANCE($B1251), INDEX(GOOGLEFINANCE($B1251,""price"",today()-182),2,2)),1),"""")"),-0.03746397694524506)</f>
        <v>-0.03746397695</v>
      </c>
      <c r="G1251" s="61" t="str">
        <f>IFERROR(__xludf.DUMMYFUNCTION("iferror(MINUS(divide(GOOGLEFINANCE($B1251), INDEX(GOOGLEFINANCE($B1251,""price"",today()-364),2,2)),1),"""")"),"")</f>
        <v/>
      </c>
    </row>
    <row r="1252">
      <c r="A1252" s="71">
        <f t="shared" si="4"/>
        <v>1248</v>
      </c>
      <c r="B1252" s="47" t="s">
        <v>1385</v>
      </c>
      <c r="C1252" s="72">
        <f>IFERROR(__xludf.DUMMYFUNCTION("iferror(divide(googlefinance($B1252,""marketcap""),1000000),"""")"),5347.853528)</f>
        <v>5347.853528</v>
      </c>
      <c r="D1252" s="72">
        <f>IFERROR(__xludf.DUMMYFUNCTION("iferror(divide(googlefinance($B1252,""shares""),1000),"""")"),140585.0)</f>
        <v>140585</v>
      </c>
      <c r="E1252" s="72">
        <f>IFERROR(__xludf.DUMMYFUNCTION("iferror(divide(googlefinance($B1252,""volumeavg""),1000),"""")"),251.148)</f>
        <v>251.148</v>
      </c>
      <c r="F1252" s="73">
        <f>IFERROR(__xludf.DUMMYFUNCTION("iferror(MINUS(divide(GOOGLEFINANCE($B1252), INDEX(GOOGLEFINANCE($B1252,""price"",today()-182),2,2)),1),"""")"),0.268)</f>
        <v>0.268</v>
      </c>
      <c r="G1252" s="61">
        <f>IFERROR(__xludf.DUMMYFUNCTION("iferror(MINUS(divide(GOOGLEFINANCE($B1252), INDEX(GOOGLEFINANCE($B1252,""price"",today()-364),2,2)),1),"""")"),0.16866359447004609)</f>
        <v>0.1686635945</v>
      </c>
    </row>
    <row r="1253">
      <c r="A1253" s="71">
        <f t="shared" si="4"/>
        <v>1249</v>
      </c>
      <c r="B1253" s="47" t="s">
        <v>1386</v>
      </c>
      <c r="C1253" s="72">
        <f>IFERROR(__xludf.DUMMYFUNCTION("iferror(divide(googlefinance($B1253,""marketcap""),1000000),"""")"),2085.14351)</f>
        <v>2085.14351</v>
      </c>
      <c r="D1253" s="72">
        <f>IFERROR(__xludf.DUMMYFUNCTION("iferror(divide(googlefinance($B1253,""shares""),1000),"""")"),84762.0)</f>
        <v>84762</v>
      </c>
      <c r="E1253" s="72">
        <f>IFERROR(__xludf.DUMMYFUNCTION("iferror(divide(googlefinance($B1253,""volumeavg""),1000),"""")"),2340.147)</f>
        <v>2340.147</v>
      </c>
      <c r="F1253" s="73">
        <f>IFERROR(__xludf.DUMMYFUNCTION("iferror(MINUS(divide(GOOGLEFINANCE($B1253), INDEX(GOOGLEFINANCE($B1253,""price"",today()-182),2,2)),1),"""")"),1.0847457627118642)</f>
        <v>1.084745763</v>
      </c>
      <c r="G1253" s="61">
        <f>IFERROR(__xludf.DUMMYFUNCTION("iferror(MINUS(divide(GOOGLEFINANCE($B1253), INDEX(GOOGLEFINANCE($B1253,""price"",today()-364),2,2)),1),"""")"),-0.5291866028708134)</f>
        <v>-0.5291866029</v>
      </c>
    </row>
    <row r="1254">
      <c r="A1254" s="71">
        <f t="shared" si="4"/>
        <v>1250</v>
      </c>
      <c r="B1254" s="47" t="s">
        <v>1387</v>
      </c>
      <c r="C1254" s="72" t="str">
        <f>IFERROR(__xludf.DUMMYFUNCTION("iferror(divide(googlefinance($B1254,""marketcap""),1000000),"""")"),"")</f>
        <v/>
      </c>
      <c r="D1254" s="72" t="str">
        <f>IFERROR(__xludf.DUMMYFUNCTION("iferror(divide(googlefinance($B1254,""shares""),1000),"""")"),"")</f>
        <v/>
      </c>
      <c r="E1254" s="72" t="str">
        <f>IFERROR(__xludf.DUMMYFUNCTION("iferror(divide(googlefinance($B1254,""volumeavg""),1000),"""")"),"")</f>
        <v/>
      </c>
      <c r="F1254" s="73" t="str">
        <f>IFERROR(__xludf.DUMMYFUNCTION("iferror(MINUS(divide(GOOGLEFINANCE($B1254), INDEX(GOOGLEFINANCE($B1254,""price"",today()-182),2,2)),1),"""")"),"")</f>
        <v/>
      </c>
      <c r="G1254" s="61" t="str">
        <f>IFERROR(__xludf.DUMMYFUNCTION("iferror(MINUS(divide(GOOGLEFINANCE($B1254), INDEX(GOOGLEFINANCE($B1254,""price"",today()-364),2,2)),1),"""")"),"")</f>
        <v/>
      </c>
    </row>
    <row r="1255">
      <c r="A1255" s="71">
        <f t="shared" si="4"/>
        <v>1251</v>
      </c>
      <c r="B1255" s="47" t="s">
        <v>1388</v>
      </c>
      <c r="C1255" s="72">
        <f>IFERROR(__xludf.DUMMYFUNCTION("iferror(divide(googlefinance($B1255,""marketcap""),1000000),"""")"),5029.824318)</f>
        <v>5029.824318</v>
      </c>
      <c r="D1255" s="72">
        <f>IFERROR(__xludf.DUMMYFUNCTION("iferror(divide(googlefinance($B1255,""shares""),1000),"""")"),136302.0)</f>
        <v>136302</v>
      </c>
      <c r="E1255" s="72">
        <f>IFERROR(__xludf.DUMMYFUNCTION("iferror(divide(googlefinance($B1255,""volumeavg""),1000),"""")"),1193.711)</f>
        <v>1193.711</v>
      </c>
      <c r="F1255" s="73">
        <f>IFERROR(__xludf.DUMMYFUNCTION("iferror(MINUS(divide(GOOGLEFINANCE($B1255), INDEX(GOOGLEFINANCE($B1255,""price"",today()-182),2,2)),1),"""")"),0.5092373282804359)</f>
        <v>0.5092373283</v>
      </c>
      <c r="G1255" s="61">
        <f>IFERROR(__xludf.DUMMYFUNCTION("iferror(MINUS(divide(GOOGLEFINANCE($B1255), INDEX(GOOGLEFINANCE($B1255,""price"",today()-364),2,2)),1),"""")"),-0.10555867490174053)</f>
        <v>-0.1055586749</v>
      </c>
    </row>
    <row r="1256">
      <c r="A1256" s="71">
        <f t="shared" si="4"/>
        <v>1252</v>
      </c>
      <c r="B1256" s="47" t="s">
        <v>1389</v>
      </c>
      <c r="C1256" s="72">
        <f>IFERROR(__xludf.DUMMYFUNCTION("iferror(divide(googlefinance($B1256,""marketcap""),1000000),"""")"),1398.516897)</f>
        <v>1398.516897</v>
      </c>
      <c r="D1256" s="72">
        <f>IFERROR(__xludf.DUMMYFUNCTION("iferror(divide(googlefinance($B1256,""shares""),1000),"""")"),56666.0)</f>
        <v>56666</v>
      </c>
      <c r="E1256" s="72">
        <f>IFERROR(__xludf.DUMMYFUNCTION("iferror(divide(googlefinance($B1256,""volumeavg""),1000),"""")"),367.643)</f>
        <v>367.643</v>
      </c>
      <c r="F1256" s="73">
        <f>IFERROR(__xludf.DUMMYFUNCTION("iferror(MINUS(divide(GOOGLEFINANCE($B1256), INDEX(GOOGLEFINANCE($B1256,""price"",today()-182),2,2)),1),"""")"),0.7186629526462396)</f>
        <v>0.7186629526</v>
      </c>
      <c r="G1256" s="61">
        <f>IFERROR(__xludf.DUMMYFUNCTION("iferror(MINUS(divide(GOOGLEFINANCE($B1256), INDEX(GOOGLEFINANCE($B1256,""price"",today()-364),2,2)),1),"""")"),-0.1958292603453894)</f>
        <v>-0.1958292603</v>
      </c>
    </row>
    <row r="1257">
      <c r="A1257" s="71">
        <f t="shared" si="4"/>
        <v>1253</v>
      </c>
      <c r="B1257" s="52" t="s">
        <v>1390</v>
      </c>
      <c r="C1257" s="72">
        <f>IFERROR(__xludf.DUMMYFUNCTION("iferror(divide(googlefinance($B1257,""marketcap""),1000000),"""")"),1731.746225)</f>
        <v>1731.746225</v>
      </c>
      <c r="D1257" s="72">
        <f>IFERROR(__xludf.DUMMYFUNCTION("iferror(divide(googlefinance($B1257,""shares""),1000),"""")"),50181.0)</f>
        <v>50181</v>
      </c>
      <c r="E1257" s="72">
        <f>IFERROR(__xludf.DUMMYFUNCTION("iferror(divide(googlefinance($B1257,""volumeavg""),1000),"""")"),454.387)</f>
        <v>454.387</v>
      </c>
      <c r="F1257" s="73">
        <f>IFERROR(__xludf.DUMMYFUNCTION("iferror(MINUS(divide(GOOGLEFINANCE($B1257), INDEX(GOOGLEFINANCE($B1257,""price"",today()-182),2,2)),1),"""")"),0.7058823529411764)</f>
        <v>0.7058823529</v>
      </c>
      <c r="G1257" s="61">
        <f>IFERROR(__xludf.DUMMYFUNCTION("iferror(MINUS(divide(GOOGLEFINANCE($B1257), INDEX(GOOGLEFINANCE($B1257,""price"",today()-364),2,2)),1),"""")"),-0.41149386084583905)</f>
        <v>-0.4114938608</v>
      </c>
    </row>
    <row r="1258">
      <c r="A1258" s="71">
        <f t="shared" si="4"/>
        <v>1254</v>
      </c>
      <c r="B1258" s="47" t="s">
        <v>1391</v>
      </c>
      <c r="C1258" s="72">
        <f>IFERROR(__xludf.DUMMYFUNCTION("iferror(divide(googlefinance($B1258,""marketcap""),1000000),"""")"),4312.592173)</f>
        <v>4312.592173</v>
      </c>
      <c r="D1258" s="72">
        <f>IFERROR(__xludf.DUMMYFUNCTION("iferror(divide(googlefinance($B1258,""shares""),1000),"""")"),43796.0)</f>
        <v>43796</v>
      </c>
      <c r="E1258" s="72">
        <f>IFERROR(__xludf.DUMMYFUNCTION("iferror(divide(googlefinance($B1258,""volumeavg""),1000),"""")"),223.674)</f>
        <v>223.674</v>
      </c>
      <c r="F1258" s="73">
        <f>IFERROR(__xludf.DUMMYFUNCTION("iferror(MINUS(divide(GOOGLEFINANCE($B1258), INDEX(GOOGLEFINANCE($B1258,""price"",today()-182),2,2)),1),"""")"),0.4053089767375482)</f>
        <v>0.4053089767</v>
      </c>
      <c r="G1258" s="61">
        <f>IFERROR(__xludf.DUMMYFUNCTION("iferror(MINUS(divide(GOOGLEFINANCE($B1258), INDEX(GOOGLEFINANCE($B1258,""price"",today()-364),2,2)),1),"""")"),-0.11970320042910787)</f>
        <v>-0.1197032004</v>
      </c>
    </row>
    <row r="1259">
      <c r="A1259" s="71">
        <f t="shared" si="4"/>
        <v>1255</v>
      </c>
      <c r="B1259" s="47" t="s">
        <v>1392</v>
      </c>
      <c r="C1259" s="72">
        <f>IFERROR(__xludf.DUMMYFUNCTION("iferror(divide(googlefinance($B1259,""marketcap""),1000000),"""")"),263.790865)</f>
        <v>263.790865</v>
      </c>
      <c r="D1259" s="72">
        <f>IFERROR(__xludf.DUMMYFUNCTION("iferror(divide(googlefinance($B1259,""shares""),1000),"""")"),73891.0)</f>
        <v>73891</v>
      </c>
      <c r="E1259" s="72">
        <f>IFERROR(__xludf.DUMMYFUNCTION("iferror(divide(googlefinance($B1259,""volumeavg""),1000),"""")"),949.886)</f>
        <v>949.886</v>
      </c>
      <c r="F1259" s="73">
        <f>IFERROR(__xludf.DUMMYFUNCTION("iferror(MINUS(divide(GOOGLEFINANCE($B1259), INDEX(GOOGLEFINANCE($B1259,""price"",today()-182),2,2)),1),"""")"),2.4326923076923075)</f>
        <v>2.432692308</v>
      </c>
      <c r="G1259" s="61">
        <f>IFERROR(__xludf.DUMMYFUNCTION("iferror(MINUS(divide(GOOGLEFINANCE($B1259), INDEX(GOOGLEFINANCE($B1259,""price"",today()-364),2,2)),1),"""")"),-0.6860158311345647)</f>
        <v>-0.6860158311</v>
      </c>
    </row>
    <row r="1260">
      <c r="A1260" s="71">
        <f t="shared" si="4"/>
        <v>1256</v>
      </c>
      <c r="B1260" s="47" t="s">
        <v>1393</v>
      </c>
      <c r="C1260" s="72">
        <f>IFERROR(__xludf.DUMMYFUNCTION("iferror(divide(googlefinance($B1260,""marketcap""),1000000),"""")"),118.482136)</f>
        <v>118.482136</v>
      </c>
      <c r="D1260" s="72">
        <f>IFERROR(__xludf.DUMMYFUNCTION("iferror(divide(googlefinance($B1260,""shares""),1000),"""")"),46102.0)</f>
        <v>46102</v>
      </c>
      <c r="E1260" s="72">
        <f>IFERROR(__xludf.DUMMYFUNCTION("iferror(divide(googlefinance($B1260,""volumeavg""),1000),"""")"),157.999)</f>
        <v>157.999</v>
      </c>
      <c r="F1260" s="73">
        <f>IFERROR(__xludf.DUMMYFUNCTION("iferror(MINUS(divide(GOOGLEFINANCE($B1260), INDEX(GOOGLEFINANCE($B1260,""price"",today()-182),2,2)),1),"""")"),0.00390625)</f>
        <v>0.00390625</v>
      </c>
      <c r="G1260" s="61">
        <f>IFERROR(__xludf.DUMMYFUNCTION("iferror(MINUS(divide(GOOGLEFINANCE($B1260), INDEX(GOOGLEFINANCE($B1260,""price"",today()-364),2,2)),1),"""")"),-0.7792096219931272)</f>
        <v>-0.779209622</v>
      </c>
    </row>
    <row r="1261">
      <c r="A1261" s="71">
        <f t="shared" si="4"/>
        <v>1257</v>
      </c>
      <c r="B1261" s="47" t="s">
        <v>1394</v>
      </c>
      <c r="C1261" s="72">
        <f>IFERROR(__xludf.DUMMYFUNCTION("iferror(divide(googlefinance($B1261,""marketcap""),1000000),"""")"),182.826145)</f>
        <v>182.826145</v>
      </c>
      <c r="D1261" s="72">
        <f>IFERROR(__xludf.DUMMYFUNCTION("iferror(divide(googlefinance($B1261,""shares""),1000),"""")"),22997.0)</f>
        <v>22997</v>
      </c>
      <c r="E1261" s="72">
        <f>IFERROR(__xludf.DUMMYFUNCTION("iferror(divide(googlefinance($B1261,""volumeavg""),1000),"""")"),30.203)</f>
        <v>30.203</v>
      </c>
      <c r="F1261" s="73">
        <f>IFERROR(__xludf.DUMMYFUNCTION("iferror(MINUS(divide(GOOGLEFINANCE($B1261), INDEX(GOOGLEFINANCE($B1261,""price"",today()-182),2,2)),1),"""")"),0.1165730337078652)</f>
        <v>0.1165730337</v>
      </c>
      <c r="G1261" s="61">
        <f>IFERROR(__xludf.DUMMYFUNCTION("iferror(MINUS(divide(GOOGLEFINANCE($B1261), INDEX(GOOGLEFINANCE($B1261,""price"",today()-364),2,2)),1),"""")"),-0.10169491525423724)</f>
        <v>-0.1016949153</v>
      </c>
    </row>
    <row r="1262">
      <c r="A1262" s="71">
        <f t="shared" si="4"/>
        <v>1258</v>
      </c>
      <c r="B1262" s="47" t="s">
        <v>1395</v>
      </c>
      <c r="C1262" s="72">
        <f>IFERROR(__xludf.DUMMYFUNCTION("iferror(divide(googlefinance($B1262,""marketcap""),1000000),"""")"),158.391304)</f>
        <v>158.391304</v>
      </c>
      <c r="D1262" s="72">
        <f>IFERROR(__xludf.DUMMYFUNCTION("iferror(divide(googlefinance($B1262,""shares""),1000),"""")"),79594.0)</f>
        <v>79594</v>
      </c>
      <c r="E1262" s="72">
        <f>IFERROR(__xludf.DUMMYFUNCTION("iferror(divide(googlefinance($B1262,""volumeavg""),1000),"""")"),556.35)</f>
        <v>556.35</v>
      </c>
      <c r="F1262" s="73">
        <f>IFERROR(__xludf.DUMMYFUNCTION("iferror(MINUS(divide(GOOGLEFINANCE($B1262), INDEX(GOOGLEFINANCE($B1262,""price"",today()-182),2,2)),1),"""")"),0.08152173913043481)</f>
        <v>0.08152173913</v>
      </c>
      <c r="G1262" s="61">
        <f>IFERROR(__xludf.DUMMYFUNCTION("iferror(MINUS(divide(GOOGLEFINANCE($B1262), INDEX(GOOGLEFINANCE($B1262,""price"",today()-364),2,2)),1),"""")"),0.07567567567567557)</f>
        <v>0.07567567568</v>
      </c>
    </row>
    <row r="1263">
      <c r="A1263" s="71">
        <f t="shared" si="4"/>
        <v>1259</v>
      </c>
      <c r="B1263" s="47" t="s">
        <v>1396</v>
      </c>
      <c r="C1263" s="72">
        <f>IFERROR(__xludf.DUMMYFUNCTION("iferror(divide(googlefinance($B1263,""marketcap""),1000000),"""")"),8629.665965)</f>
        <v>8629.665965</v>
      </c>
      <c r="D1263" s="72">
        <f>IFERROR(__xludf.DUMMYFUNCTION("iferror(divide(googlefinance($B1263,""shares""),1000),"""")"),55769.0)</f>
        <v>55769</v>
      </c>
      <c r="E1263" s="72">
        <f>IFERROR(__xludf.DUMMYFUNCTION("iferror(divide(googlefinance($B1263,""volumeavg""),1000),"""")"),370.706)</f>
        <v>370.706</v>
      </c>
      <c r="F1263" s="73">
        <f>IFERROR(__xludf.DUMMYFUNCTION("iferror(MINUS(divide(GOOGLEFINANCE($B1263), INDEX(GOOGLEFINANCE($B1263,""price"",today()-182),2,2)),1),"""")"),0.8525080809290075)</f>
        <v>0.8525080809</v>
      </c>
      <c r="G1263" s="61">
        <f>IFERROR(__xludf.DUMMYFUNCTION("iferror(MINUS(divide(GOOGLEFINANCE($B1263), INDEX(GOOGLEFINANCE($B1263,""price"",today()-364),2,2)),1),"""")"),0.544311377245509)</f>
        <v>0.5443113772</v>
      </c>
    </row>
    <row r="1264">
      <c r="A1264" s="71">
        <f t="shared" si="4"/>
        <v>1260</v>
      </c>
      <c r="B1264" s="47" t="s">
        <v>1397</v>
      </c>
      <c r="C1264" s="72">
        <f>IFERROR(__xludf.DUMMYFUNCTION("iferror(divide(googlefinance($B1264,""marketcap""),1000000),"""")"),23.636276)</f>
        <v>23.636276</v>
      </c>
      <c r="D1264" s="72">
        <f>IFERROR(__xludf.DUMMYFUNCTION("iferror(divide(googlefinance($B1264,""shares""),1000),"""")"),28255.823)</f>
        <v>28255.823</v>
      </c>
      <c r="E1264" s="72">
        <f>IFERROR(__xludf.DUMMYFUNCTION("iferror(divide(googlefinance($B1264,""volumeavg""),1000),"""")"),76.476)</f>
        <v>76.476</v>
      </c>
      <c r="F1264" s="73">
        <f>IFERROR(__xludf.DUMMYFUNCTION("iferror(MINUS(divide(GOOGLEFINANCE($B1264), INDEX(GOOGLEFINANCE($B1264,""price"",today()-182),2,2)),1),"""")"),3.7126760563380286)</f>
        <v>3.712676056</v>
      </c>
      <c r="G1264" s="61" t="str">
        <f>IFERROR(__xludf.DUMMYFUNCTION("iferror(MINUS(divide(GOOGLEFINANCE($B1264), INDEX(GOOGLEFINANCE($B1264,""price"",today()-364),2,2)),1),"""")"),"")</f>
        <v/>
      </c>
    </row>
    <row r="1265">
      <c r="A1265" s="71">
        <f t="shared" si="4"/>
        <v>1261</v>
      </c>
      <c r="B1265" s="47" t="s">
        <v>1398</v>
      </c>
      <c r="C1265" s="72">
        <f>IFERROR(__xludf.DUMMYFUNCTION("iferror(divide(googlefinance($B1265,""marketcap""),1000000),"""")"),3525.2641)</f>
        <v>3525.2641</v>
      </c>
      <c r="D1265" s="72">
        <f>IFERROR(__xludf.DUMMYFUNCTION("iferror(divide(googlefinance($B1265,""shares""),1000),"""")"),65162.0)</f>
        <v>65162</v>
      </c>
      <c r="E1265" s="72">
        <f>IFERROR(__xludf.DUMMYFUNCTION("iferror(divide(googlefinance($B1265,""volumeavg""),1000),"""")"),547.419)</f>
        <v>547.419</v>
      </c>
      <c r="F1265" s="73">
        <f>IFERROR(__xludf.DUMMYFUNCTION("iferror(MINUS(divide(GOOGLEFINANCE($B1265), INDEX(GOOGLEFINANCE($B1265,""price"",today()-182),2,2)),1),"""")"),0.6468797564687976)</f>
        <v>0.6468797565</v>
      </c>
      <c r="G1265" s="61">
        <f>IFERROR(__xludf.DUMMYFUNCTION("iferror(MINUS(divide(GOOGLEFINANCE($B1265), INDEX(GOOGLEFINANCE($B1265,""price"",today()-364),2,2)),1),"""")"),0.15920291407756593)</f>
        <v>0.1592029141</v>
      </c>
    </row>
    <row r="1266">
      <c r="A1266" s="71">
        <f t="shared" si="4"/>
        <v>1262</v>
      </c>
      <c r="B1266" s="47" t="s">
        <v>1399</v>
      </c>
      <c r="C1266" s="72">
        <f>IFERROR(__xludf.DUMMYFUNCTION("iferror(divide(googlefinance($B1266,""marketcap""),1000000),"""")"),1377.655211)</f>
        <v>1377.655211</v>
      </c>
      <c r="D1266" s="72">
        <f>IFERROR(__xludf.DUMMYFUNCTION("iferror(divide(googlefinance($B1266,""shares""),1000),"""")"),27725.0)</f>
        <v>27725</v>
      </c>
      <c r="E1266" s="72">
        <f>IFERROR(__xludf.DUMMYFUNCTION("iferror(divide(googlefinance($B1266,""volumeavg""),1000),"""")"),315.616)</f>
        <v>315.616</v>
      </c>
      <c r="F1266" s="73">
        <f>IFERROR(__xludf.DUMMYFUNCTION("iferror(MINUS(divide(GOOGLEFINANCE($B1266), INDEX(GOOGLEFINANCE($B1266,""price"",today()-182),2,2)),1),"""")"),1.0930918281381636)</f>
        <v>1.093091828</v>
      </c>
      <c r="G1266" s="61">
        <f>IFERROR(__xludf.DUMMYFUNCTION("iferror(MINUS(divide(GOOGLEFINANCE($B1266), INDEX(GOOGLEFINANCE($B1266,""price"",today()-364),2,2)),1),"""")"),0.15156431054461184)</f>
        <v>0.1515643105</v>
      </c>
    </row>
    <row r="1267">
      <c r="A1267" s="71">
        <f t="shared" si="4"/>
        <v>1263</v>
      </c>
      <c r="B1267" s="47" t="s">
        <v>1400</v>
      </c>
      <c r="C1267" s="72">
        <f>IFERROR(__xludf.DUMMYFUNCTION("iferror(divide(googlefinance($B1267,""marketcap""),1000000),"""")"),57.57425)</f>
        <v>57.57425</v>
      </c>
      <c r="D1267" s="72">
        <f>IFERROR(__xludf.DUMMYFUNCTION("iferror(divide(googlefinance($B1267,""shares""),1000),"""")"),42025.0)</f>
        <v>42025</v>
      </c>
      <c r="E1267" s="72">
        <f>IFERROR(__xludf.DUMMYFUNCTION("iferror(divide(googlefinance($B1267,""volumeavg""),1000),"""")"),213.119)</f>
        <v>213.119</v>
      </c>
      <c r="F1267" s="73">
        <f>IFERROR(__xludf.DUMMYFUNCTION("iferror(MINUS(divide(GOOGLEFINANCE($B1267), INDEX(GOOGLEFINANCE($B1267,""price"",today()-182),2,2)),1),"""")"),0.442105263157895)</f>
        <v>0.4421052632</v>
      </c>
      <c r="G1267" s="61">
        <f>IFERROR(__xludf.DUMMYFUNCTION("iferror(MINUS(divide(GOOGLEFINANCE($B1267), INDEX(GOOGLEFINANCE($B1267,""price"",today()-364),2,2)),1),"""")"),-0.5566343042071197)</f>
        <v>-0.5566343042</v>
      </c>
    </row>
    <row r="1268">
      <c r="A1268" s="71">
        <f t="shared" si="4"/>
        <v>1264</v>
      </c>
      <c r="B1268" s="47" t="s">
        <v>1401</v>
      </c>
      <c r="C1268" s="72">
        <f>IFERROR(__xludf.DUMMYFUNCTION("iferror(divide(googlefinance($B1268,""marketcap""),1000000),"""")"),4651.607134)</f>
        <v>4651.607134</v>
      </c>
      <c r="D1268" s="72">
        <f>IFERROR(__xludf.DUMMYFUNCTION("iferror(divide(googlefinance($B1268,""shares""),1000),"""")"),94310.0)</f>
        <v>94310</v>
      </c>
      <c r="E1268" s="72">
        <f>IFERROR(__xludf.DUMMYFUNCTION("iferror(divide(googlefinance($B1268,""volumeavg""),1000),"""")"),449.764)</f>
        <v>449.764</v>
      </c>
      <c r="F1268" s="73">
        <f>IFERROR(__xludf.DUMMYFUNCTION("iferror(MINUS(divide(GOOGLEFINANCE($B1268), INDEX(GOOGLEFINANCE($B1268,""price"",today()-182),2,2)),1),"""")"),0.44917127071823204)</f>
        <v>0.4491712707</v>
      </c>
      <c r="G1268" s="61">
        <f>IFERROR(__xludf.DUMMYFUNCTION("iferror(MINUS(divide(GOOGLEFINANCE($B1268), INDEX(GOOGLEFINANCE($B1268,""price"",today()-364),2,2)),1),"""")"),0.20653173873045083)</f>
        <v>0.2065317387</v>
      </c>
    </row>
    <row r="1269">
      <c r="A1269" s="71">
        <f t="shared" si="4"/>
        <v>1265</v>
      </c>
      <c r="B1269" s="47" t="s">
        <v>1402</v>
      </c>
      <c r="C1269" s="72">
        <f>IFERROR(__xludf.DUMMYFUNCTION("iferror(divide(googlefinance($B1269,""marketcap""),1000000),"""")"),657.645919)</f>
        <v>657.645919</v>
      </c>
      <c r="D1269" s="72">
        <f>IFERROR(__xludf.DUMMYFUNCTION("iferror(divide(googlefinance($B1269,""shares""),1000),"""")"),38549.0)</f>
        <v>38549</v>
      </c>
      <c r="E1269" s="72">
        <f>IFERROR(__xludf.DUMMYFUNCTION("iferror(divide(googlefinance($B1269,""volumeavg""),1000),"""")"),275.729)</f>
        <v>275.729</v>
      </c>
      <c r="F1269" s="73">
        <f>IFERROR(__xludf.DUMMYFUNCTION("iferror(MINUS(divide(GOOGLEFINANCE($B1269), INDEX(GOOGLEFINANCE($B1269,""price"",today()-182),2,2)),1),"""")"),1.0023474178403755)</f>
        <v>1.002347418</v>
      </c>
      <c r="G1269" s="61">
        <f>IFERROR(__xludf.DUMMYFUNCTION("iferror(MINUS(divide(GOOGLEFINANCE($B1269), INDEX(GOOGLEFINANCE($B1269,""price"",today()-364),2,2)),1),"""")"),0.9609195402298851)</f>
        <v>0.9609195402</v>
      </c>
    </row>
    <row r="1270">
      <c r="A1270" s="71">
        <f t="shared" si="4"/>
        <v>1266</v>
      </c>
      <c r="B1270" s="47" t="s">
        <v>1403</v>
      </c>
      <c r="C1270" s="72">
        <f>IFERROR(__xludf.DUMMYFUNCTION("iferror(divide(googlefinance($B1270,""marketcap""),1000000),"""")"),1.0469303516E7)</f>
        <v>10469303.52</v>
      </c>
      <c r="D1270" s="72">
        <f>IFERROR(__xludf.DUMMYFUNCTION("iferror(divide(googlefinance($B1270,""shares""),1000),"""")"),1261059.0)</f>
        <v>1261059</v>
      </c>
      <c r="E1270" s="72">
        <f>IFERROR(__xludf.DUMMYFUNCTION("iferror(divide(googlefinance($B1270,""volumeavg""),1000),"""")"),1093.133)</f>
        <v>1093.133</v>
      </c>
      <c r="F1270" s="73">
        <f>IFERROR(__xludf.DUMMYFUNCTION("iferror(MINUS(divide(GOOGLEFINANCE($B1270), INDEX(GOOGLEFINANCE($B1270,""price"",today()-182),2,2)),1),"""")"),0.46268375424048247)</f>
        <v>0.4626837542</v>
      </c>
      <c r="G1270" s="61">
        <f>IFERROR(__xludf.DUMMYFUNCTION("iferror(MINUS(divide(GOOGLEFINANCE($B1270), INDEX(GOOGLEFINANCE($B1270,""price"",today()-364),2,2)),1),"""")"),0.3127537212449256)</f>
        <v>0.3127537212</v>
      </c>
    </row>
    <row r="1271">
      <c r="A1271" s="71">
        <f t="shared" si="4"/>
        <v>1267</v>
      </c>
      <c r="B1271" s="47" t="s">
        <v>1404</v>
      </c>
      <c r="C1271" s="72">
        <f>IFERROR(__xludf.DUMMYFUNCTION("iferror(divide(googlefinance($B1271,""marketcap""),1000000),"""")"),3275.392629)</f>
        <v>3275.392629</v>
      </c>
      <c r="D1271" s="72">
        <f>IFERROR(__xludf.DUMMYFUNCTION("iferror(divide(googlefinance($B1271,""shares""),1000),"""")"),4309727.144)</f>
        <v>4309727.144</v>
      </c>
      <c r="E1271" s="72">
        <f>IFERROR(__xludf.DUMMYFUNCTION("iferror(divide(googlefinance($B1271,""volumeavg""),1000),"""")"),6851.036)</f>
        <v>6851.036</v>
      </c>
      <c r="F1271" s="73">
        <f>IFERROR(__xludf.DUMMYFUNCTION("iferror(MINUS(divide(GOOGLEFINANCE($B1271), INDEX(GOOGLEFINANCE($B1271,""price"",today()-182),2,2)),1),"""")"),-0.20000000000000007)</f>
        <v>-0.2</v>
      </c>
      <c r="G1271" s="61">
        <f>IFERROR(__xludf.DUMMYFUNCTION("iferror(MINUS(divide(GOOGLEFINANCE($B1271), INDEX(GOOGLEFINANCE($B1271,""price"",today()-364),2,2)),1),"""")"),-0.4285714285714286)</f>
        <v>-0.4285714286</v>
      </c>
    </row>
    <row r="1272">
      <c r="A1272" s="71">
        <f t="shared" si="4"/>
        <v>1268</v>
      </c>
      <c r="B1272" s="47" t="s">
        <v>1405</v>
      </c>
      <c r="C1272" s="72">
        <f>IFERROR(__xludf.DUMMYFUNCTION("iferror(divide(googlefinance($B1272,""marketcap""),1000000),"""")"),17569.368051)</f>
        <v>17569.36805</v>
      </c>
      <c r="D1272" s="72">
        <f>IFERROR(__xludf.DUMMYFUNCTION("iferror(divide(googlefinance($B1272,""shares""),1000),"""")"),875652.0)</f>
        <v>875652</v>
      </c>
      <c r="E1272" s="72">
        <f>IFERROR(__xludf.DUMMYFUNCTION("iferror(divide(googlefinance($B1272,""volumeavg""),1000),"""")"),288.309)</f>
        <v>288.309</v>
      </c>
      <c r="F1272" s="73">
        <f>IFERROR(__xludf.DUMMYFUNCTION("iferror(MINUS(divide(GOOGLEFINANCE($B1272), INDEX(GOOGLEFINANCE($B1272,""price"",today()-182),2,2)),1),"""")"),0.312601758384891)</f>
        <v>0.3126017584</v>
      </c>
      <c r="G1272" s="61">
        <f>IFERROR(__xludf.DUMMYFUNCTION("iferror(MINUS(divide(GOOGLEFINANCE($B1272), INDEX(GOOGLEFINANCE($B1272,""price"",today()-364),2,2)),1),"""")"),-0.15616495708603728)</f>
        <v>-0.1561649571</v>
      </c>
    </row>
    <row r="1273">
      <c r="A1273" s="71">
        <f t="shared" si="4"/>
        <v>1269</v>
      </c>
      <c r="B1273" s="47" t="s">
        <v>1406</v>
      </c>
      <c r="C1273" s="72">
        <f>IFERROR(__xludf.DUMMYFUNCTION("iferror(divide(googlefinance($B1273,""marketcap""),1000000),"""")"),30634.677412)</f>
        <v>30634.67741</v>
      </c>
      <c r="D1273" s="72">
        <f>IFERROR(__xludf.DUMMYFUNCTION("iferror(divide(googlefinance($B1273,""shares""),1000),"""")"),151762.0)</f>
        <v>151762</v>
      </c>
      <c r="E1273" s="72">
        <f>IFERROR(__xludf.DUMMYFUNCTION("iferror(divide(googlefinance($B1273,""volumeavg""),1000),"""")"),860.381)</f>
        <v>860.381</v>
      </c>
      <c r="F1273" s="73">
        <f>IFERROR(__xludf.DUMMYFUNCTION("iferror(MINUS(divide(GOOGLEFINANCE($B1273), INDEX(GOOGLEFINANCE($B1273,""price"",today()-182),2,2)),1),"""")"),0.8350909090909091)</f>
        <v>0.8350909091</v>
      </c>
      <c r="G1273" s="61">
        <f>IFERROR(__xludf.DUMMYFUNCTION("iferror(MINUS(divide(GOOGLEFINANCE($B1273), INDEX(GOOGLEFINANCE($B1273,""price"",today()-364),2,2)),1),"""")"),0.48732684939581494)</f>
        <v>0.4873268494</v>
      </c>
    </row>
    <row r="1274">
      <c r="A1274" s="71">
        <f t="shared" si="4"/>
        <v>1270</v>
      </c>
      <c r="B1274" s="47" t="s">
        <v>1407</v>
      </c>
      <c r="C1274" s="72">
        <f>IFERROR(__xludf.DUMMYFUNCTION("iferror(divide(googlefinance($B1274,""marketcap""),1000000),"""")"),65552.849205)</f>
        <v>65552.84921</v>
      </c>
      <c r="D1274" s="72">
        <f>IFERROR(__xludf.DUMMYFUNCTION("iferror(divide(googlefinance($B1274,""shares""),1000),"""")"),1258937.0)</f>
        <v>1258937</v>
      </c>
      <c r="E1274" s="72">
        <f>IFERROR(__xludf.DUMMYFUNCTION("iferror(divide(googlefinance($B1274,""volumeavg""),1000),"""")"),988.192)</f>
        <v>988.192</v>
      </c>
      <c r="F1274" s="73">
        <f>IFERROR(__xludf.DUMMYFUNCTION("iferror(MINUS(divide(GOOGLEFINANCE($B1274), INDEX(GOOGLEFINANCE($B1274,""price"",today()-182),2,2)),1),"""")"),0.3695423461336138)</f>
        <v>0.3695423461</v>
      </c>
      <c r="G1274" s="61">
        <f>IFERROR(__xludf.DUMMYFUNCTION("iferror(MINUS(divide(GOOGLEFINANCE($B1274), INDEX(GOOGLEFINANCE($B1274,""price"",today()-364),2,2)),1),"""")"),0.12074903142488158)</f>
        <v>0.1207490314</v>
      </c>
    </row>
    <row r="1275">
      <c r="A1275" s="71">
        <f t="shared" si="4"/>
        <v>1271</v>
      </c>
      <c r="B1275" s="47" t="s">
        <v>1408</v>
      </c>
      <c r="C1275" s="72">
        <f>IFERROR(__xludf.DUMMYFUNCTION("iferror(divide(googlefinance($B1275,""marketcap""),1000000),"""")"),7300.00019)</f>
        <v>7300.00019</v>
      </c>
      <c r="D1275" s="72">
        <f>IFERROR(__xludf.DUMMYFUNCTION("iferror(divide(googlefinance($B1275,""shares""),1000),"""")"),1000000.0)</f>
        <v>1000000</v>
      </c>
      <c r="E1275" s="72">
        <f>IFERROR(__xludf.DUMMYFUNCTION("iferror(divide(googlefinance($B1275,""volumeavg""),1000),"""")"),17329.755)</f>
        <v>17329.755</v>
      </c>
      <c r="F1275" s="73">
        <f>IFERROR(__xludf.DUMMYFUNCTION("iferror(MINUS(divide(GOOGLEFINANCE($B1275), INDEX(GOOGLEFINANCE($B1275,""price"",today()-182),2,2)),1),"""")"),0.556503198294243)</f>
        <v>0.5565031983</v>
      </c>
      <c r="G1275" s="61">
        <f>IFERROR(__xludf.DUMMYFUNCTION("iferror(MINUS(divide(GOOGLEFINANCE($B1275), INDEX(GOOGLEFINANCE($B1275,""price"",today()-364),2,2)),1),"""")"),0.26956521739130435)</f>
        <v>0.2695652174</v>
      </c>
    </row>
    <row r="1276">
      <c r="A1276" s="71">
        <f t="shared" si="4"/>
        <v>1272</v>
      </c>
      <c r="B1276" s="47" t="s">
        <v>1409</v>
      </c>
      <c r="C1276" s="72">
        <f>IFERROR(__xludf.DUMMYFUNCTION("iferror(divide(googlefinance($B1276,""marketcap""),1000000),"""")"),99.04869)</f>
        <v>99.04869</v>
      </c>
      <c r="D1276" s="72">
        <f>IFERROR(__xludf.DUMMYFUNCTION("iferror(divide(googlefinance($B1276,""shares""),1000),"""")"),480819.0)</f>
        <v>480819</v>
      </c>
      <c r="E1276" s="72">
        <f>IFERROR(__xludf.DUMMYFUNCTION("iferror(divide(googlefinance($B1276,""volumeavg""),1000),"""")"),374.844)</f>
        <v>374.844</v>
      </c>
      <c r="F1276" s="73">
        <f>IFERROR(__xludf.DUMMYFUNCTION("iferror(MINUS(divide(GOOGLEFINANCE($B1276), INDEX(GOOGLEFINANCE($B1276,""price"",today()-182),2,2)),1),"""")"),1.0)</f>
        <v>1</v>
      </c>
      <c r="G1276" s="61">
        <f>IFERROR(__xludf.DUMMYFUNCTION("iferror(MINUS(divide(GOOGLEFINANCE($B1276), INDEX(GOOGLEFINANCE($B1276,""price"",today()-364),2,2)),1),"""")"),0.09574468085106402)</f>
        <v>0.09574468085</v>
      </c>
    </row>
    <row r="1277">
      <c r="A1277" s="71">
        <f t="shared" si="4"/>
        <v>1273</v>
      </c>
      <c r="B1277" s="47" t="s">
        <v>1410</v>
      </c>
      <c r="C1277" s="72">
        <f>IFERROR(__xludf.DUMMYFUNCTION("iferror(divide(googlefinance($B1277,""marketcap""),1000000),"""")"),794.993794)</f>
        <v>794.993794</v>
      </c>
      <c r="D1277" s="72">
        <f>IFERROR(__xludf.DUMMYFUNCTION("iferror(divide(googlefinance($B1277,""shares""),1000),"""")"),236400.512)</f>
        <v>236400.512</v>
      </c>
      <c r="E1277" s="72">
        <f>IFERROR(__xludf.DUMMYFUNCTION("iferror(divide(googlefinance($B1277,""volumeavg""),1000),"""")"),363.288)</f>
        <v>363.288</v>
      </c>
      <c r="F1277" s="73" t="str">
        <f>IFERROR(__xludf.DUMMYFUNCTION("iferror(MINUS(divide(GOOGLEFINANCE($B1277), INDEX(GOOGLEFINANCE($B1277,""price"",today()-182),2,2)),1),"""")"),"")</f>
        <v/>
      </c>
      <c r="G1277" s="61" t="str">
        <f>IFERROR(__xludf.DUMMYFUNCTION("iferror(MINUS(divide(GOOGLEFINANCE($B1277), INDEX(GOOGLEFINANCE($B1277,""price"",today()-364),2,2)),1),"""")"),"")</f>
        <v/>
      </c>
    </row>
    <row r="1278">
      <c r="A1278" s="71">
        <f t="shared" si="4"/>
        <v>1274</v>
      </c>
      <c r="B1278" s="47" t="s">
        <v>1411</v>
      </c>
      <c r="C1278" s="72">
        <f>IFERROR(__xludf.DUMMYFUNCTION("iferror(divide(googlefinance($B1278,""marketcap""),1000000),"""")"),2454.20853)</f>
        <v>2454.20853</v>
      </c>
      <c r="D1278" s="72">
        <f>IFERROR(__xludf.DUMMYFUNCTION("iferror(divide(googlefinance($B1278,""shares""),1000),"""")"),43056.0)</f>
        <v>43056</v>
      </c>
      <c r="E1278" s="72">
        <f>IFERROR(__xludf.DUMMYFUNCTION("iferror(divide(googlefinance($B1278,""volumeavg""),1000),"""")"),350.27)</f>
        <v>350.27</v>
      </c>
      <c r="F1278" s="73">
        <f>IFERROR(__xludf.DUMMYFUNCTION("iferror(MINUS(divide(GOOGLEFINANCE($B1278), INDEX(GOOGLEFINANCE($B1278,""price"",today()-182),2,2)),1),"""")"),1.1436630312147424)</f>
        <v>1.143663031</v>
      </c>
      <c r="G1278" s="61">
        <f>IFERROR(__xludf.DUMMYFUNCTION("iferror(MINUS(divide(GOOGLEFINANCE($B1278), INDEX(GOOGLEFINANCE($B1278,""price"",today()-364),2,2)),1),"""")"),0.1473429951690821)</f>
        <v>0.1473429952</v>
      </c>
    </row>
    <row r="1279">
      <c r="A1279" s="71">
        <f t="shared" si="4"/>
        <v>1275</v>
      </c>
      <c r="B1279" s="47" t="s">
        <v>1412</v>
      </c>
      <c r="C1279" s="72">
        <f>IFERROR(__xludf.DUMMYFUNCTION("iferror(divide(googlefinance($B1279,""marketcap""),1000000),"""")"),15.297919)</f>
        <v>15.297919</v>
      </c>
      <c r="D1279" s="72">
        <f>IFERROR(__xludf.DUMMYFUNCTION("iferror(divide(googlefinance($B1279,""shares""),1000),"""")"),18656.0)</f>
        <v>18656</v>
      </c>
      <c r="E1279" s="72">
        <f>IFERROR(__xludf.DUMMYFUNCTION("iferror(divide(googlefinance($B1279,""volumeavg""),1000),"""")"),437.288)</f>
        <v>437.288</v>
      </c>
      <c r="F1279" s="73">
        <f>IFERROR(__xludf.DUMMYFUNCTION("iferror(MINUS(divide(GOOGLEFINANCE($B1279), INDEX(GOOGLEFINANCE($B1279,""price"",today()-182),2,2)),1),"""")"),1.1578947368421053)</f>
        <v>1.157894737</v>
      </c>
      <c r="G1279" s="61">
        <f>IFERROR(__xludf.DUMMYFUNCTION("iferror(MINUS(divide(GOOGLEFINANCE($B1279), INDEX(GOOGLEFINANCE($B1279,""price"",today()-364),2,2)),1),"""")"),-0.023809523809523836)</f>
        <v>-0.02380952381</v>
      </c>
    </row>
    <row r="1280">
      <c r="A1280" s="71">
        <f t="shared" si="4"/>
        <v>1276</v>
      </c>
      <c r="B1280" s="47" t="s">
        <v>1413</v>
      </c>
      <c r="C1280" s="72">
        <f>IFERROR(__xludf.DUMMYFUNCTION("iferror(divide(googlefinance($B1280,""marketcap""),1000000),"""")"),667.459418)</f>
        <v>667.459418</v>
      </c>
      <c r="D1280" s="72">
        <f>IFERROR(__xludf.DUMMYFUNCTION("iferror(divide(googlefinance($B1280,""shares""),1000),"""")"),145734.0)</f>
        <v>145734</v>
      </c>
      <c r="E1280" s="72">
        <f>IFERROR(__xludf.DUMMYFUNCTION("iferror(divide(googlefinance($B1280,""volumeavg""),1000),"""")"),2345.262)</f>
        <v>2345.262</v>
      </c>
      <c r="F1280" s="73">
        <f>IFERROR(__xludf.DUMMYFUNCTION("iferror(MINUS(divide(GOOGLEFINANCE($B1280), INDEX(GOOGLEFINANCE($B1280,""price"",today()-182),2,2)),1),"""")"),0.9913043478260872)</f>
        <v>0.9913043478</v>
      </c>
      <c r="G1280" s="61">
        <f>IFERROR(__xludf.DUMMYFUNCTION("iferror(MINUS(divide(GOOGLEFINANCE($B1280), INDEX(GOOGLEFINANCE($B1280,""price"",today()-364),2,2)),1),"""")"),-0.488268156424581)</f>
        <v>-0.4882681564</v>
      </c>
    </row>
    <row r="1281">
      <c r="A1281" s="71">
        <f t="shared" si="4"/>
        <v>1277</v>
      </c>
      <c r="B1281" s="47" t="s">
        <v>1414</v>
      </c>
      <c r="C1281" s="72">
        <f>IFERROR(__xludf.DUMMYFUNCTION("iferror(divide(googlefinance($B1281,""marketcap""),1000000),"""")"),2192.754264)</f>
        <v>2192.754264</v>
      </c>
      <c r="D1281" s="72">
        <f>IFERROR(__xludf.DUMMYFUNCTION("iferror(divide(googlefinance($B1281,""shares""),1000),"""")"),105624.0)</f>
        <v>105624</v>
      </c>
      <c r="E1281" s="72">
        <f>IFERROR(__xludf.DUMMYFUNCTION("iferror(divide(googlefinance($B1281,""volumeavg""),1000),"""")"),4855.719)</f>
        <v>4855.719</v>
      </c>
      <c r="F1281" s="73">
        <f>IFERROR(__xludf.DUMMYFUNCTION("iferror(MINUS(divide(GOOGLEFINANCE($B1281), INDEX(GOOGLEFINANCE($B1281,""price"",today()-182),2,2)),1),"""")"),0.10543130990415328)</f>
        <v>0.1054313099</v>
      </c>
      <c r="G1281" s="61">
        <f>IFERROR(__xludf.DUMMYFUNCTION("iferror(MINUS(divide(GOOGLEFINANCE($B1281), INDEX(GOOGLEFINANCE($B1281,""price"",today()-364),2,2)),1),"""")"),-0.7508401344215074)</f>
        <v>-0.7508401344</v>
      </c>
    </row>
    <row r="1282">
      <c r="A1282" s="71">
        <f t="shared" si="4"/>
        <v>1278</v>
      </c>
      <c r="B1282" s="47" t="s">
        <v>1415</v>
      </c>
      <c r="C1282" s="72">
        <f>IFERROR(__xludf.DUMMYFUNCTION("iferror(divide(googlefinance($B1282,""marketcap""),1000000),"""")"),257.9909)</f>
        <v>257.9909</v>
      </c>
      <c r="D1282" s="72">
        <f>IFERROR(__xludf.DUMMYFUNCTION("iferror(divide(googlefinance($B1282,""shares""),1000),"""")"),25938.0)</f>
        <v>25938</v>
      </c>
      <c r="E1282" s="72">
        <f>IFERROR(__xludf.DUMMYFUNCTION("iferror(divide(googlefinance($B1282,""volumeavg""),1000),"""")"),431.711)</f>
        <v>431.711</v>
      </c>
      <c r="F1282" s="73">
        <f>IFERROR(__xludf.DUMMYFUNCTION("iferror(MINUS(divide(GOOGLEFINANCE($B1282), INDEX(GOOGLEFINANCE($B1282,""price"",today()-182),2,2)),1),"""")"),0.7211703958691911)</f>
        <v>0.7211703959</v>
      </c>
      <c r="G1282" s="61">
        <f>IFERROR(__xludf.DUMMYFUNCTION("iferror(MINUS(divide(GOOGLEFINANCE($B1282), INDEX(GOOGLEFINANCE($B1282,""price"",today()-364),2,2)),1),"""")"),-0.15038232795242135)</f>
        <v>-0.150382328</v>
      </c>
    </row>
    <row r="1283">
      <c r="A1283" s="71">
        <f t="shared" si="4"/>
        <v>1279</v>
      </c>
      <c r="B1283" s="47" t="s">
        <v>1416</v>
      </c>
      <c r="C1283" s="72">
        <f>IFERROR(__xludf.DUMMYFUNCTION("iferror(divide(googlefinance($B1283,""marketcap""),1000000),"""")"),612.744313)</f>
        <v>612.744313</v>
      </c>
      <c r="D1283" s="72">
        <f>IFERROR(__xludf.DUMMYFUNCTION("iferror(divide(googlefinance($B1283,""shares""),1000),"""")"),35833.0)</f>
        <v>35833</v>
      </c>
      <c r="E1283" s="72">
        <f>IFERROR(__xludf.DUMMYFUNCTION("iferror(divide(googlefinance($B1283,""volumeavg""),1000),"""")"),424.995)</f>
        <v>424.995</v>
      </c>
      <c r="F1283" s="73">
        <f>IFERROR(__xludf.DUMMYFUNCTION("iferror(MINUS(divide(GOOGLEFINANCE($B1283), INDEX(GOOGLEFINANCE($B1283,""price"",today()-182),2,2)),1),"""")"),0.13772455089820368)</f>
        <v>0.1377245509</v>
      </c>
      <c r="G1283" s="61">
        <f>IFERROR(__xludf.DUMMYFUNCTION("iferror(MINUS(divide(GOOGLEFINANCE($B1283), INDEX(GOOGLEFINANCE($B1283,""price"",today()-364),2,2)),1),"""")"),0.4369747899159664)</f>
        <v>0.4369747899</v>
      </c>
    </row>
    <row r="1284">
      <c r="A1284" s="71">
        <f t="shared" si="4"/>
        <v>1280</v>
      </c>
      <c r="B1284" s="47" t="s">
        <v>1417</v>
      </c>
      <c r="C1284" s="72">
        <f>IFERROR(__xludf.DUMMYFUNCTION("iferror(divide(googlefinance($B1284,""marketcap""),1000000),"""")"),580.409188)</f>
        <v>580.409188</v>
      </c>
      <c r="D1284" s="72">
        <f>IFERROR(__xludf.DUMMYFUNCTION("iferror(divide(googlefinance($B1284,""shares""),1000),"""")"),43607.0)</f>
        <v>43607</v>
      </c>
      <c r="E1284" s="72">
        <f>IFERROR(__xludf.DUMMYFUNCTION("iferror(divide(googlefinance($B1284,""volumeavg""),1000),"""")"),1377.547)</f>
        <v>1377.547</v>
      </c>
      <c r="F1284" s="73">
        <f>IFERROR(__xludf.DUMMYFUNCTION("iferror(MINUS(divide(GOOGLEFINANCE($B1284), INDEX(GOOGLEFINANCE($B1284,""price"",today()-182),2,2)),1),"""")"),1.609803921568628)</f>
        <v>1.609803922</v>
      </c>
      <c r="G1284" s="61">
        <f>IFERROR(__xludf.DUMMYFUNCTION("iferror(MINUS(divide(GOOGLEFINANCE($B1284), INDEX(GOOGLEFINANCE($B1284,""price"",today()-364),2,2)),1),"""")"),1.8623655913978494)</f>
        <v>1.862365591</v>
      </c>
    </row>
    <row r="1285">
      <c r="A1285" s="71">
        <f t="shared" si="4"/>
        <v>1281</v>
      </c>
      <c r="B1285" s="47" t="s">
        <v>1418</v>
      </c>
      <c r="C1285" s="72">
        <f>IFERROR(__xludf.DUMMYFUNCTION("iferror(divide(googlefinance($B1285,""marketcap""),1000000),"""")"),1682.150598)</f>
        <v>1682.150598</v>
      </c>
      <c r="D1285" s="72">
        <f>IFERROR(__xludf.DUMMYFUNCTION("iferror(divide(googlefinance($B1285,""shares""),1000),"""")"),170086.0)</f>
        <v>170086</v>
      </c>
      <c r="E1285" s="72">
        <f>IFERROR(__xludf.DUMMYFUNCTION("iferror(divide(googlefinance($B1285,""volumeavg""),1000),"""")"),5750.664)</f>
        <v>5750.664</v>
      </c>
      <c r="F1285" s="73">
        <f>IFERROR(__xludf.DUMMYFUNCTION("iferror(MINUS(divide(GOOGLEFINANCE($B1285), INDEX(GOOGLEFINANCE($B1285,""price"",today()-182),2,2)),1),"""")"),1.6026315789473689)</f>
        <v>1.602631579</v>
      </c>
      <c r="G1285" s="61">
        <f>IFERROR(__xludf.DUMMYFUNCTION("iferror(MINUS(divide(GOOGLEFINANCE($B1285), INDEX(GOOGLEFINANCE($B1285,""price"",today()-364),2,2)),1),"""")"),0.028066528066528207)</f>
        <v>0.02806652807</v>
      </c>
    </row>
    <row r="1286">
      <c r="A1286" s="71">
        <f t="shared" si="4"/>
        <v>1282</v>
      </c>
      <c r="B1286" s="47" t="s">
        <v>1419</v>
      </c>
      <c r="C1286" s="72">
        <f>IFERROR(__xludf.DUMMYFUNCTION("iferror(divide(googlefinance($B1286,""marketcap""),1000000),"""")"),4137.357361)</f>
        <v>4137.357361</v>
      </c>
      <c r="D1286" s="72">
        <f>IFERROR(__xludf.DUMMYFUNCTION("iferror(divide(googlefinance($B1286,""shares""),1000),"""")"),120377.0)</f>
        <v>120377</v>
      </c>
      <c r="E1286" s="72">
        <f>IFERROR(__xludf.DUMMYFUNCTION("iferror(divide(googlefinance($B1286,""volumeavg""),1000),"""")"),620.059)</f>
        <v>620.059</v>
      </c>
      <c r="F1286" s="73">
        <f>IFERROR(__xludf.DUMMYFUNCTION("iferror(MINUS(divide(GOOGLEFINANCE($B1286), INDEX(GOOGLEFINANCE($B1286,""price"",today()-182),2,2)),1),"""")"),1.1427680798004989)</f>
        <v>1.14276808</v>
      </c>
      <c r="G1286" s="61">
        <f>IFERROR(__xludf.DUMMYFUNCTION("iferror(MINUS(divide(GOOGLEFINANCE($B1286), INDEX(GOOGLEFINANCE($B1286,""price"",today()-364),2,2)),1),"""")"),0.2341113105924595)</f>
        <v>0.2341113106</v>
      </c>
    </row>
    <row r="1287">
      <c r="A1287" s="71">
        <f t="shared" si="4"/>
        <v>1283</v>
      </c>
      <c r="B1287" s="47" t="s">
        <v>1420</v>
      </c>
      <c r="C1287" s="72">
        <f>IFERROR(__xludf.DUMMYFUNCTION("iferror(divide(googlefinance($B1287,""marketcap""),1000000),"""")"),748.262019)</f>
        <v>748.262019</v>
      </c>
      <c r="D1287" s="72">
        <f>IFERROR(__xludf.DUMMYFUNCTION("iferror(divide(googlefinance($B1287,""shares""),1000),"""")"),121078.0)</f>
        <v>121078</v>
      </c>
      <c r="E1287" s="72">
        <f>IFERROR(__xludf.DUMMYFUNCTION("iferror(divide(googlefinance($B1287,""volumeavg""),1000),"""")"),156.832)</f>
        <v>156.832</v>
      </c>
      <c r="F1287" s="73">
        <f>IFERROR(__xludf.DUMMYFUNCTION("iferror(MINUS(divide(GOOGLEFINANCE($B1287), INDEX(GOOGLEFINANCE($B1287,""price"",today()-182),2,2)),1),"""")"),0.5449999999999999)</f>
        <v>0.545</v>
      </c>
      <c r="G1287" s="61">
        <f>IFERROR(__xludf.DUMMYFUNCTION("iferror(MINUS(divide(GOOGLEFINANCE($B1287), INDEX(GOOGLEFINANCE($B1287,""price"",today()-364),2,2)),1),"""")"),0.5927835051546391)</f>
        <v>0.5927835052</v>
      </c>
    </row>
    <row r="1288">
      <c r="A1288" s="71">
        <f t="shared" si="4"/>
        <v>1284</v>
      </c>
      <c r="B1288" s="54" t="s">
        <v>1421</v>
      </c>
      <c r="C1288" s="72">
        <f>IFERROR(__xludf.DUMMYFUNCTION("iferror(divide(googlefinance($B1288,""marketcap""),1000000),"""")"),2418.319443)</f>
        <v>2418.319443</v>
      </c>
      <c r="D1288" s="72">
        <f>IFERROR(__xludf.DUMMYFUNCTION("iferror(divide(googlefinance($B1288,""shares""),1000),"""")"),255097.0)</f>
        <v>255097</v>
      </c>
      <c r="E1288" s="72">
        <f>IFERROR(__xludf.DUMMYFUNCTION("iferror(divide(googlefinance($B1288,""volumeavg""),1000),"""")"),51999.18)</f>
        <v>51999.18</v>
      </c>
      <c r="F1288" s="73">
        <f>IFERROR(__xludf.DUMMYFUNCTION("iferror(MINUS(divide(GOOGLEFINANCE($B1288), INDEX(GOOGLEFINANCE($B1288,""price"",today()-182),2,2)),1),"""")"),3.6243902439024396)</f>
        <v>3.624390244</v>
      </c>
      <c r="G1288" s="61">
        <f>IFERROR(__xludf.DUMMYFUNCTION("iferror(MINUS(divide(GOOGLEFINANCE($B1288), INDEX(GOOGLEFINANCE($B1288,""price"",today()-364),2,2)),1),"""")"),3.157894736842106)</f>
        <v>3.157894737</v>
      </c>
    </row>
    <row r="1289">
      <c r="A1289" s="71">
        <f t="shared" si="4"/>
        <v>1285</v>
      </c>
      <c r="B1289" s="54" t="s">
        <v>1422</v>
      </c>
      <c r="C1289" s="72">
        <f>IFERROR(__xludf.DUMMYFUNCTION("iferror(divide(googlefinance($B1289,""marketcap""),1000000),"""")"),11307.075054)</f>
        <v>11307.07505</v>
      </c>
      <c r="D1289" s="72">
        <f>IFERROR(__xludf.DUMMYFUNCTION("iferror(divide(googlefinance($B1289,""shares""),1000),"""")"),78505.0)</f>
        <v>78505</v>
      </c>
      <c r="E1289" s="72">
        <f>IFERROR(__xludf.DUMMYFUNCTION("iferror(divide(googlefinance($B1289,""volumeavg""),1000),"""")"),779.805)</f>
        <v>779.805</v>
      </c>
      <c r="F1289" s="73">
        <f>IFERROR(__xludf.DUMMYFUNCTION("iferror(MINUS(divide(GOOGLEFINANCE($B1289), INDEX(GOOGLEFINANCE($B1289,""price"",today()-182),2,2)),1),"""")"),0.6553269739110446)</f>
        <v>0.6553269739</v>
      </c>
      <c r="G1289" s="61">
        <f>IFERROR(__xludf.DUMMYFUNCTION("iferror(MINUS(divide(GOOGLEFINANCE($B1289), INDEX(GOOGLEFINANCE($B1289,""price"",today()-364),2,2)),1),"""")"),0.7456065931402254)</f>
        <v>0.7456065931</v>
      </c>
    </row>
    <row r="1290">
      <c r="A1290" s="71">
        <f t="shared" si="4"/>
        <v>1286</v>
      </c>
      <c r="B1290" s="47" t="s">
        <v>1423</v>
      </c>
      <c r="C1290" s="72">
        <f>IFERROR(__xludf.DUMMYFUNCTION("iferror(divide(googlefinance($B1290,""marketcap""),1000000),"""")"),124.17675)</f>
        <v>124.17675</v>
      </c>
      <c r="D1290" s="72">
        <f>IFERROR(__xludf.DUMMYFUNCTION("iferror(divide(googlefinance($B1290,""shares""),1000),"""")"),10396.0)</f>
        <v>10396</v>
      </c>
      <c r="E1290" s="72">
        <f>IFERROR(__xludf.DUMMYFUNCTION("iferror(divide(googlefinance($B1290,""volumeavg""),1000),"""")"),19.177)</f>
        <v>19.177</v>
      </c>
      <c r="F1290" s="73">
        <f>IFERROR(__xludf.DUMMYFUNCTION("iferror(MINUS(divide(GOOGLEFINANCE($B1290), INDEX(GOOGLEFINANCE($B1290,""price"",today()-182),2,2)),1),"""")"),0.2739872068230276)</f>
        <v>0.2739872068</v>
      </c>
      <c r="G1290" s="61">
        <f>IFERROR(__xludf.DUMMYFUNCTION("iferror(MINUS(divide(GOOGLEFINANCE($B1290), INDEX(GOOGLEFINANCE($B1290,""price"",today()-364),2,2)),1),"""")"),-0.2886904761904763)</f>
        <v>-0.2886904762</v>
      </c>
    </row>
    <row r="1291">
      <c r="A1291" s="71">
        <f t="shared" si="4"/>
        <v>1287</v>
      </c>
      <c r="B1291" s="47" t="s">
        <v>1424</v>
      </c>
      <c r="C1291" s="72">
        <f>IFERROR(__xludf.DUMMYFUNCTION("iferror(divide(googlefinance($B1291,""marketcap""),1000000),"""")"),533.567518)</f>
        <v>533.567518</v>
      </c>
      <c r="D1291" s="72">
        <f>IFERROR(__xludf.DUMMYFUNCTION("iferror(divide(googlefinance($B1291,""shares""),1000),"""")"),29875.0)</f>
        <v>29875</v>
      </c>
      <c r="E1291" s="72">
        <f>IFERROR(__xludf.DUMMYFUNCTION("iferror(divide(googlefinance($B1291,""volumeavg""),1000),"""")"),135.932)</f>
        <v>135.932</v>
      </c>
      <c r="F1291" s="73">
        <f>IFERROR(__xludf.DUMMYFUNCTION("iferror(MINUS(divide(GOOGLEFINANCE($B1291), INDEX(GOOGLEFINANCE($B1291,""price"",today()-182),2,2)),1),"""")"),0.19066666666666654)</f>
        <v>0.1906666667</v>
      </c>
      <c r="G1291" s="61">
        <f>IFERROR(__xludf.DUMMYFUNCTION("iferror(MINUS(divide(GOOGLEFINANCE($B1291), INDEX(GOOGLEFINANCE($B1291,""price"",today()-364),2,2)),1),"""")"),0.6075607560756076)</f>
        <v>0.6075607561</v>
      </c>
    </row>
    <row r="1292">
      <c r="A1292" s="71">
        <f t="shared" si="4"/>
        <v>1288</v>
      </c>
      <c r="B1292" s="47" t="s">
        <v>1425</v>
      </c>
      <c r="C1292" s="72">
        <f>IFERROR(__xludf.DUMMYFUNCTION("iferror(divide(googlefinance($B1292,""marketcap""),1000000),"""")"),4335.327053)</f>
        <v>4335.327053</v>
      </c>
      <c r="D1292" s="72">
        <f>IFERROR(__xludf.DUMMYFUNCTION("iferror(divide(googlefinance($B1292,""shares""),1000),"""")"),43475.0)</f>
        <v>43475</v>
      </c>
      <c r="E1292" s="72">
        <f>IFERROR(__xludf.DUMMYFUNCTION("iferror(divide(googlefinance($B1292,""volumeavg""),1000),"""")"),181.515)</f>
        <v>181.515</v>
      </c>
      <c r="F1292" s="73">
        <f>IFERROR(__xludf.DUMMYFUNCTION("iferror(MINUS(divide(GOOGLEFINANCE($B1292), INDEX(GOOGLEFINANCE($B1292,""price"",today()-182),2,2)),1),"""")"),0.7941705649514215)</f>
        <v>0.794170565</v>
      </c>
      <c r="G1292" s="61">
        <f>IFERROR(__xludf.DUMMYFUNCTION("iferror(MINUS(divide(GOOGLEFINANCE($B1292), INDEX(GOOGLEFINANCE($B1292,""price"",today()-364),2,2)),1),"""")"),0.45704266510812386)</f>
        <v>0.4570426651</v>
      </c>
    </row>
    <row r="1293">
      <c r="A1293" s="71">
        <f t="shared" si="4"/>
        <v>1289</v>
      </c>
      <c r="B1293" s="47" t="s">
        <v>1426</v>
      </c>
      <c r="C1293" s="72">
        <f>IFERROR(__xludf.DUMMYFUNCTION("iferror(divide(googlefinance($B1293,""marketcap""),1000000),"""")"),30.825039)</f>
        <v>30.825039</v>
      </c>
      <c r="D1293" s="72">
        <f>IFERROR(__xludf.DUMMYFUNCTION("iferror(divide(googlefinance($B1293,""shares""),1000),"""")"),23534.624)</f>
        <v>23534.624</v>
      </c>
      <c r="E1293" s="72">
        <f>IFERROR(__xludf.DUMMYFUNCTION("iferror(divide(googlefinance($B1293,""volumeavg""),1000),"""")"),0.963)</f>
        <v>0.963</v>
      </c>
      <c r="F1293" s="73">
        <f>IFERROR(__xludf.DUMMYFUNCTION("iferror(MINUS(divide(GOOGLEFINANCE($B1293), INDEX(GOOGLEFINANCE($B1293,""price"",today()-182),2,2)),1),"""")"),0.0)</f>
        <v>0</v>
      </c>
      <c r="G1293" s="61">
        <f>IFERROR(__xludf.DUMMYFUNCTION("iferror(MINUS(divide(GOOGLEFINANCE($B1293), INDEX(GOOGLEFINANCE($B1293,""price"",today()-364),2,2)),1),"""")"),-0.12751677852348986)</f>
        <v>-0.1275167785</v>
      </c>
    </row>
    <row r="1294">
      <c r="A1294" s="71">
        <f t="shared" si="4"/>
        <v>1290</v>
      </c>
      <c r="B1294" s="47" t="s">
        <v>1427</v>
      </c>
      <c r="C1294" s="72">
        <f>IFERROR(__xludf.DUMMYFUNCTION("iferror(divide(googlefinance($B1294,""marketcap""),1000000),"""")"),2768.556544)</f>
        <v>2768.556544</v>
      </c>
      <c r="D1294" s="72">
        <f>IFERROR(__xludf.DUMMYFUNCTION("iferror(divide(googlefinance($B1294,""shares""),1000),"""")"),123321.0)</f>
        <v>123321</v>
      </c>
      <c r="E1294" s="72">
        <f>IFERROR(__xludf.DUMMYFUNCTION("iferror(divide(googlefinance($B1294,""volumeavg""),1000),"""")"),2040.158)</f>
        <v>2040.158</v>
      </c>
      <c r="F1294" s="73">
        <f>IFERROR(__xludf.DUMMYFUNCTION("iferror(MINUS(divide(GOOGLEFINANCE($B1294), INDEX(GOOGLEFINANCE($B1294,""price"",today()-182),2,2)),1),"""")"),1.0844939647168061)</f>
        <v>1.084493965</v>
      </c>
      <c r="G1294" s="61">
        <f>IFERROR(__xludf.DUMMYFUNCTION("iferror(MINUS(divide(GOOGLEFINANCE($B1294), INDEX(GOOGLEFINANCE($B1294,""price"",today()-364),2,2)),1),"""")"),0.5046916890080428)</f>
        <v>0.504691689</v>
      </c>
    </row>
    <row r="1295">
      <c r="A1295" s="71">
        <f t="shared" si="4"/>
        <v>1291</v>
      </c>
      <c r="B1295" s="47" t="s">
        <v>1428</v>
      </c>
      <c r="C1295" s="72">
        <f>IFERROR(__xludf.DUMMYFUNCTION("iferror(divide(googlefinance($B1295,""marketcap""),1000000),"""")"),4406.528897)</f>
        <v>4406.528897</v>
      </c>
      <c r="D1295" s="72" t="str">
        <f>IFERROR(__xludf.DUMMYFUNCTION("iferror(divide(googlefinance($B1295,""shares""),1000),"""")"),"")</f>
        <v/>
      </c>
      <c r="E1295" s="72" t="str">
        <f>IFERROR(__xludf.DUMMYFUNCTION("iferror(divide(googlefinance($B1295,""volumeavg""),1000),"""")"),"")</f>
        <v/>
      </c>
      <c r="F1295" s="73">
        <f>IFERROR(__xludf.DUMMYFUNCTION("iferror(MINUS(divide(GOOGLEFINANCE($B1295), INDEX(GOOGLEFINANCE($B1295,""price"",today()-182),2,2)),1),"""")"),0.15384615384615374)</f>
        <v>0.1538461538</v>
      </c>
      <c r="G1295" s="61">
        <f>IFERROR(__xludf.DUMMYFUNCTION("iferror(MINUS(divide(GOOGLEFINANCE($B1295), INDEX(GOOGLEFINANCE($B1295,""price"",today()-364),2,2)),1),"""")"),-0.21052631578947367)</f>
        <v>-0.2105263158</v>
      </c>
    </row>
    <row r="1296">
      <c r="A1296" s="71">
        <f t="shared" si="4"/>
        <v>1292</v>
      </c>
      <c r="B1296" s="47" t="s">
        <v>1429</v>
      </c>
      <c r="C1296" s="72" t="str">
        <f>IFERROR(__xludf.DUMMYFUNCTION("iferror(divide(googlefinance($B1296,""marketcap""),1000000),"""")"),"")</f>
        <v/>
      </c>
      <c r="D1296" s="72" t="str">
        <f>IFERROR(__xludf.DUMMYFUNCTION("iferror(divide(googlefinance($B1296,""shares""),1000),"""")"),"")</f>
        <v/>
      </c>
      <c r="E1296" s="72" t="str">
        <f>IFERROR(__xludf.DUMMYFUNCTION("iferror(divide(googlefinance($B1296,""volumeavg""),1000),"""")"),"")</f>
        <v/>
      </c>
      <c r="F1296" s="73" t="str">
        <f>IFERROR(__xludf.DUMMYFUNCTION("iferror(MINUS(divide(GOOGLEFINANCE($B1296), INDEX(GOOGLEFINANCE($B1296,""price"",today()-182),2,2)),1),"""")"),"")</f>
        <v/>
      </c>
      <c r="G1296" s="61" t="str">
        <f>IFERROR(__xludf.DUMMYFUNCTION("iferror(MINUS(divide(GOOGLEFINANCE($B1296), INDEX(GOOGLEFINANCE($B1296,""price"",today()-364),2,2)),1),"""")"),"")</f>
        <v/>
      </c>
    </row>
    <row r="1297">
      <c r="A1297" s="71">
        <f t="shared" si="4"/>
        <v>1293</v>
      </c>
      <c r="B1297" s="47" t="s">
        <v>1430</v>
      </c>
      <c r="C1297" s="72">
        <f>IFERROR(__xludf.DUMMYFUNCTION("iferror(divide(googlefinance($B1297,""marketcap""),1000000),"""")"),611.516328)</f>
        <v>611.516328</v>
      </c>
      <c r="D1297" s="72">
        <f>IFERROR(__xludf.DUMMYFUNCTION("iferror(divide(googlefinance($B1297,""shares""),1000),"""")"),89403.0)</f>
        <v>89403</v>
      </c>
      <c r="E1297" s="72">
        <f>IFERROR(__xludf.DUMMYFUNCTION("iferror(divide(googlefinance($B1297,""volumeavg""),1000),"""")"),678.238)</f>
        <v>678.238</v>
      </c>
      <c r="F1297" s="73">
        <f>IFERROR(__xludf.DUMMYFUNCTION("iferror(MINUS(divide(GOOGLEFINANCE($B1297), INDEX(GOOGLEFINANCE($B1297,""price"",today()-182),2,2)),1),"""")"),2.8)</f>
        <v>2.8</v>
      </c>
      <c r="G1297" s="61">
        <f>IFERROR(__xludf.DUMMYFUNCTION("iferror(MINUS(divide(GOOGLEFINANCE($B1297), INDEX(GOOGLEFINANCE($B1297,""price"",today()-364),2,2)),1),"""")"),2.211267605633803)</f>
        <v>2.211267606</v>
      </c>
    </row>
    <row r="1298">
      <c r="A1298" s="71">
        <f t="shared" si="4"/>
        <v>1294</v>
      </c>
      <c r="B1298" s="47" t="s">
        <v>1431</v>
      </c>
      <c r="C1298" s="72">
        <f>IFERROR(__xludf.DUMMYFUNCTION("iferror(divide(googlefinance($B1298,""marketcap""),1000000),"""")"),6576.009948)</f>
        <v>6576.009948</v>
      </c>
      <c r="D1298" s="72">
        <f>IFERROR(__xludf.DUMMYFUNCTION("iferror(divide(googlefinance($B1298,""shares""),1000),"""")"),210365.0)</f>
        <v>210365</v>
      </c>
      <c r="E1298" s="72">
        <f>IFERROR(__xludf.DUMMYFUNCTION("iferror(divide(googlefinance($B1298,""volumeavg""),1000),"""")"),1456.317)</f>
        <v>1456.317</v>
      </c>
      <c r="F1298" s="73">
        <f>IFERROR(__xludf.DUMMYFUNCTION("iferror(MINUS(divide(GOOGLEFINANCE($B1298), INDEX(GOOGLEFINANCE($B1298,""price"",today()-182),2,2)),1),"""")"),0.6618819776714515)</f>
        <v>0.6618819777</v>
      </c>
      <c r="G1298" s="61">
        <f>IFERROR(__xludf.DUMMYFUNCTION("iferror(MINUS(divide(GOOGLEFINANCE($B1298), INDEX(GOOGLEFINANCE($B1298,""price"",today()-364),2,2)),1),"""")"),0.029983525535420164)</f>
        <v>0.02998352554</v>
      </c>
    </row>
    <row r="1299">
      <c r="A1299" s="71">
        <f t="shared" si="4"/>
        <v>1295</v>
      </c>
      <c r="B1299" s="47" t="s">
        <v>1432</v>
      </c>
      <c r="C1299" s="72">
        <f>IFERROR(__xludf.DUMMYFUNCTION("iferror(divide(googlefinance($B1299,""marketcap""),1000000),"""")"),28327.522155)</f>
        <v>28327.52216</v>
      </c>
      <c r="D1299" s="72">
        <f>IFERROR(__xludf.DUMMYFUNCTION("iferror(divide(googlefinance($B1299,""shares""),1000),"""")"),910560.0)</f>
        <v>910560</v>
      </c>
      <c r="E1299" s="72">
        <f>IFERROR(__xludf.DUMMYFUNCTION("iferror(divide(googlefinance($B1299,""volumeavg""),1000),"""")"),2280.479)</f>
        <v>2280.479</v>
      </c>
      <c r="F1299" s="73">
        <f>IFERROR(__xludf.DUMMYFUNCTION("iferror(MINUS(divide(GOOGLEFINANCE($B1299), INDEX(GOOGLEFINANCE($B1299,""price"",today()-182),2,2)),1),"""")"),0.8946406820950059)</f>
        <v>0.8946406821</v>
      </c>
      <c r="G1299" s="61">
        <f>IFERROR(__xludf.DUMMYFUNCTION("iferror(MINUS(divide(GOOGLEFINANCE($B1299), INDEX(GOOGLEFINANCE($B1299,""price"",today()-364),2,2)),1),"""")"),0.6135892116182571)</f>
        <v>0.6135892116</v>
      </c>
    </row>
    <row r="1300">
      <c r="A1300" s="71">
        <f t="shared" si="4"/>
        <v>1296</v>
      </c>
      <c r="B1300" s="47" t="s">
        <v>1433</v>
      </c>
      <c r="C1300" s="72">
        <f>IFERROR(__xludf.DUMMYFUNCTION("iferror(divide(googlefinance($B1300,""marketcap""),1000000),"""")"),3452.575231)</f>
        <v>3452.575231</v>
      </c>
      <c r="D1300" s="72">
        <f>IFERROR(__xludf.DUMMYFUNCTION("iferror(divide(googlefinance($B1300,""shares""),1000),"""")"),111770.0)</f>
        <v>111770</v>
      </c>
      <c r="E1300" s="72">
        <f>IFERROR(__xludf.DUMMYFUNCTION("iferror(divide(googlefinance($B1300,""volumeavg""),1000),"""")"),107.306)</f>
        <v>107.306</v>
      </c>
      <c r="F1300" s="73">
        <f>IFERROR(__xludf.DUMMYFUNCTION("iferror(MINUS(divide(GOOGLEFINANCE($B1300), INDEX(GOOGLEFINANCE($B1300,""price"",today()-182),2,2)),1),"""")"),0.34538327526132395)</f>
        <v>0.3453832753</v>
      </c>
      <c r="G1300" s="61">
        <f>IFERROR(__xludf.DUMMYFUNCTION("iferror(MINUS(divide(GOOGLEFINANCE($B1300), INDEX(GOOGLEFINANCE($B1300,""price"",today()-364),2,2)),1),"""")"),0.3698447893569845)</f>
        <v>0.3698447894</v>
      </c>
    </row>
    <row r="1301">
      <c r="A1301" s="71">
        <f t="shared" si="4"/>
        <v>1297</v>
      </c>
      <c r="B1301" s="47" t="s">
        <v>1434</v>
      </c>
      <c r="C1301" s="72">
        <f>IFERROR(__xludf.DUMMYFUNCTION("iferror(divide(googlefinance($B1301,""marketcap""),1000000),"""")"),778.617906)</f>
        <v>778.617906</v>
      </c>
      <c r="D1301" s="72">
        <f>IFERROR(__xludf.DUMMYFUNCTION("iferror(divide(googlefinance($B1301,""shares""),1000),"""")"),58808.0)</f>
        <v>58808</v>
      </c>
      <c r="E1301" s="72">
        <f>IFERROR(__xludf.DUMMYFUNCTION("iferror(divide(googlefinance($B1301,""volumeavg""),1000),"""")"),1968.375)</f>
        <v>1968.375</v>
      </c>
      <c r="F1301" s="73">
        <f>IFERROR(__xludf.DUMMYFUNCTION("iferror(MINUS(divide(GOOGLEFINANCE($B1301), INDEX(GOOGLEFINANCE($B1301,""price"",today()-182),2,2)),1),"""")"),-0.060326472675656495)</f>
        <v>-0.06032647268</v>
      </c>
      <c r="G1301" s="61">
        <f>IFERROR(__xludf.DUMMYFUNCTION("iferror(MINUS(divide(GOOGLEFINANCE($B1301), INDEX(GOOGLEFINANCE($B1301,""price"",today()-364),2,2)),1),"""")"),-0.5306628855015951)</f>
        <v>-0.5306628855</v>
      </c>
    </row>
    <row r="1302">
      <c r="A1302" s="71">
        <f t="shared" si="4"/>
        <v>1298</v>
      </c>
      <c r="B1302" s="47" t="s">
        <v>1435</v>
      </c>
      <c r="C1302" s="72">
        <f>IFERROR(__xludf.DUMMYFUNCTION("iferror(divide(googlefinance($B1302,""marketcap""),1000000),"""")"),1158.448799)</f>
        <v>1158.448799</v>
      </c>
      <c r="D1302" s="72">
        <f>IFERROR(__xludf.DUMMYFUNCTION("iferror(divide(googlefinance($B1302,""shares""),1000),"""")"),33241.0)</f>
        <v>33241</v>
      </c>
      <c r="E1302" s="72">
        <f>IFERROR(__xludf.DUMMYFUNCTION("iferror(divide(googlefinance($B1302,""volumeavg""),1000),"""")"),80.032)</f>
        <v>80.032</v>
      </c>
      <c r="F1302" s="73">
        <f>IFERROR(__xludf.DUMMYFUNCTION("iferror(MINUS(divide(GOOGLEFINANCE($B1302), INDEX(GOOGLEFINANCE($B1302,""price"",today()-182),2,2)),1),"""")"),0.5691130121566861)</f>
        <v>0.5691130122</v>
      </c>
      <c r="G1302" s="61">
        <f>IFERROR(__xludf.DUMMYFUNCTION("iferror(MINUS(divide(GOOGLEFINANCE($B1302), INDEX(GOOGLEFINANCE($B1302,""price"",today()-364),2,2)),1),"""")"),0.5080051925573346)</f>
        <v>0.5080051926</v>
      </c>
    </row>
    <row r="1303">
      <c r="A1303" s="71">
        <f t="shared" si="4"/>
        <v>1299</v>
      </c>
      <c r="B1303" s="47" t="s">
        <v>1436</v>
      </c>
      <c r="C1303" s="72">
        <f>IFERROR(__xludf.DUMMYFUNCTION("iferror(divide(googlefinance($B1303,""marketcap""),1000000),"""")"),376.111189)</f>
        <v>376.111189</v>
      </c>
      <c r="D1303" s="72">
        <f>IFERROR(__xludf.DUMMYFUNCTION("iferror(divide(googlefinance($B1303,""shares""),1000),"""")"),28068.0)</f>
        <v>28068</v>
      </c>
      <c r="E1303" s="72">
        <f>IFERROR(__xludf.DUMMYFUNCTION("iferror(divide(googlefinance($B1303,""volumeavg""),1000),"""")"),187.687)</f>
        <v>187.687</v>
      </c>
      <c r="F1303" s="73">
        <f>IFERROR(__xludf.DUMMYFUNCTION("iferror(MINUS(divide(GOOGLEFINANCE($B1303), INDEX(GOOGLEFINANCE($B1303,""price"",today()-182),2,2)),1),"""")"),0.7070063694267517)</f>
        <v>0.7070063694</v>
      </c>
      <c r="G1303" s="61">
        <f>IFERROR(__xludf.DUMMYFUNCTION("iferror(MINUS(divide(GOOGLEFINANCE($B1303), INDEX(GOOGLEFINANCE($B1303,""price"",today()-364),2,2)),1),"""")"),0.01669195751138086)</f>
        <v>0.01669195751</v>
      </c>
    </row>
    <row r="1304">
      <c r="A1304" s="71">
        <f t="shared" si="4"/>
        <v>1300</v>
      </c>
      <c r="B1304" s="47" t="s">
        <v>1437</v>
      </c>
      <c r="C1304" s="72">
        <f>IFERROR(__xludf.DUMMYFUNCTION("iferror(divide(googlefinance($B1304,""marketcap""),1000000),"""")"),397.898115)</f>
        <v>397.898115</v>
      </c>
      <c r="D1304" s="72">
        <f>IFERROR(__xludf.DUMMYFUNCTION("iferror(divide(googlefinance($B1304,""shares""),1000),"""")"),35879.0)</f>
        <v>35879</v>
      </c>
      <c r="E1304" s="72">
        <f>IFERROR(__xludf.DUMMYFUNCTION("iferror(divide(googlefinance($B1304,""volumeavg""),1000),"""")"),475.928)</f>
        <v>475.928</v>
      </c>
      <c r="F1304" s="73">
        <f>IFERROR(__xludf.DUMMYFUNCTION("iferror(MINUS(divide(GOOGLEFINANCE($B1304), INDEX(GOOGLEFINANCE($B1304,""price"",today()-182),2,2)),1),"""")"),0.35740514075887386)</f>
        <v>0.3574051408</v>
      </c>
      <c r="G1304" s="61">
        <f>IFERROR(__xludf.DUMMYFUNCTION("iferror(MINUS(divide(GOOGLEFINANCE($B1304), INDEX(GOOGLEFINANCE($B1304,""price"",today()-364),2,2)),1),"""")"),0.04622641509433967)</f>
        <v>0.04622641509</v>
      </c>
    </row>
    <row r="1305">
      <c r="A1305" s="71">
        <f t="shared" si="4"/>
        <v>1301</v>
      </c>
      <c r="B1305" s="47" t="s">
        <v>1438</v>
      </c>
      <c r="C1305" s="72">
        <f>IFERROR(__xludf.DUMMYFUNCTION("iferror(divide(googlefinance($B1305,""marketcap""),1000000),"""")"),83.215023)</f>
        <v>83.215023</v>
      </c>
      <c r="D1305" s="72">
        <f>IFERROR(__xludf.DUMMYFUNCTION("iferror(divide(googlefinance($B1305,""shares""),1000),"""")"),17409.0)</f>
        <v>17409</v>
      </c>
      <c r="E1305" s="72">
        <f>IFERROR(__xludf.DUMMYFUNCTION("iferror(divide(googlefinance($B1305,""volumeavg""),1000),"""")"),4479.106)</f>
        <v>4479.106</v>
      </c>
      <c r="F1305" s="73">
        <f>IFERROR(__xludf.DUMMYFUNCTION("iferror(MINUS(divide(GOOGLEFINANCE($B1305), INDEX(GOOGLEFINANCE($B1305,""price"",today()-182),2,2)),1),"""")"),-0.7584638706417383)</f>
        <v>-0.7584638706</v>
      </c>
      <c r="G1305" s="61">
        <f>IFERROR(__xludf.DUMMYFUNCTION("iferror(MINUS(divide(GOOGLEFINANCE($B1305), INDEX(GOOGLEFINANCE($B1305,""price"",today()-364),2,2)),1),"""")"),-0.6965079365079365)</f>
        <v>-0.6965079365</v>
      </c>
    </row>
    <row r="1306">
      <c r="A1306" s="71">
        <f t="shared" si="4"/>
        <v>1302</v>
      </c>
      <c r="B1306" s="47" t="s">
        <v>1439</v>
      </c>
      <c r="C1306" s="72">
        <f>IFERROR(__xludf.DUMMYFUNCTION("iferror(divide(googlefinance($B1306,""marketcap""),1000000),"""")"),36803.584024)</f>
        <v>36803.58402</v>
      </c>
      <c r="D1306" s="72">
        <f>IFERROR(__xludf.DUMMYFUNCTION("iferror(divide(googlefinance($B1306,""shares""),1000),"""")"),168020.0)</f>
        <v>168020</v>
      </c>
      <c r="E1306" s="72">
        <f>IFERROR(__xludf.DUMMYFUNCTION("iferror(divide(googlefinance($B1306,""volumeavg""),1000),"""")"),993.386)</f>
        <v>993.386</v>
      </c>
      <c r="F1306" s="73">
        <f>IFERROR(__xludf.DUMMYFUNCTION("iferror(MINUS(divide(GOOGLEFINANCE($B1306), INDEX(GOOGLEFINANCE($B1306,""price"",today()-182),2,2)),1),"""")"),0.6057644110275691)</f>
        <v>0.605764411</v>
      </c>
      <c r="G1306" s="61">
        <f>IFERROR(__xludf.DUMMYFUNCTION("iferror(MINUS(divide(GOOGLEFINANCE($B1306), INDEX(GOOGLEFINANCE($B1306,""price"",today()-364),2,2)),1),"""")"),-0.06284739151633345)</f>
        <v>-0.06284739152</v>
      </c>
    </row>
    <row r="1307">
      <c r="A1307" s="71">
        <f t="shared" si="4"/>
        <v>1303</v>
      </c>
      <c r="B1307" s="47" t="s">
        <v>1440</v>
      </c>
      <c r="C1307" s="72">
        <f>IFERROR(__xludf.DUMMYFUNCTION("iferror(divide(googlefinance($B1307,""marketcap""),1000000),"""")"),1921.688197)</f>
        <v>1921.688197</v>
      </c>
      <c r="D1307" s="72">
        <f>IFERROR(__xludf.DUMMYFUNCTION("iferror(divide(googlefinance($B1307,""shares""),1000),"""")"),114115.0)</f>
        <v>114115</v>
      </c>
      <c r="E1307" s="72">
        <f>IFERROR(__xludf.DUMMYFUNCTION("iferror(divide(googlefinance($B1307,""volumeavg""),1000),"""")"),1183.548)</f>
        <v>1183.548</v>
      </c>
      <c r="F1307" s="73">
        <f>IFERROR(__xludf.DUMMYFUNCTION("iferror(MINUS(divide(GOOGLEFINANCE($B1307), INDEX(GOOGLEFINANCE($B1307,""price"",today()-182),2,2)),1),"""")"),0.9223744292237444)</f>
        <v>0.9223744292</v>
      </c>
      <c r="G1307" s="61">
        <f>IFERROR(__xludf.DUMMYFUNCTION("iferror(MINUS(divide(GOOGLEFINANCE($B1307), INDEX(GOOGLEFINANCE($B1307,""price"",today()-364),2,2)),1),"""")"),-0.23524069028156225)</f>
        <v>-0.2352406903</v>
      </c>
    </row>
    <row r="1308">
      <c r="A1308" s="71">
        <f t="shared" si="4"/>
        <v>1304</v>
      </c>
      <c r="B1308" s="47" t="s">
        <v>1441</v>
      </c>
      <c r="C1308" s="72">
        <f>IFERROR(__xludf.DUMMYFUNCTION("iferror(divide(googlefinance($B1308,""marketcap""),1000000),"""")"),1183.886695)</f>
        <v>1183.886695</v>
      </c>
      <c r="D1308" s="72">
        <f>IFERROR(__xludf.DUMMYFUNCTION("iferror(divide(googlefinance($B1308,""shares""),1000),"""")"),52664.0)</f>
        <v>52664</v>
      </c>
      <c r="E1308" s="72">
        <f>IFERROR(__xludf.DUMMYFUNCTION("iferror(divide(googlefinance($B1308,""volumeavg""),1000),"""")"),477.206)</f>
        <v>477.206</v>
      </c>
      <c r="F1308" s="73">
        <f>IFERROR(__xludf.DUMMYFUNCTION("iferror(MINUS(divide(GOOGLEFINANCE($B1308), INDEX(GOOGLEFINANCE($B1308,""price"",today()-182),2,2)),1),"""")"),0.42911633820724737)</f>
        <v>0.4291163382</v>
      </c>
      <c r="G1308" s="61">
        <f>IFERROR(__xludf.DUMMYFUNCTION("iferror(MINUS(divide(GOOGLEFINANCE($B1308), INDEX(GOOGLEFINANCE($B1308,""price"",today()-364),2,2)),1),"""")"),-0.23589394969408572)</f>
        <v>-0.2358939497</v>
      </c>
    </row>
    <row r="1309">
      <c r="A1309" s="71">
        <f t="shared" si="4"/>
        <v>1305</v>
      </c>
      <c r="B1309" s="47" t="s">
        <v>1442</v>
      </c>
      <c r="C1309" s="72">
        <f>IFERROR(__xludf.DUMMYFUNCTION("iferror(divide(googlefinance($B1309,""marketcap""),1000000),"""")"),278.54388)</f>
        <v>278.54388</v>
      </c>
      <c r="D1309" s="72">
        <f>IFERROR(__xludf.DUMMYFUNCTION("iferror(divide(googlefinance($B1309,""shares""),1000),"""")"),39906.0)</f>
        <v>39906</v>
      </c>
      <c r="E1309" s="72">
        <f>IFERROR(__xludf.DUMMYFUNCTION("iferror(divide(googlefinance($B1309,""volumeavg""),1000),"""")"),953.415)</f>
        <v>953.415</v>
      </c>
      <c r="F1309" s="73">
        <f>IFERROR(__xludf.DUMMYFUNCTION("iferror(MINUS(divide(GOOGLEFINANCE($B1309), INDEX(GOOGLEFINANCE($B1309,""price"",today()-182),2,2)),1),"""")"),3.179640718562875)</f>
        <v>3.179640719</v>
      </c>
      <c r="G1309" s="61">
        <f>IFERROR(__xludf.DUMMYFUNCTION("iferror(MINUS(divide(GOOGLEFINANCE($B1309), INDEX(GOOGLEFINANCE($B1309,""price"",today()-364),2,2)),1),"""")"),2.6165803108808294)</f>
        <v>2.616580311</v>
      </c>
    </row>
    <row r="1310">
      <c r="A1310" s="71">
        <f t="shared" si="4"/>
        <v>1306</v>
      </c>
      <c r="B1310" s="47" t="s">
        <v>1443</v>
      </c>
      <c r="C1310" s="72">
        <f>IFERROR(__xludf.DUMMYFUNCTION("iferror(divide(googlefinance($B1310,""marketcap""),1000000),"""")"),70.908358)</f>
        <v>70.908358</v>
      </c>
      <c r="D1310" s="72">
        <f>IFERROR(__xludf.DUMMYFUNCTION("iferror(divide(googlefinance($B1310,""shares""),1000),"""")"),54129.0)</f>
        <v>54129</v>
      </c>
      <c r="E1310" s="72">
        <f>IFERROR(__xludf.DUMMYFUNCTION("iferror(divide(googlefinance($B1310,""volumeavg""),1000),"""")"),313.978)</f>
        <v>313.978</v>
      </c>
      <c r="F1310" s="73">
        <f>IFERROR(__xludf.DUMMYFUNCTION("iferror(MINUS(divide(GOOGLEFINANCE($B1310), INDEX(GOOGLEFINANCE($B1310,""price"",today()-182),2,2)),1),"""")"),-0.3820754716981132)</f>
        <v>-0.3820754717</v>
      </c>
      <c r="G1310" s="61">
        <f>IFERROR(__xludf.DUMMYFUNCTION("iferror(MINUS(divide(GOOGLEFINANCE($B1310), INDEX(GOOGLEFINANCE($B1310,""price"",today()-364),2,2)),1),"""")"),-0.4862745098039215)</f>
        <v>-0.4862745098</v>
      </c>
    </row>
    <row r="1311">
      <c r="A1311" s="71">
        <f t="shared" si="4"/>
        <v>1307</v>
      </c>
      <c r="B1311" s="47" t="s">
        <v>1444</v>
      </c>
      <c r="C1311" s="72">
        <f>IFERROR(__xludf.DUMMYFUNCTION("iferror(divide(googlefinance($B1311,""marketcap""),1000000),"""")"),2404.011996)</f>
        <v>2404.011996</v>
      </c>
      <c r="D1311" s="72">
        <f>IFERROR(__xludf.DUMMYFUNCTION("iferror(divide(googlefinance($B1311,""shares""),1000),"""")"),34003.0)</f>
        <v>34003</v>
      </c>
      <c r="E1311" s="72">
        <f>IFERROR(__xludf.DUMMYFUNCTION("iferror(divide(googlefinance($B1311,""volumeavg""),1000),"""")"),489.461)</f>
        <v>489.461</v>
      </c>
      <c r="F1311" s="73">
        <f>IFERROR(__xludf.DUMMYFUNCTION("iferror(MINUS(divide(GOOGLEFINANCE($B1311), INDEX(GOOGLEFINANCE($B1311,""price"",today()-182),2,2)),1),"""")"),2.052677029360967)</f>
        <v>2.052677029</v>
      </c>
      <c r="G1311" s="61">
        <f>IFERROR(__xludf.DUMMYFUNCTION("iferror(MINUS(divide(GOOGLEFINANCE($B1311), INDEX(GOOGLEFINANCE($B1311,""price"",today()-364),2,2)),1),"""")"),1.1231231231231233)</f>
        <v>1.123123123</v>
      </c>
    </row>
    <row r="1312">
      <c r="A1312" s="71">
        <f t="shared" si="4"/>
        <v>1308</v>
      </c>
      <c r="B1312" s="47" t="s">
        <v>1445</v>
      </c>
      <c r="C1312" s="72">
        <f>IFERROR(__xludf.DUMMYFUNCTION("iferror(divide(googlefinance($B1312,""marketcap""),1000000),"""")"),23111.101061)</f>
        <v>23111.10106</v>
      </c>
      <c r="D1312" s="72">
        <f>IFERROR(__xludf.DUMMYFUNCTION("iferror(divide(googlefinance($B1312,""shares""),1000),"""")"),167036.0)</f>
        <v>167036</v>
      </c>
      <c r="E1312" s="72">
        <f>IFERROR(__xludf.DUMMYFUNCTION("iferror(divide(googlefinance($B1312,""volumeavg""),1000),"""")"),1709.24)</f>
        <v>1709.24</v>
      </c>
      <c r="F1312" s="73">
        <f>IFERROR(__xludf.DUMMYFUNCTION("iferror(MINUS(divide(GOOGLEFINANCE($B1312), INDEX(GOOGLEFINANCE($B1312,""price"",today()-182),2,2)),1),"""")"),0.8781050631193159)</f>
        <v>0.8781050631</v>
      </c>
      <c r="G1312" s="61">
        <f>IFERROR(__xludf.DUMMYFUNCTION("iferror(MINUS(divide(GOOGLEFINANCE($B1312), INDEX(GOOGLEFINANCE($B1312,""price"",today()-364),2,2)),1),"""")"),0.734921630094044)</f>
        <v>0.7349216301</v>
      </c>
    </row>
    <row r="1313">
      <c r="A1313" s="71">
        <f t="shared" si="4"/>
        <v>1309</v>
      </c>
      <c r="B1313" s="47" t="s">
        <v>1446</v>
      </c>
      <c r="C1313" s="72">
        <f>IFERROR(__xludf.DUMMYFUNCTION("iferror(divide(googlefinance($B1313,""marketcap""),1000000),"""")"),2002.487867)</f>
        <v>2002.487867</v>
      </c>
      <c r="D1313" s="72">
        <f>IFERROR(__xludf.DUMMYFUNCTION("iferror(divide(googlefinance($B1313,""shares""),1000),"""")"),43018.0)</f>
        <v>43018</v>
      </c>
      <c r="E1313" s="72">
        <f>IFERROR(__xludf.DUMMYFUNCTION("iferror(divide(googlefinance($B1313,""volumeavg""),1000),"""")"),183.997)</f>
        <v>183.997</v>
      </c>
      <c r="F1313" s="73">
        <f>IFERROR(__xludf.DUMMYFUNCTION("iferror(MINUS(divide(GOOGLEFINANCE($B1313), INDEX(GOOGLEFINANCE($B1313,""price"",today()-182),2,2)),1),"""")"),0.7632575757575757)</f>
        <v>0.7632575758</v>
      </c>
      <c r="G1313" s="61">
        <f>IFERROR(__xludf.DUMMYFUNCTION("iferror(MINUS(divide(GOOGLEFINANCE($B1313), INDEX(GOOGLEFINANCE($B1313,""price"",today()-364),2,2)),1),"""")"),0.7794342507645258)</f>
        <v>0.7794342508</v>
      </c>
    </row>
    <row r="1314">
      <c r="A1314" s="71">
        <f t="shared" si="4"/>
        <v>1310</v>
      </c>
      <c r="B1314" s="47" t="s">
        <v>1447</v>
      </c>
      <c r="C1314" s="72">
        <f>IFERROR(__xludf.DUMMYFUNCTION("iferror(divide(googlefinance($B1314,""marketcap""),1000000),"""")"),298.792471)</f>
        <v>298.792471</v>
      </c>
      <c r="D1314" s="72">
        <f>IFERROR(__xludf.DUMMYFUNCTION("iferror(divide(googlefinance($B1314,""shares""),1000),"""")"),82768.0)</f>
        <v>82768</v>
      </c>
      <c r="E1314" s="72">
        <f>IFERROR(__xludf.DUMMYFUNCTION("iferror(divide(googlefinance($B1314,""volumeavg""),1000),"""")"),591.372)</f>
        <v>591.372</v>
      </c>
      <c r="F1314" s="73">
        <f>IFERROR(__xludf.DUMMYFUNCTION("iferror(MINUS(divide(GOOGLEFINANCE($B1314), INDEX(GOOGLEFINANCE($B1314,""price"",today()-182),2,2)),1),"""")"),0.13522012578616338)</f>
        <v>0.1352201258</v>
      </c>
      <c r="G1314" s="61">
        <f>IFERROR(__xludf.DUMMYFUNCTION("iferror(MINUS(divide(GOOGLEFINANCE($B1314), INDEX(GOOGLEFINANCE($B1314,""price"",today()-364),2,2)),1),"""")"),-0.4359375000000001)</f>
        <v>-0.4359375</v>
      </c>
    </row>
    <row r="1315">
      <c r="A1315" s="71">
        <f t="shared" si="4"/>
        <v>1311</v>
      </c>
      <c r="B1315" s="47" t="s">
        <v>1448</v>
      </c>
      <c r="C1315" s="72">
        <f>IFERROR(__xludf.DUMMYFUNCTION("iferror(divide(googlefinance($B1315,""marketcap""),1000000),"""")"),2515.582204)</f>
        <v>2515.582204</v>
      </c>
      <c r="D1315" s="72">
        <f>IFERROR(__xludf.DUMMYFUNCTION("iferror(divide(googlefinance($B1315,""shares""),1000),"""")"),42357.0)</f>
        <v>42357</v>
      </c>
      <c r="E1315" s="72">
        <f>IFERROR(__xludf.DUMMYFUNCTION("iferror(divide(googlefinance($B1315,""volumeavg""),1000),"""")"),258.942)</f>
        <v>258.942</v>
      </c>
      <c r="F1315" s="73">
        <f>IFERROR(__xludf.DUMMYFUNCTION("iferror(MINUS(divide(GOOGLEFINANCE($B1315), INDEX(GOOGLEFINANCE($B1315,""price"",today()-182),2,2)),1),"""")"),0.3934772407320508)</f>
        <v>0.3934772407</v>
      </c>
      <c r="G1315" s="61">
        <f>IFERROR(__xludf.DUMMYFUNCTION("iferror(MINUS(divide(GOOGLEFINANCE($B1315), INDEX(GOOGLEFINANCE($B1315,""price"",today()-364),2,2)),1),"""")"),-0.13777584204413462)</f>
        <v>-0.137775842</v>
      </c>
    </row>
    <row r="1316">
      <c r="A1316" s="71">
        <f t="shared" si="4"/>
        <v>1312</v>
      </c>
      <c r="B1316" s="47" t="s">
        <v>1449</v>
      </c>
      <c r="C1316" s="72">
        <f>IFERROR(__xludf.DUMMYFUNCTION("iferror(divide(googlefinance($B1316,""marketcap""),1000000),"""")"),79466.964171)</f>
        <v>79466.96417</v>
      </c>
      <c r="D1316" s="72">
        <f>IFERROR(__xludf.DUMMYFUNCTION("iferror(divide(googlefinance($B1316,""shares""),1000),"""")"),375606.0)</f>
        <v>375606</v>
      </c>
      <c r="E1316" s="72">
        <f>IFERROR(__xludf.DUMMYFUNCTION("iferror(divide(googlefinance($B1316,""volumeavg""),1000),"""")"),1195.205)</f>
        <v>1195.205</v>
      </c>
      <c r="F1316" s="73">
        <f>IFERROR(__xludf.DUMMYFUNCTION("iferror(MINUS(divide(GOOGLEFINANCE($B1316), INDEX(GOOGLEFINANCE($B1316,""price"",today()-182),2,2)),1),"""")"),0.5179365762663224)</f>
        <v>0.5179365763</v>
      </c>
      <c r="G1316" s="61">
        <f>IFERROR(__xludf.DUMMYFUNCTION("iferror(MINUS(divide(GOOGLEFINANCE($B1316), INDEX(GOOGLEFINANCE($B1316,""price"",today()-364),2,2)),1),"""")"),-0.04353526220614823)</f>
        <v>-0.04353526221</v>
      </c>
    </row>
    <row r="1317">
      <c r="A1317" s="71">
        <f t="shared" si="4"/>
        <v>1313</v>
      </c>
      <c r="B1317" s="47" t="s">
        <v>1450</v>
      </c>
      <c r="C1317" s="72">
        <f>IFERROR(__xludf.DUMMYFUNCTION("iferror(divide(googlefinance($B1317,""marketcap""),1000000),"""")"),5708.533705)</f>
        <v>5708.533705</v>
      </c>
      <c r="D1317" s="72">
        <f>IFERROR(__xludf.DUMMYFUNCTION("iferror(divide(googlefinance($B1317,""shares""),1000),"""")"),104285.0)</f>
        <v>104285</v>
      </c>
      <c r="E1317" s="72">
        <f>IFERROR(__xludf.DUMMYFUNCTION("iferror(divide(googlefinance($B1317,""volumeavg""),1000),"""")"),636.18)</f>
        <v>636.18</v>
      </c>
      <c r="F1317" s="73">
        <f>IFERROR(__xludf.DUMMYFUNCTION("iferror(MINUS(divide(GOOGLEFINANCE($B1317), INDEX(GOOGLEFINANCE($B1317,""price"",today()-182),2,2)),1),"""")"),0.5252159375870717)</f>
        <v>0.5252159376</v>
      </c>
      <c r="G1317" s="61">
        <f>IFERROR(__xludf.DUMMYFUNCTION("iferror(MINUS(divide(GOOGLEFINANCE($B1317), INDEX(GOOGLEFINANCE($B1317,""price"",today()-364),2,2)),1),"""")"),-0.00327749453750914)</f>
        <v>-0.003277494538</v>
      </c>
    </row>
    <row r="1318">
      <c r="A1318" s="71">
        <f t="shared" si="4"/>
        <v>1314</v>
      </c>
      <c r="B1318" s="47" t="s">
        <v>1451</v>
      </c>
      <c r="C1318" s="72">
        <f>IFERROR(__xludf.DUMMYFUNCTION("iferror(divide(googlefinance($B1318,""marketcap""),1000000),"""")"),22.662798)</f>
        <v>22.662798</v>
      </c>
      <c r="D1318" s="72">
        <f>IFERROR(__xludf.DUMMYFUNCTION("iferror(divide(googlefinance($B1318,""shares""),1000),"""")"),21380.0)</f>
        <v>21380</v>
      </c>
      <c r="E1318" s="72">
        <f>IFERROR(__xludf.DUMMYFUNCTION("iferror(divide(googlefinance($B1318,""volumeavg""),1000),"""")"),1941.923)</f>
        <v>1941.923</v>
      </c>
      <c r="F1318" s="73">
        <f>IFERROR(__xludf.DUMMYFUNCTION("iferror(MINUS(divide(GOOGLEFINANCE($B1318), INDEX(GOOGLEFINANCE($B1318,""price"",today()-182),2,2)),1),"""")"),0.737704918032787)</f>
        <v>0.737704918</v>
      </c>
      <c r="G1318" s="61">
        <f>IFERROR(__xludf.DUMMYFUNCTION("iferror(MINUS(divide(GOOGLEFINANCE($B1318), INDEX(GOOGLEFINANCE($B1318,""price"",today()-364),2,2)),1),"""")"),0.019230769230769162)</f>
        <v>0.01923076923</v>
      </c>
    </row>
    <row r="1319">
      <c r="A1319" s="71">
        <f t="shared" si="4"/>
        <v>1315</v>
      </c>
      <c r="B1319" s="47" t="s">
        <v>1452</v>
      </c>
      <c r="C1319" s="72">
        <f>IFERROR(__xludf.DUMMYFUNCTION("iferror(divide(googlefinance($B1319,""marketcap""),1000000),"""")"),435.65426)</f>
        <v>435.65426</v>
      </c>
      <c r="D1319" s="72">
        <f>IFERROR(__xludf.DUMMYFUNCTION("iferror(divide(googlefinance($B1319,""shares""),1000),"""")"),45762.0)</f>
        <v>45762</v>
      </c>
      <c r="E1319" s="72">
        <f>IFERROR(__xludf.DUMMYFUNCTION("iferror(divide(googlefinance($B1319,""volumeavg""),1000),"""")"),444.771)</f>
        <v>444.771</v>
      </c>
      <c r="F1319" s="73">
        <f>IFERROR(__xludf.DUMMYFUNCTION("iferror(MINUS(divide(GOOGLEFINANCE($B1319), INDEX(GOOGLEFINANCE($B1319,""price"",today()-182),2,2)),1),"""")"),0.7030411449016101)</f>
        <v>0.7030411449</v>
      </c>
      <c r="G1319" s="61">
        <f>IFERROR(__xludf.DUMMYFUNCTION("iferror(MINUS(divide(GOOGLEFINANCE($B1319), INDEX(GOOGLEFINANCE($B1319,""price"",today()-364),2,2)),1),"""")"),-0.15000000000000002)</f>
        <v>-0.15</v>
      </c>
    </row>
    <row r="1320">
      <c r="A1320" s="71">
        <f t="shared" si="4"/>
        <v>1316</v>
      </c>
      <c r="B1320" s="47" t="s">
        <v>1453</v>
      </c>
      <c r="C1320" s="72">
        <f>IFERROR(__xludf.DUMMYFUNCTION("iferror(divide(googlefinance($B1320,""marketcap""),1000000),"""")"),34783.828975)</f>
        <v>34783.82898</v>
      </c>
      <c r="D1320" s="72">
        <f>IFERROR(__xludf.DUMMYFUNCTION("iferror(divide(googlefinance($B1320,""shares""),1000),"""")"),508536.0)</f>
        <v>508536</v>
      </c>
      <c r="E1320" s="72">
        <f>IFERROR(__xludf.DUMMYFUNCTION("iferror(divide(googlefinance($B1320,""volumeavg""),1000),"""")"),3277.168)</f>
        <v>3277.168</v>
      </c>
      <c r="F1320" s="73">
        <f>IFERROR(__xludf.DUMMYFUNCTION("iferror(MINUS(divide(GOOGLEFINANCE($B1320), INDEX(GOOGLEFINANCE($B1320,""price"",today()-182),2,2)),1),"""")"),0.9360317011038779)</f>
        <v>0.9360317011</v>
      </c>
      <c r="G1320" s="61">
        <f>IFERROR(__xludf.DUMMYFUNCTION("iferror(MINUS(divide(GOOGLEFINANCE($B1320), INDEX(GOOGLEFINANCE($B1320,""price"",today()-364),2,2)),1),"""")"),-0.125766871165644)</f>
        <v>-0.1257668712</v>
      </c>
    </row>
    <row r="1321">
      <c r="A1321" s="71">
        <f t="shared" si="4"/>
        <v>1317</v>
      </c>
      <c r="B1321" s="47" t="s">
        <v>1454</v>
      </c>
      <c r="C1321" s="72">
        <f>IFERROR(__xludf.DUMMYFUNCTION("iferror(divide(googlefinance($B1321,""marketcap""),1000000),"""")"),281.768855)</f>
        <v>281.768855</v>
      </c>
      <c r="D1321" s="72">
        <f>IFERROR(__xludf.DUMMYFUNCTION("iferror(divide(googlefinance($B1321,""shares""),1000),"""")"),14398.0)</f>
        <v>14398</v>
      </c>
      <c r="E1321" s="72">
        <f>IFERROR(__xludf.DUMMYFUNCTION("iferror(divide(googlefinance($B1321,""volumeavg""),1000),"""")"),328.886)</f>
        <v>328.886</v>
      </c>
      <c r="F1321" s="73">
        <f>IFERROR(__xludf.DUMMYFUNCTION("iferror(MINUS(divide(GOOGLEFINANCE($B1321), INDEX(GOOGLEFINANCE($B1321,""price"",today()-182),2,2)),1),"""")"),1.5817941952506596)</f>
        <v>1.581794195</v>
      </c>
      <c r="G1321" s="61">
        <f>IFERROR(__xludf.DUMMYFUNCTION("iferror(MINUS(divide(GOOGLEFINANCE($B1321), INDEX(GOOGLEFINANCE($B1321,""price"",today()-364),2,2)),1),"""")"),0.566853482786229)</f>
        <v>0.5668534828</v>
      </c>
    </row>
    <row r="1322">
      <c r="A1322" s="71">
        <f t="shared" si="4"/>
        <v>1318</v>
      </c>
      <c r="B1322" s="47" t="s">
        <v>1455</v>
      </c>
      <c r="C1322" s="72">
        <f>IFERROR(__xludf.DUMMYFUNCTION("iferror(divide(googlefinance($B1322,""marketcap""),1000000),"""")"),309.797507)</f>
        <v>309.797507</v>
      </c>
      <c r="D1322" s="72">
        <f>IFERROR(__xludf.DUMMYFUNCTION("iferror(divide(googlefinance($B1322,""shares""),1000),"""")"),37325.0)</f>
        <v>37325</v>
      </c>
      <c r="E1322" s="72">
        <f>IFERROR(__xludf.DUMMYFUNCTION("iferror(divide(googlefinance($B1322,""volumeavg""),1000),"""")"),501.221)</f>
        <v>501.221</v>
      </c>
      <c r="F1322" s="73">
        <f>IFERROR(__xludf.DUMMYFUNCTION("iferror(MINUS(divide(GOOGLEFINANCE($B1322), INDEX(GOOGLEFINANCE($B1322,""price"",today()-182),2,2)),1),"""")"),2.16793893129771)</f>
        <v>2.167938931</v>
      </c>
      <c r="G1322" s="61">
        <f>IFERROR(__xludf.DUMMYFUNCTION("iferror(MINUS(divide(GOOGLEFINANCE($B1322), INDEX(GOOGLEFINANCE($B1322,""price"",today()-364),2,2)),1),"""")"),-0.20725883476599805)</f>
        <v>-0.2072588348</v>
      </c>
    </row>
    <row r="1323">
      <c r="A1323" s="71">
        <f t="shared" si="4"/>
        <v>1319</v>
      </c>
      <c r="B1323" s="47" t="s">
        <v>1456</v>
      </c>
      <c r="C1323" s="72">
        <f>IFERROR(__xludf.DUMMYFUNCTION("iferror(divide(googlefinance($B1323,""marketcap""),1000000),"""")"),7526.414638)</f>
        <v>7526.414638</v>
      </c>
      <c r="D1323" s="72">
        <f>IFERROR(__xludf.DUMMYFUNCTION("iferror(divide(googlefinance($B1323,""shares""),1000),"""")"),196568.0)</f>
        <v>196568</v>
      </c>
      <c r="E1323" s="72">
        <f>IFERROR(__xludf.DUMMYFUNCTION("iferror(divide(googlefinance($B1323,""volumeavg""),1000),"""")"),1704.82)</f>
        <v>1704.82</v>
      </c>
      <c r="F1323" s="73">
        <f>IFERROR(__xludf.DUMMYFUNCTION("iferror(MINUS(divide(GOOGLEFINANCE($B1323), INDEX(GOOGLEFINANCE($B1323,""price"",today()-182),2,2)),1),"""")"),-0.05089334055224681)</f>
        <v>-0.05089334055</v>
      </c>
      <c r="G1323" s="61">
        <f>IFERROR(__xludf.DUMMYFUNCTION("iferror(MINUS(divide(GOOGLEFINANCE($B1323), INDEX(GOOGLEFINANCE($B1323,""price"",today()-364),2,2)),1),"""")"),-0.3768218983291859)</f>
        <v>-0.3768218983</v>
      </c>
    </row>
    <row r="1324">
      <c r="A1324" s="71">
        <f t="shared" si="4"/>
        <v>1320</v>
      </c>
      <c r="B1324" s="47" t="s">
        <v>1457</v>
      </c>
      <c r="C1324" s="72">
        <f>IFERROR(__xludf.DUMMYFUNCTION("iferror(divide(googlefinance($B1324,""marketcap""),1000000),"""")"),2297.015158)</f>
        <v>2297.015158</v>
      </c>
      <c r="D1324" s="72">
        <f>IFERROR(__xludf.DUMMYFUNCTION("iferror(divide(googlefinance($B1324,""shares""),1000),"""")"),38258.0)</f>
        <v>38258</v>
      </c>
      <c r="E1324" s="72">
        <f>IFERROR(__xludf.DUMMYFUNCTION("iferror(divide(googlefinance($B1324,""volumeavg""),1000),"""")"),25.072)</f>
        <v>25.072</v>
      </c>
      <c r="F1324" s="73">
        <f>IFERROR(__xludf.DUMMYFUNCTION("iferror(MINUS(divide(GOOGLEFINANCE($B1324), INDEX(GOOGLEFINANCE($B1324,""price"",today()-182),2,2)),1),"""")"),6.666666666665932E-4)</f>
        <v>0.0006666666667</v>
      </c>
      <c r="G1324" s="61">
        <f>IFERROR(__xludf.DUMMYFUNCTION("iferror(MINUS(divide(GOOGLEFINANCE($B1324), INDEX(GOOGLEFINANCE($B1324,""price"",today()-364),2,2)),1),"""")"),-0.2594967932905772)</f>
        <v>-0.2594967933</v>
      </c>
    </row>
    <row r="1325">
      <c r="A1325" s="71">
        <f t="shared" si="4"/>
        <v>1321</v>
      </c>
      <c r="B1325" s="47" t="s">
        <v>1458</v>
      </c>
      <c r="C1325" s="72">
        <f>IFERROR(__xludf.DUMMYFUNCTION("iferror(divide(googlefinance($B1325,""marketcap""),1000000),"""")"),333.479289)</f>
        <v>333.479289</v>
      </c>
      <c r="D1325" s="72">
        <f>IFERROR(__xludf.DUMMYFUNCTION("iferror(divide(googlefinance($B1325,""shares""),1000),"""")"),52724.0)</f>
        <v>52724</v>
      </c>
      <c r="E1325" s="72">
        <f>IFERROR(__xludf.DUMMYFUNCTION("iferror(divide(googlefinance($B1325,""volumeavg""),1000),"""")"),489.236)</f>
        <v>489.236</v>
      </c>
      <c r="F1325" s="73">
        <f>IFERROR(__xludf.DUMMYFUNCTION("iferror(MINUS(divide(GOOGLEFINANCE($B1325), INDEX(GOOGLEFINANCE($B1325,""price"",today()-182),2,2)),1),"""")"),4.104838709677419)</f>
        <v>4.10483871</v>
      </c>
      <c r="G1325" s="61">
        <f>IFERROR(__xludf.DUMMYFUNCTION("iferror(MINUS(divide(GOOGLEFINANCE($B1325), INDEX(GOOGLEFINANCE($B1325,""price"",today()-364),2,2)),1),"""")"),-0.2544169611307421)</f>
        <v>-0.2544169611</v>
      </c>
    </row>
    <row r="1326">
      <c r="A1326" s="71">
        <f t="shared" si="4"/>
        <v>1322</v>
      </c>
      <c r="B1326" s="47" t="s">
        <v>1459</v>
      </c>
      <c r="C1326" s="72">
        <f>IFERROR(__xludf.DUMMYFUNCTION("iferror(divide(googlefinance($B1326,""marketcap""),1000000),"""")"),36.032499)</f>
        <v>36.032499</v>
      </c>
      <c r="D1326" s="72">
        <f>IFERROR(__xludf.DUMMYFUNCTION("iferror(divide(googlefinance($B1326,""shares""),1000),"""")"),8875.0)</f>
        <v>8875</v>
      </c>
      <c r="E1326" s="72">
        <f>IFERROR(__xludf.DUMMYFUNCTION("iferror(divide(googlefinance($B1326,""volumeavg""),1000),"""")"),17.62)</f>
        <v>17.62</v>
      </c>
      <c r="F1326" s="73">
        <f>IFERROR(__xludf.DUMMYFUNCTION("iferror(MINUS(divide(GOOGLEFINANCE($B1326), INDEX(GOOGLEFINANCE($B1326,""price"",today()-182),2,2)),1),"""")"),0.29299363057324834)</f>
        <v>0.2929936306</v>
      </c>
      <c r="G1326" s="61">
        <f>IFERROR(__xludf.DUMMYFUNCTION("iferror(MINUS(divide(GOOGLEFINANCE($B1326), INDEX(GOOGLEFINANCE($B1326,""price"",today()-364),2,2)),1),"""")"),-0.17979797979797996)</f>
        <v>-0.1797979798</v>
      </c>
    </row>
    <row r="1327">
      <c r="A1327" s="71">
        <f t="shared" si="4"/>
        <v>1323</v>
      </c>
      <c r="B1327" s="47" t="s">
        <v>1460</v>
      </c>
      <c r="C1327" s="72">
        <f>IFERROR(__xludf.DUMMYFUNCTION("iferror(divide(googlefinance($B1327,""marketcap""),1000000),"""")"),1095.099)</f>
        <v>1095.099</v>
      </c>
      <c r="D1327" s="72">
        <f>IFERROR(__xludf.DUMMYFUNCTION("iferror(divide(googlefinance($B1327,""shares""),1000),"""")"),74244.0)</f>
        <v>74244</v>
      </c>
      <c r="E1327" s="72">
        <f>IFERROR(__xludf.DUMMYFUNCTION("iferror(divide(googlefinance($B1327,""volumeavg""),1000),"""")"),1013.93)</f>
        <v>1013.93</v>
      </c>
      <c r="F1327" s="73">
        <f>IFERROR(__xludf.DUMMYFUNCTION("iferror(MINUS(divide(GOOGLEFINANCE($B1327), INDEX(GOOGLEFINANCE($B1327,""price"",today()-182),2,2)),1),"""")"),0.5097236438075743)</f>
        <v>0.5097236438</v>
      </c>
      <c r="G1327" s="61">
        <f>IFERROR(__xludf.DUMMYFUNCTION("iferror(MINUS(divide(GOOGLEFINANCE($B1327), INDEX(GOOGLEFINANCE($B1327,""price"",today()-364),2,2)),1),"""")"),0.4632936507936507)</f>
        <v>0.4632936508</v>
      </c>
    </row>
    <row r="1328">
      <c r="A1328" s="71">
        <f t="shared" si="4"/>
        <v>1324</v>
      </c>
      <c r="B1328" s="47" t="s">
        <v>1461</v>
      </c>
      <c r="C1328" s="72">
        <f>IFERROR(__xludf.DUMMYFUNCTION("iferror(divide(googlefinance($B1328,""marketcap""),1000000),"""")"),1119.134353)</f>
        <v>1119.134353</v>
      </c>
      <c r="D1328" s="72">
        <f>IFERROR(__xludf.DUMMYFUNCTION("iferror(divide(googlefinance($B1328,""shares""),1000),"""")"),63515.0)</f>
        <v>63515</v>
      </c>
      <c r="E1328" s="72">
        <f>IFERROR(__xludf.DUMMYFUNCTION("iferror(divide(googlefinance($B1328,""volumeavg""),1000),"""")"),340.528)</f>
        <v>340.528</v>
      </c>
      <c r="F1328" s="73">
        <f>IFERROR(__xludf.DUMMYFUNCTION("iferror(MINUS(divide(GOOGLEFINANCE($B1328), INDEX(GOOGLEFINANCE($B1328,""price"",today()-182),2,2)),1),"""")"),-0.20415537488708213)</f>
        <v>-0.2041553749</v>
      </c>
      <c r="G1328" s="61">
        <f>IFERROR(__xludf.DUMMYFUNCTION("iferror(MINUS(divide(GOOGLEFINANCE($B1328), INDEX(GOOGLEFINANCE($B1328,""price"",today()-364),2,2)),1),"""")"),-0.21966341895482722)</f>
        <v>-0.219663419</v>
      </c>
    </row>
    <row r="1329">
      <c r="A1329" s="71">
        <f t="shared" si="4"/>
        <v>1325</v>
      </c>
      <c r="B1329" s="47" t="s">
        <v>1462</v>
      </c>
      <c r="C1329" s="72">
        <f>IFERROR(__xludf.DUMMYFUNCTION("iferror(divide(googlefinance($B1329,""marketcap""),1000000),"""")"),586.073791)</f>
        <v>586.073791</v>
      </c>
      <c r="D1329" s="72">
        <f>IFERROR(__xludf.DUMMYFUNCTION("iferror(divide(googlefinance($B1329,""shares""),1000),"""")"),50049.0)</f>
        <v>50049</v>
      </c>
      <c r="E1329" s="72">
        <f>IFERROR(__xludf.DUMMYFUNCTION("iferror(divide(googlefinance($B1329,""volumeavg""),1000),"""")"),1010.961)</f>
        <v>1010.961</v>
      </c>
      <c r="F1329" s="73">
        <f>IFERROR(__xludf.DUMMYFUNCTION("iferror(MINUS(divide(GOOGLEFINANCE($B1329), INDEX(GOOGLEFINANCE($B1329,""price"",today()-182),2,2)),1),"""")"),-0.4197224975222993)</f>
        <v>-0.4197224975</v>
      </c>
      <c r="G1329" s="61">
        <f>IFERROR(__xludf.DUMMYFUNCTION("iferror(MINUS(divide(GOOGLEFINANCE($B1329), INDEX(GOOGLEFINANCE($B1329,""price"",today()-364),2,2)),1),"""")"),-0.646543917899185)</f>
        <v>-0.6465439179</v>
      </c>
    </row>
    <row r="1330">
      <c r="A1330" s="71">
        <f t="shared" si="4"/>
        <v>1326</v>
      </c>
      <c r="B1330" s="47" t="s">
        <v>1463</v>
      </c>
      <c r="C1330" s="72">
        <f>IFERROR(__xludf.DUMMYFUNCTION("iferror(divide(googlefinance($B1330,""marketcap""),1000000),"""")"),643.20579)</f>
        <v>643.20579</v>
      </c>
      <c r="D1330" s="72">
        <f>IFERROR(__xludf.DUMMYFUNCTION("iferror(divide(googlefinance($B1330,""shares""),1000),"""")"),33344.0)</f>
        <v>33344</v>
      </c>
      <c r="E1330" s="72">
        <f>IFERROR(__xludf.DUMMYFUNCTION("iferror(divide(googlefinance($B1330,""volumeavg""),1000),"""")"),252.279)</f>
        <v>252.279</v>
      </c>
      <c r="F1330" s="73">
        <f>IFERROR(__xludf.DUMMYFUNCTION("iferror(MINUS(divide(GOOGLEFINANCE($B1330), INDEX(GOOGLEFINANCE($B1330,""price"",today()-182),2,2)),1),"""")"),1.799709724238026)</f>
        <v>1.799709724</v>
      </c>
      <c r="G1330" s="61">
        <f>IFERROR(__xludf.DUMMYFUNCTION("iferror(MINUS(divide(GOOGLEFINANCE($B1330), INDEX(GOOGLEFINANCE($B1330,""price"",today()-364),2,2)),1),"""")"),0.07405345211581271)</f>
        <v>0.07405345212</v>
      </c>
    </row>
    <row r="1331">
      <c r="A1331" s="71">
        <f t="shared" si="4"/>
        <v>1327</v>
      </c>
      <c r="B1331" s="47" t="s">
        <v>1464</v>
      </c>
      <c r="C1331" s="72">
        <f>IFERROR(__xludf.DUMMYFUNCTION("iferror(divide(googlefinance($B1331,""marketcap""),1000000),"""")"),311.74363)</f>
        <v>311.74363</v>
      </c>
      <c r="D1331" s="72">
        <f>IFERROR(__xludf.DUMMYFUNCTION("iferror(divide(googlefinance($B1331,""shares""),1000),"""")"),50362.0)</f>
        <v>50362</v>
      </c>
      <c r="E1331" s="72">
        <f>IFERROR(__xludf.DUMMYFUNCTION("iferror(divide(googlefinance($B1331,""volumeavg""),1000),"""")"),358.672)</f>
        <v>358.672</v>
      </c>
      <c r="F1331" s="73">
        <f>IFERROR(__xludf.DUMMYFUNCTION("iferror(MINUS(divide(GOOGLEFINANCE($B1331), INDEX(GOOGLEFINANCE($B1331,""price"",today()-182),2,2)),1),"""")"),1.4466403162055341)</f>
        <v>1.446640316</v>
      </c>
      <c r="G1331" s="61">
        <f>IFERROR(__xludf.DUMMYFUNCTION("iferror(MINUS(divide(GOOGLEFINANCE($B1331), INDEX(GOOGLEFINANCE($B1331,""price"",today()-364),2,2)),1),"""")"),0.43287037037037046)</f>
        <v>0.4328703704</v>
      </c>
    </row>
    <row r="1332">
      <c r="A1332" s="71">
        <f t="shared" si="4"/>
        <v>1328</v>
      </c>
      <c r="B1332" s="47" t="s">
        <v>1465</v>
      </c>
      <c r="C1332" s="72">
        <f>IFERROR(__xludf.DUMMYFUNCTION("iferror(divide(googlefinance($B1332,""marketcap""),1000000),"""")"),28133.456589)</f>
        <v>28133.45659</v>
      </c>
      <c r="D1332" s="72">
        <f>IFERROR(__xludf.DUMMYFUNCTION("iferror(divide(googlefinance($B1332,""shares""),1000),"""")"),54206.0)</f>
        <v>54206</v>
      </c>
      <c r="E1332" s="72">
        <f>IFERROR(__xludf.DUMMYFUNCTION("iferror(divide(googlefinance($B1332,""volumeavg""),1000),"""")"),417.901)</f>
        <v>417.901</v>
      </c>
      <c r="F1332" s="73">
        <f>IFERROR(__xludf.DUMMYFUNCTION("iferror(MINUS(divide(GOOGLEFINANCE($B1332), INDEX(GOOGLEFINANCE($B1332,""price"",today()-182),2,2)),1),"""")"),0.7156788205348583)</f>
        <v>0.7156788205</v>
      </c>
      <c r="G1332" s="61">
        <f>IFERROR(__xludf.DUMMYFUNCTION("iferror(MINUS(divide(GOOGLEFINANCE($B1332), INDEX(GOOGLEFINANCE($B1332,""price"",today()-364),2,2)),1),"""")"),-0.015646929408640875)</f>
        <v>-0.01564692941</v>
      </c>
    </row>
    <row r="1333">
      <c r="A1333" s="71">
        <f t="shared" si="4"/>
        <v>1329</v>
      </c>
      <c r="B1333" s="47" t="s">
        <v>1466</v>
      </c>
      <c r="C1333" s="72">
        <f>IFERROR(__xludf.DUMMYFUNCTION("iferror(divide(googlefinance($B1333,""marketcap""),1000000),"""")"),16187.11574)</f>
        <v>16187.11574</v>
      </c>
      <c r="D1333" s="72">
        <f>IFERROR(__xludf.DUMMYFUNCTION("iferror(divide(googlefinance($B1333,""shares""),1000),"""")"),81228.0)</f>
        <v>81228</v>
      </c>
      <c r="E1333" s="72">
        <f>IFERROR(__xludf.DUMMYFUNCTION("iferror(divide(googlefinance($B1333,""volumeavg""),1000),"""")"),5204.695)</f>
        <v>5204.695</v>
      </c>
      <c r="F1333" s="73">
        <f>IFERROR(__xludf.DUMMYFUNCTION("iferror(MINUS(divide(GOOGLEFINANCE($B1333), INDEX(GOOGLEFINANCE($B1333,""price"",today()-182),2,2)),1),"""")"),0.40595456469592195)</f>
        <v>0.4059545647</v>
      </c>
      <c r="G1333" s="61">
        <f>IFERROR(__xludf.DUMMYFUNCTION("iferror(MINUS(divide(GOOGLEFINANCE($B1333), INDEX(GOOGLEFINANCE($B1333,""price"",today()-364),2,2)),1),"""")"),1.762023562023562)</f>
        <v>1.762023562</v>
      </c>
    </row>
    <row r="1334">
      <c r="A1334" s="71">
        <f t="shared" si="4"/>
        <v>1330</v>
      </c>
      <c r="B1334" s="47" t="s">
        <v>1467</v>
      </c>
      <c r="C1334" s="72">
        <f>IFERROR(__xludf.DUMMYFUNCTION("iferror(divide(googlefinance($B1334,""marketcap""),1000000),"""")"),11967.941714)</f>
        <v>11967.94171</v>
      </c>
      <c r="D1334" s="72">
        <f>IFERROR(__xludf.DUMMYFUNCTION("iferror(divide(googlefinance($B1334,""shares""),1000),"""")"),36863.0)</f>
        <v>36863</v>
      </c>
      <c r="E1334" s="72">
        <f>IFERROR(__xludf.DUMMYFUNCTION("iferror(divide(googlefinance($B1334,""volumeavg""),1000),"""")"),201.198)</f>
        <v>201.198</v>
      </c>
      <c r="F1334" s="73">
        <f>IFERROR(__xludf.DUMMYFUNCTION("iferror(MINUS(divide(GOOGLEFINANCE($B1334), INDEX(GOOGLEFINANCE($B1334,""price"",today()-182),2,2)),1),"""")"),0.38945476333133633)</f>
        <v>0.3894547633</v>
      </c>
      <c r="G1334" s="61">
        <f>IFERROR(__xludf.DUMMYFUNCTION("iferror(MINUS(divide(GOOGLEFINANCE($B1334), INDEX(GOOGLEFINANCE($B1334,""price"",today()-364),2,2)),1),"""")"),0.018381430363864526)</f>
        <v>0.01838143036</v>
      </c>
    </row>
    <row r="1335">
      <c r="A1335" s="71">
        <f t="shared" si="4"/>
        <v>1331</v>
      </c>
      <c r="B1335" s="47" t="s">
        <v>1468</v>
      </c>
      <c r="C1335" s="72">
        <f>IFERROR(__xludf.DUMMYFUNCTION("iferror(divide(googlefinance($B1335,""marketcap""),1000000),"""")"),9455.087715)</f>
        <v>9455.087715</v>
      </c>
      <c r="D1335" s="72">
        <f>IFERROR(__xludf.DUMMYFUNCTION("iferror(divide(googlefinance($B1335,""shares""),1000),"""")"),38556.0)</f>
        <v>38556</v>
      </c>
      <c r="E1335" s="72">
        <f>IFERROR(__xludf.DUMMYFUNCTION("iferror(divide(googlefinance($B1335,""volumeavg""),1000),"""")"),141.253)</f>
        <v>141.253</v>
      </c>
      <c r="F1335" s="73">
        <f>IFERROR(__xludf.DUMMYFUNCTION("iferror(MINUS(divide(GOOGLEFINANCE($B1335), INDEX(GOOGLEFINANCE($B1335,""price"",today()-182),2,2)),1),"""")"),0.46616046873131656)</f>
        <v>0.4661604687</v>
      </c>
      <c r="G1335" s="61">
        <f>IFERROR(__xludf.DUMMYFUNCTION("iferror(MINUS(divide(GOOGLEFINANCE($B1335), INDEX(GOOGLEFINANCE($B1335,""price"",today()-364),2,2)),1),"""")"),0.22351943321857992)</f>
        <v>0.2235194332</v>
      </c>
    </row>
    <row r="1336">
      <c r="A1336" s="71">
        <f t="shared" si="4"/>
        <v>1332</v>
      </c>
      <c r="B1336" s="47" t="s">
        <v>1469</v>
      </c>
      <c r="C1336" s="72">
        <f>IFERROR(__xludf.DUMMYFUNCTION("iferror(divide(googlefinance($B1336,""marketcap""),1000000),"""")"),7921.889657)</f>
        <v>7921.889657</v>
      </c>
      <c r="D1336" s="72">
        <f>IFERROR(__xludf.DUMMYFUNCTION("iferror(divide(googlefinance($B1336,""shares""),1000),"""")"),523300.0)</f>
        <v>523300</v>
      </c>
      <c r="E1336" s="72">
        <f>IFERROR(__xludf.DUMMYFUNCTION("iferror(divide(googlefinance($B1336,""volumeavg""),1000),"""")"),3528.059)</f>
        <v>3528.059</v>
      </c>
      <c r="F1336" s="73">
        <f>IFERROR(__xludf.DUMMYFUNCTION("iferror(MINUS(divide(GOOGLEFINANCE($B1336), INDEX(GOOGLEFINANCE($B1336,""price"",today()-182),2,2)),1),"""")"),1.0912921348314608)</f>
        <v>1.091292135</v>
      </c>
      <c r="G1336" s="61">
        <f>IFERROR(__xludf.DUMMYFUNCTION("iferror(MINUS(divide(GOOGLEFINANCE($B1336), INDEX(GOOGLEFINANCE($B1336,""price"",today()-364),2,2)),1),"""")"),-0.14129181084198383)</f>
        <v>-0.1412918108</v>
      </c>
    </row>
    <row r="1337">
      <c r="A1337" s="71">
        <f t="shared" si="4"/>
        <v>1333</v>
      </c>
      <c r="B1337" s="47" t="s">
        <v>1470</v>
      </c>
      <c r="C1337" s="72">
        <f>IFERROR(__xludf.DUMMYFUNCTION("iferror(divide(googlefinance($B1337,""marketcap""),1000000),"""")"),225.0055)</f>
        <v>225.0055</v>
      </c>
      <c r="D1337" s="72">
        <f>IFERROR(__xludf.DUMMYFUNCTION("iferror(divide(googlefinance($B1337,""shares""),1000),"""")"),14414.0)</f>
        <v>14414</v>
      </c>
      <c r="E1337" s="72">
        <f>IFERROR(__xludf.DUMMYFUNCTION("iferror(divide(googlefinance($B1337,""volumeavg""),1000),"""")"),54.755)</f>
        <v>54.755</v>
      </c>
      <c r="F1337" s="73">
        <f>IFERROR(__xludf.DUMMYFUNCTION("iferror(MINUS(divide(GOOGLEFINANCE($B1337), INDEX(GOOGLEFINANCE($B1337,""price"",today()-182),2,2)),1),"""")"),1.3759512937595129)</f>
        <v>1.375951294</v>
      </c>
      <c r="G1337" s="61" t="str">
        <f>IFERROR(__xludf.DUMMYFUNCTION("iferror(MINUS(divide(GOOGLEFINANCE($B1337), INDEX(GOOGLEFINANCE($B1337,""price"",today()-364),2,2)),1),"""")"),"")</f>
        <v/>
      </c>
    </row>
    <row r="1338">
      <c r="A1338" s="71">
        <f t="shared" si="4"/>
        <v>1334</v>
      </c>
      <c r="B1338" s="47" t="s">
        <v>1471</v>
      </c>
      <c r="C1338" s="72">
        <f>IFERROR(__xludf.DUMMYFUNCTION("iferror(divide(googlefinance($B1338,""marketcap""),1000000),"""")"),12890.724378)</f>
        <v>12890.72438</v>
      </c>
      <c r="D1338" s="72">
        <f>IFERROR(__xludf.DUMMYFUNCTION("iferror(divide(googlefinance($B1338,""shares""),1000),"""")"),166032.0)</f>
        <v>166032</v>
      </c>
      <c r="E1338" s="72">
        <f>IFERROR(__xludf.DUMMYFUNCTION("iferror(divide(googlefinance($B1338,""volumeavg""),1000),"""")"),1840.301)</f>
        <v>1840.301</v>
      </c>
      <c r="F1338" s="73">
        <f>IFERROR(__xludf.DUMMYFUNCTION("iferror(MINUS(divide(GOOGLEFINANCE($B1338), INDEX(GOOGLEFINANCE($B1338,""price"",today()-182),2,2)),1),"""")"),0.752991645969745)</f>
        <v>0.752991646</v>
      </c>
      <c r="G1338" s="61">
        <f>IFERROR(__xludf.DUMMYFUNCTION("iferror(MINUS(divide(GOOGLEFINANCE($B1338), INDEX(GOOGLEFINANCE($B1338,""price"",today()-364),2,2)),1),"""")"),0.33379144476894007)</f>
        <v>0.3337914448</v>
      </c>
    </row>
    <row r="1339">
      <c r="A1339" s="71">
        <f t="shared" si="4"/>
        <v>1335</v>
      </c>
      <c r="B1339" s="47" t="s">
        <v>1472</v>
      </c>
      <c r="C1339" s="72">
        <f>IFERROR(__xludf.DUMMYFUNCTION("iferror(divide(googlefinance($B1339,""marketcap""),1000000),"""")"),10179.758998)</f>
        <v>10179.759</v>
      </c>
      <c r="D1339" s="72">
        <f>IFERROR(__xludf.DUMMYFUNCTION("iferror(divide(googlefinance($B1339,""shares""),1000),"""")"),1095776.0)</f>
        <v>1095776</v>
      </c>
      <c r="E1339" s="72">
        <f>IFERROR(__xludf.DUMMYFUNCTION("iferror(divide(googlefinance($B1339,""volumeavg""),1000),"""")"),9988.257)</f>
        <v>9988.257</v>
      </c>
      <c r="F1339" s="73">
        <f>IFERROR(__xludf.DUMMYFUNCTION("iferror(MINUS(divide(GOOGLEFINANCE($B1339), INDEX(GOOGLEFINANCE($B1339,""price"",today()-182),2,2)),1),"""")"),0.27785419532324607)</f>
        <v>0.2778541953</v>
      </c>
      <c r="G1339" s="61">
        <f>IFERROR(__xludf.DUMMYFUNCTION("iferror(MINUS(divide(GOOGLEFINANCE($B1339), INDEX(GOOGLEFINANCE($B1339,""price"",today()-364),2,2)),1),"""")"),0.24697986577181186)</f>
        <v>0.2469798658</v>
      </c>
    </row>
    <row r="1340">
      <c r="A1340" s="71">
        <f t="shared" si="4"/>
        <v>1336</v>
      </c>
      <c r="B1340" s="47" t="s">
        <v>1473</v>
      </c>
      <c r="C1340" s="72">
        <f>IFERROR(__xludf.DUMMYFUNCTION("iferror(divide(googlefinance($B1340,""marketcap""),1000000),"""")"),1502.424021)</f>
        <v>1502.424021</v>
      </c>
      <c r="D1340" s="72">
        <f>IFERROR(__xludf.DUMMYFUNCTION("iferror(divide(googlefinance($B1340,""shares""),1000),"""")"),69300.0)</f>
        <v>69300</v>
      </c>
      <c r="E1340" s="72">
        <f>IFERROR(__xludf.DUMMYFUNCTION("iferror(divide(googlefinance($B1340,""volumeavg""),1000),"""")"),558.489)</f>
        <v>558.489</v>
      </c>
      <c r="F1340" s="73">
        <f>IFERROR(__xludf.DUMMYFUNCTION("iferror(MINUS(divide(GOOGLEFINANCE($B1340), INDEX(GOOGLEFINANCE($B1340,""price"",today()-182),2,2)),1),"""")"),0.5235418130709768)</f>
        <v>0.5235418131</v>
      </c>
      <c r="G1340" s="61">
        <f>IFERROR(__xludf.DUMMYFUNCTION("iferror(MINUS(divide(GOOGLEFINANCE($B1340), INDEX(GOOGLEFINANCE($B1340,""price"",today()-364),2,2)),1),"""")"),-0.208470244614823)</f>
        <v>-0.2084702446</v>
      </c>
    </row>
    <row r="1341">
      <c r="A1341" s="71">
        <f t="shared" si="4"/>
        <v>1337</v>
      </c>
      <c r="B1341" s="47" t="s">
        <v>1474</v>
      </c>
      <c r="C1341" s="72">
        <f>IFERROR(__xludf.DUMMYFUNCTION("iferror(divide(googlefinance($B1341,""marketcap""),1000000),"""")"),347.215878)</f>
        <v>347.215878</v>
      </c>
      <c r="D1341" s="72">
        <f>IFERROR(__xludf.DUMMYFUNCTION("iferror(divide(googlefinance($B1341,""shares""),1000),"""")"),22286.0)</f>
        <v>22286</v>
      </c>
      <c r="E1341" s="72">
        <f>IFERROR(__xludf.DUMMYFUNCTION("iferror(divide(googlefinance($B1341,""volumeavg""),1000),"""")"),653.236)</f>
        <v>653.236</v>
      </c>
      <c r="F1341" s="73">
        <f>IFERROR(__xludf.DUMMYFUNCTION("iferror(MINUS(divide(GOOGLEFINANCE($B1341), INDEX(GOOGLEFINANCE($B1341,""price"",today()-182),2,2)),1),"""")"),2.589861751152074)</f>
        <v>2.589861751</v>
      </c>
      <c r="G1341" s="61" t="str">
        <f>IFERROR(__xludf.DUMMYFUNCTION("iferror(MINUS(divide(GOOGLEFINANCE($B1341), INDEX(GOOGLEFINANCE($B1341,""price"",today()-364),2,2)),1),"""")"),"")</f>
        <v/>
      </c>
    </row>
    <row r="1342">
      <c r="A1342" s="71">
        <f t="shared" si="4"/>
        <v>1338</v>
      </c>
      <c r="B1342" s="47" t="s">
        <v>1475</v>
      </c>
      <c r="C1342" s="72">
        <f>IFERROR(__xludf.DUMMYFUNCTION("iferror(divide(googlefinance($B1342,""marketcap""),1000000),"""")"),777.099415)</f>
        <v>777.099415</v>
      </c>
      <c r="D1342" s="72">
        <f>IFERROR(__xludf.DUMMYFUNCTION("iferror(divide(googlefinance($B1342,""shares""),1000),"""")"),53299.0)</f>
        <v>53299</v>
      </c>
      <c r="E1342" s="72">
        <f>IFERROR(__xludf.DUMMYFUNCTION("iferror(divide(googlefinance($B1342,""volumeavg""),1000),"""")"),298.789)</f>
        <v>298.789</v>
      </c>
      <c r="F1342" s="73">
        <f>IFERROR(__xludf.DUMMYFUNCTION("iferror(MINUS(divide(GOOGLEFINANCE($B1342), INDEX(GOOGLEFINANCE($B1342,""price"",today()-182),2,2)),1),"""")"),1.189189189189189)</f>
        <v>1.189189189</v>
      </c>
      <c r="G1342" s="61">
        <f>IFERROR(__xludf.DUMMYFUNCTION("iferror(MINUS(divide(GOOGLEFINANCE($B1342), INDEX(GOOGLEFINANCE($B1342,""price"",today()-364),2,2)),1),"""")"),0.4169096209912537)</f>
        <v>0.416909621</v>
      </c>
    </row>
    <row r="1343">
      <c r="A1343" s="71">
        <f t="shared" si="4"/>
        <v>1339</v>
      </c>
      <c r="B1343" s="47" t="s">
        <v>1476</v>
      </c>
      <c r="C1343" s="72">
        <f>IFERROR(__xludf.DUMMYFUNCTION("iferror(divide(googlefinance($B1343,""marketcap""),1000000),"""")"),446.265594)</f>
        <v>446.265594</v>
      </c>
      <c r="D1343" s="72">
        <f>IFERROR(__xludf.DUMMYFUNCTION("iferror(divide(googlefinance($B1343,""shares""),1000),"""")"),52073.0)</f>
        <v>52073</v>
      </c>
      <c r="E1343" s="72">
        <f>IFERROR(__xludf.DUMMYFUNCTION("iferror(divide(googlefinance($B1343,""volumeavg""),1000),"""")"),1847.378)</f>
        <v>1847.378</v>
      </c>
      <c r="F1343" s="73">
        <f>IFERROR(__xludf.DUMMYFUNCTION("iferror(MINUS(divide(GOOGLEFINANCE($B1343), INDEX(GOOGLEFINANCE($B1343,""price"",today()-182),2,2)),1),"""")"),0.781704781704782)</f>
        <v>0.7817047817</v>
      </c>
      <c r="G1343" s="61">
        <f>IFERROR(__xludf.DUMMYFUNCTION("iferror(MINUS(divide(GOOGLEFINANCE($B1343), INDEX(GOOGLEFINANCE($B1343,""price"",today()-364),2,2)),1),"""")"),-0.6519090170593014)</f>
        <v>-0.6519090171</v>
      </c>
    </row>
    <row r="1344">
      <c r="A1344" s="71">
        <f t="shared" si="4"/>
        <v>1340</v>
      </c>
      <c r="B1344" s="47" t="s">
        <v>1477</v>
      </c>
      <c r="C1344" s="72">
        <f>IFERROR(__xludf.DUMMYFUNCTION("iferror(divide(googlefinance($B1344,""marketcap""),1000000),"""")"),244.886577)</f>
        <v>244.886577</v>
      </c>
      <c r="D1344" s="72">
        <f>IFERROR(__xludf.DUMMYFUNCTION("iferror(divide(googlefinance($B1344,""shares""),1000),"""")"),46118.0)</f>
        <v>46118</v>
      </c>
      <c r="E1344" s="72">
        <f>IFERROR(__xludf.DUMMYFUNCTION("iferror(divide(googlefinance($B1344,""volumeavg""),1000),"""")"),29.192)</f>
        <v>29.192</v>
      </c>
      <c r="F1344" s="73">
        <f>IFERROR(__xludf.DUMMYFUNCTION("iferror(MINUS(divide(GOOGLEFINANCE($B1344), INDEX(GOOGLEFINANCE($B1344,""price"",today()-182),2,2)),1),"""")"),1.0344827586206895)</f>
        <v>1.034482759</v>
      </c>
      <c r="G1344" s="61">
        <f>IFERROR(__xludf.DUMMYFUNCTION("iferror(MINUS(divide(GOOGLEFINANCE($B1344), INDEX(GOOGLEFINANCE($B1344,""price"",today()-364),2,2)),1),"""")"),-0.3227040816326531)</f>
        <v>-0.3227040816</v>
      </c>
    </row>
    <row r="1345">
      <c r="A1345" s="71">
        <f t="shared" si="4"/>
        <v>1341</v>
      </c>
      <c r="B1345" s="47" t="s">
        <v>1478</v>
      </c>
      <c r="C1345" s="72">
        <f>IFERROR(__xludf.DUMMYFUNCTION("iferror(divide(googlefinance($B1345,""marketcap""),1000000),"""")"),956.20305)</f>
        <v>956.20305</v>
      </c>
      <c r="D1345" s="72">
        <f>IFERROR(__xludf.DUMMYFUNCTION("iferror(divide(googlefinance($B1345,""shares""),1000),"""")"),86900.0)</f>
        <v>86900</v>
      </c>
      <c r="E1345" s="72">
        <f>IFERROR(__xludf.DUMMYFUNCTION("iferror(divide(googlefinance($B1345,""volumeavg""),1000),"""")"),232.824)</f>
        <v>232.824</v>
      </c>
      <c r="F1345" s="73">
        <f>IFERROR(__xludf.DUMMYFUNCTION("iferror(MINUS(divide(GOOGLEFINANCE($B1345), INDEX(GOOGLEFINANCE($B1345,""price"",today()-182),2,2)),1),"""")"),0.4248704663212435)</f>
        <v>0.4248704663</v>
      </c>
      <c r="G1345" s="61">
        <f>IFERROR(__xludf.DUMMYFUNCTION("iferror(MINUS(divide(GOOGLEFINANCE($B1345), INDEX(GOOGLEFINANCE($B1345,""price"",today()-364),2,2)),1),"""")"),-0.30335655478150725)</f>
        <v>-0.3033565548</v>
      </c>
    </row>
    <row r="1346">
      <c r="A1346" s="71">
        <f t="shared" si="4"/>
        <v>1342</v>
      </c>
      <c r="B1346" s="47" t="s">
        <v>1479</v>
      </c>
      <c r="C1346" s="72">
        <f>IFERROR(__xludf.DUMMYFUNCTION("iferror(divide(googlefinance($B1346,""marketcap""),1000000),"""")"),73896.223285)</f>
        <v>73896.22329</v>
      </c>
      <c r="D1346" s="72">
        <f>IFERROR(__xludf.DUMMYFUNCTION("iferror(divide(googlefinance($B1346,""shares""),1000),"""")"),500618.0)</f>
        <v>500618</v>
      </c>
      <c r="E1346" s="72">
        <f>IFERROR(__xludf.DUMMYFUNCTION("iferror(divide(googlefinance($B1346,""volumeavg""),1000),"""")"),5019.002)</f>
        <v>5019.002</v>
      </c>
      <c r="F1346" s="73">
        <f>IFERROR(__xludf.DUMMYFUNCTION("iferror(MINUS(divide(GOOGLEFINANCE($B1346), INDEX(GOOGLEFINANCE($B1346,""price"",today()-182),2,2)),1),"""")"),0.5155030800821356)</f>
        <v>0.5155030801</v>
      </c>
      <c r="G1346" s="61">
        <f>IFERROR(__xludf.DUMMYFUNCTION("iferror(MINUS(divide(GOOGLEFINANCE($B1346), INDEX(GOOGLEFINANCE($B1346,""price"",today()-364),2,2)),1),"""")"),0.38380050623418027)</f>
        <v>0.3838005062</v>
      </c>
    </row>
    <row r="1347">
      <c r="A1347" s="71">
        <f t="shared" si="4"/>
        <v>1343</v>
      </c>
      <c r="B1347" s="47" t="s">
        <v>1480</v>
      </c>
      <c r="C1347" s="72">
        <f>IFERROR(__xludf.DUMMYFUNCTION("iferror(divide(googlefinance($B1347,""marketcap""),1000000),"""")"),3171.293579)</f>
        <v>3171.293579</v>
      </c>
      <c r="D1347" s="72">
        <f>IFERROR(__xludf.DUMMYFUNCTION("iferror(divide(googlefinance($B1347,""shares""),1000),"""")"),126649.0)</f>
        <v>126649</v>
      </c>
      <c r="E1347" s="72">
        <f>IFERROR(__xludf.DUMMYFUNCTION("iferror(divide(googlefinance($B1347,""volumeavg""),1000),"""")"),1692.827)</f>
        <v>1692.827</v>
      </c>
      <c r="F1347" s="73">
        <f>IFERROR(__xludf.DUMMYFUNCTION("iferror(MINUS(divide(GOOGLEFINANCE($B1347), INDEX(GOOGLEFINANCE($B1347,""price"",today()-182),2,2)),1),"""")"),2.2774869109947646)</f>
        <v>2.277486911</v>
      </c>
      <c r="G1347" s="61">
        <f>IFERROR(__xludf.DUMMYFUNCTION("iferror(MINUS(divide(GOOGLEFINANCE($B1347), INDEX(GOOGLEFINANCE($B1347,""price"",today()-364),2,2)),1),"""")"),3.14569536423841)</f>
        <v>3.145695364</v>
      </c>
    </row>
    <row r="1348">
      <c r="A1348" s="71">
        <f t="shared" si="4"/>
        <v>1344</v>
      </c>
      <c r="B1348" s="47" t="s">
        <v>1481</v>
      </c>
      <c r="C1348" s="72">
        <f>IFERROR(__xludf.DUMMYFUNCTION("iferror(divide(googlefinance($B1348,""marketcap""),1000000),"""")"),3138.484492)</f>
        <v>3138.484492</v>
      </c>
      <c r="D1348" s="72">
        <f>IFERROR(__xludf.DUMMYFUNCTION("iferror(divide(googlefinance($B1348,""shares""),1000),"""")"),105389.0)</f>
        <v>105389</v>
      </c>
      <c r="E1348" s="72">
        <f>IFERROR(__xludf.DUMMYFUNCTION("iferror(divide(googlefinance($B1348,""volumeavg""),1000),"""")"),1191.818)</f>
        <v>1191.818</v>
      </c>
      <c r="F1348" s="73">
        <f>IFERROR(__xludf.DUMMYFUNCTION("iferror(MINUS(divide(GOOGLEFINANCE($B1348), INDEX(GOOGLEFINANCE($B1348,""price"",today()-182),2,2)),1),"""")"),1.2942989214175653)</f>
        <v>1.294298921</v>
      </c>
      <c r="G1348" s="61">
        <f>IFERROR(__xludf.DUMMYFUNCTION("iferror(MINUS(divide(GOOGLEFINANCE($B1348), INDEX(GOOGLEFINANCE($B1348,""price"",today()-364),2,2)),1),"""")"),0.17568101065929742)</f>
        <v>0.1756810107</v>
      </c>
    </row>
    <row r="1349">
      <c r="A1349" s="71">
        <f t="shared" si="4"/>
        <v>1345</v>
      </c>
      <c r="B1349" s="47" t="s">
        <v>1482</v>
      </c>
      <c r="C1349" s="72">
        <f>IFERROR(__xludf.DUMMYFUNCTION("iferror(divide(googlefinance($B1349,""marketcap""),1000000),"""")"),5042.980673)</f>
        <v>5042.980673</v>
      </c>
      <c r="D1349" s="72">
        <f>IFERROR(__xludf.DUMMYFUNCTION("iferror(divide(googlefinance($B1349,""shares""),1000),"""")"),55199.0)</f>
        <v>55199</v>
      </c>
      <c r="E1349" s="72">
        <f>IFERROR(__xludf.DUMMYFUNCTION("iferror(divide(googlefinance($B1349,""volumeavg""),1000),"""")"),821.188)</f>
        <v>821.188</v>
      </c>
      <c r="F1349" s="73">
        <f>IFERROR(__xludf.DUMMYFUNCTION("iferror(MINUS(divide(GOOGLEFINANCE($B1349), INDEX(GOOGLEFINANCE($B1349,""price"",today()-182),2,2)),1),"""")"),1.5384829119199774)</f>
        <v>1.538482912</v>
      </c>
      <c r="G1349" s="61">
        <f>IFERROR(__xludf.DUMMYFUNCTION("iferror(MINUS(divide(GOOGLEFINANCE($B1349), INDEX(GOOGLEFINANCE($B1349,""price"",today()-364),2,2)),1),"""")"),0.6849870896348211)</f>
        <v>0.6849870896</v>
      </c>
    </row>
    <row r="1350">
      <c r="A1350" s="71">
        <f t="shared" si="4"/>
        <v>1346</v>
      </c>
      <c r="B1350" s="54" t="s">
        <v>1483</v>
      </c>
      <c r="C1350" s="72">
        <f>IFERROR(__xludf.DUMMYFUNCTION("iferror(divide(googlefinance($B1350,""marketcap""),1000000),"""")"),2231.829)</f>
        <v>2231.829</v>
      </c>
      <c r="D1350" s="72">
        <f>IFERROR(__xludf.DUMMYFUNCTION("iferror(divide(googlefinance($B1350,""shares""),1000),"""")"),56502.0)</f>
        <v>56502</v>
      </c>
      <c r="E1350" s="72">
        <f>IFERROR(__xludf.DUMMYFUNCTION("iferror(divide(googlefinance($B1350,""volumeavg""),1000),"""")"),523.897)</f>
        <v>523.897</v>
      </c>
      <c r="F1350" s="73">
        <f>IFERROR(__xludf.DUMMYFUNCTION("iferror(MINUS(divide(GOOGLEFINANCE($B1350), INDEX(GOOGLEFINANCE($B1350,""price"",today()-182),2,2)),1),"""")"),-0.0022733013387219447)</f>
        <v>-0.002273301339</v>
      </c>
      <c r="G1350" s="61">
        <f>IFERROR(__xludf.DUMMYFUNCTION("iferror(MINUS(divide(GOOGLEFINANCE($B1350), INDEX(GOOGLEFINANCE($B1350,""price"",today()-364),2,2)),1),"""")"),-0.2998936547323644)</f>
        <v>-0.2998936547</v>
      </c>
    </row>
    <row r="1351">
      <c r="A1351" s="71">
        <f t="shared" si="4"/>
        <v>1347</v>
      </c>
      <c r="B1351" s="54" t="s">
        <v>1484</v>
      </c>
      <c r="C1351" s="72">
        <f>IFERROR(__xludf.DUMMYFUNCTION("iferror(divide(googlefinance($B1351,""marketcap""),1000000),"""")"),13981.708429)</f>
        <v>13981.70843</v>
      </c>
      <c r="D1351" s="72">
        <f>IFERROR(__xludf.DUMMYFUNCTION("iferror(divide(googlefinance($B1351,""shares""),1000),"""")"),121369.0)</f>
        <v>121369</v>
      </c>
      <c r="E1351" s="72">
        <f>IFERROR(__xludf.DUMMYFUNCTION("iferror(divide(googlefinance($B1351,""volumeavg""),1000),"""")"),1783.64)</f>
        <v>1783.64</v>
      </c>
      <c r="F1351" s="73">
        <f>IFERROR(__xludf.DUMMYFUNCTION("iferror(MINUS(divide(GOOGLEFINANCE($B1351), INDEX(GOOGLEFINANCE($B1351,""price"",today()-182),2,2)),1),"""")"),-0.08163265306122447)</f>
        <v>-0.08163265306</v>
      </c>
      <c r="G1351" s="61">
        <f>IFERROR(__xludf.DUMMYFUNCTION("iferror(MINUS(divide(GOOGLEFINANCE($B1351), INDEX(GOOGLEFINANCE($B1351,""price"",today()-364),2,2)),1),"""")"),0.26177437020810523)</f>
        <v>0.2617743702</v>
      </c>
    </row>
    <row r="1352">
      <c r="A1352" s="71">
        <f t="shared" si="4"/>
        <v>1348</v>
      </c>
      <c r="B1352" s="47" t="s">
        <v>1485</v>
      </c>
      <c r="C1352" s="72">
        <f>IFERROR(__xludf.DUMMYFUNCTION("iferror(divide(googlefinance($B1352,""marketcap""),1000000),"""")"),443.20837)</f>
        <v>443.20837</v>
      </c>
      <c r="D1352" s="72">
        <f>IFERROR(__xludf.DUMMYFUNCTION("iferror(divide(googlefinance($B1352,""shares""),1000),"""")"),58548.0)</f>
        <v>58548</v>
      </c>
      <c r="E1352" s="72">
        <f>IFERROR(__xludf.DUMMYFUNCTION("iferror(divide(googlefinance($B1352,""volumeavg""),1000),"""")"),548.01)</f>
        <v>548.01</v>
      </c>
      <c r="F1352" s="73">
        <f>IFERROR(__xludf.DUMMYFUNCTION("iferror(MINUS(divide(GOOGLEFINANCE($B1352), INDEX(GOOGLEFINANCE($B1352,""price"",today()-182),2,2)),1),"""")"),0.2450657894736843)</f>
        <v>0.2450657895</v>
      </c>
      <c r="G1352" s="61">
        <f>IFERROR(__xludf.DUMMYFUNCTION("iferror(MINUS(divide(GOOGLEFINANCE($B1352), INDEX(GOOGLEFINANCE($B1352,""price"",today()-364),2,2)),1),"""")"),-0.43210802700675166)</f>
        <v>-0.432108027</v>
      </c>
    </row>
    <row r="1353">
      <c r="A1353" s="71">
        <f t="shared" si="4"/>
        <v>1349</v>
      </c>
      <c r="B1353" s="47" t="s">
        <v>1486</v>
      </c>
      <c r="C1353" s="72">
        <f>IFERROR(__xludf.DUMMYFUNCTION("iferror(divide(googlefinance($B1353,""marketcap""),1000000),"""")"),315.462)</f>
        <v>315.462</v>
      </c>
      <c r="D1353" s="72">
        <f>IFERROR(__xludf.DUMMYFUNCTION("iferror(divide(googlefinance($B1353,""shares""),1000),"""")"),22533.0)</f>
        <v>22533</v>
      </c>
      <c r="E1353" s="72">
        <f>IFERROR(__xludf.DUMMYFUNCTION("iferror(divide(googlefinance($B1353,""volumeavg""),1000),"""")"),132.084)</f>
        <v>132.084</v>
      </c>
      <c r="F1353" s="73">
        <f>IFERROR(__xludf.DUMMYFUNCTION("iferror(MINUS(divide(GOOGLEFINANCE($B1353), INDEX(GOOGLEFINANCE($B1353,""price"",today()-182),2,2)),1),"""")"),0.7156862745098038)</f>
        <v>0.7156862745</v>
      </c>
      <c r="G1353" s="61">
        <f>IFERROR(__xludf.DUMMYFUNCTION("iferror(MINUS(divide(GOOGLEFINANCE($B1353), INDEX(GOOGLEFINANCE($B1353,""price"",today()-364),2,2)),1),"""")"),-0.04697072838665761)</f>
        <v>-0.04697072839</v>
      </c>
    </row>
    <row r="1354">
      <c r="A1354" s="71">
        <f t="shared" si="4"/>
        <v>1350</v>
      </c>
      <c r="B1354" s="47" t="s">
        <v>1487</v>
      </c>
      <c r="C1354" s="72">
        <f>IFERROR(__xludf.DUMMYFUNCTION("iferror(divide(googlefinance($B1354,""marketcap""),1000000),"""")"),67075.470693)</f>
        <v>67075.47069</v>
      </c>
      <c r="D1354" s="72">
        <f>IFERROR(__xludf.DUMMYFUNCTION("iferror(divide(googlefinance($B1354,""shares""),1000),"""")"),1199061.0)</f>
        <v>1199061</v>
      </c>
      <c r="E1354" s="72">
        <f>IFERROR(__xludf.DUMMYFUNCTION("iferror(divide(googlefinance($B1354,""volumeavg""),1000),"""")"),8448.028)</f>
        <v>8448.028</v>
      </c>
      <c r="F1354" s="73">
        <f>IFERROR(__xludf.DUMMYFUNCTION("iferror(MINUS(divide(GOOGLEFINANCE($B1354), INDEX(GOOGLEFINANCE($B1354,""price"",today()-182),2,2)),1),"""")"),0.4969226652394969)</f>
        <v>0.4969226652</v>
      </c>
      <c r="G1354" s="61">
        <f>IFERROR(__xludf.DUMMYFUNCTION("iferror(MINUS(divide(GOOGLEFINANCE($B1354), INDEX(GOOGLEFINANCE($B1354,""price"",today()-364),2,2)),1),"""")"),0.020616675789089545)</f>
        <v>0.02061667579</v>
      </c>
    </row>
    <row r="1355">
      <c r="A1355" s="71">
        <f t="shared" si="4"/>
        <v>1351</v>
      </c>
      <c r="B1355" s="47" t="s">
        <v>1488</v>
      </c>
      <c r="C1355" s="72">
        <f>IFERROR(__xludf.DUMMYFUNCTION("iferror(divide(googlefinance($B1355,""marketcap""),1000000),"""")"),252.7675)</f>
        <v>252.7675</v>
      </c>
      <c r="D1355" s="72">
        <f>IFERROR(__xludf.DUMMYFUNCTION("iferror(divide(googlefinance($B1355,""shares""),1000),"""")"),101107.0)</f>
        <v>101107</v>
      </c>
      <c r="E1355" s="72">
        <f>IFERROR(__xludf.DUMMYFUNCTION("iferror(divide(googlefinance($B1355,""volumeavg""),1000),"""")"),639.801)</f>
        <v>639.801</v>
      </c>
      <c r="F1355" s="73">
        <f>IFERROR(__xludf.DUMMYFUNCTION("iferror(MINUS(divide(GOOGLEFINANCE($B1355), INDEX(GOOGLEFINANCE($B1355,""price"",today()-182),2,2)),1),"""")"),0.13636363636363624)</f>
        <v>0.1363636364</v>
      </c>
      <c r="G1355" s="61">
        <f>IFERROR(__xludf.DUMMYFUNCTION("iferror(MINUS(divide(GOOGLEFINANCE($B1355), INDEX(GOOGLEFINANCE($B1355,""price"",today()-364),2,2)),1),"""")"),-0.4394618834080718)</f>
        <v>-0.4394618834</v>
      </c>
    </row>
    <row r="1356">
      <c r="A1356" s="71">
        <f t="shared" si="4"/>
        <v>1352</v>
      </c>
      <c r="B1356" s="47" t="s">
        <v>1489</v>
      </c>
      <c r="C1356" s="72">
        <f>IFERROR(__xludf.DUMMYFUNCTION("iferror(divide(googlefinance($B1356,""marketcap""),1000000),"""")"),126.012069)</f>
        <v>126.012069</v>
      </c>
      <c r="D1356" s="72">
        <f>IFERROR(__xludf.DUMMYFUNCTION("iferror(divide(googlefinance($B1356,""shares""),1000),"""")"),51963.74)</f>
        <v>51963.74</v>
      </c>
      <c r="E1356" s="72">
        <f>IFERROR(__xludf.DUMMYFUNCTION("iferror(divide(googlefinance($B1356,""volumeavg""),1000),"""")"),306.993)</f>
        <v>306.993</v>
      </c>
      <c r="F1356" s="73">
        <f>IFERROR(__xludf.DUMMYFUNCTION("iferror(MINUS(divide(GOOGLEFINANCE($B1356), INDEX(GOOGLEFINANCE($B1356,""price"",today()-182),2,2)),1),"""")"),2.7949921752738653)</f>
        <v>2.794992175</v>
      </c>
      <c r="G1356" s="61">
        <f>IFERROR(__xludf.DUMMYFUNCTION("iferror(MINUS(divide(GOOGLEFINANCE($B1356), INDEX(GOOGLEFINANCE($B1356,""price"",today()-364),2,2)),1),"""")"),1.3774509803921569)</f>
        <v>1.37745098</v>
      </c>
    </row>
    <row r="1357">
      <c r="A1357" s="71">
        <f t="shared" si="4"/>
        <v>1353</v>
      </c>
      <c r="B1357" s="47" t="s">
        <v>1490</v>
      </c>
      <c r="C1357" s="72">
        <f>IFERROR(__xludf.DUMMYFUNCTION("iferror(divide(googlefinance($B1357,""marketcap""),1000000),"""")"),286.73955)</f>
        <v>286.73955</v>
      </c>
      <c r="D1357" s="72">
        <f>IFERROR(__xludf.DUMMYFUNCTION("iferror(divide(googlefinance($B1357,""shares""),1000),"""")"),191160.0)</f>
        <v>191160</v>
      </c>
      <c r="E1357" s="72">
        <f>IFERROR(__xludf.DUMMYFUNCTION("iferror(divide(googlefinance($B1357,""volumeavg""),1000),"""")"),521.304)</f>
        <v>521.304</v>
      </c>
      <c r="F1357" s="73">
        <f>IFERROR(__xludf.DUMMYFUNCTION("iferror(MINUS(divide(GOOGLEFINANCE($B1357), INDEX(GOOGLEFINANCE($B1357,""price"",today()-182),2,2)),1),"""")"),4.225352112676057)</f>
        <v>4.225352113</v>
      </c>
      <c r="G1357" s="61">
        <f>IFERROR(__xludf.DUMMYFUNCTION("iferror(MINUS(divide(GOOGLEFINANCE($B1357), INDEX(GOOGLEFINANCE($B1357,""price"",today()-364),2,2)),1),"""")"),1.9212598425196852)</f>
        <v>1.921259843</v>
      </c>
    </row>
    <row r="1358">
      <c r="A1358" s="71">
        <f t="shared" si="4"/>
        <v>1354</v>
      </c>
      <c r="B1358" s="47" t="s">
        <v>1491</v>
      </c>
      <c r="C1358" s="72">
        <f>IFERROR(__xludf.DUMMYFUNCTION("iferror(divide(googlefinance($B1358,""marketcap""),1000000),"""")"),226.027927)</f>
        <v>226.027927</v>
      </c>
      <c r="D1358" s="72">
        <f>IFERROR(__xludf.DUMMYFUNCTION("iferror(divide(googlefinance($B1358,""shares""),1000),"""")"),22414.0)</f>
        <v>22414</v>
      </c>
      <c r="E1358" s="72">
        <f>IFERROR(__xludf.DUMMYFUNCTION("iferror(divide(googlefinance($B1358,""volumeavg""),1000),"""")"),383.574)</f>
        <v>383.574</v>
      </c>
      <c r="F1358" s="73">
        <f>IFERROR(__xludf.DUMMYFUNCTION("iferror(MINUS(divide(GOOGLEFINANCE($B1358), INDEX(GOOGLEFINANCE($B1358,""price"",today()-182),2,2)),1),"""")"),0.9022556390977443)</f>
        <v>0.9022556391</v>
      </c>
      <c r="G1358" s="61">
        <f>IFERROR(__xludf.DUMMYFUNCTION("iferror(MINUS(divide(GOOGLEFINANCE($B1358), INDEX(GOOGLEFINANCE($B1358,""price"",today()-364),2,2)),1),"""")"),-0.2356495468277946)</f>
        <v>-0.2356495468</v>
      </c>
    </row>
    <row r="1359">
      <c r="A1359" s="71">
        <f t="shared" si="4"/>
        <v>1355</v>
      </c>
      <c r="B1359" s="47" t="s">
        <v>1492</v>
      </c>
      <c r="C1359" s="72">
        <f>IFERROR(__xludf.DUMMYFUNCTION("iferror(divide(googlefinance($B1359,""marketcap""),1000000),"""")"),2.2984543824E7)</f>
        <v>22984543.82</v>
      </c>
      <c r="D1359" s="72">
        <f>IFERROR(__xludf.DUMMYFUNCTION("iferror(divide(googlefinance($B1359,""shares""),1000),"""")"),3262997.0)</f>
        <v>3262997</v>
      </c>
      <c r="E1359" s="72">
        <f>IFERROR(__xludf.DUMMYFUNCTION("iferror(divide(googlefinance($B1359,""volumeavg""),1000),"""")"),162.632)</f>
        <v>162.632</v>
      </c>
      <c r="F1359" s="73">
        <f>IFERROR(__xludf.DUMMYFUNCTION("iferror(MINUS(divide(GOOGLEFINANCE($B1359), INDEX(GOOGLEFINANCE($B1359,""price"",today()-182),2,2)),1),"""")"),0.15919629057187024)</f>
        <v>0.1591962906</v>
      </c>
      <c r="G1359" s="61">
        <f>IFERROR(__xludf.DUMMYFUNCTION("iferror(MINUS(divide(GOOGLEFINANCE($B1359), INDEX(GOOGLEFINANCE($B1359,""price"",today()-364),2,2)),1),"""")"),-0.011423550087873435)</f>
        <v>-0.01142355009</v>
      </c>
    </row>
    <row r="1360">
      <c r="A1360" s="71">
        <f t="shared" si="4"/>
        <v>1356</v>
      </c>
      <c r="B1360" s="47" t="s">
        <v>1493</v>
      </c>
      <c r="C1360" s="72">
        <f>IFERROR(__xludf.DUMMYFUNCTION("iferror(divide(googlefinance($B1360,""marketcap""),1000000),"""")"),447.514387)</f>
        <v>447.514387</v>
      </c>
      <c r="D1360" s="72">
        <f>IFERROR(__xludf.DUMMYFUNCTION("iferror(divide(googlefinance($B1360,""shares""),1000),"""")"),27155.0)</f>
        <v>27155</v>
      </c>
      <c r="E1360" s="72">
        <f>IFERROR(__xludf.DUMMYFUNCTION("iferror(divide(googlefinance($B1360,""volumeavg""),1000),"""")"),140.326)</f>
        <v>140.326</v>
      </c>
      <c r="F1360" s="73">
        <f>IFERROR(__xludf.DUMMYFUNCTION("iferror(MINUS(divide(GOOGLEFINANCE($B1360), INDEX(GOOGLEFINANCE($B1360,""price"",today()-182),2,2)),1),"""")"),0.19941775836972342)</f>
        <v>0.1994177584</v>
      </c>
      <c r="G1360" s="61">
        <f>IFERROR(__xludf.DUMMYFUNCTION("iferror(MINUS(divide(GOOGLEFINANCE($B1360), INDEX(GOOGLEFINANCE($B1360,""price"",today()-364),2,2)),1),"""")"),-0.3336029114435908)</f>
        <v>-0.3336029114</v>
      </c>
    </row>
    <row r="1361">
      <c r="A1361" s="71">
        <f t="shared" si="4"/>
        <v>1357</v>
      </c>
      <c r="B1361" s="47" t="s">
        <v>1494</v>
      </c>
      <c r="C1361" s="72">
        <f>IFERROR(__xludf.DUMMYFUNCTION("iferror(divide(googlefinance($B1361,""marketcap""),1000000),"""")"),3221.618851)</f>
        <v>3221.618851</v>
      </c>
      <c r="D1361" s="72">
        <f>IFERROR(__xludf.DUMMYFUNCTION("iferror(divide(googlefinance($B1361,""shares""),1000),"""")"),129695.0)</f>
        <v>129695</v>
      </c>
      <c r="E1361" s="72">
        <f>IFERROR(__xludf.DUMMYFUNCTION("iferror(divide(googlefinance($B1361,""volumeavg""),1000),"""")"),1247.194)</f>
        <v>1247.194</v>
      </c>
      <c r="F1361" s="73">
        <f>IFERROR(__xludf.DUMMYFUNCTION("iferror(MINUS(divide(GOOGLEFINANCE($B1361), INDEX(GOOGLEFINANCE($B1361,""price"",today()-182),2,2)),1),"""")"),2.0145631067961163)</f>
        <v>2.014563107</v>
      </c>
      <c r="G1361" s="61">
        <f>IFERROR(__xludf.DUMMYFUNCTION("iferror(MINUS(divide(GOOGLEFINANCE($B1361), INDEX(GOOGLEFINANCE($B1361,""price"",today()-364),2,2)),1),"""")"),-0.011146496815286677)</f>
        <v>-0.01114649682</v>
      </c>
    </row>
    <row r="1362">
      <c r="A1362" s="71">
        <f t="shared" si="4"/>
        <v>1358</v>
      </c>
      <c r="B1362" s="47" t="s">
        <v>1495</v>
      </c>
      <c r="C1362" s="72">
        <f>IFERROR(__xludf.DUMMYFUNCTION("iferror(divide(googlefinance($B1362,""marketcap""),1000000),"""")"),168.885)</f>
        <v>168.885</v>
      </c>
      <c r="D1362" s="72">
        <f>IFERROR(__xludf.DUMMYFUNCTION("iferror(divide(googlefinance($B1362,""shares""),1000),"""")"),45036.0)</f>
        <v>45036</v>
      </c>
      <c r="E1362" s="72">
        <f>IFERROR(__xludf.DUMMYFUNCTION("iferror(divide(googlefinance($B1362,""volumeavg""),1000),"""")"),221.429)</f>
        <v>221.429</v>
      </c>
      <c r="F1362" s="73">
        <f>IFERROR(__xludf.DUMMYFUNCTION("iferror(MINUS(divide(GOOGLEFINANCE($B1362), INDEX(GOOGLEFINANCE($B1362,""price"",today()-182),2,2)),1),"""")"),0.10294117647058831)</f>
        <v>0.1029411765</v>
      </c>
      <c r="G1362" s="61">
        <f>IFERROR(__xludf.DUMMYFUNCTION("iferror(MINUS(divide(GOOGLEFINANCE($B1362), INDEX(GOOGLEFINANCE($B1362,""price"",today()-364),2,2)),1),"""")"),-0.4477172312223858)</f>
        <v>-0.4477172312</v>
      </c>
    </row>
    <row r="1363">
      <c r="A1363" s="71">
        <f t="shared" si="4"/>
        <v>1359</v>
      </c>
      <c r="B1363" s="47" t="s">
        <v>1496</v>
      </c>
      <c r="C1363" s="72">
        <f>IFERROR(__xludf.DUMMYFUNCTION("iferror(divide(googlefinance($B1363,""marketcap""),1000000),"""")"),410.249194)</f>
        <v>410.249194</v>
      </c>
      <c r="D1363" s="72">
        <f>IFERROR(__xludf.DUMMYFUNCTION("iferror(divide(googlefinance($B1363,""shares""),1000),"""")"),29100.0)</f>
        <v>29100</v>
      </c>
      <c r="E1363" s="72">
        <f>IFERROR(__xludf.DUMMYFUNCTION("iferror(divide(googlefinance($B1363,""volumeavg""),1000),"""")"),745.938)</f>
        <v>745.938</v>
      </c>
      <c r="F1363" s="73">
        <f>IFERROR(__xludf.DUMMYFUNCTION("iferror(MINUS(divide(GOOGLEFINANCE($B1363), INDEX(GOOGLEFINANCE($B1363,""price"",today()-182),2,2)),1),"""")"),-0.2503075030750308)</f>
        <v>-0.2503075031</v>
      </c>
      <c r="G1363" s="61">
        <f>IFERROR(__xludf.DUMMYFUNCTION("iferror(MINUS(divide(GOOGLEFINANCE($B1363), INDEX(GOOGLEFINANCE($B1363,""price"",today()-364),2,2)),1),"""")"),0.19980314960629908)</f>
        <v>0.1998031496</v>
      </c>
    </row>
    <row r="1364">
      <c r="A1364" s="71">
        <f t="shared" si="4"/>
        <v>1360</v>
      </c>
      <c r="B1364" s="47" t="s">
        <v>1497</v>
      </c>
      <c r="C1364" s="72">
        <f>IFERROR(__xludf.DUMMYFUNCTION("iferror(divide(googlefinance($B1364,""marketcap""),1000000),"""")"),169.961943)</f>
        <v>169.961943</v>
      </c>
      <c r="D1364" s="72">
        <f>IFERROR(__xludf.DUMMYFUNCTION("iferror(divide(googlefinance($B1364,""shares""),1000),"""")"),19135.0)</f>
        <v>19135</v>
      </c>
      <c r="E1364" s="72">
        <f>IFERROR(__xludf.DUMMYFUNCTION("iferror(divide(googlefinance($B1364,""volumeavg""),1000),"""")"),101.565)</f>
        <v>101.565</v>
      </c>
      <c r="F1364" s="73">
        <f>IFERROR(__xludf.DUMMYFUNCTION("iferror(MINUS(divide(GOOGLEFINANCE($B1364), INDEX(GOOGLEFINANCE($B1364,""price"",today()-182),2,2)),1),"""")"),0.03908045977011487)</f>
        <v>0.03908045977</v>
      </c>
      <c r="G1364" s="61">
        <f>IFERROR(__xludf.DUMMYFUNCTION("iferror(MINUS(divide(GOOGLEFINANCE($B1364), INDEX(GOOGLEFINANCE($B1364,""price"",today()-364),2,2)),1),"""")"),-0.3633802816901409)</f>
        <v>-0.3633802817</v>
      </c>
    </row>
    <row r="1365">
      <c r="A1365" s="71">
        <f t="shared" si="4"/>
        <v>1361</v>
      </c>
      <c r="B1365" s="47" t="s">
        <v>1498</v>
      </c>
      <c r="C1365" s="72">
        <f>IFERROR(__xludf.DUMMYFUNCTION("iferror(divide(googlefinance($B1365,""marketcap""),1000000),"""")"),128.974231)</f>
        <v>128.974231</v>
      </c>
      <c r="D1365" s="72">
        <f>IFERROR(__xludf.DUMMYFUNCTION("iferror(divide(googlefinance($B1365,""shares""),1000),"""")"),130277.0)</f>
        <v>130277</v>
      </c>
      <c r="E1365" s="72">
        <f>IFERROR(__xludf.DUMMYFUNCTION("iferror(divide(googlefinance($B1365,""volumeavg""),1000),"""")"),8926.614)</f>
        <v>8926.614</v>
      </c>
      <c r="F1365" s="73">
        <f>IFERROR(__xludf.DUMMYFUNCTION("iferror(MINUS(divide(GOOGLEFINANCE($B1365), INDEX(GOOGLEFINANCE($B1365,""price"",today()-182),2,2)),1),"""")"),0.020618556701030855)</f>
        <v>0.0206185567</v>
      </c>
      <c r="G1365" s="61">
        <f>IFERROR(__xludf.DUMMYFUNCTION("iferror(MINUS(divide(GOOGLEFINANCE($B1365), INDEX(GOOGLEFINANCE($B1365,""price"",today()-364),2,2)),1),"""")"),-0.7857142857142857)</f>
        <v>-0.7857142857</v>
      </c>
    </row>
    <row r="1366">
      <c r="A1366" s="71">
        <f t="shared" si="4"/>
        <v>1362</v>
      </c>
      <c r="B1366" s="47" t="s">
        <v>1499</v>
      </c>
      <c r="C1366" s="72">
        <f>IFERROR(__xludf.DUMMYFUNCTION("iferror(divide(googlefinance($B1366,""marketcap""),1000000),"""")"),5600.001674)</f>
        <v>5600.001674</v>
      </c>
      <c r="D1366" s="72">
        <f>IFERROR(__xludf.DUMMYFUNCTION("iferror(divide(googlefinance($B1366,""shares""),1000),"""")"),126183.0)</f>
        <v>126183</v>
      </c>
      <c r="E1366" s="72">
        <f>IFERROR(__xludf.DUMMYFUNCTION("iferror(divide(googlefinance($B1366,""volumeavg""),1000),"""")"),2259.918)</f>
        <v>2259.918</v>
      </c>
      <c r="F1366" s="73">
        <f>IFERROR(__xludf.DUMMYFUNCTION("iferror(MINUS(divide(GOOGLEFINANCE($B1366), INDEX(GOOGLEFINANCE($B1366,""price"",today()-182),2,2)),1),"""")"),1.8053097345132745)</f>
        <v>1.805309735</v>
      </c>
      <c r="G1366" s="61">
        <f>IFERROR(__xludf.DUMMYFUNCTION("iferror(MINUS(divide(GOOGLEFINANCE($B1366), INDEX(GOOGLEFINANCE($B1366,""price"",today()-364),2,2)),1),"""")"),0.137948717948718)</f>
        <v>0.1379487179</v>
      </c>
    </row>
    <row r="1367">
      <c r="A1367" s="71">
        <f t="shared" si="4"/>
        <v>1363</v>
      </c>
      <c r="B1367" s="47" t="s">
        <v>1500</v>
      </c>
      <c r="C1367" s="72">
        <f>IFERROR(__xludf.DUMMYFUNCTION("iferror(divide(googlefinance($B1367,""marketcap""),1000000),"""")"),644.283968)</f>
        <v>644.283968</v>
      </c>
      <c r="D1367" s="72">
        <f>IFERROR(__xludf.DUMMYFUNCTION("iferror(divide(googlefinance($B1367,""shares""),1000),"""")"),50771.0)</f>
        <v>50771</v>
      </c>
      <c r="E1367" s="72">
        <f>IFERROR(__xludf.DUMMYFUNCTION("iferror(divide(googlefinance($B1367,""volumeavg""),1000),"""")"),304.575)</f>
        <v>304.575</v>
      </c>
      <c r="F1367" s="73">
        <f>IFERROR(__xludf.DUMMYFUNCTION("iferror(MINUS(divide(GOOGLEFINANCE($B1367), INDEX(GOOGLEFINANCE($B1367,""price"",today()-182),2,2)),1),"""")"),1.0207006369426752)</f>
        <v>1.020700637</v>
      </c>
      <c r="G1367" s="61">
        <f>IFERROR(__xludf.DUMMYFUNCTION("iferror(MINUS(divide(GOOGLEFINANCE($B1367), INDEX(GOOGLEFINANCE($B1367,""price"",today()-364),2,2)),1),"""")"),-0.02833078101071984)</f>
        <v>-0.02833078101</v>
      </c>
    </row>
    <row r="1368">
      <c r="A1368" s="71">
        <f t="shared" si="4"/>
        <v>1364</v>
      </c>
      <c r="B1368" s="47" t="s">
        <v>1501</v>
      </c>
      <c r="C1368" s="72">
        <f>IFERROR(__xludf.DUMMYFUNCTION("iferror(divide(googlefinance($B1368,""marketcap""),1000000),"""")"),2252.033369)</f>
        <v>2252.033369</v>
      </c>
      <c r="D1368" s="72">
        <f>IFERROR(__xludf.DUMMYFUNCTION("iferror(divide(googlefinance($B1368,""shares""),1000),"""")"),130326.0)</f>
        <v>130326</v>
      </c>
      <c r="E1368" s="72">
        <f>IFERROR(__xludf.DUMMYFUNCTION("iferror(divide(googlefinance($B1368,""volumeavg""),1000),"""")"),1386.876)</f>
        <v>1386.876</v>
      </c>
      <c r="F1368" s="73">
        <f>IFERROR(__xludf.DUMMYFUNCTION("iferror(MINUS(divide(GOOGLEFINANCE($B1368), INDEX(GOOGLEFINANCE($B1368,""price"",today()-182),2,2)),1),"""")"),1.4791965566714493)</f>
        <v>1.479196557</v>
      </c>
      <c r="G1368" s="61">
        <f>IFERROR(__xludf.DUMMYFUNCTION("iferror(MINUS(divide(GOOGLEFINANCE($B1368), INDEX(GOOGLEFINANCE($B1368,""price"",today()-364),2,2)),1),"""")"),0.16207128446536667)</f>
        <v>0.1620712845</v>
      </c>
    </row>
    <row r="1369">
      <c r="A1369" s="71">
        <f t="shared" si="4"/>
        <v>1365</v>
      </c>
      <c r="B1369" s="47" t="s">
        <v>1502</v>
      </c>
      <c r="C1369" s="72">
        <f>IFERROR(__xludf.DUMMYFUNCTION("iferror(divide(googlefinance($B1369,""marketcap""),1000000),"""")"),4861.841705)</f>
        <v>4861.841705</v>
      </c>
      <c r="D1369" s="72">
        <f>IFERROR(__xludf.DUMMYFUNCTION("iferror(divide(googlefinance($B1369,""shares""),1000),"""")"),276241.0)</f>
        <v>276241</v>
      </c>
      <c r="E1369" s="72">
        <f>IFERROR(__xludf.DUMMYFUNCTION("iferror(divide(googlefinance($B1369,""volumeavg""),1000),"""")"),6513.739)</f>
        <v>6513.739</v>
      </c>
      <c r="F1369" s="73">
        <f>IFERROR(__xludf.DUMMYFUNCTION("iferror(MINUS(divide(GOOGLEFINANCE($B1369), INDEX(GOOGLEFINANCE($B1369,""price"",today()-182),2,2)),1),"""")"),0.46179401993355507)</f>
        <v>0.4617940199</v>
      </c>
      <c r="G1369" s="61">
        <f>IFERROR(__xludf.DUMMYFUNCTION("iferror(MINUS(divide(GOOGLEFINANCE($B1369), INDEX(GOOGLEFINANCE($B1369,""price"",today()-364),2,2)),1),"""")"),-0.29992044550517105)</f>
        <v>-0.2999204455</v>
      </c>
    </row>
    <row r="1370">
      <c r="A1370" s="71">
        <f t="shared" si="4"/>
        <v>1366</v>
      </c>
      <c r="B1370" s="47" t="s">
        <v>1503</v>
      </c>
      <c r="C1370" s="72">
        <f>IFERROR(__xludf.DUMMYFUNCTION("iferror(divide(googlefinance($B1370,""marketcap""),1000000),"""")"),3542.61778)</f>
        <v>3542.61778</v>
      </c>
      <c r="D1370" s="72">
        <f>IFERROR(__xludf.DUMMYFUNCTION("iferror(divide(googlefinance($B1370,""shares""),1000),"""")"),42169.0)</f>
        <v>42169</v>
      </c>
      <c r="E1370" s="72">
        <f>IFERROR(__xludf.DUMMYFUNCTION("iferror(divide(googlefinance($B1370,""volumeavg""),1000),"""")"),317.062)</f>
        <v>317.062</v>
      </c>
      <c r="F1370" s="73">
        <f>IFERROR(__xludf.DUMMYFUNCTION("iferror(MINUS(divide(GOOGLEFINANCE($B1370), INDEX(GOOGLEFINANCE($B1370,""price"",today()-182),2,2)),1),"""")"),1.2915984724495368)</f>
        <v>1.291598472</v>
      </c>
      <c r="G1370" s="61">
        <f>IFERROR(__xludf.DUMMYFUNCTION("iferror(MINUS(divide(GOOGLEFINANCE($B1370), INDEX(GOOGLEFINANCE($B1370,""price"",today()-364),2,2)),1),"""")"),1.123073035127622)</f>
        <v>1.123073035</v>
      </c>
    </row>
    <row r="1371">
      <c r="A1371" s="71">
        <f t="shared" si="4"/>
        <v>1367</v>
      </c>
      <c r="B1371" s="47" t="s">
        <v>1504</v>
      </c>
      <c r="C1371" s="72">
        <f>IFERROR(__xludf.DUMMYFUNCTION("iferror(divide(googlefinance($B1371,""marketcap""),1000000),"""")"),4690.443312)</f>
        <v>4690.443312</v>
      </c>
      <c r="D1371" s="72">
        <f>IFERROR(__xludf.DUMMYFUNCTION("iferror(divide(googlefinance($B1371,""shares""),1000),"""")"),51566.0)</f>
        <v>51566</v>
      </c>
      <c r="E1371" s="72">
        <f>IFERROR(__xludf.DUMMYFUNCTION("iferror(divide(googlefinance($B1371,""volumeavg""),1000),"""")"),518.454)</f>
        <v>518.454</v>
      </c>
      <c r="F1371" s="73">
        <f>IFERROR(__xludf.DUMMYFUNCTION("iferror(MINUS(divide(GOOGLEFINANCE($B1371), INDEX(GOOGLEFINANCE($B1371,""price"",today()-182),2,2)),1),"""")"),1.748036253776435)</f>
        <v>1.748036254</v>
      </c>
      <c r="G1371" s="61">
        <f>IFERROR(__xludf.DUMMYFUNCTION("iferror(MINUS(divide(GOOGLEFINANCE($B1371), INDEX(GOOGLEFINANCE($B1371,""price"",today()-364),2,2)),1),"""")"),0.20031670625494846)</f>
        <v>0.2003167063</v>
      </c>
    </row>
    <row r="1372">
      <c r="A1372" s="71">
        <f t="shared" si="4"/>
        <v>1368</v>
      </c>
      <c r="B1372" s="47" t="s">
        <v>1505</v>
      </c>
      <c r="C1372" s="72">
        <f>IFERROR(__xludf.DUMMYFUNCTION("iferror(divide(googlefinance($B1372,""marketcap""),1000000),"""")"),2143.26485)</f>
        <v>2143.26485</v>
      </c>
      <c r="D1372" s="72">
        <f>IFERROR(__xludf.DUMMYFUNCTION("iferror(divide(googlefinance($B1372,""shares""),1000),"""")"),39664.0)</f>
        <v>39664</v>
      </c>
      <c r="E1372" s="72">
        <f>IFERROR(__xludf.DUMMYFUNCTION("iferror(divide(googlefinance($B1372,""volumeavg""),1000),"""")"),182.735)</f>
        <v>182.735</v>
      </c>
      <c r="F1372" s="73">
        <f>IFERROR(__xludf.DUMMYFUNCTION("iferror(MINUS(divide(GOOGLEFINANCE($B1372), INDEX(GOOGLEFINANCE($B1372,""price"",today()-182),2,2)),1),"""")"),-0.13257142857142856)</f>
        <v>-0.1325714286</v>
      </c>
      <c r="G1372" s="61">
        <f>IFERROR(__xludf.DUMMYFUNCTION("iferror(MINUS(divide(GOOGLEFINANCE($B1372), INDEX(GOOGLEFINANCE($B1372,""price"",today()-364),2,2)),1),"""")"),-0.1428571428571429)</f>
        <v>-0.1428571429</v>
      </c>
    </row>
    <row r="1373">
      <c r="A1373" s="71">
        <f t="shared" si="4"/>
        <v>1369</v>
      </c>
      <c r="B1373" s="47" t="s">
        <v>1506</v>
      </c>
      <c r="C1373" s="72">
        <f>IFERROR(__xludf.DUMMYFUNCTION("iferror(divide(googlefinance($B1373,""marketcap""),1000000),"""")"),376.38616)</f>
        <v>376.38616</v>
      </c>
      <c r="D1373" s="72">
        <f>IFERROR(__xludf.DUMMYFUNCTION("iferror(divide(googlefinance($B1373,""shares""),1000),"""")"),26229.0)</f>
        <v>26229</v>
      </c>
      <c r="E1373" s="72">
        <f>IFERROR(__xludf.DUMMYFUNCTION("iferror(divide(googlefinance($B1373,""volumeavg""),1000),"""")"),70.368)</f>
        <v>70.368</v>
      </c>
      <c r="F1373" s="73">
        <f>IFERROR(__xludf.DUMMYFUNCTION("iferror(MINUS(divide(GOOGLEFINANCE($B1373), INDEX(GOOGLEFINANCE($B1373,""price"",today()-182),2,2)),1),"""")"),0.13708399366085589)</f>
        <v>0.1370839937</v>
      </c>
      <c r="G1373" s="61">
        <f>IFERROR(__xludf.DUMMYFUNCTION("iferror(MINUS(divide(GOOGLEFINANCE($B1373), INDEX(GOOGLEFINANCE($B1373,""price"",today()-364),2,2)),1),"""")"),-0.180468303826385)</f>
        <v>-0.1804683038</v>
      </c>
    </row>
    <row r="1374">
      <c r="A1374" s="71">
        <f t="shared" si="4"/>
        <v>1370</v>
      </c>
      <c r="B1374" s="47" t="s">
        <v>1507</v>
      </c>
      <c r="C1374" s="72">
        <f>IFERROR(__xludf.DUMMYFUNCTION("iferror(divide(googlefinance($B1374,""marketcap""),1000000),"""")"),152.738695)</f>
        <v>152.738695</v>
      </c>
      <c r="D1374" s="72">
        <f>IFERROR(__xludf.DUMMYFUNCTION("iferror(divide(googlefinance($B1374,""shares""),1000),"""")"),24715.0)</f>
        <v>24715</v>
      </c>
      <c r="E1374" s="72">
        <f>IFERROR(__xludf.DUMMYFUNCTION("iferror(divide(googlefinance($B1374,""volumeavg""),1000),"""")"),31.174)</f>
        <v>31.174</v>
      </c>
      <c r="F1374" s="73">
        <f>IFERROR(__xludf.DUMMYFUNCTION("iferror(MINUS(divide(GOOGLEFINANCE($B1374), INDEX(GOOGLEFINANCE($B1374,""price"",today()-182),2,2)),1),"""")"),0.13602941176470584)</f>
        <v>0.1360294118</v>
      </c>
      <c r="G1374" s="61">
        <f>IFERROR(__xludf.DUMMYFUNCTION("iferror(MINUS(divide(GOOGLEFINANCE($B1374), INDEX(GOOGLEFINANCE($B1374,""price"",today()-364),2,2)),1),"""")"),-0.31712707182320454)</f>
        <v>-0.3171270718</v>
      </c>
    </row>
    <row r="1375">
      <c r="A1375" s="71">
        <f t="shared" si="4"/>
        <v>1371</v>
      </c>
      <c r="B1375" s="47" t="s">
        <v>1508</v>
      </c>
      <c r="C1375" s="72">
        <f>IFERROR(__xludf.DUMMYFUNCTION("iferror(divide(googlefinance($B1375,""marketcap""),1000000),"""")"),7916.552769)</f>
        <v>7916.552769</v>
      </c>
      <c r="D1375" s="72">
        <f>IFERROR(__xludf.DUMMYFUNCTION("iferror(divide(googlefinance($B1375,""shares""),1000),"""")"),115756.0)</f>
        <v>115756</v>
      </c>
      <c r="E1375" s="72">
        <f>IFERROR(__xludf.DUMMYFUNCTION("iferror(divide(googlefinance($B1375,""volumeavg""),1000),"""")"),937.531)</f>
        <v>937.531</v>
      </c>
      <c r="F1375" s="73">
        <f>IFERROR(__xludf.DUMMYFUNCTION("iferror(MINUS(divide(GOOGLEFINANCE($B1375), INDEX(GOOGLEFINANCE($B1375,""price"",today()-182),2,2)),1),"""")"),1.0032220269478618)</f>
        <v>1.003222027</v>
      </c>
      <c r="G1375" s="61">
        <f>IFERROR(__xludf.DUMMYFUNCTION("iferror(MINUS(divide(GOOGLEFINANCE($B1375), INDEX(GOOGLEFINANCE($B1375,""price"",today()-364),2,2)),1),"""")"),0.5660636592626516)</f>
        <v>0.5660636593</v>
      </c>
    </row>
    <row r="1376">
      <c r="A1376" s="71">
        <f t="shared" si="4"/>
        <v>1372</v>
      </c>
      <c r="B1376" s="47" t="s">
        <v>1509</v>
      </c>
      <c r="C1376" s="72">
        <f>IFERROR(__xludf.DUMMYFUNCTION("iferror(divide(googlefinance($B1376,""marketcap""),1000000),"""")"),1919.254901)</f>
        <v>1919.254901</v>
      </c>
      <c r="D1376" s="72">
        <f>IFERROR(__xludf.DUMMYFUNCTION("iferror(divide(googlefinance($B1376,""shares""),1000),"""")"),98684.0)</f>
        <v>98684</v>
      </c>
      <c r="E1376" s="72">
        <f>IFERROR(__xludf.DUMMYFUNCTION("iferror(divide(googlefinance($B1376,""volumeavg""),1000),"""")"),2958.649)</f>
        <v>2958.649</v>
      </c>
      <c r="F1376" s="73">
        <f>IFERROR(__xludf.DUMMYFUNCTION("iferror(MINUS(divide(GOOGLEFINANCE($B1376), INDEX(GOOGLEFINANCE($B1376,""price"",today()-182),2,2)),1),"""")"),3.607784431137725)</f>
        <v>3.607784431</v>
      </c>
      <c r="G1376" s="61">
        <f>IFERROR(__xludf.DUMMYFUNCTION("iferror(MINUS(divide(GOOGLEFINANCE($B1376), INDEX(GOOGLEFINANCE($B1376,""price"",today()-364),2,2)),1),"""")"),38.46153846153846)</f>
        <v>38.46153846</v>
      </c>
    </row>
    <row r="1377">
      <c r="A1377" s="71">
        <f t="shared" si="4"/>
        <v>1373</v>
      </c>
      <c r="B1377" s="47" t="s">
        <v>1510</v>
      </c>
      <c r="C1377" s="72">
        <f>IFERROR(__xludf.DUMMYFUNCTION("iferror(divide(googlefinance($B1377,""marketcap""),1000000),"""")"),145.929244)</f>
        <v>145.929244</v>
      </c>
      <c r="D1377" s="72">
        <f>IFERROR(__xludf.DUMMYFUNCTION("iferror(divide(googlefinance($B1377,""shares""),1000),"""")"),86450.976)</f>
        <v>86450.976</v>
      </c>
      <c r="E1377" s="72">
        <f>IFERROR(__xludf.DUMMYFUNCTION("iferror(divide(googlefinance($B1377,""volumeavg""),1000),"""")"),210.404)</f>
        <v>210.404</v>
      </c>
      <c r="F1377" s="73">
        <f>IFERROR(__xludf.DUMMYFUNCTION("iferror(MINUS(divide(GOOGLEFINANCE($B1377), INDEX(GOOGLEFINANCE($B1377,""price"",today()-182),2,2)),1),"""")"),0.40833333333333344)</f>
        <v>0.4083333333</v>
      </c>
      <c r="G1377" s="61">
        <f>IFERROR(__xludf.DUMMYFUNCTION("iferror(MINUS(divide(GOOGLEFINANCE($B1377), INDEX(GOOGLEFINANCE($B1377,""price"",today()-364),2,2)),1),"""")"),-0.12886597938144329)</f>
        <v>-0.1288659794</v>
      </c>
    </row>
    <row r="1378">
      <c r="A1378" s="71">
        <f t="shared" si="4"/>
        <v>1374</v>
      </c>
      <c r="B1378" s="47" t="s">
        <v>1511</v>
      </c>
      <c r="C1378" s="72">
        <f>IFERROR(__xludf.DUMMYFUNCTION("iferror(divide(googlefinance($B1378,""marketcap""),1000000),"""")"),1393.579205)</f>
        <v>1393.579205</v>
      </c>
      <c r="D1378" s="72">
        <f>IFERROR(__xludf.DUMMYFUNCTION("iferror(divide(googlefinance($B1378,""shares""),1000),"""")"),143520.0)</f>
        <v>143520</v>
      </c>
      <c r="E1378" s="72">
        <f>IFERROR(__xludf.DUMMYFUNCTION("iferror(divide(googlefinance($B1378,""volumeavg""),1000),"""")"),1048.8)</f>
        <v>1048.8</v>
      </c>
      <c r="F1378" s="73">
        <f>IFERROR(__xludf.DUMMYFUNCTION("iferror(MINUS(divide(GOOGLEFINANCE($B1378), INDEX(GOOGLEFINANCE($B1378,""price"",today()-182),2,2)),1),"""")"),0.9979423868312758)</f>
        <v>0.9979423868</v>
      </c>
      <c r="G1378" s="61">
        <f>IFERROR(__xludf.DUMMYFUNCTION("iferror(MINUS(divide(GOOGLEFINANCE($B1378), INDEX(GOOGLEFINANCE($B1378,""price"",today()-364),2,2)),1),"""")"),0.06820682068206829)</f>
        <v>0.06820682068</v>
      </c>
    </row>
    <row r="1379">
      <c r="A1379" s="71">
        <f t="shared" si="4"/>
        <v>1375</v>
      </c>
      <c r="B1379" s="47" t="s">
        <v>1512</v>
      </c>
      <c r="C1379" s="72">
        <f>IFERROR(__xludf.DUMMYFUNCTION("iferror(divide(googlefinance($B1379,""marketcap""),1000000),"""")"),1770.83631)</f>
        <v>1770.83631</v>
      </c>
      <c r="D1379" s="72">
        <f>IFERROR(__xludf.DUMMYFUNCTION("iferror(divide(googlefinance($B1379,""shares""),1000),"""")"),2012314.0)</f>
        <v>2012314</v>
      </c>
      <c r="E1379" s="72">
        <f>IFERROR(__xludf.DUMMYFUNCTION("iferror(divide(googlefinance($B1379,""volumeavg""),1000),"""")"),5976.874)</f>
        <v>5976.874</v>
      </c>
      <c r="F1379" s="73">
        <f>IFERROR(__xludf.DUMMYFUNCTION("iferror(MINUS(divide(GOOGLEFINANCE($B1379), INDEX(GOOGLEFINANCE($B1379,""price"",today()-182),2,2)),1),"""")"),1.4444444444444446)</f>
        <v>1.444444444</v>
      </c>
      <c r="G1379" s="61">
        <f>IFERROR(__xludf.DUMMYFUNCTION("iferror(MINUS(divide(GOOGLEFINANCE($B1379), INDEX(GOOGLEFINANCE($B1379,""price"",today()-364),2,2)),1),"""")"),0.9130434782608694)</f>
        <v>0.9130434783</v>
      </c>
    </row>
    <row r="1380">
      <c r="A1380" s="71">
        <f t="shared" si="4"/>
        <v>1376</v>
      </c>
      <c r="B1380" s="47" t="s">
        <v>1513</v>
      </c>
      <c r="C1380" s="72">
        <f>IFERROR(__xludf.DUMMYFUNCTION("iferror(divide(googlefinance($B1380,""marketcap""),1000000),"""")"),2778.349225)</f>
        <v>2778.349225</v>
      </c>
      <c r="D1380" s="72">
        <f>IFERROR(__xludf.DUMMYFUNCTION("iferror(divide(googlefinance($B1380,""shares""),1000),"""")"),68703.0)</f>
        <v>68703</v>
      </c>
      <c r="E1380" s="72">
        <f>IFERROR(__xludf.DUMMYFUNCTION("iferror(divide(googlefinance($B1380,""volumeavg""),1000),"""")"),389.497)</f>
        <v>389.497</v>
      </c>
      <c r="F1380" s="73">
        <f>IFERROR(__xludf.DUMMYFUNCTION("iferror(MINUS(divide(GOOGLEFINANCE($B1380), INDEX(GOOGLEFINANCE($B1380,""price"",today()-182),2,2)),1),"""")"),0.8482632541133455)</f>
        <v>0.8482632541</v>
      </c>
      <c r="G1380" s="61">
        <f>IFERROR(__xludf.DUMMYFUNCTION("iferror(MINUS(divide(GOOGLEFINANCE($B1380), INDEX(GOOGLEFINANCE($B1380,""price"",today()-364),2,2)),1),"""")"),0.17353453279164244)</f>
        <v>0.1735345328</v>
      </c>
    </row>
    <row r="1381">
      <c r="A1381" s="71">
        <f t="shared" si="4"/>
        <v>1377</v>
      </c>
      <c r="B1381" s="47" t="s">
        <v>1514</v>
      </c>
      <c r="C1381" s="72">
        <f>IFERROR(__xludf.DUMMYFUNCTION("iferror(divide(googlefinance($B1381,""marketcap""),1000000),"""")"),330.667672)</f>
        <v>330.667672</v>
      </c>
      <c r="D1381" s="72">
        <f>IFERROR(__xludf.DUMMYFUNCTION("iferror(divide(googlefinance($B1381,""shares""),1000),"""")"),148949.0)</f>
        <v>148949</v>
      </c>
      <c r="E1381" s="72">
        <f>IFERROR(__xludf.DUMMYFUNCTION("iferror(divide(googlefinance($B1381,""volumeavg""),1000),"""")"),15580.988)</f>
        <v>15580.988</v>
      </c>
      <c r="F1381" s="73">
        <f>IFERROR(__xludf.DUMMYFUNCTION("iferror(MINUS(divide(GOOGLEFINANCE($B1381), INDEX(GOOGLEFINANCE($B1381,""price"",today()-182),2,2)),1),"""")"),2.8275862068965525)</f>
        <v>2.827586207</v>
      </c>
      <c r="G1381" s="61">
        <f>IFERROR(__xludf.DUMMYFUNCTION("iferror(MINUS(divide(GOOGLEFINANCE($B1381), INDEX(GOOGLEFINANCE($B1381,""price"",today()-364),2,2)),1),"""")"),1.2653061224489797)</f>
        <v>1.265306122</v>
      </c>
    </row>
    <row r="1382">
      <c r="A1382" s="71">
        <f t="shared" si="4"/>
        <v>1378</v>
      </c>
      <c r="B1382" s="47" t="s">
        <v>1515</v>
      </c>
      <c r="C1382" s="72">
        <f>IFERROR(__xludf.DUMMYFUNCTION("iferror(divide(googlefinance($B1382,""marketcap""),1000000),"""")"),13281.04125)</f>
        <v>13281.04125</v>
      </c>
      <c r="D1382" s="72">
        <f>IFERROR(__xludf.DUMMYFUNCTION("iferror(divide(googlefinance($B1382,""shares""),1000),"""")"),1180537.0)</f>
        <v>1180537</v>
      </c>
      <c r="E1382" s="72">
        <f>IFERROR(__xludf.DUMMYFUNCTION("iferror(divide(googlefinance($B1382,""volumeavg""),1000),"""")"),1638.425)</f>
        <v>1638.425</v>
      </c>
      <c r="F1382" s="73">
        <f>IFERROR(__xludf.DUMMYFUNCTION("iferror(MINUS(divide(GOOGLEFINANCE($B1382), INDEX(GOOGLEFINANCE($B1382,""price"",today()-182),2,2)),1),"""")"),0.06032045240339312)</f>
        <v>0.0603204524</v>
      </c>
      <c r="G1382" s="61">
        <f>IFERROR(__xludf.DUMMYFUNCTION("iferror(MINUS(divide(GOOGLEFINANCE($B1382), INDEX(GOOGLEFINANCE($B1382,""price"",today()-364),2,2)),1),"""")"),-0.4818056195301704)</f>
        <v>-0.4818056195</v>
      </c>
    </row>
    <row r="1383">
      <c r="A1383" s="71">
        <f t="shared" si="4"/>
        <v>1379</v>
      </c>
      <c r="B1383" s="47" t="s">
        <v>1516</v>
      </c>
      <c r="C1383" s="72">
        <f>IFERROR(__xludf.DUMMYFUNCTION("iferror(divide(googlefinance($B1383,""marketcap""),1000000),"""")"),16056.34489)</f>
        <v>16056.34489</v>
      </c>
      <c r="D1383" s="72">
        <f>IFERROR(__xludf.DUMMYFUNCTION("iferror(divide(googlefinance($B1383,""shares""),1000),"""")"),116224.0)</f>
        <v>116224</v>
      </c>
      <c r="E1383" s="72">
        <f>IFERROR(__xludf.DUMMYFUNCTION("iferror(divide(googlefinance($B1383,""volumeavg""),1000),"""")"),1183.439)</f>
        <v>1183.439</v>
      </c>
      <c r="F1383" s="73">
        <f>IFERROR(__xludf.DUMMYFUNCTION("iferror(MINUS(divide(GOOGLEFINANCE($B1383), INDEX(GOOGLEFINANCE($B1383,""price"",today()-182),2,2)),1),"""")"),0.8199183243314452)</f>
        <v>0.8199183243</v>
      </c>
      <c r="G1383" s="61">
        <f>IFERROR(__xludf.DUMMYFUNCTION("iferror(MINUS(divide(GOOGLEFINANCE($B1383), INDEX(GOOGLEFINANCE($B1383,""price"",today()-364),2,2)),1),"""")"),0.528377032857617)</f>
        <v>0.5283770329</v>
      </c>
    </row>
    <row r="1384">
      <c r="A1384" s="71">
        <f t="shared" si="4"/>
        <v>1380</v>
      </c>
      <c r="B1384" s="47" t="s">
        <v>1517</v>
      </c>
      <c r="C1384" s="72">
        <f>IFERROR(__xludf.DUMMYFUNCTION("iferror(divide(googlefinance($B1384,""marketcap""),1000000),"""")"),1109.801)</f>
        <v>1109.801</v>
      </c>
      <c r="D1384" s="72">
        <f>IFERROR(__xludf.DUMMYFUNCTION("iferror(divide(googlefinance($B1384,""shares""),1000),"""")"),38269.0)</f>
        <v>38269</v>
      </c>
      <c r="E1384" s="72">
        <f>IFERROR(__xludf.DUMMYFUNCTION("iferror(divide(googlefinance($B1384,""volumeavg""),1000),"""")"),376.054)</f>
        <v>376.054</v>
      </c>
      <c r="F1384" s="73">
        <f>IFERROR(__xludf.DUMMYFUNCTION("iferror(MINUS(divide(GOOGLEFINANCE($B1384), INDEX(GOOGLEFINANCE($B1384,""price"",today()-182),2,2)),1),"""")"),0.616499442586399)</f>
        <v>0.6164994426</v>
      </c>
      <c r="G1384" s="61">
        <f>IFERROR(__xludf.DUMMYFUNCTION("iferror(MINUS(divide(GOOGLEFINANCE($B1384), INDEX(GOOGLEFINANCE($B1384,""price"",today()-364),2,2)),1),"""")"),-0.34045940413918574)</f>
        <v>-0.3404594041</v>
      </c>
    </row>
    <row r="1385">
      <c r="A1385" s="71">
        <f t="shared" si="4"/>
        <v>1381</v>
      </c>
      <c r="B1385" s="47" t="s">
        <v>1518</v>
      </c>
      <c r="C1385" s="72">
        <f>IFERROR(__xludf.DUMMYFUNCTION("iferror(divide(googlefinance($B1385,""marketcap""),1000000),"""")"),1984.347)</f>
        <v>1984.347</v>
      </c>
      <c r="D1385" s="72">
        <f>IFERROR(__xludf.DUMMYFUNCTION("iferror(divide(googlefinance($B1385,""shares""),1000),"""")"),107262.0)</f>
        <v>107262</v>
      </c>
      <c r="E1385" s="72">
        <f>IFERROR(__xludf.DUMMYFUNCTION("iferror(divide(googlefinance($B1385,""volumeavg""),1000),"""")"),327.531)</f>
        <v>327.531</v>
      </c>
      <c r="F1385" s="73">
        <f>IFERROR(__xludf.DUMMYFUNCTION("iferror(MINUS(divide(GOOGLEFINANCE($B1385), INDEX(GOOGLEFINANCE($B1385,""price"",today()-182),2,2)),1),"""")"),0.33381398702235043)</f>
        <v>0.333813987</v>
      </c>
      <c r="G1385" s="61">
        <f>IFERROR(__xludf.DUMMYFUNCTION("iferror(MINUS(divide(GOOGLEFINANCE($B1385), INDEX(GOOGLEFINANCE($B1385,""price"",today()-364),2,2)),1),"""")"),-0.056122448979591955)</f>
        <v>-0.05612244898</v>
      </c>
    </row>
    <row r="1386">
      <c r="A1386" s="71">
        <f t="shared" si="4"/>
        <v>1382</v>
      </c>
      <c r="B1386" s="47" t="s">
        <v>1519</v>
      </c>
      <c r="C1386" s="72">
        <f>IFERROR(__xludf.DUMMYFUNCTION("iferror(divide(googlefinance($B1386,""marketcap""),1000000),"""")"),394555.708673)</f>
        <v>394555.7087</v>
      </c>
      <c r="D1386" s="72">
        <f>IFERROR(__xludf.DUMMYFUNCTION("iferror(divide(googlefinance($B1386,""shares""),1000),"""")"),931809.0)</f>
        <v>931809</v>
      </c>
      <c r="E1386" s="72">
        <f>IFERROR(__xludf.DUMMYFUNCTION("iferror(divide(googlefinance($B1386,""volumeavg""),1000),"""")"),81647.138)</f>
        <v>81647.138</v>
      </c>
      <c r="F1386" s="73">
        <f>IFERROR(__xludf.DUMMYFUNCTION("iferror(MINUS(divide(GOOGLEFINANCE($B1386), INDEX(GOOGLEFINANCE($B1386,""price"",today()-182),2,2)),1),"""")"),3.9518185007601447)</f>
        <v>3.951818501</v>
      </c>
      <c r="G1386" s="61">
        <f>IFERROR(__xludf.DUMMYFUNCTION("iferror(MINUS(divide(GOOGLEFINANCE($B1386), INDEX(GOOGLEFINANCE($B1386,""price"",today()-364),2,2)),1),"""")"),7.799459684123027)</f>
        <v>7.799459684</v>
      </c>
    </row>
    <row r="1387">
      <c r="A1387" s="71">
        <f t="shared" si="4"/>
        <v>1383</v>
      </c>
      <c r="B1387" s="47" t="s">
        <v>1520</v>
      </c>
      <c r="C1387" s="72">
        <f>IFERROR(__xludf.DUMMYFUNCTION("iferror(divide(googlefinance($B1387,""marketcap""),1000000),"""")"),1.159087539E7)</f>
        <v>11590875.39</v>
      </c>
      <c r="D1387" s="72">
        <f>IFERROR(__xludf.DUMMYFUNCTION("iferror(divide(googlefinance($B1387,""shares""),1000),"""")"),2.593038E7)</f>
        <v>25930380</v>
      </c>
      <c r="E1387" s="72">
        <f>IFERROR(__xludf.DUMMYFUNCTION("iferror(divide(googlefinance($B1387,""volumeavg""),1000),"""")"),9745.795)</f>
        <v>9745.795</v>
      </c>
      <c r="F1387" s="73">
        <f>IFERROR(__xludf.DUMMYFUNCTION("iferror(MINUS(divide(GOOGLEFINANCE($B1387), INDEX(GOOGLEFINANCE($B1387,""price"",today()-182),2,2)),1),"""")"),0.8394340893779473)</f>
        <v>0.8394340894</v>
      </c>
      <c r="G1387" s="61">
        <f>IFERROR(__xludf.DUMMYFUNCTION("iferror(MINUS(divide(GOOGLEFINANCE($B1387), INDEX(GOOGLEFINANCE($B1387,""price"",today()-364),2,2)),1),"""")"),0.8671073626624117)</f>
        <v>0.8671073627</v>
      </c>
    </row>
    <row r="1388">
      <c r="A1388" s="71">
        <f t="shared" si="4"/>
        <v>1384</v>
      </c>
      <c r="B1388" s="47" t="s">
        <v>1521</v>
      </c>
      <c r="C1388" s="72">
        <f>IFERROR(__xludf.DUMMYFUNCTION("iferror(divide(googlefinance($B1388,""marketcap""),1000000),"""")"),18758.50125)</f>
        <v>18758.50125</v>
      </c>
      <c r="D1388" s="72">
        <f>IFERROR(__xludf.DUMMYFUNCTION("iferror(divide(googlefinance($B1388,""shares""),1000),"""")"),294251.0)</f>
        <v>294251</v>
      </c>
      <c r="E1388" s="72">
        <f>IFERROR(__xludf.DUMMYFUNCTION("iferror(divide(googlefinance($B1388,""volumeavg""),1000),"""")"),2611.186)</f>
        <v>2611.186</v>
      </c>
      <c r="F1388" s="73">
        <f>IFERROR(__xludf.DUMMYFUNCTION("iferror(MINUS(divide(GOOGLEFINANCE($B1388), INDEX(GOOGLEFINANCE($B1388,""price"",today()-182),2,2)),1),"""")"),0.18892204401342783)</f>
        <v>0.188922044</v>
      </c>
      <c r="G1388" s="61">
        <f>IFERROR(__xludf.DUMMYFUNCTION("iferror(MINUS(divide(GOOGLEFINANCE($B1388), INDEX(GOOGLEFINANCE($B1388,""price"",today()-364),2,2)),1),"""")"),-0.2705115001716444)</f>
        <v>-0.2705115002</v>
      </c>
    </row>
    <row r="1389">
      <c r="A1389" s="71">
        <f t="shared" si="4"/>
        <v>1385</v>
      </c>
      <c r="B1389" s="47" t="s">
        <v>1522</v>
      </c>
      <c r="C1389" s="72">
        <f>IFERROR(__xludf.DUMMYFUNCTION("iferror(divide(googlefinance($B1389,""marketcap""),1000000),"""")"),5008.350851)</f>
        <v>5008.350851</v>
      </c>
      <c r="D1389" s="72">
        <f>IFERROR(__xludf.DUMMYFUNCTION("iferror(divide(googlefinance($B1389,""shares""),1000),"""")"),53888.0)</f>
        <v>53888</v>
      </c>
      <c r="E1389" s="72">
        <f>IFERROR(__xludf.DUMMYFUNCTION("iferror(divide(googlefinance($B1389,""volumeavg""),1000),"""")"),211.666)</f>
        <v>211.666</v>
      </c>
      <c r="F1389" s="73">
        <f>IFERROR(__xludf.DUMMYFUNCTION("iferror(MINUS(divide(GOOGLEFINANCE($B1389), INDEX(GOOGLEFINANCE($B1389,""price"",today()-182),2,2)),1),"""")"),0.3683745583038869)</f>
        <v>0.3683745583</v>
      </c>
      <c r="G1389" s="61">
        <f>IFERROR(__xludf.DUMMYFUNCTION("iferror(MINUS(divide(GOOGLEFINANCE($B1389), INDEX(GOOGLEFINANCE($B1389,""price"",today()-364),2,2)),1),"""")"),0.10144584024650394)</f>
        <v>0.1014458402</v>
      </c>
    </row>
    <row r="1390">
      <c r="A1390" s="71">
        <f t="shared" si="4"/>
        <v>1386</v>
      </c>
      <c r="B1390" s="47" t="s">
        <v>1523</v>
      </c>
      <c r="C1390" s="72">
        <f>IFERROR(__xludf.DUMMYFUNCTION("iferror(divide(googlefinance($B1390,""marketcap""),1000000),"""")"),494709.797867)</f>
        <v>494709.7979</v>
      </c>
      <c r="D1390" s="72">
        <f>IFERROR(__xludf.DUMMYFUNCTION("iferror(divide(googlefinance($B1390,""shares""),1000),"""")"),3088974.0)</f>
        <v>3088974</v>
      </c>
      <c r="E1390" s="72">
        <f>IFERROR(__xludf.DUMMYFUNCTION("iferror(divide(googlefinance($B1390,""volumeavg""),1000),"""")"),1683.823)</f>
        <v>1683.823</v>
      </c>
      <c r="F1390" s="73">
        <f>IFERROR(__xludf.DUMMYFUNCTION("iferror(MINUS(divide(GOOGLEFINANCE($B1390), INDEX(GOOGLEFINANCE($B1390,""price"",today()-182),2,2)),1),"""")"),1.1186440677966103)</f>
        <v>1.118644068</v>
      </c>
      <c r="G1390" s="61">
        <f>IFERROR(__xludf.DUMMYFUNCTION("iferror(MINUS(divide(GOOGLEFINANCE($B1390), INDEX(GOOGLEFINANCE($B1390,""price"",today()-364),2,2)),1),"""")"),0.048218029350104885)</f>
        <v>0.04821802935</v>
      </c>
    </row>
    <row r="1391">
      <c r="A1391" s="71">
        <f t="shared" si="4"/>
        <v>1387</v>
      </c>
      <c r="B1391" s="47" t="s">
        <v>1524</v>
      </c>
      <c r="C1391" s="72">
        <f>IFERROR(__xludf.DUMMYFUNCTION("iferror(divide(googlefinance($B1391,""marketcap""),1000000),"""")"),1.809439)</f>
        <v>1.809439</v>
      </c>
      <c r="D1391" s="72">
        <f>IFERROR(__xludf.DUMMYFUNCTION("iferror(divide(googlefinance($B1391,""shares""),1000),"""")"),45236.0)</f>
        <v>45236</v>
      </c>
      <c r="E1391" s="72" t="str">
        <f>IFERROR(__xludf.DUMMYFUNCTION("iferror(divide(googlefinance($B1391,""volumeavg""),1000),"""")"),"")</f>
        <v/>
      </c>
      <c r="F1391" s="73" t="str">
        <f>IFERROR(__xludf.DUMMYFUNCTION("iferror(MINUS(divide(GOOGLEFINANCE($B1391), INDEX(GOOGLEFINANCE($B1391,""price"",today()-182),2,2)),1),"""")"),"")</f>
        <v/>
      </c>
      <c r="G1391" s="61" t="str">
        <f>IFERROR(__xludf.DUMMYFUNCTION("iferror(MINUS(divide(GOOGLEFINANCE($B1391), INDEX(GOOGLEFINANCE($B1391,""price"",today()-364),2,2)),1),"""")"),"")</f>
        <v/>
      </c>
    </row>
    <row r="1392">
      <c r="A1392" s="71">
        <f t="shared" si="4"/>
        <v>1388</v>
      </c>
      <c r="B1392" s="47" t="s">
        <v>1525</v>
      </c>
      <c r="C1392" s="72">
        <f>IFERROR(__xludf.DUMMYFUNCTION("iferror(divide(googlefinance($B1392,""marketcap""),1000000),"""")"),18231.353201)</f>
        <v>18231.3532</v>
      </c>
      <c r="D1392" s="72">
        <f>IFERROR(__xludf.DUMMYFUNCTION("iferror(divide(googlefinance($B1392,""shares""),1000),"""")"),114339.0)</f>
        <v>114339</v>
      </c>
      <c r="E1392" s="72">
        <f>IFERROR(__xludf.DUMMYFUNCTION("iferror(divide(googlefinance($B1392,""volumeavg""),1000),"""")"),1178.25)</f>
        <v>1178.25</v>
      </c>
      <c r="F1392" s="73">
        <f>IFERROR(__xludf.DUMMYFUNCTION("iferror(MINUS(divide(GOOGLEFINANCE($B1392), INDEX(GOOGLEFINANCE($B1392,""price"",today()-182),2,2)),1),"""")"),0.5921118322516223)</f>
        <v>0.5921118323</v>
      </c>
      <c r="G1392" s="61">
        <f>IFERROR(__xludf.DUMMYFUNCTION("iferror(MINUS(divide(GOOGLEFINANCE($B1392), INDEX(GOOGLEFINANCE($B1392,""price"",today()-364),2,2)),1),"""")"),0.2212775735294117)</f>
        <v>0.2212775735</v>
      </c>
    </row>
    <row r="1393">
      <c r="A1393" s="71">
        <f t="shared" si="4"/>
        <v>1389</v>
      </c>
      <c r="B1393" s="47" t="s">
        <v>1526</v>
      </c>
      <c r="C1393" s="72">
        <f>IFERROR(__xludf.DUMMYFUNCTION("iferror(divide(googlefinance($B1393,""marketcap""),1000000),"""")"),1304.082862)</f>
        <v>1304.082862</v>
      </c>
      <c r="D1393" s="72">
        <f>IFERROR(__xludf.DUMMYFUNCTION("iferror(divide(googlefinance($B1393,""shares""),1000),"""")"),49118.0)</f>
        <v>49118</v>
      </c>
      <c r="E1393" s="72">
        <f>IFERROR(__xludf.DUMMYFUNCTION("iferror(divide(googlefinance($B1393,""volumeavg""),1000),"""")"),2071.07)</f>
        <v>2071.07</v>
      </c>
      <c r="F1393" s="73">
        <f>IFERROR(__xludf.DUMMYFUNCTION("iferror(MINUS(divide(GOOGLEFINANCE($B1393), INDEX(GOOGLEFINANCE($B1393,""price"",today()-182),2,2)),1),"""")"),15.38888888888889)</f>
        <v>15.38888889</v>
      </c>
      <c r="G1393" s="61">
        <f>IFERROR(__xludf.DUMMYFUNCTION("iferror(MINUS(divide(GOOGLEFINANCE($B1393), INDEX(GOOGLEFINANCE($B1393,""price"",today()-364),2,2)),1),"""")"),0.6932397959183674)</f>
        <v>0.6932397959</v>
      </c>
    </row>
    <row r="1394">
      <c r="A1394" s="71">
        <f t="shared" si="4"/>
        <v>1390</v>
      </c>
      <c r="B1394" s="47" t="s">
        <v>1527</v>
      </c>
      <c r="C1394" s="72" t="str">
        <f>IFERROR(__xludf.DUMMYFUNCTION("iferror(divide(googlefinance($B1394,""marketcap""),1000000),"""")"),"")</f>
        <v/>
      </c>
      <c r="D1394" s="72" t="str">
        <f>IFERROR(__xludf.DUMMYFUNCTION("iferror(divide(googlefinance($B1394,""shares""),1000),"""")"),"")</f>
        <v/>
      </c>
      <c r="E1394" s="72" t="str">
        <f>IFERROR(__xludf.DUMMYFUNCTION("iferror(divide(googlefinance($B1394,""volumeavg""),1000),"""")"),"")</f>
        <v/>
      </c>
      <c r="F1394" s="73" t="str">
        <f>IFERROR(__xludf.DUMMYFUNCTION("iferror(MINUS(divide(GOOGLEFINANCE($B1394), INDEX(GOOGLEFINANCE($B1394,""price"",today()-182),2,2)),1),"""")"),"")</f>
        <v/>
      </c>
      <c r="G1394" s="61" t="str">
        <f>IFERROR(__xludf.DUMMYFUNCTION("iferror(MINUS(divide(GOOGLEFINANCE($B1394), INDEX(GOOGLEFINANCE($B1394,""price"",today()-364),2,2)),1),"""")"),"")</f>
        <v/>
      </c>
    </row>
    <row r="1395">
      <c r="A1395" s="71">
        <f t="shared" si="4"/>
        <v>1391</v>
      </c>
      <c r="B1395" s="47" t="s">
        <v>1528</v>
      </c>
      <c r="C1395" s="72">
        <f>IFERROR(__xludf.DUMMYFUNCTION("iferror(divide(googlefinance($B1395,""marketcap""),1000000),"""")"),1649.567757)</f>
        <v>1649.567757</v>
      </c>
      <c r="D1395" s="72">
        <f>IFERROR(__xludf.DUMMYFUNCTION("iferror(divide(googlefinance($B1395,""shares""),1000),"""")"),124409.0)</f>
        <v>124409</v>
      </c>
      <c r="E1395" s="72">
        <f>IFERROR(__xludf.DUMMYFUNCTION("iferror(divide(googlefinance($B1395,""volumeavg""),1000),"""")"),918.988)</f>
        <v>918.988</v>
      </c>
      <c r="F1395" s="73">
        <f>IFERROR(__xludf.DUMMYFUNCTION("iferror(MINUS(divide(GOOGLEFINANCE($B1395), INDEX(GOOGLEFINANCE($B1395,""price"",today()-182),2,2)),1),"""")"),0.2507433102081269)</f>
        <v>0.2507433102</v>
      </c>
      <c r="G1395" s="61">
        <f>IFERROR(__xludf.DUMMYFUNCTION("iferror(MINUS(divide(GOOGLEFINANCE($B1395), INDEX(GOOGLEFINANCE($B1395,""price"",today()-364),2,2)),1),"""")"),-0.10177935943060512)</f>
        <v>-0.1017793594</v>
      </c>
    </row>
    <row r="1396">
      <c r="A1396" s="71">
        <f t="shared" si="4"/>
        <v>1392</v>
      </c>
      <c r="B1396" s="47" t="s">
        <v>1529</v>
      </c>
      <c r="C1396" s="72">
        <f>IFERROR(__xludf.DUMMYFUNCTION("iferror(divide(googlefinance($B1396,""marketcap""),1000000),"""")"),2892.82236)</f>
        <v>2892.82236</v>
      </c>
      <c r="D1396" s="72">
        <f>IFERROR(__xludf.DUMMYFUNCTION("iferror(divide(googlefinance($B1396,""shares""),1000),"""")"),44663.0)</f>
        <v>44663</v>
      </c>
      <c r="E1396" s="72">
        <f>IFERROR(__xludf.DUMMYFUNCTION("iferror(divide(googlefinance($B1396,""volumeavg""),1000),"""")"),544.392)</f>
        <v>544.392</v>
      </c>
      <c r="F1396" s="73">
        <f>IFERROR(__xludf.DUMMYFUNCTION("iferror(MINUS(divide(GOOGLEFINANCE($B1396), INDEX(GOOGLEFINANCE($B1396,""price"",today()-182),2,2)),1),"""")"),1.7021276595744679)</f>
        <v>1.70212766</v>
      </c>
      <c r="G1396" s="61">
        <f>IFERROR(__xludf.DUMMYFUNCTION("iferror(MINUS(divide(GOOGLEFINANCE($B1396), INDEX(GOOGLEFINANCE($B1396,""price"",today()-364),2,2)),1),"""")"),1.3132142857142854)</f>
        <v>1.313214286</v>
      </c>
    </row>
    <row r="1397">
      <c r="A1397" s="71">
        <f t="shared" si="4"/>
        <v>1393</v>
      </c>
      <c r="B1397" s="47" t="s">
        <v>1530</v>
      </c>
      <c r="C1397" s="72">
        <f>IFERROR(__xludf.DUMMYFUNCTION("iferror(divide(googlefinance($B1397,""marketcap""),1000000),"""")"),38397.785071)</f>
        <v>38397.78507</v>
      </c>
      <c r="D1397" s="72">
        <f>IFERROR(__xludf.DUMMYFUNCTION("iferror(divide(googlefinance($B1397,""shares""),1000),"""")"),1963077.0)</f>
        <v>1963077</v>
      </c>
      <c r="E1397" s="72">
        <f>IFERROR(__xludf.DUMMYFUNCTION("iferror(divide(googlefinance($B1397,""volumeavg""),1000),"""")"),275.036)</f>
        <v>275.036</v>
      </c>
      <c r="F1397" s="73">
        <f>IFERROR(__xludf.DUMMYFUNCTION("iferror(MINUS(divide(GOOGLEFINANCE($B1397), INDEX(GOOGLEFINANCE($B1397,""price"",today()-182),2,2)),1),"""")"),0.7203166226912929)</f>
        <v>0.7203166227</v>
      </c>
      <c r="G1397" s="61">
        <f>IFERROR(__xludf.DUMMYFUNCTION("iferror(MINUS(divide(GOOGLEFINANCE($B1397), INDEX(GOOGLEFINANCE($B1397,""price"",today()-364),2,2)),1),"""")"),0.020344287949921602)</f>
        <v>0.02034428795</v>
      </c>
    </row>
    <row r="1398">
      <c r="A1398" s="71">
        <f t="shared" si="4"/>
        <v>1394</v>
      </c>
      <c r="B1398" s="47" t="s">
        <v>1531</v>
      </c>
      <c r="C1398" s="72">
        <f>IFERROR(__xludf.DUMMYFUNCTION("iferror(divide(googlefinance($B1398,""marketcap""),1000000),"""")"),12525.68821)</f>
        <v>12525.68821</v>
      </c>
      <c r="D1398" s="72">
        <f>IFERROR(__xludf.DUMMYFUNCTION("iferror(divide(googlefinance($B1398,""shares""),1000),"""")"),76144.0)</f>
        <v>76144</v>
      </c>
      <c r="E1398" s="72">
        <f>IFERROR(__xludf.DUMMYFUNCTION("iferror(divide(googlefinance($B1398,""volumeavg""),1000),"""")"),783.863)</f>
        <v>783.863</v>
      </c>
      <c r="F1398" s="73">
        <f>IFERROR(__xludf.DUMMYFUNCTION("iferror(MINUS(divide(GOOGLEFINANCE($B1398), INDEX(GOOGLEFINANCE($B1398,""price"",today()-182),2,2)),1),"""")"),1.1538185729652204)</f>
        <v>1.153818573</v>
      </c>
      <c r="G1398" s="61">
        <f>IFERROR(__xludf.DUMMYFUNCTION("iferror(MINUS(divide(GOOGLEFINANCE($B1398), INDEX(GOOGLEFINANCE($B1398,""price"",today()-364),2,2)),1),"""")"),0.9857851239669422)</f>
        <v>0.985785124</v>
      </c>
    </row>
    <row r="1399">
      <c r="A1399" s="71">
        <f t="shared" si="4"/>
        <v>1395</v>
      </c>
      <c r="B1399" s="47" t="s">
        <v>1532</v>
      </c>
      <c r="C1399" s="72">
        <f>IFERROR(__xludf.DUMMYFUNCTION("iferror(divide(googlefinance($B1399,""marketcap""),1000000),"""")"),381.212013)</f>
        <v>381.212013</v>
      </c>
      <c r="D1399" s="72">
        <f>IFERROR(__xludf.DUMMYFUNCTION("iferror(divide(googlefinance($B1399,""shares""),1000),"""")"),272294.0)</f>
        <v>272294</v>
      </c>
      <c r="E1399" s="72">
        <f>IFERROR(__xludf.DUMMYFUNCTION("iferror(divide(googlefinance($B1399,""volumeavg""),1000),"""")"),3188.495)</f>
        <v>3188.495</v>
      </c>
      <c r="F1399" s="73">
        <f>IFERROR(__xludf.DUMMYFUNCTION("iferror(MINUS(divide(GOOGLEFINANCE($B1399), INDEX(GOOGLEFINANCE($B1399,""price"",today()-182),2,2)),1),"""")"),0.38613861386138604)</f>
        <v>0.3861386139</v>
      </c>
      <c r="G1399" s="61">
        <f>IFERROR(__xludf.DUMMYFUNCTION("iferror(MINUS(divide(GOOGLEFINANCE($B1399), INDEX(GOOGLEFINANCE($B1399,""price"",today()-364),2,2)),1),"""")"),-0.6226415094339623)</f>
        <v>-0.6226415094</v>
      </c>
    </row>
    <row r="1400">
      <c r="A1400" s="71">
        <f t="shared" si="4"/>
        <v>1396</v>
      </c>
      <c r="B1400" s="47" t="s">
        <v>1533</v>
      </c>
      <c r="C1400" s="72">
        <f>IFERROR(__xludf.DUMMYFUNCTION("iferror(divide(googlefinance($B1400,""marketcap""),1000000),"""")"),128598.532009)</f>
        <v>128598.532</v>
      </c>
      <c r="D1400" s="72">
        <f>IFERROR(__xludf.DUMMYFUNCTION("iferror(divide(googlefinance($B1400,""shares""),1000),"""")"),915944.0)</f>
        <v>915944</v>
      </c>
      <c r="E1400" s="72">
        <f>IFERROR(__xludf.DUMMYFUNCTION("iferror(divide(googlefinance($B1400,""volumeavg""),1000),"""")"),3715.716)</f>
        <v>3715.716</v>
      </c>
      <c r="F1400" s="73">
        <f>IFERROR(__xludf.DUMMYFUNCTION("iferror(MINUS(divide(GOOGLEFINANCE($B1400), INDEX(GOOGLEFINANCE($B1400,""price"",today()-182),2,2)),1),"""")"),0.4385245901639345)</f>
        <v>0.4385245902</v>
      </c>
      <c r="G1400" s="61">
        <f>IFERROR(__xludf.DUMMYFUNCTION("iferror(MINUS(divide(GOOGLEFINANCE($B1400), INDEX(GOOGLEFINANCE($B1400,""price"",today()-364),2,2)),1),"""")"),0.10839188442409409)</f>
        <v>0.1083918844</v>
      </c>
    </row>
    <row r="1401">
      <c r="A1401" s="71">
        <f t="shared" si="4"/>
        <v>1397</v>
      </c>
      <c r="B1401" s="47" t="s">
        <v>1534</v>
      </c>
      <c r="C1401" s="72">
        <f>IFERROR(__xludf.DUMMYFUNCTION("iferror(divide(googlefinance($B1401,""marketcap""),1000000),"""")"),4364.81563)</f>
        <v>4364.81563</v>
      </c>
      <c r="D1401" s="72">
        <f>IFERROR(__xludf.DUMMYFUNCTION("iferror(divide(googlefinance($B1401,""shares""),1000),"""")"),69404.0)</f>
        <v>69404</v>
      </c>
      <c r="E1401" s="72">
        <f>IFERROR(__xludf.DUMMYFUNCTION("iferror(divide(googlefinance($B1401,""volumeavg""),1000),"""")"),758.949)</f>
        <v>758.949</v>
      </c>
      <c r="F1401" s="73">
        <f>IFERROR(__xludf.DUMMYFUNCTION("iferror(MINUS(divide(GOOGLEFINANCE($B1401), INDEX(GOOGLEFINANCE($B1401,""price"",today()-182),2,2)),1),"""")"),0.7542538354253834)</f>
        <v>0.7542538354</v>
      </c>
      <c r="G1401" s="61">
        <f>IFERROR(__xludf.DUMMYFUNCTION("iferror(MINUS(divide(GOOGLEFINANCE($B1401), INDEX(GOOGLEFINANCE($B1401,""price"",today()-364),2,2)),1),"""")"),0.22021730694606134)</f>
        <v>0.2202173069</v>
      </c>
    </row>
    <row r="1402">
      <c r="A1402" s="71">
        <f t="shared" si="4"/>
        <v>1398</v>
      </c>
      <c r="B1402" s="47" t="s">
        <v>1535</v>
      </c>
      <c r="C1402" s="72">
        <f>IFERROR(__xludf.DUMMYFUNCTION("iferror(divide(googlefinance($B1402,""marketcap""),1000000),"""")"),8918.448989)</f>
        <v>8918.448989</v>
      </c>
      <c r="D1402" s="72">
        <f>IFERROR(__xludf.DUMMYFUNCTION("iferror(divide(googlefinance($B1402,""shares""),1000),"""")"),228035.0)</f>
        <v>228035</v>
      </c>
      <c r="E1402" s="72">
        <f>IFERROR(__xludf.DUMMYFUNCTION("iferror(divide(googlefinance($B1402,""volumeavg""),1000),"""")"),1219.216)</f>
        <v>1219.216</v>
      </c>
      <c r="F1402" s="73">
        <f>IFERROR(__xludf.DUMMYFUNCTION("iferror(MINUS(divide(GOOGLEFINANCE($B1402), INDEX(GOOGLEFINANCE($B1402,""price"",today()-182),2,2)),1),"""")"),0.7545984746523104)</f>
        <v>0.7545984747</v>
      </c>
      <c r="G1402" s="61">
        <f>IFERROR(__xludf.DUMMYFUNCTION("iferror(MINUS(divide(GOOGLEFINANCE($B1402), INDEX(GOOGLEFINANCE($B1402,""price"",today()-364),2,2)),1),"""")"),-0.2320832515216964)</f>
        <v>-0.2320832515</v>
      </c>
    </row>
    <row r="1403">
      <c r="A1403" s="71">
        <f t="shared" si="4"/>
        <v>1399</v>
      </c>
      <c r="B1403" s="47" t="s">
        <v>1536</v>
      </c>
      <c r="C1403" s="72">
        <f>IFERROR(__xludf.DUMMYFUNCTION("iferror(divide(googlefinance($B1403,""marketcap""),1000000),"""")"),129.419637)</f>
        <v>129.419637</v>
      </c>
      <c r="D1403" s="72">
        <f>IFERROR(__xludf.DUMMYFUNCTION("iferror(divide(googlefinance($B1403,""shares""),1000),"""")"),126882.0)</f>
        <v>126882</v>
      </c>
      <c r="E1403" s="72">
        <f>IFERROR(__xludf.DUMMYFUNCTION("iferror(divide(googlefinance($B1403,""volumeavg""),1000),"""")"),2313.252)</f>
        <v>2313.252</v>
      </c>
      <c r="F1403" s="73">
        <f>IFERROR(__xludf.DUMMYFUNCTION("iferror(MINUS(divide(GOOGLEFINANCE($B1403), INDEX(GOOGLEFINANCE($B1403,""price"",today()-182),2,2)),1),"""")"),0.0625)</f>
        <v>0.0625</v>
      </c>
      <c r="G1403" s="61">
        <f>IFERROR(__xludf.DUMMYFUNCTION("iferror(MINUS(divide(GOOGLEFINANCE($B1403), INDEX(GOOGLEFINANCE($B1403,""price"",today()-364),2,2)),1),"""")"),-0.4104046242774566)</f>
        <v>-0.4104046243</v>
      </c>
    </row>
    <row r="1404">
      <c r="A1404" s="71">
        <f t="shared" si="4"/>
        <v>1400</v>
      </c>
      <c r="B1404" s="47" t="s">
        <v>1537</v>
      </c>
      <c r="C1404" s="72">
        <f>IFERROR(__xludf.DUMMYFUNCTION("iferror(divide(googlefinance($B1404,""marketcap""),1000000),"""")"),5093.537954)</f>
        <v>5093.537954</v>
      </c>
      <c r="D1404" s="72">
        <f>IFERROR(__xludf.DUMMYFUNCTION("iferror(divide(googlefinance($B1404,""shares""),1000),"""")"),231505.0)</f>
        <v>231505</v>
      </c>
      <c r="E1404" s="72">
        <f>IFERROR(__xludf.DUMMYFUNCTION("iferror(divide(googlefinance($B1404,""volumeavg""),1000),"""")"),4611.609)</f>
        <v>4611.609</v>
      </c>
      <c r="F1404" s="73">
        <f>IFERROR(__xludf.DUMMYFUNCTION("iferror(MINUS(divide(GOOGLEFINANCE($B1404), INDEX(GOOGLEFINANCE($B1404,""price"",today()-182),2,2)),1),"""")"),0.4439834024896263)</f>
        <v>0.4439834025</v>
      </c>
      <c r="G1404" s="61">
        <f>IFERROR(__xludf.DUMMYFUNCTION("iferror(MINUS(divide(GOOGLEFINANCE($B1404), INDEX(GOOGLEFINANCE($B1404,""price"",today()-364),2,2)),1),"""")"),-0.4193548387096775)</f>
        <v>-0.4193548387</v>
      </c>
    </row>
    <row r="1405">
      <c r="A1405" s="71">
        <f t="shared" si="4"/>
        <v>1401</v>
      </c>
      <c r="B1405" s="52" t="s">
        <v>1538</v>
      </c>
      <c r="C1405" s="72">
        <f>IFERROR(__xludf.DUMMYFUNCTION("iferror(divide(googlefinance($B1405,""marketcap""),1000000),"""")"),11160.691186)</f>
        <v>11160.69119</v>
      </c>
      <c r="D1405" s="72">
        <f>IFERROR(__xludf.DUMMYFUNCTION("iferror(divide(googlefinance($B1405,""shares""),1000),"""")"),290984.0)</f>
        <v>290984</v>
      </c>
      <c r="E1405" s="72">
        <f>IFERROR(__xludf.DUMMYFUNCTION("iferror(divide(googlefinance($B1405,""volumeavg""),1000),"""")"),33841.133)</f>
        <v>33841.133</v>
      </c>
      <c r="F1405" s="73">
        <f>IFERROR(__xludf.DUMMYFUNCTION("iferror(MINUS(divide(GOOGLEFINANCE($B1405), INDEX(GOOGLEFINANCE($B1405,""price"",today()-182),2,2)),1),"""")"),0.5653061224489797)</f>
        <v>0.5653061224</v>
      </c>
      <c r="G1405" s="61">
        <f>IFERROR(__xludf.DUMMYFUNCTION("iferror(MINUS(divide(GOOGLEFINANCE($B1405), INDEX(GOOGLEFINANCE($B1405,""price"",today()-364),2,2)),1),"""")"),-0.5695364238410596)</f>
        <v>-0.5695364238</v>
      </c>
    </row>
    <row r="1406">
      <c r="A1406" s="71">
        <f t="shared" si="4"/>
        <v>1402</v>
      </c>
      <c r="B1406" s="47" t="s">
        <v>1539</v>
      </c>
      <c r="C1406" s="72">
        <f>IFERROR(__xludf.DUMMYFUNCTION("iferror(divide(googlefinance($B1406,""marketcap""),1000000),"""")"),95.442887)</f>
        <v>95.442887</v>
      </c>
      <c r="D1406" s="72">
        <f>IFERROR(__xludf.DUMMYFUNCTION("iferror(divide(googlefinance($B1406,""shares""),1000),"""")"),111245.0)</f>
        <v>111245</v>
      </c>
      <c r="E1406" s="72">
        <f>IFERROR(__xludf.DUMMYFUNCTION("iferror(divide(googlefinance($B1406,""volumeavg""),1000),"""")"),177.027)</f>
        <v>177.027</v>
      </c>
      <c r="F1406" s="73">
        <f>IFERROR(__xludf.DUMMYFUNCTION("iferror(MINUS(divide(GOOGLEFINANCE($B1406), INDEX(GOOGLEFINANCE($B1406,""price"",today()-182),2,2)),1),"""")"),-0.03370786516853941)</f>
        <v>-0.03370786517</v>
      </c>
      <c r="G1406" s="61">
        <f>IFERROR(__xludf.DUMMYFUNCTION("iferror(MINUS(divide(GOOGLEFINANCE($B1406), INDEX(GOOGLEFINANCE($B1406,""price"",today()-364),2,2)),1),"""")"),-0.7650273224043715)</f>
        <v>-0.7650273224</v>
      </c>
    </row>
    <row r="1407">
      <c r="A1407" s="71">
        <f t="shared" si="4"/>
        <v>1403</v>
      </c>
      <c r="B1407" s="47" t="s">
        <v>1540</v>
      </c>
      <c r="C1407" s="72">
        <f>IFERROR(__xludf.DUMMYFUNCTION("iferror(divide(googlefinance($B1407,""marketcap""),1000000),"""")"),190.466404)</f>
        <v>190.466404</v>
      </c>
      <c r="D1407" s="72">
        <f>IFERROR(__xludf.DUMMYFUNCTION("iferror(divide(googlefinance($B1407,""shares""),1000),"""")"),52040.0)</f>
        <v>52040</v>
      </c>
      <c r="E1407" s="72">
        <f>IFERROR(__xludf.DUMMYFUNCTION("iferror(divide(googlefinance($B1407,""volumeavg""),1000),"""")"),2807.917)</f>
        <v>2807.917</v>
      </c>
      <c r="F1407" s="73">
        <f>IFERROR(__xludf.DUMMYFUNCTION("iferror(MINUS(divide(GOOGLEFINANCE($B1407), INDEX(GOOGLEFINANCE($B1407,""price"",today()-182),2,2)),1),"""")"),-0.2947976878612717)</f>
        <v>-0.2947976879</v>
      </c>
      <c r="G1407" s="61">
        <f>IFERROR(__xludf.DUMMYFUNCTION("iferror(MINUS(divide(GOOGLEFINANCE($B1407), INDEX(GOOGLEFINANCE($B1407,""price"",today()-364),2,2)),1),"""")"),-0.4695652173913043)</f>
        <v>-0.4695652174</v>
      </c>
    </row>
    <row r="1408">
      <c r="A1408" s="71">
        <f t="shared" si="4"/>
        <v>1404</v>
      </c>
      <c r="B1408" s="55" t="s">
        <v>1541</v>
      </c>
      <c r="C1408" s="72">
        <f>IFERROR(__xludf.DUMMYFUNCTION("iferror(divide(googlefinance($B1408,""marketcap""),1000000),"""")"),816.752972)</f>
        <v>816.752972</v>
      </c>
      <c r="D1408" s="72">
        <f>IFERROR(__xludf.DUMMYFUNCTION("iferror(divide(googlefinance($B1408,""shares""),1000),"""")"),39900.0)</f>
        <v>39900</v>
      </c>
      <c r="E1408" s="72">
        <f>IFERROR(__xludf.DUMMYFUNCTION("iferror(divide(googlefinance($B1408,""volumeavg""),1000),"""")"),633.274)</f>
        <v>633.274</v>
      </c>
      <c r="F1408" s="73">
        <f>IFERROR(__xludf.DUMMYFUNCTION("iferror(MINUS(divide(GOOGLEFINANCE($B1408), INDEX(GOOGLEFINANCE($B1408,""price"",today()-182),2,2)),1),"""")"),0.6454983922829582)</f>
        <v>0.6454983923</v>
      </c>
      <c r="G1408" s="61">
        <f>IFERROR(__xludf.DUMMYFUNCTION("iferror(MINUS(divide(GOOGLEFINANCE($B1408), INDEX(GOOGLEFINANCE($B1408,""price"",today()-364),2,2)),1),"""")"),0.2730099502487562)</f>
        <v>0.2730099502</v>
      </c>
    </row>
    <row r="1409">
      <c r="A1409" s="71">
        <f t="shared" si="4"/>
        <v>1405</v>
      </c>
      <c r="B1409" s="47" t="s">
        <v>1542</v>
      </c>
      <c r="C1409" s="72">
        <f>IFERROR(__xludf.DUMMYFUNCTION("iferror(divide(googlefinance($B1409,""marketcap""),1000000),"""")"),531.923764)</f>
        <v>531.923764</v>
      </c>
      <c r="D1409" s="72">
        <f>IFERROR(__xludf.DUMMYFUNCTION("iferror(divide(googlefinance($B1409,""shares""),1000),"""")"),13932.0)</f>
        <v>13932</v>
      </c>
      <c r="E1409" s="72">
        <f>IFERROR(__xludf.DUMMYFUNCTION("iferror(divide(googlefinance($B1409,""volumeavg""),1000),"""")"),60.771)</f>
        <v>60.771</v>
      </c>
      <c r="F1409" s="73">
        <f>IFERROR(__xludf.DUMMYFUNCTION("iferror(MINUS(divide(GOOGLEFINANCE($B1409), INDEX(GOOGLEFINANCE($B1409,""price"",today()-182),2,2)),1),"""")"),0.2101426307448495)</f>
        <v>0.2101426307</v>
      </c>
      <c r="G1409" s="61">
        <f>IFERROR(__xludf.DUMMYFUNCTION("iferror(MINUS(divide(GOOGLEFINANCE($B1409), INDEX(GOOGLEFINANCE($B1409,""price"",today()-364),2,2)),1),"""")"),-0.21440329218107002)</f>
        <v>-0.2144032922</v>
      </c>
    </row>
    <row r="1410">
      <c r="A1410" s="71">
        <f t="shared" si="4"/>
        <v>1406</v>
      </c>
      <c r="B1410" s="47" t="s">
        <v>1543</v>
      </c>
      <c r="C1410" s="72">
        <f>IFERROR(__xludf.DUMMYFUNCTION("iferror(divide(googlefinance($B1410,""marketcap""),1000000),"""")"),3413.841974)</f>
        <v>3413.841974</v>
      </c>
      <c r="D1410" s="72">
        <f>IFERROR(__xludf.DUMMYFUNCTION("iferror(divide(googlefinance($B1410,""shares""),1000),"""")"),61169.0)</f>
        <v>61169</v>
      </c>
      <c r="E1410" s="72">
        <f>IFERROR(__xludf.DUMMYFUNCTION("iferror(divide(googlefinance($B1410,""volumeavg""),1000),"""")"),289.358)</f>
        <v>289.358</v>
      </c>
      <c r="F1410" s="73">
        <f>IFERROR(__xludf.DUMMYFUNCTION("iferror(MINUS(divide(GOOGLEFINANCE($B1410), INDEX(GOOGLEFINANCE($B1410,""price"",today()-182),2,2)),1),"""")"),0.809662775616083)</f>
        <v>0.8096627756</v>
      </c>
      <c r="G1410" s="61">
        <f>IFERROR(__xludf.DUMMYFUNCTION("iferror(MINUS(divide(GOOGLEFINANCE($B1410), INDEX(GOOGLEFINANCE($B1410,""price"",today()-364),2,2)),1),"""")"),0.40969941904521345)</f>
        <v>0.409699419</v>
      </c>
    </row>
    <row r="1411">
      <c r="A1411" s="71">
        <f t="shared" si="4"/>
        <v>1407</v>
      </c>
      <c r="B1411" s="47" t="s">
        <v>1544</v>
      </c>
      <c r="C1411" s="72">
        <f>IFERROR(__xludf.DUMMYFUNCTION("iferror(divide(googlefinance($B1411,""marketcap""),1000000),"""")"),7388.995743)</f>
        <v>7388.995743</v>
      </c>
      <c r="D1411" s="72">
        <f>IFERROR(__xludf.DUMMYFUNCTION("iferror(divide(googlefinance($B1411,""shares""),1000),"""")"),19608.0)</f>
        <v>19608</v>
      </c>
      <c r="E1411" s="72">
        <f>IFERROR(__xludf.DUMMYFUNCTION("iferror(divide(googlefinance($B1411,""volumeavg""),1000),"""")"),46.483)</f>
        <v>46.483</v>
      </c>
      <c r="F1411" s="73">
        <f>IFERROR(__xludf.DUMMYFUNCTION("iferror(MINUS(divide(GOOGLEFINANCE($B1411), INDEX(GOOGLEFINANCE($B1411,""price"",today()-182),2,2)),1),"""")"),0.5597036546500558)</f>
        <v>0.5597036547</v>
      </c>
      <c r="G1411" s="61">
        <f>IFERROR(__xludf.DUMMYFUNCTION("iferror(MINUS(divide(GOOGLEFINANCE($B1411), INDEX(GOOGLEFINANCE($B1411,""price"",today()-364),2,2)),1),"""")"),-0.031583275512039766)</f>
        <v>-0.03158327551</v>
      </c>
    </row>
    <row r="1412">
      <c r="A1412" s="71">
        <f t="shared" si="4"/>
        <v>1408</v>
      </c>
      <c r="B1412" s="47" t="s">
        <v>1545</v>
      </c>
      <c r="C1412" s="72">
        <f>IFERROR(__xludf.DUMMYFUNCTION("iferror(divide(googlefinance($B1412,""marketcap""),1000000),"""")"),10367.045122)</f>
        <v>10367.04512</v>
      </c>
      <c r="D1412" s="72">
        <f>IFERROR(__xludf.DUMMYFUNCTION("iferror(divide(googlefinance($B1412,""shares""),1000),"""")"),77700.0)</f>
        <v>77700</v>
      </c>
      <c r="E1412" s="72">
        <f>IFERROR(__xludf.DUMMYFUNCTION("iferror(divide(googlefinance($B1412,""volumeavg""),1000),"""")"),561.517)</f>
        <v>561.517</v>
      </c>
      <c r="F1412" s="73">
        <f>IFERROR(__xludf.DUMMYFUNCTION("iferror(MINUS(divide(GOOGLEFINANCE($B1412), INDEX(GOOGLEFINANCE($B1412,""price"",today()-182),2,2)),1),"""")"),0.6180058339962875)</f>
        <v>0.618005834</v>
      </c>
      <c r="G1412" s="61">
        <f>IFERROR(__xludf.DUMMYFUNCTION("iferror(MINUS(divide(GOOGLEFINANCE($B1412), INDEX(GOOGLEFINANCE($B1412,""price"",today()-364),2,2)),1),"""")"),-0.18711697308819608)</f>
        <v>-0.1871169731</v>
      </c>
    </row>
    <row r="1413">
      <c r="A1413" s="71">
        <f t="shared" si="4"/>
        <v>1409</v>
      </c>
      <c r="B1413" s="47" t="s">
        <v>1546</v>
      </c>
      <c r="C1413" s="72">
        <f>IFERROR(__xludf.DUMMYFUNCTION("iferror(divide(googlefinance($B1413,""marketcap""),1000000),"""")"),163083.810366)</f>
        <v>163083.8104</v>
      </c>
      <c r="D1413" s="72">
        <f>IFERROR(__xludf.DUMMYFUNCTION("iferror(divide(googlefinance($B1413,""shares""),1000),"""")"),1168531.0)</f>
        <v>1168531</v>
      </c>
      <c r="E1413" s="72">
        <f>IFERROR(__xludf.DUMMYFUNCTION("iferror(divide(googlefinance($B1413,""volumeavg""),1000),"""")"),818.246)</f>
        <v>818.246</v>
      </c>
      <c r="F1413" s="73">
        <f>IFERROR(__xludf.DUMMYFUNCTION("iferror(MINUS(divide(GOOGLEFINANCE($B1413), INDEX(GOOGLEFINANCE($B1413,""price"",today()-182),2,2)),1),"""")"),0.3243587025651897)</f>
        <v>0.3243587026</v>
      </c>
      <c r="G1413" s="61">
        <f>IFERROR(__xludf.DUMMYFUNCTION("iferror(MINUS(divide(GOOGLEFINANCE($B1413), INDEX(GOOGLEFINANCE($B1413,""price"",today()-364),2,2)),1),"""")"),0.04168751042187768)</f>
        <v>0.04168751042</v>
      </c>
    </row>
    <row r="1414">
      <c r="A1414" s="71">
        <f t="shared" si="4"/>
        <v>1410</v>
      </c>
      <c r="B1414" s="47" t="s">
        <v>1547</v>
      </c>
      <c r="C1414" s="72">
        <f>IFERROR(__xludf.DUMMYFUNCTION("iferror(divide(googlefinance($B1414,""marketcap""),1000000),"""")"),574.989856)</f>
        <v>574.989856</v>
      </c>
      <c r="D1414" s="72">
        <f>IFERROR(__xludf.DUMMYFUNCTION("iferror(divide(googlefinance($B1414,""shares""),1000),"""")"),26919.0)</f>
        <v>26919</v>
      </c>
      <c r="E1414" s="72">
        <f>IFERROR(__xludf.DUMMYFUNCTION("iferror(divide(googlefinance($B1414,""volumeavg""),1000),"""")"),66.356)</f>
        <v>66.356</v>
      </c>
      <c r="F1414" s="73">
        <f>IFERROR(__xludf.DUMMYFUNCTION("iferror(MINUS(divide(GOOGLEFINANCE($B1414), INDEX(GOOGLEFINANCE($B1414,""price"",today()-182),2,2)),1),"""")"),0.863874345549738)</f>
        <v>0.8638743455</v>
      </c>
      <c r="G1414" s="61">
        <f>IFERROR(__xludf.DUMMYFUNCTION("iferror(MINUS(divide(GOOGLEFINANCE($B1414), INDEX(GOOGLEFINANCE($B1414,""price"",today()-364),2,2)),1),"""")"),-0.12709440130772376)</f>
        <v>-0.1270944013</v>
      </c>
    </row>
    <row r="1415">
      <c r="A1415" s="71">
        <f t="shared" si="4"/>
        <v>1411</v>
      </c>
      <c r="B1415" s="47" t="s">
        <v>1548</v>
      </c>
      <c r="C1415" s="72">
        <f>IFERROR(__xludf.DUMMYFUNCTION("iferror(divide(googlefinance($B1415,""marketcap""),1000000),"""")"),13220.697549)</f>
        <v>13220.69755</v>
      </c>
      <c r="D1415" s="72">
        <f>IFERROR(__xludf.DUMMYFUNCTION("iferror(divide(googlefinance($B1415,""shares""),1000),"""")"),56323.0)</f>
        <v>56323</v>
      </c>
      <c r="E1415" s="72">
        <f>IFERROR(__xludf.DUMMYFUNCTION("iferror(divide(googlefinance($B1415,""volumeavg""),1000),"""")"),1219.095)</f>
        <v>1219.095</v>
      </c>
      <c r="F1415" s="73">
        <f>IFERROR(__xludf.DUMMYFUNCTION("iferror(MINUS(divide(GOOGLEFINANCE($B1415), INDEX(GOOGLEFINANCE($B1415,""price"",today()-182),2,2)),1),"""")"),0.5853707956233958)</f>
        <v>0.5853707956</v>
      </c>
      <c r="G1415" s="61">
        <f>IFERROR(__xludf.DUMMYFUNCTION("iferror(MINUS(divide(GOOGLEFINANCE($B1415), INDEX(GOOGLEFINANCE($B1415,""price"",today()-364),2,2)),1),"""")"),0.02614207650273226)</f>
        <v>0.0261420765</v>
      </c>
    </row>
    <row r="1416">
      <c r="A1416" s="71">
        <f t="shared" si="4"/>
        <v>1412</v>
      </c>
      <c r="B1416" s="47" t="s">
        <v>1549</v>
      </c>
      <c r="C1416" s="72">
        <f>IFERROR(__xludf.DUMMYFUNCTION("iferror(divide(googlefinance($B1416,""marketcap""),1000000),"""")"),316559.119337)</f>
        <v>316559.1193</v>
      </c>
      <c r="D1416" s="72">
        <f>IFERROR(__xludf.DUMMYFUNCTION("iferror(divide(googlefinance($B1416,""shares""),1000),"""")"),1.24224E7)</f>
        <v>12422400</v>
      </c>
      <c r="E1416" s="72">
        <f>IFERROR(__xludf.DUMMYFUNCTION("iferror(divide(googlefinance($B1416,""volumeavg""),1000),"""")"),1867.067)</f>
        <v>1867.067</v>
      </c>
      <c r="F1416" s="73">
        <f>IFERROR(__xludf.DUMMYFUNCTION("iferror(MINUS(divide(GOOGLEFINANCE($B1416), INDEX(GOOGLEFINANCE($B1416,""price"",today()-182),2,2)),1),"""")"),0.9461883408071747)</f>
        <v>0.9461883408</v>
      </c>
      <c r="G1416" s="61">
        <f>IFERROR(__xludf.DUMMYFUNCTION("iferror(MINUS(divide(GOOGLEFINANCE($B1416), INDEX(GOOGLEFINANCE($B1416,""price"",today()-364),2,2)),1),"""")"),1.0666666666666664)</f>
        <v>1.066666667</v>
      </c>
    </row>
    <row r="1417">
      <c r="A1417" s="71">
        <f t="shared" si="4"/>
        <v>1413</v>
      </c>
      <c r="B1417" s="47" t="s">
        <v>1550</v>
      </c>
      <c r="C1417" s="72">
        <f>IFERROR(__xludf.DUMMYFUNCTION("iferror(divide(googlefinance($B1417,""marketcap""),1000000),"""")"),109.432175)</f>
        <v>109.432175</v>
      </c>
      <c r="D1417" s="72">
        <f>IFERROR(__xludf.DUMMYFUNCTION("iferror(divide(googlefinance($B1417,""shares""),1000),"""")"),38263.0)</f>
        <v>38263</v>
      </c>
      <c r="E1417" s="72">
        <f>IFERROR(__xludf.DUMMYFUNCTION("iferror(divide(googlefinance($B1417,""volumeavg""),1000),"""")"),702.657)</f>
        <v>702.657</v>
      </c>
      <c r="F1417" s="73">
        <f>IFERROR(__xludf.DUMMYFUNCTION("iferror(MINUS(divide(GOOGLEFINANCE($B1417), INDEX(GOOGLEFINANCE($B1417,""price"",today()-182),2,2)),1),"""")"),6.72972972972973)</f>
        <v>6.72972973</v>
      </c>
      <c r="G1417" s="61">
        <f>IFERROR(__xludf.DUMMYFUNCTION("iferror(MINUS(divide(GOOGLEFINANCE($B1417), INDEX(GOOGLEFINANCE($B1417,""price"",today()-364),2,2)),1),"""")"),0.580110497237569)</f>
        <v>0.5801104972</v>
      </c>
    </row>
    <row r="1418">
      <c r="A1418" s="71">
        <f t="shared" si="4"/>
        <v>1414</v>
      </c>
      <c r="B1418" s="47" t="s">
        <v>1551</v>
      </c>
      <c r="C1418" s="72">
        <f>IFERROR(__xludf.DUMMYFUNCTION("iferror(divide(googlefinance($B1418,""marketcap""),1000000),"""")"),163227.026881)</f>
        <v>163227.0269</v>
      </c>
      <c r="D1418" s="72">
        <f>IFERROR(__xludf.DUMMYFUNCTION("iferror(divide(googlefinance($B1418,""shares""),1000),"""")"),1460715.0)</f>
        <v>1460715</v>
      </c>
      <c r="E1418" s="72">
        <f>IFERROR(__xludf.DUMMYFUNCTION("iferror(divide(googlefinance($B1418,""volumeavg""),1000),"""")"),1219.289)</f>
        <v>1219.289</v>
      </c>
      <c r="F1418" s="73">
        <f>IFERROR(__xludf.DUMMYFUNCTION("iferror(MINUS(divide(GOOGLEFINANCE($B1418), INDEX(GOOGLEFINANCE($B1418,""price"",today()-182),2,2)),1),"""")"),0.3321065165620265)</f>
        <v>0.3321065166</v>
      </c>
      <c r="G1418" s="61">
        <f>IFERROR(__xludf.DUMMYFUNCTION("iferror(MINUS(divide(GOOGLEFINANCE($B1418), INDEX(GOOGLEFINANCE($B1418,""price"",today()-364),2,2)),1),"""")"),0.03638201111672568)</f>
        <v>0.03638201112</v>
      </c>
    </row>
    <row r="1419">
      <c r="A1419" s="71">
        <f t="shared" si="4"/>
        <v>1415</v>
      </c>
      <c r="B1419" s="47" t="s">
        <v>1552</v>
      </c>
      <c r="C1419" s="72">
        <f>IFERROR(__xludf.DUMMYFUNCTION("iferror(divide(googlefinance($B1419,""marketcap""),1000000),"""")"),947.178823)</f>
        <v>947.178823</v>
      </c>
      <c r="D1419" s="72">
        <f>IFERROR(__xludf.DUMMYFUNCTION("iferror(divide(googlefinance($B1419,""shares""),1000),"""")"),50814.104)</f>
        <v>50814.104</v>
      </c>
      <c r="E1419" s="72">
        <f>IFERROR(__xludf.DUMMYFUNCTION("iferror(divide(googlefinance($B1419,""volumeavg""),1000),"""")"),694.557)</f>
        <v>694.557</v>
      </c>
      <c r="F1419" s="73">
        <f>IFERROR(__xludf.DUMMYFUNCTION("iferror(MINUS(divide(GOOGLEFINANCE($B1419), INDEX(GOOGLEFINANCE($B1419,""price"",today()-182),2,2)),1),"""")"),0.5436720142602496)</f>
        <v>0.5436720143</v>
      </c>
      <c r="G1419" s="61">
        <f>IFERROR(__xludf.DUMMYFUNCTION("iferror(MINUS(divide(GOOGLEFINANCE($B1419), INDEX(GOOGLEFINANCE($B1419,""price"",today()-364),2,2)),1),"""")"),0.4530201342281879)</f>
        <v>0.4530201342</v>
      </c>
    </row>
    <row r="1420">
      <c r="A1420" s="71">
        <f t="shared" si="4"/>
        <v>1416</v>
      </c>
      <c r="B1420" s="47" t="s">
        <v>1553</v>
      </c>
      <c r="C1420" s="72">
        <f>IFERROR(__xludf.DUMMYFUNCTION("iferror(divide(googlefinance($B1420,""marketcap""),1000000),"""")"),136887.880206)</f>
        <v>136887.8802</v>
      </c>
      <c r="D1420" s="72">
        <f>IFERROR(__xludf.DUMMYFUNCTION("iferror(divide(googlefinance($B1420,""shares""),1000),"""")"),678839.0)</f>
        <v>678839</v>
      </c>
      <c r="E1420" s="72">
        <f>IFERROR(__xludf.DUMMYFUNCTION("iferror(divide(googlefinance($B1420,""volumeavg""),1000),"""")"),2470.026)</f>
        <v>2470.026</v>
      </c>
      <c r="F1420" s="73">
        <f>IFERROR(__xludf.DUMMYFUNCTION("iferror(MINUS(divide(GOOGLEFINANCE($B1420), INDEX(GOOGLEFINANCE($B1420,""price"",today()-182),2,2)),1),"""")"),0.7112186014935507)</f>
        <v>0.7112186015</v>
      </c>
      <c r="G1420" s="61">
        <f>IFERROR(__xludf.DUMMYFUNCTION("iferror(MINUS(divide(GOOGLEFINANCE($B1420), INDEX(GOOGLEFINANCE($B1420,""price"",today()-364),2,2)),1),"""")"),0.21198461353528075)</f>
        <v>0.2119846135</v>
      </c>
    </row>
    <row r="1421">
      <c r="A1421" s="71">
        <f t="shared" si="4"/>
        <v>1417</v>
      </c>
      <c r="B1421" s="47" t="s">
        <v>1554</v>
      </c>
      <c r="C1421" s="72">
        <f>IFERROR(__xludf.DUMMYFUNCTION("iferror(divide(googlefinance($B1421,""marketcap""),1000000),"""")"),3186.818764)</f>
        <v>3186.818764</v>
      </c>
      <c r="D1421" s="72">
        <f>IFERROR(__xludf.DUMMYFUNCTION("iferror(divide(googlefinance($B1421,""shares""),1000),"""")"),169062.0)</f>
        <v>169062</v>
      </c>
      <c r="E1421" s="72">
        <f>IFERROR(__xludf.DUMMYFUNCTION("iferror(divide(googlefinance($B1421,""volumeavg""),1000),"""")"),2400.142)</f>
        <v>2400.142</v>
      </c>
      <c r="F1421" s="73">
        <f>IFERROR(__xludf.DUMMYFUNCTION("iferror(MINUS(divide(GOOGLEFINANCE($B1421), INDEX(GOOGLEFINANCE($B1421,""price"",today()-182),2,2)),1),"""")"),1.1203599550056245)</f>
        <v>1.120359955</v>
      </c>
      <c r="G1421" s="61">
        <f>IFERROR(__xludf.DUMMYFUNCTION("iferror(MINUS(divide(GOOGLEFINANCE($B1421), INDEX(GOOGLEFINANCE($B1421,""price"",today()-364),2,2)),1),"""")"),-0.14318181818181808)</f>
        <v>-0.1431818182</v>
      </c>
    </row>
    <row r="1422">
      <c r="A1422" s="71">
        <f t="shared" si="4"/>
        <v>1418</v>
      </c>
      <c r="B1422" s="47" t="s">
        <v>1555</v>
      </c>
      <c r="C1422" s="72">
        <f>IFERROR(__xludf.DUMMYFUNCTION("iferror(divide(googlefinance($B1422,""marketcap""),1000000),"""")"),112956.18975)</f>
        <v>112956.1898</v>
      </c>
      <c r="D1422" s="72">
        <f>IFERROR(__xludf.DUMMYFUNCTION("iferror(divide(googlefinance($B1422,""shares""),1000),"""")"),707081.0)</f>
        <v>707081</v>
      </c>
      <c r="E1422" s="72">
        <f>IFERROR(__xludf.DUMMYFUNCTION("iferror(divide(googlefinance($B1422,""volumeavg""),1000),"""")"),3759.612)</f>
        <v>3759.612</v>
      </c>
      <c r="F1422" s="73">
        <f>IFERROR(__xludf.DUMMYFUNCTION("iferror(MINUS(divide(GOOGLEFINANCE($B1422), INDEX(GOOGLEFINANCE($B1422,""price"",today()-182),2,2)),1),"""")"),0.7092873956772952)</f>
        <v>0.7092873957</v>
      </c>
      <c r="G1422" s="61">
        <f>IFERROR(__xludf.DUMMYFUNCTION("iferror(MINUS(divide(GOOGLEFINANCE($B1422), INDEX(GOOGLEFINANCE($B1422,""price"",today()-364),2,2)),1),"""")"),0.32352941176470584)</f>
        <v>0.3235294118</v>
      </c>
    </row>
    <row r="1423">
      <c r="A1423" s="71">
        <f t="shared" si="4"/>
        <v>1419</v>
      </c>
      <c r="B1423" s="47" t="s">
        <v>1556</v>
      </c>
      <c r="C1423" s="72">
        <f>IFERROR(__xludf.DUMMYFUNCTION("iferror(divide(googlefinance($B1423,""marketcap""),1000000),"""")"),2210.941519)</f>
        <v>2210.941519</v>
      </c>
      <c r="D1423" s="72">
        <f>IFERROR(__xludf.DUMMYFUNCTION("iferror(divide(googlefinance($B1423,""shares""),1000),"""")"),97786.0)</f>
        <v>97786</v>
      </c>
      <c r="E1423" s="72">
        <f>IFERROR(__xludf.DUMMYFUNCTION("iferror(divide(googlefinance($B1423,""volumeavg""),1000),"""")"),2899.548)</f>
        <v>2899.548</v>
      </c>
      <c r="F1423" s="73">
        <f>IFERROR(__xludf.DUMMYFUNCTION("iferror(MINUS(divide(GOOGLEFINANCE($B1423), INDEX(GOOGLEFINANCE($B1423,""price"",today()-182),2,2)),1),"""")"),0.4653272845106935)</f>
        <v>0.4653272845</v>
      </c>
      <c r="G1423" s="61">
        <f>IFERROR(__xludf.DUMMYFUNCTION("iferror(MINUS(divide(GOOGLEFINANCE($B1423), INDEX(GOOGLEFINANCE($B1423,""price"",today()-364),2,2)),1),"""")"),-0.06608839322593973)</f>
        <v>-0.06608839323</v>
      </c>
    </row>
    <row r="1424">
      <c r="A1424" s="71">
        <f t="shared" si="4"/>
        <v>1420</v>
      </c>
      <c r="B1424" s="47" t="s">
        <v>1557</v>
      </c>
      <c r="C1424" s="72">
        <f>IFERROR(__xludf.DUMMYFUNCTION("iferror(divide(googlefinance($B1424,""marketcap""),1000000),"""")"),492.676898)</f>
        <v>492.676898</v>
      </c>
      <c r="D1424" s="72">
        <f>IFERROR(__xludf.DUMMYFUNCTION("iferror(divide(googlefinance($B1424,""shares""),1000),"""")"),22024.0)</f>
        <v>22024</v>
      </c>
      <c r="E1424" s="72">
        <f>IFERROR(__xludf.DUMMYFUNCTION("iferror(divide(googlefinance($B1424,""volumeavg""),1000),"""")"),188.736)</f>
        <v>188.736</v>
      </c>
      <c r="F1424" s="73">
        <f>IFERROR(__xludf.DUMMYFUNCTION("iferror(MINUS(divide(GOOGLEFINANCE($B1424), INDEX(GOOGLEFINANCE($B1424,""price"",today()-182),2,2)),1),"""")"),0.635233918128655)</f>
        <v>0.6352339181</v>
      </c>
      <c r="G1424" s="61">
        <f>IFERROR(__xludf.DUMMYFUNCTION("iferror(MINUS(divide(GOOGLEFINANCE($B1424), INDEX(GOOGLEFINANCE($B1424,""price"",today()-364),2,2)),1),"""")"),-0.35810616929698713)</f>
        <v>-0.3581061693</v>
      </c>
    </row>
    <row r="1425">
      <c r="A1425" s="71">
        <f t="shared" si="4"/>
        <v>1421</v>
      </c>
      <c r="B1425" s="47" t="s">
        <v>1558</v>
      </c>
      <c r="C1425" s="72">
        <f>IFERROR(__xludf.DUMMYFUNCTION("iferror(divide(googlefinance($B1425,""marketcap""),1000000),"""")"),303.089048)</f>
        <v>303.089048</v>
      </c>
      <c r="D1425" s="72">
        <f>IFERROR(__xludf.DUMMYFUNCTION("iferror(divide(googlefinance($B1425,""shares""),1000),"""")"),31182.0)</f>
        <v>31182</v>
      </c>
      <c r="E1425" s="72">
        <f>IFERROR(__xludf.DUMMYFUNCTION("iferror(divide(googlefinance($B1425,""volumeavg""),1000),"""")"),92.327)</f>
        <v>92.327</v>
      </c>
      <c r="F1425" s="73">
        <f>IFERROR(__xludf.DUMMYFUNCTION("iferror(MINUS(divide(GOOGLEFINANCE($B1425), INDEX(GOOGLEFINANCE($B1425,""price"",today()-182),2,2)),1),"""")"),0.24935732647814923)</f>
        <v>0.2493573265</v>
      </c>
      <c r="G1425" s="61">
        <f>IFERROR(__xludf.DUMMYFUNCTION("iferror(MINUS(divide(GOOGLEFINANCE($B1425), INDEX(GOOGLEFINANCE($B1425,""price"",today()-364),2,2)),1),"""")"),-0.039525691699604626)</f>
        <v>-0.0395256917</v>
      </c>
    </row>
    <row r="1426">
      <c r="A1426" s="71">
        <f t="shared" si="4"/>
        <v>1422</v>
      </c>
      <c r="B1426" s="47" t="s">
        <v>1559</v>
      </c>
      <c r="C1426" s="72">
        <f>IFERROR(__xludf.DUMMYFUNCTION("iferror(divide(googlefinance($B1426,""marketcap""),1000000),"""")"),91.825755)</f>
        <v>91.825755</v>
      </c>
      <c r="D1426" s="72">
        <f>IFERROR(__xludf.DUMMYFUNCTION("iferror(divide(googlefinance($B1426,""shares""),1000),"""")"),8762.0)</f>
        <v>8762</v>
      </c>
      <c r="E1426" s="72">
        <f>IFERROR(__xludf.DUMMYFUNCTION("iferror(divide(googlefinance($B1426,""volumeavg""),1000),"""")"),76.406)</f>
        <v>76.406</v>
      </c>
      <c r="F1426" s="73">
        <f>IFERROR(__xludf.DUMMYFUNCTION("iferror(MINUS(divide(GOOGLEFINANCE($B1426), INDEX(GOOGLEFINANCE($B1426,""price"",today()-182),2,2)),1),"""")"),1.6598984771573604)</f>
        <v>1.659898477</v>
      </c>
      <c r="G1426" s="61">
        <f>IFERROR(__xludf.DUMMYFUNCTION("iferror(MINUS(divide(GOOGLEFINANCE($B1426), INDEX(GOOGLEFINANCE($B1426,""price"",today()-364),2,2)),1),"""")"),0.17752808988764035)</f>
        <v>0.1775280899</v>
      </c>
    </row>
    <row r="1427">
      <c r="A1427" s="71">
        <f t="shared" si="4"/>
        <v>1423</v>
      </c>
      <c r="B1427" s="47" t="s">
        <v>1560</v>
      </c>
      <c r="C1427" s="72">
        <f>IFERROR(__xludf.DUMMYFUNCTION("iferror(divide(googlefinance($B1427,""marketcap""),1000000),"""")"),481.320653)</f>
        <v>481.320653</v>
      </c>
      <c r="D1427" s="72">
        <f>IFERROR(__xludf.DUMMYFUNCTION("iferror(divide(googlefinance($B1427,""shares""),1000),"""")"),16672.0)</f>
        <v>16672</v>
      </c>
      <c r="E1427" s="72">
        <f>IFERROR(__xludf.DUMMYFUNCTION("iferror(divide(googlefinance($B1427,""volumeavg""),1000),"""")"),255.559)</f>
        <v>255.559</v>
      </c>
      <c r="F1427" s="73">
        <f>IFERROR(__xludf.DUMMYFUNCTION("iferror(MINUS(divide(GOOGLEFINANCE($B1427), INDEX(GOOGLEFINANCE($B1427,""price"",today()-182),2,2)),1),"""")"),1.3741776315789473)</f>
        <v>1.374177632</v>
      </c>
      <c r="G1427" s="61">
        <f>IFERROR(__xludf.DUMMYFUNCTION("iferror(MINUS(divide(GOOGLEFINANCE($B1427), INDEX(GOOGLEFINANCE($B1427,""price"",today()-364),2,2)),1),"""")"),-0.38351484091394406)</f>
        <v>-0.3835148409</v>
      </c>
    </row>
    <row r="1428">
      <c r="A1428" s="71">
        <f t="shared" si="4"/>
        <v>1424</v>
      </c>
      <c r="B1428" s="47" t="s">
        <v>1561</v>
      </c>
      <c r="C1428" s="72">
        <f>IFERROR(__xludf.DUMMYFUNCTION("iferror(divide(googlefinance($B1428,""marketcap""),1000000),"""")"),6.788801)</f>
        <v>6.788801</v>
      </c>
      <c r="D1428" s="72">
        <f>IFERROR(__xludf.DUMMYFUNCTION("iferror(divide(googlefinance($B1428,""shares""),1000),"""")"),1400.0)</f>
        <v>1400</v>
      </c>
      <c r="E1428" s="72">
        <f>IFERROR(__xludf.DUMMYFUNCTION("iferror(divide(googlefinance($B1428,""volumeavg""),1000),"""")"),177.419)</f>
        <v>177.419</v>
      </c>
      <c r="F1428" s="73">
        <f>IFERROR(__xludf.DUMMYFUNCTION("iferror(MINUS(divide(GOOGLEFINANCE($B1428), INDEX(GOOGLEFINANCE($B1428,""price"",today()-182),2,2)),1),"""")"),0.9322709163346614)</f>
        <v>0.9322709163</v>
      </c>
      <c r="G1428" s="61">
        <f>IFERROR(__xludf.DUMMYFUNCTION("iferror(MINUS(divide(GOOGLEFINANCE($B1428), INDEX(GOOGLEFINANCE($B1428,""price"",today()-364),2,2)),1),"""")"),-0.08490566037735847)</f>
        <v>-0.08490566038</v>
      </c>
    </row>
    <row r="1429">
      <c r="A1429" s="71">
        <f t="shared" si="4"/>
        <v>1425</v>
      </c>
      <c r="B1429" s="47" t="s">
        <v>1562</v>
      </c>
      <c r="C1429" s="72">
        <f>IFERROR(__xludf.DUMMYFUNCTION("iferror(divide(googlefinance($B1429,""marketcap""),1000000),"""")"),5635.222422)</f>
        <v>5635.222422</v>
      </c>
      <c r="D1429" s="72">
        <f>IFERROR(__xludf.DUMMYFUNCTION("iferror(divide(googlefinance($B1429,""shares""),1000),"""")"),220643.0)</f>
        <v>220643</v>
      </c>
      <c r="E1429" s="72">
        <f>IFERROR(__xludf.DUMMYFUNCTION("iferror(divide(googlefinance($B1429,""volumeavg""),1000),"""")"),2305.007)</f>
        <v>2305.007</v>
      </c>
      <c r="F1429" s="73">
        <f>IFERROR(__xludf.DUMMYFUNCTION("iferror(MINUS(divide(GOOGLEFINANCE($B1429), INDEX(GOOGLEFINANCE($B1429,""price"",today()-182),2,2)),1),"""")"),0.96612779060816)</f>
        <v>0.9661277906</v>
      </c>
      <c r="G1429" s="61">
        <f>IFERROR(__xludf.DUMMYFUNCTION("iferror(MINUS(divide(GOOGLEFINANCE($B1429), INDEX(GOOGLEFINANCE($B1429,""price"",today()-364),2,2)),1),"""")"),-0.40341041812660594)</f>
        <v>-0.4034104181</v>
      </c>
    </row>
    <row r="1430">
      <c r="A1430" s="71">
        <f t="shared" si="4"/>
        <v>1426</v>
      </c>
      <c r="B1430" s="47" t="s">
        <v>1563</v>
      </c>
      <c r="C1430" s="72">
        <f>IFERROR(__xludf.DUMMYFUNCTION("iferror(divide(googlefinance($B1430,""marketcap""),1000000),"""")"),523.347707)</f>
        <v>523.347707</v>
      </c>
      <c r="D1430" s="72">
        <f>IFERROR(__xludf.DUMMYFUNCTION("iferror(divide(googlefinance($B1430,""shares""),1000),"""")"),5628.0)</f>
        <v>5628</v>
      </c>
      <c r="E1430" s="72">
        <f>IFERROR(__xludf.DUMMYFUNCTION("iferror(divide(googlefinance($B1430,""volumeavg""),1000),"""")"),3.259)</f>
        <v>3.259</v>
      </c>
      <c r="F1430" s="73">
        <f>IFERROR(__xludf.DUMMYFUNCTION("iferror(MINUS(divide(GOOGLEFINANCE($B1430), INDEX(GOOGLEFINANCE($B1430,""price"",today()-182),2,2)),1),"""")"),0.29386392096841507)</f>
        <v>0.293863921</v>
      </c>
      <c r="G1430" s="61">
        <f>IFERROR(__xludf.DUMMYFUNCTION("iferror(MINUS(divide(GOOGLEFINANCE($B1430), INDEX(GOOGLEFINANCE($B1430,""price"",today()-364),2,2)),1),"""")"),0.19739891836209122)</f>
        <v>0.1973989184</v>
      </c>
    </row>
    <row r="1431">
      <c r="A1431" s="71">
        <f t="shared" si="4"/>
        <v>1427</v>
      </c>
      <c r="B1431" s="47" t="s">
        <v>1564</v>
      </c>
      <c r="C1431" s="72">
        <f>IFERROR(__xludf.DUMMYFUNCTION("iferror(divide(googlefinance($B1431,""marketcap""),1000000),"""")"),1568.905316)</f>
        <v>1568.905316</v>
      </c>
      <c r="D1431" s="72">
        <f>IFERROR(__xludf.DUMMYFUNCTION("iferror(divide(googlefinance($B1431,""shares""),1000),"""")"),21014.0)</f>
        <v>21014</v>
      </c>
      <c r="E1431" s="72">
        <f>IFERROR(__xludf.DUMMYFUNCTION("iferror(divide(googlefinance($B1431,""volumeavg""),1000),"""")"),93.23)</f>
        <v>93.23</v>
      </c>
      <c r="F1431" s="73">
        <f>IFERROR(__xludf.DUMMYFUNCTION("iferror(MINUS(divide(GOOGLEFINANCE($B1431), INDEX(GOOGLEFINANCE($B1431,""price"",today()-182),2,2)),1),"""")"),0.5635602094240837)</f>
        <v>0.5635602094</v>
      </c>
      <c r="G1431" s="61">
        <f>IFERROR(__xludf.DUMMYFUNCTION("iferror(MINUS(divide(GOOGLEFINANCE($B1431), INDEX(GOOGLEFINANCE($B1431,""price"",today()-364),2,2)),1),"""")"),0.08470143832631116)</f>
        <v>0.08470143833</v>
      </c>
    </row>
    <row r="1432">
      <c r="A1432" s="71">
        <f t="shared" si="4"/>
        <v>1428</v>
      </c>
      <c r="B1432" s="47" t="s">
        <v>1565</v>
      </c>
      <c r="C1432" s="72">
        <f>IFERROR(__xludf.DUMMYFUNCTION("iferror(divide(googlefinance($B1432,""marketcap""),1000000),"""")"),4737.427958)</f>
        <v>4737.427958</v>
      </c>
      <c r="D1432" s="72">
        <f>IFERROR(__xludf.DUMMYFUNCTION("iferror(divide(googlefinance($B1432,""shares""),1000),"""")"),44412.0)</f>
        <v>44412</v>
      </c>
      <c r="E1432" s="72">
        <f>IFERROR(__xludf.DUMMYFUNCTION("iferror(divide(googlefinance($B1432,""volumeavg""),1000),"""")"),257.549)</f>
        <v>257.549</v>
      </c>
      <c r="F1432" s="73">
        <f>IFERROR(__xludf.DUMMYFUNCTION("iferror(MINUS(divide(GOOGLEFINANCE($B1432), INDEX(GOOGLEFINANCE($B1432,""price"",today()-182),2,2)),1),"""")"),0.2830165985085398)</f>
        <v>0.2830165985</v>
      </c>
      <c r="G1432" s="61">
        <f>IFERROR(__xludf.DUMMYFUNCTION("iferror(MINUS(divide(GOOGLEFINANCE($B1432), INDEX(GOOGLEFINANCE($B1432,""price"",today()-364),2,2)),1),"""")"),0.24049308059076657)</f>
        <v>0.2404930806</v>
      </c>
    </row>
    <row r="1433">
      <c r="A1433" s="71">
        <f t="shared" si="4"/>
        <v>1429</v>
      </c>
      <c r="B1433" s="47" t="s">
        <v>1566</v>
      </c>
      <c r="C1433" s="72" t="str">
        <f>IFERROR(__xludf.DUMMYFUNCTION("iferror(divide(googlefinance($B1433,""marketcap""),1000000),"""")"),"")</f>
        <v/>
      </c>
      <c r="D1433" s="72" t="str">
        <f>IFERROR(__xludf.DUMMYFUNCTION("iferror(divide(googlefinance($B1433,""shares""),1000),"""")"),"")</f>
        <v/>
      </c>
      <c r="E1433" s="72" t="str">
        <f>IFERROR(__xludf.DUMMYFUNCTION("iferror(divide(googlefinance($B1433,""volumeavg""),1000),"""")"),"")</f>
        <v/>
      </c>
      <c r="F1433" s="73">
        <f>IFERROR(__xludf.DUMMYFUNCTION("iferror(MINUS(divide(GOOGLEFINANCE($B1433), INDEX(GOOGLEFINANCE($B1433,""price"",today()-182),2,2)),1),"""")"),0.1269177126917711)</f>
        <v>0.1269177127</v>
      </c>
      <c r="G1433" s="61">
        <f>IFERROR(__xludf.DUMMYFUNCTION("iferror(MINUS(divide(GOOGLEFINANCE($B1433), INDEX(GOOGLEFINANCE($B1433,""price"",today()-364),2,2)),1),"""")"),-0.14209874358520613)</f>
        <v>-0.1420987436</v>
      </c>
    </row>
    <row r="1434">
      <c r="A1434" s="71">
        <f t="shared" si="4"/>
        <v>1430</v>
      </c>
      <c r="B1434" s="47" t="s">
        <v>1567</v>
      </c>
      <c r="C1434" s="72" t="str">
        <f>IFERROR(__xludf.DUMMYFUNCTION("iferror(divide(googlefinance($B1434,""marketcap""),1000000),"""")"),"")</f>
        <v/>
      </c>
      <c r="D1434" s="72" t="str">
        <f>IFERROR(__xludf.DUMMYFUNCTION("iferror(divide(googlefinance($B1434,""shares""),1000),"""")"),"")</f>
        <v/>
      </c>
      <c r="E1434" s="72" t="str">
        <f>IFERROR(__xludf.DUMMYFUNCTION("iferror(divide(googlefinance($B1434,""volumeavg""),1000),"""")"),"")</f>
        <v/>
      </c>
      <c r="F1434" s="73" t="str">
        <f>IFERROR(__xludf.DUMMYFUNCTION("iferror(MINUS(divide(GOOGLEFINANCE($B1434), INDEX(GOOGLEFINANCE($B1434,""price"",today()-182),2,2)),1),"""")"),"")</f>
        <v/>
      </c>
      <c r="G1434" s="61" t="str">
        <f>IFERROR(__xludf.DUMMYFUNCTION("iferror(MINUS(divide(GOOGLEFINANCE($B1434), INDEX(GOOGLEFINANCE($B1434,""price"",today()-364),2,2)),1),"""")"),"")</f>
        <v/>
      </c>
    </row>
    <row r="1435">
      <c r="A1435" s="71">
        <f t="shared" si="4"/>
        <v>1431</v>
      </c>
      <c r="B1435" s="47" t="s">
        <v>1568</v>
      </c>
      <c r="C1435" s="72">
        <f>IFERROR(__xludf.DUMMYFUNCTION("iferror(divide(googlefinance($B1435,""marketcap""),1000000),"""")"),3938.693952)</f>
        <v>3938.693952</v>
      </c>
      <c r="D1435" s="72">
        <f>IFERROR(__xludf.DUMMYFUNCTION("iferror(divide(googlefinance($B1435,""shares""),1000),"""")"),41058.0)</f>
        <v>41058</v>
      </c>
      <c r="E1435" s="72">
        <f>IFERROR(__xludf.DUMMYFUNCTION("iferror(divide(googlefinance($B1435,""volumeavg""),1000),"""")"),312.596)</f>
        <v>312.596</v>
      </c>
      <c r="F1435" s="73">
        <f>IFERROR(__xludf.DUMMYFUNCTION("iferror(MINUS(divide(GOOGLEFINANCE($B1435), INDEX(GOOGLEFINANCE($B1435,""price"",today()-182),2,2)),1),"""")"),0.9653759475517312)</f>
        <v>0.9653759476</v>
      </c>
      <c r="G1435" s="61">
        <f>IFERROR(__xludf.DUMMYFUNCTION("iferror(MINUS(divide(GOOGLEFINANCE($B1435), INDEX(GOOGLEFINANCE($B1435,""price"",today()-364),2,2)),1),"""")"),-0.11364686316178507)</f>
        <v>-0.1136468632</v>
      </c>
    </row>
    <row r="1436">
      <c r="A1436" s="71">
        <f t="shared" si="4"/>
        <v>1432</v>
      </c>
      <c r="B1436" s="47" t="s">
        <v>1569</v>
      </c>
      <c r="C1436" s="72">
        <f>IFERROR(__xludf.DUMMYFUNCTION("iferror(divide(googlefinance($B1436,""marketcap""),1000000),"""")"),328060.203397)</f>
        <v>328060.2034</v>
      </c>
      <c r="D1436" s="72">
        <f>IFERROR(__xludf.DUMMYFUNCTION("iferror(divide(googlefinance($B1436,""shares""),1000),"""")"),5284475.0)</f>
        <v>5284475</v>
      </c>
      <c r="E1436" s="72">
        <f>IFERROR(__xludf.DUMMYFUNCTION("iferror(divide(googlefinance($B1436,""volumeavg""),1000),"""")"),26062.474)</f>
        <v>26062.474</v>
      </c>
      <c r="F1436" s="73">
        <f>IFERROR(__xludf.DUMMYFUNCTION("iferror(MINUS(divide(GOOGLEFINANCE($B1436), INDEX(GOOGLEFINANCE($B1436,""price"",today()-182),2,2)),1),"""")"),0.7020057306590257)</f>
        <v>0.7020057307</v>
      </c>
      <c r="G1436" s="61">
        <f>IFERROR(__xludf.DUMMYFUNCTION("iferror(MINUS(divide(GOOGLEFINANCE($B1436), INDEX(GOOGLEFINANCE($B1436,""price"",today()-364),2,2)),1),"""")"),0.02590673575129543)</f>
        <v>0.02590673575</v>
      </c>
    </row>
    <row r="1437">
      <c r="A1437" s="71">
        <f t="shared" si="4"/>
        <v>1433</v>
      </c>
      <c r="B1437" s="47" t="s">
        <v>1570</v>
      </c>
      <c r="C1437" s="72">
        <f>IFERROR(__xludf.DUMMYFUNCTION("iferror(divide(googlefinance($B1437,""marketcap""),1000000),"""")"),869.304477)</f>
        <v>869.304477</v>
      </c>
      <c r="D1437" s="72">
        <f>IFERROR(__xludf.DUMMYFUNCTION("iferror(divide(googlefinance($B1437,""shares""),1000),"""")"),231198.0)</f>
        <v>231198</v>
      </c>
      <c r="E1437" s="72">
        <f>IFERROR(__xludf.DUMMYFUNCTION("iferror(divide(googlefinance($B1437,""volumeavg""),1000),"""")"),14658.676)</f>
        <v>14658.676</v>
      </c>
      <c r="F1437" s="73">
        <f>IFERROR(__xludf.DUMMYFUNCTION("iferror(MINUS(divide(GOOGLEFINANCE($B1437), INDEX(GOOGLEFINANCE($B1437,""price"",today()-182),2,2)),1),"""")"),3.8205128205128203)</f>
        <v>3.820512821</v>
      </c>
      <c r="G1437" s="61">
        <f>IFERROR(__xludf.DUMMYFUNCTION("iferror(MINUS(divide(GOOGLEFINANCE($B1437), INDEX(GOOGLEFINANCE($B1437,""price"",today()-364),2,2)),1),"""")"),6.372549019607843)</f>
        <v>6.37254902</v>
      </c>
    </row>
    <row r="1438">
      <c r="A1438" s="71">
        <f t="shared" si="4"/>
        <v>1434</v>
      </c>
      <c r="B1438" s="47" t="s">
        <v>1571</v>
      </c>
      <c r="C1438" s="72">
        <f>IFERROR(__xludf.DUMMYFUNCTION("iferror(divide(googlefinance($B1438,""marketcap""),1000000),"""")"),858.852571)</f>
        <v>858.852571</v>
      </c>
      <c r="D1438" s="72">
        <f>IFERROR(__xludf.DUMMYFUNCTION("iferror(divide(googlefinance($B1438,""shares""),1000),"""")"),45250.0)</f>
        <v>45250</v>
      </c>
      <c r="E1438" s="72">
        <f>IFERROR(__xludf.DUMMYFUNCTION("iferror(divide(googlefinance($B1438,""volumeavg""),1000),"""")"),495.756)</f>
        <v>495.756</v>
      </c>
      <c r="F1438" s="73">
        <f>IFERROR(__xludf.DUMMYFUNCTION("iferror(MINUS(divide(GOOGLEFINANCE($B1438), INDEX(GOOGLEFINANCE($B1438,""price"",today()-182),2,2)),1),"""")"),1.3904282115869018)</f>
        <v>1.390428212</v>
      </c>
      <c r="G1438" s="61">
        <f>IFERROR(__xludf.DUMMYFUNCTION("iferror(MINUS(divide(GOOGLEFINANCE($B1438), INDEX(GOOGLEFINANCE($B1438,""price"",today()-364),2,2)),1),"""")"),0.1810827629122589)</f>
        <v>0.1810827629</v>
      </c>
    </row>
    <row r="1439">
      <c r="A1439" s="71">
        <f t="shared" si="4"/>
        <v>1435</v>
      </c>
      <c r="B1439" s="47" t="s">
        <v>1572</v>
      </c>
      <c r="C1439" s="72">
        <f>IFERROR(__xludf.DUMMYFUNCTION("iferror(divide(googlefinance($B1439,""marketcap""),1000000),"""")"),118.700806)</f>
        <v>118.700806</v>
      </c>
      <c r="D1439" s="72">
        <f>IFERROR(__xludf.DUMMYFUNCTION("iferror(divide(googlefinance($B1439,""shares""),1000),"""")"),20017.0)</f>
        <v>20017</v>
      </c>
      <c r="E1439" s="72">
        <f>IFERROR(__xludf.DUMMYFUNCTION("iferror(divide(googlefinance($B1439,""volumeavg""),1000),"""")"),165.103)</f>
        <v>165.103</v>
      </c>
      <c r="F1439" s="73">
        <f>IFERROR(__xludf.DUMMYFUNCTION("iferror(MINUS(divide(GOOGLEFINANCE($B1439), INDEX(GOOGLEFINANCE($B1439,""price"",today()-182),2,2)),1),"""")"),0.3952941176470588)</f>
        <v>0.3952941176</v>
      </c>
      <c r="G1439" s="61">
        <f>IFERROR(__xludf.DUMMYFUNCTION("iferror(MINUS(divide(GOOGLEFINANCE($B1439), INDEX(GOOGLEFINANCE($B1439,""price"",today()-364),2,2)),1),"""")"),-0.18878248974008205)</f>
        <v>-0.1887824897</v>
      </c>
    </row>
    <row r="1440">
      <c r="A1440" s="71">
        <f t="shared" si="4"/>
        <v>1436</v>
      </c>
      <c r="B1440" s="47" t="s">
        <v>1573</v>
      </c>
      <c r="C1440" s="72">
        <f>IFERROR(__xludf.DUMMYFUNCTION("iferror(divide(googlefinance($B1440,""marketcap""),1000000),"""")"),1843.441663)</f>
        <v>1843.441663</v>
      </c>
      <c r="D1440" s="72">
        <f>IFERROR(__xludf.DUMMYFUNCTION("iferror(divide(googlefinance($B1440,""shares""),1000),"""")"),56582.0)</f>
        <v>56582</v>
      </c>
      <c r="E1440" s="72">
        <f>IFERROR(__xludf.DUMMYFUNCTION("iferror(divide(googlefinance($B1440,""volumeavg""),1000),"""")"),638.17)</f>
        <v>638.17</v>
      </c>
      <c r="F1440" s="73">
        <f>IFERROR(__xludf.DUMMYFUNCTION("iferror(MINUS(divide(GOOGLEFINANCE($B1440), INDEX(GOOGLEFINANCE($B1440,""price"",today()-182),2,2)),1),"""")"),0.7716150081566067)</f>
        <v>0.7716150082</v>
      </c>
      <c r="G1440" s="61">
        <f>IFERROR(__xludf.DUMMYFUNCTION("iferror(MINUS(divide(GOOGLEFINANCE($B1440), INDEX(GOOGLEFINANCE($B1440,""price"",today()-364),2,2)),1),"""")"),0.2294339622641508)</f>
        <v>0.2294339623</v>
      </c>
    </row>
    <row r="1441">
      <c r="A1441" s="71">
        <f t="shared" si="4"/>
        <v>1437</v>
      </c>
      <c r="B1441" s="47" t="s">
        <v>1574</v>
      </c>
      <c r="C1441" s="72">
        <f>IFERROR(__xludf.DUMMYFUNCTION("iferror(divide(googlefinance($B1441,""marketcap""),1000000),"""")"),619.245097)</f>
        <v>619.245097</v>
      </c>
      <c r="D1441" s="72">
        <f>IFERROR(__xludf.DUMMYFUNCTION("iferror(divide(googlefinance($B1441,""shares""),1000),"""")"),49619.0)</f>
        <v>49619</v>
      </c>
      <c r="E1441" s="72">
        <f>IFERROR(__xludf.DUMMYFUNCTION("iferror(divide(googlefinance($B1441,""volumeavg""),1000),"""")"),550.925)</f>
        <v>550.925</v>
      </c>
      <c r="F1441" s="73">
        <f>IFERROR(__xludf.DUMMYFUNCTION("iferror(MINUS(divide(GOOGLEFINANCE($B1441), INDEX(GOOGLEFINANCE($B1441,""price"",today()-182),2,2)),1),"""")"),0.5979513444302178)</f>
        <v>0.5979513444</v>
      </c>
      <c r="G1441" s="61">
        <f>IFERROR(__xludf.DUMMYFUNCTION("iferror(MINUS(divide(GOOGLEFINANCE($B1441), INDEX(GOOGLEFINANCE($B1441,""price"",today()-364),2,2)),1),"""")"),0.06032285471537824)</f>
        <v>0.06032285472</v>
      </c>
    </row>
    <row r="1442">
      <c r="A1442" s="71">
        <f t="shared" si="4"/>
        <v>1438</v>
      </c>
      <c r="B1442" s="47" t="s">
        <v>1575</v>
      </c>
      <c r="C1442" s="72">
        <f>IFERROR(__xludf.DUMMYFUNCTION("iferror(divide(googlefinance($B1442,""marketcap""),1000000),"""")"),201.207435)</f>
        <v>201.207435</v>
      </c>
      <c r="D1442" s="72">
        <f>IFERROR(__xludf.DUMMYFUNCTION("iferror(divide(googlefinance($B1442,""shares""),1000),"""")"),69864.0)</f>
        <v>69864</v>
      </c>
      <c r="E1442" s="72">
        <f>IFERROR(__xludf.DUMMYFUNCTION("iferror(divide(googlefinance($B1442,""volumeavg""),1000),"""")"),476.786)</f>
        <v>476.786</v>
      </c>
      <c r="F1442" s="73">
        <f>IFERROR(__xludf.DUMMYFUNCTION("iferror(MINUS(divide(GOOGLEFINANCE($B1442), INDEX(GOOGLEFINANCE($B1442,""price"",today()-182),2,2)),1),"""")"),0.09090909090909083)</f>
        <v>0.09090909091</v>
      </c>
      <c r="G1442" s="61">
        <f>IFERROR(__xludf.DUMMYFUNCTION("iferror(MINUS(divide(GOOGLEFINANCE($B1442), INDEX(GOOGLEFINANCE($B1442,""price"",today()-364),2,2)),1),"""")"),0.4619289340101522)</f>
        <v>0.461928934</v>
      </c>
    </row>
    <row r="1443">
      <c r="A1443" s="71">
        <f t="shared" si="4"/>
        <v>1439</v>
      </c>
      <c r="B1443" s="47" t="s">
        <v>1576</v>
      </c>
      <c r="C1443" s="72">
        <f>IFERROR(__xludf.DUMMYFUNCTION("iferror(divide(googlefinance($B1443,""marketcap""),1000000),"""")"),29063.887647)</f>
        <v>29063.88765</v>
      </c>
      <c r="D1443" s="72">
        <f>IFERROR(__xludf.DUMMYFUNCTION("iferror(divide(googlefinance($B1443,""shares""),1000),"""")"),389649.0)</f>
        <v>389649</v>
      </c>
      <c r="E1443" s="72">
        <f>IFERROR(__xludf.DUMMYFUNCTION("iferror(divide(googlefinance($B1443,""volumeavg""),1000),"""")"),2116.096)</f>
        <v>2116.096</v>
      </c>
      <c r="F1443" s="73">
        <f>IFERROR(__xludf.DUMMYFUNCTION("iferror(MINUS(divide(GOOGLEFINANCE($B1443), INDEX(GOOGLEFINANCE($B1443,""price"",today()-182),2,2)),1),"""")"),0.41322470632815467)</f>
        <v>0.4132247063</v>
      </c>
      <c r="G1443" s="61">
        <f>IFERROR(__xludf.DUMMYFUNCTION("iferror(MINUS(divide(GOOGLEFINANCE($B1443), INDEX(GOOGLEFINANCE($B1443,""price"",today()-364),2,2)),1),"""")"),-0.12933348896930075)</f>
        <v>-0.129333489</v>
      </c>
    </row>
    <row r="1444">
      <c r="A1444" s="71">
        <f t="shared" si="4"/>
        <v>1440</v>
      </c>
      <c r="B1444" s="47" t="s">
        <v>1577</v>
      </c>
      <c r="C1444" s="72">
        <f>IFERROR(__xludf.DUMMYFUNCTION("iferror(divide(googlefinance($B1444,""marketcap""),1000000),"""")"),1566.6545)</f>
        <v>1566.6545</v>
      </c>
      <c r="D1444" s="72">
        <f>IFERROR(__xludf.DUMMYFUNCTION("iferror(divide(googlefinance($B1444,""shares""),1000),"""")"),153293.0)</f>
        <v>153293</v>
      </c>
      <c r="E1444" s="72">
        <f>IFERROR(__xludf.DUMMYFUNCTION("iferror(divide(googlefinance($B1444,""volumeavg""),1000),"""")"),733.637)</f>
        <v>733.637</v>
      </c>
      <c r="F1444" s="73">
        <f>IFERROR(__xludf.DUMMYFUNCTION("iferror(MINUS(divide(GOOGLEFINANCE($B1444), INDEX(GOOGLEFINANCE($B1444,""price"",today()-182),2,2)),1),"""")"),-0.07090909090909081)</f>
        <v>-0.07090909091</v>
      </c>
      <c r="G1444" s="61">
        <f>IFERROR(__xludf.DUMMYFUNCTION("iferror(MINUS(divide(GOOGLEFINANCE($B1444), INDEX(GOOGLEFINANCE($B1444,""price"",today()-364),2,2)),1),"""")"),-0.09637488947833772)</f>
        <v>-0.09637488948</v>
      </c>
    </row>
    <row r="1445">
      <c r="A1445" s="71">
        <f t="shared" si="4"/>
        <v>1441</v>
      </c>
      <c r="B1445" s="47" t="s">
        <v>1578</v>
      </c>
      <c r="C1445" s="72">
        <f>IFERROR(__xludf.DUMMYFUNCTION("iferror(divide(googlefinance($B1445,""marketcap""),1000000),"""")"),425.227122)</f>
        <v>425.227122</v>
      </c>
      <c r="D1445" s="72">
        <f>IFERROR(__xludf.DUMMYFUNCTION("iferror(divide(googlefinance($B1445,""shares""),1000),"""")"),28273.0)</f>
        <v>28273</v>
      </c>
      <c r="E1445" s="72">
        <f>IFERROR(__xludf.DUMMYFUNCTION("iferror(divide(googlefinance($B1445,""volumeavg""),1000),"""")"),25.49)</f>
        <v>25.49</v>
      </c>
      <c r="F1445" s="73">
        <f>IFERROR(__xludf.DUMMYFUNCTION("iferror(MINUS(divide(GOOGLEFINANCE($B1445), INDEX(GOOGLEFINANCE($B1445,""price"",today()-182),2,2)),1),"""")"),0.2681281618887015)</f>
        <v>0.2681281619</v>
      </c>
      <c r="G1445" s="61">
        <f>IFERROR(__xludf.DUMMYFUNCTION("iferror(MINUS(divide(GOOGLEFINANCE($B1445), INDEX(GOOGLEFINANCE($B1445,""price"",today()-364),2,2)),1),"""")"),-0.4031746031746032)</f>
        <v>-0.4031746032</v>
      </c>
    </row>
    <row r="1446">
      <c r="A1446" s="71">
        <f t="shared" si="4"/>
        <v>1442</v>
      </c>
      <c r="B1446" s="47" t="s">
        <v>1579</v>
      </c>
      <c r="C1446" s="72">
        <f>IFERROR(__xludf.DUMMYFUNCTION("iferror(divide(googlefinance($B1446,""marketcap""),1000000),"""")"),1.58294)</f>
        <v>1.58294</v>
      </c>
      <c r="D1446" s="72">
        <f>IFERROR(__xludf.DUMMYFUNCTION("iferror(divide(googlefinance($B1446,""shares""),1000),"""")"),83312.404)</f>
        <v>83312.404</v>
      </c>
      <c r="E1446" s="72">
        <f>IFERROR(__xludf.DUMMYFUNCTION("iferror(divide(googlefinance($B1446,""volumeavg""),1000),"""")"),0.667)</f>
        <v>0.667</v>
      </c>
      <c r="F1446" s="73" t="str">
        <f>IFERROR(__xludf.DUMMYFUNCTION("iferror(MINUS(divide(GOOGLEFINANCE($B1446), INDEX(GOOGLEFINANCE($B1446,""price"",today()-182),2,2)),1),"""")"),"")</f>
        <v/>
      </c>
      <c r="G1446" s="61" t="str">
        <f>IFERROR(__xludf.DUMMYFUNCTION("iferror(MINUS(divide(GOOGLEFINANCE($B1446), INDEX(GOOGLEFINANCE($B1446,""price"",today()-364),2,2)),1),"""")"),"")</f>
        <v/>
      </c>
    </row>
    <row r="1447">
      <c r="A1447" s="71">
        <f t="shared" si="4"/>
        <v>1443</v>
      </c>
      <c r="B1447" s="47" t="s">
        <v>1580</v>
      </c>
      <c r="C1447" s="72">
        <f>IFERROR(__xludf.DUMMYFUNCTION("iferror(divide(googlefinance($B1447,""marketcap""),1000000),"""")"),1753.936208)</f>
        <v>1753.936208</v>
      </c>
      <c r="D1447" s="72">
        <f>IFERROR(__xludf.DUMMYFUNCTION("iferror(divide(googlefinance($B1447,""shares""),1000),"""")"),54725.0)</f>
        <v>54725</v>
      </c>
      <c r="E1447" s="72">
        <f>IFERROR(__xludf.DUMMYFUNCTION("iferror(divide(googlefinance($B1447,""volumeavg""),1000),"""")"),165.596)</f>
        <v>165.596</v>
      </c>
      <c r="F1447" s="73">
        <f>IFERROR(__xludf.DUMMYFUNCTION("iferror(MINUS(divide(GOOGLEFINANCE($B1447), INDEX(GOOGLEFINANCE($B1447,""price"",today()-182),2,2)),1),"""")"),-0.2747227879610772)</f>
        <v>-0.274722788</v>
      </c>
      <c r="G1447" s="61" t="str">
        <f>IFERROR(__xludf.DUMMYFUNCTION("iferror(MINUS(divide(GOOGLEFINANCE($B1447), INDEX(GOOGLEFINANCE($B1447,""price"",today()-364),2,2)),1),"""")"),"")</f>
        <v/>
      </c>
    </row>
    <row r="1448">
      <c r="A1448" s="71">
        <f t="shared" si="4"/>
        <v>1444</v>
      </c>
      <c r="B1448" s="47" t="s">
        <v>1581</v>
      </c>
      <c r="C1448" s="72">
        <f>IFERROR(__xludf.DUMMYFUNCTION("iferror(divide(googlefinance($B1448,""marketcap""),1000000),"""")"),4066.998326)</f>
        <v>4066.998326</v>
      </c>
      <c r="D1448" s="72">
        <f>IFERROR(__xludf.DUMMYFUNCTION("iferror(divide(googlefinance($B1448,""shares""),1000),"""")"),127054.0)</f>
        <v>127054</v>
      </c>
      <c r="E1448" s="72">
        <f>IFERROR(__xludf.DUMMYFUNCTION("iferror(divide(googlefinance($B1448,""volumeavg""),1000),"""")"),1188.785)</f>
        <v>1188.785</v>
      </c>
      <c r="F1448" s="73">
        <f>IFERROR(__xludf.DUMMYFUNCTION("iferror(MINUS(divide(GOOGLEFINANCE($B1448), INDEX(GOOGLEFINANCE($B1448,""price"",today()-182),2,2)),1),"""")"),-0.19491951710261568)</f>
        <v>-0.1949195171</v>
      </c>
      <c r="G1448" s="61" t="str">
        <f>IFERROR(__xludf.DUMMYFUNCTION("iferror(MINUS(divide(GOOGLEFINANCE($B1448), INDEX(GOOGLEFINANCE($B1448,""price"",today()-364),2,2)),1),"""")"),"")</f>
        <v/>
      </c>
    </row>
    <row r="1449">
      <c r="A1449" s="71">
        <f t="shared" si="4"/>
        <v>1445</v>
      </c>
      <c r="B1449" s="47" t="s">
        <v>1582</v>
      </c>
      <c r="C1449" s="72">
        <f>IFERROR(__xludf.DUMMYFUNCTION("iferror(divide(googlefinance($B1449,""marketcap""),1000000),"""")"),3839.703963)</f>
        <v>3839.703963</v>
      </c>
      <c r="D1449" s="72">
        <f>IFERROR(__xludf.DUMMYFUNCTION("iferror(divide(googlefinance($B1449,""shares""),1000),"""")"),16296.214)</f>
        <v>16296.214</v>
      </c>
      <c r="E1449" s="72">
        <f>IFERROR(__xludf.DUMMYFUNCTION("iferror(divide(googlefinance($B1449,""volumeavg""),1000),"""")"),295.415)</f>
        <v>295.415</v>
      </c>
      <c r="F1449" s="73">
        <f>IFERROR(__xludf.DUMMYFUNCTION("iferror(MINUS(divide(GOOGLEFINANCE($B1449), INDEX(GOOGLEFINANCE($B1449,""price"",today()-182),2,2)),1),"""")"),-0.025862068965517238)</f>
        <v>-0.02586206897</v>
      </c>
      <c r="G1449" s="61">
        <f>IFERROR(__xludf.DUMMYFUNCTION("iferror(MINUS(divide(GOOGLEFINANCE($B1449), INDEX(GOOGLEFINANCE($B1449,""price"",today()-364),2,2)),1),"""")"),-0.5406504065040652)</f>
        <v>-0.5406504065</v>
      </c>
    </row>
    <row r="1450">
      <c r="A1450" s="71">
        <f t="shared" si="4"/>
        <v>1446</v>
      </c>
      <c r="B1450" s="47" t="s">
        <v>1583</v>
      </c>
      <c r="C1450" s="72">
        <f>IFERROR(__xludf.DUMMYFUNCTION("iferror(divide(googlefinance($B1450,""marketcap""),1000000),"""")"),668.234176)</f>
        <v>668.234176</v>
      </c>
      <c r="D1450" s="72">
        <f>IFERROR(__xludf.DUMMYFUNCTION("iferror(divide(googlefinance($B1450,""shares""),1000),"""")"),42863.0)</f>
        <v>42863</v>
      </c>
      <c r="E1450" s="72">
        <f>IFERROR(__xludf.DUMMYFUNCTION("iferror(divide(googlefinance($B1450,""volumeavg""),1000),"""")"),810.223)</f>
        <v>810.223</v>
      </c>
      <c r="F1450" s="73">
        <f>IFERROR(__xludf.DUMMYFUNCTION("iferror(MINUS(divide(GOOGLEFINANCE($B1450), INDEX(GOOGLEFINANCE($B1450,""price"",today()-182),2,2)),1),"""")"),1.1153324287652646)</f>
        <v>1.115332429</v>
      </c>
      <c r="G1450" s="61">
        <f>IFERROR(__xludf.DUMMYFUNCTION("iferror(MINUS(divide(GOOGLEFINANCE($B1450), INDEX(GOOGLEFINANCE($B1450,""price"",today()-364),2,2)),1),"""")"),0.5795339412360689)</f>
        <v>0.5795339412</v>
      </c>
    </row>
    <row r="1451">
      <c r="A1451" s="71">
        <f t="shared" si="4"/>
        <v>1447</v>
      </c>
      <c r="B1451" s="47" t="s">
        <v>1584</v>
      </c>
      <c r="C1451" s="72">
        <f>IFERROR(__xludf.DUMMYFUNCTION("iferror(divide(googlefinance($B1451,""marketcap""),1000000),"""")"),480.202793)</f>
        <v>480.202793</v>
      </c>
      <c r="D1451" s="72">
        <f>IFERROR(__xludf.DUMMYFUNCTION("iferror(divide(googlefinance($B1451,""shares""),1000),"""")"),72758.0)</f>
        <v>72758</v>
      </c>
      <c r="E1451" s="72">
        <f>IFERROR(__xludf.DUMMYFUNCTION("iferror(divide(googlefinance($B1451,""volumeavg""),1000),"""")"),1264.662)</f>
        <v>1264.662</v>
      </c>
      <c r="F1451" s="73">
        <f>IFERROR(__xludf.DUMMYFUNCTION("iferror(MINUS(divide(GOOGLEFINANCE($B1451), INDEX(GOOGLEFINANCE($B1451,""price"",today()-182),2,2)),1),"""")"),0.5277777777777777)</f>
        <v>0.5277777778</v>
      </c>
      <c r="G1451" s="61">
        <f>IFERROR(__xludf.DUMMYFUNCTION("iferror(MINUS(divide(GOOGLEFINANCE($B1451), INDEX(GOOGLEFINANCE($B1451,""price"",today()-364),2,2)),1),"""")"),-0.03649635036496346)</f>
        <v>-0.03649635036</v>
      </c>
    </row>
    <row r="1452">
      <c r="A1452" s="71">
        <f t="shared" si="4"/>
        <v>1448</v>
      </c>
      <c r="B1452" s="47" t="s">
        <v>1585</v>
      </c>
      <c r="C1452" s="72">
        <f>IFERROR(__xludf.DUMMYFUNCTION("iferror(divide(googlefinance($B1452,""marketcap""),1000000),"""")"),703.996037)</f>
        <v>703.996037</v>
      </c>
      <c r="D1452" s="72">
        <f>IFERROR(__xludf.DUMMYFUNCTION("iferror(divide(googlefinance($B1452,""shares""),1000),"""")"),877856.0)</f>
        <v>877856</v>
      </c>
      <c r="E1452" s="72">
        <f>IFERROR(__xludf.DUMMYFUNCTION("iferror(divide(googlefinance($B1452,""volumeavg""),1000),"""")"),341.524)</f>
        <v>341.524</v>
      </c>
      <c r="F1452" s="73">
        <f>IFERROR(__xludf.DUMMYFUNCTION("iferror(MINUS(divide(GOOGLEFINANCE($B1452), INDEX(GOOGLEFINANCE($B1452,""price"",today()-182),2,2)),1),"""")"),1.3008849557522124)</f>
        <v>1.300884956</v>
      </c>
      <c r="G1452" s="61">
        <f>IFERROR(__xludf.DUMMYFUNCTION("iferror(MINUS(divide(GOOGLEFINANCE($B1452), INDEX(GOOGLEFINANCE($B1452,""price"",today()-364),2,2)),1),"""")"),-0.2345436702649656)</f>
        <v>-0.2345436703</v>
      </c>
    </row>
    <row r="1453">
      <c r="A1453" s="71">
        <f t="shared" si="4"/>
        <v>1449</v>
      </c>
      <c r="B1453" s="47" t="s">
        <v>1586</v>
      </c>
      <c r="C1453" s="72">
        <f>IFERROR(__xludf.DUMMYFUNCTION("iferror(divide(googlefinance($B1453,""marketcap""),1000000),"""")"),17714.92)</f>
        <v>17714.92</v>
      </c>
      <c r="D1453" s="72">
        <f>IFERROR(__xludf.DUMMYFUNCTION("iferror(divide(googlefinance($B1453,""shares""),1000),"""")"),132448.0)</f>
        <v>132448</v>
      </c>
      <c r="E1453" s="72">
        <f>IFERROR(__xludf.DUMMYFUNCTION("iferror(divide(googlefinance($B1453,""volumeavg""),1000),"""")"),841.011)</f>
        <v>841.011</v>
      </c>
      <c r="F1453" s="73">
        <f>IFERROR(__xludf.DUMMYFUNCTION("iferror(MINUS(divide(GOOGLEFINANCE($B1453), INDEX(GOOGLEFINANCE($B1453,""price"",today()-182),2,2)),1),"""")"),0.5800354400472534)</f>
        <v>0.58003544</v>
      </c>
      <c r="G1453" s="61">
        <f>IFERROR(__xludf.DUMMYFUNCTION("iferror(MINUS(divide(GOOGLEFINANCE($B1453), INDEX(GOOGLEFINANCE($B1453,""price"",today()-364),2,2)),1),"""")"),-0.1071428571428572)</f>
        <v>-0.1071428571</v>
      </c>
    </row>
    <row r="1454">
      <c r="A1454" s="71">
        <f t="shared" si="4"/>
        <v>1450</v>
      </c>
      <c r="B1454" s="47" t="s">
        <v>1587</v>
      </c>
      <c r="C1454" s="72">
        <f>IFERROR(__xludf.DUMMYFUNCTION("iferror(divide(googlefinance($B1454,""marketcap""),1000000),"""")"),75.96624)</f>
        <v>75.96624</v>
      </c>
      <c r="D1454" s="72">
        <f>IFERROR(__xludf.DUMMYFUNCTION("iferror(divide(googlefinance($B1454,""shares""),1000),"""")"),11796.0)</f>
        <v>11796</v>
      </c>
      <c r="E1454" s="72">
        <f>IFERROR(__xludf.DUMMYFUNCTION("iferror(divide(googlefinance($B1454,""volumeavg""),1000),"""")"),17.096)</f>
        <v>17.096</v>
      </c>
      <c r="F1454" s="73">
        <f>IFERROR(__xludf.DUMMYFUNCTION("iferror(MINUS(divide(GOOGLEFINANCE($B1454), INDEX(GOOGLEFINANCE($B1454,""price"",today()-182),2,2)),1),"""")"),0.7037037037037039)</f>
        <v>0.7037037037</v>
      </c>
      <c r="G1454" s="61">
        <f>IFERROR(__xludf.DUMMYFUNCTION("iferror(MINUS(divide(GOOGLEFINANCE($B1454), INDEX(GOOGLEFINANCE($B1454,""price"",today()-364),2,2)),1),"""")"),-0.6175771971496437)</f>
        <v>-0.6175771971</v>
      </c>
    </row>
    <row r="1455">
      <c r="A1455" s="71">
        <f t="shared" si="4"/>
        <v>1451</v>
      </c>
      <c r="B1455" s="47" t="s">
        <v>1588</v>
      </c>
      <c r="C1455" s="72">
        <f>IFERROR(__xludf.DUMMYFUNCTION("iferror(divide(googlefinance($B1455,""marketcap""),1000000),"""")"),542.684446)</f>
        <v>542.684446</v>
      </c>
      <c r="D1455" s="72">
        <f>IFERROR(__xludf.DUMMYFUNCTION("iferror(divide(googlefinance($B1455,""shares""),1000),"""")"),54651.0)</f>
        <v>54651</v>
      </c>
      <c r="E1455" s="72">
        <f>IFERROR(__xludf.DUMMYFUNCTION("iferror(divide(googlefinance($B1455,""volumeavg""),1000),"""")"),643.905)</f>
        <v>643.905</v>
      </c>
      <c r="F1455" s="73">
        <f>IFERROR(__xludf.DUMMYFUNCTION("iferror(MINUS(divide(GOOGLEFINANCE($B1455), INDEX(GOOGLEFINANCE($B1455,""price"",today()-182),2,2)),1),"""")"),0.17793594306049831)</f>
        <v>0.1779359431</v>
      </c>
      <c r="G1455" s="61">
        <f>IFERROR(__xludf.DUMMYFUNCTION("iferror(MINUS(divide(GOOGLEFINANCE($B1455), INDEX(GOOGLEFINANCE($B1455,""price"",today()-364),2,2)),1),"""")"),-0.2482967448902348)</f>
        <v>-0.2482967449</v>
      </c>
    </row>
    <row r="1456">
      <c r="A1456" s="71">
        <f t="shared" si="4"/>
        <v>1452</v>
      </c>
      <c r="B1456" s="47" t="s">
        <v>1589</v>
      </c>
      <c r="C1456" s="72">
        <f>IFERROR(__xludf.DUMMYFUNCTION("iferror(divide(googlefinance($B1456,""marketcap""),1000000),"""")"),238.021282)</f>
        <v>238.021282</v>
      </c>
      <c r="D1456" s="72">
        <f>IFERROR(__xludf.DUMMYFUNCTION("iferror(divide(googlefinance($B1456,""shares""),1000),"""")"),106736.0)</f>
        <v>106736</v>
      </c>
      <c r="E1456" s="72">
        <f>IFERROR(__xludf.DUMMYFUNCTION("iferror(divide(googlefinance($B1456,""volumeavg""),1000),"""")"),368.69)</f>
        <v>368.69</v>
      </c>
      <c r="F1456" s="73">
        <f>IFERROR(__xludf.DUMMYFUNCTION("iferror(MINUS(divide(GOOGLEFINANCE($B1456), INDEX(GOOGLEFINANCE($B1456,""price"",today()-182),2,2)),1),"""")"),0.1925133689839571)</f>
        <v>0.192513369</v>
      </c>
      <c r="G1456" s="61">
        <f>IFERROR(__xludf.DUMMYFUNCTION("iferror(MINUS(divide(GOOGLEFINANCE($B1456), INDEX(GOOGLEFINANCE($B1456,""price"",today()-364),2,2)),1),"""")"),-0.2466216216216216)</f>
        <v>-0.2466216216</v>
      </c>
    </row>
    <row r="1457">
      <c r="A1457" s="71">
        <f t="shared" si="4"/>
        <v>1453</v>
      </c>
      <c r="B1457" s="47" t="s">
        <v>1590</v>
      </c>
      <c r="C1457" s="72">
        <f>IFERROR(__xludf.DUMMYFUNCTION("iferror(divide(googlefinance($B1457,""marketcap""),1000000),"""")"),187.27739)</f>
        <v>187.27739</v>
      </c>
      <c r="D1457" s="72">
        <f>IFERROR(__xludf.DUMMYFUNCTION("iferror(divide(googlefinance($B1457,""shares""),1000),"""")"),21657.0)</f>
        <v>21657</v>
      </c>
      <c r="E1457" s="72">
        <f>IFERROR(__xludf.DUMMYFUNCTION("iferror(divide(googlefinance($B1457,""volumeavg""),1000),"""")"),68.504)</f>
        <v>68.504</v>
      </c>
      <c r="F1457" s="73">
        <f>IFERROR(__xludf.DUMMYFUNCTION("iferror(MINUS(divide(GOOGLEFINANCE($B1457), INDEX(GOOGLEFINANCE($B1457,""price"",today()-182),2,2)),1),"""")"),3.278688524590164)</f>
        <v>3.278688525</v>
      </c>
      <c r="G1457" s="61">
        <f>IFERROR(__xludf.DUMMYFUNCTION("iferror(MINUS(divide(GOOGLEFINANCE($B1457), INDEX(GOOGLEFINANCE($B1457,""price"",today()-364),2,2)),1),"""")"),0.6012269938650308)</f>
        <v>0.6012269939</v>
      </c>
    </row>
    <row r="1458">
      <c r="A1458" s="71">
        <f t="shared" si="4"/>
        <v>1454</v>
      </c>
      <c r="B1458" s="47" t="s">
        <v>1591</v>
      </c>
      <c r="C1458" s="72">
        <f>IFERROR(__xludf.DUMMYFUNCTION("iferror(divide(googlefinance($B1458,""marketcap""),1000000),"""")"),258.585652)</f>
        <v>258.585652</v>
      </c>
      <c r="D1458" s="72">
        <f>IFERROR(__xludf.DUMMYFUNCTION("iferror(divide(googlefinance($B1458,""shares""),1000),"""")"),33409.0)</f>
        <v>33409</v>
      </c>
      <c r="E1458" s="72">
        <f>IFERROR(__xludf.DUMMYFUNCTION("iferror(divide(googlefinance($B1458,""volumeavg""),1000),"""")"),975.332)</f>
        <v>975.332</v>
      </c>
      <c r="F1458" s="73">
        <f>IFERROR(__xludf.DUMMYFUNCTION("iferror(MINUS(divide(GOOGLEFINANCE($B1458), INDEX(GOOGLEFINANCE($B1458,""price"",today()-182),2,2)),1),"""")"),1.064)</f>
        <v>1.064</v>
      </c>
      <c r="G1458" s="61">
        <f>IFERROR(__xludf.DUMMYFUNCTION("iferror(MINUS(divide(GOOGLEFINANCE($B1458), INDEX(GOOGLEFINANCE($B1458,""price"",today()-364),2,2)),1),"""")"),-0.20696721311475408)</f>
        <v>-0.2069672131</v>
      </c>
    </row>
    <row r="1459">
      <c r="A1459" s="71">
        <f t="shared" si="4"/>
        <v>1455</v>
      </c>
      <c r="B1459" s="47" t="s">
        <v>1592</v>
      </c>
      <c r="C1459" s="72">
        <f>IFERROR(__xludf.DUMMYFUNCTION("iferror(divide(googlefinance($B1459,""marketcap""),1000000),"""")"),241.619031)</f>
        <v>241.619031</v>
      </c>
      <c r="D1459" s="72">
        <f>IFERROR(__xludf.DUMMYFUNCTION("iferror(divide(googlefinance($B1459,""shares""),1000),"""")"),25814.0)</f>
        <v>25814</v>
      </c>
      <c r="E1459" s="72">
        <f>IFERROR(__xludf.DUMMYFUNCTION("iferror(divide(googlefinance($B1459,""volumeavg""),1000),"""")"),299.005)</f>
        <v>299.005</v>
      </c>
      <c r="F1459" s="73">
        <f>IFERROR(__xludf.DUMMYFUNCTION("iferror(MINUS(divide(GOOGLEFINANCE($B1459), INDEX(GOOGLEFINANCE($B1459,""price"",today()-182),2,2)),1),"""")"),0.07958477508650508)</f>
        <v>0.07958477509</v>
      </c>
      <c r="G1459" s="61">
        <f>IFERROR(__xludf.DUMMYFUNCTION("iferror(MINUS(divide(GOOGLEFINANCE($B1459), INDEX(GOOGLEFINANCE($B1459,""price"",today()-364),2,2)),1),"""")"),-0.3187772925764193)</f>
        <v>-0.3187772926</v>
      </c>
    </row>
    <row r="1460">
      <c r="A1460" s="71">
        <f t="shared" si="4"/>
        <v>1456</v>
      </c>
      <c r="B1460" s="47" t="s">
        <v>1593</v>
      </c>
      <c r="C1460" s="72">
        <f>IFERROR(__xludf.DUMMYFUNCTION("iferror(divide(googlefinance($B1460,""marketcap""),1000000),"""")"),288.109192)</f>
        <v>288.109192</v>
      </c>
      <c r="D1460" s="72">
        <f>IFERROR(__xludf.DUMMYFUNCTION("iferror(divide(googlefinance($B1460,""shares""),1000),"""")"),414546.0)</f>
        <v>414546</v>
      </c>
      <c r="E1460" s="72">
        <f>IFERROR(__xludf.DUMMYFUNCTION("iferror(divide(googlefinance($B1460,""volumeavg""),1000),"""")"),207.852)</f>
        <v>207.852</v>
      </c>
      <c r="F1460" s="73">
        <f>IFERROR(__xludf.DUMMYFUNCTION("iferror(MINUS(divide(GOOGLEFINANCE($B1460), INDEX(GOOGLEFINANCE($B1460,""price"",today()-182),2,2)),1),"""")"),1.0238095238095237)</f>
        <v>1.023809524</v>
      </c>
      <c r="G1460" s="61">
        <f>IFERROR(__xludf.DUMMYFUNCTION("iferror(MINUS(divide(GOOGLEFINANCE($B1460), INDEX(GOOGLEFINANCE($B1460,""price"",today()-364),2,2)),1),"""")"),0.44067796610169485)</f>
        <v>0.4406779661</v>
      </c>
    </row>
    <row r="1461">
      <c r="A1461" s="71">
        <f t="shared" si="4"/>
        <v>1457</v>
      </c>
      <c r="B1461" s="47" t="s">
        <v>1594</v>
      </c>
      <c r="C1461" s="72">
        <f>IFERROR(__xludf.DUMMYFUNCTION("iferror(divide(googlefinance($B1461,""marketcap""),1000000),"""")"),70706.369594)</f>
        <v>70706.36959</v>
      </c>
      <c r="D1461" s="72">
        <f>IFERROR(__xludf.DUMMYFUNCTION("iferror(divide(googlefinance($B1461,""shares""),1000),"""")"),260467.0)</f>
        <v>260467</v>
      </c>
      <c r="E1461" s="72">
        <f>IFERROR(__xludf.DUMMYFUNCTION("iferror(divide(googlefinance($B1461,""volumeavg""),1000),"""")"),1189.162)</f>
        <v>1189.162</v>
      </c>
      <c r="F1461" s="73">
        <f>IFERROR(__xludf.DUMMYFUNCTION("iferror(MINUS(divide(GOOGLEFINANCE($B1461), INDEX(GOOGLEFINANCE($B1461,""price"",today()-182),2,2)),1),"""")"),0.3177669902912621)</f>
        <v>0.3177669903</v>
      </c>
      <c r="G1461" s="61">
        <f>IFERROR(__xludf.DUMMYFUNCTION("iferror(MINUS(divide(GOOGLEFINANCE($B1461), INDEX(GOOGLEFINANCE($B1461,""price"",today()-364),2,2)),1),"""")"),0.5240287446665168)</f>
        <v>0.5240287447</v>
      </c>
    </row>
    <row r="1462">
      <c r="A1462" s="71">
        <f t="shared" si="4"/>
        <v>1458</v>
      </c>
      <c r="B1462" s="47" t="s">
        <v>1595</v>
      </c>
      <c r="C1462" s="72">
        <f>IFERROR(__xludf.DUMMYFUNCTION("iferror(divide(googlefinance($B1462,""marketcap""),1000000),"""")"),2398.345977)</f>
        <v>2398.345977</v>
      </c>
      <c r="D1462" s="72">
        <f>IFERROR(__xludf.DUMMYFUNCTION("iferror(divide(googlefinance($B1462,""shares""),1000),"""")"),67502.0)</f>
        <v>67502</v>
      </c>
      <c r="E1462" s="72">
        <f>IFERROR(__xludf.DUMMYFUNCTION("iferror(divide(googlefinance($B1462,""volumeavg""),1000),"""")"),635.721)</f>
        <v>635.721</v>
      </c>
      <c r="F1462" s="73">
        <f>IFERROR(__xludf.DUMMYFUNCTION("iferror(MINUS(divide(GOOGLEFINANCE($B1462), INDEX(GOOGLEFINANCE($B1462,""price"",today()-182),2,2)),1),"""")"),0.25903614457831337)</f>
        <v>0.2590361446</v>
      </c>
      <c r="G1462" s="61">
        <f>IFERROR(__xludf.DUMMYFUNCTION("iferror(MINUS(divide(GOOGLEFINANCE($B1462), INDEX(GOOGLEFINANCE($B1462,""price"",today()-364),2,2)),1),"""")"),-0.5426695842450766)</f>
        <v>-0.5426695842</v>
      </c>
    </row>
    <row r="1463">
      <c r="A1463" s="71">
        <f t="shared" si="4"/>
        <v>1459</v>
      </c>
      <c r="B1463" s="47" t="s">
        <v>1596</v>
      </c>
      <c r="C1463" s="72">
        <f>IFERROR(__xludf.DUMMYFUNCTION("iferror(divide(googlefinance($B1463,""marketcap""),1000000),"""")"),2093.138184)</f>
        <v>2093.138184</v>
      </c>
      <c r="D1463" s="72">
        <f>IFERROR(__xludf.DUMMYFUNCTION("iferror(divide(googlefinance($B1463,""shares""),1000),"""")"),132561.0)</f>
        <v>132561</v>
      </c>
      <c r="E1463" s="72">
        <f>IFERROR(__xludf.DUMMYFUNCTION("iferror(divide(googlefinance($B1463,""volumeavg""),1000),"""")"),866.712)</f>
        <v>866.712</v>
      </c>
      <c r="F1463" s="73">
        <f>IFERROR(__xludf.DUMMYFUNCTION("iferror(MINUS(divide(GOOGLEFINANCE($B1463), INDEX(GOOGLEFINANCE($B1463,""price"",today()-182),2,2)),1),"""")"),0.2551669316375198)</f>
        <v>0.2551669316</v>
      </c>
      <c r="G1463" s="61">
        <f>IFERROR(__xludf.DUMMYFUNCTION("iferror(MINUS(divide(GOOGLEFINANCE($B1463), INDEX(GOOGLEFINANCE($B1463,""price"",today()-364),2,2)),1),"""")"),-0.08622685185185197)</f>
        <v>-0.08622685185</v>
      </c>
    </row>
    <row r="1464">
      <c r="A1464" s="71">
        <f t="shared" si="4"/>
        <v>1460</v>
      </c>
      <c r="B1464" s="47" t="s">
        <v>1597</v>
      </c>
      <c r="C1464" s="72" t="str">
        <f>IFERROR(__xludf.DUMMYFUNCTION("iferror(divide(googlefinance($B1464,""marketcap""),1000000),"""")"),"")</f>
        <v/>
      </c>
      <c r="D1464" s="72" t="str">
        <f>IFERROR(__xludf.DUMMYFUNCTION("iferror(divide(googlefinance($B1464,""shares""),1000),"""")"),"")</f>
        <v/>
      </c>
      <c r="E1464" s="72" t="str">
        <f>IFERROR(__xludf.DUMMYFUNCTION("iferror(divide(googlefinance($B1464,""volumeavg""),1000),"""")"),"")</f>
        <v/>
      </c>
      <c r="F1464" s="73" t="str">
        <f>IFERROR(__xludf.DUMMYFUNCTION("iferror(MINUS(divide(GOOGLEFINANCE($B1464), INDEX(GOOGLEFINANCE($B1464,""price"",today()-182),2,2)),1),"""")"),"")</f>
        <v/>
      </c>
      <c r="G1464" s="61" t="str">
        <f>IFERROR(__xludf.DUMMYFUNCTION("iferror(MINUS(divide(GOOGLEFINANCE($B1464), INDEX(GOOGLEFINANCE($B1464,""price"",today()-364),2,2)),1),"""")"),"")</f>
        <v/>
      </c>
    </row>
    <row r="1465">
      <c r="A1465" s="71">
        <f t="shared" si="4"/>
        <v>1461</v>
      </c>
      <c r="B1465" s="47" t="s">
        <v>1598</v>
      </c>
      <c r="C1465" s="72">
        <f>IFERROR(__xludf.DUMMYFUNCTION("iferror(divide(googlefinance($B1465,""marketcap""),1000000),"""")"),230.563522)</f>
        <v>230.563522</v>
      </c>
      <c r="D1465" s="72">
        <f>IFERROR(__xludf.DUMMYFUNCTION("iferror(divide(googlefinance($B1465,""shares""),1000),"""")"),169532.0)</f>
        <v>169532</v>
      </c>
      <c r="E1465" s="72">
        <f>IFERROR(__xludf.DUMMYFUNCTION("iferror(divide(googlefinance($B1465,""volumeavg""),1000),"""")"),4266.774)</f>
        <v>4266.774</v>
      </c>
      <c r="F1465" s="73">
        <f>IFERROR(__xludf.DUMMYFUNCTION("iferror(MINUS(divide(GOOGLEFINANCE($B1465), INDEX(GOOGLEFINANCE($B1465,""price"",today()-182),2,2)),1),"""")"),-0.2727272727272727)</f>
        <v>-0.2727272727</v>
      </c>
      <c r="G1465" s="61">
        <f>IFERROR(__xludf.DUMMYFUNCTION("iferror(MINUS(divide(GOOGLEFINANCE($B1465), INDEX(GOOGLEFINANCE($B1465,""price"",today()-364),2,2)),1),"""")"),0.022556390977443552)</f>
        <v>0.02255639098</v>
      </c>
    </row>
    <row r="1466">
      <c r="A1466" s="71">
        <f t="shared" si="4"/>
        <v>1462</v>
      </c>
      <c r="B1466" s="47" t="s">
        <v>1599</v>
      </c>
      <c r="C1466" s="72">
        <f>IFERROR(__xludf.DUMMYFUNCTION("iferror(divide(googlefinance($B1466,""marketcap""),1000000),"""")"),1102.597366)</f>
        <v>1102.597366</v>
      </c>
      <c r="D1466" s="72">
        <f>IFERROR(__xludf.DUMMYFUNCTION("iferror(divide(googlefinance($B1466,""shares""),1000),"""")"),58062.0)</f>
        <v>58062</v>
      </c>
      <c r="E1466" s="72">
        <f>IFERROR(__xludf.DUMMYFUNCTION("iferror(divide(googlefinance($B1466,""volumeavg""),1000),"""")"),1227.754)</f>
        <v>1227.754</v>
      </c>
      <c r="F1466" s="73">
        <f>IFERROR(__xludf.DUMMYFUNCTION("iferror(MINUS(divide(GOOGLEFINANCE($B1466), INDEX(GOOGLEFINANCE($B1466,""price"",today()-182),2,2)),1),"""")"),1.7128571428571426)</f>
        <v>1.712857143</v>
      </c>
      <c r="G1466" s="61">
        <f>IFERROR(__xludf.DUMMYFUNCTION("iferror(MINUS(divide(GOOGLEFINANCE($B1466), INDEX(GOOGLEFINANCE($B1466,""price"",today()-364),2,2)),1),"""")"),1.9952681388012619)</f>
        <v>1.995268139</v>
      </c>
    </row>
    <row r="1467">
      <c r="A1467" s="71">
        <f t="shared" si="4"/>
        <v>1463</v>
      </c>
      <c r="B1467" s="47" t="s">
        <v>1600</v>
      </c>
      <c r="C1467" s="72">
        <f>IFERROR(__xludf.DUMMYFUNCTION("iferror(divide(googlefinance($B1467,""marketcap""),1000000),"""")"),16453.18023)</f>
        <v>16453.18023</v>
      </c>
      <c r="D1467" s="72">
        <f>IFERROR(__xludf.DUMMYFUNCTION("iferror(divide(googlefinance($B1467,""shares""),1000),"""")"),373088.0)</f>
        <v>373088</v>
      </c>
      <c r="E1467" s="72">
        <f>IFERROR(__xludf.DUMMYFUNCTION("iferror(divide(googlefinance($B1467,""volumeavg""),1000),"""")"),2507.172)</f>
        <v>2507.172</v>
      </c>
      <c r="F1467" s="73">
        <f>IFERROR(__xludf.DUMMYFUNCTION("iferror(MINUS(divide(GOOGLEFINANCE($B1467), INDEX(GOOGLEFINANCE($B1467,""price"",today()-182),2,2)),1),"""")"),1.0397779833487513)</f>
        <v>1.039777983</v>
      </c>
      <c r="G1467" s="61">
        <f>IFERROR(__xludf.DUMMYFUNCTION("iferror(MINUS(divide(GOOGLEFINANCE($B1467), INDEX(GOOGLEFINANCE($B1467,""price"",today()-364),2,2)),1),"""")"),-0.3892812629829663)</f>
        <v>-0.389281263</v>
      </c>
    </row>
    <row r="1468">
      <c r="A1468" s="71">
        <f t="shared" si="4"/>
        <v>1464</v>
      </c>
      <c r="B1468" s="47" t="s">
        <v>1601</v>
      </c>
      <c r="C1468" s="72">
        <f>IFERROR(__xludf.DUMMYFUNCTION("iferror(divide(googlefinance($B1468,""marketcap""),1000000),"""")"),143.527422)</f>
        <v>143.527422</v>
      </c>
      <c r="D1468" s="72">
        <f>IFERROR(__xludf.DUMMYFUNCTION("iferror(divide(googlefinance($B1468,""shares""),1000),"""")"),47959.0)</f>
        <v>47959</v>
      </c>
      <c r="E1468" s="72">
        <f>IFERROR(__xludf.DUMMYFUNCTION("iferror(divide(googlefinance($B1468,""volumeavg""),1000),"""")"),193.823)</f>
        <v>193.823</v>
      </c>
      <c r="F1468" s="73">
        <f>IFERROR(__xludf.DUMMYFUNCTION("iferror(MINUS(divide(GOOGLEFINANCE($B1468), INDEX(GOOGLEFINANCE($B1468,""price"",today()-182),2,2)),1),"""")"),0.18128654970760238)</f>
        <v>0.1812865497</v>
      </c>
      <c r="G1468" s="61">
        <f>IFERROR(__xludf.DUMMYFUNCTION("iferror(MINUS(divide(GOOGLEFINANCE($B1468), INDEX(GOOGLEFINANCE($B1468,""price"",today()-364),2,2)),1),"""")"),0.286624203821656)</f>
        <v>0.2866242038</v>
      </c>
    </row>
    <row r="1469">
      <c r="A1469" s="71">
        <f t="shared" si="4"/>
        <v>1465</v>
      </c>
      <c r="B1469" s="47" t="s">
        <v>1602</v>
      </c>
      <c r="C1469" s="72">
        <f>IFERROR(__xludf.DUMMYFUNCTION("iferror(divide(googlefinance($B1469,""marketcap""),1000000),"""")"),197.048308)</f>
        <v>197.048308</v>
      </c>
      <c r="D1469" s="72">
        <f>IFERROR(__xludf.DUMMYFUNCTION("iferror(divide(googlefinance($B1469,""shares""),1000),"""")"),42651.0)</f>
        <v>42651</v>
      </c>
      <c r="E1469" s="72">
        <f>IFERROR(__xludf.DUMMYFUNCTION("iferror(divide(googlefinance($B1469,""volumeavg""),1000),"""")"),2763.252)</f>
        <v>2763.252</v>
      </c>
      <c r="F1469" s="73">
        <f>IFERROR(__xludf.DUMMYFUNCTION("iferror(MINUS(divide(GOOGLEFINANCE($B1469), INDEX(GOOGLEFINANCE($B1469,""price"",today()-182),2,2)),1),"""")"),2.9827586206896557)</f>
        <v>2.982758621</v>
      </c>
      <c r="G1469" s="61">
        <f>IFERROR(__xludf.DUMMYFUNCTION("iferror(MINUS(divide(GOOGLEFINANCE($B1469), INDEX(GOOGLEFINANCE($B1469,""price"",today()-364),2,2)),1),"""")"),0.8333333333333333)</f>
        <v>0.8333333333</v>
      </c>
    </row>
    <row r="1470">
      <c r="A1470" s="71">
        <f t="shared" si="4"/>
        <v>1466</v>
      </c>
      <c r="B1470" s="47" t="s">
        <v>1603</v>
      </c>
      <c r="C1470" s="72">
        <f>IFERROR(__xludf.DUMMYFUNCTION("iferror(divide(googlefinance($B1470,""marketcap""),1000000),"""")"),474.407805)</f>
        <v>474.407805</v>
      </c>
      <c r="D1470" s="72">
        <f>IFERROR(__xludf.DUMMYFUNCTION("iferror(divide(googlefinance($B1470,""shares""),1000),"""")"),20431.0)</f>
        <v>20431</v>
      </c>
      <c r="E1470" s="72">
        <f>IFERROR(__xludf.DUMMYFUNCTION("iferror(divide(googlefinance($B1470,""volumeavg""),1000),"""")"),301.649)</f>
        <v>301.649</v>
      </c>
      <c r="F1470" s="73">
        <f>IFERROR(__xludf.DUMMYFUNCTION("iferror(MINUS(divide(GOOGLEFINANCE($B1470), INDEX(GOOGLEFINANCE($B1470,""price"",today()-182),2,2)),1),"""")"),0.9512605042016806)</f>
        <v>0.9512605042</v>
      </c>
      <c r="G1470" s="61">
        <f>IFERROR(__xludf.DUMMYFUNCTION("iferror(MINUS(divide(GOOGLEFINANCE($B1470), INDEX(GOOGLEFINANCE($B1470,""price"",today()-364),2,2)),1),"""")"),-0.6535362578334825)</f>
        <v>-0.6535362578</v>
      </c>
    </row>
    <row r="1471">
      <c r="A1471" s="71">
        <f t="shared" si="4"/>
        <v>1467</v>
      </c>
      <c r="B1471" s="47" t="s">
        <v>1604</v>
      </c>
      <c r="C1471" s="72">
        <f>IFERROR(__xludf.DUMMYFUNCTION("iferror(divide(googlefinance($B1471,""marketcap""),1000000),"""")"),3865.381037)</f>
        <v>3865.381037</v>
      </c>
      <c r="D1471" s="72">
        <f>IFERROR(__xludf.DUMMYFUNCTION("iferror(divide(googlefinance($B1471,""shares""),1000),"""")"),185035.0)</f>
        <v>185035</v>
      </c>
      <c r="E1471" s="72">
        <f>IFERROR(__xludf.DUMMYFUNCTION("iferror(divide(googlefinance($B1471,""volumeavg""),1000),"""")"),1090.359)</f>
        <v>1090.359</v>
      </c>
      <c r="F1471" s="73">
        <f>IFERROR(__xludf.DUMMYFUNCTION("iferror(MINUS(divide(GOOGLEFINANCE($B1471), INDEX(GOOGLEFINANCE($B1471,""price"",today()-182),2,2)),1),"""")"),0.9468779123951538)</f>
        <v>0.9468779124</v>
      </c>
      <c r="G1471" s="61">
        <f>IFERROR(__xludf.DUMMYFUNCTION("iferror(MINUS(divide(GOOGLEFINANCE($B1471), INDEX(GOOGLEFINANCE($B1471,""price"",today()-364),2,2)),1),"""")"),-0.05174761688606444)</f>
        <v>-0.05174761689</v>
      </c>
    </row>
    <row r="1472">
      <c r="A1472" s="71">
        <f t="shared" si="4"/>
        <v>1468</v>
      </c>
      <c r="B1472" s="47" t="s">
        <v>1605</v>
      </c>
      <c r="C1472" s="72">
        <f>IFERROR(__xludf.DUMMYFUNCTION("iferror(divide(googlefinance($B1472,""marketcap""),1000000),"""")"),871.431962)</f>
        <v>871.431962</v>
      </c>
      <c r="D1472" s="72">
        <f>IFERROR(__xludf.DUMMYFUNCTION("iferror(divide(googlefinance($B1472,""shares""),1000),"""")"),109202.0)</f>
        <v>109202</v>
      </c>
      <c r="E1472" s="72">
        <f>IFERROR(__xludf.DUMMYFUNCTION("iferror(divide(googlefinance($B1472,""volumeavg""),1000),"""")"),23365.714)</f>
        <v>23365.714</v>
      </c>
      <c r="F1472" s="73">
        <f>IFERROR(__xludf.DUMMYFUNCTION("iferror(MINUS(divide(GOOGLEFINANCE($B1472), INDEX(GOOGLEFINANCE($B1472,""price"",today()-182),2,2)),1),"""")"),3.4333333333333336)</f>
        <v>3.433333333</v>
      </c>
      <c r="G1472" s="61">
        <f>IFERROR(__xludf.DUMMYFUNCTION("iferror(MINUS(divide(GOOGLEFINANCE($B1472), INDEX(GOOGLEFINANCE($B1472,""price"",today()-364),2,2)),1),"""")"),13.25)</f>
        <v>13.25</v>
      </c>
    </row>
    <row r="1473">
      <c r="A1473" s="71">
        <f t="shared" si="4"/>
        <v>1469</v>
      </c>
      <c r="B1473" s="47" t="s">
        <v>1606</v>
      </c>
      <c r="C1473" s="72">
        <f>IFERROR(__xludf.DUMMYFUNCTION("iferror(divide(googlefinance($B1473,""marketcap""),1000000),"""")"),401.260329)</f>
        <v>401.260329</v>
      </c>
      <c r="D1473" s="72">
        <f>IFERROR(__xludf.DUMMYFUNCTION("iferror(divide(googlefinance($B1473,""shares""),1000),"""")"),37431.0)</f>
        <v>37431</v>
      </c>
      <c r="E1473" s="72">
        <f>IFERROR(__xludf.DUMMYFUNCTION("iferror(divide(googlefinance($B1473,""volumeavg""),1000),"""")"),223.44)</f>
        <v>223.44</v>
      </c>
      <c r="F1473" s="73">
        <f>IFERROR(__xludf.DUMMYFUNCTION("iferror(MINUS(divide(GOOGLEFINANCE($B1473), INDEX(GOOGLEFINANCE($B1473,""price"",today()-182),2,2)),1),"""")"),0.5536231884057972)</f>
        <v>0.5536231884</v>
      </c>
      <c r="G1473" s="61">
        <f>IFERROR(__xludf.DUMMYFUNCTION("iferror(MINUS(divide(GOOGLEFINANCE($B1473), INDEX(GOOGLEFINANCE($B1473,""price"",today()-364),2,2)),1),"""")"),-0.4083885209713024)</f>
        <v>-0.408388521</v>
      </c>
    </row>
    <row r="1474">
      <c r="A1474" s="71">
        <f t="shared" si="4"/>
        <v>1470</v>
      </c>
      <c r="B1474" s="47" t="s">
        <v>1607</v>
      </c>
      <c r="C1474" s="72">
        <f>IFERROR(__xludf.DUMMYFUNCTION("iferror(divide(googlefinance($B1474,""marketcap""),1000000),"""")"),32243.729346)</f>
        <v>32243.72935</v>
      </c>
      <c r="D1474" s="72">
        <f>IFERROR(__xludf.DUMMYFUNCTION("iferror(divide(googlefinance($B1474,""shares""),1000),"""")"),866534.0)</f>
        <v>866534</v>
      </c>
      <c r="E1474" s="72">
        <f>IFERROR(__xludf.DUMMYFUNCTION("iferror(divide(googlefinance($B1474,""volumeavg""),1000),"""")"),6615.336)</f>
        <v>6615.336</v>
      </c>
      <c r="F1474" s="73">
        <f>IFERROR(__xludf.DUMMYFUNCTION("iferror(MINUS(divide(GOOGLEFINANCE($B1474), INDEX(GOOGLEFINANCE($B1474,""price"",today()-182),2,2)),1),"""")"),-0.19840585954330037)</f>
        <v>-0.1984058595</v>
      </c>
      <c r="G1474" s="61">
        <f>IFERROR(__xludf.DUMMYFUNCTION("iferror(MINUS(divide(GOOGLEFINANCE($B1474), INDEX(GOOGLEFINANCE($B1474,""price"",today()-364),2,2)),1),"""")"),-0.32345454545454544)</f>
        <v>-0.3234545455</v>
      </c>
    </row>
    <row r="1475">
      <c r="A1475" s="71">
        <f t="shared" si="4"/>
        <v>1471</v>
      </c>
      <c r="B1475" s="47" t="s">
        <v>1608</v>
      </c>
      <c r="C1475" s="72">
        <f>IFERROR(__xludf.DUMMYFUNCTION("iferror(divide(googlefinance($B1475,""marketcap""),1000000),"""")"),2658.252433)</f>
        <v>2658.252433</v>
      </c>
      <c r="D1475" s="72">
        <f>IFERROR(__xludf.DUMMYFUNCTION("iferror(divide(googlefinance($B1475,""shares""),1000),"""")"),13665.0)</f>
        <v>13665</v>
      </c>
      <c r="E1475" s="72">
        <f>IFERROR(__xludf.DUMMYFUNCTION("iferror(divide(googlefinance($B1475,""volumeavg""),1000),"""")"),70.703)</f>
        <v>70.703</v>
      </c>
      <c r="F1475" s="73">
        <f>IFERROR(__xludf.DUMMYFUNCTION("iferror(MINUS(divide(GOOGLEFINANCE($B1475), INDEX(GOOGLEFINANCE($B1475,""price"",today()-182),2,2)),1),"""")"),-0.006080114449213192)</f>
        <v>-0.006080114449</v>
      </c>
      <c r="G1475" s="61">
        <f>IFERROR(__xludf.DUMMYFUNCTION("iferror(MINUS(divide(GOOGLEFINANCE($B1475), INDEX(GOOGLEFINANCE($B1475,""price"",today()-364),2,2)),1),"""")"),0.05545005696923666)</f>
        <v>0.05545005697</v>
      </c>
    </row>
    <row r="1476">
      <c r="A1476" s="71">
        <f t="shared" si="4"/>
        <v>1472</v>
      </c>
      <c r="B1476" s="47" t="s">
        <v>1609</v>
      </c>
      <c r="C1476" s="72">
        <f>IFERROR(__xludf.DUMMYFUNCTION("iferror(divide(googlefinance($B1476,""marketcap""),1000000),"""")"),24111.65127)</f>
        <v>24111.65127</v>
      </c>
      <c r="D1476" s="72">
        <f>IFERROR(__xludf.DUMMYFUNCTION("iferror(divide(googlefinance($B1476,""shares""),1000),"""")"),417301.0)</f>
        <v>417301</v>
      </c>
      <c r="E1476" s="72">
        <f>IFERROR(__xludf.DUMMYFUNCTION("iferror(divide(googlefinance($B1476,""volumeavg""),1000),"""")"),2656.692)</f>
        <v>2656.692</v>
      </c>
      <c r="F1476" s="73">
        <f>IFERROR(__xludf.DUMMYFUNCTION("iferror(MINUS(divide(GOOGLEFINANCE($B1476), INDEX(GOOGLEFINANCE($B1476,""price"",today()-182),2,2)),1),"""")"),0.36209335219236216)</f>
        <v>0.3620933522</v>
      </c>
      <c r="G1476" s="61">
        <f>IFERROR(__xludf.DUMMYFUNCTION("iferror(MINUS(divide(GOOGLEFINANCE($B1476), INDEX(GOOGLEFINANCE($B1476,""price"",today()-364),2,2)),1),"""")"),-0.34932432432432425)</f>
        <v>-0.3493243243</v>
      </c>
    </row>
    <row r="1477">
      <c r="A1477" s="71">
        <f t="shared" si="4"/>
        <v>1473</v>
      </c>
      <c r="B1477" s="47" t="s">
        <v>1610</v>
      </c>
      <c r="C1477" s="72">
        <f>IFERROR(__xludf.DUMMYFUNCTION("iferror(divide(googlefinance($B1477,""marketcap""),1000000),"""")"),4756.1325)</f>
        <v>4756.1325</v>
      </c>
      <c r="D1477" s="72">
        <f>IFERROR(__xludf.DUMMYFUNCTION("iferror(divide(googlefinance($B1477,""shares""),1000),"""")"),223818.0)</f>
        <v>223818</v>
      </c>
      <c r="E1477" s="72">
        <f>IFERROR(__xludf.DUMMYFUNCTION("iferror(divide(googlefinance($B1477,""volumeavg""),1000),"""")"),3640.372)</f>
        <v>3640.372</v>
      </c>
      <c r="F1477" s="73">
        <f>IFERROR(__xludf.DUMMYFUNCTION("iferror(MINUS(divide(GOOGLEFINANCE($B1477), INDEX(GOOGLEFINANCE($B1477,""price"",today()-182),2,2)),1),"""")"),0.9424131627056673)</f>
        <v>0.9424131627</v>
      </c>
      <c r="G1477" s="61">
        <f>IFERROR(__xludf.DUMMYFUNCTION("iferror(MINUS(divide(GOOGLEFINANCE($B1477), INDEX(GOOGLEFINANCE($B1477,""price"",today()-364),2,2)),1),"""")"),0.02360308285163759)</f>
        <v>0.02360308285</v>
      </c>
    </row>
    <row r="1478">
      <c r="A1478" s="71">
        <f t="shared" si="4"/>
        <v>1474</v>
      </c>
      <c r="B1478" s="47" t="s">
        <v>1611</v>
      </c>
      <c r="C1478" s="72">
        <f>IFERROR(__xludf.DUMMYFUNCTION("iferror(divide(googlefinance($B1478,""marketcap""),1000000),"""")"),3049.250683)</f>
        <v>3049.250683</v>
      </c>
      <c r="D1478" s="72">
        <f>IFERROR(__xludf.DUMMYFUNCTION("iferror(divide(googlefinance($B1478,""shares""),1000),"""")"),69097.0)</f>
        <v>69097</v>
      </c>
      <c r="E1478" s="72">
        <f>IFERROR(__xludf.DUMMYFUNCTION("iferror(divide(googlefinance($B1478,""volumeavg""),1000),"""")"),856.595)</f>
        <v>856.595</v>
      </c>
      <c r="F1478" s="73">
        <f>IFERROR(__xludf.DUMMYFUNCTION("iferror(MINUS(divide(GOOGLEFINANCE($B1478), INDEX(GOOGLEFINANCE($B1478,""price"",today()-182),2,2)),1),"""")"),0.3700714063955295)</f>
        <v>0.3700714064</v>
      </c>
      <c r="G1478" s="61">
        <f>IFERROR(__xludf.DUMMYFUNCTION("iferror(MINUS(divide(GOOGLEFINANCE($B1478), INDEX(GOOGLEFINANCE($B1478,""price"",today()-364),2,2)),1),"""")"),0.28434225844004657)</f>
        <v>0.2843422584</v>
      </c>
    </row>
    <row r="1479">
      <c r="A1479" s="71">
        <f t="shared" si="4"/>
        <v>1475</v>
      </c>
      <c r="B1479" s="47" t="s">
        <v>1612</v>
      </c>
      <c r="C1479" s="72">
        <f>IFERROR(__xludf.DUMMYFUNCTION("iferror(divide(googlefinance($B1479,""marketcap""),1000000),"""")"),172.905068)</f>
        <v>172.905068</v>
      </c>
      <c r="D1479" s="72">
        <f>IFERROR(__xludf.DUMMYFUNCTION("iferror(divide(googlefinance($B1479,""shares""),1000),"""")"),9813.0)</f>
        <v>9813</v>
      </c>
      <c r="E1479" s="72">
        <f>IFERROR(__xludf.DUMMYFUNCTION("iferror(divide(googlefinance($B1479,""volumeavg""),1000),"""")"),11.058)</f>
        <v>11.058</v>
      </c>
      <c r="F1479" s="73">
        <f>IFERROR(__xludf.DUMMYFUNCTION("iferror(MINUS(divide(GOOGLEFINANCE($B1479), INDEX(GOOGLEFINANCE($B1479,""price"",today()-182),2,2)),1),"""")"),0.036470588235294255)</f>
        <v>0.03647058824</v>
      </c>
      <c r="G1479" s="61">
        <f>IFERROR(__xludf.DUMMYFUNCTION("iferror(MINUS(divide(GOOGLEFINANCE($B1479), INDEX(GOOGLEFINANCE($B1479,""price"",today()-364),2,2)),1),"""")"),-0.2664446294754371)</f>
        <v>-0.2664446295</v>
      </c>
    </row>
    <row r="1480">
      <c r="A1480" s="71">
        <f t="shared" si="4"/>
        <v>1476</v>
      </c>
      <c r="B1480" s="47" t="s">
        <v>1613</v>
      </c>
      <c r="C1480" s="72">
        <f>IFERROR(__xludf.DUMMYFUNCTION("iferror(divide(googlefinance($B1480,""marketcap""),1000000),"""")"),1648.555018)</f>
        <v>1648.555018</v>
      </c>
      <c r="D1480" s="72">
        <f>IFERROR(__xludf.DUMMYFUNCTION("iferror(divide(googlefinance($B1480,""shares""),1000),"""")"),33699.0)</f>
        <v>33699</v>
      </c>
      <c r="E1480" s="72">
        <f>IFERROR(__xludf.DUMMYFUNCTION("iferror(divide(googlefinance($B1480,""volumeavg""),1000),"""")"),602.588)</f>
        <v>602.588</v>
      </c>
      <c r="F1480" s="73">
        <f>IFERROR(__xludf.DUMMYFUNCTION("iferror(MINUS(divide(GOOGLEFINANCE($B1480), INDEX(GOOGLEFINANCE($B1480,""price"",today()-182),2,2)),1),"""")"),1.1465555068012288)</f>
        <v>1.146555507</v>
      </c>
      <c r="G1480" s="61">
        <f>IFERROR(__xludf.DUMMYFUNCTION("iferror(MINUS(divide(GOOGLEFINANCE($B1480), INDEX(GOOGLEFINANCE($B1480,""price"",today()-364),2,2)),1),"""")"),0.2220834374219336)</f>
        <v>0.2220834374</v>
      </c>
    </row>
    <row r="1481">
      <c r="A1481" s="71">
        <f t="shared" si="4"/>
        <v>1477</v>
      </c>
      <c r="B1481" s="47" t="s">
        <v>1614</v>
      </c>
      <c r="C1481" s="72">
        <f>IFERROR(__xludf.DUMMYFUNCTION("iferror(divide(googlefinance($B1481,""marketcap""),1000000),"""")"),5021.378042)</f>
        <v>5021.378042</v>
      </c>
      <c r="D1481" s="72">
        <f>IFERROR(__xludf.DUMMYFUNCTION("iferror(divide(googlefinance($B1481,""shares""),1000),"""")"),93161.0)</f>
        <v>93161</v>
      </c>
      <c r="E1481" s="72">
        <f>IFERROR(__xludf.DUMMYFUNCTION("iferror(divide(googlefinance($B1481,""volumeavg""),1000),"""")"),745.082)</f>
        <v>745.082</v>
      </c>
      <c r="F1481" s="73">
        <f>IFERROR(__xludf.DUMMYFUNCTION("iferror(MINUS(divide(GOOGLEFINANCE($B1481), INDEX(GOOGLEFINANCE($B1481,""price"",today()-182),2,2)),1),"""")"),1.1104150352388409)</f>
        <v>1.110415035</v>
      </c>
      <c r="G1481" s="61">
        <f>IFERROR(__xludf.DUMMYFUNCTION("iferror(MINUS(divide(GOOGLEFINANCE($B1481), INDEX(GOOGLEFINANCE($B1481,""price"",today()-364),2,2)),1),"""")"),0.012777151446824453)</f>
        <v>0.01277715145</v>
      </c>
    </row>
    <row r="1482">
      <c r="A1482" s="71">
        <f t="shared" si="4"/>
        <v>1478</v>
      </c>
      <c r="B1482" s="47" t="s">
        <v>1615</v>
      </c>
      <c r="C1482" s="72">
        <f>IFERROR(__xludf.DUMMYFUNCTION("iferror(divide(googlefinance($B1482,""marketcap""),1000000),"""")"),11009.841902)</f>
        <v>11009.8419</v>
      </c>
      <c r="D1482" s="72">
        <f>IFERROR(__xludf.DUMMYFUNCTION("iferror(divide(googlefinance($B1482,""shares""),1000),"""")"),62294.0)</f>
        <v>62294</v>
      </c>
      <c r="E1482" s="72">
        <f>IFERROR(__xludf.DUMMYFUNCTION("iferror(divide(googlefinance($B1482,""volumeavg""),1000),"""")"),580.288)</f>
        <v>580.288</v>
      </c>
      <c r="F1482" s="73">
        <f>IFERROR(__xludf.DUMMYFUNCTION("iferror(MINUS(divide(GOOGLEFINANCE($B1482), INDEX(GOOGLEFINANCE($B1482,""price"",today()-182),2,2)),1),"""")"),1.3739422431161854)</f>
        <v>1.373942243</v>
      </c>
      <c r="G1482" s="61">
        <f>IFERROR(__xludf.DUMMYFUNCTION("iferror(MINUS(divide(GOOGLEFINANCE($B1482), INDEX(GOOGLEFINANCE($B1482,""price"",today()-364),2,2)),1),"""")"),0.1894474729120399)</f>
        <v>0.1894474729</v>
      </c>
    </row>
    <row r="1483">
      <c r="A1483" s="71">
        <f t="shared" si="4"/>
        <v>1479</v>
      </c>
      <c r="B1483" s="47" t="s">
        <v>1616</v>
      </c>
      <c r="C1483" s="72">
        <f>IFERROR(__xludf.DUMMYFUNCTION("iferror(divide(googlefinance($B1483,""marketcap""),1000000),"""")"),271.793205)</f>
        <v>271.793205</v>
      </c>
      <c r="D1483" s="72">
        <f>IFERROR(__xludf.DUMMYFUNCTION("iferror(divide(googlefinance($B1483,""shares""),1000),"""")"),13867.0)</f>
        <v>13867</v>
      </c>
      <c r="E1483" s="72">
        <f>IFERROR(__xludf.DUMMYFUNCTION("iferror(divide(googlefinance($B1483,""volumeavg""),1000),"""")"),4.916)</f>
        <v>4.916</v>
      </c>
      <c r="F1483" s="73">
        <f>IFERROR(__xludf.DUMMYFUNCTION("iferror(MINUS(divide(GOOGLEFINANCE($B1483), INDEX(GOOGLEFINANCE($B1483,""price"",today()-182),2,2)),1),"""")"),0.9348469891411648)</f>
        <v>0.9348469891</v>
      </c>
      <c r="G1483" s="61">
        <f>IFERROR(__xludf.DUMMYFUNCTION("iferror(MINUS(divide(GOOGLEFINANCE($B1483), INDEX(GOOGLEFINANCE($B1483,""price"",today()-364),2,2)),1),"""")"),0.8578199052132702)</f>
        <v>0.8578199052</v>
      </c>
    </row>
    <row r="1484">
      <c r="A1484" s="71">
        <f t="shared" si="4"/>
        <v>1480</v>
      </c>
      <c r="B1484" s="47" t="s">
        <v>1617</v>
      </c>
      <c r="C1484" s="72">
        <f>IFERROR(__xludf.DUMMYFUNCTION("iferror(divide(googlefinance($B1484,""marketcap""),1000000),"""")"),607.369464)</f>
        <v>607.369464</v>
      </c>
      <c r="D1484" s="72">
        <f>IFERROR(__xludf.DUMMYFUNCTION("iferror(divide(googlefinance($B1484,""shares""),1000),"""")"),3731.0)</f>
        <v>3731</v>
      </c>
      <c r="E1484" s="72">
        <f>IFERROR(__xludf.DUMMYFUNCTION("iferror(divide(googlefinance($B1484,""volumeavg""),1000),"""")"),12.814)</f>
        <v>12.814</v>
      </c>
      <c r="F1484" s="73">
        <f>IFERROR(__xludf.DUMMYFUNCTION("iferror(MINUS(divide(GOOGLEFINANCE($B1484), INDEX(GOOGLEFINANCE($B1484,""price"",today()-182),2,2)),1),"""")"),0.2604723190089042)</f>
        <v>0.260472319</v>
      </c>
      <c r="G1484" s="61">
        <f>IFERROR(__xludf.DUMMYFUNCTION("iferror(MINUS(divide(GOOGLEFINANCE($B1484), INDEX(GOOGLEFINANCE($B1484,""price"",today()-364),2,2)),1),"""")"),-0.05189283634245778)</f>
        <v>-0.05189283634</v>
      </c>
    </row>
    <row r="1485">
      <c r="A1485" s="71">
        <f t="shared" si="4"/>
        <v>1481</v>
      </c>
      <c r="B1485" s="47" t="s">
        <v>1618</v>
      </c>
      <c r="C1485" s="72">
        <f>IFERROR(__xludf.DUMMYFUNCTION("iferror(divide(googlefinance($B1485,""marketcap""),1000000),"""")"),3954.42658)</f>
        <v>3954.42658</v>
      </c>
      <c r="D1485" s="72">
        <f>IFERROR(__xludf.DUMMYFUNCTION("iferror(divide(googlefinance($B1485,""shares""),1000),"""")"),29599.0)</f>
        <v>29599</v>
      </c>
      <c r="E1485" s="72">
        <f>IFERROR(__xludf.DUMMYFUNCTION("iferror(divide(googlefinance($B1485,""volumeavg""),1000),"""")"),515.25)</f>
        <v>515.25</v>
      </c>
      <c r="F1485" s="73">
        <f>IFERROR(__xludf.DUMMYFUNCTION("iferror(MINUS(divide(GOOGLEFINANCE($B1485), INDEX(GOOGLEFINANCE($B1485,""price"",today()-182),2,2)),1),"""")"),1.3654390934844192)</f>
        <v>1.365439093</v>
      </c>
      <c r="G1485" s="61">
        <f>IFERROR(__xludf.DUMMYFUNCTION("iferror(MINUS(divide(GOOGLEFINANCE($B1485), INDEX(GOOGLEFINANCE($B1485,""price"",today()-364),2,2)),1),"""")"),0.5263338284016907)</f>
        <v>0.5263338284</v>
      </c>
    </row>
    <row r="1486">
      <c r="A1486" s="71">
        <f t="shared" si="4"/>
        <v>1482</v>
      </c>
      <c r="B1486" s="47" t="s">
        <v>1619</v>
      </c>
      <c r="C1486" s="72">
        <f>IFERROR(__xludf.DUMMYFUNCTION("iferror(divide(googlefinance($B1486,""marketcap""),1000000),"""")"),332.056325)</f>
        <v>332.056325</v>
      </c>
      <c r="D1486" s="72">
        <f>IFERROR(__xludf.DUMMYFUNCTION("iferror(divide(googlefinance($B1486,""shares""),1000),"""")"),12066.0)</f>
        <v>12066</v>
      </c>
      <c r="E1486" s="72">
        <f>IFERROR(__xludf.DUMMYFUNCTION("iferror(divide(googlefinance($B1486,""volumeavg""),1000),"""")"),37.176)</f>
        <v>37.176</v>
      </c>
      <c r="F1486" s="73">
        <f>IFERROR(__xludf.DUMMYFUNCTION("iferror(MINUS(divide(GOOGLEFINANCE($B1486), INDEX(GOOGLEFINANCE($B1486,""price"",today()-182),2,2)),1),"""")"),0.4669509594882728)</f>
        <v>0.4669509595</v>
      </c>
      <c r="G1486" s="61">
        <f>IFERROR(__xludf.DUMMYFUNCTION("iferror(MINUS(divide(GOOGLEFINANCE($B1486), INDEX(GOOGLEFINANCE($B1486,""price"",today()-364),2,2)),1),"""")"),-0.2916344916344916)</f>
        <v>-0.2916344916</v>
      </c>
    </row>
    <row r="1487">
      <c r="A1487" s="71">
        <f t="shared" si="4"/>
        <v>1483</v>
      </c>
      <c r="B1487" s="47" t="s">
        <v>1620</v>
      </c>
      <c r="C1487" s="72">
        <f>IFERROR(__xludf.DUMMYFUNCTION("iferror(divide(googlefinance($B1487,""marketcap""),1000000),"""")"),8745.350847)</f>
        <v>8745.350847</v>
      </c>
      <c r="D1487" s="72">
        <f>IFERROR(__xludf.DUMMYFUNCTION("iferror(divide(googlefinance($B1487,""shares""),1000),"""")"),127688.0)</f>
        <v>127688</v>
      </c>
      <c r="E1487" s="72">
        <f>IFERROR(__xludf.DUMMYFUNCTION("iferror(divide(googlefinance($B1487,""volumeavg""),1000),"""")"),447.027)</f>
        <v>447.027</v>
      </c>
      <c r="F1487" s="73">
        <f>IFERROR(__xludf.DUMMYFUNCTION("iferror(MINUS(divide(GOOGLEFINANCE($B1487), INDEX(GOOGLEFINANCE($B1487,""price"",today()-182),2,2)),1),"""")"),1.0263313609467457)</f>
        <v>1.026331361</v>
      </c>
      <c r="G1487" s="61">
        <f>IFERROR(__xludf.DUMMYFUNCTION("iferror(MINUS(divide(GOOGLEFINANCE($B1487), INDEX(GOOGLEFINANCE($B1487,""price"",today()-364),2,2)),1),"""")"),0.05207373271889404)</f>
        <v>0.05207373272</v>
      </c>
    </row>
    <row r="1488">
      <c r="A1488" s="71">
        <f t="shared" si="4"/>
        <v>1484</v>
      </c>
      <c r="B1488" s="47" t="s">
        <v>1621</v>
      </c>
      <c r="C1488" s="72">
        <f>IFERROR(__xludf.DUMMYFUNCTION("iferror(divide(googlefinance($B1488,""marketcap""),1000000),"""")"),735.917826)</f>
        <v>735.917826</v>
      </c>
      <c r="D1488" s="72">
        <f>IFERROR(__xludf.DUMMYFUNCTION("iferror(divide(googlefinance($B1488,""shares""),1000),"""")"),35195.0)</f>
        <v>35195</v>
      </c>
      <c r="E1488" s="72">
        <f>IFERROR(__xludf.DUMMYFUNCTION("iferror(divide(googlefinance($B1488,""volumeavg""),1000),"""")"),46.58)</f>
        <v>46.58</v>
      </c>
      <c r="F1488" s="73">
        <f>IFERROR(__xludf.DUMMYFUNCTION("iferror(MINUS(divide(GOOGLEFINANCE($B1488), INDEX(GOOGLEFINANCE($B1488,""price"",today()-182),2,2)),1),"""")"),0.554646840148699)</f>
        <v>0.5546468401</v>
      </c>
      <c r="G1488" s="61">
        <f>IFERROR(__xludf.DUMMYFUNCTION("iferror(MINUS(divide(GOOGLEFINANCE($B1488), INDEX(GOOGLEFINANCE($B1488,""price"",today()-364),2,2)),1),"""")"),-0.06526598122485472)</f>
        <v>-0.06526598122</v>
      </c>
    </row>
    <row r="1489">
      <c r="A1489" s="71">
        <f t="shared" si="4"/>
        <v>1485</v>
      </c>
      <c r="B1489" s="47" t="s">
        <v>1622</v>
      </c>
      <c r="C1489" s="72">
        <f>IFERROR(__xludf.DUMMYFUNCTION("iferror(divide(googlefinance($B1489,""marketcap""),1000000),"""")"),1266.088851)</f>
        <v>1266.088851</v>
      </c>
      <c r="D1489" s="72">
        <f>IFERROR(__xludf.DUMMYFUNCTION("iferror(divide(googlefinance($B1489,""shares""),1000),"""")"),26898.0)</f>
        <v>26898</v>
      </c>
      <c r="E1489" s="72">
        <f>IFERROR(__xludf.DUMMYFUNCTION("iferror(divide(googlefinance($B1489,""volumeavg""),1000),"""")"),78.15)</f>
        <v>78.15</v>
      </c>
      <c r="F1489" s="73">
        <f>IFERROR(__xludf.DUMMYFUNCTION("iferror(MINUS(divide(GOOGLEFINANCE($B1489), INDEX(GOOGLEFINANCE($B1489,""price"",today()-182),2,2)),1),"""")"),0.2296238244514106)</f>
        <v>0.2296238245</v>
      </c>
      <c r="G1489" s="61">
        <f>IFERROR(__xludf.DUMMYFUNCTION("iferror(MINUS(divide(GOOGLEFINANCE($B1489), INDEX(GOOGLEFINANCE($B1489,""price"",today()-364),2,2)),1),"""")"),0.22069502074688785)</f>
        <v>0.2206950207</v>
      </c>
    </row>
    <row r="1490">
      <c r="A1490" s="71">
        <f t="shared" si="4"/>
        <v>1486</v>
      </c>
      <c r="B1490" s="47" t="s">
        <v>1623</v>
      </c>
      <c r="C1490" s="72">
        <f>IFERROR(__xludf.DUMMYFUNCTION("iferror(divide(googlefinance($B1490,""marketcap""),1000000),"""")"),387345.704488)</f>
        <v>387345.7045</v>
      </c>
      <c r="D1490" s="72">
        <f>IFERROR(__xludf.DUMMYFUNCTION("iferror(divide(googlefinance($B1490,""shares""),1000),"""")"),2833753.0)</f>
        <v>2833753</v>
      </c>
      <c r="E1490" s="72">
        <f>IFERROR(__xludf.DUMMYFUNCTION("iferror(divide(googlefinance($B1490,""volumeavg""),1000),"""")"),12577.056)</f>
        <v>12577.056</v>
      </c>
      <c r="F1490" s="73">
        <f>IFERROR(__xludf.DUMMYFUNCTION("iferror(MINUS(divide(GOOGLEFINANCE($B1490), INDEX(GOOGLEFINANCE($B1490,""price"",today()-182),2,2)),1),"""")"),0.1993507063262261)</f>
        <v>0.1993507063</v>
      </c>
      <c r="G1490" s="61">
        <f>IFERROR(__xludf.DUMMYFUNCTION("iferror(MINUS(divide(GOOGLEFINANCE($B1490), INDEX(GOOGLEFINANCE($B1490,""price"",today()-364),2,2)),1),"""")"),0.16849034022909892)</f>
        <v>0.1684903402</v>
      </c>
    </row>
    <row r="1491">
      <c r="A1491" s="71">
        <f t="shared" si="4"/>
        <v>1487</v>
      </c>
      <c r="B1491" s="47" t="s">
        <v>1624</v>
      </c>
      <c r="C1491" s="72">
        <f>IFERROR(__xludf.DUMMYFUNCTION("iferror(divide(googlefinance($B1491,""marketcap""),1000000),"""")"),2164.876361)</f>
        <v>2164.876361</v>
      </c>
      <c r="D1491" s="72">
        <f>IFERROR(__xludf.DUMMYFUNCTION("iferror(divide(googlefinance($B1491,""shares""),1000),"""")"),54641.0)</f>
        <v>54641</v>
      </c>
      <c r="E1491" s="72">
        <f>IFERROR(__xludf.DUMMYFUNCTION("iferror(divide(googlefinance($B1491,""volumeavg""),1000),"""")"),230.28)</f>
        <v>230.28</v>
      </c>
      <c r="F1491" s="73">
        <f>IFERROR(__xludf.DUMMYFUNCTION("iferror(MINUS(divide(GOOGLEFINANCE($B1491), INDEX(GOOGLEFINANCE($B1491,""price"",today()-182),2,2)),1),"""")"),0.8777251184834121)</f>
        <v>0.8777251185</v>
      </c>
      <c r="G1491" s="61">
        <f>IFERROR(__xludf.DUMMYFUNCTION("iferror(MINUS(divide(GOOGLEFINANCE($B1491), INDEX(GOOGLEFINANCE($B1491,""price"",today()-364),2,2)),1),"""")"),0.055688782307487195)</f>
        <v>0.05568878231</v>
      </c>
    </row>
    <row r="1492">
      <c r="A1492" s="71">
        <f t="shared" si="4"/>
        <v>1488</v>
      </c>
      <c r="B1492" s="47" t="s">
        <v>1625</v>
      </c>
      <c r="C1492" s="72">
        <f>IFERROR(__xludf.DUMMYFUNCTION("iferror(divide(googlefinance($B1492,""marketcap""),1000000),"""")"),23574.34898)</f>
        <v>23574.34898</v>
      </c>
      <c r="D1492" s="72">
        <f>IFERROR(__xludf.DUMMYFUNCTION("iferror(divide(googlefinance($B1492,""shares""),1000),"""")"),448352.0)</f>
        <v>448352</v>
      </c>
      <c r="E1492" s="72">
        <f>IFERROR(__xludf.DUMMYFUNCTION("iferror(divide(googlefinance($B1492,""volumeavg""),1000),"""")"),1937.767)</f>
        <v>1937.767</v>
      </c>
      <c r="F1492" s="73">
        <f>IFERROR(__xludf.DUMMYFUNCTION("iferror(MINUS(divide(GOOGLEFINANCE($B1492), INDEX(GOOGLEFINANCE($B1492,""price"",today()-182),2,2)),1),"""")"),1.1781275890637946)</f>
        <v>1.178127589</v>
      </c>
      <c r="G1492" s="61">
        <f>IFERROR(__xludf.DUMMYFUNCTION("iferror(MINUS(divide(GOOGLEFINANCE($B1492), INDEX(GOOGLEFINANCE($B1492,""price"",today()-364),2,2)),1),"""")"),0.9189781021897812)</f>
        <v>0.9189781022</v>
      </c>
    </row>
    <row r="1493">
      <c r="A1493" s="71">
        <f t="shared" si="4"/>
        <v>1489</v>
      </c>
      <c r="B1493" s="47" t="s">
        <v>1626</v>
      </c>
      <c r="C1493" s="72">
        <f>IFERROR(__xludf.DUMMYFUNCTION("iferror(divide(googlefinance($B1493,""marketcap""),1000000),"""")"),6972.436213)</f>
        <v>6972.436213</v>
      </c>
      <c r="D1493" s="72">
        <f>IFERROR(__xludf.DUMMYFUNCTION("iferror(divide(googlefinance($B1493,""shares""),1000),"""")"),77800.0)</f>
        <v>77800</v>
      </c>
      <c r="E1493" s="72">
        <f>IFERROR(__xludf.DUMMYFUNCTION("iferror(divide(googlefinance($B1493,""volumeavg""),1000),"""")"),1296.648)</f>
        <v>1296.648</v>
      </c>
      <c r="F1493" s="73">
        <f>IFERROR(__xludf.DUMMYFUNCTION("iferror(MINUS(divide(GOOGLEFINANCE($B1493), INDEX(GOOGLEFINANCE($B1493,""price"",today()-182),2,2)),1),"""")"),1.464118779213638)</f>
        <v>1.464118779</v>
      </c>
      <c r="G1493" s="61">
        <f>IFERROR(__xludf.DUMMYFUNCTION("iferror(MINUS(divide(GOOGLEFINANCE($B1493), INDEX(GOOGLEFINANCE($B1493,""price"",today()-364),2,2)),1),"""")"),0.3764398709875596)</f>
        <v>0.376439871</v>
      </c>
    </row>
    <row r="1494">
      <c r="A1494" s="71">
        <f t="shared" si="4"/>
        <v>1490</v>
      </c>
      <c r="B1494" s="47" t="s">
        <v>1627</v>
      </c>
      <c r="C1494" s="72">
        <f>IFERROR(__xludf.DUMMYFUNCTION("iferror(divide(googlefinance($B1494,""marketcap""),1000000),"""")"),9102.131446)</f>
        <v>9102.131446</v>
      </c>
      <c r="D1494" s="72">
        <f>IFERROR(__xludf.DUMMYFUNCTION("iferror(divide(googlefinance($B1494,""shares""),1000),"""")"),32823.0)</f>
        <v>32823</v>
      </c>
      <c r="E1494" s="72">
        <f>IFERROR(__xludf.DUMMYFUNCTION("iferror(divide(googlefinance($B1494,""volumeavg""),1000),"""")"),193.603)</f>
        <v>193.603</v>
      </c>
      <c r="F1494" s="73">
        <f>IFERROR(__xludf.DUMMYFUNCTION("iferror(MINUS(divide(GOOGLEFINANCE($B1494), INDEX(GOOGLEFINANCE($B1494,""price"",today()-182),2,2)),1),"""")"),0.6280282753414315)</f>
        <v>0.6280282753</v>
      </c>
      <c r="G1494" s="61">
        <f>IFERROR(__xludf.DUMMYFUNCTION("iferror(MINUS(divide(GOOGLEFINANCE($B1494), INDEX(GOOGLEFINANCE($B1494,""price"",today()-364),2,2)),1),"""")"),0.4424176091450809)</f>
        <v>0.4424176091</v>
      </c>
    </row>
    <row r="1495">
      <c r="A1495" s="71">
        <f t="shared" si="4"/>
        <v>1491</v>
      </c>
      <c r="B1495" s="47" t="s">
        <v>1628</v>
      </c>
      <c r="C1495" s="72">
        <f>IFERROR(__xludf.DUMMYFUNCTION("iferror(divide(googlefinance($B1495,""marketcap""),1000000),"""")"),701.149934)</f>
        <v>701.149934</v>
      </c>
      <c r="D1495" s="72">
        <f>IFERROR(__xludf.DUMMYFUNCTION("iferror(divide(googlefinance($B1495,""shares""),1000),"""")"),36729.0)</f>
        <v>36729</v>
      </c>
      <c r="E1495" s="72">
        <f>IFERROR(__xludf.DUMMYFUNCTION("iferror(divide(googlefinance($B1495,""volumeavg""),1000),"""")"),919.162)</f>
        <v>919.162</v>
      </c>
      <c r="F1495" s="73">
        <f>IFERROR(__xludf.DUMMYFUNCTION("iferror(MINUS(divide(GOOGLEFINANCE($B1495), INDEX(GOOGLEFINANCE($B1495,""price"",today()-182),2,2)),1),"""")"),0.6069023569023568)</f>
        <v>0.6069023569</v>
      </c>
      <c r="G1495" s="61">
        <f>IFERROR(__xludf.DUMMYFUNCTION("iferror(MINUS(divide(GOOGLEFINANCE($B1495), INDEX(GOOGLEFINANCE($B1495,""price"",today()-364),2,2)),1),"""")"),-0.2314814814814815)</f>
        <v>-0.2314814815</v>
      </c>
    </row>
    <row r="1496">
      <c r="A1496" s="71">
        <f t="shared" si="4"/>
        <v>1492</v>
      </c>
      <c r="B1496" s="47" t="s">
        <v>1629</v>
      </c>
      <c r="C1496" s="72">
        <f>IFERROR(__xludf.DUMMYFUNCTION("iferror(divide(googlefinance($B1496,""marketcap""),1000000),"""")"),5321.35539)</f>
        <v>5321.35539</v>
      </c>
      <c r="D1496" s="72">
        <f>IFERROR(__xludf.DUMMYFUNCTION("iferror(divide(googlefinance($B1496,""shares""),1000),"""")"),62384.0)</f>
        <v>62384</v>
      </c>
      <c r="E1496" s="72">
        <f>IFERROR(__xludf.DUMMYFUNCTION("iferror(divide(googlefinance($B1496,""volumeavg""),1000),"""")"),283.556)</f>
        <v>283.556</v>
      </c>
      <c r="F1496" s="73">
        <f>IFERROR(__xludf.DUMMYFUNCTION("iferror(MINUS(divide(GOOGLEFINANCE($B1496), INDEX(GOOGLEFINANCE($B1496,""price"",today()-182),2,2)),1),"""")"),0.6039864610755923)</f>
        <v>0.6039864611</v>
      </c>
      <c r="G1496" s="61">
        <f>IFERROR(__xludf.DUMMYFUNCTION("iferror(MINUS(divide(GOOGLEFINANCE($B1496), INDEX(GOOGLEFINANCE($B1496,""price"",today()-364),2,2)),1),"""")"),-0.20908669448307837)</f>
        <v>-0.2090866945</v>
      </c>
    </row>
    <row r="1497">
      <c r="A1497" s="71">
        <f t="shared" si="4"/>
        <v>1493</v>
      </c>
      <c r="B1497" s="47" t="s">
        <v>1630</v>
      </c>
      <c r="C1497" s="72">
        <f>IFERROR(__xludf.DUMMYFUNCTION("iferror(divide(googlefinance($B1497,""marketcap""),1000000),"""")"),3168.265288)</f>
        <v>3168.265288</v>
      </c>
      <c r="D1497" s="72">
        <f>IFERROR(__xludf.DUMMYFUNCTION("iferror(divide(googlefinance($B1497,""shares""),1000),"""")"),46688.0)</f>
        <v>46688</v>
      </c>
      <c r="E1497" s="72">
        <f>IFERROR(__xludf.DUMMYFUNCTION("iferror(divide(googlefinance($B1497,""volumeavg""),1000),"""")"),490.121)</f>
        <v>490.121</v>
      </c>
      <c r="F1497" s="73">
        <f>IFERROR(__xludf.DUMMYFUNCTION("iferror(MINUS(divide(GOOGLEFINANCE($B1497), INDEX(GOOGLEFINANCE($B1497,""price"",today()-182),2,2)),1),"""")"),0.11589041095890407)</f>
        <v>0.115890411</v>
      </c>
      <c r="G1497" s="61">
        <f>IFERROR(__xludf.DUMMYFUNCTION("iferror(MINUS(divide(GOOGLEFINANCE($B1497), INDEX(GOOGLEFINANCE($B1497,""price"",today()-364),2,2)),1),"""")"),-0.4469789545145961)</f>
        <v>-0.4469789545</v>
      </c>
    </row>
    <row r="1498">
      <c r="A1498" s="71">
        <f t="shared" si="4"/>
        <v>1494</v>
      </c>
      <c r="B1498" s="47" t="s">
        <v>1631</v>
      </c>
      <c r="C1498" s="72">
        <f>IFERROR(__xludf.DUMMYFUNCTION("iferror(divide(googlefinance($B1498,""marketcap""),1000000),"""")"),14.50225)</f>
        <v>14.50225</v>
      </c>
      <c r="D1498" s="72">
        <f>IFERROR(__xludf.DUMMYFUNCTION("iferror(divide(googlefinance($B1498,""shares""),1000),"""")"),8287.0)</f>
        <v>8287</v>
      </c>
      <c r="E1498" s="72">
        <f>IFERROR(__xludf.DUMMYFUNCTION("iferror(divide(googlefinance($B1498,""volumeavg""),1000),"""")"),1420.164)</f>
        <v>1420.164</v>
      </c>
      <c r="F1498" s="73">
        <f>IFERROR(__xludf.DUMMYFUNCTION("iferror(MINUS(divide(GOOGLEFINANCE($B1498), INDEX(GOOGLEFINANCE($B1498,""price"",today()-182),2,2)),1),"""")"),0.7326732673267327)</f>
        <v>0.7326732673</v>
      </c>
      <c r="G1498" s="61">
        <f>IFERROR(__xludf.DUMMYFUNCTION("iferror(MINUS(divide(GOOGLEFINANCE($B1498), INDEX(GOOGLEFINANCE($B1498,""price"",today()-364),2,2)),1),"""")"),-0.4807121661721069)</f>
        <v>-0.4807121662</v>
      </c>
    </row>
    <row r="1499">
      <c r="A1499" s="71">
        <f t="shared" si="4"/>
        <v>1495</v>
      </c>
      <c r="B1499" s="47" t="s">
        <v>1632</v>
      </c>
      <c r="C1499" s="72">
        <f>IFERROR(__xludf.DUMMYFUNCTION("iferror(divide(googlefinance($B1499,""marketcap""),1000000),"""")"),2126.345633)</f>
        <v>2126.345633</v>
      </c>
      <c r="D1499" s="72">
        <f>IFERROR(__xludf.DUMMYFUNCTION("iferror(divide(googlefinance($B1499,""shares""),1000),"""")"),81877.0)</f>
        <v>81877</v>
      </c>
      <c r="E1499" s="72">
        <f>IFERROR(__xludf.DUMMYFUNCTION("iferror(divide(googlefinance($B1499,""volumeavg""),1000),"""")"),467.108)</f>
        <v>467.108</v>
      </c>
      <c r="F1499" s="73">
        <f>IFERROR(__xludf.DUMMYFUNCTION("iferror(MINUS(divide(GOOGLEFINANCE($B1499), INDEX(GOOGLEFINANCE($B1499,""price"",today()-182),2,2)),1),"""")"),0.739450770261219)</f>
        <v>0.7394507703</v>
      </c>
      <c r="G1499" s="61">
        <f>IFERROR(__xludf.DUMMYFUNCTION("iferror(MINUS(divide(GOOGLEFINANCE($B1499), INDEX(GOOGLEFINANCE($B1499,""price"",today()-364),2,2)),1),"""")"),-0.07017543859649122)</f>
        <v>-0.0701754386</v>
      </c>
    </row>
    <row r="1500">
      <c r="A1500" s="71">
        <f t="shared" si="4"/>
        <v>1496</v>
      </c>
      <c r="B1500" s="47" t="s">
        <v>1633</v>
      </c>
      <c r="C1500" s="72">
        <f>IFERROR(__xludf.DUMMYFUNCTION("iferror(divide(googlefinance($B1500,""marketcap""),1000000),"""")"),65.824911)</f>
        <v>65.824911</v>
      </c>
      <c r="D1500" s="72">
        <f>IFERROR(__xludf.DUMMYFUNCTION("iferror(divide(googlefinance($B1500,""shares""),1000),"""")"),20007.572)</f>
        <v>20007.572</v>
      </c>
      <c r="E1500" s="72">
        <f>IFERROR(__xludf.DUMMYFUNCTION("iferror(divide(googlefinance($B1500,""volumeavg""),1000),"""")"),31.851)</f>
        <v>31.851</v>
      </c>
      <c r="F1500" s="73">
        <f>IFERROR(__xludf.DUMMYFUNCTION("iferror(MINUS(divide(GOOGLEFINANCE($B1500), INDEX(GOOGLEFINANCE($B1500,""price"",today()-182),2,2)),1),"""")"),0.5302325581395348)</f>
        <v>0.5302325581</v>
      </c>
      <c r="G1500" s="61">
        <f>IFERROR(__xludf.DUMMYFUNCTION("iferror(MINUS(divide(GOOGLEFINANCE($B1500), INDEX(GOOGLEFINANCE($B1500,""price"",today()-364),2,2)),1),"""")"),0.17500000000000004)</f>
        <v>0.175</v>
      </c>
    </row>
    <row r="1501">
      <c r="A1501" s="71">
        <f t="shared" si="4"/>
        <v>1497</v>
      </c>
      <c r="B1501" s="47" t="s">
        <v>1634</v>
      </c>
      <c r="C1501" s="72">
        <f>IFERROR(__xludf.DUMMYFUNCTION("iferror(divide(googlefinance($B1501,""marketcap""),1000000),"""")"),8552.346729)</f>
        <v>8552.346729</v>
      </c>
      <c r="D1501" s="72">
        <f>IFERROR(__xludf.DUMMYFUNCTION("iferror(divide(googlefinance($B1501,""shares""),1000),"""")"),107848.0)</f>
        <v>107848</v>
      </c>
      <c r="E1501" s="72">
        <f>IFERROR(__xludf.DUMMYFUNCTION("iferror(divide(googlefinance($B1501,""volumeavg""),1000),"""")"),4238.436)</f>
        <v>4238.436</v>
      </c>
      <c r="F1501" s="73">
        <f>IFERROR(__xludf.DUMMYFUNCTION("iferror(MINUS(divide(GOOGLEFINANCE($B1501), INDEX(GOOGLEFINANCE($B1501,""price"",today()-182),2,2)),1),"""")"),0.5258803155666731)</f>
        <v>0.5258803156</v>
      </c>
      <c r="G1501" s="61">
        <f>IFERROR(__xludf.DUMMYFUNCTION("iferror(MINUS(divide(GOOGLEFINANCE($B1501), INDEX(GOOGLEFINANCE($B1501,""price"",today()-364),2,2)),1),"""")"),-0.2708045977011494)</f>
        <v>-0.2708045977</v>
      </c>
    </row>
    <row r="1502">
      <c r="A1502" s="71">
        <f t="shared" si="4"/>
        <v>1498</v>
      </c>
      <c r="B1502" s="47" t="s">
        <v>1635</v>
      </c>
      <c r="C1502" s="72">
        <f>IFERROR(__xludf.DUMMYFUNCTION("iferror(divide(googlefinance($B1502,""marketcap""),1000000),"""")"),1853.569853)</f>
        <v>1853.569853</v>
      </c>
      <c r="D1502" s="72">
        <f>IFERROR(__xludf.DUMMYFUNCTION("iferror(divide(googlefinance($B1502,""shares""),1000),"""")"),220376.0)</f>
        <v>220376</v>
      </c>
      <c r="E1502" s="72">
        <f>IFERROR(__xludf.DUMMYFUNCTION("iferror(divide(googlefinance($B1502,""volumeavg""),1000),"""")"),8088.126)</f>
        <v>8088.126</v>
      </c>
      <c r="F1502" s="73">
        <f>IFERROR(__xludf.DUMMYFUNCTION("iferror(MINUS(divide(GOOGLEFINANCE($B1502), INDEX(GOOGLEFINANCE($B1502,""price"",today()-182),2,2)),1),"""")"),0.5897920604914935)</f>
        <v>0.5897920605</v>
      </c>
      <c r="G1502" s="61">
        <f>IFERROR(__xludf.DUMMYFUNCTION("iferror(MINUS(divide(GOOGLEFINANCE($B1502), INDEX(GOOGLEFINANCE($B1502,""price"",today()-364),2,2)),1),"""")"),-0.22201665124884373)</f>
        <v>-0.2220166512</v>
      </c>
    </row>
    <row r="1503">
      <c r="A1503" s="71">
        <f t="shared" si="4"/>
        <v>1499</v>
      </c>
      <c r="B1503" s="47" t="s">
        <v>1636</v>
      </c>
      <c r="C1503" s="72">
        <f>IFERROR(__xludf.DUMMYFUNCTION("iferror(divide(googlefinance($B1503,""marketcap""),1000000),"""")"),585.287925)</f>
        <v>585.287925</v>
      </c>
      <c r="D1503" s="72">
        <f>IFERROR(__xludf.DUMMYFUNCTION("iferror(divide(googlefinance($B1503,""shares""),1000),"""")"),28989.0)</f>
        <v>28989</v>
      </c>
      <c r="E1503" s="72">
        <f>IFERROR(__xludf.DUMMYFUNCTION("iferror(divide(googlefinance($B1503,""volumeavg""),1000),"""")"),222.748)</f>
        <v>222.748</v>
      </c>
      <c r="F1503" s="73">
        <f>IFERROR(__xludf.DUMMYFUNCTION("iferror(MINUS(divide(GOOGLEFINANCE($B1503), INDEX(GOOGLEFINANCE($B1503,""price"",today()-182),2,2)),1),"""")"),1.1387711864406782)</f>
        <v>1.138771186</v>
      </c>
      <c r="G1503" s="61">
        <f>IFERROR(__xludf.DUMMYFUNCTION("iferror(MINUS(divide(GOOGLEFINANCE($B1503), INDEX(GOOGLEFINANCE($B1503,""price"",today()-364),2,2)),1),"""")"),1.0965732087227416)</f>
        <v>1.096573209</v>
      </c>
    </row>
    <row r="1504">
      <c r="A1504" s="71">
        <f t="shared" si="4"/>
        <v>1500</v>
      </c>
      <c r="B1504" s="47" t="s">
        <v>1637</v>
      </c>
      <c r="C1504" s="72">
        <f>IFERROR(__xludf.DUMMYFUNCTION("iferror(divide(googlefinance($B1504,""marketcap""),1000000),"""")"),386.344246)</f>
        <v>386.344246</v>
      </c>
      <c r="D1504" s="72">
        <f>IFERROR(__xludf.DUMMYFUNCTION("iferror(divide(googlefinance($B1504,""shares""),1000),"""")"),34995.0)</f>
        <v>34995</v>
      </c>
      <c r="E1504" s="72">
        <f>IFERROR(__xludf.DUMMYFUNCTION("iferror(divide(googlefinance($B1504,""volumeavg""),1000),"""")"),114.547)</f>
        <v>114.547</v>
      </c>
      <c r="F1504" s="73">
        <f>IFERROR(__xludf.DUMMYFUNCTION("iferror(MINUS(divide(GOOGLEFINANCE($B1504), INDEX(GOOGLEFINANCE($B1504,""price"",today()-182),2,2)),1),"""")"),0.0974155069582503)</f>
        <v>0.09741550696</v>
      </c>
      <c r="G1504" s="61">
        <f>IFERROR(__xludf.DUMMYFUNCTION("iferror(MINUS(divide(GOOGLEFINANCE($B1504), INDEX(GOOGLEFINANCE($B1504,""price"",today()-364),2,2)),1),"""")"),0.1744680851063829)</f>
        <v>0.1744680851</v>
      </c>
    </row>
    <row r="1505">
      <c r="A1505" s="71">
        <f t="shared" si="4"/>
        <v>1501</v>
      </c>
      <c r="B1505" s="47" t="s">
        <v>1638</v>
      </c>
      <c r="C1505" s="72">
        <f>IFERROR(__xludf.DUMMYFUNCTION("iferror(divide(googlefinance($B1505,""marketcap""),1000000),"""")"),265.19586)</f>
        <v>265.19586</v>
      </c>
      <c r="D1505" s="72">
        <f>IFERROR(__xludf.DUMMYFUNCTION("iferror(divide(googlefinance($B1505,""shares""),1000),"""")"),46282.0)</f>
        <v>46282</v>
      </c>
      <c r="E1505" s="72">
        <f>IFERROR(__xludf.DUMMYFUNCTION("iferror(divide(googlefinance($B1505,""volumeavg""),1000),"""")"),4716.861)</f>
        <v>4716.861</v>
      </c>
      <c r="F1505" s="73">
        <f>IFERROR(__xludf.DUMMYFUNCTION("iferror(MINUS(divide(GOOGLEFINANCE($B1505), INDEX(GOOGLEFINANCE($B1505,""price"",today()-182),2,2)),1),"""")"),2.559006211180124)</f>
        <v>2.559006211</v>
      </c>
      <c r="G1505" s="61">
        <f>IFERROR(__xludf.DUMMYFUNCTION("iferror(MINUS(divide(GOOGLEFINANCE($B1505), INDEX(GOOGLEFINANCE($B1505,""price"",today()-364),2,2)),1),"""")"),-0.439882697947214)</f>
        <v>-0.4398826979</v>
      </c>
    </row>
    <row r="1506">
      <c r="A1506" s="71">
        <f t="shared" si="4"/>
        <v>1502</v>
      </c>
      <c r="B1506" s="47" t="s">
        <v>1639</v>
      </c>
      <c r="C1506" s="72">
        <f>IFERROR(__xludf.DUMMYFUNCTION("iferror(divide(googlefinance($B1506,""marketcap""),1000000),"""")"),165.331199)</f>
        <v>165.331199</v>
      </c>
      <c r="D1506" s="72">
        <f>IFERROR(__xludf.DUMMYFUNCTION("iferror(divide(googlefinance($B1506,""shares""),1000),"""")"),12640.0)</f>
        <v>12640</v>
      </c>
      <c r="E1506" s="72">
        <f>IFERROR(__xludf.DUMMYFUNCTION("iferror(divide(googlefinance($B1506,""volumeavg""),1000),"""")"),35.28)</f>
        <v>35.28</v>
      </c>
      <c r="F1506" s="73">
        <f>IFERROR(__xludf.DUMMYFUNCTION("iferror(MINUS(divide(GOOGLEFINANCE($B1506), INDEX(GOOGLEFINANCE($B1506,""price"",today()-182),2,2)),1),"""")"),-0.1773584905660377)</f>
        <v>-0.1773584906</v>
      </c>
      <c r="G1506" s="61">
        <f>IFERROR(__xludf.DUMMYFUNCTION("iferror(MINUS(divide(GOOGLEFINANCE($B1506), INDEX(GOOGLEFINANCE($B1506,""price"",today()-364),2,2)),1),"""")"),-0.23058823529411765)</f>
        <v>-0.2305882353</v>
      </c>
    </row>
    <row r="1507">
      <c r="A1507" s="71">
        <f t="shared" si="4"/>
        <v>1503</v>
      </c>
      <c r="B1507" s="47" t="s">
        <v>1640</v>
      </c>
      <c r="C1507" s="72">
        <f>IFERROR(__xludf.DUMMYFUNCTION("iferror(divide(googlefinance($B1507,""marketcap""),1000000),"""")"),24773.439972)</f>
        <v>24773.43997</v>
      </c>
      <c r="D1507" s="72">
        <f>IFERROR(__xludf.DUMMYFUNCTION("iferror(divide(googlefinance($B1507,""shares""),1000),"""")"),244314.0)</f>
        <v>244314</v>
      </c>
      <c r="E1507" s="72">
        <f>IFERROR(__xludf.DUMMYFUNCTION("iferror(divide(googlefinance($B1507,""volumeavg""),1000),"""")"),1884.909)</f>
        <v>1884.909</v>
      </c>
      <c r="F1507" s="73">
        <f>IFERROR(__xludf.DUMMYFUNCTION("iferror(MINUS(divide(GOOGLEFINANCE($B1507), INDEX(GOOGLEFINANCE($B1507,""price"",today()-182),2,2)),1),"""")"),0.4110770943501254)</f>
        <v>0.4110770944</v>
      </c>
      <c r="G1507" s="61">
        <f>IFERROR(__xludf.DUMMYFUNCTION("iferror(MINUS(divide(GOOGLEFINANCE($B1507), INDEX(GOOGLEFINANCE($B1507,""price"",today()-364),2,2)),1),"""")"),0.05023303987571226)</f>
        <v>0.05023303988</v>
      </c>
    </row>
    <row r="1508">
      <c r="A1508" s="71">
        <f t="shared" si="4"/>
        <v>1504</v>
      </c>
      <c r="B1508" s="47" t="s">
        <v>1641</v>
      </c>
      <c r="C1508" s="72">
        <f>IFERROR(__xludf.DUMMYFUNCTION("iferror(divide(googlefinance($B1508,""marketcap""),1000000),"""")"),6243.047834)</f>
        <v>6243.047834</v>
      </c>
      <c r="D1508" s="72">
        <f>IFERROR(__xludf.DUMMYFUNCTION("iferror(divide(googlefinance($B1508,""shares""),1000),"""")"),59897.0)</f>
        <v>59897</v>
      </c>
      <c r="E1508" s="72">
        <f>IFERROR(__xludf.DUMMYFUNCTION("iferror(divide(googlefinance($B1508,""volumeavg""),1000),"""")"),444.252)</f>
        <v>444.252</v>
      </c>
      <c r="F1508" s="73">
        <f>IFERROR(__xludf.DUMMYFUNCTION("iferror(MINUS(divide(GOOGLEFINANCE($B1508), INDEX(GOOGLEFINANCE($B1508,""price"",today()-182),2,2)),1),"""")"),0.4476388888888889)</f>
        <v>0.4476388889</v>
      </c>
      <c r="G1508" s="61">
        <f>IFERROR(__xludf.DUMMYFUNCTION("iferror(MINUS(divide(GOOGLEFINANCE($B1508), INDEX(GOOGLEFINANCE($B1508,""price"",today()-364),2,2)),1),"""")"),1.4183294663573087)</f>
        <v>1.418329466</v>
      </c>
    </row>
    <row r="1509">
      <c r="A1509" s="71">
        <f t="shared" si="4"/>
        <v>1505</v>
      </c>
      <c r="B1509" s="47" t="s">
        <v>1642</v>
      </c>
      <c r="C1509" s="72">
        <f>IFERROR(__xludf.DUMMYFUNCTION("iferror(divide(googlefinance($B1509,""marketcap""),1000000),"""")"),2411.070044)</f>
        <v>2411.070044</v>
      </c>
      <c r="D1509" s="72">
        <f>IFERROR(__xludf.DUMMYFUNCTION("iferror(divide(googlefinance($B1509,""shares""),1000),"""")"),57243.0)</f>
        <v>57243</v>
      </c>
      <c r="E1509" s="72">
        <f>IFERROR(__xludf.DUMMYFUNCTION("iferror(divide(googlefinance($B1509,""volumeavg""),1000),"""")"),279.449)</f>
        <v>279.449</v>
      </c>
      <c r="F1509" s="73">
        <f>IFERROR(__xludf.DUMMYFUNCTION("iferror(MINUS(divide(GOOGLEFINANCE($B1509), INDEX(GOOGLEFINANCE($B1509,""price"",today()-182),2,2)),1),"""")"),0.5156531126304427)</f>
        <v>0.5156531126</v>
      </c>
      <c r="G1509" s="61">
        <f>IFERROR(__xludf.DUMMYFUNCTION("iferror(MINUS(divide(GOOGLEFINANCE($B1509), INDEX(GOOGLEFINANCE($B1509,""price"",today()-364),2,2)),1),"""")"),0.1411541587645624)</f>
        <v>0.1411541588</v>
      </c>
    </row>
    <row r="1510">
      <c r="A1510" s="71">
        <f t="shared" si="4"/>
        <v>1506</v>
      </c>
      <c r="B1510" s="47" t="s">
        <v>1643</v>
      </c>
      <c r="C1510" s="72">
        <f>IFERROR(__xludf.DUMMYFUNCTION("iferror(divide(googlefinance($B1510,""marketcap""),1000000),"""")"),222.235884)</f>
        <v>222.235884</v>
      </c>
      <c r="D1510" s="72">
        <f>IFERROR(__xludf.DUMMYFUNCTION("iferror(divide(googlefinance($B1510,""shares""),1000),"""")"),11018.0)</f>
        <v>11018</v>
      </c>
      <c r="E1510" s="72">
        <f>IFERROR(__xludf.DUMMYFUNCTION("iferror(divide(googlefinance($B1510,""volumeavg""),1000),"""")"),35.435)</f>
        <v>35.435</v>
      </c>
      <c r="F1510" s="73">
        <f>IFERROR(__xludf.DUMMYFUNCTION("iferror(MINUS(divide(GOOGLEFINANCE($B1510), INDEX(GOOGLEFINANCE($B1510,""price"",today()-182),2,2)),1),"""")"),0.3046571798188875)</f>
        <v>0.3046571798</v>
      </c>
      <c r="G1510" s="61">
        <f>IFERROR(__xludf.DUMMYFUNCTION("iferror(MINUS(divide(GOOGLEFINANCE($B1510), INDEX(GOOGLEFINANCE($B1510,""price"",today()-364),2,2)),1),"""")"),0.008500000000000174)</f>
        <v>0.0085</v>
      </c>
    </row>
    <row r="1511">
      <c r="A1511" s="71">
        <f t="shared" si="4"/>
        <v>1507</v>
      </c>
      <c r="B1511" s="47" t="s">
        <v>1644</v>
      </c>
      <c r="C1511" s="72">
        <f>IFERROR(__xludf.DUMMYFUNCTION("iferror(divide(googlefinance($B1511,""marketcap""),1000000),"""")"),1362.395805)</f>
        <v>1362.395805</v>
      </c>
      <c r="D1511" s="72">
        <f>IFERROR(__xludf.DUMMYFUNCTION("iferror(divide(googlefinance($B1511,""shares""),1000),"""")"),108471.0)</f>
        <v>108471</v>
      </c>
      <c r="E1511" s="72">
        <f>IFERROR(__xludf.DUMMYFUNCTION("iferror(divide(googlefinance($B1511,""volumeavg""),1000),"""")"),1083.722)</f>
        <v>1083.722</v>
      </c>
      <c r="F1511" s="73">
        <f>IFERROR(__xludf.DUMMYFUNCTION("iferror(MINUS(divide(GOOGLEFINANCE($B1511), INDEX(GOOGLEFINANCE($B1511,""price"",today()-182),2,2)),1),"""")"),0.10758377425044108)</f>
        <v>0.1075837743</v>
      </c>
      <c r="G1511" s="61">
        <f>IFERROR(__xludf.DUMMYFUNCTION("iferror(MINUS(divide(GOOGLEFINANCE($B1511), INDEX(GOOGLEFINANCE($B1511,""price"",today()-364),2,2)),1),"""")"),-0.3831041257367387)</f>
        <v>-0.3831041257</v>
      </c>
    </row>
    <row r="1512">
      <c r="A1512" s="71">
        <f t="shared" si="4"/>
        <v>1508</v>
      </c>
      <c r="B1512" s="47" t="s">
        <v>1645</v>
      </c>
      <c r="C1512" s="72">
        <f>IFERROR(__xludf.DUMMYFUNCTION("iferror(divide(googlefinance($B1512,""marketcap""),1000000),"""")"),27.196415)</f>
        <v>27.196415</v>
      </c>
      <c r="D1512" s="72">
        <f>IFERROR(__xludf.DUMMYFUNCTION("iferror(divide(googlefinance($B1512,""shares""),1000),"""")"),58112.0)</f>
        <v>58112</v>
      </c>
      <c r="E1512" s="72">
        <f>IFERROR(__xludf.DUMMYFUNCTION("iferror(divide(googlefinance($B1512,""volumeavg""),1000),"""")"),290.779)</f>
        <v>290.779</v>
      </c>
      <c r="F1512" s="73">
        <f>IFERROR(__xludf.DUMMYFUNCTION("iferror(MINUS(divide(GOOGLEFINANCE($B1512), INDEX(GOOGLEFINANCE($B1512,""price"",today()-182),2,2)),1),"""")"),1.4736842105263155)</f>
        <v>1.473684211</v>
      </c>
      <c r="G1512" s="61">
        <f>IFERROR(__xludf.DUMMYFUNCTION("iferror(MINUS(divide(GOOGLEFINANCE($B1512), INDEX(GOOGLEFINANCE($B1512,""price"",today()-364),2,2)),1),"""")"),0.5161290322580645)</f>
        <v>0.5161290323</v>
      </c>
    </row>
    <row r="1513">
      <c r="A1513" s="71">
        <f t="shared" si="4"/>
        <v>1509</v>
      </c>
      <c r="B1513" s="47" t="s">
        <v>1646</v>
      </c>
      <c r="C1513" s="72">
        <f>IFERROR(__xludf.DUMMYFUNCTION("iferror(divide(googlefinance($B1513,""marketcap""),1000000),"""")"),8250.357983)</f>
        <v>8250.357983</v>
      </c>
      <c r="D1513" s="72">
        <f>IFERROR(__xludf.DUMMYFUNCTION("iferror(divide(googlefinance($B1513,""shares""),1000),"""")"),91326.0)</f>
        <v>91326</v>
      </c>
      <c r="E1513" s="72">
        <f>IFERROR(__xludf.DUMMYFUNCTION("iferror(divide(googlefinance($B1513,""volumeavg""),1000),"""")"),1091.643)</f>
        <v>1091.643</v>
      </c>
      <c r="F1513" s="73">
        <f>IFERROR(__xludf.DUMMYFUNCTION("iferror(MINUS(divide(GOOGLEFINANCE($B1513), INDEX(GOOGLEFINANCE($B1513,""price"",today()-182),2,2)),1),"""")"),1.2202015237159007)</f>
        <v>1.220201524</v>
      </c>
      <c r="G1513" s="61">
        <f>IFERROR(__xludf.DUMMYFUNCTION("iferror(MINUS(divide(GOOGLEFINANCE($B1513), INDEX(GOOGLEFINANCE($B1513,""price"",today()-364),2,2)),1),"""")"),0.2569917907332684)</f>
        <v>0.2569917907</v>
      </c>
    </row>
    <row r="1514">
      <c r="A1514" s="71">
        <f t="shared" si="4"/>
        <v>1510</v>
      </c>
      <c r="B1514" s="47" t="s">
        <v>1647</v>
      </c>
      <c r="C1514" s="72">
        <f>IFERROR(__xludf.DUMMYFUNCTION("iferror(divide(googlefinance($B1514,""marketcap""),1000000),"""")"),1054.122275)</f>
        <v>1054.122275</v>
      </c>
      <c r="D1514" s="72">
        <f>IFERROR(__xludf.DUMMYFUNCTION("iferror(divide(googlefinance($B1514,""shares""),1000),"""")"),514206.0)</f>
        <v>514206</v>
      </c>
      <c r="E1514" s="72">
        <f>IFERROR(__xludf.DUMMYFUNCTION("iferror(divide(googlefinance($B1514,""volumeavg""),1000),"""")"),19.396)</f>
        <v>19.396</v>
      </c>
      <c r="F1514" s="73">
        <f>IFERROR(__xludf.DUMMYFUNCTION("iferror(MINUS(divide(GOOGLEFINANCE($B1514), INDEX(GOOGLEFINANCE($B1514,""price"",today()-182),2,2)),1),"""")"),1.0499999999999998)</f>
        <v>1.05</v>
      </c>
      <c r="G1514" s="61" t="str">
        <f>IFERROR(__xludf.DUMMYFUNCTION("iferror(MINUS(divide(GOOGLEFINANCE($B1514), INDEX(GOOGLEFINANCE($B1514,""price"",today()-364),2,2)),1),"""")"),"")</f>
        <v/>
      </c>
    </row>
    <row r="1515">
      <c r="A1515" s="71">
        <f t="shared" si="4"/>
        <v>1511</v>
      </c>
      <c r="B1515" s="47" t="s">
        <v>1648</v>
      </c>
      <c r="C1515" s="72">
        <f>IFERROR(__xludf.DUMMYFUNCTION("iferror(divide(googlefinance($B1515,""marketcap""),1000000),"""")"),1058760.888)</f>
        <v>1058760.888</v>
      </c>
      <c r="D1515" s="72">
        <f>IFERROR(__xludf.DUMMYFUNCTION("iferror(divide(googlefinance($B1515,""shares""),1000),"""")"),266690.0)</f>
        <v>266690</v>
      </c>
      <c r="E1515" s="72">
        <f>IFERROR(__xludf.DUMMYFUNCTION("iferror(divide(googlefinance($B1515,""volumeavg""),1000),"""")"),3.531)</f>
        <v>3.531</v>
      </c>
      <c r="F1515" s="73">
        <f>IFERROR(__xludf.DUMMYFUNCTION("iferror(MINUS(divide(GOOGLEFINANCE($B1515), INDEX(GOOGLEFINANCE($B1515,""price"",today()-182),2,2)),1),"""")"),0.6194444444444447)</f>
        <v>0.6194444444</v>
      </c>
      <c r="G1515" s="61">
        <f>IFERROR(__xludf.DUMMYFUNCTION("iferror(MINUS(divide(GOOGLEFINANCE($B1515), INDEX(GOOGLEFINANCE($B1515,""price"",today()-364),2,2)),1),"""")"),0.0526388888888889)</f>
        <v>0.05263888889</v>
      </c>
    </row>
    <row r="1516">
      <c r="A1516" s="71">
        <f t="shared" si="4"/>
        <v>1512</v>
      </c>
      <c r="B1516" s="47" t="s">
        <v>1649</v>
      </c>
      <c r="C1516" s="72">
        <f>IFERROR(__xludf.DUMMYFUNCTION("iferror(divide(googlefinance($B1516,""marketcap""),1000000),"""")"),1655.020424)</f>
        <v>1655.020424</v>
      </c>
      <c r="D1516" s="72">
        <f>IFERROR(__xludf.DUMMYFUNCTION("iferror(divide(googlefinance($B1516,""shares""),1000),"""")"),40015.0)</f>
        <v>40015</v>
      </c>
      <c r="E1516" s="72">
        <f>IFERROR(__xludf.DUMMYFUNCTION("iferror(divide(googlefinance($B1516,""volumeavg""),1000),"""")"),120.961)</f>
        <v>120.961</v>
      </c>
      <c r="F1516" s="73">
        <f>IFERROR(__xludf.DUMMYFUNCTION("iferror(MINUS(divide(GOOGLEFINANCE($B1516), INDEX(GOOGLEFINANCE($B1516,""price"",today()-182),2,2)),1),"""")"),1.1352607124419203)</f>
        <v>1.135260712</v>
      </c>
      <c r="G1516" s="61">
        <f>IFERROR(__xludf.DUMMYFUNCTION("iferror(MINUS(divide(GOOGLEFINANCE($B1516), INDEX(GOOGLEFINANCE($B1516,""price"",today()-364),2,2)),1),"""")"),0.3363489499192245)</f>
        <v>0.3363489499</v>
      </c>
    </row>
    <row r="1517">
      <c r="A1517" s="71">
        <f t="shared" si="4"/>
        <v>1513</v>
      </c>
      <c r="B1517" s="47" t="s">
        <v>1650</v>
      </c>
      <c r="C1517" s="72">
        <f>IFERROR(__xludf.DUMMYFUNCTION("iferror(divide(googlefinance($B1517,""marketcap""),1000000),"""")"),232.851073)</f>
        <v>232.851073</v>
      </c>
      <c r="D1517" s="72">
        <f>IFERROR(__xludf.DUMMYFUNCTION("iferror(divide(googlefinance($B1517,""shares""),1000),"""")"),53284.0)</f>
        <v>53284</v>
      </c>
      <c r="E1517" s="72">
        <f>IFERROR(__xludf.DUMMYFUNCTION("iferror(divide(googlefinance($B1517,""volumeavg""),1000),"""")"),1831.314)</f>
        <v>1831.314</v>
      </c>
      <c r="F1517" s="73">
        <f>IFERROR(__xludf.DUMMYFUNCTION("iferror(MINUS(divide(GOOGLEFINANCE($B1517), INDEX(GOOGLEFINANCE($B1517,""price"",today()-182),2,2)),1),"""")"),1.349462365591398)</f>
        <v>1.349462366</v>
      </c>
      <c r="G1517" s="61">
        <f>IFERROR(__xludf.DUMMYFUNCTION("iferror(MINUS(divide(GOOGLEFINANCE($B1517), INDEX(GOOGLEFINANCE($B1517,""price"",today()-364),2,2)),1),"""")"),0.2275280898876404)</f>
        <v>0.2275280899</v>
      </c>
    </row>
    <row r="1518">
      <c r="A1518" s="71">
        <f t="shared" si="4"/>
        <v>1514</v>
      </c>
      <c r="B1518" s="47" t="s">
        <v>1651</v>
      </c>
      <c r="C1518" s="72">
        <f>IFERROR(__xludf.DUMMYFUNCTION("iferror(divide(googlefinance($B1518,""marketcap""),1000000),"""")"),28244.193724)</f>
        <v>28244.19372</v>
      </c>
      <c r="D1518" s="72">
        <f>IFERROR(__xludf.DUMMYFUNCTION("iferror(divide(googlefinance($B1518,""shares""),1000),"""")"),301400.0)</f>
        <v>301400</v>
      </c>
      <c r="E1518" s="72">
        <f>IFERROR(__xludf.DUMMYFUNCTION("iferror(divide(googlefinance($B1518,""volumeavg""),1000),"""")"),1421.873)</f>
        <v>1421.873</v>
      </c>
      <c r="F1518" s="73">
        <f>IFERROR(__xludf.DUMMYFUNCTION("iferror(MINUS(divide(GOOGLEFINANCE($B1518), INDEX(GOOGLEFINANCE($B1518,""price"",today()-182),2,2)),1),"""")"),0.6134641873278237)</f>
        <v>0.6134641873</v>
      </c>
      <c r="G1518" s="61">
        <f>IFERROR(__xludf.DUMMYFUNCTION("iferror(MINUS(divide(GOOGLEFINANCE($B1518), INDEX(GOOGLEFINANCE($B1518,""price"",today()-364),2,2)),1),"""")"),-0.1655387355298309)</f>
        <v>-0.1655387355</v>
      </c>
    </row>
    <row r="1519">
      <c r="A1519" s="71">
        <f t="shared" si="4"/>
        <v>1515</v>
      </c>
      <c r="B1519" s="47" t="s">
        <v>1652</v>
      </c>
      <c r="C1519" s="72">
        <f>IFERROR(__xludf.DUMMYFUNCTION("iferror(divide(googlefinance($B1519,""marketcap""),1000000),"""")"),22124.689215)</f>
        <v>22124.68922</v>
      </c>
      <c r="D1519" s="72">
        <f>IFERROR(__xludf.DUMMYFUNCTION("iferror(divide(googlefinance($B1519,""shares""),1000),"""")"),425393.0)</f>
        <v>425393</v>
      </c>
      <c r="E1519" s="72">
        <f>IFERROR(__xludf.DUMMYFUNCTION("iferror(divide(googlefinance($B1519,""volumeavg""),1000),"""")"),2401.144)</f>
        <v>2401.144</v>
      </c>
      <c r="F1519" s="73">
        <f>IFERROR(__xludf.DUMMYFUNCTION("iferror(MINUS(divide(GOOGLEFINANCE($B1519), INDEX(GOOGLEFINANCE($B1519,""price"",today()-182),2,2)),1),"""")"),0.2778869778869777)</f>
        <v>0.2778869779</v>
      </c>
      <c r="G1519" s="61">
        <f>IFERROR(__xludf.DUMMYFUNCTION("iferror(MINUS(divide(GOOGLEFINANCE($B1519), INDEX(GOOGLEFINANCE($B1519,""price"",today()-364),2,2)),1),"""")"),0.16457680250783713)</f>
        <v>0.1645768025</v>
      </c>
    </row>
    <row r="1520">
      <c r="A1520" s="71">
        <f t="shared" si="4"/>
        <v>1516</v>
      </c>
      <c r="B1520" s="47" t="s">
        <v>1653</v>
      </c>
      <c r="C1520" s="72">
        <f>IFERROR(__xludf.DUMMYFUNCTION("iferror(divide(googlefinance($B1520,""marketcap""),1000000),"""")"),9157.117)</f>
        <v>9157.117</v>
      </c>
      <c r="D1520" s="72">
        <f>IFERROR(__xludf.DUMMYFUNCTION("iferror(divide(googlefinance($B1520,""shares""),1000),"""")"),39779.0)</f>
        <v>39779</v>
      </c>
      <c r="E1520" s="72">
        <f>IFERROR(__xludf.DUMMYFUNCTION("iferror(divide(googlefinance($B1520,""volumeavg""),1000),"""")"),5.222)</f>
        <v>5.222</v>
      </c>
      <c r="F1520" s="73">
        <f>IFERROR(__xludf.DUMMYFUNCTION("iferror(MINUS(divide(GOOGLEFINANCE($B1520), INDEX(GOOGLEFINANCE($B1520,""price"",today()-182),2,2)),1),"""")"),0.2985964912280701)</f>
        <v>0.2985964912</v>
      </c>
      <c r="G1520" s="61">
        <f>IFERROR(__xludf.DUMMYFUNCTION("iferror(MINUS(divide(GOOGLEFINANCE($B1520), INDEX(GOOGLEFINANCE($B1520,""price"",today()-364),2,2)),1),"""")"),0.4899355877616747)</f>
        <v>0.4899355878</v>
      </c>
    </row>
    <row r="1521">
      <c r="A1521" s="71">
        <f t="shared" si="4"/>
        <v>1517</v>
      </c>
      <c r="B1521" s="47" t="s">
        <v>1654</v>
      </c>
      <c r="C1521" s="72">
        <f>IFERROR(__xludf.DUMMYFUNCTION("iferror(divide(googlefinance($B1521,""marketcap""),1000000),"""")"),1351.267806)</f>
        <v>1351.267806</v>
      </c>
      <c r="D1521" s="72">
        <f>IFERROR(__xludf.DUMMYFUNCTION("iferror(divide(googlefinance($B1521,""shares""),1000),"""")"),55448.0)</f>
        <v>55448</v>
      </c>
      <c r="E1521" s="72">
        <f>IFERROR(__xludf.DUMMYFUNCTION("iferror(divide(googlefinance($B1521,""volumeavg""),1000),"""")"),765.483)</f>
        <v>765.483</v>
      </c>
      <c r="F1521" s="73">
        <f>IFERROR(__xludf.DUMMYFUNCTION("iferror(MINUS(divide(GOOGLEFINANCE($B1521), INDEX(GOOGLEFINANCE($B1521,""price"",today()-182),2,2)),1),"""")"),0.2376841036058912)</f>
        <v>0.2376841036</v>
      </c>
      <c r="G1521" s="61">
        <f>IFERROR(__xludf.DUMMYFUNCTION("iferror(MINUS(divide(GOOGLEFINANCE($B1521), INDEX(GOOGLEFINANCE($B1521,""price"",today()-364),2,2)),1),"""")"),-0.41177890417571805)</f>
        <v>-0.4117789042</v>
      </c>
    </row>
    <row r="1522">
      <c r="A1522" s="71">
        <f t="shared" si="4"/>
        <v>1518</v>
      </c>
      <c r="B1522" s="47" t="s">
        <v>1655</v>
      </c>
      <c r="C1522" s="72">
        <f>IFERROR(__xludf.DUMMYFUNCTION("iferror(divide(googlefinance($B1522,""marketcap""),1000000),"""")"),603.905523)</f>
        <v>603.905523</v>
      </c>
      <c r="D1522" s="72">
        <f>IFERROR(__xludf.DUMMYFUNCTION("iferror(divide(googlefinance($B1522,""shares""),1000),"""")"),214151.0)</f>
        <v>214151</v>
      </c>
      <c r="E1522" s="72">
        <f>IFERROR(__xludf.DUMMYFUNCTION("iferror(divide(googlefinance($B1522,""volumeavg""),1000),"""")"),1779.061)</f>
        <v>1779.061</v>
      </c>
      <c r="F1522" s="73">
        <f>IFERROR(__xludf.DUMMYFUNCTION("iferror(MINUS(divide(GOOGLEFINANCE($B1522), INDEX(GOOGLEFINANCE($B1522,""price"",today()-182),2,2)),1),"""")"),0.1279999999999999)</f>
        <v>0.128</v>
      </c>
      <c r="G1522" s="61">
        <f>IFERROR(__xludf.DUMMYFUNCTION("iferror(MINUS(divide(GOOGLEFINANCE($B1522), INDEX(GOOGLEFINANCE($B1522,""price"",today()-364),2,2)),1),"""")"),-0.3517241379310345)</f>
        <v>-0.3517241379</v>
      </c>
    </row>
    <row r="1523">
      <c r="A1523" s="71">
        <f t="shared" si="4"/>
        <v>1519</v>
      </c>
      <c r="B1523" s="47" t="s">
        <v>1656</v>
      </c>
      <c r="C1523" s="72">
        <f>IFERROR(__xludf.DUMMYFUNCTION("iferror(divide(googlefinance($B1523,""marketcap""),1000000),"""")"),6092.602611)</f>
        <v>6092.602611</v>
      </c>
      <c r="D1523" s="72">
        <f>IFERROR(__xludf.DUMMYFUNCTION("iferror(divide(googlefinance($B1523,""shares""),1000),"""")"),74882.0)</f>
        <v>74882</v>
      </c>
      <c r="E1523" s="72">
        <f>IFERROR(__xludf.DUMMYFUNCTION("iferror(divide(googlefinance($B1523,""volumeavg""),1000),"""")"),337.957)</f>
        <v>337.957</v>
      </c>
      <c r="F1523" s="73">
        <f>IFERROR(__xludf.DUMMYFUNCTION("iferror(MINUS(divide(GOOGLEFINANCE($B1523), INDEX(GOOGLEFINANCE($B1523,""price"",today()-182),2,2)),1),"""")"),0.6822060353798127)</f>
        <v>0.6822060354</v>
      </c>
      <c r="G1523" s="61">
        <f>IFERROR(__xludf.DUMMYFUNCTION("iferror(MINUS(divide(GOOGLEFINANCE($B1523), INDEX(GOOGLEFINANCE($B1523,""price"",today()-364),2,2)),1),"""")"),1.3220338983050843)</f>
        <v>1.322033898</v>
      </c>
    </row>
    <row r="1524">
      <c r="A1524" s="71">
        <f t="shared" si="4"/>
        <v>1520</v>
      </c>
      <c r="B1524" s="47" t="s">
        <v>1657</v>
      </c>
      <c r="C1524" s="72">
        <f>IFERROR(__xludf.DUMMYFUNCTION("iferror(divide(googlefinance($B1524,""marketcap""),1000000),"""")"),102048.170987)</f>
        <v>102048.171</v>
      </c>
      <c r="D1524" s="72">
        <f>IFERROR(__xludf.DUMMYFUNCTION("iferror(divide(googlefinance($B1524,""shares""),1000),"""")"),4275145.0)</f>
        <v>4275145</v>
      </c>
      <c r="E1524" s="72">
        <f>IFERROR(__xludf.DUMMYFUNCTION("iferror(divide(googlefinance($B1524,""volumeavg""),1000),"""")"),31.457)</f>
        <v>31.457</v>
      </c>
      <c r="F1524" s="73">
        <f>IFERROR(__xludf.DUMMYFUNCTION("iferror(MINUS(divide(GOOGLEFINANCE($B1524), INDEX(GOOGLEFINANCE($B1524,""price"",today()-182),2,2)),1),"""")"),0.5528942115768465)</f>
        <v>0.5528942116</v>
      </c>
      <c r="G1524" s="61">
        <f>IFERROR(__xludf.DUMMYFUNCTION("iferror(MINUS(divide(GOOGLEFINANCE($B1524), INDEX(GOOGLEFINANCE($B1524,""price"",today()-364),2,2)),1),"""")"),0.010389610389610393)</f>
        <v>0.01038961039</v>
      </c>
    </row>
    <row r="1525">
      <c r="A1525" s="71">
        <f t="shared" si="4"/>
        <v>1521</v>
      </c>
      <c r="B1525" s="47" t="s">
        <v>1658</v>
      </c>
      <c r="C1525" s="72">
        <f>IFERROR(__xludf.DUMMYFUNCTION("iferror(divide(googlefinance($B1525,""marketcap""),1000000),"""")"),1260.0945)</f>
        <v>1260.0945</v>
      </c>
      <c r="D1525" s="72">
        <f>IFERROR(__xludf.DUMMYFUNCTION("iferror(divide(googlefinance($B1525,""shares""),1000),"""")"),40003.0)</f>
        <v>40003</v>
      </c>
      <c r="E1525" s="72">
        <f>IFERROR(__xludf.DUMMYFUNCTION("iferror(divide(googlefinance($B1525,""volumeavg""),1000),"""")"),112.559)</f>
        <v>112.559</v>
      </c>
      <c r="F1525" s="73" t="str">
        <f>IFERROR(__xludf.DUMMYFUNCTION("iferror(MINUS(divide(GOOGLEFINANCE($B1525), INDEX(GOOGLEFINANCE($B1525,""price"",today()-182),2,2)),1),"""")"),"")</f>
        <v/>
      </c>
      <c r="G1525" s="61" t="str">
        <f>IFERROR(__xludf.DUMMYFUNCTION("iferror(MINUS(divide(GOOGLEFINANCE($B1525), INDEX(GOOGLEFINANCE($B1525,""price"",today()-364),2,2)),1),"""")"),"")</f>
        <v/>
      </c>
    </row>
    <row r="1526">
      <c r="A1526" s="71">
        <f t="shared" si="4"/>
        <v>1522</v>
      </c>
      <c r="B1526" s="47" t="s">
        <v>1659</v>
      </c>
      <c r="C1526" s="72">
        <f>IFERROR(__xludf.DUMMYFUNCTION("iferror(divide(googlefinance($B1526,""marketcap""),1000000),"""")"),142.637936)</f>
        <v>142.637936</v>
      </c>
      <c r="D1526" s="72">
        <f>IFERROR(__xludf.DUMMYFUNCTION("iferror(divide(googlefinance($B1526,""shares""),1000),"""")"),79686.0)</f>
        <v>79686</v>
      </c>
      <c r="E1526" s="72">
        <f>IFERROR(__xludf.DUMMYFUNCTION("iferror(divide(googlefinance($B1526,""volumeavg""),1000),"""")"),6755.525)</f>
        <v>6755.525</v>
      </c>
      <c r="F1526" s="73">
        <f>IFERROR(__xludf.DUMMYFUNCTION("iferror(MINUS(divide(GOOGLEFINANCE($B1526), INDEX(GOOGLEFINANCE($B1526,""price"",today()-182),2,2)),1),"""")"),2.729166666666667)</f>
        <v>2.729166667</v>
      </c>
      <c r="G1526" s="61">
        <f>IFERROR(__xludf.DUMMYFUNCTION("iferror(MINUS(divide(GOOGLEFINANCE($B1526), INDEX(GOOGLEFINANCE($B1526,""price"",today()-364),2,2)),1),"""")"),-0.09137055837563446)</f>
        <v>-0.09137055838</v>
      </c>
    </row>
    <row r="1527">
      <c r="A1527" s="71">
        <f t="shared" si="4"/>
        <v>1523</v>
      </c>
      <c r="B1527" s="47" t="s">
        <v>1660</v>
      </c>
      <c r="C1527" s="72">
        <f>IFERROR(__xludf.DUMMYFUNCTION("iferror(divide(googlefinance($B1527,""marketcap""),1000000),"""")"),76246.470589)</f>
        <v>76246.47059</v>
      </c>
      <c r="D1527" s="72">
        <f>IFERROR(__xludf.DUMMYFUNCTION("iferror(divide(googlefinance($B1527,""shares""),1000),"""")"),475145.0)</f>
        <v>475145</v>
      </c>
      <c r="E1527" s="72">
        <f>IFERROR(__xludf.DUMMYFUNCTION("iferror(divide(googlefinance($B1527,""volumeavg""),1000),"""")"),1498.361)</f>
        <v>1498.361</v>
      </c>
      <c r="F1527" s="73">
        <f>IFERROR(__xludf.DUMMYFUNCTION("iferror(MINUS(divide(GOOGLEFINANCE($B1527), INDEX(GOOGLEFINANCE($B1527,""price"",today()-182),2,2)),1),"""")"),0.5897562908658609)</f>
        <v>0.5897562909</v>
      </c>
      <c r="G1527" s="61">
        <f>IFERROR(__xludf.DUMMYFUNCTION("iferror(MINUS(divide(GOOGLEFINANCE($B1527), INDEX(GOOGLEFINANCE($B1527,""price"",today()-364),2,2)),1),"""")"),0.27742397707371436)</f>
        <v>0.2774239771</v>
      </c>
    </row>
    <row r="1528">
      <c r="A1528" s="71">
        <f t="shared" si="4"/>
        <v>1524</v>
      </c>
      <c r="B1528" s="47" t="s">
        <v>1661</v>
      </c>
      <c r="C1528" s="72">
        <f>IFERROR(__xludf.DUMMYFUNCTION("iferror(divide(googlefinance($B1528,""marketcap""),1000000),"""")"),784.368992)</f>
        <v>784.368992</v>
      </c>
      <c r="D1528" s="72">
        <f>IFERROR(__xludf.DUMMYFUNCTION("iferror(divide(googlefinance($B1528,""shares""),1000),"""")"),25450.0)</f>
        <v>25450</v>
      </c>
      <c r="E1528" s="72">
        <f>IFERROR(__xludf.DUMMYFUNCTION("iferror(divide(googlefinance($B1528,""volumeavg""),1000),"""")"),434.711)</f>
        <v>434.711</v>
      </c>
      <c r="F1528" s="73">
        <f>IFERROR(__xludf.DUMMYFUNCTION("iferror(MINUS(divide(GOOGLEFINANCE($B1528), INDEX(GOOGLEFINANCE($B1528,""price"",today()-182),2,2)),1),"""")"),0.7217877094972069)</f>
        <v>0.7217877095</v>
      </c>
      <c r="G1528" s="61">
        <f>IFERROR(__xludf.DUMMYFUNCTION("iferror(MINUS(divide(GOOGLEFINANCE($B1528), INDEX(GOOGLEFINANCE($B1528,""price"",today()-364),2,2)),1),"""")"),0.0055464926590538255)</f>
        <v>0.005546492659</v>
      </c>
    </row>
    <row r="1529">
      <c r="A1529" s="71">
        <f t="shared" si="4"/>
        <v>1525</v>
      </c>
      <c r="B1529" s="47" t="s">
        <v>1662</v>
      </c>
      <c r="C1529" s="72">
        <f>IFERROR(__xludf.DUMMYFUNCTION("iferror(divide(googlefinance($B1529,""marketcap""),1000000),"""")"),111.168998)</f>
        <v>111.168998</v>
      </c>
      <c r="D1529" s="72">
        <f>IFERROR(__xludf.DUMMYFUNCTION("iferror(divide(googlefinance($B1529,""shares""),1000),"""")"),29255.0)</f>
        <v>29255</v>
      </c>
      <c r="E1529" s="72">
        <f>IFERROR(__xludf.DUMMYFUNCTION("iferror(divide(googlefinance($B1529,""volumeavg""),1000),"""")"),478.581)</f>
        <v>478.581</v>
      </c>
      <c r="F1529" s="73">
        <f>IFERROR(__xludf.DUMMYFUNCTION("iferror(MINUS(divide(GOOGLEFINANCE($B1529), INDEX(GOOGLEFINANCE($B1529,""price"",today()-182),2,2)),1),"""")"),0.16923076923076907)</f>
        <v>0.1692307692</v>
      </c>
      <c r="G1529" s="61">
        <f>IFERROR(__xludf.DUMMYFUNCTION("iferror(MINUS(divide(GOOGLEFINANCE($B1529), INDEX(GOOGLEFINANCE($B1529,""price"",today()-364),2,2)),1),"""")"),-0.539951573849879)</f>
        <v>-0.5399515738</v>
      </c>
    </row>
  </sheetData>
  <conditionalFormatting sqref="F1:G1 F5:G1529">
    <cfRule type="cellIs" dxfId="0" priority="1" operator="lessThan">
      <formula>"0%"</formula>
    </cfRule>
  </conditionalFormatting>
  <conditionalFormatting sqref="F1:G1 F5:G1529">
    <cfRule type="cellIs" dxfId="1" priority="2" operator="greaterThan">
      <formula>"0%"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14"/>
    <col customWidth="1" min="3" max="3" width="37.43"/>
  </cols>
  <sheetData>
    <row r="1">
      <c r="A1" s="74" t="s">
        <v>1694</v>
      </c>
      <c r="B1" s="74" t="s">
        <v>1695</v>
      </c>
      <c r="C1" s="74" t="s">
        <v>1696</v>
      </c>
      <c r="D1" s="75" t="s">
        <v>1697</v>
      </c>
    </row>
    <row r="2">
      <c r="A2" s="76" t="s">
        <v>136</v>
      </c>
      <c r="B2" s="76" t="s">
        <v>1698</v>
      </c>
      <c r="C2" s="76" t="s">
        <v>1699</v>
      </c>
      <c r="D2" s="76">
        <v>16300.0</v>
      </c>
    </row>
    <row r="3">
      <c r="A3" s="76" t="s">
        <v>137</v>
      </c>
      <c r="B3" s="76" t="s">
        <v>1700</v>
      </c>
      <c r="C3" s="76" t="s">
        <v>1701</v>
      </c>
      <c r="D3" s="76">
        <v>13800.0</v>
      </c>
    </row>
    <row r="4">
      <c r="A4" s="76" t="s">
        <v>138</v>
      </c>
      <c r="B4" s="76" t="s">
        <v>1702</v>
      </c>
      <c r="C4" s="76" t="s">
        <v>1703</v>
      </c>
      <c r="D4" s="76">
        <v>107400.0</v>
      </c>
    </row>
    <row r="5">
      <c r="A5" s="76" t="s">
        <v>139</v>
      </c>
      <c r="B5" s="76" t="s">
        <v>1702</v>
      </c>
      <c r="C5" s="76" t="s">
        <v>1704</v>
      </c>
      <c r="D5" s="76">
        <v>12100.0</v>
      </c>
    </row>
    <row r="6">
      <c r="A6" s="76" t="s">
        <v>140</v>
      </c>
      <c r="B6" s="76" t="s">
        <v>1705</v>
      </c>
      <c r="C6" s="76" t="s">
        <v>1706</v>
      </c>
      <c r="D6" s="76">
        <v>3115.0</v>
      </c>
    </row>
    <row r="7">
      <c r="A7" s="76" t="s">
        <v>141</v>
      </c>
      <c r="B7" s="76" t="s">
        <v>1702</v>
      </c>
      <c r="C7" s="76" t="s">
        <v>1707</v>
      </c>
      <c r="D7" s="76">
        <v>2290.0</v>
      </c>
    </row>
    <row r="8">
      <c r="A8" s="76" t="s">
        <v>142</v>
      </c>
      <c r="B8" s="76" t="s">
        <v>1708</v>
      </c>
      <c r="C8" s="76" t="s">
        <v>1709</v>
      </c>
      <c r="D8" s="76">
        <v>39000.0</v>
      </c>
    </row>
    <row r="9">
      <c r="A9" s="76" t="s">
        <v>143</v>
      </c>
      <c r="B9" s="76" t="s">
        <v>1702</v>
      </c>
      <c r="C9" s="76" t="s">
        <v>1710</v>
      </c>
      <c r="D9" s="76">
        <v>3587.0</v>
      </c>
    </row>
    <row r="10">
      <c r="A10" s="76" t="s">
        <v>144</v>
      </c>
      <c r="B10" s="76" t="s">
        <v>1702</v>
      </c>
      <c r="C10" s="76" t="s">
        <v>1711</v>
      </c>
      <c r="D10" s="76">
        <v>110000.0</v>
      </c>
    </row>
    <row r="11">
      <c r="A11" s="76" t="s">
        <v>145</v>
      </c>
      <c r="B11" s="76" t="s">
        <v>1698</v>
      </c>
      <c r="C11" s="76" t="s">
        <v>1712</v>
      </c>
      <c r="D11" s="76">
        <v>47000.0</v>
      </c>
    </row>
    <row r="12">
      <c r="A12" s="76" t="s">
        <v>146</v>
      </c>
      <c r="B12" s="76" t="s">
        <v>1698</v>
      </c>
      <c r="C12" s="76" t="s">
        <v>1713</v>
      </c>
      <c r="D12" s="76">
        <v>22000.0</v>
      </c>
    </row>
    <row r="13">
      <c r="A13" s="76" t="s">
        <v>147</v>
      </c>
      <c r="B13" s="76" t="s">
        <v>1698</v>
      </c>
      <c r="C13" s="76" t="s">
        <v>1714</v>
      </c>
      <c r="D13" s="76">
        <v>88.0</v>
      </c>
    </row>
    <row r="14">
      <c r="A14" s="76" t="s">
        <v>148</v>
      </c>
      <c r="B14" s="76" t="s">
        <v>1715</v>
      </c>
      <c r="C14" s="76" t="s">
        <v>1716</v>
      </c>
      <c r="D14" s="76">
        <v>50000.0</v>
      </c>
    </row>
    <row r="15">
      <c r="A15" s="76" t="s">
        <v>149</v>
      </c>
      <c r="B15" s="76" t="s">
        <v>1708</v>
      </c>
      <c r="C15" s="76" t="s">
        <v>1717</v>
      </c>
      <c r="D15" s="76">
        <v>8500.0</v>
      </c>
    </row>
    <row r="16">
      <c r="A16" s="76" t="s">
        <v>150</v>
      </c>
      <c r="B16" s="76" t="s">
        <v>1698</v>
      </c>
      <c r="C16" s="76" t="s">
        <v>1718</v>
      </c>
      <c r="D16" s="76">
        <v>107000.0</v>
      </c>
    </row>
    <row r="17">
      <c r="A17" s="76" t="s">
        <v>151</v>
      </c>
      <c r="B17" s="76" t="s">
        <v>1698</v>
      </c>
      <c r="C17" s="76" t="s">
        <v>1714</v>
      </c>
      <c r="D17" s="76">
        <v>78.0</v>
      </c>
    </row>
    <row r="18">
      <c r="A18" s="76" t="s">
        <v>152</v>
      </c>
    </row>
    <row r="19">
      <c r="A19" s="76" t="s">
        <v>153</v>
      </c>
      <c r="B19" s="76" t="s">
        <v>1698</v>
      </c>
      <c r="C19" s="76" t="s">
        <v>1714</v>
      </c>
      <c r="D19" s="76">
        <v>570.0</v>
      </c>
    </row>
    <row r="20">
      <c r="A20" s="76" t="s">
        <v>154</v>
      </c>
      <c r="B20" s="76" t="s">
        <v>1700</v>
      </c>
      <c r="C20" s="76" t="s">
        <v>1701</v>
      </c>
      <c r="D20" s="76">
        <v>65507.0</v>
      </c>
    </row>
    <row r="21">
      <c r="A21" s="76" t="s">
        <v>156</v>
      </c>
      <c r="B21" s="76" t="s">
        <v>1698</v>
      </c>
      <c r="C21" s="76" t="s">
        <v>1719</v>
      </c>
      <c r="D21" s="76">
        <v>28400.0</v>
      </c>
    </row>
    <row r="22">
      <c r="A22" s="76" t="s">
        <v>157</v>
      </c>
    </row>
    <row r="23">
      <c r="A23" s="76" t="s">
        <v>158</v>
      </c>
      <c r="B23" s="76" t="s">
        <v>1698</v>
      </c>
      <c r="C23" s="76" t="s">
        <v>1714</v>
      </c>
      <c r="D23" s="76">
        <v>115.0</v>
      </c>
    </row>
    <row r="24">
      <c r="A24" s="76" t="s">
        <v>159</v>
      </c>
      <c r="B24" s="76" t="s">
        <v>1705</v>
      </c>
      <c r="C24" s="76" t="s">
        <v>1720</v>
      </c>
      <c r="D24" s="76">
        <v>960.0</v>
      </c>
    </row>
    <row r="25">
      <c r="A25" s="76" t="s">
        <v>160</v>
      </c>
      <c r="B25" s="76" t="s">
        <v>1702</v>
      </c>
      <c r="C25" s="76" t="s">
        <v>1721</v>
      </c>
      <c r="D25" s="76">
        <v>86000.0</v>
      </c>
    </row>
    <row r="26">
      <c r="A26" s="76" t="s">
        <v>161</v>
      </c>
    </row>
    <row r="27">
      <c r="A27" s="76" t="s">
        <v>162</v>
      </c>
      <c r="B27" s="76" t="s">
        <v>1698</v>
      </c>
      <c r="C27" s="76" t="s">
        <v>1714</v>
      </c>
      <c r="D27" s="76">
        <v>75.0</v>
      </c>
    </row>
    <row r="28">
      <c r="A28" s="76" t="s">
        <v>163</v>
      </c>
      <c r="B28" s="76" t="s">
        <v>1698</v>
      </c>
      <c r="C28" s="76" t="s">
        <v>1722</v>
      </c>
      <c r="D28" s="76">
        <v>54.0</v>
      </c>
    </row>
    <row r="29">
      <c r="A29" s="76" t="s">
        <v>164</v>
      </c>
    </row>
    <row r="30">
      <c r="A30" s="76" t="s">
        <v>165</v>
      </c>
      <c r="B30" s="76" t="s">
        <v>1698</v>
      </c>
      <c r="C30" s="76" t="s">
        <v>1714</v>
      </c>
      <c r="D30" s="76">
        <v>399.0</v>
      </c>
    </row>
    <row r="31">
      <c r="A31" s="76" t="s">
        <v>166</v>
      </c>
    </row>
    <row r="32">
      <c r="A32" s="76" t="s">
        <v>167</v>
      </c>
      <c r="B32" s="76" t="s">
        <v>1705</v>
      </c>
      <c r="C32" s="76" t="s">
        <v>1706</v>
      </c>
      <c r="D32" s="76">
        <v>16400.0</v>
      </c>
    </row>
    <row r="33">
      <c r="A33" s="76" t="s">
        <v>168</v>
      </c>
      <c r="B33" s="76" t="s">
        <v>1715</v>
      </c>
      <c r="C33" s="76" t="s">
        <v>1723</v>
      </c>
      <c r="D33" s="76">
        <v>38100.0</v>
      </c>
    </row>
    <row r="34">
      <c r="A34" s="76" t="s">
        <v>169</v>
      </c>
      <c r="B34" s="76" t="s">
        <v>1698</v>
      </c>
      <c r="C34" s="76" t="s">
        <v>1714</v>
      </c>
      <c r="D34" s="76">
        <v>313.0</v>
      </c>
    </row>
    <row r="35">
      <c r="A35" s="76" t="s">
        <v>170</v>
      </c>
      <c r="B35" s="76" t="s">
        <v>1698</v>
      </c>
      <c r="C35" s="76" t="s">
        <v>1722</v>
      </c>
      <c r="D35" s="76">
        <v>136.0</v>
      </c>
    </row>
    <row r="36">
      <c r="A36" s="76" t="s">
        <v>171</v>
      </c>
      <c r="B36" s="76" t="s">
        <v>1698</v>
      </c>
      <c r="C36" s="76" t="s">
        <v>1714</v>
      </c>
      <c r="D36" s="76">
        <v>453.0</v>
      </c>
    </row>
    <row r="37">
      <c r="A37" s="76" t="s">
        <v>172</v>
      </c>
      <c r="B37" s="76" t="s">
        <v>1698</v>
      </c>
      <c r="C37" s="76" t="s">
        <v>1714</v>
      </c>
      <c r="D37" s="76">
        <v>69.0</v>
      </c>
    </row>
    <row r="38">
      <c r="A38" s="76" t="s">
        <v>173</v>
      </c>
      <c r="B38" s="76" t="s">
        <v>1698</v>
      </c>
      <c r="C38" s="76" t="s">
        <v>1714</v>
      </c>
      <c r="D38" s="76">
        <v>114.0</v>
      </c>
    </row>
    <row r="39">
      <c r="A39" s="76" t="s">
        <v>174</v>
      </c>
      <c r="B39" s="76" t="s">
        <v>1702</v>
      </c>
      <c r="C39" s="76" t="s">
        <v>1721</v>
      </c>
      <c r="D39" s="76">
        <v>4900.0</v>
      </c>
    </row>
    <row r="40">
      <c r="A40" s="76" t="s">
        <v>175</v>
      </c>
      <c r="B40" s="76" t="s">
        <v>1705</v>
      </c>
      <c r="C40" s="76" t="s">
        <v>1720</v>
      </c>
      <c r="D40" s="76">
        <v>71.0</v>
      </c>
    </row>
    <row r="41">
      <c r="A41" s="76" t="s">
        <v>176</v>
      </c>
      <c r="B41" s="76" t="s">
        <v>1700</v>
      </c>
      <c r="C41" s="76" t="s">
        <v>1724</v>
      </c>
      <c r="D41" s="76">
        <v>6193.0</v>
      </c>
    </row>
    <row r="42">
      <c r="A42" s="76" t="s">
        <v>177</v>
      </c>
      <c r="B42" s="76" t="s">
        <v>1708</v>
      </c>
      <c r="C42" s="76" t="s">
        <v>1725</v>
      </c>
      <c r="D42" s="76">
        <v>8000.0</v>
      </c>
    </row>
    <row r="43">
      <c r="A43" s="76" t="s">
        <v>178</v>
      </c>
      <c r="B43" s="76" t="s">
        <v>1698</v>
      </c>
      <c r="C43" s="76" t="s">
        <v>1722</v>
      </c>
      <c r="D43" s="76">
        <v>380.0</v>
      </c>
    </row>
    <row r="44">
      <c r="A44" s="76" t="s">
        <v>179</v>
      </c>
      <c r="B44" s="76" t="s">
        <v>1698</v>
      </c>
      <c r="C44" s="76" t="s">
        <v>1714</v>
      </c>
      <c r="D44" s="76">
        <v>137.0</v>
      </c>
    </row>
    <row r="45">
      <c r="A45" s="76" t="s">
        <v>180</v>
      </c>
    </row>
    <row r="46">
      <c r="A46" s="76" t="s">
        <v>181</v>
      </c>
      <c r="B46" s="76" t="s">
        <v>1698</v>
      </c>
      <c r="C46" s="76" t="s">
        <v>1714</v>
      </c>
      <c r="D46" s="76">
        <v>328.0</v>
      </c>
    </row>
    <row r="47">
      <c r="A47" s="76" t="s">
        <v>182</v>
      </c>
      <c r="B47" s="76" t="s">
        <v>1715</v>
      </c>
      <c r="C47" s="76" t="s">
        <v>1723</v>
      </c>
      <c r="D47" s="76">
        <v>292.0</v>
      </c>
    </row>
    <row r="48">
      <c r="A48" s="76" t="s">
        <v>183</v>
      </c>
      <c r="B48" s="76" t="s">
        <v>1700</v>
      </c>
      <c r="C48" s="76" t="s">
        <v>1724</v>
      </c>
      <c r="D48" s="76">
        <v>1700.0</v>
      </c>
    </row>
    <row r="49">
      <c r="A49" s="76" t="s">
        <v>184</v>
      </c>
      <c r="B49" s="76" t="s">
        <v>1698</v>
      </c>
      <c r="C49" s="76" t="s">
        <v>1714</v>
      </c>
      <c r="D49" s="76">
        <v>536.0</v>
      </c>
    </row>
    <row r="50">
      <c r="A50" s="76" t="s">
        <v>185</v>
      </c>
      <c r="B50" s="76" t="s">
        <v>1698</v>
      </c>
      <c r="C50" s="76" t="s">
        <v>1714</v>
      </c>
      <c r="D50" s="76">
        <v>83.0</v>
      </c>
    </row>
    <row r="51">
      <c r="A51" s="76" t="s">
        <v>186</v>
      </c>
    </row>
    <row r="52">
      <c r="A52" s="76" t="s">
        <v>187</v>
      </c>
      <c r="B52" s="76" t="s">
        <v>1698</v>
      </c>
      <c r="C52" s="76" t="s">
        <v>1722</v>
      </c>
      <c r="D52" s="76">
        <v>15.0</v>
      </c>
    </row>
    <row r="53">
      <c r="A53" s="76" t="s">
        <v>188</v>
      </c>
      <c r="B53" s="76" t="s">
        <v>1698</v>
      </c>
      <c r="C53" s="76" t="s">
        <v>1714</v>
      </c>
      <c r="D53" s="76">
        <v>85.0</v>
      </c>
    </row>
    <row r="54">
      <c r="A54" s="76" t="s">
        <v>189</v>
      </c>
      <c r="B54" s="76" t="s">
        <v>1702</v>
      </c>
      <c r="C54" s="76" t="s">
        <v>1721</v>
      </c>
      <c r="D54" s="76">
        <v>1154.0</v>
      </c>
    </row>
    <row r="55">
      <c r="A55" s="76" t="s">
        <v>190</v>
      </c>
      <c r="B55" s="76" t="s">
        <v>1698</v>
      </c>
      <c r="C55" s="76" t="s">
        <v>1719</v>
      </c>
      <c r="D55" s="76">
        <v>1550.0</v>
      </c>
    </row>
    <row r="56">
      <c r="A56" s="76" t="s">
        <v>191</v>
      </c>
      <c r="B56" s="76" t="s">
        <v>1698</v>
      </c>
      <c r="C56" s="76" t="s">
        <v>1714</v>
      </c>
      <c r="D56" s="76">
        <v>339.0</v>
      </c>
    </row>
    <row r="57">
      <c r="A57" s="76" t="s">
        <v>192</v>
      </c>
      <c r="B57" s="76" t="s">
        <v>1708</v>
      </c>
      <c r="C57" s="76" t="s">
        <v>1726</v>
      </c>
      <c r="D57" s="76">
        <v>4600.0</v>
      </c>
    </row>
    <row r="58">
      <c r="A58" s="76" t="s">
        <v>193</v>
      </c>
      <c r="B58" s="76" t="s">
        <v>1702</v>
      </c>
      <c r="C58" s="76" t="s">
        <v>1727</v>
      </c>
      <c r="D58" s="76">
        <v>4200.0</v>
      </c>
    </row>
    <row r="59">
      <c r="A59" s="76" t="s">
        <v>194</v>
      </c>
      <c r="B59" s="76" t="s">
        <v>1702</v>
      </c>
      <c r="C59" s="76" t="s">
        <v>1727</v>
      </c>
      <c r="D59" s="76">
        <v>4814.0</v>
      </c>
    </row>
    <row r="60">
      <c r="A60" s="76" t="s">
        <v>195</v>
      </c>
      <c r="B60" s="76" t="s">
        <v>1698</v>
      </c>
      <c r="C60" s="76" t="s">
        <v>1714</v>
      </c>
      <c r="D60" s="76">
        <v>358.0</v>
      </c>
    </row>
    <row r="61">
      <c r="A61" s="76" t="s">
        <v>196</v>
      </c>
      <c r="B61" s="76" t="s">
        <v>1698</v>
      </c>
      <c r="C61" s="76" t="s">
        <v>1714</v>
      </c>
      <c r="D61" s="76">
        <v>294.0</v>
      </c>
    </row>
    <row r="62">
      <c r="A62" s="76" t="s">
        <v>197</v>
      </c>
    </row>
    <row r="63">
      <c r="A63" s="76" t="s">
        <v>198</v>
      </c>
      <c r="B63" s="76" t="s">
        <v>1698</v>
      </c>
      <c r="C63" s="76" t="s">
        <v>1714</v>
      </c>
      <c r="D63" s="76">
        <v>13.0</v>
      </c>
    </row>
    <row r="64">
      <c r="A64" s="76" t="s">
        <v>199</v>
      </c>
      <c r="B64" s="76" t="s">
        <v>1698</v>
      </c>
      <c r="C64" s="76" t="s">
        <v>1714</v>
      </c>
      <c r="D64" s="76">
        <v>10.0</v>
      </c>
    </row>
    <row r="65">
      <c r="A65" s="76" t="s">
        <v>200</v>
      </c>
      <c r="B65" s="76" t="s">
        <v>1698</v>
      </c>
      <c r="C65" s="76" t="s">
        <v>1714</v>
      </c>
      <c r="D65" s="76">
        <v>54.0</v>
      </c>
    </row>
    <row r="66">
      <c r="A66" s="76" t="s">
        <v>201</v>
      </c>
      <c r="B66" s="76" t="s">
        <v>1700</v>
      </c>
      <c r="C66" s="76" t="s">
        <v>1728</v>
      </c>
      <c r="D66" s="76">
        <v>6000.0</v>
      </c>
    </row>
    <row r="67">
      <c r="A67" s="76" t="s">
        <v>202</v>
      </c>
      <c r="B67" s="76" t="s">
        <v>1698</v>
      </c>
      <c r="C67" s="76" t="s">
        <v>1714</v>
      </c>
      <c r="D67" s="76">
        <v>55.0</v>
      </c>
    </row>
    <row r="68">
      <c r="A68" s="76" t="s">
        <v>203</v>
      </c>
      <c r="B68" s="76" t="s">
        <v>1715</v>
      </c>
      <c r="C68" s="76" t="s">
        <v>1723</v>
      </c>
      <c r="D68" s="76">
        <v>235.0</v>
      </c>
    </row>
    <row r="69">
      <c r="A69" s="76" t="s">
        <v>204</v>
      </c>
      <c r="B69" s="76" t="s">
        <v>1698</v>
      </c>
      <c r="C69" s="76" t="s">
        <v>1714</v>
      </c>
      <c r="D69" s="76">
        <v>10.0</v>
      </c>
    </row>
    <row r="70">
      <c r="A70" s="76" t="s">
        <v>205</v>
      </c>
      <c r="B70" s="76" t="s">
        <v>1698</v>
      </c>
      <c r="C70" s="76" t="s">
        <v>1714</v>
      </c>
      <c r="D70" s="76">
        <v>153.0</v>
      </c>
    </row>
    <row r="71">
      <c r="A71" s="76" t="s">
        <v>206</v>
      </c>
      <c r="B71" s="76" t="s">
        <v>1702</v>
      </c>
      <c r="C71" s="76" t="s">
        <v>1703</v>
      </c>
      <c r="D71" s="76">
        <v>4349.0</v>
      </c>
    </row>
    <row r="72">
      <c r="A72" s="76" t="s">
        <v>207</v>
      </c>
      <c r="B72" s="76" t="s">
        <v>1702</v>
      </c>
      <c r="C72" s="76" t="s">
        <v>1703</v>
      </c>
      <c r="D72" s="76">
        <v>19155.0</v>
      </c>
    </row>
    <row r="73">
      <c r="A73" s="76" t="s">
        <v>208</v>
      </c>
      <c r="B73" s="76" t="s">
        <v>1698</v>
      </c>
      <c r="C73" s="76" t="s">
        <v>1714</v>
      </c>
      <c r="D73" s="76">
        <v>2235.0</v>
      </c>
    </row>
    <row r="74">
      <c r="A74" s="76" t="s">
        <v>209</v>
      </c>
      <c r="B74" s="76" t="s">
        <v>1698</v>
      </c>
      <c r="C74" s="76" t="s">
        <v>1714</v>
      </c>
      <c r="D74" s="76">
        <v>103.0</v>
      </c>
    </row>
    <row r="75">
      <c r="A75" s="76" t="s">
        <v>210</v>
      </c>
      <c r="B75" s="76" t="s">
        <v>1698</v>
      </c>
      <c r="C75" s="76" t="s">
        <v>1714</v>
      </c>
      <c r="D75" s="76">
        <v>236.0</v>
      </c>
    </row>
    <row r="76">
      <c r="A76" s="76" t="s">
        <v>211</v>
      </c>
      <c r="B76" s="76" t="s">
        <v>1698</v>
      </c>
      <c r="C76" s="76" t="s">
        <v>1714</v>
      </c>
      <c r="D76" s="76">
        <v>1323.0</v>
      </c>
    </row>
    <row r="77">
      <c r="A77" s="76" t="s">
        <v>212</v>
      </c>
      <c r="B77" s="76" t="s">
        <v>1698</v>
      </c>
      <c r="C77" s="76" t="s">
        <v>1714</v>
      </c>
      <c r="D77" s="76">
        <v>53.0</v>
      </c>
    </row>
    <row r="78">
      <c r="A78" s="76" t="s">
        <v>213</v>
      </c>
      <c r="B78" s="76" t="s">
        <v>1698</v>
      </c>
      <c r="C78" s="76" t="s">
        <v>1714</v>
      </c>
      <c r="D78" s="76">
        <v>25.0</v>
      </c>
    </row>
    <row r="79">
      <c r="A79" s="76" t="s">
        <v>214</v>
      </c>
      <c r="B79" s="76" t="s">
        <v>1698</v>
      </c>
      <c r="C79" s="76" t="s">
        <v>1714</v>
      </c>
      <c r="D79" s="76">
        <v>3082.0</v>
      </c>
    </row>
    <row r="80">
      <c r="A80" s="76" t="s">
        <v>215</v>
      </c>
      <c r="B80" s="76" t="s">
        <v>1698</v>
      </c>
      <c r="C80" s="76" t="s">
        <v>1714</v>
      </c>
      <c r="D80" s="76">
        <v>19.0</v>
      </c>
    </row>
    <row r="81">
      <c r="A81" s="76" t="s">
        <v>216</v>
      </c>
      <c r="B81" s="76" t="s">
        <v>1698</v>
      </c>
      <c r="C81" s="76" t="s">
        <v>1714</v>
      </c>
      <c r="D81" s="76">
        <v>440.0</v>
      </c>
    </row>
    <row r="82">
      <c r="A82" s="76" t="s">
        <v>217</v>
      </c>
      <c r="B82" s="76" t="s">
        <v>1705</v>
      </c>
      <c r="C82" s="76" t="s">
        <v>1720</v>
      </c>
      <c r="D82" s="76">
        <v>23600.0</v>
      </c>
    </row>
    <row r="83">
      <c r="A83" s="76" t="s">
        <v>218</v>
      </c>
      <c r="B83" s="76" t="s">
        <v>1705</v>
      </c>
      <c r="C83" s="76" t="s">
        <v>1720</v>
      </c>
      <c r="D83" s="76">
        <v>761.0</v>
      </c>
    </row>
    <row r="84">
      <c r="A84" s="76" t="s">
        <v>219</v>
      </c>
      <c r="B84" s="76" t="s">
        <v>1729</v>
      </c>
      <c r="C84" s="76" t="s">
        <v>1730</v>
      </c>
      <c r="D84" s="76">
        <v>3952.0</v>
      </c>
    </row>
    <row r="85">
      <c r="A85" s="76" t="s">
        <v>220</v>
      </c>
      <c r="B85" s="76" t="s">
        <v>1705</v>
      </c>
      <c r="C85" s="76" t="s">
        <v>1706</v>
      </c>
      <c r="D85" s="76">
        <v>11400.0</v>
      </c>
    </row>
    <row r="86">
      <c r="A86" s="76" t="s">
        <v>221</v>
      </c>
      <c r="B86" s="76" t="s">
        <v>1698</v>
      </c>
      <c r="C86" s="76" t="s">
        <v>1712</v>
      </c>
      <c r="D86" s="76">
        <v>23400.0</v>
      </c>
    </row>
    <row r="87">
      <c r="A87" s="76" t="s">
        <v>222</v>
      </c>
      <c r="B87" s="76" t="s">
        <v>1705</v>
      </c>
      <c r="C87" s="76" t="s">
        <v>1706</v>
      </c>
      <c r="D87" s="76">
        <v>29650.0</v>
      </c>
    </row>
    <row r="88">
      <c r="A88" s="76" t="s">
        <v>223</v>
      </c>
    </row>
    <row r="89">
      <c r="A89" s="76" t="s">
        <v>224</v>
      </c>
      <c r="B89" s="76" t="s">
        <v>1698</v>
      </c>
      <c r="C89" s="76" t="s">
        <v>1719</v>
      </c>
      <c r="D89" s="76">
        <v>3236.0</v>
      </c>
    </row>
    <row r="90">
      <c r="A90" s="76" t="s">
        <v>225</v>
      </c>
      <c r="B90" s="76" t="s">
        <v>1698</v>
      </c>
      <c r="C90" s="76" t="s">
        <v>1722</v>
      </c>
      <c r="D90" s="76">
        <v>2027.0</v>
      </c>
    </row>
    <row r="91">
      <c r="A91" s="76" t="s">
        <v>226</v>
      </c>
      <c r="B91" s="76" t="s">
        <v>1702</v>
      </c>
      <c r="C91" s="76" t="s">
        <v>1721</v>
      </c>
      <c r="D91" s="76">
        <v>1100.0</v>
      </c>
    </row>
    <row r="92">
      <c r="A92" s="76" t="s">
        <v>227</v>
      </c>
      <c r="B92" s="76" t="s">
        <v>1698</v>
      </c>
      <c r="C92" s="76" t="s">
        <v>1714</v>
      </c>
      <c r="D92" s="76">
        <v>965.0</v>
      </c>
    </row>
    <row r="93">
      <c r="A93" s="76" t="s">
        <v>228</v>
      </c>
      <c r="B93" s="76" t="s">
        <v>1700</v>
      </c>
      <c r="C93" s="76" t="s">
        <v>1728</v>
      </c>
      <c r="D93" s="76">
        <v>561.0</v>
      </c>
    </row>
    <row r="94">
      <c r="A94" s="76" t="s">
        <v>229</v>
      </c>
      <c r="B94" s="76" t="s">
        <v>1698</v>
      </c>
      <c r="C94" s="76" t="s">
        <v>1714</v>
      </c>
      <c r="D94" s="76">
        <v>50.0</v>
      </c>
    </row>
    <row r="95">
      <c r="A95" s="76" t="s">
        <v>230</v>
      </c>
    </row>
    <row r="96">
      <c r="A96" s="76" t="s">
        <v>231</v>
      </c>
      <c r="B96" s="76" t="s">
        <v>1708</v>
      </c>
      <c r="C96" s="76" t="s">
        <v>1731</v>
      </c>
      <c r="D96" s="76">
        <v>9900.0</v>
      </c>
    </row>
    <row r="97">
      <c r="A97" s="76" t="s">
        <v>232</v>
      </c>
      <c r="B97" s="76" t="s">
        <v>1708</v>
      </c>
      <c r="C97" s="76" t="s">
        <v>1717</v>
      </c>
      <c r="D97" s="76">
        <v>25000.0</v>
      </c>
    </row>
    <row r="98">
      <c r="A98" s="76" t="s">
        <v>233</v>
      </c>
      <c r="B98" s="76" t="s">
        <v>1698</v>
      </c>
      <c r="C98" s="76" t="s">
        <v>1714</v>
      </c>
      <c r="D98" s="76">
        <v>89.0</v>
      </c>
    </row>
    <row r="99">
      <c r="A99" s="76" t="s">
        <v>234</v>
      </c>
      <c r="B99" s="76" t="s">
        <v>1715</v>
      </c>
      <c r="C99" s="76" t="s">
        <v>1732</v>
      </c>
      <c r="D99" s="76">
        <v>2247.0</v>
      </c>
    </row>
    <row r="100">
      <c r="A100" s="76" t="s">
        <v>235</v>
      </c>
      <c r="B100" s="76" t="s">
        <v>1708</v>
      </c>
      <c r="C100" s="76" t="s">
        <v>1725</v>
      </c>
      <c r="D100" s="76">
        <v>8000.0</v>
      </c>
    </row>
    <row r="101">
      <c r="A101" s="76" t="s">
        <v>236</v>
      </c>
    </row>
    <row r="102">
      <c r="A102" s="76" t="s">
        <v>237</v>
      </c>
      <c r="B102" s="76" t="s">
        <v>1705</v>
      </c>
      <c r="C102" s="76" t="s">
        <v>1706</v>
      </c>
      <c r="D102" s="76">
        <v>3978.0</v>
      </c>
    </row>
    <row r="103">
      <c r="A103" s="76" t="s">
        <v>238</v>
      </c>
      <c r="B103" s="76" t="s">
        <v>1700</v>
      </c>
      <c r="C103" s="76" t="s">
        <v>1733</v>
      </c>
      <c r="D103" s="76">
        <v>17440.0</v>
      </c>
    </row>
    <row r="104">
      <c r="A104" s="76" t="s">
        <v>239</v>
      </c>
      <c r="B104" s="76" t="s">
        <v>1698</v>
      </c>
      <c r="C104" s="76" t="s">
        <v>1714</v>
      </c>
      <c r="D104" s="76">
        <v>297.0</v>
      </c>
    </row>
    <row r="105">
      <c r="A105" s="76" t="s">
        <v>240</v>
      </c>
      <c r="B105" s="76" t="s">
        <v>1698</v>
      </c>
      <c r="C105" s="76" t="s">
        <v>1714</v>
      </c>
      <c r="D105" s="76">
        <v>18.0</v>
      </c>
    </row>
    <row r="106">
      <c r="A106" s="76" t="s">
        <v>241</v>
      </c>
      <c r="B106" s="76" t="s">
        <v>1702</v>
      </c>
      <c r="C106" s="76" t="s">
        <v>1707</v>
      </c>
      <c r="D106" s="76">
        <v>7200.0</v>
      </c>
    </row>
    <row r="107">
      <c r="A107" s="76" t="s">
        <v>242</v>
      </c>
    </row>
    <row r="108">
      <c r="A108" s="76" t="s">
        <v>243</v>
      </c>
      <c r="B108" s="76" t="s">
        <v>1698</v>
      </c>
      <c r="C108" s="76" t="s">
        <v>1714</v>
      </c>
      <c r="D108" s="76">
        <v>13.0</v>
      </c>
    </row>
    <row r="109">
      <c r="A109" s="76" t="s">
        <v>244</v>
      </c>
    </row>
    <row r="110">
      <c r="A110" s="76" t="s">
        <v>245</v>
      </c>
      <c r="B110" s="76" t="s">
        <v>1698</v>
      </c>
      <c r="C110" s="76" t="s">
        <v>1714</v>
      </c>
      <c r="D110" s="76">
        <v>31.0</v>
      </c>
    </row>
    <row r="111">
      <c r="A111" s="76" t="s">
        <v>246</v>
      </c>
    </row>
    <row r="112">
      <c r="A112" s="76" t="s">
        <v>247</v>
      </c>
      <c r="B112" s="76" t="s">
        <v>1698</v>
      </c>
      <c r="C112" s="76" t="s">
        <v>1714</v>
      </c>
      <c r="D112" s="76">
        <v>232.0</v>
      </c>
    </row>
    <row r="113">
      <c r="A113" s="76" t="s">
        <v>248</v>
      </c>
      <c r="B113" s="76" t="s">
        <v>1698</v>
      </c>
      <c r="C113" s="76" t="s">
        <v>1714</v>
      </c>
      <c r="D113" s="76">
        <v>16.0</v>
      </c>
    </row>
    <row r="114">
      <c r="A114" s="76" t="s">
        <v>249</v>
      </c>
      <c r="B114" s="76" t="s">
        <v>1698</v>
      </c>
      <c r="C114" s="76" t="s">
        <v>1718</v>
      </c>
      <c r="D114" s="76">
        <v>932.0</v>
      </c>
    </row>
    <row r="115">
      <c r="A115" s="76" t="s">
        <v>250</v>
      </c>
      <c r="B115" s="76" t="s">
        <v>1702</v>
      </c>
      <c r="C115" s="76" t="s">
        <v>1734</v>
      </c>
      <c r="D115" s="76">
        <v>13000.0</v>
      </c>
    </row>
    <row r="116">
      <c r="A116" s="76" t="s">
        <v>251</v>
      </c>
      <c r="B116" s="76" t="s">
        <v>1735</v>
      </c>
      <c r="C116" s="76" t="s">
        <v>1736</v>
      </c>
      <c r="D116" s="76">
        <v>3700.0</v>
      </c>
    </row>
    <row r="117">
      <c r="A117" s="76" t="s">
        <v>252</v>
      </c>
    </row>
    <row r="118">
      <c r="A118" s="76" t="s">
        <v>253</v>
      </c>
      <c r="B118" s="76" t="s">
        <v>1698</v>
      </c>
      <c r="C118" s="76" t="s">
        <v>1714</v>
      </c>
      <c r="D118" s="76">
        <v>88.0</v>
      </c>
    </row>
    <row r="119">
      <c r="A119" s="76" t="s">
        <v>254</v>
      </c>
      <c r="B119" s="76" t="s">
        <v>1698</v>
      </c>
      <c r="C119" s="76" t="s">
        <v>1714</v>
      </c>
      <c r="D119" s="76">
        <v>186.0</v>
      </c>
    </row>
    <row r="120">
      <c r="A120" s="76" t="s">
        <v>255</v>
      </c>
      <c r="B120" s="76" t="s">
        <v>1735</v>
      </c>
      <c r="C120" s="76" t="s">
        <v>1736</v>
      </c>
      <c r="D120" s="76">
        <v>3602.0</v>
      </c>
    </row>
    <row r="121">
      <c r="A121" s="76" t="s">
        <v>256</v>
      </c>
      <c r="B121" s="76" t="s">
        <v>1708</v>
      </c>
      <c r="C121" s="76" t="s">
        <v>1737</v>
      </c>
      <c r="D121" s="76">
        <v>183300.0</v>
      </c>
    </row>
    <row r="122">
      <c r="A122" s="76" t="s">
        <v>257</v>
      </c>
      <c r="B122" s="76" t="s">
        <v>1698</v>
      </c>
      <c r="C122" s="76" t="s">
        <v>1714</v>
      </c>
      <c r="D122" s="76">
        <v>320.0</v>
      </c>
    </row>
    <row r="123">
      <c r="A123" s="76" t="s">
        <v>258</v>
      </c>
      <c r="B123" s="76" t="s">
        <v>1702</v>
      </c>
      <c r="C123" s="76" t="s">
        <v>1738</v>
      </c>
      <c r="D123" s="76">
        <v>15400.0</v>
      </c>
    </row>
    <row r="124">
      <c r="A124" s="76" t="s">
        <v>259</v>
      </c>
      <c r="B124" s="76" t="s">
        <v>1698</v>
      </c>
      <c r="C124" s="76" t="s">
        <v>1714</v>
      </c>
      <c r="D124" s="76">
        <v>49.0</v>
      </c>
    </row>
    <row r="125">
      <c r="A125" s="76" t="s">
        <v>260</v>
      </c>
    </row>
    <row r="126">
      <c r="A126" s="76" t="s">
        <v>261</v>
      </c>
      <c r="B126" s="76" t="s">
        <v>1698</v>
      </c>
      <c r="C126" s="76" t="s">
        <v>1714</v>
      </c>
      <c r="D126" s="76">
        <v>133.0</v>
      </c>
    </row>
    <row r="127">
      <c r="A127" s="76" t="s">
        <v>262</v>
      </c>
      <c r="B127" s="76" t="s">
        <v>1698</v>
      </c>
      <c r="C127" s="76" t="s">
        <v>1714</v>
      </c>
      <c r="D127" s="76">
        <v>134.0</v>
      </c>
    </row>
    <row r="128">
      <c r="A128" s="76" t="s">
        <v>263</v>
      </c>
      <c r="B128" s="76" t="s">
        <v>1702</v>
      </c>
      <c r="C128" s="76" t="s">
        <v>1739</v>
      </c>
      <c r="D128" s="76">
        <v>48.0</v>
      </c>
    </row>
    <row r="129">
      <c r="A129" s="76" t="s">
        <v>264</v>
      </c>
      <c r="B129" s="76" t="s">
        <v>1700</v>
      </c>
      <c r="C129" s="76" t="s">
        <v>1733</v>
      </c>
      <c r="D129" s="76">
        <v>4600.0</v>
      </c>
    </row>
    <row r="130">
      <c r="A130" s="76" t="s">
        <v>265</v>
      </c>
    </row>
    <row r="131">
      <c r="A131" s="76" t="s">
        <v>266</v>
      </c>
      <c r="B131" s="76" t="s">
        <v>1705</v>
      </c>
      <c r="C131" s="76" t="s">
        <v>1720</v>
      </c>
      <c r="D131" s="76">
        <v>24330.0</v>
      </c>
    </row>
    <row r="132">
      <c r="A132" s="76" t="s">
        <v>267</v>
      </c>
    </row>
    <row r="133">
      <c r="A133" s="76" t="s">
        <v>268</v>
      </c>
      <c r="B133" s="76" t="s">
        <v>1702</v>
      </c>
      <c r="C133" s="76" t="s">
        <v>1707</v>
      </c>
      <c r="D133" s="76">
        <v>303.0</v>
      </c>
    </row>
    <row r="134">
      <c r="A134" s="76" t="s">
        <v>269</v>
      </c>
    </row>
    <row r="135">
      <c r="A135" s="76" t="s">
        <v>270</v>
      </c>
      <c r="B135" s="76" t="s">
        <v>1702</v>
      </c>
      <c r="C135" s="76" t="s">
        <v>1740</v>
      </c>
      <c r="D135" s="76">
        <v>3529.0</v>
      </c>
    </row>
    <row r="136">
      <c r="A136" s="76" t="s">
        <v>271</v>
      </c>
      <c r="B136" s="76" t="s">
        <v>1705</v>
      </c>
      <c r="C136" s="76" t="s">
        <v>1706</v>
      </c>
      <c r="D136" s="76">
        <v>95448.0</v>
      </c>
    </row>
    <row r="137">
      <c r="A137" s="76" t="s">
        <v>272</v>
      </c>
      <c r="B137" s="76" t="s">
        <v>1705</v>
      </c>
      <c r="C137" s="76" t="s">
        <v>1720</v>
      </c>
      <c r="D137" s="76">
        <v>340.0</v>
      </c>
    </row>
    <row r="138">
      <c r="A138" s="76" t="s">
        <v>273</v>
      </c>
      <c r="B138" s="76" t="s">
        <v>1698</v>
      </c>
      <c r="C138" s="76" t="s">
        <v>1714</v>
      </c>
      <c r="D138" s="76">
        <v>83.0</v>
      </c>
    </row>
    <row r="139">
      <c r="A139" s="76" t="s">
        <v>274</v>
      </c>
      <c r="B139" s="76" t="s">
        <v>1702</v>
      </c>
      <c r="C139" s="76" t="s">
        <v>1741</v>
      </c>
      <c r="D139" s="76">
        <v>8100.0</v>
      </c>
    </row>
    <row r="140">
      <c r="A140" s="76" t="s">
        <v>275</v>
      </c>
      <c r="B140" s="76" t="s">
        <v>1698</v>
      </c>
      <c r="C140" s="76" t="s">
        <v>1722</v>
      </c>
      <c r="D140" s="76">
        <v>574.0</v>
      </c>
    </row>
    <row r="141">
      <c r="A141" s="76" t="s">
        <v>276</v>
      </c>
    </row>
    <row r="142">
      <c r="A142" s="76" t="s">
        <v>277</v>
      </c>
      <c r="B142" s="76" t="s">
        <v>1698</v>
      </c>
      <c r="C142" s="76" t="s">
        <v>1714</v>
      </c>
      <c r="D142" s="76">
        <v>425.0</v>
      </c>
    </row>
    <row r="143">
      <c r="A143" s="76" t="s">
        <v>278</v>
      </c>
      <c r="B143" s="76" t="s">
        <v>1702</v>
      </c>
      <c r="C143" s="76" t="s">
        <v>1727</v>
      </c>
      <c r="D143" s="76">
        <v>2300.0</v>
      </c>
    </row>
    <row r="144">
      <c r="A144" s="76" t="s">
        <v>279</v>
      </c>
      <c r="B144" s="76" t="s">
        <v>1698</v>
      </c>
      <c r="C144" s="76" t="s">
        <v>1742</v>
      </c>
      <c r="D144" s="76">
        <v>178.0</v>
      </c>
    </row>
    <row r="145">
      <c r="A145" s="76" t="s">
        <v>280</v>
      </c>
      <c r="B145" s="76" t="s">
        <v>1702</v>
      </c>
      <c r="C145" s="76" t="s">
        <v>1743</v>
      </c>
      <c r="D145" s="76">
        <v>4380.0</v>
      </c>
    </row>
    <row r="146">
      <c r="A146" s="76" t="s">
        <v>281</v>
      </c>
      <c r="B146" s="76" t="s">
        <v>1708</v>
      </c>
      <c r="C146" s="76" t="s">
        <v>1744</v>
      </c>
      <c r="D146" s="76">
        <v>113.0</v>
      </c>
    </row>
    <row r="147">
      <c r="A147" s="76" t="s">
        <v>282</v>
      </c>
      <c r="B147" s="76" t="s">
        <v>1729</v>
      </c>
      <c r="C147" s="76" t="s">
        <v>1745</v>
      </c>
      <c r="D147" s="76">
        <v>9080.0</v>
      </c>
    </row>
    <row r="148">
      <c r="A148" s="76" t="s">
        <v>283</v>
      </c>
    </row>
    <row r="149">
      <c r="A149" s="76" t="s">
        <v>284</v>
      </c>
    </row>
    <row r="150">
      <c r="A150" s="76" t="s">
        <v>285</v>
      </c>
      <c r="B150" s="76" t="s">
        <v>1698</v>
      </c>
      <c r="C150" s="76" t="s">
        <v>1714</v>
      </c>
      <c r="D150" s="76">
        <v>62.0</v>
      </c>
    </row>
    <row r="151">
      <c r="A151" s="76" t="s">
        <v>286</v>
      </c>
    </row>
    <row r="152">
      <c r="A152" s="76" t="s">
        <v>287</v>
      </c>
    </row>
    <row r="153">
      <c r="A153" s="76" t="s">
        <v>288</v>
      </c>
      <c r="B153" s="76" t="s">
        <v>1702</v>
      </c>
      <c r="C153" s="76" t="s">
        <v>1727</v>
      </c>
      <c r="D153" s="76">
        <v>823.0</v>
      </c>
    </row>
    <row r="154">
      <c r="A154" s="76" t="s">
        <v>289</v>
      </c>
    </row>
    <row r="155">
      <c r="A155" s="76" t="s">
        <v>290</v>
      </c>
      <c r="B155" s="76" t="s">
        <v>1698</v>
      </c>
      <c r="C155" s="76" t="s">
        <v>1722</v>
      </c>
      <c r="D155" s="76">
        <v>50.0</v>
      </c>
    </row>
    <row r="156">
      <c r="A156" s="76" t="s">
        <v>291</v>
      </c>
      <c r="B156" s="76" t="s">
        <v>1698</v>
      </c>
      <c r="C156" s="76" t="s">
        <v>1714</v>
      </c>
      <c r="D156" s="76">
        <v>19.0</v>
      </c>
    </row>
    <row r="157">
      <c r="A157" s="76" t="s">
        <v>292</v>
      </c>
      <c r="B157" s="76" t="s">
        <v>1705</v>
      </c>
      <c r="C157" s="76" t="s">
        <v>1706</v>
      </c>
      <c r="D157" s="76">
        <v>19000.0</v>
      </c>
    </row>
    <row r="158">
      <c r="A158" s="76" t="s">
        <v>293</v>
      </c>
    </row>
    <row r="159">
      <c r="A159" s="76" t="s">
        <v>294</v>
      </c>
      <c r="B159" s="76" t="s">
        <v>1698</v>
      </c>
      <c r="C159" s="76" t="s">
        <v>1714</v>
      </c>
      <c r="D159" s="76">
        <v>121.0</v>
      </c>
    </row>
    <row r="160">
      <c r="A160" s="76" t="s">
        <v>295</v>
      </c>
      <c r="B160" s="76" t="s">
        <v>1700</v>
      </c>
      <c r="C160" s="76" t="s">
        <v>1728</v>
      </c>
      <c r="D160" s="76">
        <v>12000.0</v>
      </c>
    </row>
    <row r="161">
      <c r="A161" s="76" t="s">
        <v>296</v>
      </c>
    </row>
    <row r="162">
      <c r="A162" s="76" t="s">
        <v>297</v>
      </c>
      <c r="B162" s="76" t="s">
        <v>1702</v>
      </c>
      <c r="C162" s="76" t="s">
        <v>1707</v>
      </c>
      <c r="D162" s="76">
        <v>2500.0</v>
      </c>
    </row>
    <row r="163">
      <c r="A163" s="76" t="s">
        <v>298</v>
      </c>
      <c r="B163" s="76" t="s">
        <v>1698</v>
      </c>
      <c r="C163" s="76" t="s">
        <v>1699</v>
      </c>
      <c r="D163" s="76">
        <v>275.0</v>
      </c>
    </row>
    <row r="164">
      <c r="A164" s="76" t="s">
        <v>299</v>
      </c>
      <c r="B164" s="76" t="s">
        <v>1698</v>
      </c>
      <c r="C164" s="76" t="s">
        <v>1718</v>
      </c>
      <c r="D164" s="76">
        <v>371.0</v>
      </c>
    </row>
    <row r="165">
      <c r="A165" s="76" t="s">
        <v>300</v>
      </c>
      <c r="B165" s="76" t="s">
        <v>1698</v>
      </c>
      <c r="C165" s="76" t="s">
        <v>1714</v>
      </c>
      <c r="D165" s="76">
        <v>69.0</v>
      </c>
    </row>
    <row r="166">
      <c r="A166" s="76" t="s">
        <v>301</v>
      </c>
    </row>
    <row r="167">
      <c r="A167" s="76" t="s">
        <v>302</v>
      </c>
      <c r="B167" s="76" t="s">
        <v>1700</v>
      </c>
      <c r="C167" s="76" t="s">
        <v>1728</v>
      </c>
      <c r="D167" s="76">
        <v>13000.0</v>
      </c>
    </row>
    <row r="168">
      <c r="A168" s="76" t="s">
        <v>303</v>
      </c>
    </row>
    <row r="169">
      <c r="A169" s="76" t="s">
        <v>304</v>
      </c>
    </row>
    <row r="170">
      <c r="A170" s="76" t="s">
        <v>305</v>
      </c>
      <c r="B170" s="76" t="s">
        <v>1698</v>
      </c>
      <c r="C170" s="76" t="s">
        <v>1714</v>
      </c>
      <c r="D170" s="76">
        <v>31.0</v>
      </c>
    </row>
    <row r="171">
      <c r="A171" s="76" t="s">
        <v>306</v>
      </c>
    </row>
    <row r="172">
      <c r="A172" s="76" t="s">
        <v>307</v>
      </c>
      <c r="B172" s="76" t="s">
        <v>1708</v>
      </c>
      <c r="C172" s="76" t="s">
        <v>1709</v>
      </c>
      <c r="D172" s="76">
        <v>55680.0</v>
      </c>
    </row>
    <row r="173">
      <c r="A173" s="76" t="s">
        <v>308</v>
      </c>
      <c r="B173" s="76" t="s">
        <v>1702</v>
      </c>
      <c r="C173" s="76" t="s">
        <v>1703</v>
      </c>
      <c r="D173" s="76">
        <v>13189.0</v>
      </c>
    </row>
    <row r="174">
      <c r="A174" s="76" t="s">
        <v>309</v>
      </c>
    </row>
    <row r="175">
      <c r="A175" s="76" t="s">
        <v>310</v>
      </c>
      <c r="B175" s="76" t="s">
        <v>1702</v>
      </c>
      <c r="C175" s="76" t="s">
        <v>1727</v>
      </c>
      <c r="D175" s="76">
        <v>161100.0</v>
      </c>
    </row>
    <row r="176">
      <c r="A176" s="76" t="s">
        <v>311</v>
      </c>
      <c r="B176" s="76" t="s">
        <v>1702</v>
      </c>
      <c r="C176" s="76" t="s">
        <v>1746</v>
      </c>
      <c r="D176" s="76">
        <v>27400.0</v>
      </c>
    </row>
    <row r="177">
      <c r="A177" s="76" t="s">
        <v>312</v>
      </c>
    </row>
    <row r="178">
      <c r="A178" s="76" t="s">
        <v>313</v>
      </c>
    </row>
    <row r="179">
      <c r="A179" s="76" t="s">
        <v>314</v>
      </c>
      <c r="B179" s="76" t="s">
        <v>1698</v>
      </c>
      <c r="C179" s="76" t="s">
        <v>1742</v>
      </c>
      <c r="D179" s="76">
        <v>50000.0</v>
      </c>
    </row>
    <row r="180">
      <c r="A180" s="76" t="s">
        <v>315</v>
      </c>
      <c r="B180" s="76" t="s">
        <v>1708</v>
      </c>
      <c r="C180" s="76" t="s">
        <v>1709</v>
      </c>
      <c r="D180" s="76">
        <v>55000.0</v>
      </c>
    </row>
    <row r="181">
      <c r="A181" s="76" t="s">
        <v>316</v>
      </c>
      <c r="B181" s="76" t="s">
        <v>1698</v>
      </c>
      <c r="C181" s="76" t="s">
        <v>1714</v>
      </c>
      <c r="D181" s="76">
        <v>328.0</v>
      </c>
    </row>
    <row r="182">
      <c r="A182" s="76" t="s">
        <v>317</v>
      </c>
    </row>
    <row r="183">
      <c r="A183" s="76" t="s">
        <v>318</v>
      </c>
      <c r="B183" s="76" t="s">
        <v>1708</v>
      </c>
      <c r="C183" s="76" t="s">
        <v>1709</v>
      </c>
      <c r="D183" s="76">
        <v>1000.0</v>
      </c>
    </row>
    <row r="184">
      <c r="A184" s="76" t="s">
        <v>319</v>
      </c>
      <c r="B184" s="76" t="s">
        <v>1708</v>
      </c>
      <c r="C184" s="76" t="s">
        <v>1709</v>
      </c>
      <c r="D184" s="76">
        <v>125000.0</v>
      </c>
    </row>
    <row r="185">
      <c r="A185" s="76" t="s">
        <v>320</v>
      </c>
      <c r="B185" s="76" t="s">
        <v>1708</v>
      </c>
      <c r="C185" s="76" t="s">
        <v>1747</v>
      </c>
      <c r="D185" s="76">
        <v>13000.0</v>
      </c>
    </row>
    <row r="186">
      <c r="A186" s="76" t="s">
        <v>321</v>
      </c>
    </row>
    <row r="187">
      <c r="A187" s="76" t="s">
        <v>322</v>
      </c>
    </row>
    <row r="188">
      <c r="A188" s="76" t="s">
        <v>323</v>
      </c>
      <c r="B188" s="76" t="s">
        <v>1698</v>
      </c>
      <c r="C188" s="76" t="s">
        <v>1714</v>
      </c>
      <c r="D188" s="76">
        <v>37.0</v>
      </c>
    </row>
    <row r="189">
      <c r="A189" s="76" t="s">
        <v>324</v>
      </c>
    </row>
    <row r="190">
      <c r="A190" s="76" t="s">
        <v>325</v>
      </c>
      <c r="B190" s="76" t="s">
        <v>1698</v>
      </c>
      <c r="C190" s="76" t="s">
        <v>1714</v>
      </c>
      <c r="D190" s="76">
        <v>140.0</v>
      </c>
    </row>
    <row r="191">
      <c r="A191" s="76" t="s">
        <v>326</v>
      </c>
      <c r="B191" s="76" t="s">
        <v>1698</v>
      </c>
      <c r="C191" s="76" t="s">
        <v>1714</v>
      </c>
      <c r="D191" s="76">
        <v>77.0</v>
      </c>
    </row>
    <row r="192">
      <c r="A192" s="76" t="s">
        <v>327</v>
      </c>
      <c r="B192" s="76" t="s">
        <v>1698</v>
      </c>
      <c r="C192" s="76" t="s">
        <v>1714</v>
      </c>
      <c r="D192" s="76">
        <v>178.0</v>
      </c>
    </row>
    <row r="193">
      <c r="A193" s="76" t="s">
        <v>328</v>
      </c>
      <c r="B193" s="76" t="s">
        <v>1698</v>
      </c>
      <c r="C193" s="76" t="s">
        <v>1714</v>
      </c>
      <c r="D193" s="76">
        <v>49.0</v>
      </c>
    </row>
    <row r="194">
      <c r="A194" s="76" t="s">
        <v>329</v>
      </c>
    </row>
    <row r="195">
      <c r="A195" s="76" t="s">
        <v>330</v>
      </c>
      <c r="B195" s="76" t="s">
        <v>1698</v>
      </c>
      <c r="C195" s="76" t="s">
        <v>1714</v>
      </c>
      <c r="D195" s="76">
        <v>151.0</v>
      </c>
    </row>
    <row r="196">
      <c r="A196" s="76" t="s">
        <v>331</v>
      </c>
      <c r="B196" s="76" t="s">
        <v>1702</v>
      </c>
      <c r="C196" s="76" t="s">
        <v>1707</v>
      </c>
      <c r="D196" s="76">
        <v>8147.0</v>
      </c>
    </row>
    <row r="197">
      <c r="A197" s="76" t="s">
        <v>332</v>
      </c>
    </row>
    <row r="198">
      <c r="A198" s="76" t="s">
        <v>333</v>
      </c>
      <c r="B198" s="76" t="s">
        <v>1698</v>
      </c>
      <c r="C198" s="76" t="s">
        <v>1714</v>
      </c>
      <c r="D198" s="76">
        <v>154.0</v>
      </c>
    </row>
    <row r="199">
      <c r="A199" s="76" t="s">
        <v>334</v>
      </c>
      <c r="B199" s="76" t="s">
        <v>1715</v>
      </c>
      <c r="C199" s="76" t="s">
        <v>1723</v>
      </c>
      <c r="D199" s="76">
        <v>25000.0</v>
      </c>
    </row>
    <row r="200">
      <c r="A200" s="76" t="s">
        <v>335</v>
      </c>
      <c r="B200" s="76" t="s">
        <v>1708</v>
      </c>
      <c r="C200" s="76" t="s">
        <v>1709</v>
      </c>
      <c r="D200" s="76">
        <v>2500.0</v>
      </c>
    </row>
    <row r="201">
      <c r="A201" s="76" t="s">
        <v>336</v>
      </c>
      <c r="B201" s="76" t="s">
        <v>1708</v>
      </c>
      <c r="C201" s="76" t="s">
        <v>1748</v>
      </c>
      <c r="D201" s="76">
        <v>365.0</v>
      </c>
    </row>
    <row r="202">
      <c r="A202" s="76" t="s">
        <v>337</v>
      </c>
      <c r="B202" s="76" t="s">
        <v>1698</v>
      </c>
      <c r="C202" s="76" t="s">
        <v>1714</v>
      </c>
      <c r="D202" s="76">
        <v>4200.0</v>
      </c>
    </row>
    <row r="203">
      <c r="A203" s="76" t="s">
        <v>338</v>
      </c>
      <c r="B203" s="76" t="s">
        <v>1715</v>
      </c>
      <c r="C203" s="76" t="s">
        <v>1749</v>
      </c>
      <c r="D203" s="76">
        <v>2922.0</v>
      </c>
    </row>
    <row r="204">
      <c r="A204" s="76" t="s">
        <v>339</v>
      </c>
    </row>
    <row r="205">
      <c r="A205" s="76" t="s">
        <v>340</v>
      </c>
    </row>
    <row r="206">
      <c r="A206" s="76" t="s">
        <v>341</v>
      </c>
      <c r="B206" s="76" t="s">
        <v>1715</v>
      </c>
      <c r="C206" s="76" t="s">
        <v>1750</v>
      </c>
      <c r="D206" s="76">
        <v>10500.0</v>
      </c>
    </row>
    <row r="207">
      <c r="A207" s="76" t="s">
        <v>342</v>
      </c>
      <c r="B207" s="76" t="s">
        <v>1698</v>
      </c>
      <c r="C207" s="76" t="s">
        <v>1712</v>
      </c>
      <c r="D207" s="76">
        <v>7400.0</v>
      </c>
    </row>
    <row r="208">
      <c r="A208" s="76" t="s">
        <v>343</v>
      </c>
      <c r="B208" s="76" t="s">
        <v>1708</v>
      </c>
      <c r="C208" s="76" t="s">
        <v>1737</v>
      </c>
      <c r="D208" s="76">
        <v>22725.0</v>
      </c>
    </row>
    <row r="209">
      <c r="A209" s="76" t="s">
        <v>344</v>
      </c>
      <c r="B209" s="76" t="s">
        <v>1708</v>
      </c>
      <c r="C209" s="76" t="s">
        <v>1725</v>
      </c>
      <c r="D209" s="76">
        <v>2800.0</v>
      </c>
    </row>
    <row r="210">
      <c r="A210" s="76" t="s">
        <v>345</v>
      </c>
    </row>
    <row r="211">
      <c r="A211" s="76" t="s">
        <v>346</v>
      </c>
      <c r="B211" s="76" t="s">
        <v>1702</v>
      </c>
      <c r="C211" s="76" t="s">
        <v>1721</v>
      </c>
      <c r="D211" s="76">
        <v>10400.0</v>
      </c>
    </row>
    <row r="212">
      <c r="A212" s="76" t="s">
        <v>347</v>
      </c>
      <c r="B212" s="76" t="s">
        <v>1702</v>
      </c>
      <c r="C212" s="76" t="s">
        <v>1707</v>
      </c>
      <c r="D212" s="76">
        <v>15800.0</v>
      </c>
    </row>
    <row r="213">
      <c r="A213" s="76" t="s">
        <v>348</v>
      </c>
    </row>
    <row r="214">
      <c r="A214" s="76" t="s">
        <v>349</v>
      </c>
      <c r="B214" s="76" t="s">
        <v>1698</v>
      </c>
      <c r="C214" s="76" t="s">
        <v>1714</v>
      </c>
      <c r="D214" s="76">
        <v>210.0</v>
      </c>
    </row>
    <row r="215">
      <c r="A215" s="76" t="s">
        <v>350</v>
      </c>
      <c r="B215" s="76" t="s">
        <v>1708</v>
      </c>
      <c r="C215" s="76" t="s">
        <v>1751</v>
      </c>
      <c r="D215" s="76">
        <v>18300.0</v>
      </c>
    </row>
    <row r="216">
      <c r="A216" s="76" t="s">
        <v>351</v>
      </c>
      <c r="B216" s="76" t="s">
        <v>1708</v>
      </c>
      <c r="C216" s="76" t="s">
        <v>1737</v>
      </c>
      <c r="D216" s="76">
        <v>94000.0</v>
      </c>
    </row>
    <row r="217">
      <c r="A217" s="76" t="s">
        <v>352</v>
      </c>
      <c r="B217" s="76" t="s">
        <v>1698</v>
      </c>
      <c r="C217" s="76" t="s">
        <v>1714</v>
      </c>
      <c r="D217" s="76">
        <v>18.0</v>
      </c>
    </row>
    <row r="218">
      <c r="A218" s="76" t="s">
        <v>353</v>
      </c>
      <c r="B218" s="76" t="s">
        <v>1698</v>
      </c>
      <c r="C218" s="76" t="s">
        <v>1714</v>
      </c>
      <c r="D218" s="76">
        <v>42.0</v>
      </c>
    </row>
    <row r="219">
      <c r="A219" s="76" t="s">
        <v>354</v>
      </c>
      <c r="B219" s="76" t="s">
        <v>1698</v>
      </c>
      <c r="C219" s="76" t="s">
        <v>1714</v>
      </c>
      <c r="D219" s="76">
        <v>1167.0</v>
      </c>
    </row>
    <row r="220">
      <c r="A220" s="76" t="s">
        <v>355</v>
      </c>
      <c r="B220" s="76" t="s">
        <v>1702</v>
      </c>
      <c r="C220" s="76" t="s">
        <v>1707</v>
      </c>
      <c r="D220" s="76">
        <v>10200.0</v>
      </c>
    </row>
    <row r="221">
      <c r="A221" s="76" t="s">
        <v>356</v>
      </c>
      <c r="B221" s="76" t="s">
        <v>1698</v>
      </c>
      <c r="C221" s="76" t="s">
        <v>1714</v>
      </c>
      <c r="D221" s="76">
        <v>3001.0</v>
      </c>
    </row>
    <row r="222">
      <c r="A222" s="76" t="s">
        <v>357</v>
      </c>
      <c r="B222" s="76" t="s">
        <v>1698</v>
      </c>
      <c r="C222" s="76" t="s">
        <v>1712</v>
      </c>
      <c r="D222" s="76">
        <v>30000.0</v>
      </c>
    </row>
    <row r="223">
      <c r="A223" s="76" t="s">
        <v>358</v>
      </c>
      <c r="B223" s="76" t="s">
        <v>1708</v>
      </c>
      <c r="C223" s="76" t="s">
        <v>1709</v>
      </c>
      <c r="D223" s="76">
        <v>3400.0</v>
      </c>
    </row>
    <row r="224">
      <c r="A224" s="76" t="s">
        <v>359</v>
      </c>
      <c r="B224" s="76" t="s">
        <v>1698</v>
      </c>
      <c r="C224" s="76" t="s">
        <v>1714</v>
      </c>
      <c r="D224" s="76">
        <v>1400.0</v>
      </c>
    </row>
    <row r="225">
      <c r="A225" s="76" t="s">
        <v>360</v>
      </c>
      <c r="B225" s="76" t="s">
        <v>1708</v>
      </c>
      <c r="C225" s="76" t="s">
        <v>1725</v>
      </c>
      <c r="D225" s="76">
        <v>1100.0</v>
      </c>
    </row>
    <row r="226">
      <c r="A226" s="76" t="s">
        <v>361</v>
      </c>
      <c r="B226" s="76" t="s">
        <v>1698</v>
      </c>
      <c r="C226" s="76" t="s">
        <v>1714</v>
      </c>
      <c r="D226" s="76">
        <v>419.0</v>
      </c>
    </row>
    <row r="227">
      <c r="A227" s="76" t="s">
        <v>362</v>
      </c>
      <c r="B227" s="76" t="s">
        <v>1715</v>
      </c>
      <c r="C227" s="76" t="s">
        <v>1716</v>
      </c>
      <c r="D227" s="76">
        <v>500.0</v>
      </c>
    </row>
    <row r="228">
      <c r="A228" s="76" t="s">
        <v>363</v>
      </c>
      <c r="B228" s="76" t="s">
        <v>1715</v>
      </c>
      <c r="C228" s="76" t="s">
        <v>1749</v>
      </c>
      <c r="D228" s="76">
        <v>90000.0</v>
      </c>
    </row>
    <row r="229">
      <c r="A229" s="76" t="s">
        <v>364</v>
      </c>
      <c r="B229" s="76" t="s">
        <v>1715</v>
      </c>
      <c r="C229" s="76" t="s">
        <v>1749</v>
      </c>
      <c r="D229" s="76">
        <v>564.0</v>
      </c>
    </row>
    <row r="230">
      <c r="A230" s="76" t="s">
        <v>365</v>
      </c>
      <c r="B230" s="76" t="s">
        <v>1698</v>
      </c>
      <c r="C230" s="76" t="s">
        <v>1718</v>
      </c>
      <c r="D230" s="76">
        <v>7000.0</v>
      </c>
    </row>
    <row r="231">
      <c r="A231" s="76" t="s">
        <v>366</v>
      </c>
      <c r="B231" s="76" t="s">
        <v>1705</v>
      </c>
      <c r="C231" s="76" t="s">
        <v>1720</v>
      </c>
      <c r="D231" s="76">
        <v>3000.0</v>
      </c>
    </row>
    <row r="232">
      <c r="A232" s="76" t="s">
        <v>367</v>
      </c>
      <c r="B232" s="76" t="s">
        <v>1708</v>
      </c>
      <c r="C232" s="76" t="s">
        <v>1731</v>
      </c>
      <c r="D232" s="76">
        <v>2555.0</v>
      </c>
    </row>
    <row r="233">
      <c r="A233" s="76" t="s">
        <v>368</v>
      </c>
      <c r="B233" s="76" t="s">
        <v>1698</v>
      </c>
      <c r="C233" s="76" t="s">
        <v>1718</v>
      </c>
      <c r="D233" s="76">
        <v>33.0</v>
      </c>
    </row>
    <row r="234">
      <c r="A234" s="76" t="s">
        <v>369</v>
      </c>
      <c r="B234" s="76" t="s">
        <v>1698</v>
      </c>
      <c r="C234" s="76" t="s">
        <v>1714</v>
      </c>
      <c r="D234" s="76">
        <v>7.0</v>
      </c>
    </row>
    <row r="235">
      <c r="A235" s="76" t="s">
        <v>370</v>
      </c>
      <c r="B235" s="76" t="s">
        <v>1698</v>
      </c>
      <c r="C235" s="76" t="s">
        <v>1718</v>
      </c>
      <c r="D235" s="76">
        <v>36000.0</v>
      </c>
    </row>
    <row r="236">
      <c r="A236" s="76" t="s">
        <v>371</v>
      </c>
      <c r="B236" s="76" t="s">
        <v>1698</v>
      </c>
      <c r="C236" s="76" t="s">
        <v>1714</v>
      </c>
      <c r="D236" s="76">
        <v>31.0</v>
      </c>
    </row>
    <row r="237">
      <c r="A237" s="76" t="s">
        <v>372</v>
      </c>
    </row>
    <row r="238">
      <c r="A238" s="76" t="s">
        <v>373</v>
      </c>
      <c r="B238" s="76" t="s">
        <v>1715</v>
      </c>
      <c r="C238" s="76" t="s">
        <v>1752</v>
      </c>
      <c r="D238" s="76">
        <v>64099.0</v>
      </c>
    </row>
    <row r="239">
      <c r="A239" s="76" t="s">
        <v>374</v>
      </c>
      <c r="B239" s="76" t="s">
        <v>1708</v>
      </c>
      <c r="C239" s="76" t="s">
        <v>1747</v>
      </c>
      <c r="D239" s="76">
        <v>300.0</v>
      </c>
    </row>
    <row r="240">
      <c r="A240" s="76" t="s">
        <v>375</v>
      </c>
      <c r="B240" s="76" t="s">
        <v>1715</v>
      </c>
      <c r="C240" s="76" t="s">
        <v>1716</v>
      </c>
      <c r="D240" s="76">
        <v>170000.0</v>
      </c>
    </row>
    <row r="241">
      <c r="A241" s="76" t="s">
        <v>376</v>
      </c>
      <c r="B241" s="76" t="s">
        <v>1708</v>
      </c>
      <c r="C241" s="76" t="s">
        <v>1725</v>
      </c>
      <c r="D241" s="76">
        <v>47000.0</v>
      </c>
    </row>
    <row r="242">
      <c r="A242" s="76" t="s">
        <v>377</v>
      </c>
    </row>
    <row r="243">
      <c r="A243" s="76" t="s">
        <v>378</v>
      </c>
      <c r="B243" s="76" t="s">
        <v>1698</v>
      </c>
      <c r="C243" s="76" t="s">
        <v>1714</v>
      </c>
      <c r="D243" s="76">
        <v>25.0</v>
      </c>
    </row>
    <row r="244">
      <c r="A244" s="76" t="s">
        <v>379</v>
      </c>
      <c r="B244" s="76" t="s">
        <v>1698</v>
      </c>
      <c r="C244" s="76" t="s">
        <v>1699</v>
      </c>
      <c r="D244" s="76">
        <v>107.0</v>
      </c>
    </row>
    <row r="245">
      <c r="A245" s="76" t="s">
        <v>380</v>
      </c>
    </row>
    <row r="246">
      <c r="A246" s="76" t="s">
        <v>381</v>
      </c>
      <c r="B246" s="76" t="s">
        <v>1702</v>
      </c>
      <c r="C246" s="76" t="s">
        <v>1727</v>
      </c>
      <c r="D246" s="76">
        <v>6450.0</v>
      </c>
    </row>
    <row r="247">
      <c r="A247" s="76" t="s">
        <v>382</v>
      </c>
      <c r="B247" s="76" t="s">
        <v>1702</v>
      </c>
      <c r="C247" s="76" t="s">
        <v>1707</v>
      </c>
      <c r="D247" s="76">
        <v>2000.0</v>
      </c>
    </row>
    <row r="248">
      <c r="A248" s="76" t="s">
        <v>383</v>
      </c>
      <c r="B248" s="76" t="s">
        <v>1708</v>
      </c>
      <c r="C248" s="76" t="s">
        <v>1753</v>
      </c>
      <c r="D248" s="76">
        <v>4250.0</v>
      </c>
    </row>
    <row r="249">
      <c r="A249" s="76" t="s">
        <v>384</v>
      </c>
      <c r="B249" s="76" t="s">
        <v>1708</v>
      </c>
      <c r="C249" s="76" t="s">
        <v>1753</v>
      </c>
      <c r="D249" s="76">
        <v>24300.0</v>
      </c>
    </row>
    <row r="250">
      <c r="A250" s="76" t="s">
        <v>385</v>
      </c>
      <c r="B250" s="76" t="s">
        <v>1698</v>
      </c>
      <c r="C250" s="76" t="s">
        <v>1714</v>
      </c>
      <c r="D250" s="76">
        <v>61.0</v>
      </c>
    </row>
    <row r="251">
      <c r="A251" s="76" t="s">
        <v>386</v>
      </c>
      <c r="B251" s="76" t="s">
        <v>1708</v>
      </c>
      <c r="C251" s="76" t="s">
        <v>1754</v>
      </c>
      <c r="D251" s="76">
        <v>1205.0</v>
      </c>
    </row>
    <row r="252">
      <c r="A252" s="76" t="s">
        <v>387</v>
      </c>
      <c r="B252" s="76" t="s">
        <v>1702</v>
      </c>
      <c r="C252" s="76" t="s">
        <v>1710</v>
      </c>
      <c r="D252" s="76">
        <v>6299.0</v>
      </c>
    </row>
    <row r="253">
      <c r="A253" s="76" t="s">
        <v>388</v>
      </c>
      <c r="B253" s="76" t="s">
        <v>1698</v>
      </c>
      <c r="C253" s="76" t="s">
        <v>1714</v>
      </c>
      <c r="D253" s="76">
        <v>31.0</v>
      </c>
    </row>
    <row r="254">
      <c r="A254" s="76" t="s">
        <v>389</v>
      </c>
      <c r="B254" s="76" t="s">
        <v>1705</v>
      </c>
      <c r="C254" s="76" t="s">
        <v>1755</v>
      </c>
      <c r="D254" s="76">
        <v>22900.0</v>
      </c>
    </row>
    <row r="255">
      <c r="A255" s="76" t="s">
        <v>390</v>
      </c>
      <c r="B255" s="76" t="s">
        <v>1702</v>
      </c>
      <c r="C255" s="76" t="s">
        <v>1727</v>
      </c>
      <c r="D255" s="76">
        <v>10000.0</v>
      </c>
    </row>
    <row r="256">
      <c r="A256" s="76" t="s">
        <v>391</v>
      </c>
      <c r="B256" s="76" t="s">
        <v>1715</v>
      </c>
      <c r="C256" s="76" t="s">
        <v>1749</v>
      </c>
      <c r="D256" s="76">
        <v>16500.0</v>
      </c>
    </row>
    <row r="257">
      <c r="A257" s="76" t="s">
        <v>392</v>
      </c>
      <c r="B257" s="76" t="s">
        <v>1698</v>
      </c>
      <c r="C257" s="76" t="s">
        <v>1713</v>
      </c>
      <c r="D257" s="76">
        <v>48000.0</v>
      </c>
    </row>
    <row r="258">
      <c r="A258" s="76" t="s">
        <v>393</v>
      </c>
      <c r="B258" s="76" t="s">
        <v>1702</v>
      </c>
      <c r="C258" s="76" t="s">
        <v>1704</v>
      </c>
      <c r="D258" s="76">
        <v>218.0</v>
      </c>
    </row>
    <row r="259">
      <c r="A259" s="76" t="s">
        <v>394</v>
      </c>
      <c r="B259" s="76" t="s">
        <v>1705</v>
      </c>
      <c r="C259" s="76" t="s">
        <v>1756</v>
      </c>
      <c r="D259" s="76">
        <v>187041.0</v>
      </c>
    </row>
    <row r="260">
      <c r="A260" s="76" t="s">
        <v>395</v>
      </c>
      <c r="B260" s="76" t="s">
        <v>1708</v>
      </c>
      <c r="C260" s="76" t="s">
        <v>1737</v>
      </c>
      <c r="D260" s="76">
        <v>46250.0</v>
      </c>
    </row>
    <row r="261">
      <c r="A261" s="76" t="s">
        <v>396</v>
      </c>
      <c r="B261" s="76" t="s">
        <v>1708</v>
      </c>
      <c r="C261" s="76" t="s">
        <v>1757</v>
      </c>
      <c r="D261" s="76">
        <v>11400.0</v>
      </c>
    </row>
    <row r="262">
      <c r="A262" s="76" t="s">
        <v>397</v>
      </c>
      <c r="B262" s="76" t="s">
        <v>1698</v>
      </c>
      <c r="C262" s="76" t="s">
        <v>1714</v>
      </c>
      <c r="D262" s="76">
        <v>90.0</v>
      </c>
    </row>
    <row r="263">
      <c r="A263" s="76" t="s">
        <v>398</v>
      </c>
      <c r="B263" s="76" t="s">
        <v>1715</v>
      </c>
      <c r="C263" s="76" t="s">
        <v>1723</v>
      </c>
      <c r="D263" s="76">
        <v>3461.0</v>
      </c>
    </row>
    <row r="264">
      <c r="A264" s="76" t="s">
        <v>399</v>
      </c>
      <c r="B264" s="76" t="s">
        <v>1698</v>
      </c>
      <c r="C264" s="76" t="s">
        <v>1722</v>
      </c>
      <c r="D264" s="76">
        <v>21.0</v>
      </c>
    </row>
    <row r="265">
      <c r="A265" s="76" t="s">
        <v>400</v>
      </c>
      <c r="B265" s="76" t="s">
        <v>1705</v>
      </c>
      <c r="C265" s="76" t="s">
        <v>1720</v>
      </c>
      <c r="D265" s="76">
        <v>322.0</v>
      </c>
    </row>
    <row r="266">
      <c r="A266" s="76" t="s">
        <v>401</v>
      </c>
      <c r="B266" s="76" t="s">
        <v>1698</v>
      </c>
      <c r="C266" s="76" t="s">
        <v>1714</v>
      </c>
      <c r="D266" s="76">
        <v>16.0</v>
      </c>
    </row>
    <row r="267">
      <c r="A267" s="76" t="s">
        <v>402</v>
      </c>
      <c r="B267" s="76" t="s">
        <v>1702</v>
      </c>
      <c r="C267" s="76" t="s">
        <v>1704</v>
      </c>
      <c r="D267" s="76">
        <v>21200.0</v>
      </c>
    </row>
    <row r="268">
      <c r="A268" s="76" t="s">
        <v>403</v>
      </c>
      <c r="B268" s="76" t="s">
        <v>1698</v>
      </c>
      <c r="C268" s="76" t="s">
        <v>1714</v>
      </c>
      <c r="D268" s="76">
        <v>72.0</v>
      </c>
    </row>
    <row r="269">
      <c r="A269" s="76" t="s">
        <v>404</v>
      </c>
      <c r="B269" s="76" t="s">
        <v>1698</v>
      </c>
      <c r="C269" s="76" t="s">
        <v>1714</v>
      </c>
      <c r="D269" s="76">
        <v>125.0</v>
      </c>
    </row>
    <row r="270">
      <c r="A270" s="76" t="s">
        <v>405</v>
      </c>
      <c r="B270" s="76" t="s">
        <v>1715</v>
      </c>
      <c r="C270" s="76" t="s">
        <v>1758</v>
      </c>
      <c r="D270" s="76">
        <v>17282.0</v>
      </c>
    </row>
    <row r="271">
      <c r="A271" s="76" t="s">
        <v>406</v>
      </c>
      <c r="B271" s="76" t="s">
        <v>1702</v>
      </c>
      <c r="C271" s="76" t="s">
        <v>1740</v>
      </c>
      <c r="D271" s="76">
        <v>102300.0</v>
      </c>
    </row>
    <row r="272">
      <c r="A272" s="76" t="s">
        <v>407</v>
      </c>
      <c r="B272" s="76" t="s">
        <v>1698</v>
      </c>
      <c r="C272" s="76" t="s">
        <v>1714</v>
      </c>
      <c r="D272" s="76">
        <v>27.0</v>
      </c>
    </row>
    <row r="273">
      <c r="A273" s="76" t="s">
        <v>408</v>
      </c>
      <c r="B273" s="76" t="s">
        <v>1708</v>
      </c>
      <c r="C273" s="76" t="s">
        <v>1725</v>
      </c>
      <c r="D273" s="76">
        <v>10060.0</v>
      </c>
    </row>
    <row r="274">
      <c r="A274" s="76" t="s">
        <v>409</v>
      </c>
      <c r="B274" s="76" t="s">
        <v>1698</v>
      </c>
      <c r="C274" s="76" t="s">
        <v>1714</v>
      </c>
      <c r="D274" s="76">
        <v>22.0</v>
      </c>
    </row>
    <row r="275">
      <c r="A275" s="76" t="s">
        <v>410</v>
      </c>
      <c r="B275" s="76" t="s">
        <v>1708</v>
      </c>
      <c r="C275" s="76" t="s">
        <v>1759</v>
      </c>
      <c r="D275" s="76">
        <v>110000.0</v>
      </c>
    </row>
    <row r="276">
      <c r="A276" s="76" t="s">
        <v>411</v>
      </c>
      <c r="B276" s="76" t="s">
        <v>1698</v>
      </c>
      <c r="C276" s="76" t="s">
        <v>1714</v>
      </c>
      <c r="D276" s="76">
        <v>34.0</v>
      </c>
    </row>
    <row r="277">
      <c r="A277" s="76" t="s">
        <v>412</v>
      </c>
    </row>
    <row r="278">
      <c r="A278" s="76" t="s">
        <v>413</v>
      </c>
      <c r="B278" s="76" t="s">
        <v>1698</v>
      </c>
      <c r="C278" s="76" t="s">
        <v>1714</v>
      </c>
      <c r="D278" s="76">
        <v>217.0</v>
      </c>
    </row>
    <row r="279">
      <c r="A279" s="76" t="s">
        <v>414</v>
      </c>
      <c r="B279" s="76" t="s">
        <v>1698</v>
      </c>
      <c r="C279" s="76" t="s">
        <v>1714</v>
      </c>
      <c r="D279" s="76">
        <v>2246.0</v>
      </c>
    </row>
    <row r="280">
      <c r="A280" s="76" t="s">
        <v>415</v>
      </c>
      <c r="B280" s="76" t="s">
        <v>1708</v>
      </c>
      <c r="C280" s="76" t="s">
        <v>1737</v>
      </c>
      <c r="D280" s="76">
        <v>73000.0</v>
      </c>
    </row>
    <row r="281">
      <c r="A281" s="76" t="s">
        <v>416</v>
      </c>
      <c r="B281" s="76" t="s">
        <v>1700</v>
      </c>
      <c r="C281" s="76" t="s">
        <v>1728</v>
      </c>
      <c r="D281" s="76">
        <v>4500.0</v>
      </c>
    </row>
    <row r="282">
      <c r="A282" s="76" t="s">
        <v>417</v>
      </c>
      <c r="B282" s="76" t="s">
        <v>1700</v>
      </c>
      <c r="C282" s="76" t="s">
        <v>1728</v>
      </c>
      <c r="D282" s="76">
        <v>7000.0</v>
      </c>
    </row>
    <row r="283">
      <c r="A283" s="76" t="s">
        <v>418</v>
      </c>
      <c r="B283" s="76" t="s">
        <v>1700</v>
      </c>
      <c r="C283" s="76" t="s">
        <v>1728</v>
      </c>
      <c r="D283" s="76">
        <v>726.0</v>
      </c>
    </row>
    <row r="284">
      <c r="A284" s="76" t="s">
        <v>419</v>
      </c>
    </row>
    <row r="285">
      <c r="A285" s="76" t="s">
        <v>420</v>
      </c>
      <c r="B285" s="76" t="s">
        <v>1708</v>
      </c>
      <c r="C285" s="76" t="s">
        <v>1760</v>
      </c>
      <c r="D285" s="76">
        <v>150000.0</v>
      </c>
    </row>
    <row r="286">
      <c r="A286" s="76" t="s">
        <v>421</v>
      </c>
      <c r="B286" s="76" t="s">
        <v>1705</v>
      </c>
      <c r="C286" s="76" t="s">
        <v>1720</v>
      </c>
      <c r="D286" s="76">
        <v>2000.0</v>
      </c>
    </row>
    <row r="287">
      <c r="A287" s="76" t="s">
        <v>422</v>
      </c>
      <c r="B287" s="76" t="s">
        <v>1708</v>
      </c>
      <c r="C287" s="76" t="s">
        <v>1754</v>
      </c>
      <c r="D287" s="76">
        <v>1460.0</v>
      </c>
    </row>
    <row r="288">
      <c r="A288" s="76" t="s">
        <v>423</v>
      </c>
    </row>
    <row r="289">
      <c r="A289" s="76" t="s">
        <v>424</v>
      </c>
      <c r="B289" s="76" t="s">
        <v>1698</v>
      </c>
      <c r="C289" s="76" t="s">
        <v>1714</v>
      </c>
      <c r="D289" s="76">
        <v>82.0</v>
      </c>
    </row>
    <row r="290">
      <c r="A290" s="76" t="s">
        <v>425</v>
      </c>
      <c r="B290" s="76" t="s">
        <v>1700</v>
      </c>
      <c r="C290" s="76" t="s">
        <v>1724</v>
      </c>
      <c r="D290" s="76">
        <v>2155.0</v>
      </c>
    </row>
    <row r="291">
      <c r="A291" s="76" t="s">
        <v>426</v>
      </c>
      <c r="B291" s="76" t="s">
        <v>1698</v>
      </c>
      <c r="C291" s="76" t="s">
        <v>1714</v>
      </c>
      <c r="D291" s="76">
        <v>222.0</v>
      </c>
    </row>
    <row r="292">
      <c r="A292" s="76" t="s">
        <v>427</v>
      </c>
    </row>
    <row r="293">
      <c r="A293" s="76" t="s">
        <v>428</v>
      </c>
      <c r="B293" s="76" t="s">
        <v>1698</v>
      </c>
      <c r="C293" s="76" t="s">
        <v>1714</v>
      </c>
      <c r="D293" s="76">
        <v>68.0</v>
      </c>
    </row>
    <row r="294">
      <c r="A294" s="76" t="s">
        <v>429</v>
      </c>
    </row>
    <row r="295">
      <c r="A295" s="76" t="s">
        <v>430</v>
      </c>
      <c r="B295" s="76" t="s">
        <v>1700</v>
      </c>
      <c r="C295" s="76" t="s">
        <v>1733</v>
      </c>
      <c r="D295" s="76">
        <v>7700.0</v>
      </c>
    </row>
    <row r="296">
      <c r="A296" s="76" t="s">
        <v>431</v>
      </c>
    </row>
    <row r="297">
      <c r="A297" s="76" t="s">
        <v>432</v>
      </c>
      <c r="B297" s="76" t="s">
        <v>1698</v>
      </c>
      <c r="C297" s="76" t="s">
        <v>1699</v>
      </c>
      <c r="D297" s="76">
        <v>324.0</v>
      </c>
    </row>
    <row r="298">
      <c r="A298" s="76" t="s">
        <v>433</v>
      </c>
      <c r="B298" s="76" t="s">
        <v>1715</v>
      </c>
      <c r="C298" s="76" t="s">
        <v>1749</v>
      </c>
      <c r="D298" s="76">
        <v>6000.0</v>
      </c>
    </row>
    <row r="299">
      <c r="A299" s="76" t="s">
        <v>434</v>
      </c>
      <c r="B299" s="76" t="s">
        <v>1700</v>
      </c>
      <c r="C299" s="76" t="s">
        <v>1701</v>
      </c>
      <c r="D299" s="76">
        <v>2079.0</v>
      </c>
    </row>
    <row r="300">
      <c r="A300" s="76" t="s">
        <v>435</v>
      </c>
      <c r="B300" s="76" t="s">
        <v>1698</v>
      </c>
      <c r="C300" s="76" t="s">
        <v>1714</v>
      </c>
      <c r="D300" s="76">
        <v>18.0</v>
      </c>
    </row>
    <row r="301">
      <c r="A301" s="76" t="s">
        <v>436</v>
      </c>
      <c r="B301" s="76" t="s">
        <v>1698</v>
      </c>
      <c r="C301" s="76" t="s">
        <v>1761</v>
      </c>
      <c r="D301" s="76">
        <v>27400.0</v>
      </c>
    </row>
    <row r="302">
      <c r="A302" s="76" t="s">
        <v>437</v>
      </c>
      <c r="B302" s="76" t="s">
        <v>1705</v>
      </c>
      <c r="C302" s="76" t="s">
        <v>1706</v>
      </c>
      <c r="D302" s="76">
        <v>382.0</v>
      </c>
    </row>
    <row r="303">
      <c r="A303" s="76" t="s">
        <v>438</v>
      </c>
      <c r="B303" s="76" t="s">
        <v>1700</v>
      </c>
      <c r="C303" s="76" t="s">
        <v>1762</v>
      </c>
      <c r="D303" s="76">
        <v>3000.0</v>
      </c>
    </row>
    <row r="304">
      <c r="A304" s="76" t="s">
        <v>439</v>
      </c>
      <c r="B304" s="76" t="s">
        <v>1698</v>
      </c>
      <c r="C304" s="76" t="s">
        <v>1714</v>
      </c>
      <c r="D304" s="76">
        <v>24.0</v>
      </c>
    </row>
    <row r="305">
      <c r="A305" s="76" t="s">
        <v>440</v>
      </c>
    </row>
    <row r="306">
      <c r="A306" s="76" t="s">
        <v>441</v>
      </c>
      <c r="B306" s="76" t="s">
        <v>1698</v>
      </c>
      <c r="C306" s="76" t="s">
        <v>1714</v>
      </c>
      <c r="D306" s="76">
        <v>61.0</v>
      </c>
    </row>
    <row r="307">
      <c r="A307" s="76" t="s">
        <v>442</v>
      </c>
      <c r="B307" s="76" t="s">
        <v>1705</v>
      </c>
      <c r="C307" s="76" t="s">
        <v>1763</v>
      </c>
      <c r="D307" s="76">
        <v>2267.0</v>
      </c>
    </row>
    <row r="308">
      <c r="A308" s="76" t="s">
        <v>443</v>
      </c>
      <c r="B308" s="76" t="s">
        <v>1715</v>
      </c>
      <c r="C308" s="76" t="s">
        <v>1764</v>
      </c>
      <c r="D308" s="76">
        <v>4800.0</v>
      </c>
    </row>
    <row r="309">
      <c r="A309" s="76" t="s">
        <v>444</v>
      </c>
      <c r="B309" s="76" t="s">
        <v>1708</v>
      </c>
      <c r="C309" s="76" t="s">
        <v>1765</v>
      </c>
      <c r="D309" s="76">
        <v>5500.0</v>
      </c>
    </row>
    <row r="310">
      <c r="A310" s="76" t="s">
        <v>445</v>
      </c>
      <c r="B310" s="76" t="s">
        <v>1698</v>
      </c>
      <c r="C310" s="76" t="s">
        <v>1719</v>
      </c>
      <c r="D310" s="76">
        <v>16641.0</v>
      </c>
    </row>
    <row r="311">
      <c r="A311" s="76" t="s">
        <v>446</v>
      </c>
      <c r="B311" s="76" t="s">
        <v>1715</v>
      </c>
      <c r="C311" s="76" t="s">
        <v>1732</v>
      </c>
      <c r="D311" s="76">
        <v>2447.0</v>
      </c>
    </row>
    <row r="312">
      <c r="A312" s="76" t="s">
        <v>447</v>
      </c>
      <c r="B312" s="76" t="s">
        <v>1708</v>
      </c>
      <c r="C312" s="76" t="s">
        <v>1766</v>
      </c>
      <c r="D312" s="76">
        <v>1807.0</v>
      </c>
    </row>
    <row r="313">
      <c r="A313" s="76" t="s">
        <v>448</v>
      </c>
      <c r="B313" s="76" t="s">
        <v>1698</v>
      </c>
      <c r="C313" s="76" t="s">
        <v>1714</v>
      </c>
      <c r="D313" s="76">
        <v>68.0</v>
      </c>
    </row>
    <row r="314">
      <c r="A314" s="76" t="s">
        <v>449</v>
      </c>
      <c r="B314" s="76" t="s">
        <v>1698</v>
      </c>
      <c r="C314" s="76" t="s">
        <v>1714</v>
      </c>
      <c r="D314" s="76">
        <v>306.0</v>
      </c>
    </row>
    <row r="315">
      <c r="A315" s="76" t="s">
        <v>450</v>
      </c>
      <c r="B315" s="76" t="s">
        <v>1702</v>
      </c>
      <c r="C315" s="76" t="s">
        <v>1743</v>
      </c>
      <c r="D315" s="76">
        <v>15338.0</v>
      </c>
    </row>
    <row r="316">
      <c r="A316" s="76" t="s">
        <v>451</v>
      </c>
      <c r="B316" s="76" t="s">
        <v>1708</v>
      </c>
      <c r="C316" s="76" t="s">
        <v>1725</v>
      </c>
      <c r="D316" s="76">
        <v>4788.0</v>
      </c>
    </row>
    <row r="317">
      <c r="A317" s="76" t="s">
        <v>452</v>
      </c>
      <c r="B317" s="76" t="s">
        <v>1708</v>
      </c>
      <c r="C317" s="76" t="s">
        <v>1737</v>
      </c>
      <c r="D317" s="76">
        <v>9000.0</v>
      </c>
    </row>
    <row r="318">
      <c r="A318" s="76" t="s">
        <v>453</v>
      </c>
      <c r="B318" s="76" t="s">
        <v>1729</v>
      </c>
      <c r="C318" s="76" t="s">
        <v>1730</v>
      </c>
      <c r="D318" s="76">
        <v>70.0</v>
      </c>
    </row>
    <row r="319">
      <c r="A319" s="76" t="s">
        <v>454</v>
      </c>
    </row>
    <row r="320">
      <c r="A320" s="76" t="s">
        <v>455</v>
      </c>
    </row>
    <row r="321">
      <c r="A321" s="76" t="s">
        <v>456</v>
      </c>
      <c r="B321" s="76" t="s">
        <v>1735</v>
      </c>
      <c r="C321" s="76" t="s">
        <v>1767</v>
      </c>
      <c r="D321" s="76">
        <v>2309.0</v>
      </c>
    </row>
    <row r="322">
      <c r="A322" s="76" t="s">
        <v>457</v>
      </c>
    </row>
    <row r="323">
      <c r="A323" s="76" t="s">
        <v>458</v>
      </c>
      <c r="B323" s="76" t="s">
        <v>1715</v>
      </c>
      <c r="C323" s="76" t="s">
        <v>1764</v>
      </c>
      <c r="D323" s="76">
        <v>34300.0</v>
      </c>
    </row>
    <row r="324">
      <c r="A324" s="76" t="s">
        <v>459</v>
      </c>
    </row>
    <row r="325">
      <c r="A325" s="76" t="s">
        <v>460</v>
      </c>
    </row>
    <row r="326">
      <c r="A326" s="76" t="s">
        <v>461</v>
      </c>
      <c r="B326" s="76" t="s">
        <v>1700</v>
      </c>
      <c r="C326" s="76" t="s">
        <v>1768</v>
      </c>
      <c r="D326" s="76">
        <v>2372.0</v>
      </c>
    </row>
    <row r="327">
      <c r="A327" s="76" t="s">
        <v>462</v>
      </c>
    </row>
    <row r="328">
      <c r="A328" s="76" t="s">
        <v>463</v>
      </c>
      <c r="B328" s="76" t="s">
        <v>1708</v>
      </c>
      <c r="C328" s="76" t="s">
        <v>1747</v>
      </c>
      <c r="D328" s="76">
        <v>1900.0</v>
      </c>
    </row>
    <row r="329">
      <c r="A329" s="76" t="s">
        <v>464</v>
      </c>
      <c r="B329" s="76" t="s">
        <v>1698</v>
      </c>
      <c r="C329" s="76" t="s">
        <v>1714</v>
      </c>
      <c r="D329" s="76">
        <v>484.0</v>
      </c>
    </row>
    <row r="330">
      <c r="A330" s="76" t="s">
        <v>465</v>
      </c>
      <c r="B330" s="76" t="s">
        <v>1715</v>
      </c>
      <c r="C330" s="76" t="s">
        <v>1764</v>
      </c>
      <c r="D330" s="76">
        <v>8800.0</v>
      </c>
    </row>
    <row r="331">
      <c r="A331" s="76" t="s">
        <v>466</v>
      </c>
      <c r="B331" s="76" t="s">
        <v>1715</v>
      </c>
      <c r="C331" s="76" t="s">
        <v>1749</v>
      </c>
      <c r="D331" s="76">
        <v>75.0</v>
      </c>
    </row>
    <row r="332">
      <c r="A332" s="76" t="s">
        <v>467</v>
      </c>
      <c r="B332" s="76" t="s">
        <v>1700</v>
      </c>
      <c r="C332" s="76" t="s">
        <v>1768</v>
      </c>
      <c r="D332" s="76">
        <v>11524.0</v>
      </c>
    </row>
    <row r="333">
      <c r="A333" s="76" t="s">
        <v>468</v>
      </c>
      <c r="B333" s="76" t="s">
        <v>1702</v>
      </c>
      <c r="C333" s="76" t="s">
        <v>1740</v>
      </c>
      <c r="D333" s="76">
        <v>2997.0</v>
      </c>
    </row>
    <row r="334">
      <c r="A334" s="76" t="s">
        <v>469</v>
      </c>
    </row>
    <row r="335">
      <c r="A335" s="76" t="s">
        <v>470</v>
      </c>
      <c r="B335" s="76" t="s">
        <v>1708</v>
      </c>
      <c r="C335" s="76" t="s">
        <v>1737</v>
      </c>
      <c r="D335" s="76">
        <v>91000.0</v>
      </c>
    </row>
    <row r="336">
      <c r="A336" s="76" t="s">
        <v>471</v>
      </c>
      <c r="B336" s="76" t="s">
        <v>1700</v>
      </c>
      <c r="C336" s="76" t="s">
        <v>1769</v>
      </c>
      <c r="D336" s="76">
        <v>3000.0</v>
      </c>
    </row>
    <row r="337">
      <c r="A337" s="76" t="s">
        <v>472</v>
      </c>
      <c r="B337" s="76" t="s">
        <v>1702</v>
      </c>
      <c r="C337" s="76" t="s">
        <v>1739</v>
      </c>
      <c r="D337" s="76">
        <v>1700.0</v>
      </c>
    </row>
    <row r="338">
      <c r="A338" s="76" t="s">
        <v>473</v>
      </c>
      <c r="B338" s="76" t="s">
        <v>1698</v>
      </c>
      <c r="C338" s="76" t="s">
        <v>1714</v>
      </c>
      <c r="D338" s="76">
        <v>43.0</v>
      </c>
    </row>
    <row r="339">
      <c r="A339" s="76" t="s">
        <v>474</v>
      </c>
    </row>
    <row r="340">
      <c r="A340" s="76" t="s">
        <v>475</v>
      </c>
      <c r="B340" s="76" t="s">
        <v>1702</v>
      </c>
      <c r="C340" s="76" t="s">
        <v>1770</v>
      </c>
      <c r="D340" s="76">
        <v>22112.0</v>
      </c>
    </row>
    <row r="341">
      <c r="A341" s="76" t="s">
        <v>476</v>
      </c>
      <c r="B341" s="76" t="s">
        <v>1729</v>
      </c>
      <c r="C341" s="76" t="s">
        <v>1730</v>
      </c>
      <c r="D341" s="76">
        <v>12705.0</v>
      </c>
    </row>
    <row r="342">
      <c r="A342" s="76" t="s">
        <v>477</v>
      </c>
      <c r="B342" s="76" t="s">
        <v>1698</v>
      </c>
      <c r="C342" s="76" t="s">
        <v>1718</v>
      </c>
      <c r="D342" s="76">
        <v>3300.0</v>
      </c>
    </row>
    <row r="343">
      <c r="A343" s="76" t="s">
        <v>478</v>
      </c>
      <c r="B343" s="76" t="s">
        <v>1698</v>
      </c>
      <c r="C343" s="76" t="s">
        <v>1714</v>
      </c>
      <c r="D343" s="76">
        <v>106.0</v>
      </c>
    </row>
    <row r="344">
      <c r="A344" s="76" t="s">
        <v>479</v>
      </c>
      <c r="B344" s="76" t="s">
        <v>1698</v>
      </c>
      <c r="C344" s="76" t="s">
        <v>1699</v>
      </c>
      <c r="D344" s="76">
        <v>440.0</v>
      </c>
    </row>
    <row r="345">
      <c r="A345" s="76" t="s">
        <v>480</v>
      </c>
      <c r="B345" s="76" t="s">
        <v>1708</v>
      </c>
      <c r="C345" s="76" t="s">
        <v>1753</v>
      </c>
      <c r="D345" s="76">
        <v>2786.0</v>
      </c>
    </row>
    <row r="346">
      <c r="A346" s="76" t="s">
        <v>481</v>
      </c>
      <c r="B346" s="76" t="s">
        <v>1735</v>
      </c>
      <c r="C346" s="76" t="s">
        <v>1771</v>
      </c>
      <c r="D346" s="76">
        <v>467.0</v>
      </c>
    </row>
    <row r="347">
      <c r="A347" s="76" t="s">
        <v>482</v>
      </c>
      <c r="B347" s="76" t="s">
        <v>1705</v>
      </c>
      <c r="C347" s="76" t="s">
        <v>1763</v>
      </c>
      <c r="D347" s="76">
        <v>5184.0</v>
      </c>
    </row>
    <row r="348">
      <c r="A348" s="76" t="s">
        <v>483</v>
      </c>
      <c r="B348" s="76" t="s">
        <v>1705</v>
      </c>
      <c r="C348" s="76" t="s">
        <v>1720</v>
      </c>
      <c r="D348" s="76">
        <v>3200.0</v>
      </c>
    </row>
    <row r="349">
      <c r="A349" s="76" t="s">
        <v>484</v>
      </c>
      <c r="B349" s="76" t="s">
        <v>1715</v>
      </c>
      <c r="C349" s="76" t="s">
        <v>1772</v>
      </c>
      <c r="D349" s="76">
        <v>14800.0</v>
      </c>
    </row>
    <row r="350">
      <c r="A350" s="76" t="s">
        <v>485</v>
      </c>
      <c r="B350" s="76" t="s">
        <v>1698</v>
      </c>
      <c r="C350" s="76" t="s">
        <v>1722</v>
      </c>
      <c r="D350" s="76">
        <v>255.0</v>
      </c>
    </row>
    <row r="351">
      <c r="A351" s="76" t="s">
        <v>486</v>
      </c>
      <c r="B351" s="76" t="s">
        <v>1708</v>
      </c>
      <c r="C351" s="76" t="s">
        <v>1773</v>
      </c>
      <c r="D351" s="76">
        <v>8900.0</v>
      </c>
    </row>
    <row r="352">
      <c r="A352" s="76" t="s">
        <v>487</v>
      </c>
      <c r="B352" s="76" t="s">
        <v>1708</v>
      </c>
      <c r="C352" s="76" t="s">
        <v>1709</v>
      </c>
      <c r="D352" s="76">
        <v>4200.0</v>
      </c>
    </row>
    <row r="353">
      <c r="A353" s="76" t="s">
        <v>488</v>
      </c>
    </row>
    <row r="354">
      <c r="A354" s="76" t="s">
        <v>489</v>
      </c>
      <c r="B354" s="76" t="s">
        <v>1715</v>
      </c>
      <c r="C354" s="76" t="s">
        <v>1732</v>
      </c>
      <c r="D354" s="76">
        <v>8555.0</v>
      </c>
    </row>
    <row r="355">
      <c r="A355" s="76" t="s">
        <v>490</v>
      </c>
    </row>
    <row r="356">
      <c r="A356" s="76" t="s">
        <v>491</v>
      </c>
      <c r="B356" s="76" t="s">
        <v>1715</v>
      </c>
      <c r="C356" s="76" t="s">
        <v>1750</v>
      </c>
      <c r="D356" s="76">
        <v>149000.0</v>
      </c>
    </row>
    <row r="357">
      <c r="A357" s="76" t="s">
        <v>492</v>
      </c>
      <c r="B357" s="76" t="s">
        <v>1715</v>
      </c>
      <c r="C357" s="76" t="s">
        <v>1764</v>
      </c>
      <c r="D357" s="76">
        <v>18260.0</v>
      </c>
    </row>
    <row r="358">
      <c r="A358" s="76" t="s">
        <v>493</v>
      </c>
      <c r="B358" s="76" t="s">
        <v>1702</v>
      </c>
      <c r="C358" s="76" t="s">
        <v>1770</v>
      </c>
      <c r="D358" s="76">
        <v>11988.0</v>
      </c>
    </row>
    <row r="359">
      <c r="A359" s="76" t="s">
        <v>494</v>
      </c>
      <c r="B359" s="76" t="s">
        <v>1702</v>
      </c>
      <c r="C359" s="76" t="s">
        <v>1703</v>
      </c>
      <c r="D359" s="76">
        <v>8877.0</v>
      </c>
    </row>
    <row r="360">
      <c r="A360" s="76" t="s">
        <v>495</v>
      </c>
    </row>
    <row r="361">
      <c r="A361" s="76" t="s">
        <v>496</v>
      </c>
    </row>
    <row r="362">
      <c r="A362" s="76" t="s">
        <v>497</v>
      </c>
    </row>
    <row r="363">
      <c r="A363" s="76" t="s">
        <v>498</v>
      </c>
    </row>
    <row r="364">
      <c r="A364" s="76" t="s">
        <v>499</v>
      </c>
    </row>
    <row r="365">
      <c r="A365" s="76" t="s">
        <v>500</v>
      </c>
    </row>
    <row r="366">
      <c r="A366" s="76" t="s">
        <v>501</v>
      </c>
      <c r="B366" s="76" t="s">
        <v>1698</v>
      </c>
      <c r="C366" s="76" t="s">
        <v>1714</v>
      </c>
      <c r="D366" s="76">
        <v>141.0</v>
      </c>
    </row>
    <row r="367">
      <c r="A367" s="76" t="s">
        <v>502</v>
      </c>
      <c r="B367" s="76" t="s">
        <v>1705</v>
      </c>
      <c r="C367" s="76" t="s">
        <v>1706</v>
      </c>
      <c r="D367" s="76">
        <v>5130.0</v>
      </c>
    </row>
    <row r="368">
      <c r="A368" s="76" t="s">
        <v>503</v>
      </c>
      <c r="B368" s="76" t="s">
        <v>1700</v>
      </c>
      <c r="C368" s="76" t="s">
        <v>1774</v>
      </c>
      <c r="D368" s="76">
        <v>80300.0</v>
      </c>
    </row>
    <row r="369">
      <c r="A369" s="76" t="s">
        <v>504</v>
      </c>
      <c r="B369" s="76" t="s">
        <v>1708</v>
      </c>
      <c r="C369" s="76" t="s">
        <v>1725</v>
      </c>
      <c r="D369" s="76">
        <v>20300.0</v>
      </c>
    </row>
    <row r="370">
      <c r="A370" s="76" t="s">
        <v>505</v>
      </c>
      <c r="B370" s="76" t="s">
        <v>1708</v>
      </c>
      <c r="C370" s="76" t="s">
        <v>1717</v>
      </c>
      <c r="D370" s="76">
        <v>1750.0</v>
      </c>
    </row>
    <row r="371">
      <c r="A371" s="76" t="s">
        <v>506</v>
      </c>
      <c r="B371" s="76" t="s">
        <v>1698</v>
      </c>
      <c r="C371" s="76" t="s">
        <v>1714</v>
      </c>
      <c r="D371" s="76">
        <v>68.0</v>
      </c>
    </row>
    <row r="372">
      <c r="A372" s="76" t="s">
        <v>507</v>
      </c>
    </row>
    <row r="373">
      <c r="A373" s="76" t="s">
        <v>508</v>
      </c>
      <c r="B373" s="76" t="s">
        <v>1702</v>
      </c>
      <c r="C373" s="76" t="s">
        <v>1741</v>
      </c>
      <c r="D373" s="76">
        <v>4600.0</v>
      </c>
    </row>
    <row r="374">
      <c r="A374" s="76" t="s">
        <v>509</v>
      </c>
      <c r="B374" s="76" t="s">
        <v>1698</v>
      </c>
      <c r="C374" s="76" t="s">
        <v>1714</v>
      </c>
      <c r="D374" s="76">
        <v>304.0</v>
      </c>
    </row>
    <row r="375">
      <c r="A375" s="76" t="s">
        <v>510</v>
      </c>
    </row>
    <row r="376">
      <c r="A376" s="76" t="s">
        <v>511</v>
      </c>
    </row>
    <row r="377">
      <c r="A377" s="76" t="s">
        <v>512</v>
      </c>
      <c r="B377" s="76" t="s">
        <v>1775</v>
      </c>
      <c r="C377" s="76" t="s">
        <v>1776</v>
      </c>
      <c r="D377" s="76">
        <v>3824.0</v>
      </c>
    </row>
    <row r="378">
      <c r="A378" s="76" t="s">
        <v>513</v>
      </c>
      <c r="B378" s="76" t="s">
        <v>1698</v>
      </c>
      <c r="C378" s="76" t="s">
        <v>1714</v>
      </c>
      <c r="D378" s="76">
        <v>52.0</v>
      </c>
    </row>
    <row r="379">
      <c r="A379" s="76" t="s">
        <v>514</v>
      </c>
      <c r="B379" s="76" t="s">
        <v>1698</v>
      </c>
      <c r="C379" s="76" t="s">
        <v>1714</v>
      </c>
      <c r="D379" s="76">
        <v>143.0</v>
      </c>
    </row>
    <row r="380">
      <c r="A380" s="76" t="s">
        <v>515</v>
      </c>
      <c r="B380" s="76" t="s">
        <v>1705</v>
      </c>
      <c r="C380" s="76" t="s">
        <v>1777</v>
      </c>
      <c r="D380" s="76">
        <v>13478.0</v>
      </c>
    </row>
    <row r="381">
      <c r="A381" s="76" t="s">
        <v>516</v>
      </c>
      <c r="B381" s="76" t="s">
        <v>1702</v>
      </c>
      <c r="C381" s="76" t="s">
        <v>1707</v>
      </c>
      <c r="D381" s="76">
        <v>1501.0</v>
      </c>
    </row>
    <row r="382">
      <c r="A382" s="76" t="s">
        <v>517</v>
      </c>
      <c r="B382" s="76" t="s">
        <v>1698</v>
      </c>
      <c r="C382" s="76" t="s">
        <v>1699</v>
      </c>
      <c r="D382" s="76">
        <v>133.0</v>
      </c>
    </row>
    <row r="383">
      <c r="A383" s="76" t="s">
        <v>518</v>
      </c>
    </row>
    <row r="384">
      <c r="A384" s="76" t="s">
        <v>519</v>
      </c>
      <c r="B384" s="76" t="s">
        <v>1702</v>
      </c>
      <c r="C384" s="76" t="s">
        <v>1770</v>
      </c>
      <c r="D384" s="76">
        <v>19000.0</v>
      </c>
    </row>
    <row r="385">
      <c r="A385" s="76" t="s">
        <v>520</v>
      </c>
      <c r="B385" s="76" t="s">
        <v>1708</v>
      </c>
      <c r="C385" s="76" t="s">
        <v>1778</v>
      </c>
      <c r="D385" s="76">
        <v>8720.0</v>
      </c>
    </row>
    <row r="386">
      <c r="A386" s="76" t="s">
        <v>521</v>
      </c>
      <c r="B386" s="76" t="s">
        <v>1698</v>
      </c>
      <c r="C386" s="76" t="s">
        <v>1722</v>
      </c>
      <c r="D386" s="76">
        <v>13900.0</v>
      </c>
    </row>
    <row r="387">
      <c r="A387" s="76" t="s">
        <v>522</v>
      </c>
      <c r="B387" s="76" t="s">
        <v>1698</v>
      </c>
      <c r="C387" s="76" t="s">
        <v>1714</v>
      </c>
      <c r="D387" s="76">
        <v>158.0</v>
      </c>
    </row>
    <row r="388">
      <c r="A388" s="76" t="s">
        <v>523</v>
      </c>
      <c r="B388" s="76" t="s">
        <v>1708</v>
      </c>
      <c r="C388" s="76" t="s">
        <v>1725</v>
      </c>
      <c r="D388" s="76">
        <v>3000.0</v>
      </c>
    </row>
    <row r="389">
      <c r="A389" s="76" t="s">
        <v>524</v>
      </c>
      <c r="B389" s="76" t="s">
        <v>1698</v>
      </c>
      <c r="C389" s="76" t="s">
        <v>1714</v>
      </c>
      <c r="D389" s="76">
        <v>45.0</v>
      </c>
    </row>
    <row r="390">
      <c r="A390" s="76" t="s">
        <v>525</v>
      </c>
      <c r="B390" s="76" t="s">
        <v>1698</v>
      </c>
      <c r="C390" s="76" t="s">
        <v>1718</v>
      </c>
      <c r="D390" s="76">
        <v>447.0</v>
      </c>
    </row>
    <row r="391">
      <c r="A391" s="76" t="s">
        <v>526</v>
      </c>
      <c r="B391" s="76" t="s">
        <v>1708</v>
      </c>
      <c r="C391" s="76" t="s">
        <v>1754</v>
      </c>
      <c r="D391" s="76">
        <v>5000.0</v>
      </c>
    </row>
    <row r="392">
      <c r="A392" s="76" t="s">
        <v>527</v>
      </c>
      <c r="B392" s="76" t="s">
        <v>1715</v>
      </c>
      <c r="C392" s="76" t="s">
        <v>1749</v>
      </c>
      <c r="D392" s="76">
        <v>3657.0</v>
      </c>
    </row>
    <row r="393">
      <c r="A393" s="76" t="s">
        <v>528</v>
      </c>
    </row>
    <row r="394">
      <c r="A394" s="76" t="s">
        <v>529</v>
      </c>
    </row>
    <row r="395">
      <c r="A395" s="76" t="s">
        <v>530</v>
      </c>
      <c r="B395" s="76" t="s">
        <v>1702</v>
      </c>
      <c r="C395" s="76" t="s">
        <v>1738</v>
      </c>
      <c r="D395" s="76">
        <v>8900.0</v>
      </c>
    </row>
    <row r="396">
      <c r="A396" s="76" t="s">
        <v>531</v>
      </c>
      <c r="B396" s="76" t="s">
        <v>1708</v>
      </c>
      <c r="C396" s="76" t="s">
        <v>1779</v>
      </c>
      <c r="D396" s="76">
        <v>10809.0</v>
      </c>
    </row>
    <row r="397">
      <c r="A397" s="76" t="s">
        <v>532</v>
      </c>
      <c r="B397" s="76" t="s">
        <v>1700</v>
      </c>
      <c r="C397" s="76" t="s">
        <v>1774</v>
      </c>
      <c r="D397" s="76">
        <v>40150.0</v>
      </c>
    </row>
    <row r="398">
      <c r="A398" s="76" t="s">
        <v>533</v>
      </c>
    </row>
    <row r="399">
      <c r="A399" s="76" t="s">
        <v>534</v>
      </c>
      <c r="B399" s="76" t="s">
        <v>1705</v>
      </c>
      <c r="C399" s="76" t="s">
        <v>1763</v>
      </c>
      <c r="D399" s="76">
        <v>173.0</v>
      </c>
    </row>
    <row r="400">
      <c r="A400" s="76" t="s">
        <v>535</v>
      </c>
      <c r="B400" s="76" t="s">
        <v>1698</v>
      </c>
      <c r="C400" s="76" t="s">
        <v>1714</v>
      </c>
      <c r="D400" s="76">
        <v>156.0</v>
      </c>
    </row>
    <row r="401">
      <c r="A401" s="76" t="s">
        <v>536</v>
      </c>
      <c r="B401" s="76" t="s">
        <v>1708</v>
      </c>
      <c r="C401" s="76" t="s">
        <v>1753</v>
      </c>
      <c r="D401" s="76">
        <v>15500.0</v>
      </c>
    </row>
    <row r="402">
      <c r="A402" s="76" t="s">
        <v>537</v>
      </c>
    </row>
    <row r="403">
      <c r="A403" s="76" t="s">
        <v>538</v>
      </c>
    </row>
    <row r="404">
      <c r="A404" s="76" t="s">
        <v>539</v>
      </c>
      <c r="B404" s="76" t="s">
        <v>1702</v>
      </c>
      <c r="C404" s="76" t="s">
        <v>1703</v>
      </c>
      <c r="D404" s="76">
        <v>91000.0</v>
      </c>
    </row>
    <row r="405">
      <c r="A405" s="76" t="s">
        <v>540</v>
      </c>
      <c r="B405" s="76" t="s">
        <v>1715</v>
      </c>
      <c r="C405" s="76" t="s">
        <v>1749</v>
      </c>
      <c r="D405" s="76">
        <v>10100.0</v>
      </c>
    </row>
    <row r="406">
      <c r="A406" s="76" t="s">
        <v>541</v>
      </c>
    </row>
    <row r="407">
      <c r="A407" s="76" t="s">
        <v>542</v>
      </c>
      <c r="B407" s="76" t="s">
        <v>1702</v>
      </c>
      <c r="C407" s="76" t="s">
        <v>1727</v>
      </c>
      <c r="D407" s="76">
        <v>2800.0</v>
      </c>
    </row>
    <row r="408">
      <c r="A408" s="76" t="s">
        <v>543</v>
      </c>
      <c r="B408" s="76" t="s">
        <v>1698</v>
      </c>
      <c r="C408" s="76" t="s">
        <v>1714</v>
      </c>
      <c r="D408" s="76">
        <v>255.0</v>
      </c>
    </row>
    <row r="409">
      <c r="A409" s="76" t="s">
        <v>544</v>
      </c>
    </row>
    <row r="410">
      <c r="A410" s="76" t="s">
        <v>545</v>
      </c>
      <c r="B410" s="76" t="s">
        <v>1708</v>
      </c>
      <c r="C410" s="76" t="s">
        <v>1759</v>
      </c>
      <c r="D410" s="76">
        <v>22800.0</v>
      </c>
    </row>
    <row r="411">
      <c r="A411" s="76" t="s">
        <v>546</v>
      </c>
      <c r="B411" s="76" t="s">
        <v>1702</v>
      </c>
      <c r="C411" s="76" t="s">
        <v>1740</v>
      </c>
      <c r="D411" s="76">
        <v>73489.0</v>
      </c>
    </row>
    <row r="412">
      <c r="A412" s="76" t="s">
        <v>547</v>
      </c>
      <c r="B412" s="76" t="s">
        <v>1708</v>
      </c>
      <c r="C412" s="76" t="s">
        <v>1757</v>
      </c>
      <c r="D412" s="76">
        <v>3600.0</v>
      </c>
    </row>
    <row r="413">
      <c r="A413" s="76" t="s">
        <v>548</v>
      </c>
    </row>
    <row r="414">
      <c r="A414" s="76" t="s">
        <v>549</v>
      </c>
      <c r="B414" s="76" t="s">
        <v>1708</v>
      </c>
      <c r="C414" s="76" t="s">
        <v>1737</v>
      </c>
      <c r="D414" s="76">
        <v>4000.0</v>
      </c>
    </row>
    <row r="415">
      <c r="A415" s="76" t="s">
        <v>550</v>
      </c>
      <c r="B415" s="76" t="s">
        <v>1715</v>
      </c>
      <c r="C415" s="76" t="s">
        <v>1780</v>
      </c>
      <c r="D415" s="76">
        <v>27788.0</v>
      </c>
    </row>
    <row r="416">
      <c r="A416" s="76" t="s">
        <v>551</v>
      </c>
    </row>
    <row r="417">
      <c r="A417" s="76" t="s">
        <v>552</v>
      </c>
    </row>
    <row r="418">
      <c r="A418" s="76" t="s">
        <v>553</v>
      </c>
    </row>
    <row r="419">
      <c r="A419" s="76" t="s">
        <v>554</v>
      </c>
      <c r="B419" s="76" t="s">
        <v>1708</v>
      </c>
      <c r="C419" s="76" t="s">
        <v>1754</v>
      </c>
      <c r="D419" s="76">
        <v>8916.0</v>
      </c>
    </row>
    <row r="420">
      <c r="A420" s="76" t="s">
        <v>555</v>
      </c>
      <c r="B420" s="76" t="s">
        <v>1698</v>
      </c>
      <c r="C420" s="76" t="s">
        <v>1699</v>
      </c>
      <c r="D420" s="76">
        <v>60000.0</v>
      </c>
    </row>
    <row r="421">
      <c r="A421" s="76" t="s">
        <v>556</v>
      </c>
      <c r="B421" s="76" t="s">
        <v>1735</v>
      </c>
      <c r="C421" s="76" t="s">
        <v>1781</v>
      </c>
      <c r="D421" s="76">
        <v>17.0</v>
      </c>
    </row>
    <row r="422">
      <c r="A422" s="76" t="s">
        <v>557</v>
      </c>
      <c r="B422" s="76" t="s">
        <v>1708</v>
      </c>
      <c r="C422" s="76" t="s">
        <v>1737</v>
      </c>
      <c r="D422" s="76">
        <v>558.0</v>
      </c>
    </row>
    <row r="423">
      <c r="A423" s="76" t="s">
        <v>558</v>
      </c>
      <c r="B423" s="76" t="s">
        <v>1705</v>
      </c>
      <c r="C423" s="76" t="s">
        <v>1706</v>
      </c>
      <c r="D423" s="76">
        <v>6605.0</v>
      </c>
    </row>
    <row r="424">
      <c r="A424" s="76" t="s">
        <v>559</v>
      </c>
      <c r="B424" s="76" t="s">
        <v>1729</v>
      </c>
      <c r="C424" s="76" t="s">
        <v>1730</v>
      </c>
      <c r="D424" s="76">
        <v>223000.0</v>
      </c>
    </row>
    <row r="425">
      <c r="A425" s="76" t="s">
        <v>560</v>
      </c>
      <c r="B425" s="76" t="s">
        <v>1708</v>
      </c>
      <c r="C425" s="76" t="s">
        <v>1709</v>
      </c>
      <c r="D425" s="76">
        <v>15300.0</v>
      </c>
    </row>
    <row r="426">
      <c r="A426" s="76" t="s">
        <v>561</v>
      </c>
    </row>
    <row r="427">
      <c r="A427" s="76" t="s">
        <v>562</v>
      </c>
      <c r="B427" s="76" t="s">
        <v>1708</v>
      </c>
      <c r="C427" s="76" t="s">
        <v>1725</v>
      </c>
      <c r="D427" s="76">
        <v>941.0</v>
      </c>
    </row>
    <row r="428">
      <c r="A428" s="76" t="s">
        <v>563</v>
      </c>
      <c r="B428" s="76" t="s">
        <v>1715</v>
      </c>
      <c r="C428" s="76" t="s">
        <v>1750</v>
      </c>
      <c r="D428" s="76">
        <v>56900.0</v>
      </c>
    </row>
    <row r="429">
      <c r="A429" s="76" t="s">
        <v>564</v>
      </c>
      <c r="B429" s="76" t="s">
        <v>1708</v>
      </c>
      <c r="C429" s="76" t="s">
        <v>1737</v>
      </c>
      <c r="D429" s="76">
        <v>1114.0</v>
      </c>
    </row>
    <row r="430">
      <c r="A430" s="76" t="s">
        <v>565</v>
      </c>
    </row>
    <row r="431">
      <c r="A431" s="76" t="s">
        <v>566</v>
      </c>
      <c r="B431" s="76" t="s">
        <v>1735</v>
      </c>
      <c r="C431" s="76" t="s">
        <v>1782</v>
      </c>
      <c r="D431" s="76">
        <v>65.0</v>
      </c>
    </row>
    <row r="432">
      <c r="A432" s="76" t="s">
        <v>567</v>
      </c>
      <c r="B432" s="76" t="s">
        <v>1783</v>
      </c>
      <c r="C432" s="76" t="s">
        <v>1784</v>
      </c>
      <c r="D432" s="76">
        <v>77.0</v>
      </c>
    </row>
    <row r="433">
      <c r="A433" s="76" t="s">
        <v>568</v>
      </c>
      <c r="B433" s="76" t="s">
        <v>1702</v>
      </c>
      <c r="C433" s="76" t="s">
        <v>1707</v>
      </c>
      <c r="D433" s="76">
        <v>10000.0</v>
      </c>
    </row>
    <row r="434">
      <c r="A434" s="76" t="s">
        <v>569</v>
      </c>
      <c r="B434" s="76" t="s">
        <v>1708</v>
      </c>
      <c r="C434" s="76" t="s">
        <v>1737</v>
      </c>
      <c r="D434" s="76">
        <v>13100.0</v>
      </c>
    </row>
    <row r="435">
      <c r="A435" s="76" t="s">
        <v>570</v>
      </c>
    </row>
    <row r="436">
      <c r="A436" s="76" t="s">
        <v>571</v>
      </c>
      <c r="B436" s="76" t="s">
        <v>1708</v>
      </c>
      <c r="C436" s="76" t="s">
        <v>1737</v>
      </c>
      <c r="D436" s="76">
        <v>177895.0</v>
      </c>
    </row>
    <row r="437">
      <c r="A437" s="76" t="s">
        <v>572</v>
      </c>
      <c r="B437" s="76" t="s">
        <v>1698</v>
      </c>
      <c r="C437" s="76" t="s">
        <v>1714</v>
      </c>
      <c r="D437" s="76">
        <v>187.0</v>
      </c>
    </row>
    <row r="438">
      <c r="A438" s="76" t="s">
        <v>573</v>
      </c>
      <c r="B438" s="76" t="s">
        <v>1698</v>
      </c>
      <c r="C438" s="76" t="s">
        <v>1722</v>
      </c>
      <c r="D438" s="76">
        <v>93.0</v>
      </c>
    </row>
    <row r="439">
      <c r="A439" s="76" t="s">
        <v>574</v>
      </c>
      <c r="B439" s="76" t="s">
        <v>1702</v>
      </c>
      <c r="C439" s="76" t="s">
        <v>1734</v>
      </c>
      <c r="D439" s="76">
        <v>5921.0</v>
      </c>
    </row>
    <row r="440">
      <c r="A440" s="76" t="s">
        <v>575</v>
      </c>
      <c r="B440" s="76" t="s">
        <v>1705</v>
      </c>
      <c r="C440" s="76" t="s">
        <v>1706</v>
      </c>
      <c r="D440" s="76">
        <v>340.0</v>
      </c>
    </row>
    <row r="441">
      <c r="A441" s="76" t="s">
        <v>576</v>
      </c>
      <c r="B441" s="76" t="s">
        <v>1702</v>
      </c>
      <c r="C441" s="76" t="s">
        <v>1739</v>
      </c>
      <c r="D441" s="76">
        <v>1025.0</v>
      </c>
    </row>
    <row r="442">
      <c r="A442" s="76" t="s">
        <v>577</v>
      </c>
      <c r="B442" s="76" t="s">
        <v>1698</v>
      </c>
      <c r="C442" s="76" t="s">
        <v>1714</v>
      </c>
      <c r="D442" s="76">
        <v>220.0</v>
      </c>
    </row>
    <row r="443">
      <c r="A443" s="76" t="s">
        <v>578</v>
      </c>
      <c r="B443" s="76" t="s">
        <v>1698</v>
      </c>
      <c r="C443" s="76" t="s">
        <v>1719</v>
      </c>
      <c r="D443" s="76">
        <v>65000.0</v>
      </c>
    </row>
    <row r="444">
      <c r="A444" s="76" t="s">
        <v>579</v>
      </c>
      <c r="B444" s="76" t="s">
        <v>1698</v>
      </c>
      <c r="C444" s="76" t="s">
        <v>1714</v>
      </c>
      <c r="D444" s="76">
        <v>231.0</v>
      </c>
    </row>
    <row r="445">
      <c r="A445" s="76" t="s">
        <v>580</v>
      </c>
    </row>
    <row r="446">
      <c r="A446" s="76" t="s">
        <v>581</v>
      </c>
      <c r="B446" s="76" t="s">
        <v>1705</v>
      </c>
      <c r="C446" s="76" t="s">
        <v>1755</v>
      </c>
      <c r="D446" s="76">
        <v>138000.0</v>
      </c>
    </row>
    <row r="447">
      <c r="A447" s="76" t="s">
        <v>582</v>
      </c>
      <c r="B447" s="76" t="s">
        <v>1708</v>
      </c>
      <c r="C447" s="76" t="s">
        <v>1725</v>
      </c>
      <c r="D447" s="76">
        <v>2353.0</v>
      </c>
    </row>
    <row r="448">
      <c r="A448" s="76" t="s">
        <v>583</v>
      </c>
      <c r="B448" s="76" t="s">
        <v>1702</v>
      </c>
      <c r="C448" s="76" t="s">
        <v>1721</v>
      </c>
      <c r="D448" s="76">
        <v>15230.0</v>
      </c>
    </row>
    <row r="449">
      <c r="A449" s="76" t="s">
        <v>584</v>
      </c>
      <c r="B449" s="76" t="s">
        <v>1729</v>
      </c>
      <c r="C449" s="76" t="s">
        <v>1745</v>
      </c>
      <c r="D449" s="76">
        <v>9800.0</v>
      </c>
    </row>
    <row r="450">
      <c r="A450" s="76" t="s">
        <v>585</v>
      </c>
      <c r="B450" s="76" t="s">
        <v>1708</v>
      </c>
      <c r="C450" s="76" t="s">
        <v>1737</v>
      </c>
      <c r="D450" s="76">
        <v>62200.0</v>
      </c>
    </row>
    <row r="451">
      <c r="A451" s="76" t="s">
        <v>586</v>
      </c>
      <c r="B451" s="76" t="s">
        <v>1702</v>
      </c>
      <c r="C451" s="76" t="s">
        <v>1743</v>
      </c>
      <c r="D451" s="76">
        <v>2450.0</v>
      </c>
    </row>
    <row r="452">
      <c r="A452" s="76" t="s">
        <v>587</v>
      </c>
      <c r="B452" s="76" t="s">
        <v>1698</v>
      </c>
      <c r="C452" s="76" t="s">
        <v>1714</v>
      </c>
      <c r="D452" s="76">
        <v>208.0</v>
      </c>
    </row>
    <row r="453">
      <c r="A453" s="76" t="s">
        <v>588</v>
      </c>
      <c r="B453" s="76" t="s">
        <v>1702</v>
      </c>
      <c r="C453" s="76" t="s">
        <v>1739</v>
      </c>
      <c r="D453" s="76">
        <v>974.0</v>
      </c>
    </row>
    <row r="454">
      <c r="A454" s="76" t="s">
        <v>589</v>
      </c>
      <c r="B454" s="76" t="s">
        <v>1700</v>
      </c>
      <c r="C454" s="76" t="s">
        <v>1724</v>
      </c>
      <c r="D454" s="76">
        <v>4300.0</v>
      </c>
    </row>
    <row r="455">
      <c r="A455" s="76" t="s">
        <v>590</v>
      </c>
      <c r="B455" s="76" t="s">
        <v>1698</v>
      </c>
      <c r="C455" s="76" t="s">
        <v>1722</v>
      </c>
      <c r="D455" s="76">
        <v>108.0</v>
      </c>
    </row>
    <row r="456">
      <c r="A456" s="76" t="s">
        <v>591</v>
      </c>
      <c r="B456" s="76" t="s">
        <v>1698</v>
      </c>
      <c r="C456" s="76" t="s">
        <v>1719</v>
      </c>
      <c r="D456" s="76">
        <v>43300.0</v>
      </c>
    </row>
    <row r="457">
      <c r="A457" s="76" t="s">
        <v>592</v>
      </c>
      <c r="B457" s="76" t="s">
        <v>1698</v>
      </c>
      <c r="C457" s="76" t="s">
        <v>1714</v>
      </c>
      <c r="D457" s="76">
        <v>64.0</v>
      </c>
    </row>
    <row r="458">
      <c r="A458" s="76" t="s">
        <v>593</v>
      </c>
      <c r="B458" s="76" t="s">
        <v>1698</v>
      </c>
      <c r="C458" s="76" t="s">
        <v>1714</v>
      </c>
      <c r="D458" s="76">
        <v>28.0</v>
      </c>
    </row>
    <row r="459">
      <c r="A459" s="76" t="s">
        <v>594</v>
      </c>
      <c r="B459" s="76" t="s">
        <v>1715</v>
      </c>
      <c r="C459" s="76" t="s">
        <v>1764</v>
      </c>
      <c r="D459" s="76">
        <v>48000.0</v>
      </c>
    </row>
    <row r="460">
      <c r="A460" s="76" t="s">
        <v>595</v>
      </c>
      <c r="B460" s="76" t="s">
        <v>1715</v>
      </c>
      <c r="C460" s="76" t="s">
        <v>1764</v>
      </c>
      <c r="D460" s="76">
        <v>209.0</v>
      </c>
    </row>
    <row r="461">
      <c r="A461" s="76" t="s">
        <v>596</v>
      </c>
      <c r="B461" s="76" t="s">
        <v>1698</v>
      </c>
      <c r="C461" s="76" t="s">
        <v>1714</v>
      </c>
      <c r="D461" s="76">
        <v>29.0</v>
      </c>
    </row>
    <row r="462">
      <c r="A462" s="76" t="s">
        <v>597</v>
      </c>
      <c r="B462" s="76" t="s">
        <v>1708</v>
      </c>
      <c r="C462" s="76" t="s">
        <v>1747</v>
      </c>
      <c r="D462" s="76">
        <v>4200.0</v>
      </c>
    </row>
    <row r="463">
      <c r="A463" s="76" t="s">
        <v>598</v>
      </c>
      <c r="B463" s="76" t="s">
        <v>1702</v>
      </c>
      <c r="C463" s="76" t="s">
        <v>1721</v>
      </c>
      <c r="D463" s="76">
        <v>36000.0</v>
      </c>
    </row>
    <row r="464">
      <c r="A464" s="76" t="s">
        <v>599</v>
      </c>
      <c r="B464" s="76" t="s">
        <v>1705</v>
      </c>
      <c r="C464" s="76" t="s">
        <v>1706</v>
      </c>
      <c r="D464" s="76">
        <v>420.0</v>
      </c>
    </row>
    <row r="465">
      <c r="A465" s="76" t="s">
        <v>600</v>
      </c>
      <c r="B465" s="76" t="s">
        <v>1700</v>
      </c>
      <c r="C465" s="76" t="s">
        <v>1733</v>
      </c>
      <c r="D465" s="76">
        <v>14500.0</v>
      </c>
    </row>
    <row r="466">
      <c r="A466" s="76" t="s">
        <v>601</v>
      </c>
      <c r="B466" s="76" t="s">
        <v>1702</v>
      </c>
      <c r="C466" s="76" t="s">
        <v>1738</v>
      </c>
      <c r="D466" s="76">
        <v>88000.0</v>
      </c>
    </row>
    <row r="467">
      <c r="A467" s="76" t="s">
        <v>602</v>
      </c>
      <c r="B467" s="76" t="s">
        <v>1698</v>
      </c>
      <c r="C467" s="76" t="s">
        <v>1722</v>
      </c>
      <c r="D467" s="76">
        <v>3172.0</v>
      </c>
    </row>
    <row r="468">
      <c r="A468" s="76" t="s">
        <v>603</v>
      </c>
      <c r="B468" s="76" t="s">
        <v>1705</v>
      </c>
      <c r="C468" s="76" t="s">
        <v>1777</v>
      </c>
      <c r="D468" s="76">
        <v>577.0</v>
      </c>
    </row>
    <row r="469">
      <c r="A469" s="76" t="s">
        <v>604</v>
      </c>
      <c r="B469" s="76" t="s">
        <v>1702</v>
      </c>
      <c r="C469" s="76" t="s">
        <v>1711</v>
      </c>
      <c r="D469" s="76">
        <v>7500.0</v>
      </c>
    </row>
    <row r="470">
      <c r="A470" s="76" t="s">
        <v>605</v>
      </c>
    </row>
    <row r="471">
      <c r="A471" s="76" t="s">
        <v>606</v>
      </c>
      <c r="B471" s="76" t="s">
        <v>1698</v>
      </c>
      <c r="C471" s="76" t="s">
        <v>1714</v>
      </c>
      <c r="D471" s="76">
        <v>132.0</v>
      </c>
    </row>
    <row r="472">
      <c r="A472" s="76" t="s">
        <v>607</v>
      </c>
      <c r="B472" s="76" t="s">
        <v>1705</v>
      </c>
      <c r="C472" s="76" t="s">
        <v>1720</v>
      </c>
      <c r="D472" s="76">
        <v>5300.0</v>
      </c>
    </row>
    <row r="473">
      <c r="A473" s="76" t="s">
        <v>608</v>
      </c>
    </row>
    <row r="474">
      <c r="A474" s="76" t="s">
        <v>609</v>
      </c>
    </row>
    <row r="475">
      <c r="A475" s="76" t="s">
        <v>610</v>
      </c>
    </row>
    <row r="476">
      <c r="A476" s="76" t="s">
        <v>611</v>
      </c>
      <c r="B476" s="76" t="s">
        <v>1698</v>
      </c>
      <c r="C476" s="76" t="s">
        <v>1714</v>
      </c>
      <c r="D476" s="76">
        <v>203.0</v>
      </c>
    </row>
    <row r="477">
      <c r="A477" s="76" t="s">
        <v>612</v>
      </c>
      <c r="B477" s="76" t="s">
        <v>1698</v>
      </c>
      <c r="C477" s="76" t="s">
        <v>1714</v>
      </c>
      <c r="D477" s="76">
        <v>22.0</v>
      </c>
    </row>
    <row r="478">
      <c r="A478" s="76" t="s">
        <v>613</v>
      </c>
    </row>
    <row r="479">
      <c r="A479" s="76" t="s">
        <v>615</v>
      </c>
      <c r="B479" s="76" t="s">
        <v>1702</v>
      </c>
      <c r="C479" s="76" t="s">
        <v>1727</v>
      </c>
      <c r="D479" s="76">
        <v>18734.0</v>
      </c>
    </row>
    <row r="480">
      <c r="A480" s="76" t="s">
        <v>616</v>
      </c>
      <c r="B480" s="76" t="s">
        <v>1729</v>
      </c>
      <c r="C480" s="76" t="s">
        <v>1730</v>
      </c>
      <c r="D480" s="76">
        <v>340.0</v>
      </c>
    </row>
    <row r="481">
      <c r="A481" s="76" t="s">
        <v>617</v>
      </c>
      <c r="B481" s="76" t="s">
        <v>1698</v>
      </c>
      <c r="C481" s="76" t="s">
        <v>1714</v>
      </c>
      <c r="D481" s="76">
        <v>217.0</v>
      </c>
    </row>
    <row r="482">
      <c r="A482" s="76" t="s">
        <v>618</v>
      </c>
      <c r="B482" s="76" t="s">
        <v>1708</v>
      </c>
      <c r="C482" s="76" t="s">
        <v>1747</v>
      </c>
      <c r="D482" s="76">
        <v>468.0</v>
      </c>
    </row>
    <row r="483">
      <c r="A483" s="76" t="s">
        <v>619</v>
      </c>
      <c r="B483" s="76" t="s">
        <v>1705</v>
      </c>
      <c r="C483" s="76" t="s">
        <v>1763</v>
      </c>
      <c r="D483" s="76">
        <v>3012.0</v>
      </c>
    </row>
    <row r="484">
      <c r="A484" s="76" t="s">
        <v>620</v>
      </c>
      <c r="B484" s="76" t="s">
        <v>1702</v>
      </c>
      <c r="C484" s="76" t="s">
        <v>1727</v>
      </c>
      <c r="D484" s="76">
        <v>16575.0</v>
      </c>
    </row>
    <row r="485">
      <c r="A485" s="76" t="s">
        <v>621</v>
      </c>
      <c r="B485" s="76" t="s">
        <v>1698</v>
      </c>
      <c r="C485" s="76" t="s">
        <v>1714</v>
      </c>
      <c r="D485" s="76">
        <v>193.0</v>
      </c>
    </row>
    <row r="486">
      <c r="A486" s="76" t="s">
        <v>622</v>
      </c>
      <c r="B486" s="76" t="s">
        <v>1708</v>
      </c>
      <c r="C486" s="76" t="s">
        <v>1731</v>
      </c>
      <c r="D486" s="76">
        <v>3369.0</v>
      </c>
    </row>
    <row r="487">
      <c r="A487" s="76" t="s">
        <v>623</v>
      </c>
      <c r="B487" s="76" t="s">
        <v>1702</v>
      </c>
      <c r="C487" s="76" t="s">
        <v>1738</v>
      </c>
      <c r="D487" s="76">
        <v>93000.0</v>
      </c>
    </row>
    <row r="488">
      <c r="A488" s="76" t="s">
        <v>624</v>
      </c>
      <c r="B488" s="76" t="s">
        <v>1698</v>
      </c>
      <c r="C488" s="76" t="s">
        <v>1714</v>
      </c>
      <c r="D488" s="76">
        <v>24.0</v>
      </c>
    </row>
    <row r="489">
      <c r="A489" s="76" t="s">
        <v>625</v>
      </c>
      <c r="B489" s="76" t="s">
        <v>1698</v>
      </c>
      <c r="C489" s="76" t="s">
        <v>1714</v>
      </c>
      <c r="D489" s="76">
        <v>17.0</v>
      </c>
    </row>
    <row r="490">
      <c r="A490" s="76" t="s">
        <v>626</v>
      </c>
      <c r="B490" s="76" t="s">
        <v>1735</v>
      </c>
      <c r="C490" s="76" t="s">
        <v>1781</v>
      </c>
      <c r="D490" s="76">
        <v>2910.0</v>
      </c>
    </row>
    <row r="491">
      <c r="A491" s="76" t="s">
        <v>627</v>
      </c>
      <c r="B491" s="76" t="s">
        <v>1698</v>
      </c>
      <c r="C491" s="76" t="s">
        <v>1714</v>
      </c>
      <c r="D491" s="76">
        <v>53.0</v>
      </c>
    </row>
    <row r="492">
      <c r="A492" s="76" t="s">
        <v>628</v>
      </c>
      <c r="B492" s="76" t="s">
        <v>1698</v>
      </c>
      <c r="C492" s="76" t="s">
        <v>1714</v>
      </c>
      <c r="D492" s="76">
        <v>143.0</v>
      </c>
    </row>
    <row r="493">
      <c r="A493" s="76" t="s">
        <v>629</v>
      </c>
    </row>
    <row r="494">
      <c r="A494" s="76" t="s">
        <v>630</v>
      </c>
      <c r="B494" s="76" t="s">
        <v>1698</v>
      </c>
      <c r="C494" s="76" t="s">
        <v>1714</v>
      </c>
      <c r="D494" s="76">
        <v>98.0</v>
      </c>
    </row>
    <row r="495">
      <c r="A495" s="76" t="s">
        <v>631</v>
      </c>
      <c r="B495" s="76" t="s">
        <v>1698</v>
      </c>
      <c r="C495" s="76" t="s">
        <v>1722</v>
      </c>
      <c r="D495" s="76">
        <v>5.0</v>
      </c>
    </row>
    <row r="496">
      <c r="A496" s="76" t="s">
        <v>632</v>
      </c>
      <c r="B496" s="76" t="s">
        <v>1698</v>
      </c>
      <c r="C496" s="76" t="s">
        <v>1718</v>
      </c>
      <c r="D496" s="76">
        <v>13900.0</v>
      </c>
    </row>
    <row r="497">
      <c r="A497" s="76" t="s">
        <v>633</v>
      </c>
      <c r="B497" s="76" t="s">
        <v>1698</v>
      </c>
      <c r="C497" s="76" t="s">
        <v>1699</v>
      </c>
      <c r="D497" s="76">
        <v>4110.0</v>
      </c>
    </row>
    <row r="498">
      <c r="A498" s="76" t="s">
        <v>634</v>
      </c>
      <c r="B498" s="76" t="s">
        <v>1698</v>
      </c>
      <c r="C498" s="76" t="s">
        <v>1714</v>
      </c>
      <c r="D498" s="76">
        <v>617.0</v>
      </c>
    </row>
    <row r="499">
      <c r="A499" s="76" t="s">
        <v>635</v>
      </c>
      <c r="B499" s="76" t="s">
        <v>1700</v>
      </c>
      <c r="C499" s="76" t="s">
        <v>1785</v>
      </c>
      <c r="D499" s="76">
        <v>1360.0</v>
      </c>
    </row>
    <row r="500">
      <c r="A500" s="76" t="s">
        <v>636</v>
      </c>
      <c r="B500" s="76" t="s">
        <v>1700</v>
      </c>
      <c r="C500" s="76" t="s">
        <v>1774</v>
      </c>
      <c r="D500" s="76">
        <v>2400.0</v>
      </c>
    </row>
    <row r="501">
      <c r="A501" s="76" t="s">
        <v>637</v>
      </c>
    </row>
    <row r="502">
      <c r="A502" s="76" t="s">
        <v>638</v>
      </c>
      <c r="B502" s="76" t="s">
        <v>1708</v>
      </c>
      <c r="C502" s="76" t="s">
        <v>1725</v>
      </c>
      <c r="D502" s="76">
        <v>4360.0</v>
      </c>
    </row>
    <row r="503">
      <c r="A503" s="76" t="s">
        <v>639</v>
      </c>
      <c r="B503" s="76" t="s">
        <v>1708</v>
      </c>
      <c r="C503" s="76" t="s">
        <v>1709</v>
      </c>
      <c r="D503" s="76">
        <v>11781.0</v>
      </c>
    </row>
    <row r="504">
      <c r="A504" s="76" t="s">
        <v>640</v>
      </c>
      <c r="B504" s="76" t="s">
        <v>1775</v>
      </c>
      <c r="C504" s="76" t="s">
        <v>1786</v>
      </c>
      <c r="D504" s="76">
        <v>6800.0</v>
      </c>
    </row>
    <row r="505">
      <c r="A505" s="76" t="s">
        <v>641</v>
      </c>
      <c r="B505" s="76" t="s">
        <v>1708</v>
      </c>
      <c r="C505" s="76" t="s">
        <v>1787</v>
      </c>
      <c r="D505" s="76">
        <v>190000.0</v>
      </c>
    </row>
    <row r="506">
      <c r="A506" s="76" t="s">
        <v>642</v>
      </c>
    </row>
    <row r="507">
      <c r="A507" s="76" t="s">
        <v>643</v>
      </c>
      <c r="B507" s="76" t="s">
        <v>1715</v>
      </c>
      <c r="C507" s="76" t="s">
        <v>1749</v>
      </c>
      <c r="D507" s="76">
        <v>1210.0</v>
      </c>
    </row>
    <row r="508">
      <c r="A508" s="76" t="s">
        <v>644</v>
      </c>
      <c r="B508" s="76" t="s">
        <v>1702</v>
      </c>
      <c r="C508" s="76" t="s">
        <v>1788</v>
      </c>
      <c r="D508" s="76">
        <v>20667.0</v>
      </c>
    </row>
    <row r="509">
      <c r="A509" s="76" t="s">
        <v>645</v>
      </c>
      <c r="B509" s="76" t="s">
        <v>1698</v>
      </c>
      <c r="C509" s="76" t="s">
        <v>1714</v>
      </c>
      <c r="D509" s="76">
        <v>178.0</v>
      </c>
    </row>
    <row r="510">
      <c r="A510" s="76" t="s">
        <v>646</v>
      </c>
      <c r="B510" s="76" t="s">
        <v>1708</v>
      </c>
      <c r="C510" s="76" t="s">
        <v>1731</v>
      </c>
      <c r="D510" s="76">
        <v>24700.0</v>
      </c>
    </row>
    <row r="511">
      <c r="A511" s="76" t="s">
        <v>647</v>
      </c>
      <c r="B511" s="76" t="s">
        <v>1698</v>
      </c>
      <c r="C511" s="76" t="s">
        <v>1714</v>
      </c>
      <c r="D511" s="76">
        <v>93.0</v>
      </c>
    </row>
    <row r="512">
      <c r="A512" s="76" t="s">
        <v>648</v>
      </c>
      <c r="B512" s="76" t="s">
        <v>1702</v>
      </c>
      <c r="C512" s="76" t="s">
        <v>1788</v>
      </c>
      <c r="D512" s="76">
        <v>3400.0</v>
      </c>
    </row>
    <row r="513">
      <c r="A513" s="76" t="s">
        <v>649</v>
      </c>
    </row>
    <row r="514">
      <c r="A514" s="76" t="s">
        <v>650</v>
      </c>
      <c r="B514" s="76" t="s">
        <v>1775</v>
      </c>
      <c r="C514" s="76" t="s">
        <v>1786</v>
      </c>
      <c r="D514" s="76">
        <v>19000.0</v>
      </c>
    </row>
    <row r="515">
      <c r="A515" s="76" t="s">
        <v>651</v>
      </c>
    </row>
    <row r="516">
      <c r="A516" s="76" t="s">
        <v>652</v>
      </c>
    </row>
    <row r="517">
      <c r="A517" s="76" t="s">
        <v>653</v>
      </c>
      <c r="B517" s="76" t="s">
        <v>1702</v>
      </c>
      <c r="C517" s="76" t="s">
        <v>1743</v>
      </c>
      <c r="D517" s="76">
        <v>324000.0</v>
      </c>
    </row>
    <row r="518">
      <c r="A518" s="76" t="s">
        <v>654</v>
      </c>
      <c r="B518" s="76" t="s">
        <v>1698</v>
      </c>
      <c r="C518" s="76" t="s">
        <v>1714</v>
      </c>
      <c r="D518" s="76">
        <v>4.0</v>
      </c>
    </row>
    <row r="519">
      <c r="A519" s="76" t="s">
        <v>655</v>
      </c>
    </row>
    <row r="520">
      <c r="A520" s="76" t="s">
        <v>656</v>
      </c>
      <c r="B520" s="76" t="s">
        <v>1700</v>
      </c>
      <c r="C520" s="76" t="s">
        <v>1733</v>
      </c>
      <c r="D520" s="76">
        <v>538.0</v>
      </c>
    </row>
    <row r="521">
      <c r="A521" s="76" t="s">
        <v>657</v>
      </c>
      <c r="B521" s="76" t="s">
        <v>1698</v>
      </c>
      <c r="C521" s="76" t="s">
        <v>1714</v>
      </c>
      <c r="D521" s="76">
        <v>531.0</v>
      </c>
    </row>
    <row r="522">
      <c r="A522" s="76" t="s">
        <v>658</v>
      </c>
      <c r="B522" s="76" t="s">
        <v>1705</v>
      </c>
      <c r="C522" s="76" t="s">
        <v>1763</v>
      </c>
      <c r="D522" s="76">
        <v>1762.0</v>
      </c>
    </row>
    <row r="523">
      <c r="A523" s="76" t="s">
        <v>659</v>
      </c>
      <c r="B523" s="76" t="s">
        <v>1708</v>
      </c>
      <c r="C523" s="76" t="s">
        <v>1709</v>
      </c>
      <c r="D523" s="76">
        <v>4400.0</v>
      </c>
    </row>
    <row r="524">
      <c r="A524" s="76" t="s">
        <v>660</v>
      </c>
      <c r="B524" s="76" t="s">
        <v>1702</v>
      </c>
      <c r="C524" s="76" t="s">
        <v>1721</v>
      </c>
      <c r="D524" s="76">
        <v>12000.0</v>
      </c>
    </row>
    <row r="525">
      <c r="A525" s="76" t="s">
        <v>661</v>
      </c>
    </row>
    <row r="526">
      <c r="A526" s="76" t="s">
        <v>662</v>
      </c>
      <c r="B526" s="76" t="s">
        <v>1715</v>
      </c>
      <c r="C526" s="76" t="s">
        <v>1772</v>
      </c>
      <c r="D526" s="76">
        <v>1550.0</v>
      </c>
    </row>
    <row r="527">
      <c r="A527" s="76" t="s">
        <v>663</v>
      </c>
      <c r="B527" s="76" t="s">
        <v>1708</v>
      </c>
      <c r="C527" s="76" t="s">
        <v>1757</v>
      </c>
      <c r="D527" s="76">
        <v>15589.0</v>
      </c>
    </row>
    <row r="528">
      <c r="A528" s="76" t="s">
        <v>664</v>
      </c>
      <c r="B528" s="76" t="s">
        <v>1698</v>
      </c>
      <c r="C528" s="76" t="s">
        <v>1699</v>
      </c>
      <c r="D528" s="76">
        <v>566.0</v>
      </c>
    </row>
    <row r="529">
      <c r="A529" s="76" t="s">
        <v>665</v>
      </c>
      <c r="B529" s="76" t="s">
        <v>1705</v>
      </c>
      <c r="C529" s="76" t="s">
        <v>1763</v>
      </c>
      <c r="D529" s="76">
        <v>4265.0</v>
      </c>
    </row>
    <row r="530">
      <c r="A530" s="76" t="s">
        <v>666</v>
      </c>
      <c r="B530" s="76" t="s">
        <v>1708</v>
      </c>
      <c r="C530" s="76" t="s">
        <v>1753</v>
      </c>
      <c r="D530" s="76">
        <v>1270.0</v>
      </c>
    </row>
    <row r="531">
      <c r="A531" s="76" t="s">
        <v>667</v>
      </c>
      <c r="B531" s="76" t="s">
        <v>1715</v>
      </c>
      <c r="C531" s="76" t="s">
        <v>1749</v>
      </c>
      <c r="D531" s="76">
        <v>9700.0</v>
      </c>
    </row>
    <row r="532">
      <c r="A532" s="76" t="s">
        <v>668</v>
      </c>
      <c r="B532" s="76" t="s">
        <v>1702</v>
      </c>
      <c r="C532" s="76" t="s">
        <v>1721</v>
      </c>
      <c r="D532" s="76">
        <v>53349.0</v>
      </c>
    </row>
    <row r="533">
      <c r="A533" s="76" t="s">
        <v>669</v>
      </c>
    </row>
    <row r="534">
      <c r="A534" s="76" t="s">
        <v>670</v>
      </c>
    </row>
    <row r="535">
      <c r="A535" s="76" t="s">
        <v>671</v>
      </c>
    </row>
    <row r="536">
      <c r="A536" s="76" t="s">
        <v>672</v>
      </c>
      <c r="B536" s="76" t="s">
        <v>1700</v>
      </c>
      <c r="C536" s="76" t="s">
        <v>1762</v>
      </c>
      <c r="D536" s="76">
        <v>6400.0</v>
      </c>
    </row>
    <row r="537">
      <c r="A537" s="76" t="s">
        <v>673</v>
      </c>
      <c r="B537" s="76" t="s">
        <v>1698</v>
      </c>
      <c r="C537" s="76" t="s">
        <v>1719</v>
      </c>
      <c r="D537" s="76">
        <v>124736.0</v>
      </c>
    </row>
    <row r="538">
      <c r="A538" s="76" t="s">
        <v>674</v>
      </c>
      <c r="B538" s="76" t="s">
        <v>1698</v>
      </c>
      <c r="C538" s="76" t="s">
        <v>1714</v>
      </c>
      <c r="D538" s="76">
        <v>80.0</v>
      </c>
    </row>
    <row r="539">
      <c r="A539" s="76" t="s">
        <v>675</v>
      </c>
      <c r="B539" s="76" t="s">
        <v>1715</v>
      </c>
      <c r="C539" s="76" t="s">
        <v>1716</v>
      </c>
      <c r="D539" s="76">
        <v>321995.0</v>
      </c>
    </row>
    <row r="540">
      <c r="A540" s="76" t="s">
        <v>676</v>
      </c>
      <c r="B540" s="76" t="s">
        <v>1708</v>
      </c>
      <c r="C540" s="76" t="s">
        <v>1789</v>
      </c>
      <c r="D540" s="76">
        <v>5355.0</v>
      </c>
    </row>
    <row r="541">
      <c r="A541" s="76" t="s">
        <v>677</v>
      </c>
      <c r="B541" s="76" t="s">
        <v>1708</v>
      </c>
      <c r="C541" s="76" t="s">
        <v>1747</v>
      </c>
      <c r="D541" s="76">
        <v>763.0</v>
      </c>
    </row>
    <row r="542">
      <c r="A542" s="76" t="s">
        <v>678</v>
      </c>
      <c r="B542" s="76" t="s">
        <v>1700</v>
      </c>
      <c r="C542" s="76" t="s">
        <v>1724</v>
      </c>
      <c r="D542" s="76">
        <v>38.0</v>
      </c>
    </row>
    <row r="543">
      <c r="A543" s="76" t="s">
        <v>679</v>
      </c>
      <c r="B543" s="76" t="s">
        <v>1700</v>
      </c>
      <c r="C543" s="76" t="s">
        <v>1728</v>
      </c>
      <c r="D543" s="76">
        <v>5922.0</v>
      </c>
    </row>
    <row r="544">
      <c r="A544" s="76" t="s">
        <v>680</v>
      </c>
      <c r="B544" s="76" t="s">
        <v>1698</v>
      </c>
      <c r="C544" s="76" t="s">
        <v>1714</v>
      </c>
      <c r="D544" s="76">
        <v>584.0</v>
      </c>
    </row>
    <row r="545">
      <c r="A545" s="76" t="s">
        <v>681</v>
      </c>
      <c r="B545" s="76" t="s">
        <v>1698</v>
      </c>
      <c r="C545" s="76" t="s">
        <v>1718</v>
      </c>
      <c r="D545" s="76">
        <v>500.0</v>
      </c>
    </row>
    <row r="546">
      <c r="A546" s="76" t="s">
        <v>682</v>
      </c>
      <c r="B546" s="76" t="s">
        <v>1705</v>
      </c>
      <c r="C546" s="76" t="s">
        <v>1706</v>
      </c>
      <c r="D546" s="76">
        <v>1836.0</v>
      </c>
    </row>
    <row r="547">
      <c r="A547" s="76" t="s">
        <v>683</v>
      </c>
      <c r="B547" s="76" t="s">
        <v>1708</v>
      </c>
      <c r="C547" s="76" t="s">
        <v>1748</v>
      </c>
      <c r="D547" s="76">
        <v>10200.0</v>
      </c>
    </row>
    <row r="548">
      <c r="A548" s="76" t="s">
        <v>684</v>
      </c>
      <c r="B548" s="76" t="s">
        <v>1729</v>
      </c>
      <c r="C548" s="76" t="s">
        <v>1790</v>
      </c>
      <c r="D548" s="76">
        <v>9000.0</v>
      </c>
    </row>
    <row r="549">
      <c r="A549" s="76" t="s">
        <v>685</v>
      </c>
    </row>
    <row r="550">
      <c r="A550" s="76" t="s">
        <v>686</v>
      </c>
    </row>
    <row r="551">
      <c r="A551" s="76" t="s">
        <v>687</v>
      </c>
    </row>
    <row r="552">
      <c r="A552" s="76" t="s">
        <v>688</v>
      </c>
      <c r="B552" s="76" t="s">
        <v>1698</v>
      </c>
      <c r="C552" s="76" t="s">
        <v>1714</v>
      </c>
      <c r="D552" s="76">
        <v>43.0</v>
      </c>
    </row>
    <row r="553">
      <c r="A553" s="76" t="s">
        <v>689</v>
      </c>
    </row>
    <row r="554">
      <c r="A554" s="76" t="s">
        <v>690</v>
      </c>
      <c r="B554" s="76" t="s">
        <v>1735</v>
      </c>
      <c r="C554" s="76" t="s">
        <v>1781</v>
      </c>
      <c r="D554" s="76">
        <v>157.0</v>
      </c>
    </row>
    <row r="555">
      <c r="A555" s="76" t="s">
        <v>691</v>
      </c>
      <c r="B555" s="76" t="s">
        <v>1715</v>
      </c>
      <c r="C555" s="76" t="s">
        <v>1749</v>
      </c>
      <c r="D555" s="76">
        <v>462.0</v>
      </c>
    </row>
    <row r="556">
      <c r="A556" s="76" t="s">
        <v>692</v>
      </c>
    </row>
    <row r="557">
      <c r="A557" s="76" t="s">
        <v>693</v>
      </c>
      <c r="B557" s="76" t="s">
        <v>1705</v>
      </c>
      <c r="C557" s="76" t="s">
        <v>1777</v>
      </c>
      <c r="D557" s="76">
        <v>6600.0</v>
      </c>
    </row>
    <row r="558">
      <c r="A558" s="76" t="s">
        <v>694</v>
      </c>
    </row>
    <row r="559">
      <c r="A559" s="76" t="s">
        <v>695</v>
      </c>
      <c r="B559" s="76" t="s">
        <v>1702</v>
      </c>
      <c r="C559" s="76" t="s">
        <v>1770</v>
      </c>
      <c r="D559" s="76">
        <v>1330.0</v>
      </c>
    </row>
    <row r="560">
      <c r="A560" s="76" t="s">
        <v>696</v>
      </c>
    </row>
    <row r="561">
      <c r="A561" s="76" t="s">
        <v>697</v>
      </c>
      <c r="B561" s="76" t="s">
        <v>1705</v>
      </c>
      <c r="C561" s="76" t="s">
        <v>1791</v>
      </c>
      <c r="D561" s="76">
        <v>222.0</v>
      </c>
    </row>
    <row r="562">
      <c r="A562" s="76" t="s">
        <v>698</v>
      </c>
      <c r="B562" s="76" t="s">
        <v>1705</v>
      </c>
      <c r="C562" s="76" t="s">
        <v>1763</v>
      </c>
      <c r="D562" s="76">
        <v>25000.0</v>
      </c>
    </row>
    <row r="563">
      <c r="A563" s="76" t="s">
        <v>699</v>
      </c>
      <c r="B563" s="76" t="s">
        <v>1700</v>
      </c>
      <c r="C563" s="76" t="s">
        <v>1728</v>
      </c>
      <c r="D563" s="76">
        <v>6369.0</v>
      </c>
    </row>
    <row r="564">
      <c r="A564" s="76" t="s">
        <v>700</v>
      </c>
      <c r="B564" s="76" t="s">
        <v>1698</v>
      </c>
      <c r="C564" s="76" t="s">
        <v>1714</v>
      </c>
      <c r="D564" s="76">
        <v>73.0</v>
      </c>
    </row>
    <row r="565">
      <c r="A565" s="76" t="s">
        <v>701</v>
      </c>
      <c r="B565" s="76" t="s">
        <v>1708</v>
      </c>
      <c r="C565" s="76" t="s">
        <v>1747</v>
      </c>
      <c r="D565" s="76">
        <v>2600.0</v>
      </c>
    </row>
    <row r="566">
      <c r="A566" s="76" t="s">
        <v>702</v>
      </c>
      <c r="B566" s="76" t="s">
        <v>1698</v>
      </c>
      <c r="C566" s="76" t="s">
        <v>1714</v>
      </c>
      <c r="D566" s="76">
        <v>41.0</v>
      </c>
    </row>
    <row r="567">
      <c r="A567" s="76" t="s">
        <v>703</v>
      </c>
    </row>
    <row r="568">
      <c r="A568" s="76" t="s">
        <v>704</v>
      </c>
      <c r="B568" s="76" t="s">
        <v>1698</v>
      </c>
      <c r="C568" s="76" t="s">
        <v>1714</v>
      </c>
      <c r="D568" s="76">
        <v>5.0</v>
      </c>
    </row>
    <row r="569">
      <c r="A569" s="76" t="s">
        <v>705</v>
      </c>
      <c r="B569" s="76" t="s">
        <v>1702</v>
      </c>
      <c r="C569" s="76" t="s">
        <v>1743</v>
      </c>
      <c r="D569" s="76">
        <v>4640.0</v>
      </c>
    </row>
    <row r="570">
      <c r="A570" s="76" t="s">
        <v>706</v>
      </c>
    </row>
    <row r="571">
      <c r="A571" s="76" t="s">
        <v>707</v>
      </c>
      <c r="B571" s="76" t="s">
        <v>1698</v>
      </c>
      <c r="C571" s="76" t="s">
        <v>1714</v>
      </c>
      <c r="D571" s="76">
        <v>4.0</v>
      </c>
    </row>
    <row r="572">
      <c r="A572" s="76" t="s">
        <v>708</v>
      </c>
    </row>
    <row r="573">
      <c r="A573" s="76" t="s">
        <v>709</v>
      </c>
    </row>
    <row r="574">
      <c r="A574" s="76" t="s">
        <v>710</v>
      </c>
      <c r="B574" s="76" t="s">
        <v>1698</v>
      </c>
      <c r="C574" s="76" t="s">
        <v>1714</v>
      </c>
      <c r="D574" s="76">
        <v>352.0</v>
      </c>
    </row>
    <row r="575">
      <c r="A575" s="76" t="s">
        <v>711</v>
      </c>
      <c r="B575" s="76" t="s">
        <v>1708</v>
      </c>
      <c r="C575" s="76" t="s">
        <v>1725</v>
      </c>
      <c r="D575" s="76">
        <v>5650.0</v>
      </c>
    </row>
    <row r="576">
      <c r="A576" s="76" t="s">
        <v>712</v>
      </c>
      <c r="B576" s="76" t="s">
        <v>1700</v>
      </c>
      <c r="C576" s="76" t="s">
        <v>1728</v>
      </c>
      <c r="D576" s="76">
        <v>2000.0</v>
      </c>
    </row>
    <row r="577">
      <c r="A577" s="76" t="s">
        <v>713</v>
      </c>
    </row>
    <row r="578">
      <c r="A578" s="76" t="s">
        <v>714</v>
      </c>
      <c r="B578" s="76" t="s">
        <v>1708</v>
      </c>
      <c r="C578" s="76" t="s">
        <v>1753</v>
      </c>
      <c r="D578" s="76">
        <v>8000.0</v>
      </c>
    </row>
    <row r="579">
      <c r="A579" s="76" t="s">
        <v>715</v>
      </c>
      <c r="B579" s="76" t="s">
        <v>1702</v>
      </c>
      <c r="C579" s="76" t="s">
        <v>1740</v>
      </c>
      <c r="D579" s="76">
        <v>334.0</v>
      </c>
    </row>
    <row r="580">
      <c r="A580" s="76" t="s">
        <v>716</v>
      </c>
    </row>
    <row r="581">
      <c r="A581" s="76" t="s">
        <v>717</v>
      </c>
      <c r="B581" s="76" t="s">
        <v>1698</v>
      </c>
      <c r="C581" s="76" t="s">
        <v>1714</v>
      </c>
      <c r="D581" s="76">
        <v>45.0</v>
      </c>
    </row>
    <row r="582">
      <c r="A582" s="76" t="s">
        <v>718</v>
      </c>
      <c r="B582" s="76" t="s">
        <v>1708</v>
      </c>
      <c r="C582" s="76" t="s">
        <v>1725</v>
      </c>
      <c r="D582" s="76">
        <v>15800.0</v>
      </c>
    </row>
    <row r="583">
      <c r="A583" s="76" t="s">
        <v>719</v>
      </c>
      <c r="B583" s="76" t="s">
        <v>1700</v>
      </c>
      <c r="C583" s="76" t="s">
        <v>1728</v>
      </c>
      <c r="D583" s="76">
        <v>53.0</v>
      </c>
    </row>
    <row r="584">
      <c r="A584" s="76" t="s">
        <v>720</v>
      </c>
      <c r="B584" s="76" t="s">
        <v>1702</v>
      </c>
      <c r="C584" s="76" t="s">
        <v>1792</v>
      </c>
      <c r="D584" s="76">
        <v>7300.0</v>
      </c>
    </row>
    <row r="585">
      <c r="A585" s="76" t="s">
        <v>721</v>
      </c>
    </row>
    <row r="586">
      <c r="A586" s="76" t="s">
        <v>722</v>
      </c>
    </row>
    <row r="587">
      <c r="A587" s="76" t="s">
        <v>723</v>
      </c>
    </row>
    <row r="588">
      <c r="A588" s="76" t="s">
        <v>724</v>
      </c>
      <c r="B588" s="76" t="s">
        <v>1708</v>
      </c>
      <c r="C588" s="76" t="s">
        <v>1766</v>
      </c>
      <c r="D588" s="76">
        <v>2657.0</v>
      </c>
    </row>
    <row r="589">
      <c r="A589" s="76" t="s">
        <v>725</v>
      </c>
      <c r="B589" s="76" t="s">
        <v>1708</v>
      </c>
      <c r="C589" s="76" t="s">
        <v>1725</v>
      </c>
      <c r="D589" s="76">
        <v>4000.0</v>
      </c>
    </row>
    <row r="590">
      <c r="A590" s="76" t="s">
        <v>726</v>
      </c>
      <c r="B590" s="76" t="s">
        <v>1708</v>
      </c>
      <c r="C590" s="76" t="s">
        <v>1773</v>
      </c>
      <c r="D590" s="76">
        <v>46000.0</v>
      </c>
    </row>
    <row r="591">
      <c r="A591" s="76" t="s">
        <v>727</v>
      </c>
      <c r="B591" s="76" t="s">
        <v>1698</v>
      </c>
      <c r="C591" s="76" t="s">
        <v>1712</v>
      </c>
      <c r="D591" s="76">
        <v>11800.0</v>
      </c>
    </row>
    <row r="592">
      <c r="A592" s="76" t="s">
        <v>728</v>
      </c>
      <c r="B592" s="76" t="s">
        <v>1715</v>
      </c>
      <c r="C592" s="76" t="s">
        <v>1749</v>
      </c>
      <c r="D592" s="76">
        <v>35000.0</v>
      </c>
    </row>
    <row r="593">
      <c r="A593" s="76" t="s">
        <v>729</v>
      </c>
      <c r="B593" s="76" t="s">
        <v>1702</v>
      </c>
      <c r="C593" s="76" t="s">
        <v>1721</v>
      </c>
      <c r="D593" s="76">
        <v>437.0</v>
      </c>
    </row>
    <row r="594">
      <c r="A594" s="76" t="s">
        <v>730</v>
      </c>
    </row>
    <row r="595">
      <c r="A595" s="76" t="s">
        <v>731</v>
      </c>
      <c r="B595" s="76" t="s">
        <v>1735</v>
      </c>
      <c r="C595" s="76" t="s">
        <v>1781</v>
      </c>
      <c r="D595" s="76">
        <v>1647.0</v>
      </c>
    </row>
    <row r="596">
      <c r="A596" s="76" t="s">
        <v>732</v>
      </c>
      <c r="B596" s="76" t="s">
        <v>1735</v>
      </c>
      <c r="C596" s="76" t="s">
        <v>1781</v>
      </c>
      <c r="D596" s="76">
        <v>163.0</v>
      </c>
    </row>
    <row r="597">
      <c r="A597" s="76" t="s">
        <v>733</v>
      </c>
    </row>
    <row r="598">
      <c r="A598" s="76" t="s">
        <v>734</v>
      </c>
    </row>
    <row r="599">
      <c r="A599" s="76" t="s">
        <v>735</v>
      </c>
      <c r="B599" s="76" t="s">
        <v>1729</v>
      </c>
      <c r="C599" s="76" t="s">
        <v>1745</v>
      </c>
      <c r="D599" s="76">
        <v>715.0</v>
      </c>
    </row>
    <row r="600">
      <c r="A600" s="76" t="s">
        <v>736</v>
      </c>
      <c r="B600" s="76" t="s">
        <v>1698</v>
      </c>
      <c r="C600" s="76" t="s">
        <v>1714</v>
      </c>
      <c r="D600" s="76">
        <v>57.0</v>
      </c>
    </row>
    <row r="601">
      <c r="A601" s="76" t="s">
        <v>737</v>
      </c>
      <c r="B601" s="76" t="s">
        <v>1708</v>
      </c>
      <c r="C601" s="76" t="s">
        <v>1787</v>
      </c>
      <c r="D601" s="76">
        <v>164000.0</v>
      </c>
    </row>
    <row r="602">
      <c r="A602" s="76" t="s">
        <v>738</v>
      </c>
      <c r="B602" s="76" t="s">
        <v>1698</v>
      </c>
      <c r="C602" s="76" t="s">
        <v>1714</v>
      </c>
      <c r="D602" s="76">
        <v>636.0</v>
      </c>
    </row>
    <row r="603">
      <c r="A603" s="76" t="s">
        <v>739</v>
      </c>
      <c r="B603" s="76" t="s">
        <v>1698</v>
      </c>
      <c r="C603" s="76" t="s">
        <v>1714</v>
      </c>
      <c r="D603" s="76">
        <v>79.0</v>
      </c>
    </row>
    <row r="604">
      <c r="A604" s="76" t="s">
        <v>740</v>
      </c>
      <c r="B604" s="76" t="s">
        <v>1708</v>
      </c>
      <c r="C604" s="76" t="s">
        <v>1709</v>
      </c>
      <c r="D604" s="76">
        <v>14000.0</v>
      </c>
    </row>
    <row r="605">
      <c r="A605" s="76" t="s">
        <v>741</v>
      </c>
    </row>
    <row r="606">
      <c r="A606" s="76" t="s">
        <v>742</v>
      </c>
      <c r="B606" s="76" t="s">
        <v>1700</v>
      </c>
      <c r="C606" s="76" t="s">
        <v>1769</v>
      </c>
      <c r="D606" s="76">
        <v>12.0</v>
      </c>
    </row>
    <row r="607">
      <c r="A607" s="76" t="s">
        <v>743</v>
      </c>
      <c r="B607" s="76" t="s">
        <v>1702</v>
      </c>
      <c r="C607" s="76" t="s">
        <v>1707</v>
      </c>
      <c r="D607" s="76">
        <v>5308.0</v>
      </c>
    </row>
    <row r="608">
      <c r="A608" s="76" t="s">
        <v>744</v>
      </c>
      <c r="B608" s="76" t="s">
        <v>1702</v>
      </c>
      <c r="C608" s="76" t="s">
        <v>1739</v>
      </c>
      <c r="D608" s="76">
        <v>1255.0</v>
      </c>
    </row>
    <row r="609">
      <c r="A609" s="76" t="s">
        <v>745</v>
      </c>
      <c r="B609" s="76" t="s">
        <v>1698</v>
      </c>
      <c r="C609" s="76" t="s">
        <v>1718</v>
      </c>
      <c r="D609" s="76">
        <v>437.0</v>
      </c>
    </row>
    <row r="610">
      <c r="A610" s="76" t="s">
        <v>746</v>
      </c>
      <c r="B610" s="76" t="s">
        <v>1698</v>
      </c>
      <c r="C610" s="76" t="s">
        <v>1714</v>
      </c>
      <c r="D610" s="76">
        <v>8.0</v>
      </c>
    </row>
    <row r="611">
      <c r="A611" s="76" t="s">
        <v>747</v>
      </c>
      <c r="B611" s="76" t="s">
        <v>1708</v>
      </c>
      <c r="C611" s="76" t="s">
        <v>1778</v>
      </c>
      <c r="D611" s="76">
        <v>5874.0</v>
      </c>
    </row>
    <row r="612">
      <c r="A612" s="76" t="s">
        <v>748</v>
      </c>
      <c r="B612" s="76" t="s">
        <v>1702</v>
      </c>
      <c r="C612" s="76" t="s">
        <v>1739</v>
      </c>
      <c r="D612" s="76">
        <v>37.0</v>
      </c>
    </row>
    <row r="613">
      <c r="A613" s="76" t="s">
        <v>749</v>
      </c>
      <c r="B613" s="76" t="s">
        <v>1702</v>
      </c>
      <c r="C613" s="76" t="s">
        <v>1703</v>
      </c>
      <c r="D613" s="76">
        <v>15981.0</v>
      </c>
    </row>
    <row r="614">
      <c r="A614" s="76" t="s">
        <v>750</v>
      </c>
    </row>
    <row r="615">
      <c r="A615" s="76" t="s">
        <v>751</v>
      </c>
      <c r="B615" s="76" t="s">
        <v>1708</v>
      </c>
      <c r="C615" s="76" t="s">
        <v>1747</v>
      </c>
      <c r="D615" s="76">
        <v>5213.0</v>
      </c>
    </row>
    <row r="616">
      <c r="A616" s="76" t="s">
        <v>752</v>
      </c>
      <c r="B616" s="76" t="s">
        <v>1708</v>
      </c>
      <c r="C616" s="76" t="s">
        <v>1773</v>
      </c>
      <c r="D616" s="76">
        <v>1219.0</v>
      </c>
    </row>
    <row r="617">
      <c r="A617" s="76" t="s">
        <v>753</v>
      </c>
      <c r="B617" s="76" t="s">
        <v>1698</v>
      </c>
      <c r="C617" s="76" t="s">
        <v>1714</v>
      </c>
      <c r="D617" s="76">
        <v>171.0</v>
      </c>
    </row>
    <row r="618">
      <c r="A618" s="76" t="s">
        <v>754</v>
      </c>
      <c r="B618" s="76" t="s">
        <v>1708</v>
      </c>
      <c r="C618" s="76" t="s">
        <v>1717</v>
      </c>
      <c r="D618" s="76">
        <v>15296.0</v>
      </c>
    </row>
    <row r="619">
      <c r="A619" s="76" t="s">
        <v>755</v>
      </c>
      <c r="B619" s="76" t="s">
        <v>1705</v>
      </c>
      <c r="C619" s="76" t="s">
        <v>1793</v>
      </c>
      <c r="D619" s="76">
        <v>926.0</v>
      </c>
    </row>
    <row r="620">
      <c r="A620" s="76" t="s">
        <v>756</v>
      </c>
    </row>
    <row r="621">
      <c r="A621" s="76" t="s">
        <v>757</v>
      </c>
      <c r="B621" s="76" t="s">
        <v>1700</v>
      </c>
      <c r="C621" s="76" t="s">
        <v>1728</v>
      </c>
      <c r="D621" s="76">
        <v>4000.0</v>
      </c>
    </row>
    <row r="622">
      <c r="A622" s="76" t="s">
        <v>758</v>
      </c>
      <c r="B622" s="76" t="s">
        <v>1708</v>
      </c>
      <c r="C622" s="76" t="s">
        <v>1754</v>
      </c>
      <c r="D622" s="76">
        <v>460.0</v>
      </c>
    </row>
    <row r="623">
      <c r="A623" s="76" t="s">
        <v>759</v>
      </c>
      <c r="B623" s="76" t="s">
        <v>1698</v>
      </c>
      <c r="C623" s="76" t="s">
        <v>1712</v>
      </c>
      <c r="D623" s="76">
        <v>24162.0</v>
      </c>
    </row>
    <row r="624">
      <c r="A624" s="76" t="s">
        <v>760</v>
      </c>
      <c r="B624" s="76" t="s">
        <v>1705</v>
      </c>
      <c r="C624" s="76" t="s">
        <v>1763</v>
      </c>
      <c r="D624" s="76">
        <v>15000.0</v>
      </c>
    </row>
    <row r="625">
      <c r="A625" s="76" t="s">
        <v>761</v>
      </c>
      <c r="B625" s="76" t="s">
        <v>1698</v>
      </c>
      <c r="C625" s="76" t="s">
        <v>1714</v>
      </c>
      <c r="D625" s="76">
        <v>176.0</v>
      </c>
    </row>
    <row r="626">
      <c r="A626" s="76" t="s">
        <v>762</v>
      </c>
    </row>
    <row r="627">
      <c r="A627" s="76" t="s">
        <v>763</v>
      </c>
      <c r="B627" s="76" t="s">
        <v>1702</v>
      </c>
      <c r="C627" s="76" t="s">
        <v>1770</v>
      </c>
      <c r="D627" s="76">
        <v>41761.0</v>
      </c>
    </row>
    <row r="628">
      <c r="A628" s="76" t="s">
        <v>764</v>
      </c>
      <c r="B628" s="76" t="s">
        <v>1705</v>
      </c>
      <c r="C628" s="76" t="s">
        <v>1706</v>
      </c>
      <c r="D628" s="76">
        <v>166.0</v>
      </c>
    </row>
    <row r="629">
      <c r="A629" s="76" t="s">
        <v>765</v>
      </c>
      <c r="B629" s="76" t="s">
        <v>1698</v>
      </c>
      <c r="C629" s="76" t="s">
        <v>1712</v>
      </c>
      <c r="D629" s="76">
        <v>99437.0</v>
      </c>
    </row>
    <row r="630">
      <c r="A630" s="76" t="s">
        <v>766</v>
      </c>
    </row>
    <row r="631">
      <c r="A631" s="76" t="s">
        <v>767</v>
      </c>
    </row>
    <row r="632">
      <c r="A632" s="76" t="s">
        <v>768</v>
      </c>
    </row>
    <row r="633">
      <c r="A633" s="76" t="s">
        <v>769</v>
      </c>
      <c r="B633" s="76" t="s">
        <v>1700</v>
      </c>
      <c r="C633" s="76" t="s">
        <v>1724</v>
      </c>
      <c r="D633" s="76">
        <v>17.0</v>
      </c>
    </row>
    <row r="634">
      <c r="A634" s="76" t="s">
        <v>770</v>
      </c>
      <c r="B634" s="76" t="s">
        <v>1708</v>
      </c>
      <c r="C634" s="76" t="s">
        <v>1778</v>
      </c>
      <c r="D634" s="76">
        <v>62000.0</v>
      </c>
    </row>
    <row r="635">
      <c r="A635" s="76" t="s">
        <v>771</v>
      </c>
      <c r="B635" s="76" t="s">
        <v>1698</v>
      </c>
      <c r="C635" s="76" t="s">
        <v>1699</v>
      </c>
      <c r="D635" s="76">
        <v>697.0</v>
      </c>
    </row>
    <row r="636">
      <c r="A636" s="76" t="s">
        <v>772</v>
      </c>
      <c r="B636" s="76" t="s">
        <v>1698</v>
      </c>
      <c r="C636" s="76" t="s">
        <v>1714</v>
      </c>
      <c r="D636" s="76">
        <v>104.0</v>
      </c>
    </row>
    <row r="637">
      <c r="A637" s="76" t="s">
        <v>773</v>
      </c>
      <c r="B637" s="76" t="s">
        <v>1700</v>
      </c>
      <c r="C637" s="76" t="s">
        <v>1728</v>
      </c>
      <c r="D637" s="76">
        <v>606.0</v>
      </c>
    </row>
    <row r="638">
      <c r="A638" s="76" t="s">
        <v>774</v>
      </c>
      <c r="B638" s="76" t="s">
        <v>1702</v>
      </c>
      <c r="C638" s="76" t="s">
        <v>1721</v>
      </c>
      <c r="D638" s="76">
        <v>529.0</v>
      </c>
    </row>
    <row r="639">
      <c r="A639" s="76" t="s">
        <v>775</v>
      </c>
      <c r="B639" s="76" t="s">
        <v>1702</v>
      </c>
      <c r="C639" s="76" t="s">
        <v>1721</v>
      </c>
      <c r="D639" s="76">
        <v>7000.0</v>
      </c>
    </row>
    <row r="640">
      <c r="A640" s="76" t="s">
        <v>776</v>
      </c>
      <c r="B640" s="76" t="s">
        <v>1698</v>
      </c>
      <c r="C640" s="76" t="s">
        <v>1712</v>
      </c>
      <c r="D640" s="76">
        <v>901.0</v>
      </c>
    </row>
    <row r="641">
      <c r="A641" s="76" t="s">
        <v>777</v>
      </c>
      <c r="B641" s="76" t="s">
        <v>1702</v>
      </c>
      <c r="C641" s="76" t="s">
        <v>1770</v>
      </c>
      <c r="D641" s="76">
        <v>8000.0</v>
      </c>
    </row>
    <row r="642">
      <c r="A642" s="76" t="s">
        <v>778</v>
      </c>
      <c r="B642" s="76" t="s">
        <v>1708</v>
      </c>
      <c r="C642" s="76" t="s">
        <v>1766</v>
      </c>
      <c r="D642" s="76">
        <v>55000.0</v>
      </c>
    </row>
    <row r="643">
      <c r="A643" s="76" t="s">
        <v>779</v>
      </c>
      <c r="B643" s="76" t="s">
        <v>1702</v>
      </c>
      <c r="C643" s="76" t="s">
        <v>1703</v>
      </c>
      <c r="D643" s="76">
        <v>7418.0</v>
      </c>
    </row>
    <row r="644">
      <c r="A644" s="76" t="s">
        <v>780</v>
      </c>
      <c r="B644" s="76" t="s">
        <v>1715</v>
      </c>
      <c r="C644" s="76" t="s">
        <v>1749</v>
      </c>
      <c r="D644" s="76">
        <v>4287.0</v>
      </c>
    </row>
    <row r="645">
      <c r="A645" s="76" t="s">
        <v>781</v>
      </c>
      <c r="B645" s="76" t="s">
        <v>1698</v>
      </c>
      <c r="C645" s="76" t="s">
        <v>1714</v>
      </c>
      <c r="D645" s="76">
        <v>132.0</v>
      </c>
    </row>
    <row r="646">
      <c r="A646" s="76" t="s">
        <v>782</v>
      </c>
      <c r="B646" s="76" t="s">
        <v>1698</v>
      </c>
      <c r="C646" s="76" t="s">
        <v>1714</v>
      </c>
      <c r="D646" s="76">
        <v>76.0</v>
      </c>
    </row>
    <row r="647">
      <c r="A647" s="76" t="s">
        <v>783</v>
      </c>
      <c r="B647" s="76" t="s">
        <v>1708</v>
      </c>
      <c r="C647" s="76" t="s">
        <v>1747</v>
      </c>
      <c r="D647" s="76">
        <v>5600.0</v>
      </c>
    </row>
    <row r="648">
      <c r="A648" s="76" t="s">
        <v>784</v>
      </c>
      <c r="B648" s="76" t="s">
        <v>1702</v>
      </c>
      <c r="C648" s="76" t="s">
        <v>1741</v>
      </c>
      <c r="D648" s="76">
        <v>1179.0</v>
      </c>
    </row>
    <row r="649">
      <c r="A649" s="76" t="s">
        <v>785</v>
      </c>
      <c r="B649" s="76" t="s">
        <v>1708</v>
      </c>
      <c r="C649" s="76" t="s">
        <v>1773</v>
      </c>
      <c r="D649" s="76">
        <v>63000.0</v>
      </c>
    </row>
    <row r="650">
      <c r="A650" s="76" t="s">
        <v>786</v>
      </c>
    </row>
    <row r="651">
      <c r="A651" s="76" t="s">
        <v>787</v>
      </c>
    </row>
    <row r="652">
      <c r="A652" s="76" t="s">
        <v>788</v>
      </c>
      <c r="B652" s="76" t="s">
        <v>1698</v>
      </c>
      <c r="C652" s="76" t="s">
        <v>1719</v>
      </c>
      <c r="D652" s="76">
        <v>210000.0</v>
      </c>
    </row>
    <row r="653">
      <c r="A653" s="76" t="s">
        <v>789</v>
      </c>
    </row>
    <row r="654">
      <c r="A654" s="76" t="s">
        <v>790</v>
      </c>
      <c r="B654" s="76" t="s">
        <v>1698</v>
      </c>
      <c r="C654" s="76" t="s">
        <v>1714</v>
      </c>
      <c r="D654" s="76">
        <v>853.0</v>
      </c>
    </row>
    <row r="655">
      <c r="A655" s="76" t="s">
        <v>791</v>
      </c>
      <c r="B655" s="76" t="s">
        <v>1698</v>
      </c>
      <c r="C655" s="76" t="s">
        <v>1719</v>
      </c>
      <c r="D655" s="76">
        <v>51000.0</v>
      </c>
    </row>
    <row r="656">
      <c r="A656" s="76" t="s">
        <v>792</v>
      </c>
    </row>
    <row r="657">
      <c r="A657" s="76" t="s">
        <v>793</v>
      </c>
      <c r="B657" s="76" t="s">
        <v>1702</v>
      </c>
      <c r="C657" s="76" t="s">
        <v>1788</v>
      </c>
      <c r="D657" s="76">
        <v>11000.0</v>
      </c>
    </row>
    <row r="658">
      <c r="A658" s="76" t="s">
        <v>794</v>
      </c>
      <c r="B658" s="76" t="s">
        <v>1702</v>
      </c>
      <c r="C658" s="76" t="s">
        <v>1704</v>
      </c>
      <c r="D658" s="76">
        <v>2432.0</v>
      </c>
    </row>
    <row r="659">
      <c r="A659" s="76" t="s">
        <v>795</v>
      </c>
      <c r="B659" s="76" t="s">
        <v>1702</v>
      </c>
      <c r="C659" s="76" t="s">
        <v>1727</v>
      </c>
      <c r="D659" s="76">
        <v>5900.0</v>
      </c>
    </row>
    <row r="660">
      <c r="A660" s="76" t="s">
        <v>796</v>
      </c>
      <c r="B660" s="76" t="s">
        <v>1715</v>
      </c>
      <c r="C660" s="76" t="s">
        <v>1764</v>
      </c>
      <c r="D660" s="76">
        <v>1650.0</v>
      </c>
    </row>
    <row r="661">
      <c r="A661" s="76" t="s">
        <v>797</v>
      </c>
      <c r="B661" s="76" t="s">
        <v>1708</v>
      </c>
      <c r="C661" s="76" t="s">
        <v>1753</v>
      </c>
      <c r="D661" s="76">
        <v>3000.0</v>
      </c>
    </row>
    <row r="662">
      <c r="A662" s="76" t="s">
        <v>798</v>
      </c>
      <c r="B662" s="76" t="s">
        <v>1708</v>
      </c>
      <c r="C662" s="76" t="s">
        <v>1709</v>
      </c>
      <c r="D662" s="76">
        <v>3500.0</v>
      </c>
    </row>
    <row r="663">
      <c r="A663" s="76" t="s">
        <v>799</v>
      </c>
    </row>
    <row r="664">
      <c r="A664" s="76" t="s">
        <v>800</v>
      </c>
      <c r="B664" s="76" t="s">
        <v>1705</v>
      </c>
      <c r="C664" s="76" t="s">
        <v>1706</v>
      </c>
      <c r="D664" s="76">
        <v>2000.0</v>
      </c>
    </row>
    <row r="665">
      <c r="A665" s="76" t="s">
        <v>801</v>
      </c>
      <c r="B665" s="76" t="s">
        <v>1700</v>
      </c>
      <c r="C665" s="76" t="s">
        <v>1724</v>
      </c>
      <c r="D665" s="76">
        <v>1622.0</v>
      </c>
    </row>
    <row r="666">
      <c r="A666" s="76" t="s">
        <v>802</v>
      </c>
      <c r="B666" s="76" t="s">
        <v>1715</v>
      </c>
      <c r="C666" s="76" t="s">
        <v>1749</v>
      </c>
      <c r="D666" s="76">
        <v>9500.0</v>
      </c>
    </row>
    <row r="667">
      <c r="A667" s="76" t="s">
        <v>803</v>
      </c>
      <c r="B667" s="76" t="s">
        <v>1708</v>
      </c>
      <c r="C667" s="76" t="s">
        <v>1766</v>
      </c>
      <c r="D667" s="76">
        <v>173000.0</v>
      </c>
    </row>
    <row r="668">
      <c r="A668" s="76" t="s">
        <v>804</v>
      </c>
      <c r="B668" s="76" t="s">
        <v>1708</v>
      </c>
      <c r="C668" s="76" t="s">
        <v>1787</v>
      </c>
      <c r="D668" s="76">
        <v>218674.0</v>
      </c>
    </row>
    <row r="669">
      <c r="A669" s="76" t="s">
        <v>805</v>
      </c>
    </row>
    <row r="670">
      <c r="A670" s="76" t="s">
        <v>806</v>
      </c>
      <c r="B670" s="76" t="s">
        <v>1698</v>
      </c>
      <c r="C670" s="76" t="s">
        <v>1761</v>
      </c>
      <c r="D670" s="76">
        <v>3100.0</v>
      </c>
    </row>
    <row r="671">
      <c r="A671" s="76" t="s">
        <v>807</v>
      </c>
      <c r="B671" s="76" t="s">
        <v>1700</v>
      </c>
      <c r="C671" s="76" t="s">
        <v>1724</v>
      </c>
      <c r="D671" s="76">
        <v>32837.0</v>
      </c>
    </row>
    <row r="672">
      <c r="A672" s="76" t="s">
        <v>808</v>
      </c>
      <c r="B672" s="76" t="s">
        <v>1735</v>
      </c>
      <c r="C672" s="76" t="s">
        <v>1736</v>
      </c>
      <c r="D672" s="76">
        <v>915.0</v>
      </c>
    </row>
    <row r="673">
      <c r="A673" s="76" t="s">
        <v>809</v>
      </c>
      <c r="B673" s="76" t="s">
        <v>1708</v>
      </c>
      <c r="C673" s="76" t="s">
        <v>1731</v>
      </c>
      <c r="D673" s="76">
        <v>1251.0</v>
      </c>
    </row>
    <row r="674">
      <c r="A674" s="76" t="s">
        <v>810</v>
      </c>
      <c r="B674" s="76" t="s">
        <v>1708</v>
      </c>
      <c r="C674" s="76" t="s">
        <v>1779</v>
      </c>
      <c r="D674" s="76">
        <v>5600.0</v>
      </c>
    </row>
    <row r="675">
      <c r="A675" s="76" t="s">
        <v>811</v>
      </c>
      <c r="B675" s="76" t="s">
        <v>1708</v>
      </c>
      <c r="C675" s="76" t="s">
        <v>1709</v>
      </c>
      <c r="D675" s="76">
        <v>6289.0</v>
      </c>
    </row>
    <row r="676">
      <c r="A676" s="76" t="s">
        <v>812</v>
      </c>
    </row>
    <row r="677">
      <c r="A677" s="76" t="s">
        <v>813</v>
      </c>
      <c r="B677" s="76" t="s">
        <v>1698</v>
      </c>
      <c r="C677" s="76" t="s">
        <v>1714</v>
      </c>
      <c r="D677" s="76">
        <v>85.0</v>
      </c>
    </row>
    <row r="678">
      <c r="A678" s="76" t="s">
        <v>814</v>
      </c>
      <c r="B678" s="76" t="s">
        <v>1708</v>
      </c>
      <c r="C678" s="76" t="s">
        <v>1754</v>
      </c>
      <c r="D678" s="76">
        <v>1868.0</v>
      </c>
    </row>
    <row r="679">
      <c r="A679" s="76" t="s">
        <v>815</v>
      </c>
      <c r="B679" s="76" t="s">
        <v>1698</v>
      </c>
      <c r="C679" s="76" t="s">
        <v>1761</v>
      </c>
      <c r="D679" s="76">
        <v>2931.0</v>
      </c>
    </row>
    <row r="680">
      <c r="A680" s="76" t="s">
        <v>816</v>
      </c>
      <c r="B680" s="76" t="s">
        <v>1783</v>
      </c>
      <c r="C680" s="76" t="s">
        <v>1784</v>
      </c>
      <c r="D680" s="76">
        <v>297.0</v>
      </c>
    </row>
    <row r="681">
      <c r="A681" s="76" t="s">
        <v>817</v>
      </c>
      <c r="B681" s="76" t="s">
        <v>1715</v>
      </c>
      <c r="C681" s="76" t="s">
        <v>1749</v>
      </c>
      <c r="D681" s="76">
        <v>18700.0</v>
      </c>
    </row>
    <row r="682">
      <c r="A682" s="76" t="s">
        <v>818</v>
      </c>
    </row>
    <row r="683">
      <c r="A683" s="76" t="s">
        <v>819</v>
      </c>
      <c r="B683" s="76" t="s">
        <v>1698</v>
      </c>
      <c r="C683" s="76" t="s">
        <v>1714</v>
      </c>
      <c r="D683" s="76">
        <v>231.0</v>
      </c>
    </row>
    <row r="684">
      <c r="A684" s="76" t="s">
        <v>820</v>
      </c>
      <c r="B684" s="76" t="s">
        <v>1698</v>
      </c>
      <c r="C684" s="76" t="s">
        <v>1713</v>
      </c>
      <c r="D684" s="76">
        <v>19000.0</v>
      </c>
    </row>
    <row r="685">
      <c r="A685" s="76" t="s">
        <v>821</v>
      </c>
      <c r="B685" s="76" t="s">
        <v>1698</v>
      </c>
      <c r="C685" s="76" t="s">
        <v>1699</v>
      </c>
      <c r="D685" s="76">
        <v>386.0</v>
      </c>
    </row>
    <row r="686">
      <c r="A686" s="76" t="s">
        <v>822</v>
      </c>
      <c r="B686" s="76" t="s">
        <v>1783</v>
      </c>
      <c r="C686" s="76" t="s">
        <v>1784</v>
      </c>
      <c r="D686" s="76">
        <v>303.0</v>
      </c>
    </row>
    <row r="687">
      <c r="A687" s="76" t="s">
        <v>823</v>
      </c>
    </row>
    <row r="688">
      <c r="A688" s="76" t="s">
        <v>824</v>
      </c>
      <c r="B688" s="76" t="s">
        <v>1708</v>
      </c>
      <c r="C688" s="76" t="s">
        <v>1766</v>
      </c>
      <c r="D688" s="76">
        <v>18352.0</v>
      </c>
    </row>
    <row r="689">
      <c r="A689" s="76" t="s">
        <v>825</v>
      </c>
      <c r="B689" s="76" t="s">
        <v>1702</v>
      </c>
      <c r="C689" s="76" t="s">
        <v>1734</v>
      </c>
      <c r="D689" s="76">
        <v>4050.0</v>
      </c>
    </row>
    <row r="690">
      <c r="A690" s="76" t="s">
        <v>826</v>
      </c>
      <c r="B690" s="76" t="s">
        <v>1702</v>
      </c>
      <c r="C690" s="76" t="s">
        <v>1704</v>
      </c>
      <c r="D690" s="76">
        <v>38000.0</v>
      </c>
    </row>
    <row r="691">
      <c r="A691" s="76" t="s">
        <v>827</v>
      </c>
      <c r="B691" s="76" t="s">
        <v>1702</v>
      </c>
      <c r="C691" s="76" t="s">
        <v>1743</v>
      </c>
      <c r="D691" s="76">
        <v>5000.0</v>
      </c>
    </row>
    <row r="692">
      <c r="A692" s="76" t="s">
        <v>828</v>
      </c>
      <c r="B692" s="76" t="s">
        <v>1700</v>
      </c>
      <c r="C692" s="76" t="s">
        <v>1733</v>
      </c>
      <c r="D692" s="76">
        <v>10000.0</v>
      </c>
    </row>
    <row r="693">
      <c r="A693" s="76" t="s">
        <v>829</v>
      </c>
      <c r="B693" s="76" t="s">
        <v>1708</v>
      </c>
      <c r="C693" s="76" t="s">
        <v>1789</v>
      </c>
      <c r="D693" s="76">
        <v>3425.0</v>
      </c>
    </row>
    <row r="694">
      <c r="A694" s="76" t="s">
        <v>830</v>
      </c>
      <c r="B694" s="76" t="s">
        <v>1700</v>
      </c>
      <c r="C694" s="76" t="s">
        <v>1728</v>
      </c>
      <c r="D694" s="76">
        <v>656.0</v>
      </c>
    </row>
    <row r="695">
      <c r="A695" s="76" t="s">
        <v>831</v>
      </c>
      <c r="B695" s="76" t="s">
        <v>1702</v>
      </c>
      <c r="C695" s="76" t="s">
        <v>1727</v>
      </c>
      <c r="D695" s="76">
        <v>6977.0</v>
      </c>
    </row>
    <row r="696">
      <c r="A696" s="76" t="s">
        <v>832</v>
      </c>
      <c r="B696" s="76" t="s">
        <v>1702</v>
      </c>
      <c r="C696" s="76" t="s">
        <v>1740</v>
      </c>
      <c r="D696" s="76">
        <v>7900.0</v>
      </c>
    </row>
    <row r="697">
      <c r="A697" s="76" t="s">
        <v>833</v>
      </c>
      <c r="B697" s="76" t="s">
        <v>1698</v>
      </c>
      <c r="C697" s="76" t="s">
        <v>1712</v>
      </c>
      <c r="D697" s="76">
        <v>1225.0</v>
      </c>
    </row>
    <row r="698">
      <c r="A698" s="76" t="s">
        <v>834</v>
      </c>
      <c r="B698" s="76" t="s">
        <v>1708</v>
      </c>
      <c r="C698" s="76" t="s">
        <v>1709</v>
      </c>
      <c r="D698" s="76">
        <v>1754.0</v>
      </c>
    </row>
    <row r="699">
      <c r="A699" s="76" t="s">
        <v>835</v>
      </c>
      <c r="B699" s="76" t="s">
        <v>1700</v>
      </c>
      <c r="C699" s="76" t="s">
        <v>1724</v>
      </c>
      <c r="D699" s="76">
        <v>5000.0</v>
      </c>
    </row>
    <row r="700">
      <c r="A700" s="76" t="s">
        <v>836</v>
      </c>
    </row>
    <row r="701">
      <c r="A701" s="76" t="s">
        <v>837</v>
      </c>
      <c r="B701" s="76" t="s">
        <v>1702</v>
      </c>
      <c r="C701" s="76" t="s">
        <v>1707</v>
      </c>
      <c r="D701" s="76">
        <v>8500.0</v>
      </c>
    </row>
    <row r="702">
      <c r="A702" s="76" t="s">
        <v>838</v>
      </c>
      <c r="B702" s="76" t="s">
        <v>1705</v>
      </c>
      <c r="C702" s="76" t="s">
        <v>1720</v>
      </c>
      <c r="D702" s="76">
        <v>1355.0</v>
      </c>
    </row>
    <row r="703">
      <c r="A703" s="76" t="s">
        <v>839</v>
      </c>
      <c r="B703" s="76" t="s">
        <v>1700</v>
      </c>
      <c r="C703" s="76" t="s">
        <v>1762</v>
      </c>
      <c r="D703" s="76">
        <v>11000.0</v>
      </c>
    </row>
    <row r="704">
      <c r="A704" s="76" t="s">
        <v>840</v>
      </c>
      <c r="B704" s="76" t="s">
        <v>1698</v>
      </c>
      <c r="C704" s="76" t="s">
        <v>1699</v>
      </c>
      <c r="D704" s="76">
        <v>15150.0</v>
      </c>
    </row>
    <row r="705">
      <c r="A705" s="76" t="s">
        <v>841</v>
      </c>
      <c r="B705" s="76" t="s">
        <v>1698</v>
      </c>
      <c r="C705" s="76" t="s">
        <v>1714</v>
      </c>
      <c r="D705" s="76">
        <v>583.0</v>
      </c>
    </row>
    <row r="706">
      <c r="A706" s="76" t="s">
        <v>842</v>
      </c>
      <c r="B706" s="76" t="s">
        <v>1698</v>
      </c>
      <c r="C706" s="76" t="s">
        <v>1699</v>
      </c>
      <c r="D706" s="76">
        <v>9000.0</v>
      </c>
    </row>
    <row r="707">
      <c r="A707" s="76" t="s">
        <v>843</v>
      </c>
      <c r="B707" s="76" t="s">
        <v>1698</v>
      </c>
      <c r="C707" s="76" t="s">
        <v>1714</v>
      </c>
      <c r="D707" s="76">
        <v>46.0</v>
      </c>
    </row>
    <row r="708">
      <c r="A708" s="76" t="s">
        <v>844</v>
      </c>
      <c r="B708" s="76" t="s">
        <v>1702</v>
      </c>
      <c r="C708" s="76" t="s">
        <v>1721</v>
      </c>
      <c r="D708" s="76">
        <v>5389.0</v>
      </c>
    </row>
    <row r="709">
      <c r="A709" s="76" t="s">
        <v>845</v>
      </c>
      <c r="B709" s="76" t="s">
        <v>1700</v>
      </c>
      <c r="C709" s="76" t="s">
        <v>1728</v>
      </c>
      <c r="D709" s="76">
        <v>13668.0</v>
      </c>
    </row>
    <row r="710">
      <c r="A710" s="76" t="s">
        <v>846</v>
      </c>
      <c r="B710" s="76" t="s">
        <v>1698</v>
      </c>
      <c r="C710" s="76" t="s">
        <v>1714</v>
      </c>
      <c r="D710" s="76">
        <v>43.0</v>
      </c>
    </row>
    <row r="711">
      <c r="A711" s="76" t="s">
        <v>847</v>
      </c>
    </row>
    <row r="712">
      <c r="A712" s="76" t="s">
        <v>848</v>
      </c>
      <c r="B712" s="76" t="s">
        <v>1708</v>
      </c>
      <c r="C712" s="76" t="s">
        <v>1766</v>
      </c>
      <c r="D712" s="76">
        <v>14436.0</v>
      </c>
    </row>
    <row r="713">
      <c r="A713" s="76" t="s">
        <v>849</v>
      </c>
      <c r="B713" s="76" t="s">
        <v>1702</v>
      </c>
      <c r="C713" s="76" t="s">
        <v>1741</v>
      </c>
      <c r="D713" s="76">
        <v>834.0</v>
      </c>
    </row>
    <row r="714">
      <c r="A714" s="76" t="s">
        <v>850</v>
      </c>
    </row>
    <row r="715">
      <c r="A715" s="76" t="s">
        <v>851</v>
      </c>
      <c r="B715" s="76" t="s">
        <v>1698</v>
      </c>
      <c r="C715" s="76" t="s">
        <v>1699</v>
      </c>
      <c r="D715" s="76">
        <v>7700.0</v>
      </c>
    </row>
    <row r="716">
      <c r="A716" s="76" t="s">
        <v>852</v>
      </c>
      <c r="B716" s="76" t="s">
        <v>1698</v>
      </c>
      <c r="C716" s="76" t="s">
        <v>1714</v>
      </c>
      <c r="D716" s="76">
        <v>185.0</v>
      </c>
    </row>
    <row r="717">
      <c r="A717" s="76" t="s">
        <v>853</v>
      </c>
      <c r="B717" s="76" t="s">
        <v>1729</v>
      </c>
      <c r="C717" s="76" t="s">
        <v>1730</v>
      </c>
      <c r="D717" s="76">
        <v>673.0</v>
      </c>
    </row>
    <row r="718">
      <c r="A718" s="76" t="s">
        <v>854</v>
      </c>
      <c r="B718" s="76" t="s">
        <v>1698</v>
      </c>
      <c r="C718" s="76" t="s">
        <v>1714</v>
      </c>
      <c r="D718" s="76">
        <v>75.0</v>
      </c>
    </row>
    <row r="719">
      <c r="A719" s="76" t="s">
        <v>855</v>
      </c>
      <c r="B719" s="76" t="s">
        <v>1698</v>
      </c>
      <c r="C719" s="76" t="s">
        <v>1714</v>
      </c>
      <c r="D719" s="76">
        <v>366.0</v>
      </c>
    </row>
    <row r="720">
      <c r="A720" s="76" t="s">
        <v>856</v>
      </c>
      <c r="B720" s="76" t="s">
        <v>1698</v>
      </c>
      <c r="C720" s="76" t="s">
        <v>1714</v>
      </c>
      <c r="D720" s="76">
        <v>1456.0</v>
      </c>
    </row>
    <row r="721">
      <c r="A721" s="76" t="s">
        <v>857</v>
      </c>
      <c r="B721" s="76" t="s">
        <v>1715</v>
      </c>
      <c r="C721" s="76" t="s">
        <v>1749</v>
      </c>
      <c r="D721" s="76">
        <v>11000.0</v>
      </c>
    </row>
    <row r="722">
      <c r="A722" s="76" t="s">
        <v>858</v>
      </c>
    </row>
    <row r="723">
      <c r="A723" s="76" t="s">
        <v>859</v>
      </c>
      <c r="B723" s="76" t="s">
        <v>1698</v>
      </c>
      <c r="C723" s="76" t="s">
        <v>1714</v>
      </c>
      <c r="D723" s="76">
        <v>435.0</v>
      </c>
    </row>
    <row r="724">
      <c r="A724" s="76" t="s">
        <v>860</v>
      </c>
      <c r="B724" s="76" t="s">
        <v>1702</v>
      </c>
      <c r="C724" s="76" t="s">
        <v>1739</v>
      </c>
      <c r="D724" s="76">
        <v>1666.0</v>
      </c>
    </row>
    <row r="725">
      <c r="A725" s="76" t="s">
        <v>861</v>
      </c>
      <c r="B725" s="76" t="s">
        <v>1705</v>
      </c>
      <c r="C725" s="76" t="s">
        <v>1706</v>
      </c>
      <c r="D725" s="76">
        <v>110.0</v>
      </c>
    </row>
    <row r="726">
      <c r="A726" s="76" t="s">
        <v>862</v>
      </c>
      <c r="B726" s="76" t="s">
        <v>1705</v>
      </c>
      <c r="C726" s="76" t="s">
        <v>1706</v>
      </c>
      <c r="D726" s="76">
        <v>198.0</v>
      </c>
    </row>
    <row r="727">
      <c r="A727" s="76" t="s">
        <v>863</v>
      </c>
    </row>
    <row r="728">
      <c r="A728" s="76" t="s">
        <v>864</v>
      </c>
    </row>
    <row r="729">
      <c r="A729" s="76" t="s">
        <v>865</v>
      </c>
      <c r="B729" s="76" t="s">
        <v>1698</v>
      </c>
      <c r="C729" s="76" t="s">
        <v>1714</v>
      </c>
      <c r="D729" s="76">
        <v>817.0</v>
      </c>
    </row>
    <row r="730">
      <c r="A730" s="76" t="s">
        <v>866</v>
      </c>
      <c r="B730" s="76" t="s">
        <v>1700</v>
      </c>
      <c r="C730" s="76" t="s">
        <v>1728</v>
      </c>
      <c r="D730" s="76">
        <v>2000.0</v>
      </c>
    </row>
    <row r="731">
      <c r="A731" s="76" t="s">
        <v>867</v>
      </c>
    </row>
    <row r="732">
      <c r="A732" s="76" t="s">
        <v>868</v>
      </c>
    </row>
    <row r="733">
      <c r="A733" s="76" t="s">
        <v>869</v>
      </c>
      <c r="B733" s="76" t="s">
        <v>1715</v>
      </c>
      <c r="C733" s="76" t="s">
        <v>1764</v>
      </c>
      <c r="D733" s="76">
        <v>402.0</v>
      </c>
    </row>
    <row r="734">
      <c r="A734" s="76" t="s">
        <v>870</v>
      </c>
      <c r="B734" s="76" t="s">
        <v>1698</v>
      </c>
      <c r="C734" s="76" t="s">
        <v>1714</v>
      </c>
      <c r="D734" s="76">
        <v>247.0</v>
      </c>
    </row>
    <row r="735">
      <c r="A735" s="76" t="s">
        <v>871</v>
      </c>
      <c r="B735" s="76" t="s">
        <v>1705</v>
      </c>
      <c r="C735" s="76" t="s">
        <v>1706</v>
      </c>
      <c r="D735" s="76">
        <v>685.0</v>
      </c>
    </row>
    <row r="736">
      <c r="A736" s="76" t="s">
        <v>872</v>
      </c>
    </row>
    <row r="737">
      <c r="A737" s="76" t="s">
        <v>873</v>
      </c>
    </row>
    <row r="738">
      <c r="A738" s="76" t="s">
        <v>874</v>
      </c>
      <c r="B738" s="76" t="s">
        <v>1698</v>
      </c>
      <c r="C738" s="76" t="s">
        <v>1699</v>
      </c>
      <c r="D738" s="76">
        <v>67000.0</v>
      </c>
    </row>
    <row r="739">
      <c r="A739" s="76" t="s">
        <v>875</v>
      </c>
      <c r="B739" s="76" t="s">
        <v>1702</v>
      </c>
      <c r="C739" s="76" t="s">
        <v>1738</v>
      </c>
      <c r="D739" s="76">
        <v>6600.0</v>
      </c>
    </row>
    <row r="740">
      <c r="A740" s="76" t="s">
        <v>876</v>
      </c>
      <c r="B740" s="76" t="s">
        <v>1705</v>
      </c>
      <c r="C740" s="76" t="s">
        <v>1793</v>
      </c>
      <c r="D740" s="76">
        <v>1120.0</v>
      </c>
    </row>
    <row r="741">
      <c r="A741" s="76" t="s">
        <v>877</v>
      </c>
      <c r="B741" s="76" t="s">
        <v>1698</v>
      </c>
      <c r="C741" s="76" t="s">
        <v>1722</v>
      </c>
      <c r="D741" s="76">
        <v>317.0</v>
      </c>
    </row>
    <row r="742">
      <c r="A742" s="76" t="s">
        <v>878</v>
      </c>
    </row>
    <row r="743">
      <c r="A743" s="76" t="s">
        <v>879</v>
      </c>
    </row>
    <row r="744">
      <c r="A744" s="76" t="s">
        <v>880</v>
      </c>
      <c r="B744" s="76" t="s">
        <v>1698</v>
      </c>
      <c r="C744" s="76" t="s">
        <v>1714</v>
      </c>
      <c r="D744" s="76">
        <v>330.0</v>
      </c>
    </row>
    <row r="745">
      <c r="A745" s="76" t="s">
        <v>881</v>
      </c>
      <c r="B745" s="76" t="s">
        <v>1698</v>
      </c>
      <c r="C745" s="76" t="s">
        <v>1714</v>
      </c>
      <c r="D745" s="76">
        <v>46.0</v>
      </c>
    </row>
    <row r="746">
      <c r="A746" s="76" t="s">
        <v>882</v>
      </c>
      <c r="B746" s="76" t="s">
        <v>1708</v>
      </c>
      <c r="C746" s="76" t="s">
        <v>1737</v>
      </c>
      <c r="D746" s="76">
        <v>5200.0</v>
      </c>
    </row>
    <row r="747">
      <c r="A747" s="76" t="s">
        <v>883</v>
      </c>
      <c r="B747" s="76" t="s">
        <v>1698</v>
      </c>
      <c r="C747" s="76" t="s">
        <v>1714</v>
      </c>
      <c r="D747" s="76">
        <v>1620.0</v>
      </c>
    </row>
    <row r="748">
      <c r="A748" s="76" t="s">
        <v>884</v>
      </c>
      <c r="B748" s="76" t="s">
        <v>1702</v>
      </c>
      <c r="C748" s="76" t="s">
        <v>1743</v>
      </c>
      <c r="D748" s="76">
        <v>29056.0</v>
      </c>
    </row>
    <row r="749">
      <c r="A749" s="76" t="s">
        <v>885</v>
      </c>
      <c r="B749" s="76" t="s">
        <v>1702</v>
      </c>
      <c r="C749" s="76" t="s">
        <v>1703</v>
      </c>
      <c r="D749" s="76">
        <v>16759.0</v>
      </c>
    </row>
    <row r="750">
      <c r="A750" s="76" t="s">
        <v>886</v>
      </c>
      <c r="B750" s="76" t="s">
        <v>1715</v>
      </c>
      <c r="C750" s="76" t="s">
        <v>1749</v>
      </c>
      <c r="D750" s="76">
        <v>1370.0</v>
      </c>
    </row>
    <row r="751">
      <c r="A751" s="76" t="s">
        <v>887</v>
      </c>
    </row>
    <row r="752">
      <c r="A752" s="76" t="s">
        <v>888</v>
      </c>
      <c r="B752" s="76" t="s">
        <v>1702</v>
      </c>
      <c r="C752" s="76" t="s">
        <v>1707</v>
      </c>
      <c r="D752" s="76">
        <v>23300.0</v>
      </c>
    </row>
    <row r="753">
      <c r="A753" s="76" t="s">
        <v>889</v>
      </c>
      <c r="B753" s="76" t="s">
        <v>1700</v>
      </c>
      <c r="C753" s="76" t="s">
        <v>1774</v>
      </c>
      <c r="D753" s="76">
        <v>4869.0</v>
      </c>
    </row>
    <row r="754">
      <c r="A754" s="76" t="s">
        <v>890</v>
      </c>
      <c r="B754" s="76" t="s">
        <v>1708</v>
      </c>
      <c r="C754" s="76" t="s">
        <v>1725</v>
      </c>
      <c r="D754" s="76">
        <v>1400.0</v>
      </c>
    </row>
    <row r="755">
      <c r="A755" s="76" t="s">
        <v>891</v>
      </c>
      <c r="B755" s="76" t="s">
        <v>1715</v>
      </c>
      <c r="C755" s="76" t="s">
        <v>1749</v>
      </c>
      <c r="D755" s="76">
        <v>4600.0</v>
      </c>
    </row>
    <row r="756">
      <c r="A756" s="76" t="s">
        <v>892</v>
      </c>
      <c r="B756" s="76" t="s">
        <v>1705</v>
      </c>
      <c r="C756" s="76" t="s">
        <v>1777</v>
      </c>
      <c r="D756" s="76">
        <v>15000.0</v>
      </c>
    </row>
    <row r="757">
      <c r="A757" s="76" t="s">
        <v>893</v>
      </c>
      <c r="B757" s="76" t="s">
        <v>1698</v>
      </c>
      <c r="C757" s="76" t="s">
        <v>1714</v>
      </c>
      <c r="D757" s="76">
        <v>130.0</v>
      </c>
    </row>
    <row r="758">
      <c r="A758" s="76" t="s">
        <v>894</v>
      </c>
      <c r="B758" s="76" t="s">
        <v>1698</v>
      </c>
      <c r="C758" s="76" t="s">
        <v>1712</v>
      </c>
      <c r="D758" s="76">
        <v>132200.0</v>
      </c>
    </row>
    <row r="759">
      <c r="A759" s="76" t="s">
        <v>895</v>
      </c>
    </row>
    <row r="760">
      <c r="A760" s="76" t="s">
        <v>896</v>
      </c>
      <c r="B760" s="76" t="s">
        <v>1708</v>
      </c>
      <c r="C760" s="76" t="s">
        <v>1747</v>
      </c>
      <c r="D760" s="76">
        <v>1200.0</v>
      </c>
    </row>
    <row r="761">
      <c r="A761" s="76" t="s">
        <v>897</v>
      </c>
      <c r="B761" s="76" t="s">
        <v>1708</v>
      </c>
      <c r="C761" s="76" t="s">
        <v>1759</v>
      </c>
      <c r="D761" s="76">
        <v>75000.0</v>
      </c>
    </row>
    <row r="762">
      <c r="A762" s="76" t="s">
        <v>898</v>
      </c>
      <c r="B762" s="76" t="s">
        <v>1715</v>
      </c>
      <c r="C762" s="76" t="s">
        <v>1749</v>
      </c>
      <c r="D762" s="76">
        <v>31000.0</v>
      </c>
    </row>
    <row r="763">
      <c r="A763" s="76" t="s">
        <v>899</v>
      </c>
      <c r="B763" s="76" t="s">
        <v>1698</v>
      </c>
      <c r="C763" s="76" t="s">
        <v>1714</v>
      </c>
      <c r="D763" s="76">
        <v>136.0</v>
      </c>
    </row>
    <row r="764">
      <c r="A764" s="76" t="s">
        <v>900</v>
      </c>
      <c r="B764" s="76" t="s">
        <v>1700</v>
      </c>
      <c r="C764" s="76" t="s">
        <v>1701</v>
      </c>
      <c r="D764" s="76">
        <v>2690.0</v>
      </c>
    </row>
    <row r="765">
      <c r="A765" s="76" t="s">
        <v>901</v>
      </c>
      <c r="B765" s="76" t="s">
        <v>1698</v>
      </c>
      <c r="C765" s="76" t="s">
        <v>1714</v>
      </c>
      <c r="D765" s="76">
        <v>56.0</v>
      </c>
    </row>
    <row r="766">
      <c r="A766" s="76" t="s">
        <v>902</v>
      </c>
      <c r="B766" s="76" t="s">
        <v>1702</v>
      </c>
      <c r="C766" s="76" t="s">
        <v>1727</v>
      </c>
      <c r="D766" s="76">
        <v>2935.0</v>
      </c>
    </row>
    <row r="767">
      <c r="A767" s="76" t="s">
        <v>903</v>
      </c>
      <c r="B767" s="76" t="s">
        <v>1708</v>
      </c>
      <c r="C767" s="76" t="s">
        <v>1709</v>
      </c>
      <c r="D767" s="76">
        <v>11322.0</v>
      </c>
    </row>
    <row r="768">
      <c r="A768" s="76" t="s">
        <v>904</v>
      </c>
      <c r="B768" s="76" t="s">
        <v>1708</v>
      </c>
      <c r="C768" s="76" t="s">
        <v>1754</v>
      </c>
      <c r="D768" s="76">
        <v>2140.0</v>
      </c>
    </row>
    <row r="769">
      <c r="A769" s="76" t="s">
        <v>905</v>
      </c>
      <c r="B769" s="76" t="s">
        <v>1702</v>
      </c>
      <c r="C769" s="76" t="s">
        <v>1721</v>
      </c>
      <c r="D769" s="76">
        <v>37000.0</v>
      </c>
    </row>
    <row r="770">
      <c r="A770" s="76" t="s">
        <v>906</v>
      </c>
    </row>
    <row r="771">
      <c r="A771" s="76" t="s">
        <v>907</v>
      </c>
      <c r="B771" s="76" t="s">
        <v>1702</v>
      </c>
      <c r="C771" s="76" t="s">
        <v>1739</v>
      </c>
      <c r="D771" s="76">
        <v>5550.0</v>
      </c>
    </row>
    <row r="772">
      <c r="A772" s="76" t="s">
        <v>908</v>
      </c>
    </row>
    <row r="773">
      <c r="A773" s="76" t="s">
        <v>909</v>
      </c>
      <c r="B773" s="76" t="s">
        <v>1715</v>
      </c>
      <c r="C773" s="76" t="s">
        <v>1749</v>
      </c>
      <c r="D773" s="76">
        <v>37000.0</v>
      </c>
    </row>
    <row r="774">
      <c r="A774" s="76" t="s">
        <v>910</v>
      </c>
      <c r="B774" s="76" t="s">
        <v>1698</v>
      </c>
      <c r="C774" s="76" t="s">
        <v>1722</v>
      </c>
      <c r="D774" s="76">
        <v>156.0</v>
      </c>
    </row>
    <row r="775">
      <c r="A775" s="76" t="s">
        <v>911</v>
      </c>
    </row>
    <row r="776">
      <c r="A776" s="76" t="s">
        <v>912</v>
      </c>
      <c r="B776" s="76" t="s">
        <v>1705</v>
      </c>
      <c r="C776" s="76" t="s">
        <v>1720</v>
      </c>
      <c r="D776" s="76">
        <v>10600.0</v>
      </c>
    </row>
    <row r="777">
      <c r="A777" s="76" t="s">
        <v>913</v>
      </c>
    </row>
    <row r="778">
      <c r="A778" s="76" t="s">
        <v>914</v>
      </c>
      <c r="B778" s="76" t="s">
        <v>1705</v>
      </c>
      <c r="C778" s="76" t="s">
        <v>1720</v>
      </c>
      <c r="D778" s="76">
        <v>2756.0</v>
      </c>
    </row>
    <row r="779">
      <c r="A779" s="76" t="s">
        <v>915</v>
      </c>
      <c r="B779" s="76" t="s">
        <v>1715</v>
      </c>
      <c r="C779" s="76" t="s">
        <v>1764</v>
      </c>
      <c r="D779" s="76">
        <v>40000.0</v>
      </c>
    </row>
    <row r="780">
      <c r="A780" s="76" t="s">
        <v>916</v>
      </c>
      <c r="B780" s="76" t="s">
        <v>1698</v>
      </c>
      <c r="C780" s="76" t="s">
        <v>1722</v>
      </c>
      <c r="D780" s="76">
        <v>429.0</v>
      </c>
    </row>
    <row r="781">
      <c r="A781" s="76" t="s">
        <v>917</v>
      </c>
      <c r="B781" s="76" t="s">
        <v>1708</v>
      </c>
      <c r="C781" s="76" t="s">
        <v>1717</v>
      </c>
      <c r="D781" s="76">
        <v>27050.0</v>
      </c>
    </row>
    <row r="782">
      <c r="A782" s="76" t="s">
        <v>918</v>
      </c>
      <c r="B782" s="76" t="s">
        <v>1708</v>
      </c>
      <c r="C782" s="76" t="s">
        <v>1778</v>
      </c>
      <c r="D782" s="76">
        <v>594.0</v>
      </c>
    </row>
    <row r="783">
      <c r="A783" s="76" t="s">
        <v>919</v>
      </c>
      <c r="B783" s="76" t="s">
        <v>1702</v>
      </c>
      <c r="C783" s="76" t="s">
        <v>1794</v>
      </c>
      <c r="D783" s="76">
        <v>3734.0</v>
      </c>
    </row>
    <row r="784">
      <c r="A784" s="76" t="s">
        <v>920</v>
      </c>
    </row>
    <row r="785">
      <c r="A785" s="76" t="s">
        <v>921</v>
      </c>
      <c r="B785" s="76" t="s">
        <v>1698</v>
      </c>
      <c r="C785" s="76" t="s">
        <v>1714</v>
      </c>
      <c r="D785" s="76">
        <v>135.0</v>
      </c>
    </row>
    <row r="786">
      <c r="A786" s="76" t="s">
        <v>922</v>
      </c>
      <c r="B786" s="76" t="s">
        <v>1702</v>
      </c>
      <c r="C786" s="76" t="s">
        <v>1734</v>
      </c>
      <c r="D786" s="76">
        <v>23600.0</v>
      </c>
    </row>
    <row r="787">
      <c r="A787" s="76" t="s">
        <v>923</v>
      </c>
      <c r="B787" s="76" t="s">
        <v>1715</v>
      </c>
      <c r="C787" s="76" t="s">
        <v>1772</v>
      </c>
      <c r="D787" s="76">
        <v>86200.0</v>
      </c>
    </row>
    <row r="788">
      <c r="A788" s="76" t="s">
        <v>924</v>
      </c>
      <c r="B788" s="76" t="s">
        <v>1698</v>
      </c>
      <c r="C788" s="76" t="s">
        <v>1714</v>
      </c>
      <c r="D788" s="76">
        <v>48.0</v>
      </c>
    </row>
    <row r="789">
      <c r="A789" s="76" t="s">
        <v>925</v>
      </c>
      <c r="B789" s="76" t="s">
        <v>1715</v>
      </c>
      <c r="C789" s="76" t="s">
        <v>1772</v>
      </c>
      <c r="D789" s="76">
        <v>79261.0</v>
      </c>
    </row>
    <row r="790">
      <c r="A790" s="76" t="s">
        <v>926</v>
      </c>
      <c r="B790" s="76" t="s">
        <v>1700</v>
      </c>
      <c r="C790" s="76" t="s">
        <v>1728</v>
      </c>
      <c r="D790" s="76">
        <v>2120.0</v>
      </c>
    </row>
    <row r="791">
      <c r="A791" s="76" t="s">
        <v>927</v>
      </c>
      <c r="B791" s="76" t="s">
        <v>1705</v>
      </c>
      <c r="C791" s="76" t="s">
        <v>1795</v>
      </c>
      <c r="D791" s="76">
        <v>153.0</v>
      </c>
    </row>
    <row r="792">
      <c r="A792" s="76" t="s">
        <v>928</v>
      </c>
      <c r="B792" s="76" t="s">
        <v>1698</v>
      </c>
      <c r="C792" s="76" t="s">
        <v>1714</v>
      </c>
      <c r="D792" s="76">
        <v>347.0</v>
      </c>
    </row>
    <row r="793">
      <c r="A793" s="76" t="s">
        <v>929</v>
      </c>
    </row>
    <row r="794">
      <c r="A794" s="76" t="s">
        <v>930</v>
      </c>
    </row>
    <row r="795">
      <c r="A795" s="76" t="s">
        <v>931</v>
      </c>
      <c r="B795" s="76" t="s">
        <v>1700</v>
      </c>
      <c r="C795" s="76" t="s">
        <v>1728</v>
      </c>
      <c r="D795" s="76">
        <v>2200.0</v>
      </c>
    </row>
    <row r="796">
      <c r="A796" s="76" t="s">
        <v>932</v>
      </c>
    </row>
    <row r="797">
      <c r="A797" s="76" t="s">
        <v>933</v>
      </c>
      <c r="B797" s="76" t="s">
        <v>1698</v>
      </c>
      <c r="C797" s="76" t="s">
        <v>1714</v>
      </c>
      <c r="D797" s="76">
        <v>19.0</v>
      </c>
    </row>
    <row r="798">
      <c r="A798" s="76" t="s">
        <v>934</v>
      </c>
      <c r="B798" s="76" t="s">
        <v>1698</v>
      </c>
      <c r="C798" s="76" t="s">
        <v>1714</v>
      </c>
      <c r="D798" s="76">
        <v>51.0</v>
      </c>
    </row>
    <row r="799">
      <c r="A799" s="76" t="s">
        <v>935</v>
      </c>
      <c r="B799" s="76" t="s">
        <v>1708</v>
      </c>
      <c r="C799" s="76" t="s">
        <v>1759</v>
      </c>
      <c r="D799" s="76">
        <v>122000.0</v>
      </c>
    </row>
    <row r="800">
      <c r="A800" s="76" t="s">
        <v>936</v>
      </c>
      <c r="B800" s="76" t="s">
        <v>1702</v>
      </c>
      <c r="C800" s="76" t="s">
        <v>1770</v>
      </c>
      <c r="D800" s="76">
        <v>7040.0</v>
      </c>
    </row>
    <row r="801">
      <c r="A801" s="76" t="s">
        <v>937</v>
      </c>
    </row>
    <row r="802">
      <c r="A802" s="76" t="s">
        <v>938</v>
      </c>
      <c r="B802" s="76" t="s">
        <v>1698</v>
      </c>
      <c r="C802" s="76" t="s">
        <v>1714</v>
      </c>
      <c r="D802" s="76">
        <v>9.0</v>
      </c>
    </row>
    <row r="803">
      <c r="A803" s="76" t="s">
        <v>939</v>
      </c>
      <c r="B803" s="76" t="s">
        <v>1698</v>
      </c>
      <c r="C803" s="76" t="s">
        <v>1714</v>
      </c>
      <c r="D803" s="76">
        <v>71.0</v>
      </c>
    </row>
    <row r="804">
      <c r="A804" s="76" t="s">
        <v>940</v>
      </c>
      <c r="B804" s="76" t="s">
        <v>1700</v>
      </c>
      <c r="C804" s="76" t="s">
        <v>1728</v>
      </c>
      <c r="D804" s="76">
        <v>4500.0</v>
      </c>
    </row>
    <row r="805">
      <c r="A805" s="76" t="s">
        <v>941</v>
      </c>
      <c r="B805" s="76" t="s">
        <v>1705</v>
      </c>
      <c r="C805" s="76" t="s">
        <v>1763</v>
      </c>
      <c r="D805" s="76">
        <v>8419.0</v>
      </c>
    </row>
    <row r="806">
      <c r="A806" s="76" t="s">
        <v>942</v>
      </c>
      <c r="B806" s="76" t="s">
        <v>1698</v>
      </c>
      <c r="C806" s="76" t="s">
        <v>1714</v>
      </c>
      <c r="D806" s="76">
        <v>40.0</v>
      </c>
    </row>
    <row r="807">
      <c r="A807" s="76" t="s">
        <v>943</v>
      </c>
    </row>
    <row r="808">
      <c r="A808" s="76" t="s">
        <v>944</v>
      </c>
      <c r="B808" s="76" t="s">
        <v>1715</v>
      </c>
      <c r="C808" s="76" t="s">
        <v>1749</v>
      </c>
      <c r="D808" s="76">
        <v>3200.0</v>
      </c>
    </row>
    <row r="809">
      <c r="A809" s="76" t="s">
        <v>945</v>
      </c>
    </row>
    <row r="810">
      <c r="A810" s="76" t="s">
        <v>946</v>
      </c>
      <c r="B810" s="76" t="s">
        <v>1708</v>
      </c>
      <c r="C810" s="76" t="s">
        <v>1725</v>
      </c>
      <c r="D810" s="76">
        <v>25500.0</v>
      </c>
    </row>
    <row r="811">
      <c r="A811" s="76" t="s">
        <v>947</v>
      </c>
      <c r="B811" s="76" t="s">
        <v>1698</v>
      </c>
      <c r="C811" s="76" t="s">
        <v>1722</v>
      </c>
      <c r="D811" s="76">
        <v>954.0</v>
      </c>
    </row>
    <row r="812">
      <c r="A812" s="76" t="s">
        <v>948</v>
      </c>
      <c r="B812" s="76" t="s">
        <v>1708</v>
      </c>
      <c r="C812" s="76" t="s">
        <v>1731</v>
      </c>
      <c r="D812" s="76">
        <v>1400.0</v>
      </c>
    </row>
    <row r="813">
      <c r="A813" s="76" t="s">
        <v>949</v>
      </c>
      <c r="B813" s="76" t="s">
        <v>1705</v>
      </c>
      <c r="C813" s="76" t="s">
        <v>1755</v>
      </c>
      <c r="D813" s="76">
        <v>37000.0</v>
      </c>
    </row>
    <row r="814">
      <c r="A814" s="76" t="s">
        <v>950</v>
      </c>
      <c r="B814" s="76" t="s">
        <v>1708</v>
      </c>
      <c r="C814" s="76" t="s">
        <v>1709</v>
      </c>
      <c r="D814" s="76">
        <v>3111.0</v>
      </c>
    </row>
    <row r="815">
      <c r="A815" s="76" t="s">
        <v>951</v>
      </c>
      <c r="B815" s="76" t="s">
        <v>1705</v>
      </c>
      <c r="C815" s="76" t="s">
        <v>1706</v>
      </c>
      <c r="D815" s="76">
        <v>136.0</v>
      </c>
    </row>
    <row r="816">
      <c r="A816" s="76" t="s">
        <v>952</v>
      </c>
      <c r="B816" s="76" t="s">
        <v>1708</v>
      </c>
      <c r="C816" s="76" t="s">
        <v>1731</v>
      </c>
      <c r="D816" s="76">
        <v>22000.0</v>
      </c>
    </row>
    <row r="817">
      <c r="A817" s="76" t="s">
        <v>953</v>
      </c>
      <c r="B817" s="76" t="s">
        <v>1698</v>
      </c>
      <c r="C817" s="76" t="s">
        <v>1714</v>
      </c>
      <c r="D817" s="76">
        <v>700.0</v>
      </c>
    </row>
    <row r="818">
      <c r="A818" s="76" t="s">
        <v>954</v>
      </c>
      <c r="B818" s="76" t="s">
        <v>1708</v>
      </c>
      <c r="C818" s="76" t="s">
        <v>1754</v>
      </c>
      <c r="D818" s="76">
        <v>10106.0</v>
      </c>
    </row>
    <row r="819">
      <c r="A819" s="76" t="s">
        <v>955</v>
      </c>
      <c r="B819" s="76" t="s">
        <v>1735</v>
      </c>
      <c r="C819" s="76" t="s">
        <v>1782</v>
      </c>
      <c r="D819" s="76">
        <v>230.0</v>
      </c>
    </row>
    <row r="820">
      <c r="A820" s="76" t="s">
        <v>956</v>
      </c>
    </row>
    <row r="821">
      <c r="A821" s="76" t="s">
        <v>957</v>
      </c>
    </row>
    <row r="822">
      <c r="A822" s="76" t="s">
        <v>958</v>
      </c>
      <c r="B822" s="76" t="s">
        <v>1708</v>
      </c>
      <c r="C822" s="76" t="s">
        <v>1754</v>
      </c>
      <c r="D822" s="76">
        <v>953.0</v>
      </c>
    </row>
    <row r="823">
      <c r="A823" s="76" t="s">
        <v>959</v>
      </c>
      <c r="B823" s="76" t="s">
        <v>1698</v>
      </c>
      <c r="C823" s="76" t="s">
        <v>1714</v>
      </c>
      <c r="D823" s="76">
        <v>115.0</v>
      </c>
    </row>
    <row r="824">
      <c r="A824" s="76" t="s">
        <v>960</v>
      </c>
      <c r="B824" s="76" t="s">
        <v>1698</v>
      </c>
      <c r="C824" s="76" t="s">
        <v>1699</v>
      </c>
      <c r="D824" s="76">
        <v>65000.0</v>
      </c>
    </row>
    <row r="825">
      <c r="A825" s="76" t="s">
        <v>961</v>
      </c>
      <c r="B825" s="76" t="s">
        <v>1702</v>
      </c>
      <c r="C825" s="76" t="s">
        <v>1738</v>
      </c>
      <c r="D825" s="76">
        <v>11200.0</v>
      </c>
    </row>
    <row r="826">
      <c r="A826" s="76" t="s">
        <v>962</v>
      </c>
      <c r="B826" s="76" t="s">
        <v>1708</v>
      </c>
      <c r="C826" s="76" t="s">
        <v>1760</v>
      </c>
      <c r="D826" s="76">
        <v>640.0</v>
      </c>
    </row>
    <row r="827">
      <c r="A827" s="76" t="s">
        <v>963</v>
      </c>
    </row>
    <row r="828">
      <c r="A828" s="76" t="s">
        <v>964</v>
      </c>
      <c r="B828" s="76" t="s">
        <v>1698</v>
      </c>
      <c r="C828" s="76" t="s">
        <v>1718</v>
      </c>
      <c r="D828" s="76">
        <v>4000.0</v>
      </c>
    </row>
    <row r="829">
      <c r="A829" s="76" t="s">
        <v>965</v>
      </c>
      <c r="B829" s="76" t="s">
        <v>1698</v>
      </c>
      <c r="C829" s="76" t="s">
        <v>1714</v>
      </c>
      <c r="D829" s="76">
        <v>90.0</v>
      </c>
    </row>
    <row r="830">
      <c r="A830" s="76" t="s">
        <v>966</v>
      </c>
    </row>
    <row r="831">
      <c r="A831" s="76" t="s">
        <v>967</v>
      </c>
      <c r="B831" s="76" t="s">
        <v>1698</v>
      </c>
      <c r="C831" s="76" t="s">
        <v>1712</v>
      </c>
      <c r="D831" s="76">
        <v>34720.0</v>
      </c>
    </row>
    <row r="832">
      <c r="A832" s="76" t="s">
        <v>968</v>
      </c>
    </row>
    <row r="833">
      <c r="A833" s="76" t="s">
        <v>969</v>
      </c>
      <c r="B833" s="76" t="s">
        <v>1702</v>
      </c>
      <c r="C833" s="76" t="s">
        <v>1727</v>
      </c>
      <c r="D833" s="76">
        <v>110000.0</v>
      </c>
    </row>
    <row r="834">
      <c r="A834" s="76" t="s">
        <v>970</v>
      </c>
    </row>
    <row r="835">
      <c r="A835" s="76" t="s">
        <v>971</v>
      </c>
    </row>
    <row r="836">
      <c r="A836" s="76" t="s">
        <v>972</v>
      </c>
      <c r="B836" s="76" t="s">
        <v>1698</v>
      </c>
      <c r="C836" s="76" t="s">
        <v>1699</v>
      </c>
      <c r="D836" s="76">
        <v>508.0</v>
      </c>
    </row>
    <row r="837">
      <c r="A837" s="76" t="s">
        <v>973</v>
      </c>
      <c r="B837" s="76" t="s">
        <v>1708</v>
      </c>
      <c r="C837" s="76" t="s">
        <v>1737</v>
      </c>
      <c r="D837" s="76">
        <v>5005.0</v>
      </c>
    </row>
    <row r="838">
      <c r="A838" s="76" t="s">
        <v>974</v>
      </c>
      <c r="B838" s="76" t="s">
        <v>1698</v>
      </c>
      <c r="C838" s="76" t="s">
        <v>1714</v>
      </c>
      <c r="D838" s="76">
        <v>41.0</v>
      </c>
    </row>
    <row r="839">
      <c r="A839" s="76" t="s">
        <v>975</v>
      </c>
      <c r="B839" s="76" t="s">
        <v>1705</v>
      </c>
      <c r="C839" s="76" t="s">
        <v>1756</v>
      </c>
      <c r="D839" s="76">
        <v>6600.0</v>
      </c>
    </row>
    <row r="840">
      <c r="A840" s="76" t="s">
        <v>976</v>
      </c>
    </row>
    <row r="841">
      <c r="A841" s="76" t="s">
        <v>977</v>
      </c>
      <c r="B841" s="76" t="s">
        <v>1708</v>
      </c>
      <c r="C841" s="76" t="s">
        <v>1789</v>
      </c>
      <c r="D841" s="76">
        <v>300000.0</v>
      </c>
    </row>
    <row r="842">
      <c r="A842" s="76" t="s">
        <v>978</v>
      </c>
      <c r="B842" s="76" t="s">
        <v>1698</v>
      </c>
      <c r="C842" s="76" t="s">
        <v>1714</v>
      </c>
      <c r="D842" s="76">
        <v>12.0</v>
      </c>
    </row>
    <row r="843">
      <c r="A843" s="76" t="s">
        <v>979</v>
      </c>
      <c r="B843" s="76" t="s">
        <v>1735</v>
      </c>
      <c r="C843" s="76" t="s">
        <v>1781</v>
      </c>
      <c r="D843" s="76">
        <v>585.0</v>
      </c>
    </row>
    <row r="844">
      <c r="A844" s="76" t="s">
        <v>980</v>
      </c>
      <c r="B844" s="76" t="s">
        <v>1698</v>
      </c>
      <c r="C844" s="76" t="s">
        <v>1714</v>
      </c>
      <c r="D844" s="76">
        <v>24.0</v>
      </c>
    </row>
    <row r="845">
      <c r="A845" s="76" t="s">
        <v>981</v>
      </c>
      <c r="B845" s="76" t="s">
        <v>1702</v>
      </c>
      <c r="C845" s="76" t="s">
        <v>1707</v>
      </c>
      <c r="D845" s="76">
        <v>4800.0</v>
      </c>
    </row>
    <row r="846">
      <c r="A846" s="76" t="s">
        <v>982</v>
      </c>
      <c r="B846" s="76" t="s">
        <v>1698</v>
      </c>
      <c r="C846" s="76" t="s">
        <v>1714</v>
      </c>
      <c r="D846" s="76">
        <v>64.0</v>
      </c>
    </row>
    <row r="847">
      <c r="A847" s="76" t="s">
        <v>983</v>
      </c>
      <c r="B847" s="76" t="s">
        <v>1705</v>
      </c>
      <c r="C847" s="76" t="s">
        <v>1720</v>
      </c>
      <c r="D847" s="76">
        <v>11300.0</v>
      </c>
    </row>
    <row r="848">
      <c r="A848" s="76" t="s">
        <v>984</v>
      </c>
      <c r="B848" s="76" t="s">
        <v>1705</v>
      </c>
      <c r="C848" s="76" t="s">
        <v>1706</v>
      </c>
      <c r="D848" s="76">
        <v>747.0</v>
      </c>
    </row>
    <row r="849">
      <c r="A849" s="76" t="s">
        <v>985</v>
      </c>
    </row>
    <row r="850">
      <c r="A850" s="76" t="s">
        <v>986</v>
      </c>
    </row>
    <row r="851">
      <c r="A851" s="76" t="s">
        <v>987</v>
      </c>
      <c r="B851" s="76" t="s">
        <v>1705</v>
      </c>
      <c r="C851" s="76" t="s">
        <v>1763</v>
      </c>
      <c r="D851" s="76">
        <v>289.0</v>
      </c>
    </row>
    <row r="852">
      <c r="A852" s="76" t="s">
        <v>988</v>
      </c>
      <c r="B852" s="76" t="s">
        <v>1702</v>
      </c>
      <c r="C852" s="76" t="s">
        <v>1703</v>
      </c>
      <c r="D852" s="76">
        <v>61118.0</v>
      </c>
    </row>
    <row r="853">
      <c r="A853" s="76" t="s">
        <v>989</v>
      </c>
      <c r="B853" s="76" t="s">
        <v>1698</v>
      </c>
      <c r="C853" s="76" t="s">
        <v>1718</v>
      </c>
      <c r="D853" s="76">
        <v>785.0</v>
      </c>
    </row>
    <row r="854">
      <c r="A854" s="76" t="s">
        <v>990</v>
      </c>
      <c r="B854" s="76" t="s">
        <v>1708</v>
      </c>
      <c r="C854" s="76" t="s">
        <v>1753</v>
      </c>
      <c r="D854" s="76">
        <v>50000.0</v>
      </c>
    </row>
    <row r="855">
      <c r="A855" s="76" t="s">
        <v>991</v>
      </c>
      <c r="B855" s="76" t="s">
        <v>1715</v>
      </c>
      <c r="C855" s="76" t="s">
        <v>1749</v>
      </c>
      <c r="D855" s="76">
        <v>7700.0</v>
      </c>
    </row>
    <row r="856">
      <c r="A856" s="76" t="s">
        <v>992</v>
      </c>
    </row>
    <row r="857">
      <c r="A857" s="76" t="s">
        <v>993</v>
      </c>
      <c r="B857" s="76" t="s">
        <v>1700</v>
      </c>
      <c r="C857" s="76" t="s">
        <v>1728</v>
      </c>
      <c r="D857" s="76">
        <v>19100.0</v>
      </c>
    </row>
    <row r="858">
      <c r="A858" s="76" t="s">
        <v>994</v>
      </c>
      <c r="B858" s="76" t="s">
        <v>1698</v>
      </c>
      <c r="C858" s="76" t="s">
        <v>1714</v>
      </c>
      <c r="D858" s="76">
        <v>31.0</v>
      </c>
    </row>
    <row r="859">
      <c r="A859" s="76" t="s">
        <v>995</v>
      </c>
      <c r="B859" s="76" t="s">
        <v>1705</v>
      </c>
      <c r="C859" s="76" t="s">
        <v>1795</v>
      </c>
      <c r="D859" s="76">
        <v>1200.0</v>
      </c>
    </row>
    <row r="860">
      <c r="A860" s="76" t="s">
        <v>996</v>
      </c>
      <c r="B860" s="76" t="s">
        <v>1729</v>
      </c>
      <c r="C860" s="76" t="s">
        <v>1730</v>
      </c>
      <c r="D860" s="76">
        <v>10500.0</v>
      </c>
    </row>
    <row r="861">
      <c r="A861" s="76" t="s">
        <v>997</v>
      </c>
      <c r="B861" s="76" t="s">
        <v>1708</v>
      </c>
      <c r="C861" s="76" t="s">
        <v>1731</v>
      </c>
      <c r="D861" s="76">
        <v>9500.0</v>
      </c>
    </row>
    <row r="862">
      <c r="A862" s="76" t="s">
        <v>998</v>
      </c>
      <c r="B862" s="76" t="s">
        <v>1708</v>
      </c>
      <c r="C862" s="76" t="s">
        <v>1759</v>
      </c>
      <c r="D862" s="76">
        <v>123000.0</v>
      </c>
    </row>
    <row r="863">
      <c r="A863" s="76" t="s">
        <v>999</v>
      </c>
    </row>
    <row r="864">
      <c r="A864" s="76" t="s">
        <v>1000</v>
      </c>
      <c r="B864" s="76" t="s">
        <v>1708</v>
      </c>
      <c r="C864" s="76" t="s">
        <v>1747</v>
      </c>
      <c r="D864" s="76">
        <v>997.0</v>
      </c>
    </row>
    <row r="865">
      <c r="A865" s="76" t="s">
        <v>1001</v>
      </c>
      <c r="B865" s="76" t="s">
        <v>1708</v>
      </c>
      <c r="C865" s="76" t="s">
        <v>1766</v>
      </c>
      <c r="D865" s="76">
        <v>174000.0</v>
      </c>
    </row>
    <row r="866">
      <c r="A866" s="76" t="s">
        <v>1002</v>
      </c>
      <c r="B866" s="76" t="s">
        <v>1702</v>
      </c>
      <c r="C866" s="76" t="s">
        <v>1707</v>
      </c>
      <c r="D866" s="76">
        <v>22000.0</v>
      </c>
    </row>
    <row r="867">
      <c r="A867" s="76" t="s">
        <v>1003</v>
      </c>
      <c r="B867" s="76" t="s">
        <v>1698</v>
      </c>
      <c r="C867" s="76" t="s">
        <v>1742</v>
      </c>
      <c r="D867" s="76">
        <v>1600.0</v>
      </c>
    </row>
    <row r="868">
      <c r="A868" s="76" t="s">
        <v>1004</v>
      </c>
      <c r="B868" s="76" t="s">
        <v>1708</v>
      </c>
      <c r="C868" s="76" t="s">
        <v>1747</v>
      </c>
      <c r="D868" s="76">
        <v>24000.0</v>
      </c>
    </row>
    <row r="869">
      <c r="A869" s="76" t="s">
        <v>1005</v>
      </c>
      <c r="B869" s="76" t="s">
        <v>1702</v>
      </c>
      <c r="C869" s="76" t="s">
        <v>1739</v>
      </c>
      <c r="D869" s="76">
        <v>1988.0</v>
      </c>
    </row>
    <row r="870">
      <c r="A870" s="76" t="s">
        <v>1006</v>
      </c>
      <c r="B870" s="76" t="s">
        <v>1705</v>
      </c>
      <c r="C870" s="76" t="s">
        <v>1796</v>
      </c>
      <c r="D870" s="76">
        <v>5800.0</v>
      </c>
    </row>
    <row r="871">
      <c r="A871" s="76" t="s">
        <v>1007</v>
      </c>
      <c r="B871" s="76" t="s">
        <v>1700</v>
      </c>
      <c r="C871" s="76" t="s">
        <v>1762</v>
      </c>
      <c r="D871" s="76">
        <v>133.0</v>
      </c>
    </row>
    <row r="872">
      <c r="A872" s="76" t="s">
        <v>1008</v>
      </c>
      <c r="B872" s="76" t="s">
        <v>1698</v>
      </c>
      <c r="C872" s="76" t="s">
        <v>1714</v>
      </c>
      <c r="D872" s="76">
        <v>51.0</v>
      </c>
    </row>
    <row r="873">
      <c r="A873" s="76" t="s">
        <v>1009</v>
      </c>
      <c r="B873" s="76" t="s">
        <v>1708</v>
      </c>
      <c r="C873" s="76" t="s">
        <v>1779</v>
      </c>
      <c r="D873" s="76">
        <v>1795.0</v>
      </c>
    </row>
    <row r="874">
      <c r="A874" s="76" t="s">
        <v>1010</v>
      </c>
      <c r="B874" s="76" t="s">
        <v>1708</v>
      </c>
      <c r="C874" s="76" t="s">
        <v>1737</v>
      </c>
      <c r="D874" s="76">
        <v>205000.0</v>
      </c>
    </row>
    <row r="875">
      <c r="A875" s="76" t="s">
        <v>1011</v>
      </c>
    </row>
    <row r="876">
      <c r="A876" s="76" t="s">
        <v>1012</v>
      </c>
      <c r="B876" s="76" t="s">
        <v>1705</v>
      </c>
      <c r="C876" s="76" t="s">
        <v>1706</v>
      </c>
      <c r="D876" s="76">
        <v>18000.0</v>
      </c>
    </row>
    <row r="877">
      <c r="A877" s="76" t="s">
        <v>1013</v>
      </c>
      <c r="B877" s="76" t="s">
        <v>1698</v>
      </c>
      <c r="C877" s="76" t="s">
        <v>1713</v>
      </c>
      <c r="D877" s="76">
        <v>60000.0</v>
      </c>
    </row>
    <row r="878">
      <c r="A878" s="76" t="s">
        <v>1014</v>
      </c>
      <c r="B878" s="76" t="s">
        <v>1698</v>
      </c>
      <c r="C878" s="76" t="s">
        <v>1714</v>
      </c>
      <c r="D878" s="76">
        <v>108.0</v>
      </c>
    </row>
    <row r="879">
      <c r="A879" s="76" t="s">
        <v>1015</v>
      </c>
      <c r="B879" s="76" t="s">
        <v>1708</v>
      </c>
      <c r="C879" s="76" t="s">
        <v>1753</v>
      </c>
      <c r="D879" s="76">
        <v>2300.0</v>
      </c>
    </row>
    <row r="880">
      <c r="A880" s="76" t="s">
        <v>1016</v>
      </c>
      <c r="B880" s="76" t="s">
        <v>1698</v>
      </c>
      <c r="C880" s="76" t="s">
        <v>1719</v>
      </c>
      <c r="D880" s="76">
        <v>9480.0</v>
      </c>
    </row>
    <row r="881">
      <c r="A881" s="76" t="s">
        <v>1017</v>
      </c>
      <c r="B881" s="76" t="s">
        <v>1708</v>
      </c>
      <c r="C881" s="76" t="s">
        <v>1754</v>
      </c>
      <c r="D881" s="76">
        <v>1656.0</v>
      </c>
    </row>
    <row r="882">
      <c r="A882" s="76" t="s">
        <v>1018</v>
      </c>
      <c r="B882" s="76" t="s">
        <v>1698</v>
      </c>
      <c r="C882" s="76" t="s">
        <v>1714</v>
      </c>
      <c r="D882" s="76">
        <v>29.0</v>
      </c>
    </row>
    <row r="883">
      <c r="A883" s="76" t="s">
        <v>1019</v>
      </c>
      <c r="B883" s="76" t="s">
        <v>1715</v>
      </c>
      <c r="C883" s="76" t="s">
        <v>1797</v>
      </c>
      <c r="D883" s="76">
        <v>80000.0</v>
      </c>
    </row>
    <row r="884">
      <c r="A884" s="76" t="s">
        <v>1020</v>
      </c>
      <c r="B884" s="76" t="s">
        <v>1698</v>
      </c>
      <c r="C884" s="76" t="s">
        <v>1761</v>
      </c>
      <c r="D884" s="76">
        <v>9600.0</v>
      </c>
    </row>
    <row r="885">
      <c r="A885" s="76" t="s">
        <v>1021</v>
      </c>
      <c r="B885" s="76" t="s">
        <v>1698</v>
      </c>
      <c r="C885" s="76" t="s">
        <v>1718</v>
      </c>
      <c r="D885" s="76">
        <v>90000.0</v>
      </c>
    </row>
    <row r="886">
      <c r="A886" s="76" t="s">
        <v>1022</v>
      </c>
      <c r="B886" s="76" t="s">
        <v>1700</v>
      </c>
      <c r="C886" s="76" t="s">
        <v>1774</v>
      </c>
      <c r="D886" s="76">
        <v>13359.0</v>
      </c>
    </row>
    <row r="887">
      <c r="A887" s="76" t="s">
        <v>1023</v>
      </c>
      <c r="B887" s="76" t="s">
        <v>1698</v>
      </c>
      <c r="C887" s="76" t="s">
        <v>1699</v>
      </c>
      <c r="D887" s="76">
        <v>3400.0</v>
      </c>
    </row>
    <row r="888">
      <c r="A888" s="76" t="s">
        <v>1024</v>
      </c>
      <c r="B888" s="76" t="s">
        <v>1698</v>
      </c>
      <c r="C888" s="76" t="s">
        <v>1714</v>
      </c>
      <c r="D888" s="76">
        <v>51.0</v>
      </c>
    </row>
    <row r="889">
      <c r="A889" s="76" t="s">
        <v>1025</v>
      </c>
      <c r="B889" s="76" t="s">
        <v>1700</v>
      </c>
      <c r="C889" s="76" t="s">
        <v>1733</v>
      </c>
      <c r="D889" s="76">
        <v>1544.0</v>
      </c>
    </row>
    <row r="890">
      <c r="A890" s="76" t="s">
        <v>1026</v>
      </c>
      <c r="B890" s="76" t="s">
        <v>1698</v>
      </c>
      <c r="C890" s="76" t="s">
        <v>1714</v>
      </c>
      <c r="D890" s="76">
        <v>102.0</v>
      </c>
    </row>
    <row r="891">
      <c r="A891" s="76" t="s">
        <v>1027</v>
      </c>
    </row>
    <row r="892">
      <c r="A892" s="76" t="s">
        <v>1028</v>
      </c>
      <c r="B892" s="76" t="s">
        <v>1702</v>
      </c>
      <c r="C892" s="76" t="s">
        <v>1798</v>
      </c>
      <c r="D892" s="76">
        <v>5500.0</v>
      </c>
    </row>
    <row r="893">
      <c r="A893" s="76" t="s">
        <v>1029</v>
      </c>
      <c r="B893" s="76" t="s">
        <v>1698</v>
      </c>
      <c r="C893" s="76" t="s">
        <v>1799</v>
      </c>
      <c r="D893" s="76">
        <v>10100.0</v>
      </c>
    </row>
    <row r="894">
      <c r="A894" s="76" t="s">
        <v>1030</v>
      </c>
      <c r="B894" s="76" t="s">
        <v>1708</v>
      </c>
      <c r="C894" s="76" t="s">
        <v>1753</v>
      </c>
      <c r="D894" s="76">
        <v>63000.0</v>
      </c>
    </row>
    <row r="895">
      <c r="A895" s="76" t="s">
        <v>1031</v>
      </c>
      <c r="B895" s="76" t="s">
        <v>1698</v>
      </c>
      <c r="C895" s="76" t="s">
        <v>1714</v>
      </c>
      <c r="D895" s="76">
        <v>384.0</v>
      </c>
    </row>
    <row r="896">
      <c r="A896" s="76" t="s">
        <v>1032</v>
      </c>
    </row>
    <row r="897">
      <c r="A897" s="76" t="s">
        <v>1033</v>
      </c>
      <c r="B897" s="76" t="s">
        <v>1715</v>
      </c>
      <c r="C897" s="76" t="s">
        <v>1749</v>
      </c>
      <c r="D897" s="76">
        <v>341.0</v>
      </c>
    </row>
    <row r="898">
      <c r="A898" s="76" t="s">
        <v>1034</v>
      </c>
      <c r="B898" s="76" t="s">
        <v>1698</v>
      </c>
      <c r="C898" s="76" t="s">
        <v>1714</v>
      </c>
      <c r="D898" s="76">
        <v>72.0</v>
      </c>
    </row>
    <row r="899">
      <c r="A899" s="76" t="s">
        <v>1035</v>
      </c>
      <c r="B899" s="76" t="s">
        <v>1698</v>
      </c>
      <c r="C899" s="76" t="s">
        <v>1714</v>
      </c>
      <c r="D899" s="76">
        <v>168.0</v>
      </c>
    </row>
    <row r="900">
      <c r="A900" s="76" t="s">
        <v>1036</v>
      </c>
      <c r="B900" s="76" t="s">
        <v>1708</v>
      </c>
      <c r="C900" s="76" t="s">
        <v>1731</v>
      </c>
      <c r="D900" s="76">
        <v>41800.0</v>
      </c>
    </row>
    <row r="901">
      <c r="A901" s="76" t="s">
        <v>1037</v>
      </c>
      <c r="B901" s="76" t="s">
        <v>1708</v>
      </c>
      <c r="C901" s="76" t="s">
        <v>1754</v>
      </c>
      <c r="D901" s="76">
        <v>1401.0</v>
      </c>
    </row>
    <row r="902">
      <c r="A902" s="76" t="s">
        <v>1038</v>
      </c>
    </row>
    <row r="903">
      <c r="A903" s="76" t="s">
        <v>1039</v>
      </c>
    </row>
    <row r="904">
      <c r="A904" s="76" t="s">
        <v>1040</v>
      </c>
    </row>
    <row r="905">
      <c r="A905" s="76" t="s">
        <v>1041</v>
      </c>
    </row>
    <row r="906">
      <c r="A906" s="76" t="s">
        <v>1042</v>
      </c>
      <c r="B906" s="76" t="s">
        <v>1698</v>
      </c>
      <c r="C906" s="76" t="s">
        <v>1714</v>
      </c>
      <c r="D906" s="76">
        <v>28.0</v>
      </c>
    </row>
    <row r="907">
      <c r="A907" s="76" t="s">
        <v>1043</v>
      </c>
      <c r="B907" s="76" t="s">
        <v>1715</v>
      </c>
      <c r="C907" s="76" t="s">
        <v>1749</v>
      </c>
      <c r="D907" s="76">
        <v>12400.0</v>
      </c>
    </row>
    <row r="908">
      <c r="A908" s="76" t="s">
        <v>1044</v>
      </c>
      <c r="B908" s="76" t="s">
        <v>1708</v>
      </c>
      <c r="C908" s="76" t="s">
        <v>1753</v>
      </c>
      <c r="D908" s="76">
        <v>23078.0</v>
      </c>
    </row>
    <row r="909">
      <c r="A909" s="76" t="s">
        <v>1045</v>
      </c>
      <c r="B909" s="76" t="s">
        <v>1708</v>
      </c>
      <c r="C909" s="76" t="s">
        <v>1731</v>
      </c>
      <c r="D909" s="76">
        <v>7600.0</v>
      </c>
    </row>
    <row r="910">
      <c r="A910" s="76" t="s">
        <v>1046</v>
      </c>
      <c r="B910" s="76" t="s">
        <v>1700</v>
      </c>
      <c r="C910" s="76" t="s">
        <v>1774</v>
      </c>
      <c r="D910" s="76">
        <v>8846.0</v>
      </c>
    </row>
    <row r="911">
      <c r="A911" s="76" t="s">
        <v>1047</v>
      </c>
      <c r="B911" s="76" t="s">
        <v>1698</v>
      </c>
      <c r="C911" s="76" t="s">
        <v>1714</v>
      </c>
      <c r="D911" s="76">
        <v>232.0</v>
      </c>
    </row>
    <row r="912">
      <c r="A912" s="76" t="s">
        <v>1048</v>
      </c>
    </row>
    <row r="913">
      <c r="A913" s="76" t="s">
        <v>1049</v>
      </c>
    </row>
    <row r="914">
      <c r="A914" s="76" t="s">
        <v>1050</v>
      </c>
      <c r="B914" s="76" t="s">
        <v>1708</v>
      </c>
      <c r="C914" s="76" t="s">
        <v>1778</v>
      </c>
      <c r="D914" s="76">
        <v>8184.0</v>
      </c>
    </row>
    <row r="915">
      <c r="A915" s="76" t="s">
        <v>1051</v>
      </c>
      <c r="B915" s="76" t="s">
        <v>1715</v>
      </c>
      <c r="C915" s="76" t="s">
        <v>1772</v>
      </c>
      <c r="D915" s="76">
        <v>1273.0</v>
      </c>
    </row>
    <row r="916">
      <c r="A916" s="76" t="s">
        <v>1052</v>
      </c>
      <c r="B916" s="76" t="s">
        <v>1698</v>
      </c>
      <c r="C916" s="76" t="s">
        <v>1722</v>
      </c>
      <c r="D916" s="76">
        <v>118.0</v>
      </c>
    </row>
    <row r="917">
      <c r="A917" s="76" t="s">
        <v>1053</v>
      </c>
      <c r="B917" s="76" t="s">
        <v>1702</v>
      </c>
      <c r="C917" s="76" t="s">
        <v>1740</v>
      </c>
      <c r="D917" s="76">
        <v>598.0</v>
      </c>
    </row>
    <row r="918">
      <c r="A918" s="76" t="s">
        <v>1054</v>
      </c>
      <c r="B918" s="76" t="s">
        <v>1715</v>
      </c>
      <c r="C918" s="76" t="s">
        <v>1752</v>
      </c>
      <c r="D918" s="76">
        <v>7300.0</v>
      </c>
    </row>
    <row r="919">
      <c r="A919" s="76" t="s">
        <v>1055</v>
      </c>
      <c r="B919" s="76" t="s">
        <v>1729</v>
      </c>
      <c r="C919" s="76" t="s">
        <v>1800</v>
      </c>
      <c r="D919" s="76">
        <v>2350.0</v>
      </c>
    </row>
    <row r="920">
      <c r="A920" s="76" t="s">
        <v>1056</v>
      </c>
      <c r="B920" s="76" t="s">
        <v>1698</v>
      </c>
      <c r="C920" s="76" t="s">
        <v>1714</v>
      </c>
      <c r="D920" s="76">
        <v>572.0</v>
      </c>
    </row>
    <row r="921">
      <c r="A921" s="76" t="s">
        <v>1057</v>
      </c>
      <c r="B921" s="76" t="s">
        <v>1698</v>
      </c>
      <c r="C921" s="76" t="s">
        <v>1714</v>
      </c>
      <c r="D921" s="76">
        <v>80.0</v>
      </c>
    </row>
    <row r="922">
      <c r="A922" s="76" t="s">
        <v>1058</v>
      </c>
      <c r="B922" s="76" t="s">
        <v>1700</v>
      </c>
      <c r="C922" s="76" t="s">
        <v>1762</v>
      </c>
      <c r="D922" s="76">
        <v>12600.0</v>
      </c>
    </row>
    <row r="923">
      <c r="A923" s="76" t="s">
        <v>1059</v>
      </c>
    </row>
    <row r="924">
      <c r="A924" s="76" t="s">
        <v>1060</v>
      </c>
      <c r="B924" s="76" t="s">
        <v>1708</v>
      </c>
      <c r="C924" s="76" t="s">
        <v>1748</v>
      </c>
      <c r="D924" s="76">
        <v>1145.0</v>
      </c>
    </row>
    <row r="925">
      <c r="A925" s="76" t="s">
        <v>1061</v>
      </c>
    </row>
    <row r="926">
      <c r="A926" s="76" t="s">
        <v>1062</v>
      </c>
      <c r="B926" s="76" t="s">
        <v>1783</v>
      </c>
      <c r="C926" s="76" t="s">
        <v>1784</v>
      </c>
      <c r="D926" s="76">
        <v>86.0</v>
      </c>
    </row>
    <row r="927">
      <c r="A927" s="76" t="s">
        <v>1063</v>
      </c>
      <c r="B927" s="76" t="s">
        <v>1705</v>
      </c>
      <c r="C927" s="76" t="s">
        <v>1706</v>
      </c>
      <c r="D927" s="76">
        <v>2002.0</v>
      </c>
    </row>
    <row r="928">
      <c r="A928" s="76" t="s">
        <v>1064</v>
      </c>
    </row>
    <row r="929">
      <c r="A929" s="76" t="s">
        <v>1065</v>
      </c>
      <c r="B929" s="76" t="s">
        <v>1705</v>
      </c>
      <c r="C929" s="76" t="s">
        <v>1706</v>
      </c>
      <c r="D929" s="76">
        <v>88.0</v>
      </c>
    </row>
    <row r="930">
      <c r="A930" s="76" t="s">
        <v>1066</v>
      </c>
      <c r="B930" s="76" t="s">
        <v>1698</v>
      </c>
      <c r="C930" s="76" t="s">
        <v>1712</v>
      </c>
      <c r="D930" s="76">
        <v>71000.0</v>
      </c>
    </row>
    <row r="931">
      <c r="A931" s="76" t="s">
        <v>1067</v>
      </c>
    </row>
    <row r="932">
      <c r="A932" s="76" t="s">
        <v>1068</v>
      </c>
      <c r="B932" s="76" t="s">
        <v>1698</v>
      </c>
      <c r="C932" s="76" t="s">
        <v>1714</v>
      </c>
      <c r="D932" s="76">
        <v>42.0</v>
      </c>
    </row>
    <row r="933">
      <c r="A933" s="76" t="s">
        <v>1069</v>
      </c>
    </row>
    <row r="934">
      <c r="A934" s="76" t="s">
        <v>1070</v>
      </c>
    </row>
    <row r="935">
      <c r="A935" s="76" t="s">
        <v>1071</v>
      </c>
      <c r="B935" s="76" t="s">
        <v>1698</v>
      </c>
      <c r="C935" s="76" t="s">
        <v>1714</v>
      </c>
      <c r="D935" s="76">
        <v>111.0</v>
      </c>
    </row>
    <row r="936">
      <c r="A936" s="76" t="s">
        <v>1072</v>
      </c>
      <c r="B936" s="76" t="s">
        <v>1698</v>
      </c>
      <c r="C936" s="76" t="s">
        <v>1714</v>
      </c>
      <c r="D936" s="76">
        <v>87.0</v>
      </c>
    </row>
    <row r="937">
      <c r="A937" s="76" t="s">
        <v>1073</v>
      </c>
      <c r="B937" s="76" t="s">
        <v>1705</v>
      </c>
      <c r="C937" s="76" t="s">
        <v>1706</v>
      </c>
      <c r="D937" s="76">
        <v>5633.0</v>
      </c>
    </row>
    <row r="938">
      <c r="A938" s="76" t="s">
        <v>1074</v>
      </c>
    </row>
    <row r="939">
      <c r="A939" s="76" t="s">
        <v>1075</v>
      </c>
      <c r="B939" s="76" t="s">
        <v>1700</v>
      </c>
      <c r="C939" s="76" t="s">
        <v>1768</v>
      </c>
      <c r="D939" s="76">
        <v>191248.0</v>
      </c>
    </row>
    <row r="940">
      <c r="A940" s="76" t="s">
        <v>1076</v>
      </c>
      <c r="B940" s="76" t="s">
        <v>1698</v>
      </c>
      <c r="C940" s="76" t="s">
        <v>1714</v>
      </c>
      <c r="D940" s="76">
        <v>219.0</v>
      </c>
    </row>
    <row r="941">
      <c r="A941" s="76" t="s">
        <v>1077</v>
      </c>
      <c r="B941" s="76" t="s">
        <v>1708</v>
      </c>
      <c r="C941" s="76" t="s">
        <v>1754</v>
      </c>
      <c r="D941" s="76">
        <v>1510.0</v>
      </c>
    </row>
    <row r="942">
      <c r="A942" s="76" t="s">
        <v>1078</v>
      </c>
      <c r="B942" s="76" t="s">
        <v>1700</v>
      </c>
      <c r="C942" s="76" t="s">
        <v>1768</v>
      </c>
      <c r="D942" s="76">
        <v>56182.0</v>
      </c>
    </row>
    <row r="943">
      <c r="A943" s="76" t="s">
        <v>1079</v>
      </c>
      <c r="B943" s="76" t="s">
        <v>1708</v>
      </c>
      <c r="C943" s="76" t="s">
        <v>1753</v>
      </c>
      <c r="D943" s="76">
        <v>6600.0</v>
      </c>
    </row>
    <row r="944">
      <c r="A944" s="76" t="s">
        <v>1080</v>
      </c>
      <c r="B944" s="76" t="s">
        <v>1735</v>
      </c>
      <c r="C944" s="76" t="s">
        <v>1767</v>
      </c>
      <c r="D944" s="76">
        <v>2900.0</v>
      </c>
    </row>
    <row r="945">
      <c r="A945" s="76" t="s">
        <v>1081</v>
      </c>
      <c r="B945" s="76" t="s">
        <v>1705</v>
      </c>
      <c r="C945" s="76" t="s">
        <v>1706</v>
      </c>
      <c r="D945" s="76">
        <v>1100.0</v>
      </c>
    </row>
    <row r="946">
      <c r="A946" s="76" t="s">
        <v>1082</v>
      </c>
    </row>
    <row r="947">
      <c r="A947" s="76" t="s">
        <v>1083</v>
      </c>
      <c r="B947" s="76" t="s">
        <v>1700</v>
      </c>
      <c r="C947" s="76" t="s">
        <v>1733</v>
      </c>
      <c r="D947" s="76">
        <v>3628.0</v>
      </c>
    </row>
    <row r="948">
      <c r="A948" s="76" t="s">
        <v>1084</v>
      </c>
      <c r="B948" s="76" t="s">
        <v>1702</v>
      </c>
      <c r="C948" s="76" t="s">
        <v>1721</v>
      </c>
      <c r="D948" s="76">
        <v>19000.0</v>
      </c>
    </row>
    <row r="949">
      <c r="A949" s="76" t="s">
        <v>1085</v>
      </c>
      <c r="B949" s="76" t="s">
        <v>1705</v>
      </c>
      <c r="C949" s="76" t="s">
        <v>1706</v>
      </c>
      <c r="D949" s="76">
        <v>37000.0</v>
      </c>
    </row>
    <row r="950">
      <c r="A950" s="76" t="s">
        <v>1086</v>
      </c>
      <c r="B950" s="76" t="s">
        <v>1708</v>
      </c>
      <c r="C950" s="76" t="s">
        <v>1709</v>
      </c>
      <c r="D950" s="76">
        <v>4600.0</v>
      </c>
    </row>
    <row r="951">
      <c r="A951" s="76" t="s">
        <v>1087</v>
      </c>
      <c r="B951" s="76" t="s">
        <v>1700</v>
      </c>
      <c r="C951" s="76" t="s">
        <v>1801</v>
      </c>
      <c r="D951" s="76">
        <v>448.0</v>
      </c>
    </row>
    <row r="952">
      <c r="A952" s="76" t="s">
        <v>1088</v>
      </c>
      <c r="B952" s="76" t="s">
        <v>1705</v>
      </c>
      <c r="C952" s="76" t="s">
        <v>1706</v>
      </c>
      <c r="D952" s="76">
        <v>2451.0</v>
      </c>
    </row>
    <row r="953">
      <c r="A953" s="76" t="s">
        <v>1089</v>
      </c>
      <c r="B953" s="76" t="s">
        <v>1705</v>
      </c>
      <c r="C953" s="76" t="s">
        <v>1706</v>
      </c>
      <c r="D953" s="76">
        <v>7115.0</v>
      </c>
    </row>
    <row r="954">
      <c r="A954" s="76" t="s">
        <v>1090</v>
      </c>
      <c r="B954" s="76" t="s">
        <v>1705</v>
      </c>
      <c r="C954" s="76" t="s">
        <v>1706</v>
      </c>
      <c r="D954" s="76">
        <v>697.0</v>
      </c>
    </row>
    <row r="955">
      <c r="A955" s="76" t="s">
        <v>1091</v>
      </c>
      <c r="B955" s="76" t="s">
        <v>1698</v>
      </c>
      <c r="C955" s="76" t="s">
        <v>1699</v>
      </c>
      <c r="D955" s="76">
        <v>2700.0</v>
      </c>
    </row>
    <row r="956">
      <c r="A956" s="76" t="s">
        <v>1092</v>
      </c>
      <c r="B956" s="76" t="s">
        <v>1698</v>
      </c>
      <c r="C956" s="76" t="s">
        <v>1722</v>
      </c>
      <c r="D956" s="76">
        <v>35000.0</v>
      </c>
    </row>
    <row r="957">
      <c r="A957" s="76" t="s">
        <v>1093</v>
      </c>
      <c r="B957" s="76" t="s">
        <v>1698</v>
      </c>
      <c r="C957" s="76" t="s">
        <v>1714</v>
      </c>
      <c r="D957" s="76">
        <v>275.0</v>
      </c>
    </row>
    <row r="958">
      <c r="A958" s="76" t="s">
        <v>1094</v>
      </c>
      <c r="B958" s="76" t="s">
        <v>1702</v>
      </c>
      <c r="C958" s="76" t="s">
        <v>1721</v>
      </c>
      <c r="D958" s="76">
        <v>7100.0</v>
      </c>
    </row>
    <row r="959">
      <c r="A959" s="76" t="s">
        <v>1095</v>
      </c>
    </row>
    <row r="960">
      <c r="A960" s="76" t="s">
        <v>1096</v>
      </c>
      <c r="B960" s="76" t="s">
        <v>1698</v>
      </c>
      <c r="C960" s="76" t="s">
        <v>1718</v>
      </c>
      <c r="D960" s="76">
        <v>199.0</v>
      </c>
    </row>
    <row r="961">
      <c r="A961" s="76" t="s">
        <v>1097</v>
      </c>
    </row>
    <row r="962">
      <c r="A962" s="76" t="s">
        <v>1098</v>
      </c>
      <c r="B962" s="76" t="s">
        <v>1708</v>
      </c>
      <c r="C962" s="76" t="s">
        <v>1737</v>
      </c>
      <c r="D962" s="76">
        <v>120.0</v>
      </c>
    </row>
    <row r="963">
      <c r="A963" s="76" t="s">
        <v>1099</v>
      </c>
    </row>
    <row r="964">
      <c r="A964" s="76" t="s">
        <v>1100</v>
      </c>
      <c r="B964" s="76" t="s">
        <v>1715</v>
      </c>
      <c r="C964" s="76" t="s">
        <v>1772</v>
      </c>
      <c r="D964" s="76">
        <v>906.0</v>
      </c>
    </row>
    <row r="965">
      <c r="A965" s="76" t="s">
        <v>1101</v>
      </c>
      <c r="B965" s="76" t="s">
        <v>1698</v>
      </c>
      <c r="C965" s="76" t="s">
        <v>1714</v>
      </c>
      <c r="D965" s="76">
        <v>780.0</v>
      </c>
    </row>
    <row r="966">
      <c r="A966" s="76" t="s">
        <v>1102</v>
      </c>
      <c r="B966" s="76" t="s">
        <v>1735</v>
      </c>
      <c r="C966" s="76" t="s">
        <v>1736</v>
      </c>
      <c r="D966" s="76">
        <v>400.0</v>
      </c>
    </row>
    <row r="967">
      <c r="A967" s="76" t="s">
        <v>1103</v>
      </c>
      <c r="B967" s="76" t="s">
        <v>1708</v>
      </c>
      <c r="C967" s="76" t="s">
        <v>1760</v>
      </c>
      <c r="D967" s="76">
        <v>36000.0</v>
      </c>
    </row>
    <row r="968">
      <c r="A968" s="76" t="s">
        <v>1104</v>
      </c>
      <c r="B968" s="76" t="s">
        <v>1698</v>
      </c>
      <c r="C968" s="76" t="s">
        <v>1714</v>
      </c>
      <c r="D968" s="76">
        <v>29.0</v>
      </c>
    </row>
    <row r="969">
      <c r="A969" s="76" t="s">
        <v>1105</v>
      </c>
      <c r="B969" s="76" t="s">
        <v>1708</v>
      </c>
      <c r="C969" s="76" t="s">
        <v>1737</v>
      </c>
      <c r="D969" s="76">
        <v>8900.0</v>
      </c>
    </row>
    <row r="970">
      <c r="A970" s="76" t="s">
        <v>1106</v>
      </c>
      <c r="B970" s="76" t="s">
        <v>1700</v>
      </c>
      <c r="C970" s="76" t="s">
        <v>1724</v>
      </c>
      <c r="D970" s="76">
        <v>16600.0</v>
      </c>
    </row>
    <row r="971">
      <c r="A971" s="76" t="s">
        <v>1107</v>
      </c>
    </row>
    <row r="972">
      <c r="A972" s="76" t="s">
        <v>1108</v>
      </c>
      <c r="B972" s="76" t="s">
        <v>1698</v>
      </c>
      <c r="C972" s="76" t="s">
        <v>1714</v>
      </c>
      <c r="D972" s="76">
        <v>13.0</v>
      </c>
    </row>
    <row r="973">
      <c r="A973" s="76" t="s">
        <v>1109</v>
      </c>
      <c r="B973" s="76" t="s">
        <v>1700</v>
      </c>
      <c r="C973" s="76" t="s">
        <v>1728</v>
      </c>
      <c r="D973" s="76">
        <v>2118.0</v>
      </c>
    </row>
    <row r="974">
      <c r="A974" s="76" t="s">
        <v>1110</v>
      </c>
    </row>
    <row r="975">
      <c r="A975" s="76" t="s">
        <v>1111</v>
      </c>
    </row>
    <row r="976">
      <c r="A976" s="76" t="s">
        <v>1112</v>
      </c>
    </row>
    <row r="977">
      <c r="A977" s="76" t="s">
        <v>1113</v>
      </c>
      <c r="B977" s="76" t="s">
        <v>1698</v>
      </c>
      <c r="C977" s="76" t="s">
        <v>1714</v>
      </c>
      <c r="D977" s="76">
        <v>186.0</v>
      </c>
    </row>
    <row r="978">
      <c r="A978" s="76" t="s">
        <v>1114</v>
      </c>
      <c r="B978" s="76" t="s">
        <v>1715</v>
      </c>
      <c r="C978" s="76" t="s">
        <v>1758</v>
      </c>
      <c r="D978" s="76">
        <v>3029.0</v>
      </c>
    </row>
    <row r="979">
      <c r="A979" s="76" t="s">
        <v>1115</v>
      </c>
    </row>
    <row r="980">
      <c r="A980" s="76" t="s">
        <v>1116</v>
      </c>
      <c r="B980" s="76" t="s">
        <v>1783</v>
      </c>
      <c r="C980" s="76" t="s">
        <v>1784</v>
      </c>
      <c r="D980" s="76">
        <v>17.0</v>
      </c>
    </row>
    <row r="981">
      <c r="A981" s="76" t="s">
        <v>1117</v>
      </c>
      <c r="B981" s="76" t="s">
        <v>1698</v>
      </c>
      <c r="C981" s="76" t="s">
        <v>1714</v>
      </c>
      <c r="D981" s="76">
        <v>148.0</v>
      </c>
    </row>
    <row r="982">
      <c r="A982" s="76" t="s">
        <v>1118</v>
      </c>
      <c r="B982" s="76" t="s">
        <v>1708</v>
      </c>
      <c r="C982" s="76" t="s">
        <v>1757</v>
      </c>
      <c r="D982" s="76">
        <v>75400.0</v>
      </c>
    </row>
    <row r="983">
      <c r="A983" s="76" t="s">
        <v>1119</v>
      </c>
      <c r="B983" s="76" t="s">
        <v>1698</v>
      </c>
      <c r="C983" s="76" t="s">
        <v>1714</v>
      </c>
      <c r="D983" s="76">
        <v>723.0</v>
      </c>
    </row>
    <row r="984">
      <c r="A984" s="76" t="s">
        <v>1120</v>
      </c>
      <c r="B984" s="76" t="s">
        <v>1698</v>
      </c>
      <c r="C984" s="76" t="s">
        <v>1714</v>
      </c>
      <c r="D984" s="76">
        <v>70.0</v>
      </c>
    </row>
    <row r="985">
      <c r="A985" s="76" t="s">
        <v>1121</v>
      </c>
    </row>
    <row r="986">
      <c r="A986" s="76" t="s">
        <v>1122</v>
      </c>
      <c r="B986" s="76" t="s">
        <v>1705</v>
      </c>
      <c r="C986" s="76" t="s">
        <v>1706</v>
      </c>
      <c r="D986" s="76">
        <v>63.0</v>
      </c>
    </row>
    <row r="987">
      <c r="A987" s="76" t="s">
        <v>1123</v>
      </c>
    </row>
    <row r="988">
      <c r="A988" s="76" t="s">
        <v>1124</v>
      </c>
    </row>
    <row r="989">
      <c r="A989" s="76" t="s">
        <v>1125</v>
      </c>
      <c r="B989" s="76" t="s">
        <v>1715</v>
      </c>
      <c r="C989" s="76" t="s">
        <v>1749</v>
      </c>
      <c r="D989" s="76">
        <v>4775.0</v>
      </c>
    </row>
    <row r="990">
      <c r="A990" s="76" t="s">
        <v>1126</v>
      </c>
      <c r="B990" s="76" t="s">
        <v>1698</v>
      </c>
      <c r="C990" s="76" t="s">
        <v>1714</v>
      </c>
      <c r="D990" s="76">
        <v>25.0</v>
      </c>
    </row>
    <row r="991">
      <c r="A991" s="76" t="s">
        <v>1127</v>
      </c>
    </row>
    <row r="992">
      <c r="A992" s="76" t="s">
        <v>1128</v>
      </c>
      <c r="B992" s="76" t="s">
        <v>1705</v>
      </c>
      <c r="C992" s="76" t="s">
        <v>1706</v>
      </c>
      <c r="D992" s="76">
        <v>1690.0</v>
      </c>
    </row>
    <row r="993">
      <c r="A993" s="76" t="s">
        <v>1129</v>
      </c>
    </row>
    <row r="994">
      <c r="A994" s="76" t="s">
        <v>1130</v>
      </c>
      <c r="B994" s="76" t="s">
        <v>1698</v>
      </c>
      <c r="C994" s="76" t="s">
        <v>1714</v>
      </c>
      <c r="D994" s="76">
        <v>103.0</v>
      </c>
    </row>
    <row r="995">
      <c r="A995" s="76" t="s">
        <v>1131</v>
      </c>
      <c r="B995" s="76" t="s">
        <v>1702</v>
      </c>
      <c r="C995" s="76" t="s">
        <v>1770</v>
      </c>
      <c r="D995" s="76">
        <v>24587.0</v>
      </c>
    </row>
    <row r="996">
      <c r="A996" s="76" t="s">
        <v>1132</v>
      </c>
      <c r="B996" s="76" t="s">
        <v>1698</v>
      </c>
      <c r="C996" s="76" t="s">
        <v>1714</v>
      </c>
      <c r="D996" s="76">
        <v>551.0</v>
      </c>
    </row>
    <row r="997">
      <c r="A997" s="76" t="s">
        <v>1133</v>
      </c>
    </row>
    <row r="998">
      <c r="A998" s="76" t="s">
        <v>1134</v>
      </c>
      <c r="B998" s="76" t="s">
        <v>1698</v>
      </c>
      <c r="C998" s="76" t="s">
        <v>1714</v>
      </c>
      <c r="D998" s="76">
        <v>270.0</v>
      </c>
    </row>
    <row r="999">
      <c r="A999" s="76" t="s">
        <v>1135</v>
      </c>
      <c r="B999" s="76" t="s">
        <v>1729</v>
      </c>
      <c r="C999" s="76" t="s">
        <v>1790</v>
      </c>
      <c r="D999" s="76">
        <v>19.0</v>
      </c>
    </row>
    <row r="1000">
      <c r="A1000" s="76" t="s">
        <v>1136</v>
      </c>
      <c r="B1000" s="76" t="s">
        <v>1700</v>
      </c>
      <c r="C1000" s="76" t="s">
        <v>1762</v>
      </c>
      <c r="D1000" s="76">
        <v>22300.0</v>
      </c>
    </row>
    <row r="1001">
      <c r="A1001" s="76" t="s">
        <v>1137</v>
      </c>
      <c r="B1001" s="76" t="s">
        <v>1698</v>
      </c>
      <c r="C1001" s="76" t="s">
        <v>1699</v>
      </c>
      <c r="D1001" s="76">
        <v>1039.0</v>
      </c>
    </row>
    <row r="1002">
      <c r="A1002" s="76" t="s">
        <v>1138</v>
      </c>
      <c r="B1002" s="76" t="s">
        <v>1700</v>
      </c>
      <c r="C1002" s="76" t="s">
        <v>1768</v>
      </c>
      <c r="D1002" s="76">
        <v>26800.0</v>
      </c>
    </row>
    <row r="1003">
      <c r="A1003" s="76" t="s">
        <v>1139</v>
      </c>
      <c r="B1003" s="76" t="s">
        <v>1715</v>
      </c>
      <c r="C1003" s="76" t="s">
        <v>1764</v>
      </c>
      <c r="D1003" s="76">
        <v>4900.0</v>
      </c>
    </row>
    <row r="1004">
      <c r="A1004" s="76" t="s">
        <v>1140</v>
      </c>
      <c r="B1004" s="76" t="s">
        <v>1698</v>
      </c>
      <c r="C1004" s="76" t="s">
        <v>1714</v>
      </c>
      <c r="D1004" s="76">
        <v>359.0</v>
      </c>
    </row>
    <row r="1005">
      <c r="A1005" s="76" t="s">
        <v>1141</v>
      </c>
      <c r="B1005" s="76" t="s">
        <v>1705</v>
      </c>
      <c r="C1005" s="76" t="s">
        <v>1706</v>
      </c>
      <c r="D1005" s="76">
        <v>13775.0</v>
      </c>
    </row>
    <row r="1006">
      <c r="A1006" s="76" t="s">
        <v>1142</v>
      </c>
      <c r="B1006" s="76" t="s">
        <v>1705</v>
      </c>
      <c r="C1006" s="76" t="s">
        <v>1706</v>
      </c>
      <c r="D1006" s="76">
        <v>46.0</v>
      </c>
    </row>
    <row r="1007">
      <c r="A1007" s="76" t="s">
        <v>1143</v>
      </c>
    </row>
    <row r="1008">
      <c r="A1008" s="76" t="s">
        <v>1144</v>
      </c>
      <c r="B1008" s="76" t="s">
        <v>1705</v>
      </c>
      <c r="C1008" s="76" t="s">
        <v>1720</v>
      </c>
      <c r="D1008" s="76">
        <v>646.0</v>
      </c>
    </row>
    <row r="1009">
      <c r="A1009" s="76" t="s">
        <v>1145</v>
      </c>
      <c r="B1009" s="76" t="s">
        <v>1698</v>
      </c>
      <c r="C1009" s="76" t="s">
        <v>1714</v>
      </c>
      <c r="D1009" s="76">
        <v>43526.0</v>
      </c>
    </row>
    <row r="1010">
      <c r="A1010" s="76" t="s">
        <v>1146</v>
      </c>
    </row>
    <row r="1011">
      <c r="A1011" s="76" t="s">
        <v>1147</v>
      </c>
      <c r="B1011" s="76" t="s">
        <v>1698</v>
      </c>
      <c r="C1011" s="76" t="s">
        <v>1712</v>
      </c>
      <c r="D1011" s="76">
        <v>110000.0</v>
      </c>
    </row>
    <row r="1012">
      <c r="A1012" s="76" t="s">
        <v>1148</v>
      </c>
      <c r="B1012" s="76" t="s">
        <v>1698</v>
      </c>
      <c r="C1012" s="76" t="s">
        <v>1742</v>
      </c>
      <c r="D1012" s="76">
        <v>12500.0</v>
      </c>
    </row>
    <row r="1013">
      <c r="A1013" s="76" t="s">
        <v>1149</v>
      </c>
      <c r="B1013" s="76" t="s">
        <v>1698</v>
      </c>
      <c r="C1013" s="76" t="s">
        <v>1699</v>
      </c>
      <c r="D1013" s="76">
        <v>1500.0</v>
      </c>
    </row>
    <row r="1014">
      <c r="A1014" s="76" t="s">
        <v>1150</v>
      </c>
      <c r="B1014" s="76" t="s">
        <v>1715</v>
      </c>
      <c r="C1014" s="76" t="s">
        <v>1764</v>
      </c>
      <c r="D1014" s="76">
        <v>30000.0</v>
      </c>
    </row>
    <row r="1015">
      <c r="A1015" s="76" t="s">
        <v>1151</v>
      </c>
      <c r="B1015" s="76" t="s">
        <v>1702</v>
      </c>
      <c r="C1015" s="76" t="s">
        <v>1707</v>
      </c>
      <c r="D1015" s="76">
        <v>3632.0</v>
      </c>
    </row>
    <row r="1016">
      <c r="A1016" s="76" t="s">
        <v>1152</v>
      </c>
    </row>
    <row r="1017">
      <c r="A1017" s="76" t="s">
        <v>1153</v>
      </c>
      <c r="B1017" s="76" t="s">
        <v>1698</v>
      </c>
      <c r="C1017" s="76" t="s">
        <v>1714</v>
      </c>
      <c r="D1017" s="76">
        <v>69.0</v>
      </c>
    </row>
    <row r="1018">
      <c r="A1018" s="76" t="s">
        <v>1154</v>
      </c>
    </row>
    <row r="1019">
      <c r="A1019" s="76" t="s">
        <v>1155</v>
      </c>
    </row>
    <row r="1020">
      <c r="A1020" s="76" t="s">
        <v>1156</v>
      </c>
      <c r="B1020" s="76" t="s">
        <v>1698</v>
      </c>
      <c r="C1020" s="76" t="s">
        <v>1714</v>
      </c>
      <c r="D1020" s="76">
        <v>53.0</v>
      </c>
    </row>
    <row r="1021">
      <c r="A1021" s="76" t="s">
        <v>1157</v>
      </c>
      <c r="B1021" s="76" t="s">
        <v>1702</v>
      </c>
      <c r="C1021" s="76" t="s">
        <v>1707</v>
      </c>
      <c r="D1021" s="76">
        <v>19000.0</v>
      </c>
    </row>
    <row r="1022">
      <c r="A1022" s="76" t="s">
        <v>1158</v>
      </c>
      <c r="B1022" s="76" t="s">
        <v>1698</v>
      </c>
      <c r="C1022" s="76" t="s">
        <v>1714</v>
      </c>
      <c r="D1022" s="76">
        <v>161.0</v>
      </c>
    </row>
    <row r="1023">
      <c r="A1023" s="76" t="s">
        <v>1159</v>
      </c>
      <c r="B1023" s="76" t="s">
        <v>1700</v>
      </c>
      <c r="C1023" s="76" t="s">
        <v>1728</v>
      </c>
      <c r="D1023" s="76">
        <v>801.0</v>
      </c>
    </row>
    <row r="1024">
      <c r="A1024" s="76" t="s">
        <v>1160</v>
      </c>
      <c r="B1024" s="76" t="s">
        <v>1702</v>
      </c>
      <c r="C1024" s="76" t="s">
        <v>1734</v>
      </c>
      <c r="D1024" s="76">
        <v>18930.0</v>
      </c>
    </row>
    <row r="1025">
      <c r="A1025" s="76" t="s">
        <v>1161</v>
      </c>
      <c r="B1025" s="76" t="s">
        <v>1708</v>
      </c>
      <c r="C1025" s="76" t="s">
        <v>1709</v>
      </c>
      <c r="D1025" s="76">
        <v>40000.0</v>
      </c>
    </row>
    <row r="1026">
      <c r="A1026" s="76" t="s">
        <v>1162</v>
      </c>
      <c r="B1026" s="76" t="s">
        <v>1698</v>
      </c>
      <c r="C1026" s="76" t="s">
        <v>1714</v>
      </c>
      <c r="D1026" s="76">
        <v>134.0</v>
      </c>
    </row>
    <row r="1027">
      <c r="A1027" s="76" t="s">
        <v>1163</v>
      </c>
    </row>
    <row r="1028">
      <c r="A1028" s="76" t="s">
        <v>1164</v>
      </c>
      <c r="B1028" s="76" t="s">
        <v>1702</v>
      </c>
      <c r="C1028" s="76" t="s">
        <v>1711</v>
      </c>
      <c r="D1028" s="76">
        <v>176.0</v>
      </c>
    </row>
    <row r="1029">
      <c r="A1029" s="76" t="s">
        <v>1165</v>
      </c>
      <c r="B1029" s="76" t="s">
        <v>1783</v>
      </c>
      <c r="C1029" s="76" t="s">
        <v>1784</v>
      </c>
      <c r="D1029" s="76">
        <v>49.0</v>
      </c>
    </row>
    <row r="1030">
      <c r="A1030" s="76" t="s">
        <v>1166</v>
      </c>
      <c r="B1030" s="76" t="s">
        <v>1735</v>
      </c>
      <c r="C1030" s="76" t="s">
        <v>1767</v>
      </c>
      <c r="D1030" s="76">
        <v>9100.0</v>
      </c>
    </row>
    <row r="1031">
      <c r="A1031" s="76" t="s">
        <v>1167</v>
      </c>
      <c r="B1031" s="76" t="s">
        <v>1705</v>
      </c>
      <c r="C1031" s="76" t="s">
        <v>1706</v>
      </c>
      <c r="D1031" s="76">
        <v>289.0</v>
      </c>
    </row>
    <row r="1032">
      <c r="A1032" s="76" t="s">
        <v>1168</v>
      </c>
      <c r="B1032" s="76" t="s">
        <v>1715</v>
      </c>
      <c r="C1032" s="76" t="s">
        <v>1750</v>
      </c>
      <c r="D1032" s="76">
        <v>3900.0</v>
      </c>
    </row>
    <row r="1033">
      <c r="A1033" s="76" t="s">
        <v>1169</v>
      </c>
      <c r="B1033" s="76" t="s">
        <v>1700</v>
      </c>
      <c r="C1033" s="76" t="s">
        <v>1728</v>
      </c>
      <c r="D1033" s="76">
        <v>6500.0</v>
      </c>
    </row>
    <row r="1034">
      <c r="A1034" s="76" t="s">
        <v>1170</v>
      </c>
    </row>
    <row r="1035">
      <c r="A1035" s="76" t="s">
        <v>1171</v>
      </c>
      <c r="B1035" s="76" t="s">
        <v>1698</v>
      </c>
      <c r="C1035" s="76" t="s">
        <v>1714</v>
      </c>
      <c r="D1035" s="76">
        <v>258.0</v>
      </c>
    </row>
    <row r="1036">
      <c r="A1036" s="76" t="s">
        <v>1172</v>
      </c>
      <c r="B1036" s="76" t="s">
        <v>1698</v>
      </c>
      <c r="C1036" s="76" t="s">
        <v>1713</v>
      </c>
      <c r="D1036" s="76">
        <v>15400.0</v>
      </c>
    </row>
    <row r="1037">
      <c r="A1037" s="76" t="s">
        <v>1173</v>
      </c>
    </row>
    <row r="1038">
      <c r="A1038" s="76" t="s">
        <v>1174</v>
      </c>
      <c r="B1038" s="76" t="s">
        <v>1705</v>
      </c>
      <c r="C1038" s="76" t="s">
        <v>1795</v>
      </c>
      <c r="D1038" s="76">
        <v>28006.0</v>
      </c>
    </row>
    <row r="1039">
      <c r="A1039" s="76" t="s">
        <v>1175</v>
      </c>
      <c r="B1039" s="76" t="s">
        <v>1705</v>
      </c>
      <c r="C1039" s="76" t="s">
        <v>1706</v>
      </c>
      <c r="D1039" s="76">
        <v>34800.0</v>
      </c>
    </row>
    <row r="1040">
      <c r="A1040" s="76" t="s">
        <v>1176</v>
      </c>
      <c r="B1040" s="76" t="s">
        <v>1698</v>
      </c>
      <c r="C1040" s="76" t="s">
        <v>1714</v>
      </c>
      <c r="D1040" s="76">
        <v>37.0</v>
      </c>
    </row>
    <row r="1041">
      <c r="A1041" s="76" t="s">
        <v>1177</v>
      </c>
      <c r="B1041" s="76" t="s">
        <v>1698</v>
      </c>
      <c r="C1041" s="76" t="s">
        <v>1714</v>
      </c>
      <c r="D1041" s="76">
        <v>17.0</v>
      </c>
    </row>
    <row r="1042">
      <c r="A1042" s="76" t="s">
        <v>1178</v>
      </c>
      <c r="B1042" s="76" t="s">
        <v>1698</v>
      </c>
      <c r="C1042" s="76" t="s">
        <v>1699</v>
      </c>
      <c r="D1042" s="76">
        <v>6096.0</v>
      </c>
    </row>
    <row r="1043">
      <c r="A1043" s="76" t="s">
        <v>1179</v>
      </c>
      <c r="B1043" s="76" t="s">
        <v>1698</v>
      </c>
      <c r="C1043" s="76" t="s">
        <v>1722</v>
      </c>
      <c r="D1043" s="76">
        <v>221.0</v>
      </c>
    </row>
    <row r="1044">
      <c r="A1044" s="76" t="s">
        <v>1180</v>
      </c>
    </row>
    <row r="1045">
      <c r="A1045" s="76" t="s">
        <v>1181</v>
      </c>
      <c r="B1045" s="76" t="s">
        <v>1698</v>
      </c>
      <c r="C1045" s="76" t="s">
        <v>1722</v>
      </c>
      <c r="D1045" s="76">
        <v>835.0</v>
      </c>
    </row>
    <row r="1046">
      <c r="A1046" s="76" t="s">
        <v>1182</v>
      </c>
      <c r="B1046" s="76" t="s">
        <v>1698</v>
      </c>
      <c r="C1046" s="76" t="s">
        <v>1714</v>
      </c>
      <c r="D1046" s="76">
        <v>309.0</v>
      </c>
    </row>
    <row r="1047">
      <c r="A1047" s="76" t="s">
        <v>1183</v>
      </c>
      <c r="B1047" s="76" t="s">
        <v>1698</v>
      </c>
      <c r="C1047" s="76" t="s">
        <v>1714</v>
      </c>
      <c r="D1047" s="76">
        <v>58.0</v>
      </c>
    </row>
    <row r="1048">
      <c r="A1048" s="76" t="s">
        <v>1184</v>
      </c>
      <c r="B1048" s="76" t="s">
        <v>1708</v>
      </c>
      <c r="C1048" s="76" t="s">
        <v>1709</v>
      </c>
      <c r="D1048" s="76">
        <v>72877.0</v>
      </c>
    </row>
    <row r="1049">
      <c r="A1049" s="76" t="s">
        <v>1185</v>
      </c>
    </row>
    <row r="1050">
      <c r="A1050" s="76" t="s">
        <v>1186</v>
      </c>
      <c r="B1050" s="76" t="s">
        <v>1698</v>
      </c>
      <c r="C1050" s="76" t="s">
        <v>1714</v>
      </c>
      <c r="D1050" s="76">
        <v>252.0</v>
      </c>
    </row>
    <row r="1051">
      <c r="A1051" s="76" t="s">
        <v>1187</v>
      </c>
      <c r="B1051" s="76" t="s">
        <v>1700</v>
      </c>
      <c r="C1051" s="76" t="s">
        <v>1802</v>
      </c>
      <c r="D1051" s="76">
        <v>2400.0</v>
      </c>
    </row>
    <row r="1052">
      <c r="A1052" s="76" t="s">
        <v>1188</v>
      </c>
      <c r="B1052" s="76" t="s">
        <v>1735</v>
      </c>
      <c r="C1052" s="76" t="s">
        <v>1781</v>
      </c>
      <c r="D1052" s="76">
        <v>713.0</v>
      </c>
    </row>
    <row r="1053">
      <c r="A1053" s="76" t="s">
        <v>1189</v>
      </c>
      <c r="B1053" s="76" t="s">
        <v>1698</v>
      </c>
      <c r="C1053" s="76" t="s">
        <v>1714</v>
      </c>
      <c r="D1053" s="76">
        <v>379.0</v>
      </c>
    </row>
    <row r="1054">
      <c r="A1054" s="76" t="s">
        <v>1190</v>
      </c>
    </row>
    <row r="1055">
      <c r="A1055" s="76" t="s">
        <v>1191</v>
      </c>
      <c r="B1055" s="76" t="s">
        <v>1698</v>
      </c>
      <c r="C1055" s="76" t="s">
        <v>1742</v>
      </c>
      <c r="D1055" s="76">
        <v>472.0</v>
      </c>
    </row>
    <row r="1056">
      <c r="A1056" s="76" t="s">
        <v>1192</v>
      </c>
      <c r="B1056" s="76" t="s">
        <v>1698</v>
      </c>
      <c r="C1056" s="76" t="s">
        <v>1714</v>
      </c>
      <c r="D1056" s="76">
        <v>49.0</v>
      </c>
    </row>
    <row r="1057">
      <c r="A1057" s="76" t="s">
        <v>1193</v>
      </c>
      <c r="B1057" s="76" t="s">
        <v>1698</v>
      </c>
      <c r="C1057" s="76" t="s">
        <v>1714</v>
      </c>
      <c r="D1057" s="76">
        <v>14.0</v>
      </c>
    </row>
    <row r="1058">
      <c r="A1058" s="76" t="s">
        <v>1194</v>
      </c>
      <c r="B1058" s="76" t="s">
        <v>1698</v>
      </c>
      <c r="C1058" s="76" t="s">
        <v>1714</v>
      </c>
      <c r="D1058" s="76">
        <v>60.0</v>
      </c>
    </row>
    <row r="1059">
      <c r="A1059" s="76" t="s">
        <v>1195</v>
      </c>
      <c r="B1059" s="76" t="s">
        <v>1698</v>
      </c>
      <c r="C1059" s="76" t="s">
        <v>1699</v>
      </c>
      <c r="D1059" s="76">
        <v>260.0</v>
      </c>
    </row>
    <row r="1060">
      <c r="A1060" s="76" t="s">
        <v>1196</v>
      </c>
    </row>
    <row r="1061">
      <c r="A1061" s="76" t="s">
        <v>1197</v>
      </c>
      <c r="B1061" s="76" t="s">
        <v>1698</v>
      </c>
      <c r="C1061" s="76" t="s">
        <v>1714</v>
      </c>
      <c r="D1061" s="76">
        <v>30.0</v>
      </c>
    </row>
    <row r="1062">
      <c r="A1062" s="76" t="s">
        <v>1198</v>
      </c>
      <c r="B1062" s="76" t="s">
        <v>1700</v>
      </c>
      <c r="C1062" s="76" t="s">
        <v>1785</v>
      </c>
      <c r="D1062" s="76">
        <v>6800.0</v>
      </c>
    </row>
    <row r="1063">
      <c r="A1063" s="76" t="s">
        <v>1199</v>
      </c>
    </row>
    <row r="1064">
      <c r="A1064" s="76" t="s">
        <v>1200</v>
      </c>
      <c r="B1064" s="76" t="s">
        <v>1698</v>
      </c>
      <c r="C1064" s="76" t="s">
        <v>1699</v>
      </c>
      <c r="D1064" s="76">
        <v>404.0</v>
      </c>
    </row>
    <row r="1065">
      <c r="A1065" s="76" t="s">
        <v>1201</v>
      </c>
      <c r="B1065" s="76" t="s">
        <v>1708</v>
      </c>
      <c r="C1065" s="76" t="s">
        <v>1717</v>
      </c>
      <c r="D1065" s="76">
        <v>27000.0</v>
      </c>
    </row>
    <row r="1066">
      <c r="A1066" s="76" t="s">
        <v>1202</v>
      </c>
      <c r="B1066" s="76" t="s">
        <v>1698</v>
      </c>
      <c r="C1066" s="76" t="s">
        <v>1722</v>
      </c>
      <c r="D1066" s="76">
        <v>1700.0</v>
      </c>
    </row>
    <row r="1067">
      <c r="A1067" s="76" t="s">
        <v>1203</v>
      </c>
    </row>
    <row r="1068">
      <c r="A1068" s="76" t="s">
        <v>1204</v>
      </c>
      <c r="B1068" s="76" t="s">
        <v>1702</v>
      </c>
      <c r="C1068" s="76" t="s">
        <v>1739</v>
      </c>
      <c r="D1068" s="76">
        <v>70.0</v>
      </c>
    </row>
    <row r="1069">
      <c r="A1069" s="76" t="s">
        <v>1205</v>
      </c>
      <c r="B1069" s="76" t="s">
        <v>1698</v>
      </c>
      <c r="C1069" s="76" t="s">
        <v>1714</v>
      </c>
      <c r="D1069" s="76">
        <v>20.0</v>
      </c>
    </row>
    <row r="1070">
      <c r="A1070" s="76" t="s">
        <v>1206</v>
      </c>
      <c r="B1070" s="76" t="s">
        <v>1708</v>
      </c>
      <c r="C1070" s="76" t="s">
        <v>1779</v>
      </c>
      <c r="D1070" s="76">
        <v>7500.0</v>
      </c>
    </row>
    <row r="1071">
      <c r="A1071" s="76" t="s">
        <v>1207</v>
      </c>
    </row>
    <row r="1072">
      <c r="A1072" s="76" t="s">
        <v>1208</v>
      </c>
      <c r="B1072" s="76" t="s">
        <v>1698</v>
      </c>
      <c r="C1072" s="76" t="s">
        <v>1714</v>
      </c>
      <c r="D1072" s="76">
        <v>269.0</v>
      </c>
    </row>
    <row r="1073">
      <c r="A1073" s="76" t="s">
        <v>1209</v>
      </c>
      <c r="B1073" s="76" t="s">
        <v>1698</v>
      </c>
      <c r="C1073" s="76" t="s">
        <v>1722</v>
      </c>
      <c r="D1073" s="76">
        <v>606.0</v>
      </c>
    </row>
    <row r="1074">
      <c r="A1074" s="76" t="s">
        <v>1210</v>
      </c>
    </row>
    <row r="1075">
      <c r="A1075" s="76" t="s">
        <v>1211</v>
      </c>
      <c r="B1075" s="76" t="s">
        <v>1698</v>
      </c>
      <c r="C1075" s="76" t="s">
        <v>1713</v>
      </c>
      <c r="D1075" s="76">
        <v>7800.0</v>
      </c>
    </row>
    <row r="1076">
      <c r="A1076" s="76" t="s">
        <v>1212</v>
      </c>
      <c r="B1076" s="76" t="s">
        <v>1705</v>
      </c>
      <c r="C1076" s="76" t="s">
        <v>1791</v>
      </c>
      <c r="D1076" s="76">
        <v>353.0</v>
      </c>
    </row>
    <row r="1077">
      <c r="A1077" s="76" t="s">
        <v>1213</v>
      </c>
    </row>
    <row r="1078">
      <c r="A1078" s="76" t="s">
        <v>1214</v>
      </c>
      <c r="B1078" s="76" t="s">
        <v>1708</v>
      </c>
      <c r="C1078" s="76" t="s">
        <v>1753</v>
      </c>
      <c r="D1078" s="76">
        <v>13000.0</v>
      </c>
    </row>
    <row r="1079">
      <c r="A1079" s="76" t="s">
        <v>1215</v>
      </c>
      <c r="B1079" s="76" t="s">
        <v>1715</v>
      </c>
      <c r="C1079" s="76" t="s">
        <v>1772</v>
      </c>
      <c r="D1079" s="76">
        <v>267000.0</v>
      </c>
    </row>
    <row r="1080">
      <c r="A1080" s="76" t="s">
        <v>1216</v>
      </c>
      <c r="B1080" s="76" t="s">
        <v>1698</v>
      </c>
      <c r="C1080" s="76" t="s">
        <v>1722</v>
      </c>
      <c r="D1080" s="76">
        <v>1866.0</v>
      </c>
    </row>
    <row r="1081">
      <c r="A1081" s="76" t="s">
        <v>1217</v>
      </c>
      <c r="B1081" s="76" t="s">
        <v>1698</v>
      </c>
      <c r="C1081" s="76" t="s">
        <v>1712</v>
      </c>
      <c r="D1081" s="76">
        <v>88300.0</v>
      </c>
    </row>
    <row r="1082">
      <c r="A1082" s="76" t="s">
        <v>1218</v>
      </c>
    </row>
    <row r="1083">
      <c r="A1083" s="76" t="s">
        <v>1219</v>
      </c>
    </row>
    <row r="1084">
      <c r="A1084" s="76" t="s">
        <v>1220</v>
      </c>
      <c r="B1084" s="76" t="s">
        <v>1698</v>
      </c>
      <c r="C1084" s="76" t="s">
        <v>1761</v>
      </c>
      <c r="D1084" s="76">
        <v>167.0</v>
      </c>
    </row>
    <row r="1085">
      <c r="A1085" s="76" t="s">
        <v>1221</v>
      </c>
      <c r="B1085" s="76" t="s">
        <v>1702</v>
      </c>
      <c r="C1085" s="76" t="s">
        <v>1707</v>
      </c>
      <c r="D1085" s="76">
        <v>3000.0</v>
      </c>
    </row>
    <row r="1086">
      <c r="A1086" s="76" t="s">
        <v>1222</v>
      </c>
      <c r="B1086" s="76" t="s">
        <v>1702</v>
      </c>
      <c r="C1086" s="76" t="s">
        <v>1738</v>
      </c>
      <c r="D1086" s="76">
        <v>50520.0</v>
      </c>
    </row>
    <row r="1087">
      <c r="A1087" s="76" t="s">
        <v>1223</v>
      </c>
      <c r="B1087" s="76" t="s">
        <v>1698</v>
      </c>
      <c r="C1087" s="76" t="s">
        <v>1714</v>
      </c>
      <c r="D1087" s="76">
        <v>50.0</v>
      </c>
    </row>
    <row r="1088">
      <c r="A1088" s="76" t="s">
        <v>1224</v>
      </c>
      <c r="B1088" s="76" t="s">
        <v>1698</v>
      </c>
      <c r="C1088" s="76" t="s">
        <v>1714</v>
      </c>
      <c r="D1088" s="76">
        <v>25.0</v>
      </c>
    </row>
    <row r="1089">
      <c r="A1089" s="76" t="s">
        <v>1225</v>
      </c>
      <c r="B1089" s="76" t="s">
        <v>1698</v>
      </c>
      <c r="C1089" s="76" t="s">
        <v>1699</v>
      </c>
      <c r="D1089" s="76">
        <v>80718.0</v>
      </c>
    </row>
    <row r="1090">
      <c r="A1090" s="76" t="s">
        <v>1226</v>
      </c>
      <c r="B1090" s="76" t="s">
        <v>1708</v>
      </c>
      <c r="C1090" s="76" t="s">
        <v>1754</v>
      </c>
      <c r="D1090" s="76">
        <v>5245.0</v>
      </c>
    </row>
    <row r="1091">
      <c r="A1091" s="76" t="s">
        <v>1227</v>
      </c>
    </row>
    <row r="1092">
      <c r="A1092" s="76" t="s">
        <v>1228</v>
      </c>
      <c r="B1092" s="76" t="s">
        <v>1698</v>
      </c>
      <c r="C1092" s="76" t="s">
        <v>1761</v>
      </c>
      <c r="D1092" s="76">
        <v>2500.0</v>
      </c>
    </row>
    <row r="1093">
      <c r="A1093" s="76" t="s">
        <v>1229</v>
      </c>
      <c r="B1093" s="76" t="s">
        <v>1698</v>
      </c>
      <c r="C1093" s="76" t="s">
        <v>1714</v>
      </c>
      <c r="D1093" s="76">
        <v>114.0</v>
      </c>
    </row>
    <row r="1094">
      <c r="A1094" s="76" t="s">
        <v>1230</v>
      </c>
    </row>
    <row r="1095">
      <c r="A1095" s="76" t="s">
        <v>1231</v>
      </c>
      <c r="B1095" s="76" t="s">
        <v>1705</v>
      </c>
      <c r="C1095" s="76" t="s">
        <v>1720</v>
      </c>
      <c r="D1095" s="76">
        <v>1775.0</v>
      </c>
    </row>
    <row r="1096">
      <c r="A1096" s="76" t="s">
        <v>1232</v>
      </c>
      <c r="B1096" s="76" t="s">
        <v>1708</v>
      </c>
      <c r="C1096" s="76" t="s">
        <v>1737</v>
      </c>
      <c r="D1096" s="76">
        <v>15908.0</v>
      </c>
    </row>
    <row r="1097">
      <c r="A1097" s="76" t="s">
        <v>1233</v>
      </c>
      <c r="B1097" s="76" t="s">
        <v>1708</v>
      </c>
      <c r="C1097" s="76" t="s">
        <v>1725</v>
      </c>
      <c r="D1097" s="76">
        <v>3900.0</v>
      </c>
    </row>
    <row r="1098">
      <c r="A1098" s="76" t="s">
        <v>1234</v>
      </c>
    </row>
    <row r="1099">
      <c r="A1099" s="76" t="s">
        <v>1235</v>
      </c>
      <c r="B1099" s="76" t="s">
        <v>1708</v>
      </c>
      <c r="C1099" s="76" t="s">
        <v>1778</v>
      </c>
      <c r="D1099" s="76">
        <v>1677.0</v>
      </c>
    </row>
    <row r="1100">
      <c r="A1100" s="76" t="s">
        <v>1236</v>
      </c>
      <c r="B1100" s="76" t="s">
        <v>1698</v>
      </c>
      <c r="C1100" s="76" t="s">
        <v>1714</v>
      </c>
      <c r="D1100" s="76">
        <v>67.0</v>
      </c>
    </row>
    <row r="1101">
      <c r="A1101" s="76" t="s">
        <v>1237</v>
      </c>
      <c r="B1101" s="76" t="s">
        <v>1708</v>
      </c>
      <c r="C1101" s="76" t="s">
        <v>1753</v>
      </c>
      <c r="D1101" s="76">
        <v>12000.0</v>
      </c>
    </row>
    <row r="1102">
      <c r="A1102" s="76" t="s">
        <v>1238</v>
      </c>
      <c r="B1102" s="76" t="s">
        <v>1715</v>
      </c>
      <c r="C1102" s="76" t="s">
        <v>1752</v>
      </c>
      <c r="D1102" s="76">
        <v>73500.0</v>
      </c>
    </row>
    <row r="1103">
      <c r="A1103" s="76" t="s">
        <v>1239</v>
      </c>
    </row>
    <row r="1104">
      <c r="A1104" s="76" t="s">
        <v>1240</v>
      </c>
    </row>
    <row r="1105">
      <c r="A1105" s="76" t="s">
        <v>1241</v>
      </c>
      <c r="B1105" s="76" t="s">
        <v>1708</v>
      </c>
      <c r="C1105" s="76" t="s">
        <v>1747</v>
      </c>
      <c r="D1105" s="76">
        <v>4500.0</v>
      </c>
    </row>
    <row r="1106">
      <c r="A1106" s="76" t="s">
        <v>1242</v>
      </c>
      <c r="B1106" s="76" t="s">
        <v>1715</v>
      </c>
      <c r="C1106" s="76" t="s">
        <v>1749</v>
      </c>
      <c r="D1106" s="76">
        <v>10100.0</v>
      </c>
    </row>
    <row r="1107">
      <c r="A1107" s="76" t="s">
        <v>1243</v>
      </c>
      <c r="B1107" s="76" t="s">
        <v>1705</v>
      </c>
      <c r="C1107" s="76" t="s">
        <v>1706</v>
      </c>
      <c r="D1107" s="76">
        <v>699.0</v>
      </c>
    </row>
    <row r="1108">
      <c r="A1108" s="76" t="s">
        <v>1244</v>
      </c>
      <c r="B1108" s="76" t="s">
        <v>1715</v>
      </c>
      <c r="C1108" s="76" t="s">
        <v>1749</v>
      </c>
      <c r="D1108" s="76">
        <v>58200.0</v>
      </c>
    </row>
    <row r="1109">
      <c r="A1109" s="76" t="s">
        <v>1245</v>
      </c>
      <c r="B1109" s="76" t="s">
        <v>1698</v>
      </c>
      <c r="C1109" s="76" t="s">
        <v>1722</v>
      </c>
      <c r="D1109" s="76">
        <v>24000.0</v>
      </c>
    </row>
    <row r="1110">
      <c r="A1110" s="76" t="s">
        <v>1246</v>
      </c>
    </row>
    <row r="1111">
      <c r="A1111" s="76" t="s">
        <v>1247</v>
      </c>
      <c r="B1111" s="76" t="s">
        <v>1698</v>
      </c>
      <c r="C1111" s="76" t="s">
        <v>1699</v>
      </c>
      <c r="D1111" s="76">
        <v>17500.0</v>
      </c>
    </row>
    <row r="1112">
      <c r="A1112" s="76" t="s">
        <v>1248</v>
      </c>
      <c r="B1112" s="76" t="s">
        <v>1698</v>
      </c>
      <c r="C1112" s="76" t="s">
        <v>1722</v>
      </c>
      <c r="D1112" s="76">
        <v>11200.0</v>
      </c>
    </row>
    <row r="1113">
      <c r="A1113" s="76" t="s">
        <v>1249</v>
      </c>
      <c r="B1113" s="76" t="s">
        <v>1702</v>
      </c>
      <c r="C1113" s="76" t="s">
        <v>1721</v>
      </c>
      <c r="D1113" s="76">
        <v>9700.0</v>
      </c>
    </row>
    <row r="1114">
      <c r="A1114" s="76" t="s">
        <v>1250</v>
      </c>
      <c r="B1114" s="76" t="s">
        <v>1715</v>
      </c>
      <c r="C1114" s="76" t="s">
        <v>1772</v>
      </c>
      <c r="D1114" s="76">
        <v>11580.0</v>
      </c>
    </row>
    <row r="1115">
      <c r="A1115" s="76" t="s">
        <v>1251</v>
      </c>
      <c r="B1115" s="76" t="s">
        <v>1698</v>
      </c>
      <c r="C1115" s="76" t="s">
        <v>1714</v>
      </c>
      <c r="D1115" s="76">
        <v>124.0</v>
      </c>
    </row>
    <row r="1116">
      <c r="A1116" s="76" t="s">
        <v>1252</v>
      </c>
      <c r="B1116" s="76" t="s">
        <v>1698</v>
      </c>
      <c r="C1116" s="76" t="s">
        <v>1714</v>
      </c>
      <c r="D1116" s="76">
        <v>666.0</v>
      </c>
    </row>
    <row r="1117">
      <c r="A1117" s="76" t="s">
        <v>1253</v>
      </c>
      <c r="B1117" s="76" t="s">
        <v>1698</v>
      </c>
      <c r="C1117" s="76" t="s">
        <v>1714</v>
      </c>
      <c r="D1117" s="76">
        <v>154.0</v>
      </c>
    </row>
    <row r="1118">
      <c r="A1118" s="76" t="s">
        <v>1254</v>
      </c>
      <c r="B1118" s="76" t="s">
        <v>1698</v>
      </c>
      <c r="C1118" s="76" t="s">
        <v>1714</v>
      </c>
      <c r="D1118" s="76">
        <v>51.0</v>
      </c>
    </row>
    <row r="1119">
      <c r="A1119" s="76" t="s">
        <v>1255</v>
      </c>
      <c r="B1119" s="76" t="s">
        <v>1698</v>
      </c>
      <c r="C1119" s="76" t="s">
        <v>1714</v>
      </c>
      <c r="D1119" s="76">
        <v>101.0</v>
      </c>
    </row>
    <row r="1120">
      <c r="A1120" s="76" t="s">
        <v>1256</v>
      </c>
      <c r="B1120" s="76" t="s">
        <v>1708</v>
      </c>
      <c r="C1120" s="76" t="s">
        <v>1709</v>
      </c>
      <c r="D1120" s="76">
        <v>10400.0</v>
      </c>
    </row>
    <row r="1121">
      <c r="A1121" s="76" t="s">
        <v>1257</v>
      </c>
      <c r="B1121" s="76" t="s">
        <v>1698</v>
      </c>
      <c r="C1121" s="76" t="s">
        <v>1714</v>
      </c>
      <c r="D1121" s="76">
        <v>19.0</v>
      </c>
    </row>
    <row r="1122">
      <c r="A1122" s="76" t="s">
        <v>1258</v>
      </c>
      <c r="B1122" s="76" t="s">
        <v>1698</v>
      </c>
      <c r="C1122" s="76" t="s">
        <v>1714</v>
      </c>
      <c r="D1122" s="76">
        <v>64.0</v>
      </c>
    </row>
    <row r="1123">
      <c r="A1123" s="76" t="s">
        <v>1259</v>
      </c>
      <c r="B1123" s="76" t="s">
        <v>1715</v>
      </c>
      <c r="C1123" s="76" t="s">
        <v>1750</v>
      </c>
      <c r="D1123" s="76">
        <v>9000.0</v>
      </c>
    </row>
    <row r="1124">
      <c r="A1124" s="76" t="s">
        <v>1260</v>
      </c>
      <c r="B1124" s="76" t="s">
        <v>1698</v>
      </c>
      <c r="C1124" s="76" t="s">
        <v>1699</v>
      </c>
      <c r="D1124" s="76">
        <v>181.0</v>
      </c>
    </row>
    <row r="1125">
      <c r="A1125" s="76" t="s">
        <v>1261</v>
      </c>
      <c r="B1125" s="76" t="s">
        <v>1698</v>
      </c>
      <c r="C1125" s="76" t="s">
        <v>1714</v>
      </c>
      <c r="D1125" s="76">
        <v>146.0</v>
      </c>
    </row>
    <row r="1126">
      <c r="A1126" s="76" t="s">
        <v>1262</v>
      </c>
      <c r="B1126" s="76" t="s">
        <v>1698</v>
      </c>
      <c r="C1126" s="76" t="s">
        <v>1714</v>
      </c>
      <c r="D1126" s="76">
        <v>149.0</v>
      </c>
    </row>
    <row r="1127">
      <c r="A1127" s="76" t="s">
        <v>1263</v>
      </c>
      <c r="B1127" s="76" t="s">
        <v>1698</v>
      </c>
      <c r="C1127" s="76" t="s">
        <v>1714</v>
      </c>
      <c r="D1127" s="76">
        <v>754.0</v>
      </c>
    </row>
    <row r="1128">
      <c r="A1128" s="76" t="s">
        <v>1264</v>
      </c>
      <c r="B1128" s="76" t="s">
        <v>1698</v>
      </c>
      <c r="C1128" s="76" t="s">
        <v>1714</v>
      </c>
      <c r="D1128" s="76">
        <v>69.0</v>
      </c>
    </row>
    <row r="1129">
      <c r="A1129" s="76" t="s">
        <v>1265</v>
      </c>
    </row>
    <row r="1130">
      <c r="A1130" s="76" t="s">
        <v>1266</v>
      </c>
      <c r="B1130" s="76" t="s">
        <v>1700</v>
      </c>
      <c r="C1130" s="76" t="s">
        <v>1724</v>
      </c>
      <c r="D1130" s="76">
        <v>647.0</v>
      </c>
    </row>
    <row r="1131">
      <c r="A1131" s="76" t="s">
        <v>1267</v>
      </c>
      <c r="B1131" s="76" t="s">
        <v>1708</v>
      </c>
      <c r="C1131" s="76" t="s">
        <v>1773</v>
      </c>
      <c r="D1131" s="76">
        <v>21500.0</v>
      </c>
    </row>
    <row r="1132">
      <c r="A1132" s="76" t="s">
        <v>1268</v>
      </c>
      <c r="B1132" s="76" t="s">
        <v>1702</v>
      </c>
      <c r="C1132" s="76" t="s">
        <v>1721</v>
      </c>
      <c r="D1132" s="76">
        <v>40300.0</v>
      </c>
    </row>
    <row r="1133">
      <c r="A1133" s="76" t="s">
        <v>1269</v>
      </c>
    </row>
    <row r="1134">
      <c r="A1134" s="76" t="s">
        <v>1270</v>
      </c>
      <c r="B1134" s="76" t="s">
        <v>1705</v>
      </c>
      <c r="C1134" s="76" t="s">
        <v>1706</v>
      </c>
      <c r="D1134" s="76">
        <v>229.0</v>
      </c>
    </row>
    <row r="1135">
      <c r="A1135" s="76" t="s">
        <v>1271</v>
      </c>
      <c r="B1135" s="76" t="s">
        <v>1698</v>
      </c>
      <c r="C1135" s="76" t="s">
        <v>1714</v>
      </c>
      <c r="D1135" s="76">
        <v>57.0</v>
      </c>
    </row>
    <row r="1136">
      <c r="A1136" s="76" t="s">
        <v>1272</v>
      </c>
      <c r="B1136" s="76" t="s">
        <v>1708</v>
      </c>
      <c r="C1136" s="76" t="s">
        <v>1737</v>
      </c>
      <c r="D1136" s="76">
        <v>16500.0</v>
      </c>
    </row>
    <row r="1137">
      <c r="A1137" s="76" t="s">
        <v>1273</v>
      </c>
      <c r="B1137" s="76" t="s">
        <v>1705</v>
      </c>
      <c r="C1137" s="76" t="s">
        <v>1706</v>
      </c>
      <c r="D1137" s="76">
        <v>37000.0</v>
      </c>
    </row>
    <row r="1138">
      <c r="A1138" s="76" t="s">
        <v>1274</v>
      </c>
      <c r="B1138" s="76" t="s">
        <v>1698</v>
      </c>
      <c r="C1138" s="76" t="s">
        <v>1699</v>
      </c>
      <c r="D1138" s="76">
        <v>1250.0</v>
      </c>
    </row>
    <row r="1139">
      <c r="A1139" s="76" t="s">
        <v>1275</v>
      </c>
      <c r="B1139" s="76" t="s">
        <v>1698</v>
      </c>
      <c r="C1139" s="76" t="s">
        <v>1699</v>
      </c>
      <c r="D1139" s="76">
        <v>5200.0</v>
      </c>
    </row>
    <row r="1140">
      <c r="A1140" s="76" t="s">
        <v>1276</v>
      </c>
    </row>
    <row r="1141">
      <c r="A1141" s="76" t="s">
        <v>1277</v>
      </c>
      <c r="B1141" s="76" t="s">
        <v>1705</v>
      </c>
      <c r="C1141" s="76" t="s">
        <v>1706</v>
      </c>
      <c r="D1141" s="76">
        <v>7900.0</v>
      </c>
    </row>
    <row r="1142">
      <c r="A1142" s="76" t="s">
        <v>1278</v>
      </c>
      <c r="B1142" s="76" t="s">
        <v>1708</v>
      </c>
      <c r="C1142" s="76" t="s">
        <v>1737</v>
      </c>
      <c r="D1142" s="76">
        <v>6300.0</v>
      </c>
    </row>
    <row r="1143">
      <c r="A1143" s="76" t="s">
        <v>1279</v>
      </c>
      <c r="B1143" s="76" t="s">
        <v>1698</v>
      </c>
      <c r="C1143" s="76" t="s">
        <v>1699</v>
      </c>
      <c r="D1143" s="76">
        <v>420.0</v>
      </c>
    </row>
    <row r="1144">
      <c r="A1144" s="76" t="s">
        <v>1280</v>
      </c>
      <c r="B1144" s="76" t="s">
        <v>1698</v>
      </c>
      <c r="C1144" s="76" t="s">
        <v>1718</v>
      </c>
      <c r="D1144" s="76">
        <v>248.0</v>
      </c>
    </row>
    <row r="1145">
      <c r="A1145" s="76" t="s">
        <v>1281</v>
      </c>
      <c r="B1145" s="76" t="s">
        <v>1705</v>
      </c>
      <c r="C1145" s="76" t="s">
        <v>1706</v>
      </c>
      <c r="D1145" s="76">
        <v>81.0</v>
      </c>
    </row>
    <row r="1146">
      <c r="A1146" s="76" t="s">
        <v>1282</v>
      </c>
      <c r="B1146" s="76" t="s">
        <v>1698</v>
      </c>
      <c r="C1146" s="76" t="s">
        <v>1714</v>
      </c>
      <c r="D1146" s="76">
        <v>248.0</v>
      </c>
    </row>
    <row r="1147">
      <c r="A1147" s="76" t="s">
        <v>1283</v>
      </c>
      <c r="B1147" s="76" t="s">
        <v>1708</v>
      </c>
      <c r="C1147" s="76" t="s">
        <v>1787</v>
      </c>
      <c r="D1147" s="76">
        <v>4402.0</v>
      </c>
    </row>
    <row r="1148">
      <c r="A1148" s="76" t="s">
        <v>1284</v>
      </c>
      <c r="B1148" s="76" t="s">
        <v>1698</v>
      </c>
      <c r="C1148" s="76" t="s">
        <v>1803</v>
      </c>
      <c r="D1148" s="76">
        <v>29840.0</v>
      </c>
    </row>
    <row r="1149">
      <c r="A1149" s="76" t="s">
        <v>1285</v>
      </c>
      <c r="B1149" s="76" t="s">
        <v>1702</v>
      </c>
      <c r="C1149" s="76" t="s">
        <v>1727</v>
      </c>
      <c r="D1149" s="76">
        <v>192.0</v>
      </c>
    </row>
    <row r="1150">
      <c r="A1150" s="76" t="s">
        <v>1286</v>
      </c>
      <c r="B1150" s="76" t="s">
        <v>1698</v>
      </c>
      <c r="C1150" s="76" t="s">
        <v>1714</v>
      </c>
      <c r="D1150" s="76">
        <v>71.0</v>
      </c>
    </row>
    <row r="1151">
      <c r="A1151" s="76" t="s">
        <v>1287</v>
      </c>
      <c r="B1151" s="76" t="s">
        <v>1698</v>
      </c>
      <c r="C1151" s="76" t="s">
        <v>1714</v>
      </c>
      <c r="D1151" s="76">
        <v>740.0</v>
      </c>
    </row>
    <row r="1152">
      <c r="A1152" s="76" t="s">
        <v>1288</v>
      </c>
      <c r="B1152" s="76" t="s">
        <v>1705</v>
      </c>
      <c r="C1152" s="76" t="s">
        <v>1720</v>
      </c>
      <c r="D1152" s="76">
        <v>22.0</v>
      </c>
    </row>
    <row r="1153">
      <c r="A1153" s="76" t="s">
        <v>1289</v>
      </c>
      <c r="B1153" s="76" t="s">
        <v>1702</v>
      </c>
      <c r="C1153" s="76" t="s">
        <v>1704</v>
      </c>
      <c r="D1153" s="76">
        <v>14500.0</v>
      </c>
    </row>
    <row r="1154">
      <c r="A1154" s="76" t="s">
        <v>1290</v>
      </c>
      <c r="B1154" s="76" t="s">
        <v>1698</v>
      </c>
      <c r="C1154" s="76" t="s">
        <v>1714</v>
      </c>
      <c r="D1154" s="76">
        <v>79.0</v>
      </c>
    </row>
    <row r="1155">
      <c r="A1155" s="76" t="s">
        <v>1291</v>
      </c>
      <c r="B1155" s="76" t="s">
        <v>1708</v>
      </c>
      <c r="C1155" s="76" t="s">
        <v>1757</v>
      </c>
      <c r="D1155" s="76">
        <v>1899.0</v>
      </c>
    </row>
    <row r="1156">
      <c r="A1156" s="76" t="s">
        <v>1292</v>
      </c>
      <c r="B1156" s="76" t="s">
        <v>1708</v>
      </c>
      <c r="C1156" s="76" t="s">
        <v>1760</v>
      </c>
      <c r="D1156" s="76">
        <v>85300.0</v>
      </c>
    </row>
    <row r="1157">
      <c r="A1157" s="76" t="s">
        <v>1293</v>
      </c>
      <c r="B1157" s="76" t="s">
        <v>1698</v>
      </c>
      <c r="C1157" s="76" t="s">
        <v>1761</v>
      </c>
      <c r="D1157" s="76">
        <v>19000.0</v>
      </c>
    </row>
    <row r="1158">
      <c r="A1158" s="76" t="s">
        <v>1294</v>
      </c>
      <c r="B1158" s="76" t="s">
        <v>1698</v>
      </c>
      <c r="C1158" s="76" t="s">
        <v>1722</v>
      </c>
      <c r="D1158" s="76">
        <v>155.0</v>
      </c>
    </row>
    <row r="1159">
      <c r="A1159" s="76" t="s">
        <v>1295</v>
      </c>
      <c r="B1159" s="76" t="s">
        <v>1729</v>
      </c>
      <c r="C1159" s="76" t="s">
        <v>1730</v>
      </c>
      <c r="D1159" s="76">
        <v>2988.0</v>
      </c>
    </row>
    <row r="1160">
      <c r="A1160" s="76" t="s">
        <v>1296</v>
      </c>
      <c r="B1160" s="76" t="s">
        <v>1698</v>
      </c>
      <c r="C1160" s="76" t="s">
        <v>1722</v>
      </c>
      <c r="D1160" s="76">
        <v>383.0</v>
      </c>
    </row>
    <row r="1161">
      <c r="A1161" s="76" t="s">
        <v>1297</v>
      </c>
      <c r="B1161" s="76" t="s">
        <v>1698</v>
      </c>
      <c r="C1161" s="76" t="s">
        <v>1722</v>
      </c>
      <c r="D1161" s="76">
        <v>21650.0</v>
      </c>
    </row>
    <row r="1162">
      <c r="A1162" s="76" t="s">
        <v>1298</v>
      </c>
      <c r="B1162" s="76" t="s">
        <v>1705</v>
      </c>
      <c r="C1162" s="76" t="s">
        <v>1795</v>
      </c>
      <c r="D1162" s="76">
        <v>8.0</v>
      </c>
    </row>
    <row r="1163">
      <c r="A1163" s="76" t="s">
        <v>1299</v>
      </c>
      <c r="B1163" s="76" t="s">
        <v>1698</v>
      </c>
      <c r="C1163" s="76" t="s">
        <v>1714</v>
      </c>
      <c r="D1163" s="76">
        <v>8142.0</v>
      </c>
    </row>
    <row r="1164">
      <c r="A1164" s="76" t="s">
        <v>1300</v>
      </c>
      <c r="B1164" s="76" t="s">
        <v>1698</v>
      </c>
      <c r="C1164" s="76" t="s">
        <v>1722</v>
      </c>
      <c r="D1164" s="76">
        <v>213.0</v>
      </c>
    </row>
    <row r="1165">
      <c r="A1165" s="76" t="s">
        <v>1301</v>
      </c>
      <c r="B1165" s="76" t="s">
        <v>1698</v>
      </c>
      <c r="C1165" s="76" t="s">
        <v>1714</v>
      </c>
      <c r="D1165" s="76">
        <v>122.0</v>
      </c>
    </row>
    <row r="1166">
      <c r="A1166" s="76" t="s">
        <v>1302</v>
      </c>
      <c r="B1166" s="76" t="s">
        <v>1698</v>
      </c>
      <c r="C1166" s="76" t="s">
        <v>1714</v>
      </c>
      <c r="D1166" s="76">
        <v>220.0</v>
      </c>
    </row>
    <row r="1167">
      <c r="A1167" s="76" t="s">
        <v>1303</v>
      </c>
      <c r="B1167" s="76" t="s">
        <v>1715</v>
      </c>
      <c r="C1167" s="76" t="s">
        <v>1764</v>
      </c>
      <c r="D1167" s="76">
        <v>7100.0</v>
      </c>
    </row>
    <row r="1168">
      <c r="A1168" s="76" t="s">
        <v>1304</v>
      </c>
      <c r="B1168" s="76" t="s">
        <v>1702</v>
      </c>
      <c r="C1168" s="76" t="s">
        <v>1740</v>
      </c>
      <c r="D1168" s="76">
        <v>8040.0</v>
      </c>
    </row>
    <row r="1169">
      <c r="A1169" s="76" t="s">
        <v>1305</v>
      </c>
      <c r="B1169" s="76" t="s">
        <v>1698</v>
      </c>
      <c r="C1169" s="76" t="s">
        <v>1742</v>
      </c>
      <c r="D1169" s="76">
        <v>761.0</v>
      </c>
    </row>
    <row r="1170">
      <c r="A1170" s="76" t="s">
        <v>1306</v>
      </c>
      <c r="B1170" s="76" t="s">
        <v>1700</v>
      </c>
      <c r="C1170" s="76" t="s">
        <v>1724</v>
      </c>
      <c r="D1170" s="76">
        <v>27.0</v>
      </c>
    </row>
    <row r="1171">
      <c r="A1171" s="76" t="s">
        <v>1307</v>
      </c>
      <c r="B1171" s="76" t="s">
        <v>1698</v>
      </c>
      <c r="C1171" s="76" t="s">
        <v>1714</v>
      </c>
      <c r="D1171" s="76">
        <v>257.0</v>
      </c>
    </row>
    <row r="1172">
      <c r="A1172" s="76" t="s">
        <v>1308</v>
      </c>
      <c r="B1172" s="76" t="s">
        <v>1702</v>
      </c>
      <c r="C1172" s="76" t="s">
        <v>1727</v>
      </c>
      <c r="D1172" s="76">
        <v>1609.0</v>
      </c>
    </row>
    <row r="1173">
      <c r="A1173" s="76" t="s">
        <v>1309</v>
      </c>
      <c r="B1173" s="76" t="s">
        <v>1708</v>
      </c>
      <c r="C1173" s="76" t="s">
        <v>1804</v>
      </c>
      <c r="D1173" s="76">
        <v>9000.0</v>
      </c>
    </row>
    <row r="1174">
      <c r="A1174" s="76" t="s">
        <v>1310</v>
      </c>
      <c r="B1174" s="76" t="s">
        <v>1708</v>
      </c>
      <c r="C1174" s="76" t="s">
        <v>1709</v>
      </c>
      <c r="D1174" s="76">
        <v>4400.0</v>
      </c>
    </row>
    <row r="1175">
      <c r="A1175" s="76" t="s">
        <v>1311</v>
      </c>
    </row>
    <row r="1176">
      <c r="A1176" s="76" t="s">
        <v>1312</v>
      </c>
    </row>
    <row r="1177">
      <c r="A1177" s="76" t="s">
        <v>1313</v>
      </c>
      <c r="B1177" s="76" t="s">
        <v>1698</v>
      </c>
      <c r="C1177" s="76" t="s">
        <v>1714</v>
      </c>
      <c r="D1177" s="76">
        <v>163.0</v>
      </c>
    </row>
    <row r="1178">
      <c r="A1178" s="76" t="s">
        <v>1314</v>
      </c>
      <c r="B1178" s="76" t="s">
        <v>1700</v>
      </c>
      <c r="C1178" s="76" t="s">
        <v>1769</v>
      </c>
      <c r="D1178" s="76">
        <v>46000.0</v>
      </c>
    </row>
    <row r="1179">
      <c r="A1179" s="76" t="s">
        <v>1315</v>
      </c>
    </row>
    <row r="1180">
      <c r="A1180" s="76" t="s">
        <v>1316</v>
      </c>
      <c r="B1180" s="76" t="s">
        <v>1708</v>
      </c>
      <c r="C1180" s="76" t="s">
        <v>1773</v>
      </c>
      <c r="D1180" s="76">
        <v>13700.0</v>
      </c>
    </row>
    <row r="1181">
      <c r="A1181" s="76" t="s">
        <v>1317</v>
      </c>
      <c r="B1181" s="76" t="s">
        <v>1698</v>
      </c>
      <c r="C1181" s="76" t="s">
        <v>1714</v>
      </c>
      <c r="D1181" s="76">
        <v>123.0</v>
      </c>
    </row>
    <row r="1182">
      <c r="A1182" s="76" t="s">
        <v>1318</v>
      </c>
      <c r="B1182" s="76" t="s">
        <v>1702</v>
      </c>
      <c r="C1182" s="76" t="s">
        <v>1743</v>
      </c>
      <c r="D1182" s="76">
        <v>675.0</v>
      </c>
    </row>
    <row r="1183">
      <c r="A1183" s="76" t="s">
        <v>1319</v>
      </c>
      <c r="B1183" s="76" t="s">
        <v>1708</v>
      </c>
      <c r="C1183" s="76" t="s">
        <v>1766</v>
      </c>
      <c r="D1183" s="76">
        <v>285.0</v>
      </c>
    </row>
    <row r="1184">
      <c r="A1184" s="76" t="s">
        <v>1320</v>
      </c>
    </row>
    <row r="1185">
      <c r="A1185" s="76" t="s">
        <v>1321</v>
      </c>
      <c r="B1185" s="76" t="s">
        <v>1705</v>
      </c>
      <c r="C1185" s="76" t="s">
        <v>1706</v>
      </c>
      <c r="D1185" s="76">
        <v>685.0</v>
      </c>
    </row>
    <row r="1186">
      <c r="A1186" s="76" t="s">
        <v>1322</v>
      </c>
      <c r="B1186" s="76" t="s">
        <v>1698</v>
      </c>
      <c r="C1186" s="76" t="s">
        <v>1722</v>
      </c>
      <c r="D1186" s="76">
        <v>299.0</v>
      </c>
    </row>
    <row r="1187">
      <c r="A1187" s="76" t="s">
        <v>1323</v>
      </c>
      <c r="B1187" s="76" t="s">
        <v>1698</v>
      </c>
      <c r="C1187" s="76" t="s">
        <v>1714</v>
      </c>
      <c r="D1187" s="76">
        <v>42.0</v>
      </c>
    </row>
    <row r="1188">
      <c r="A1188" s="76" t="s">
        <v>1324</v>
      </c>
      <c r="B1188" s="76" t="s">
        <v>1702</v>
      </c>
      <c r="C1188" s="76" t="s">
        <v>1707</v>
      </c>
      <c r="D1188" s="76">
        <v>1932.0</v>
      </c>
    </row>
    <row r="1189">
      <c r="A1189" s="76" t="s">
        <v>1325</v>
      </c>
      <c r="B1189" s="76" t="s">
        <v>1702</v>
      </c>
      <c r="C1189" s="76" t="s">
        <v>1738</v>
      </c>
      <c r="D1189" s="76">
        <v>23000.0</v>
      </c>
    </row>
    <row r="1190">
      <c r="A1190" s="76" t="s">
        <v>1326</v>
      </c>
      <c r="B1190" s="76" t="s">
        <v>1702</v>
      </c>
      <c r="C1190" s="76" t="s">
        <v>1738</v>
      </c>
      <c r="D1190" s="76">
        <v>16460.0</v>
      </c>
    </row>
    <row r="1191">
      <c r="A1191" s="76" t="s">
        <v>1327</v>
      </c>
      <c r="B1191" s="76" t="s">
        <v>1708</v>
      </c>
      <c r="C1191" s="76" t="s">
        <v>1725</v>
      </c>
      <c r="D1191" s="76">
        <v>92500.0</v>
      </c>
    </row>
    <row r="1192">
      <c r="A1192" s="76" t="s">
        <v>1328</v>
      </c>
      <c r="B1192" s="76" t="s">
        <v>1700</v>
      </c>
      <c r="C1192" s="76" t="s">
        <v>1728</v>
      </c>
      <c r="D1192" s="76">
        <v>14621.0</v>
      </c>
    </row>
    <row r="1193">
      <c r="A1193" s="76" t="s">
        <v>1329</v>
      </c>
    </row>
    <row r="1194">
      <c r="A1194" s="76" t="s">
        <v>1330</v>
      </c>
      <c r="B1194" s="76" t="s">
        <v>1698</v>
      </c>
      <c r="C1194" s="76" t="s">
        <v>1714</v>
      </c>
      <c r="D1194" s="76">
        <v>69.0</v>
      </c>
    </row>
    <row r="1195">
      <c r="A1195" s="76" t="s">
        <v>1331</v>
      </c>
    </row>
    <row r="1196">
      <c r="A1196" s="76" t="s">
        <v>1332</v>
      </c>
      <c r="B1196" s="76" t="s">
        <v>1708</v>
      </c>
      <c r="C1196" s="76" t="s">
        <v>1753</v>
      </c>
      <c r="D1196" s="76">
        <v>14000.0</v>
      </c>
    </row>
    <row r="1197">
      <c r="A1197" s="76" t="s">
        <v>1333</v>
      </c>
      <c r="B1197" s="76" t="s">
        <v>1702</v>
      </c>
      <c r="C1197" s="76" t="s">
        <v>1734</v>
      </c>
      <c r="D1197" s="76">
        <v>3600.0</v>
      </c>
    </row>
    <row r="1198">
      <c r="A1198" s="76" t="s">
        <v>1334</v>
      </c>
      <c r="B1198" s="76" t="s">
        <v>1700</v>
      </c>
      <c r="C1198" s="76" t="s">
        <v>1768</v>
      </c>
      <c r="D1198" s="76">
        <v>15300.0</v>
      </c>
    </row>
    <row r="1199">
      <c r="A1199" s="76" t="s">
        <v>1335</v>
      </c>
    </row>
    <row r="1200">
      <c r="A1200" s="76" t="s">
        <v>1336</v>
      </c>
      <c r="B1200" s="76" t="s">
        <v>1698</v>
      </c>
      <c r="C1200" s="76" t="s">
        <v>1714</v>
      </c>
      <c r="D1200" s="76">
        <v>221.0</v>
      </c>
    </row>
    <row r="1201">
      <c r="A1201" s="76" t="s">
        <v>1337</v>
      </c>
    </row>
    <row r="1202">
      <c r="A1202" s="76" t="s">
        <v>1338</v>
      </c>
      <c r="B1202" s="76" t="s">
        <v>1698</v>
      </c>
      <c r="C1202" s="76" t="s">
        <v>1714</v>
      </c>
      <c r="D1202" s="76">
        <v>199.0</v>
      </c>
    </row>
    <row r="1203">
      <c r="A1203" s="76" t="s">
        <v>1339</v>
      </c>
    </row>
    <row r="1204">
      <c r="A1204" s="76" t="s">
        <v>1340</v>
      </c>
      <c r="B1204" s="76" t="s">
        <v>1708</v>
      </c>
      <c r="C1204" s="76" t="s">
        <v>1737</v>
      </c>
      <c r="D1204" s="76">
        <v>5740.0</v>
      </c>
    </row>
    <row r="1205">
      <c r="A1205" s="76" t="s">
        <v>1341</v>
      </c>
      <c r="B1205" s="76" t="s">
        <v>1698</v>
      </c>
      <c r="C1205" s="76" t="s">
        <v>1714</v>
      </c>
      <c r="D1205" s="76">
        <v>106.0</v>
      </c>
    </row>
    <row r="1206">
      <c r="A1206" s="76" t="s">
        <v>1342</v>
      </c>
      <c r="B1206" s="76" t="s">
        <v>1698</v>
      </c>
      <c r="C1206" s="76" t="s">
        <v>1714</v>
      </c>
      <c r="D1206" s="76">
        <v>193.0</v>
      </c>
    </row>
    <row r="1207">
      <c r="A1207" s="76" t="s">
        <v>1343</v>
      </c>
    </row>
    <row r="1208">
      <c r="A1208" s="76" t="s">
        <v>1344</v>
      </c>
      <c r="B1208" s="76" t="s">
        <v>1700</v>
      </c>
      <c r="C1208" s="76" t="s">
        <v>1733</v>
      </c>
      <c r="D1208" s="76">
        <v>4000.0</v>
      </c>
    </row>
    <row r="1209">
      <c r="A1209" s="76" t="s">
        <v>1345</v>
      </c>
    </row>
    <row r="1210">
      <c r="A1210" s="76" t="s">
        <v>1346</v>
      </c>
      <c r="B1210" s="76" t="s">
        <v>1698</v>
      </c>
      <c r="C1210" s="76" t="s">
        <v>1714</v>
      </c>
      <c r="D1210" s="76">
        <v>70.0</v>
      </c>
    </row>
    <row r="1211">
      <c r="A1211" s="76" t="s">
        <v>1347</v>
      </c>
    </row>
    <row r="1212">
      <c r="A1212" s="76" t="s">
        <v>1348</v>
      </c>
      <c r="B1212" s="76" t="s">
        <v>1715</v>
      </c>
      <c r="C1212" s="76" t="s">
        <v>1749</v>
      </c>
      <c r="D1212" s="76">
        <v>18000.0</v>
      </c>
    </row>
    <row r="1213">
      <c r="A1213" s="76" t="s">
        <v>1349</v>
      </c>
      <c r="B1213" s="76" t="s">
        <v>1698</v>
      </c>
      <c r="C1213" s="76" t="s">
        <v>1714</v>
      </c>
      <c r="D1213" s="76">
        <v>675.0</v>
      </c>
    </row>
    <row r="1214">
      <c r="A1214" s="76" t="s">
        <v>1350</v>
      </c>
      <c r="B1214" s="76" t="s">
        <v>1708</v>
      </c>
      <c r="C1214" s="76" t="s">
        <v>1717</v>
      </c>
      <c r="D1214" s="76">
        <v>9300.0</v>
      </c>
    </row>
    <row r="1215">
      <c r="A1215" s="76" t="s">
        <v>1351</v>
      </c>
      <c r="B1215" s="76" t="s">
        <v>1702</v>
      </c>
      <c r="C1215" s="76" t="s">
        <v>1734</v>
      </c>
      <c r="D1215" s="76">
        <v>10400.0</v>
      </c>
    </row>
    <row r="1216">
      <c r="A1216" s="76" t="s">
        <v>1352</v>
      </c>
    </row>
    <row r="1217">
      <c r="A1217" s="76" t="s">
        <v>1353</v>
      </c>
      <c r="B1217" s="76" t="s">
        <v>1702</v>
      </c>
      <c r="C1217" s="76" t="s">
        <v>1739</v>
      </c>
      <c r="D1217" s="76">
        <v>7.0</v>
      </c>
    </row>
    <row r="1218">
      <c r="A1218" s="76" t="s">
        <v>1354</v>
      </c>
    </row>
    <row r="1219">
      <c r="A1219" s="76" t="s">
        <v>1355</v>
      </c>
      <c r="B1219" s="76" t="s">
        <v>1702</v>
      </c>
      <c r="C1219" s="76" t="s">
        <v>1703</v>
      </c>
      <c r="D1219" s="76">
        <v>8938.0</v>
      </c>
    </row>
    <row r="1220">
      <c r="A1220" s="76" t="s">
        <v>1356</v>
      </c>
    </row>
    <row r="1221">
      <c r="A1221" s="76" t="s">
        <v>1357</v>
      </c>
      <c r="B1221" s="76" t="s">
        <v>1698</v>
      </c>
      <c r="C1221" s="76" t="s">
        <v>1714</v>
      </c>
      <c r="D1221" s="76">
        <v>71.0</v>
      </c>
    </row>
    <row r="1222">
      <c r="A1222" s="76" t="s">
        <v>1358</v>
      </c>
    </row>
    <row r="1223">
      <c r="A1223" s="76" t="s">
        <v>1359</v>
      </c>
      <c r="B1223" s="76" t="s">
        <v>1702</v>
      </c>
      <c r="C1223" s="76" t="s">
        <v>1739</v>
      </c>
      <c r="D1223" s="76">
        <v>181.0</v>
      </c>
    </row>
    <row r="1224">
      <c r="A1224" s="76" t="s">
        <v>1360</v>
      </c>
      <c r="B1224" s="76" t="s">
        <v>1708</v>
      </c>
      <c r="C1224" s="76" t="s">
        <v>1737</v>
      </c>
      <c r="D1224" s="76">
        <v>346000.0</v>
      </c>
    </row>
    <row r="1225">
      <c r="A1225" s="76" t="s">
        <v>1361</v>
      </c>
      <c r="B1225" s="76" t="s">
        <v>1700</v>
      </c>
      <c r="C1225" s="76" t="s">
        <v>1805</v>
      </c>
      <c r="D1225" s="76">
        <v>14301.0</v>
      </c>
    </row>
    <row r="1226">
      <c r="A1226" s="76" t="s">
        <v>1362</v>
      </c>
      <c r="B1226" s="76" t="s">
        <v>1700</v>
      </c>
      <c r="C1226" s="76" t="s">
        <v>1728</v>
      </c>
      <c r="D1226" s="76">
        <v>2284.0</v>
      </c>
    </row>
    <row r="1227">
      <c r="A1227" s="76" t="s">
        <v>1363</v>
      </c>
      <c r="B1227" s="76" t="s">
        <v>1698</v>
      </c>
      <c r="C1227" s="76" t="s">
        <v>1714</v>
      </c>
      <c r="D1227" s="76">
        <v>15.0</v>
      </c>
    </row>
    <row r="1228">
      <c r="A1228" s="76" t="s">
        <v>1364</v>
      </c>
      <c r="B1228" s="76" t="s">
        <v>1708</v>
      </c>
      <c r="C1228" s="76" t="s">
        <v>1725</v>
      </c>
      <c r="D1228" s="76">
        <v>2200.0</v>
      </c>
    </row>
    <row r="1229">
      <c r="A1229" s="76" t="s">
        <v>1365</v>
      </c>
      <c r="B1229" s="76" t="s">
        <v>1698</v>
      </c>
      <c r="C1229" s="76" t="s">
        <v>1718</v>
      </c>
      <c r="D1229" s="76">
        <v>6300.0</v>
      </c>
    </row>
    <row r="1230">
      <c r="A1230" s="76" t="s">
        <v>1366</v>
      </c>
      <c r="B1230" s="76" t="s">
        <v>1698</v>
      </c>
      <c r="C1230" s="76" t="s">
        <v>1761</v>
      </c>
      <c r="D1230" s="76">
        <v>392.0</v>
      </c>
    </row>
    <row r="1231">
      <c r="A1231" s="76" t="s">
        <v>1367</v>
      </c>
    </row>
    <row r="1232">
      <c r="A1232" s="76" t="s">
        <v>1368</v>
      </c>
      <c r="B1232" s="76" t="s">
        <v>1702</v>
      </c>
      <c r="C1232" s="76" t="s">
        <v>1806</v>
      </c>
      <c r="D1232" s="76">
        <v>13100.0</v>
      </c>
    </row>
    <row r="1233">
      <c r="A1233" s="76" t="s">
        <v>1369</v>
      </c>
      <c r="B1233" s="76" t="s">
        <v>1698</v>
      </c>
      <c r="C1233" s="76" t="s">
        <v>1714</v>
      </c>
      <c r="D1233" s="76">
        <v>39.0</v>
      </c>
    </row>
    <row r="1234">
      <c r="A1234" s="76" t="s">
        <v>1370</v>
      </c>
    </row>
    <row r="1235">
      <c r="A1235" s="76" t="s">
        <v>1371</v>
      </c>
      <c r="B1235" s="76" t="s">
        <v>1702</v>
      </c>
      <c r="C1235" s="76" t="s">
        <v>1739</v>
      </c>
      <c r="D1235" s="76">
        <v>11.0</v>
      </c>
    </row>
    <row r="1236">
      <c r="A1236" s="76" t="s">
        <v>1372</v>
      </c>
      <c r="B1236" s="76" t="s">
        <v>1715</v>
      </c>
      <c r="C1236" s="76" t="s">
        <v>1758</v>
      </c>
      <c r="D1236" s="76">
        <v>30000.0</v>
      </c>
    </row>
    <row r="1237">
      <c r="A1237" s="76" t="s">
        <v>1373</v>
      </c>
      <c r="B1237" s="76" t="s">
        <v>1698</v>
      </c>
      <c r="C1237" s="76" t="s">
        <v>1714</v>
      </c>
      <c r="D1237" s="76">
        <v>1605.0</v>
      </c>
    </row>
    <row r="1238">
      <c r="A1238" s="76" t="s">
        <v>1374</v>
      </c>
      <c r="B1238" s="76" t="s">
        <v>1698</v>
      </c>
      <c r="C1238" s="76" t="s">
        <v>1714</v>
      </c>
      <c r="D1238" s="76">
        <v>354.0</v>
      </c>
    </row>
    <row r="1239">
      <c r="A1239" s="76" t="s">
        <v>1375</v>
      </c>
      <c r="B1239" s="76" t="s">
        <v>1708</v>
      </c>
      <c r="C1239" s="76" t="s">
        <v>1737</v>
      </c>
      <c r="D1239" s="76">
        <v>7603.0</v>
      </c>
    </row>
    <row r="1240">
      <c r="A1240" s="76" t="s">
        <v>1376</v>
      </c>
      <c r="B1240" s="76" t="s">
        <v>1708</v>
      </c>
      <c r="C1240" s="76" t="s">
        <v>1757</v>
      </c>
      <c r="D1240" s="76">
        <v>2500.0</v>
      </c>
    </row>
    <row r="1241">
      <c r="A1241" s="76" t="s">
        <v>1377</v>
      </c>
      <c r="B1241" s="76" t="s">
        <v>1700</v>
      </c>
      <c r="C1241" s="76" t="s">
        <v>1728</v>
      </c>
      <c r="D1241" s="76">
        <v>61111.0</v>
      </c>
    </row>
    <row r="1242">
      <c r="A1242" s="76" t="s">
        <v>1378</v>
      </c>
      <c r="B1242" s="76" t="s">
        <v>1700</v>
      </c>
      <c r="C1242" s="76" t="s">
        <v>1768</v>
      </c>
      <c r="D1242" s="76">
        <v>24869.0</v>
      </c>
    </row>
    <row r="1243">
      <c r="A1243" s="76" t="s">
        <v>1379</v>
      </c>
      <c r="B1243" s="76" t="s">
        <v>1702</v>
      </c>
      <c r="C1243" s="76" t="s">
        <v>1738</v>
      </c>
      <c r="D1243" s="76">
        <v>293000.0</v>
      </c>
    </row>
    <row r="1244">
      <c r="A1244" s="76" t="s">
        <v>1380</v>
      </c>
      <c r="B1244" s="76" t="s">
        <v>1708</v>
      </c>
      <c r="C1244" s="76" t="s">
        <v>1748</v>
      </c>
      <c r="D1244" s="76">
        <v>26126.0</v>
      </c>
    </row>
    <row r="1245">
      <c r="A1245" s="76" t="s">
        <v>1381</v>
      </c>
    </row>
    <row r="1246">
      <c r="A1246" s="76" t="s">
        <v>1382</v>
      </c>
    </row>
    <row r="1247">
      <c r="A1247" s="76" t="s">
        <v>1383</v>
      </c>
      <c r="B1247" s="76" t="s">
        <v>1698</v>
      </c>
      <c r="C1247" s="76" t="s">
        <v>1718</v>
      </c>
      <c r="D1247" s="76">
        <v>224.0</v>
      </c>
    </row>
    <row r="1248">
      <c r="A1248" s="76" t="s">
        <v>1384</v>
      </c>
      <c r="B1248" s="76" t="s">
        <v>1700</v>
      </c>
      <c r="C1248" s="76" t="s">
        <v>1768</v>
      </c>
      <c r="D1248" s="76">
        <v>4126.0</v>
      </c>
    </row>
    <row r="1249">
      <c r="A1249" s="76" t="s">
        <v>1385</v>
      </c>
      <c r="B1249" s="76" t="s">
        <v>1705</v>
      </c>
      <c r="C1249" s="76" t="s">
        <v>1706</v>
      </c>
      <c r="D1249" s="76">
        <v>1237.0</v>
      </c>
    </row>
    <row r="1250">
      <c r="A1250" s="76" t="s">
        <v>1386</v>
      </c>
    </row>
    <row r="1251">
      <c r="A1251" s="76" t="s">
        <v>1387</v>
      </c>
    </row>
    <row r="1252">
      <c r="A1252" s="76" t="s">
        <v>1388</v>
      </c>
    </row>
    <row r="1253">
      <c r="A1253" s="76" t="s">
        <v>1389</v>
      </c>
    </row>
    <row r="1254">
      <c r="A1254" s="76" t="s">
        <v>1390</v>
      </c>
      <c r="B1254" s="76" t="s">
        <v>1702</v>
      </c>
      <c r="C1254" s="76" t="s">
        <v>1703</v>
      </c>
      <c r="D1254" s="76">
        <v>14000.0</v>
      </c>
    </row>
    <row r="1255">
      <c r="A1255" s="76" t="s">
        <v>1391</v>
      </c>
      <c r="B1255" s="76" t="s">
        <v>1705</v>
      </c>
      <c r="C1255" s="76" t="s">
        <v>1706</v>
      </c>
      <c r="D1255" s="76">
        <v>1545.0</v>
      </c>
    </row>
    <row r="1256">
      <c r="A1256" s="76" t="s">
        <v>1392</v>
      </c>
      <c r="B1256" s="76" t="s">
        <v>1735</v>
      </c>
      <c r="C1256" s="76" t="s">
        <v>1767</v>
      </c>
      <c r="D1256" s="76">
        <v>2177.0</v>
      </c>
    </row>
    <row r="1257">
      <c r="A1257" s="76" t="s">
        <v>1393</v>
      </c>
      <c r="B1257" s="76" t="s">
        <v>1698</v>
      </c>
      <c r="C1257" s="76" t="s">
        <v>1722</v>
      </c>
      <c r="D1257" s="76">
        <v>121.0</v>
      </c>
    </row>
    <row r="1258">
      <c r="A1258" s="76" t="s">
        <v>1394</v>
      </c>
      <c r="B1258" s="76" t="s">
        <v>1698</v>
      </c>
      <c r="C1258" s="76" t="s">
        <v>1714</v>
      </c>
      <c r="D1258" s="76">
        <v>61.0</v>
      </c>
    </row>
    <row r="1259">
      <c r="A1259" s="76" t="s">
        <v>1395</v>
      </c>
    </row>
    <row r="1260">
      <c r="A1260" s="76" t="s">
        <v>1396</v>
      </c>
      <c r="B1260" s="76" t="s">
        <v>1700</v>
      </c>
      <c r="C1260" s="76" t="s">
        <v>1762</v>
      </c>
      <c r="D1260" s="76">
        <v>6000.0</v>
      </c>
    </row>
    <row r="1261">
      <c r="A1261" s="76" t="s">
        <v>1397</v>
      </c>
    </row>
    <row r="1262">
      <c r="A1262" s="76" t="s">
        <v>1398</v>
      </c>
      <c r="B1262" s="76" t="s">
        <v>1705</v>
      </c>
      <c r="C1262" s="76" t="s">
        <v>1706</v>
      </c>
      <c r="D1262" s="76">
        <v>1388.0</v>
      </c>
    </row>
    <row r="1263">
      <c r="A1263" s="76" t="s">
        <v>1399</v>
      </c>
      <c r="B1263" s="76" t="s">
        <v>1708</v>
      </c>
      <c r="C1263" s="76" t="s">
        <v>1731</v>
      </c>
      <c r="D1263" s="76">
        <v>4395.0</v>
      </c>
    </row>
    <row r="1264">
      <c r="A1264" s="76" t="s">
        <v>1400</v>
      </c>
      <c r="B1264" s="76" t="s">
        <v>1735</v>
      </c>
      <c r="C1264" s="76" t="s">
        <v>1767</v>
      </c>
      <c r="D1264" s="76">
        <v>285.0</v>
      </c>
    </row>
    <row r="1265">
      <c r="A1265" s="76" t="s">
        <v>1401</v>
      </c>
      <c r="B1265" s="76" t="s">
        <v>1702</v>
      </c>
      <c r="C1265" s="76" t="s">
        <v>1734</v>
      </c>
      <c r="D1265" s="76">
        <v>15650.0</v>
      </c>
    </row>
    <row r="1266">
      <c r="A1266" s="76" t="s">
        <v>1402</v>
      </c>
      <c r="B1266" s="76" t="s">
        <v>1698</v>
      </c>
      <c r="C1266" s="76" t="s">
        <v>1714</v>
      </c>
      <c r="D1266" s="76">
        <v>35.0</v>
      </c>
    </row>
    <row r="1267">
      <c r="A1267" s="76" t="s">
        <v>1403</v>
      </c>
      <c r="B1267" s="76" t="s">
        <v>1705</v>
      </c>
      <c r="C1267" s="76" t="s">
        <v>1793</v>
      </c>
      <c r="D1267" s="76">
        <v>111700.0</v>
      </c>
    </row>
    <row r="1268">
      <c r="A1268" s="76" t="s">
        <v>1404</v>
      </c>
    </row>
    <row r="1269">
      <c r="A1269" s="76" t="s">
        <v>1405</v>
      </c>
      <c r="B1269" s="76" t="s">
        <v>1698</v>
      </c>
      <c r="C1269" s="76" t="s">
        <v>1718</v>
      </c>
      <c r="D1269" s="76">
        <v>17500.0</v>
      </c>
    </row>
    <row r="1270">
      <c r="A1270" s="76" t="s">
        <v>1406</v>
      </c>
      <c r="B1270" s="76" t="s">
        <v>1705</v>
      </c>
      <c r="C1270" s="76" t="s">
        <v>1807</v>
      </c>
      <c r="D1270" s="76">
        <v>13896.0</v>
      </c>
    </row>
    <row r="1271">
      <c r="A1271" s="76" t="s">
        <v>1407</v>
      </c>
    </row>
    <row r="1272">
      <c r="A1272" s="76" t="s">
        <v>1408</v>
      </c>
    </row>
    <row r="1273">
      <c r="A1273" s="76" t="s">
        <v>1409</v>
      </c>
      <c r="B1273" s="76" t="s">
        <v>1705</v>
      </c>
      <c r="C1273" s="76" t="s">
        <v>1777</v>
      </c>
      <c r="D1273" s="76">
        <v>159.0</v>
      </c>
    </row>
    <row r="1274">
      <c r="A1274" s="76" t="s">
        <v>1410</v>
      </c>
    </row>
    <row r="1275">
      <c r="A1275" s="76" t="s">
        <v>1411</v>
      </c>
      <c r="B1275" s="76" t="s">
        <v>1715</v>
      </c>
      <c r="C1275" s="76" t="s">
        <v>1764</v>
      </c>
      <c r="D1275" s="76">
        <v>13000.0</v>
      </c>
    </row>
    <row r="1276">
      <c r="A1276" s="76" t="s">
        <v>1412</v>
      </c>
      <c r="B1276" s="76" t="s">
        <v>1702</v>
      </c>
      <c r="C1276" s="76" t="s">
        <v>1798</v>
      </c>
      <c r="D1276" s="76">
        <v>165.0</v>
      </c>
    </row>
    <row r="1277">
      <c r="A1277" s="76" t="s">
        <v>1413</v>
      </c>
      <c r="B1277" s="76" t="s">
        <v>1698</v>
      </c>
      <c r="C1277" s="76" t="s">
        <v>1714</v>
      </c>
      <c r="D1277" s="76">
        <v>146.0</v>
      </c>
    </row>
    <row r="1278">
      <c r="A1278" s="76" t="s">
        <v>1414</v>
      </c>
      <c r="B1278" s="76" t="s">
        <v>1702</v>
      </c>
      <c r="C1278" s="76" t="s">
        <v>1727</v>
      </c>
      <c r="D1278" s="76">
        <v>18200.0</v>
      </c>
    </row>
    <row r="1279">
      <c r="A1279" s="76" t="s">
        <v>1415</v>
      </c>
      <c r="B1279" s="76" t="s">
        <v>1698</v>
      </c>
      <c r="C1279" s="76" t="s">
        <v>1714</v>
      </c>
      <c r="D1279" s="76">
        <v>57.0</v>
      </c>
    </row>
    <row r="1280">
      <c r="A1280" s="76" t="s">
        <v>1416</v>
      </c>
      <c r="B1280" s="76" t="s">
        <v>1715</v>
      </c>
      <c r="C1280" s="76" t="s">
        <v>1732</v>
      </c>
      <c r="D1280" s="76">
        <v>10400.0</v>
      </c>
    </row>
    <row r="1281">
      <c r="A1281" s="76" t="s">
        <v>1417</v>
      </c>
      <c r="B1281" s="76" t="s">
        <v>1708</v>
      </c>
      <c r="C1281" s="76" t="s">
        <v>1747</v>
      </c>
      <c r="D1281" s="76">
        <v>2350.0</v>
      </c>
    </row>
    <row r="1282">
      <c r="A1282" s="76" t="s">
        <v>1418</v>
      </c>
      <c r="B1282" s="76" t="s">
        <v>1705</v>
      </c>
      <c r="C1282" s="76" t="s">
        <v>1777</v>
      </c>
      <c r="D1282" s="76">
        <v>8400.0</v>
      </c>
    </row>
    <row r="1283">
      <c r="A1283" s="76" t="s">
        <v>1419</v>
      </c>
      <c r="B1283" s="76" t="s">
        <v>1700</v>
      </c>
      <c r="C1283" s="76" t="s">
        <v>1733</v>
      </c>
      <c r="D1283" s="76">
        <v>5837.0</v>
      </c>
    </row>
    <row r="1284">
      <c r="A1284" s="76" t="s">
        <v>1420</v>
      </c>
      <c r="B1284" s="76" t="s">
        <v>1705</v>
      </c>
      <c r="C1284" s="76" t="s">
        <v>1706</v>
      </c>
      <c r="D1284" s="76">
        <v>208.0</v>
      </c>
    </row>
    <row r="1285">
      <c r="A1285" s="76" t="s">
        <v>1421</v>
      </c>
      <c r="B1285" s="76" t="s">
        <v>1698</v>
      </c>
      <c r="C1285" s="76" t="s">
        <v>1714</v>
      </c>
      <c r="D1285" s="76">
        <v>310.0</v>
      </c>
    </row>
    <row r="1286">
      <c r="A1286" s="76" t="s">
        <v>1422</v>
      </c>
      <c r="B1286" s="76" t="s">
        <v>1698</v>
      </c>
      <c r="C1286" s="76" t="s">
        <v>1714</v>
      </c>
      <c r="D1286" s="76">
        <v>743.0</v>
      </c>
    </row>
    <row r="1287">
      <c r="A1287" s="76" t="s">
        <v>1423</v>
      </c>
    </row>
    <row r="1288">
      <c r="A1288" s="76" t="s">
        <v>1424</v>
      </c>
      <c r="B1288" s="76" t="s">
        <v>1698</v>
      </c>
      <c r="C1288" s="76" t="s">
        <v>1714</v>
      </c>
      <c r="D1288" s="76">
        <v>93.0</v>
      </c>
    </row>
    <row r="1289">
      <c r="A1289" s="76" t="s">
        <v>1425</v>
      </c>
      <c r="B1289" s="76" t="s">
        <v>1702</v>
      </c>
      <c r="C1289" s="76" t="s">
        <v>1707</v>
      </c>
      <c r="D1289" s="76">
        <v>3337.0</v>
      </c>
    </row>
    <row r="1290">
      <c r="A1290" s="76" t="s">
        <v>1426</v>
      </c>
    </row>
    <row r="1291">
      <c r="A1291" s="76" t="s">
        <v>1427</v>
      </c>
    </row>
    <row r="1292">
      <c r="A1292" s="76" t="s">
        <v>1428</v>
      </c>
    </row>
    <row r="1293">
      <c r="A1293" s="76" t="s">
        <v>1429</v>
      </c>
      <c r="B1293" s="76" t="s">
        <v>1708</v>
      </c>
      <c r="C1293" s="76" t="s">
        <v>1766</v>
      </c>
      <c r="D1293" s="76">
        <v>3500.0</v>
      </c>
    </row>
    <row r="1294">
      <c r="A1294" s="76" t="s">
        <v>1430</v>
      </c>
      <c r="B1294" s="76" t="s">
        <v>1715</v>
      </c>
      <c r="C1294" s="76" t="s">
        <v>1749</v>
      </c>
      <c r="D1294" s="76">
        <v>1900.0</v>
      </c>
    </row>
    <row r="1295">
      <c r="A1295" s="76" t="s">
        <v>1431</v>
      </c>
    </row>
    <row r="1296">
      <c r="A1296" s="76" t="s">
        <v>1432</v>
      </c>
      <c r="B1296" s="76" t="s">
        <v>1705</v>
      </c>
      <c r="C1296" s="76" t="s">
        <v>1706</v>
      </c>
      <c r="D1296" s="76">
        <v>45554.0</v>
      </c>
    </row>
    <row r="1297">
      <c r="A1297" s="76" t="s">
        <v>1433</v>
      </c>
      <c r="B1297" s="76" t="s">
        <v>1702</v>
      </c>
      <c r="C1297" s="76" t="s">
        <v>1721</v>
      </c>
      <c r="D1297" s="76">
        <v>22000.0</v>
      </c>
    </row>
    <row r="1298">
      <c r="A1298" s="76" t="s">
        <v>1434</v>
      </c>
      <c r="B1298" s="76" t="s">
        <v>1735</v>
      </c>
      <c r="C1298" s="76" t="s">
        <v>1781</v>
      </c>
      <c r="D1298" s="76">
        <v>22.0</v>
      </c>
    </row>
    <row r="1299">
      <c r="A1299" s="76" t="s">
        <v>1435</v>
      </c>
      <c r="B1299" s="76" t="s">
        <v>1698</v>
      </c>
      <c r="C1299" s="76" t="s">
        <v>1714</v>
      </c>
      <c r="D1299" s="76">
        <v>56.0</v>
      </c>
    </row>
    <row r="1300">
      <c r="A1300" s="76" t="s">
        <v>1436</v>
      </c>
      <c r="B1300" s="76" t="s">
        <v>1702</v>
      </c>
      <c r="C1300" s="76" t="s">
        <v>1721</v>
      </c>
      <c r="D1300" s="76">
        <v>2800.0</v>
      </c>
    </row>
    <row r="1301">
      <c r="A1301" s="76" t="s">
        <v>1437</v>
      </c>
      <c r="B1301" s="76" t="s">
        <v>1698</v>
      </c>
      <c r="C1301" s="76" t="s">
        <v>1714</v>
      </c>
      <c r="D1301" s="76">
        <v>177.0</v>
      </c>
    </row>
    <row r="1302">
      <c r="A1302" s="76" t="s">
        <v>1438</v>
      </c>
      <c r="B1302" s="76" t="s">
        <v>1698</v>
      </c>
      <c r="C1302" s="76" t="s">
        <v>1714</v>
      </c>
      <c r="D1302" s="76">
        <v>20.0</v>
      </c>
    </row>
    <row r="1303">
      <c r="A1303" s="76" t="s">
        <v>1439</v>
      </c>
      <c r="B1303" s="76" t="s">
        <v>1715</v>
      </c>
      <c r="C1303" s="76" t="s">
        <v>1780</v>
      </c>
      <c r="D1303" s="76">
        <v>9000.0</v>
      </c>
    </row>
    <row r="1304">
      <c r="A1304" s="76" t="s">
        <v>1440</v>
      </c>
      <c r="B1304" s="76" t="s">
        <v>1700</v>
      </c>
      <c r="C1304" s="76" t="s">
        <v>1774</v>
      </c>
      <c r="D1304" s="76">
        <v>6000.0</v>
      </c>
    </row>
    <row r="1305">
      <c r="A1305" s="76" t="s">
        <v>1441</v>
      </c>
      <c r="B1305" s="76" t="s">
        <v>1698</v>
      </c>
      <c r="C1305" s="76" t="s">
        <v>1722</v>
      </c>
      <c r="D1305" s="76">
        <v>464.0</v>
      </c>
    </row>
    <row r="1306">
      <c r="A1306" s="76" t="s">
        <v>1442</v>
      </c>
      <c r="B1306" s="76" t="s">
        <v>1698</v>
      </c>
      <c r="C1306" s="76" t="s">
        <v>1714</v>
      </c>
      <c r="D1306" s="76">
        <v>49.0</v>
      </c>
    </row>
    <row r="1307">
      <c r="A1307" s="76" t="s">
        <v>1443</v>
      </c>
      <c r="B1307" s="76" t="s">
        <v>1698</v>
      </c>
      <c r="C1307" s="76" t="s">
        <v>1714</v>
      </c>
      <c r="D1307" s="76">
        <v>46.0</v>
      </c>
    </row>
    <row r="1308">
      <c r="A1308" s="76" t="s">
        <v>1444</v>
      </c>
    </row>
    <row r="1309">
      <c r="A1309" s="76" t="s">
        <v>1445</v>
      </c>
      <c r="B1309" s="76" t="s">
        <v>1705</v>
      </c>
      <c r="C1309" s="76" t="s">
        <v>1706</v>
      </c>
      <c r="D1309" s="76">
        <v>9000.0</v>
      </c>
    </row>
    <row r="1310">
      <c r="A1310" s="76" t="s">
        <v>1446</v>
      </c>
      <c r="B1310" s="76" t="s">
        <v>1698</v>
      </c>
      <c r="C1310" s="76" t="s">
        <v>1714</v>
      </c>
      <c r="D1310" s="76">
        <v>66.0</v>
      </c>
    </row>
    <row r="1311">
      <c r="A1311" s="76" t="s">
        <v>1447</v>
      </c>
      <c r="B1311" s="76" t="s">
        <v>1700</v>
      </c>
      <c r="C1311" s="76" t="s">
        <v>1808</v>
      </c>
      <c r="D1311" s="76">
        <v>1171.0</v>
      </c>
    </row>
    <row r="1312">
      <c r="A1312" s="76" t="s">
        <v>1448</v>
      </c>
    </row>
    <row r="1313">
      <c r="A1313" s="76" t="s">
        <v>1449</v>
      </c>
      <c r="B1313" s="76" t="s">
        <v>1698</v>
      </c>
      <c r="C1313" s="76" t="s">
        <v>1718</v>
      </c>
      <c r="D1313" s="76">
        <v>40000.0</v>
      </c>
    </row>
    <row r="1314">
      <c r="A1314" s="76" t="s">
        <v>1450</v>
      </c>
      <c r="B1314" s="76" t="s">
        <v>1698</v>
      </c>
      <c r="C1314" s="76" t="s">
        <v>1699</v>
      </c>
      <c r="D1314" s="76">
        <v>24000.0</v>
      </c>
    </row>
    <row r="1315">
      <c r="A1315" s="76" t="s">
        <v>1451</v>
      </c>
      <c r="B1315" s="76" t="s">
        <v>1708</v>
      </c>
      <c r="C1315" s="76" t="s">
        <v>1778</v>
      </c>
      <c r="D1315" s="76">
        <v>630.0</v>
      </c>
    </row>
    <row r="1316">
      <c r="A1316" s="76" t="s">
        <v>1452</v>
      </c>
    </row>
    <row r="1317">
      <c r="A1317" s="76" t="s">
        <v>1453</v>
      </c>
      <c r="B1317" s="76" t="s">
        <v>1715</v>
      </c>
      <c r="C1317" s="76" t="s">
        <v>1732</v>
      </c>
      <c r="D1317" s="76">
        <v>57000.0</v>
      </c>
    </row>
    <row r="1318">
      <c r="A1318" s="76" t="s">
        <v>1454</v>
      </c>
      <c r="B1318" s="76" t="s">
        <v>1708</v>
      </c>
      <c r="C1318" s="76" t="s">
        <v>1709</v>
      </c>
      <c r="D1318" s="76">
        <v>15279.0</v>
      </c>
    </row>
    <row r="1319">
      <c r="A1319" s="76" t="s">
        <v>1455</v>
      </c>
      <c r="B1319" s="76" t="s">
        <v>1708</v>
      </c>
      <c r="C1319" s="76" t="s">
        <v>1737</v>
      </c>
      <c r="D1319" s="76">
        <v>7844.0</v>
      </c>
    </row>
    <row r="1320">
      <c r="A1320" s="76" t="s">
        <v>1456</v>
      </c>
      <c r="B1320" s="76" t="s">
        <v>1715</v>
      </c>
      <c r="C1320" s="76" t="s">
        <v>1716</v>
      </c>
      <c r="D1320" s="76">
        <v>17700.0</v>
      </c>
    </row>
    <row r="1321">
      <c r="A1321" s="76" t="s">
        <v>1457</v>
      </c>
      <c r="B1321" s="76" t="s">
        <v>1698</v>
      </c>
      <c r="C1321" s="76" t="s">
        <v>1722</v>
      </c>
      <c r="D1321" s="76">
        <v>1464.0</v>
      </c>
    </row>
    <row r="1322">
      <c r="A1322" s="76" t="s">
        <v>1458</v>
      </c>
      <c r="B1322" s="76" t="s">
        <v>1708</v>
      </c>
      <c r="C1322" s="76" t="s">
        <v>1737</v>
      </c>
      <c r="D1322" s="76">
        <v>31500.0</v>
      </c>
    </row>
    <row r="1323">
      <c r="A1323" s="76" t="s">
        <v>1459</v>
      </c>
      <c r="B1323" s="76" t="s">
        <v>1702</v>
      </c>
      <c r="C1323" s="76" t="s">
        <v>1727</v>
      </c>
      <c r="D1323" s="76">
        <v>599.0</v>
      </c>
    </row>
    <row r="1324">
      <c r="A1324" s="76" t="s">
        <v>1460</v>
      </c>
      <c r="B1324" s="76" t="s">
        <v>1698</v>
      </c>
      <c r="C1324" s="76" t="s">
        <v>1714</v>
      </c>
      <c r="D1324" s="76">
        <v>93.0</v>
      </c>
    </row>
    <row r="1325">
      <c r="A1325" s="76" t="s">
        <v>1461</v>
      </c>
      <c r="B1325" s="76" t="s">
        <v>1698</v>
      </c>
      <c r="C1325" s="76" t="s">
        <v>1714</v>
      </c>
      <c r="D1325" s="76">
        <v>316.0</v>
      </c>
    </row>
    <row r="1326">
      <c r="A1326" s="76" t="s">
        <v>1462</v>
      </c>
      <c r="B1326" s="76" t="s">
        <v>1698</v>
      </c>
      <c r="C1326" s="76" t="s">
        <v>1722</v>
      </c>
      <c r="D1326" s="76">
        <v>195.0</v>
      </c>
    </row>
    <row r="1327">
      <c r="A1327" s="76" t="s">
        <v>1463</v>
      </c>
    </row>
    <row r="1328">
      <c r="A1328" s="76" t="s">
        <v>1464</v>
      </c>
      <c r="B1328" s="76" t="s">
        <v>1708</v>
      </c>
      <c r="C1328" s="76" t="s">
        <v>1709</v>
      </c>
      <c r="D1328" s="76">
        <v>3500.0</v>
      </c>
    </row>
    <row r="1329">
      <c r="A1329" s="76" t="s">
        <v>1465</v>
      </c>
    </row>
    <row r="1330">
      <c r="A1330" s="76" t="s">
        <v>1466</v>
      </c>
      <c r="B1330" s="76" t="s">
        <v>1698</v>
      </c>
      <c r="C1330" s="76" t="s">
        <v>1761</v>
      </c>
      <c r="D1330" s="76">
        <v>2727.0</v>
      </c>
    </row>
    <row r="1331">
      <c r="A1331" s="76" t="s">
        <v>1467</v>
      </c>
    </row>
    <row r="1332">
      <c r="A1332" s="76" t="s">
        <v>1468</v>
      </c>
      <c r="B1332" s="76" t="s">
        <v>1698</v>
      </c>
      <c r="C1332" s="76" t="s">
        <v>1714</v>
      </c>
      <c r="D1332" s="76">
        <v>2300.0</v>
      </c>
    </row>
    <row r="1333">
      <c r="A1333" s="76" t="s">
        <v>1469</v>
      </c>
      <c r="B1333" s="76" t="s">
        <v>1700</v>
      </c>
      <c r="C1333" s="76" t="s">
        <v>1769</v>
      </c>
      <c r="D1333" s="76">
        <v>10100.0</v>
      </c>
    </row>
    <row r="1334">
      <c r="A1334" s="76" t="s">
        <v>1470</v>
      </c>
      <c r="B1334" s="76" t="s">
        <v>1698</v>
      </c>
      <c r="C1334" s="76" t="s">
        <v>1718</v>
      </c>
      <c r="D1334" s="76">
        <v>89.0</v>
      </c>
    </row>
    <row r="1335">
      <c r="A1335" s="76" t="s">
        <v>1471</v>
      </c>
      <c r="B1335" s="76" t="s">
        <v>1705</v>
      </c>
      <c r="C1335" s="76" t="s">
        <v>1720</v>
      </c>
      <c r="D1335" s="76">
        <v>5500.0</v>
      </c>
    </row>
    <row r="1336">
      <c r="A1336" s="76" t="s">
        <v>1472</v>
      </c>
      <c r="B1336" s="76" t="s">
        <v>1698</v>
      </c>
      <c r="C1336" s="76" t="s">
        <v>1722</v>
      </c>
      <c r="D1336" s="76">
        <v>40039.0</v>
      </c>
    </row>
    <row r="1337">
      <c r="A1337" s="76" t="s">
        <v>1473</v>
      </c>
      <c r="B1337" s="76" t="s">
        <v>1702</v>
      </c>
      <c r="C1337" s="76" t="s">
        <v>1740</v>
      </c>
      <c r="D1337" s="76">
        <v>9500.0</v>
      </c>
    </row>
    <row r="1338">
      <c r="A1338" s="76" t="s">
        <v>1474</v>
      </c>
    </row>
    <row r="1339">
      <c r="A1339" s="76" t="s">
        <v>1475</v>
      </c>
      <c r="B1339" s="76" t="s">
        <v>1702</v>
      </c>
      <c r="C1339" s="76" t="s">
        <v>1704</v>
      </c>
      <c r="D1339" s="76">
        <v>170.0</v>
      </c>
    </row>
    <row r="1340">
      <c r="A1340" s="76" t="s">
        <v>1476</v>
      </c>
      <c r="B1340" s="76" t="s">
        <v>1702</v>
      </c>
      <c r="C1340" s="76" t="s">
        <v>1727</v>
      </c>
      <c r="D1340" s="76">
        <v>9989.0</v>
      </c>
    </row>
    <row r="1341">
      <c r="A1341" s="76" t="s">
        <v>1477</v>
      </c>
      <c r="B1341" s="76" t="s">
        <v>1702</v>
      </c>
      <c r="C1341" s="76" t="s">
        <v>1707</v>
      </c>
      <c r="D1341" s="76">
        <v>5528.0</v>
      </c>
    </row>
    <row r="1342">
      <c r="A1342" s="76" t="s">
        <v>1478</v>
      </c>
      <c r="B1342" s="76" t="s">
        <v>1735</v>
      </c>
      <c r="C1342" s="76" t="s">
        <v>1781</v>
      </c>
      <c r="D1342" s="76">
        <v>2009.0</v>
      </c>
    </row>
    <row r="1343">
      <c r="A1343" s="76" t="s">
        <v>1479</v>
      </c>
      <c r="B1343" s="76" t="s">
        <v>1715</v>
      </c>
      <c r="C1343" s="76" t="s">
        <v>1750</v>
      </c>
      <c r="D1343" s="76">
        <v>368000.0</v>
      </c>
    </row>
    <row r="1344">
      <c r="A1344" s="76" t="s">
        <v>1480</v>
      </c>
      <c r="B1344" s="76" t="s">
        <v>1698</v>
      </c>
      <c r="C1344" s="76" t="s">
        <v>1714</v>
      </c>
      <c r="D1344" s="76">
        <v>176.0</v>
      </c>
    </row>
    <row r="1345">
      <c r="A1345" s="76" t="s">
        <v>1481</v>
      </c>
      <c r="B1345" s="76" t="s">
        <v>1698</v>
      </c>
      <c r="C1345" s="76" t="s">
        <v>1719</v>
      </c>
      <c r="D1345" s="76">
        <v>88608.0</v>
      </c>
    </row>
    <row r="1346">
      <c r="A1346" s="76" t="s">
        <v>1482</v>
      </c>
      <c r="B1346" s="76" t="s">
        <v>1708</v>
      </c>
      <c r="C1346" s="76" t="s">
        <v>1779</v>
      </c>
      <c r="D1346" s="76">
        <v>21750.0</v>
      </c>
    </row>
    <row r="1347">
      <c r="A1347" s="76" t="s">
        <v>1483</v>
      </c>
      <c r="B1347" s="76" t="s">
        <v>1715</v>
      </c>
      <c r="C1347" s="76" t="s">
        <v>1749</v>
      </c>
      <c r="D1347" s="76">
        <v>10800.0</v>
      </c>
    </row>
    <row r="1348">
      <c r="A1348" s="76" t="s">
        <v>1484</v>
      </c>
      <c r="B1348" s="76" t="s">
        <v>1708</v>
      </c>
      <c r="C1348" s="76" t="s">
        <v>1748</v>
      </c>
      <c r="D1348" s="76">
        <v>14100.0</v>
      </c>
    </row>
    <row r="1349">
      <c r="A1349" s="76" t="s">
        <v>1485</v>
      </c>
      <c r="B1349" s="76" t="s">
        <v>1708</v>
      </c>
      <c r="C1349" s="76" t="s">
        <v>1731</v>
      </c>
      <c r="D1349" s="76">
        <v>4110.0</v>
      </c>
    </row>
    <row r="1350">
      <c r="A1350" s="76" t="s">
        <v>1486</v>
      </c>
      <c r="B1350" s="76" t="s">
        <v>1702</v>
      </c>
      <c r="C1350" s="76" t="s">
        <v>1788</v>
      </c>
      <c r="D1350" s="76">
        <v>1612.0</v>
      </c>
    </row>
    <row r="1351">
      <c r="A1351" s="76" t="s">
        <v>1487</v>
      </c>
      <c r="B1351" s="76" t="s">
        <v>1708</v>
      </c>
      <c r="C1351" s="76" t="s">
        <v>1725</v>
      </c>
      <c r="D1351" s="76">
        <v>286000.0</v>
      </c>
    </row>
    <row r="1352">
      <c r="A1352" s="76" t="s">
        <v>1488</v>
      </c>
      <c r="B1352" s="76" t="s">
        <v>1735</v>
      </c>
      <c r="C1352" s="76" t="s">
        <v>1781</v>
      </c>
      <c r="D1352" s="76">
        <v>5500.0</v>
      </c>
    </row>
    <row r="1353">
      <c r="A1353" s="76" t="s">
        <v>1489</v>
      </c>
    </row>
    <row r="1354">
      <c r="A1354" s="76" t="s">
        <v>1490</v>
      </c>
      <c r="B1354" s="76" t="s">
        <v>1698</v>
      </c>
      <c r="C1354" s="76" t="s">
        <v>1714</v>
      </c>
      <c r="D1354" s="76">
        <v>8.0</v>
      </c>
    </row>
    <row r="1355">
      <c r="A1355" s="76" t="s">
        <v>1491</v>
      </c>
      <c r="B1355" s="76" t="s">
        <v>1708</v>
      </c>
      <c r="C1355" s="76" t="s">
        <v>1725</v>
      </c>
      <c r="D1355" s="76">
        <v>1400.0</v>
      </c>
    </row>
    <row r="1356">
      <c r="A1356" s="76" t="s">
        <v>1492</v>
      </c>
      <c r="B1356" s="76" t="s">
        <v>1708</v>
      </c>
      <c r="C1356" s="76" t="s">
        <v>1787</v>
      </c>
      <c r="D1356" s="76">
        <v>379201.0</v>
      </c>
    </row>
    <row r="1357">
      <c r="A1357" s="76" t="s">
        <v>1493</v>
      </c>
      <c r="B1357" s="76" t="s">
        <v>1698</v>
      </c>
      <c r="C1357" s="76" t="s">
        <v>1718</v>
      </c>
      <c r="D1357" s="76">
        <v>109.0</v>
      </c>
    </row>
    <row r="1358">
      <c r="A1358" s="76" t="s">
        <v>1494</v>
      </c>
    </row>
    <row r="1359">
      <c r="A1359" s="76" t="s">
        <v>1495</v>
      </c>
      <c r="B1359" s="76" t="s">
        <v>1700</v>
      </c>
      <c r="C1359" s="76" t="s">
        <v>1768</v>
      </c>
      <c r="D1359" s="76">
        <v>2500.0</v>
      </c>
    </row>
    <row r="1360">
      <c r="A1360" s="76" t="s">
        <v>1496</v>
      </c>
      <c r="B1360" s="76" t="s">
        <v>1735</v>
      </c>
      <c r="C1360" s="76" t="s">
        <v>1781</v>
      </c>
      <c r="D1360" s="76">
        <v>2200.0</v>
      </c>
    </row>
    <row r="1361">
      <c r="A1361" s="76" t="s">
        <v>1497</v>
      </c>
    </row>
    <row r="1362">
      <c r="A1362" s="76" t="s">
        <v>1498</v>
      </c>
      <c r="B1362" s="76" t="s">
        <v>1698</v>
      </c>
      <c r="C1362" s="76" t="s">
        <v>1714</v>
      </c>
      <c r="D1362" s="76">
        <v>16.0</v>
      </c>
    </row>
    <row r="1363">
      <c r="A1363" s="76" t="s">
        <v>1499</v>
      </c>
      <c r="B1363" s="76" t="s">
        <v>1708</v>
      </c>
      <c r="C1363" s="76" t="s">
        <v>1754</v>
      </c>
      <c r="D1363" s="76">
        <v>5100.0</v>
      </c>
    </row>
    <row r="1364">
      <c r="A1364" s="76" t="s">
        <v>1500</v>
      </c>
      <c r="B1364" s="76" t="s">
        <v>1702</v>
      </c>
      <c r="C1364" s="76" t="s">
        <v>1721</v>
      </c>
      <c r="D1364" s="76">
        <v>9100.0</v>
      </c>
    </row>
    <row r="1365">
      <c r="A1365" s="76" t="s">
        <v>1501</v>
      </c>
      <c r="B1365" s="76" t="s">
        <v>1708</v>
      </c>
      <c r="C1365" s="76" t="s">
        <v>1754</v>
      </c>
      <c r="D1365" s="76">
        <v>1386.0</v>
      </c>
    </row>
    <row r="1366">
      <c r="A1366" s="76" t="s">
        <v>1502</v>
      </c>
      <c r="B1366" s="76" t="s">
        <v>1708</v>
      </c>
      <c r="C1366" s="76" t="s">
        <v>1748</v>
      </c>
      <c r="D1366" s="76">
        <v>12400.0</v>
      </c>
    </row>
    <row r="1367">
      <c r="A1367" s="76" t="s">
        <v>1503</v>
      </c>
      <c r="B1367" s="76" t="s">
        <v>1698</v>
      </c>
      <c r="C1367" s="76" t="s">
        <v>1714</v>
      </c>
      <c r="D1367" s="76">
        <v>109.0</v>
      </c>
    </row>
    <row r="1368">
      <c r="A1368" s="76" t="s">
        <v>1504</v>
      </c>
      <c r="B1368" s="76" t="s">
        <v>1708</v>
      </c>
      <c r="C1368" s="76" t="s">
        <v>1731</v>
      </c>
      <c r="D1368" s="76">
        <v>7400.0</v>
      </c>
    </row>
    <row r="1369">
      <c r="A1369" s="76" t="s">
        <v>1505</v>
      </c>
      <c r="B1369" s="76" t="s">
        <v>1715</v>
      </c>
      <c r="C1369" s="76" t="s">
        <v>1797</v>
      </c>
      <c r="D1369" s="76">
        <v>2000.0</v>
      </c>
    </row>
    <row r="1370">
      <c r="A1370" s="76" t="s">
        <v>1506</v>
      </c>
      <c r="B1370" s="76" t="s">
        <v>1702</v>
      </c>
      <c r="C1370" s="76" t="s">
        <v>1806</v>
      </c>
      <c r="D1370" s="76">
        <v>106.0</v>
      </c>
    </row>
    <row r="1371">
      <c r="A1371" s="76" t="s">
        <v>1507</v>
      </c>
      <c r="B1371" s="76" t="s">
        <v>1700</v>
      </c>
      <c r="C1371" s="76" t="s">
        <v>1728</v>
      </c>
      <c r="D1371" s="76">
        <v>270.0</v>
      </c>
    </row>
    <row r="1372">
      <c r="A1372" s="76" t="s">
        <v>1508</v>
      </c>
      <c r="B1372" s="76" t="s">
        <v>1702</v>
      </c>
      <c r="C1372" s="76" t="s">
        <v>1707</v>
      </c>
      <c r="D1372" s="76">
        <v>1332.0</v>
      </c>
    </row>
    <row r="1373">
      <c r="A1373" s="76" t="s">
        <v>1509</v>
      </c>
    </row>
    <row r="1374">
      <c r="A1374" s="76" t="s">
        <v>1510</v>
      </c>
    </row>
    <row r="1375">
      <c r="A1375" s="76" t="s">
        <v>1511</v>
      </c>
      <c r="B1375" s="76" t="s">
        <v>1700</v>
      </c>
      <c r="C1375" s="76" t="s">
        <v>1733</v>
      </c>
      <c r="D1375" s="76">
        <v>7000.0</v>
      </c>
    </row>
    <row r="1376">
      <c r="A1376" s="76" t="s">
        <v>1512</v>
      </c>
      <c r="B1376" s="76" t="s">
        <v>1700</v>
      </c>
      <c r="C1376" s="76" t="s">
        <v>1805</v>
      </c>
      <c r="D1376" s="76">
        <v>2854.0</v>
      </c>
    </row>
    <row r="1377">
      <c r="A1377" s="76" t="s">
        <v>1513</v>
      </c>
      <c r="B1377" s="76" t="s">
        <v>1702</v>
      </c>
      <c r="C1377" s="76" t="s">
        <v>1704</v>
      </c>
      <c r="D1377" s="76">
        <v>245.0</v>
      </c>
    </row>
    <row r="1378">
      <c r="A1378" s="76" t="s">
        <v>1514</v>
      </c>
      <c r="B1378" s="76" t="s">
        <v>1698</v>
      </c>
      <c r="C1378" s="76" t="s">
        <v>1714</v>
      </c>
      <c r="D1378" s="76">
        <v>24.0</v>
      </c>
    </row>
    <row r="1379">
      <c r="A1379" s="76" t="s">
        <v>1515</v>
      </c>
      <c r="B1379" s="76" t="s">
        <v>1735</v>
      </c>
      <c r="C1379" s="76" t="s">
        <v>1767</v>
      </c>
      <c r="D1379" s="76">
        <v>23200.0</v>
      </c>
    </row>
    <row r="1380">
      <c r="A1380" s="76" t="s">
        <v>1516</v>
      </c>
      <c r="B1380" s="76" t="s">
        <v>1708</v>
      </c>
      <c r="C1380" s="76" t="s">
        <v>1709</v>
      </c>
      <c r="D1380" s="76">
        <v>38000.0</v>
      </c>
    </row>
    <row r="1381">
      <c r="A1381" s="76" t="s">
        <v>1517</v>
      </c>
      <c r="B1381" s="76" t="s">
        <v>1700</v>
      </c>
      <c r="C1381" s="76" t="s">
        <v>1728</v>
      </c>
      <c r="D1381" s="76">
        <v>2700.0</v>
      </c>
    </row>
    <row r="1382">
      <c r="A1382" s="76" t="s">
        <v>1518</v>
      </c>
    </row>
    <row r="1383">
      <c r="A1383" s="76" t="s">
        <v>1519</v>
      </c>
      <c r="B1383" s="76" t="s">
        <v>1708</v>
      </c>
      <c r="C1383" s="76" t="s">
        <v>1787</v>
      </c>
      <c r="D1383" s="76">
        <v>48016.0</v>
      </c>
    </row>
    <row r="1384">
      <c r="A1384" s="76" t="s">
        <v>1520</v>
      </c>
    </row>
    <row r="1385">
      <c r="A1385" s="76" t="s">
        <v>1521</v>
      </c>
      <c r="B1385" s="76" t="s">
        <v>1715</v>
      </c>
      <c r="C1385" s="76" t="s">
        <v>1723</v>
      </c>
      <c r="D1385" s="76">
        <v>141000.0</v>
      </c>
    </row>
    <row r="1386">
      <c r="A1386" s="76" t="s">
        <v>1522</v>
      </c>
      <c r="B1386" s="76" t="s">
        <v>1702</v>
      </c>
      <c r="C1386" s="76" t="s">
        <v>1721</v>
      </c>
      <c r="D1386" s="76">
        <v>20000.0</v>
      </c>
    </row>
    <row r="1387">
      <c r="A1387" s="76" t="s">
        <v>1523</v>
      </c>
      <c r="B1387" s="76" t="s">
        <v>1708</v>
      </c>
      <c r="C1387" s="76" t="s">
        <v>1787</v>
      </c>
      <c r="D1387" s="76">
        <v>78906.0</v>
      </c>
    </row>
    <row r="1388">
      <c r="A1388" s="76" t="s">
        <v>1524</v>
      </c>
    </row>
    <row r="1389">
      <c r="A1389" s="76" t="s">
        <v>1525</v>
      </c>
      <c r="B1389" s="76" t="s">
        <v>1729</v>
      </c>
      <c r="C1389" s="76" t="s">
        <v>1745</v>
      </c>
      <c r="D1389" s="76">
        <v>5800.0</v>
      </c>
    </row>
    <row r="1390">
      <c r="A1390" s="76" t="s">
        <v>1526</v>
      </c>
      <c r="B1390" s="76" t="s">
        <v>1708</v>
      </c>
      <c r="C1390" s="76" t="s">
        <v>1751</v>
      </c>
      <c r="D1390" s="76">
        <v>11300.0</v>
      </c>
    </row>
    <row r="1391">
      <c r="A1391" s="76" t="s">
        <v>1527</v>
      </c>
    </row>
    <row r="1392">
      <c r="A1392" s="76" t="s">
        <v>1528</v>
      </c>
      <c r="B1392" s="76" t="s">
        <v>1715</v>
      </c>
      <c r="C1392" s="76" t="s">
        <v>1749</v>
      </c>
      <c r="D1392" s="76">
        <v>2000.0</v>
      </c>
    </row>
    <row r="1393">
      <c r="A1393" s="76" t="s">
        <v>1529</v>
      </c>
      <c r="B1393" s="76" t="s">
        <v>1698</v>
      </c>
      <c r="C1393" s="76" t="s">
        <v>1699</v>
      </c>
      <c r="D1393" s="76">
        <v>414.0</v>
      </c>
    </row>
    <row r="1394">
      <c r="A1394" s="76" t="s">
        <v>1530</v>
      </c>
      <c r="B1394" s="76" t="s">
        <v>1700</v>
      </c>
      <c r="C1394" s="76" t="s">
        <v>1768</v>
      </c>
      <c r="D1394" s="76">
        <v>19863.0</v>
      </c>
    </row>
    <row r="1395">
      <c r="A1395" s="76" t="s">
        <v>1531</v>
      </c>
      <c r="B1395" s="76" t="s">
        <v>1698</v>
      </c>
      <c r="C1395" s="76" t="s">
        <v>1761</v>
      </c>
      <c r="D1395" s="76">
        <v>713.0</v>
      </c>
    </row>
    <row r="1396">
      <c r="A1396" s="76" t="s">
        <v>1532</v>
      </c>
      <c r="B1396" s="76" t="s">
        <v>1698</v>
      </c>
      <c r="C1396" s="76" t="s">
        <v>1722</v>
      </c>
      <c r="D1396" s="76">
        <v>348.0</v>
      </c>
    </row>
    <row r="1397">
      <c r="A1397" s="76" t="s">
        <v>1533</v>
      </c>
      <c r="B1397" s="76" t="s">
        <v>1705</v>
      </c>
      <c r="C1397" s="76" t="s">
        <v>1706</v>
      </c>
      <c r="D1397" s="76">
        <v>29768.0</v>
      </c>
    </row>
    <row r="1398">
      <c r="A1398" s="76" t="s">
        <v>1534</v>
      </c>
      <c r="B1398" s="76" t="s">
        <v>1708</v>
      </c>
      <c r="C1398" s="76" t="s">
        <v>1737</v>
      </c>
      <c r="D1398" s="76">
        <v>67900.0</v>
      </c>
    </row>
    <row r="1399">
      <c r="A1399" s="76" t="s">
        <v>1535</v>
      </c>
    </row>
    <row r="1400">
      <c r="A1400" s="76" t="s">
        <v>1536</v>
      </c>
      <c r="B1400" s="76" t="s">
        <v>1698</v>
      </c>
      <c r="C1400" s="76" t="s">
        <v>1714</v>
      </c>
      <c r="D1400" s="76">
        <v>18.0</v>
      </c>
    </row>
    <row r="1401">
      <c r="A1401" s="76" t="s">
        <v>1537</v>
      </c>
      <c r="B1401" s="76" t="s">
        <v>1708</v>
      </c>
      <c r="C1401" s="76" t="s">
        <v>1773</v>
      </c>
      <c r="D1401" s="76">
        <v>7000.0</v>
      </c>
    </row>
    <row r="1402">
      <c r="A1402" s="76" t="s">
        <v>1538</v>
      </c>
      <c r="B1402" s="76" t="s">
        <v>1702</v>
      </c>
      <c r="C1402" s="76" t="s">
        <v>1703</v>
      </c>
      <c r="D1402" s="76">
        <v>91800.0</v>
      </c>
    </row>
    <row r="1403">
      <c r="A1403" s="76" t="s">
        <v>1539</v>
      </c>
      <c r="B1403" s="76" t="s">
        <v>1700</v>
      </c>
      <c r="C1403" s="76" t="s">
        <v>1762</v>
      </c>
      <c r="D1403" s="76">
        <v>286.0</v>
      </c>
    </row>
    <row r="1404">
      <c r="A1404" s="76" t="s">
        <v>1540</v>
      </c>
      <c r="B1404" s="76" t="s">
        <v>1698</v>
      </c>
      <c r="C1404" s="76" t="s">
        <v>1714</v>
      </c>
      <c r="D1404" s="76">
        <v>100.0</v>
      </c>
    </row>
    <row r="1405">
      <c r="A1405" s="76" t="s">
        <v>1541</v>
      </c>
      <c r="B1405" s="76" t="s">
        <v>1705</v>
      </c>
      <c r="C1405" s="76" t="s">
        <v>1720</v>
      </c>
      <c r="D1405" s="76">
        <v>3940.0</v>
      </c>
    </row>
    <row r="1406">
      <c r="A1406" s="76" t="s">
        <v>1542</v>
      </c>
      <c r="B1406" s="76" t="s">
        <v>1705</v>
      </c>
      <c r="C1406" s="76" t="s">
        <v>1793</v>
      </c>
      <c r="D1406" s="76">
        <v>4347.0</v>
      </c>
    </row>
    <row r="1407">
      <c r="A1407" s="76" t="s">
        <v>1543</v>
      </c>
      <c r="B1407" s="76" t="s">
        <v>1700</v>
      </c>
      <c r="C1407" s="76" t="s">
        <v>1802</v>
      </c>
      <c r="D1407" s="76">
        <v>12000.0</v>
      </c>
    </row>
    <row r="1408">
      <c r="A1408" s="76" t="s">
        <v>1544</v>
      </c>
      <c r="B1408" s="76" t="s">
        <v>1702</v>
      </c>
      <c r="C1408" s="76" t="s">
        <v>1704</v>
      </c>
      <c r="D1408" s="76">
        <v>14400.0</v>
      </c>
    </row>
    <row r="1409">
      <c r="A1409" s="76" t="s">
        <v>1545</v>
      </c>
      <c r="B1409" s="76" t="s">
        <v>1698</v>
      </c>
      <c r="C1409" s="76" t="s">
        <v>1719</v>
      </c>
      <c r="D1409" s="76">
        <v>90000.0</v>
      </c>
    </row>
    <row r="1410">
      <c r="A1410" s="76" t="s">
        <v>1546</v>
      </c>
      <c r="B1410" s="76" t="s">
        <v>1715</v>
      </c>
      <c r="C1410" s="76" t="s">
        <v>1764</v>
      </c>
      <c r="D1410" s="76">
        <v>149867.0</v>
      </c>
    </row>
    <row r="1411">
      <c r="A1411" s="76" t="s">
        <v>1547</v>
      </c>
      <c r="B1411" s="76" t="s">
        <v>1702</v>
      </c>
      <c r="C1411" s="76" t="s">
        <v>1734</v>
      </c>
      <c r="D1411" s="76">
        <v>3445.0</v>
      </c>
    </row>
    <row r="1412">
      <c r="A1412" s="76" t="s">
        <v>1548</v>
      </c>
      <c r="B1412" s="76" t="s">
        <v>1708</v>
      </c>
      <c r="C1412" s="76" t="s">
        <v>1709</v>
      </c>
      <c r="D1412" s="76">
        <v>18000.0</v>
      </c>
    </row>
    <row r="1413">
      <c r="A1413" s="76" t="s">
        <v>1549</v>
      </c>
      <c r="B1413" s="76" t="s">
        <v>1705</v>
      </c>
      <c r="C1413" s="76" t="s">
        <v>1706</v>
      </c>
      <c r="D1413" s="76">
        <v>19000.0</v>
      </c>
    </row>
    <row r="1414">
      <c r="A1414" s="76" t="s">
        <v>1550</v>
      </c>
    </row>
    <row r="1415">
      <c r="A1415" s="76" t="s">
        <v>1551</v>
      </c>
      <c r="B1415" s="76" t="s">
        <v>1715</v>
      </c>
      <c r="C1415" s="76" t="s">
        <v>1764</v>
      </c>
      <c r="D1415" s="76">
        <v>149867.0</v>
      </c>
    </row>
    <row r="1416">
      <c r="A1416" s="76" t="s">
        <v>1552</v>
      </c>
      <c r="B1416" s="76" t="s">
        <v>1715</v>
      </c>
      <c r="C1416" s="76" t="s">
        <v>1732</v>
      </c>
      <c r="D1416" s="76">
        <v>19000.0</v>
      </c>
    </row>
    <row r="1417">
      <c r="A1417" s="76" t="s">
        <v>1553</v>
      </c>
      <c r="B1417" s="76" t="s">
        <v>1702</v>
      </c>
      <c r="C1417" s="76" t="s">
        <v>1770</v>
      </c>
      <c r="D1417" s="76">
        <v>31965.0</v>
      </c>
    </row>
    <row r="1418">
      <c r="A1418" s="76" t="s">
        <v>1554</v>
      </c>
      <c r="B1418" s="76" t="s">
        <v>1700</v>
      </c>
      <c r="C1418" s="76" t="s">
        <v>1733</v>
      </c>
      <c r="D1418" s="76">
        <v>10300.0</v>
      </c>
    </row>
    <row r="1419">
      <c r="A1419" s="76" t="s">
        <v>1555</v>
      </c>
      <c r="B1419" s="76" t="s">
        <v>1702</v>
      </c>
      <c r="C1419" s="76" t="s">
        <v>1743</v>
      </c>
      <c r="D1419" s="76">
        <v>260280.0</v>
      </c>
    </row>
    <row r="1420">
      <c r="A1420" s="76" t="s">
        <v>1556</v>
      </c>
      <c r="B1420" s="76" t="s">
        <v>1708</v>
      </c>
      <c r="C1420" s="76" t="s">
        <v>1725</v>
      </c>
      <c r="D1420" s="76">
        <v>9600.0</v>
      </c>
    </row>
    <row r="1421">
      <c r="A1421" s="76" t="s">
        <v>1557</v>
      </c>
    </row>
    <row r="1422">
      <c r="A1422" s="76" t="s">
        <v>1558</v>
      </c>
      <c r="B1422" s="76" t="s">
        <v>1698</v>
      </c>
      <c r="C1422" s="76" t="s">
        <v>1714</v>
      </c>
      <c r="D1422" s="76">
        <v>70.0</v>
      </c>
    </row>
    <row r="1423">
      <c r="A1423" s="76" t="s">
        <v>1559</v>
      </c>
      <c r="B1423" s="76" t="s">
        <v>1702</v>
      </c>
      <c r="C1423" s="76" t="s">
        <v>1734</v>
      </c>
      <c r="D1423" s="76">
        <v>2050.0</v>
      </c>
    </row>
    <row r="1424">
      <c r="A1424" s="76" t="s">
        <v>1560</v>
      </c>
      <c r="B1424" s="76" t="s">
        <v>1700</v>
      </c>
      <c r="C1424" s="76" t="s">
        <v>1774</v>
      </c>
      <c r="D1424" s="76">
        <v>3173.0</v>
      </c>
    </row>
    <row r="1425">
      <c r="A1425" s="76" t="s">
        <v>1561</v>
      </c>
    </row>
    <row r="1426">
      <c r="A1426" s="76" t="s">
        <v>1562</v>
      </c>
      <c r="B1426" s="76" t="s">
        <v>1715</v>
      </c>
      <c r="C1426" s="76" t="s">
        <v>1732</v>
      </c>
      <c r="D1426" s="76">
        <v>28000.0</v>
      </c>
    </row>
    <row r="1427">
      <c r="A1427" s="76" t="s">
        <v>1563</v>
      </c>
      <c r="B1427" s="76" t="s">
        <v>1700</v>
      </c>
      <c r="C1427" s="76" t="s">
        <v>1774</v>
      </c>
      <c r="D1427" s="76">
        <v>282.0</v>
      </c>
    </row>
    <row r="1428">
      <c r="A1428" s="76" t="s">
        <v>1564</v>
      </c>
      <c r="B1428" s="76" t="s">
        <v>1715</v>
      </c>
      <c r="C1428" s="76" t="s">
        <v>1764</v>
      </c>
      <c r="D1428" s="76">
        <v>1909.0</v>
      </c>
    </row>
    <row r="1429">
      <c r="A1429" s="76" t="s">
        <v>1565</v>
      </c>
      <c r="B1429" s="76" t="s">
        <v>1698</v>
      </c>
      <c r="C1429" s="76" t="s">
        <v>1714</v>
      </c>
      <c r="D1429" s="76">
        <v>920.0</v>
      </c>
    </row>
    <row r="1430">
      <c r="A1430" s="76" t="s">
        <v>1566</v>
      </c>
    </row>
    <row r="1431">
      <c r="A1431" s="76" t="s">
        <v>1567</v>
      </c>
    </row>
    <row r="1432">
      <c r="A1432" s="76" t="s">
        <v>1568</v>
      </c>
      <c r="B1432" s="76" t="s">
        <v>1708</v>
      </c>
      <c r="C1432" s="76" t="s">
        <v>1753</v>
      </c>
      <c r="D1432" s="76">
        <v>22000.0</v>
      </c>
    </row>
    <row r="1433">
      <c r="A1433" s="76" t="s">
        <v>1569</v>
      </c>
    </row>
    <row r="1434">
      <c r="A1434" s="76" t="s">
        <v>1570</v>
      </c>
      <c r="B1434" s="76" t="s">
        <v>1698</v>
      </c>
      <c r="C1434" s="76" t="s">
        <v>1714</v>
      </c>
      <c r="D1434" s="76">
        <v>123.0</v>
      </c>
    </row>
    <row r="1435">
      <c r="A1435" s="76" t="s">
        <v>1571</v>
      </c>
      <c r="B1435" s="76" t="s">
        <v>1698</v>
      </c>
      <c r="C1435" s="76" t="s">
        <v>1714</v>
      </c>
      <c r="D1435" s="76">
        <v>241.0</v>
      </c>
    </row>
    <row r="1436">
      <c r="A1436" s="76" t="s">
        <v>1572</v>
      </c>
      <c r="B1436" s="76" t="s">
        <v>1698</v>
      </c>
      <c r="C1436" s="76" t="s">
        <v>1714</v>
      </c>
      <c r="D1436" s="76">
        <v>45.0</v>
      </c>
    </row>
    <row r="1437">
      <c r="A1437" s="76" t="s">
        <v>1573</v>
      </c>
      <c r="B1437" s="76" t="s">
        <v>1698</v>
      </c>
      <c r="C1437" s="76" t="s">
        <v>1714</v>
      </c>
      <c r="D1437" s="76">
        <v>354.0</v>
      </c>
    </row>
    <row r="1438">
      <c r="A1438" s="76" t="s">
        <v>1574</v>
      </c>
      <c r="B1438" s="76" t="s">
        <v>1705</v>
      </c>
      <c r="C1438" s="76" t="s">
        <v>1720</v>
      </c>
      <c r="D1438" s="76">
        <v>954.0</v>
      </c>
    </row>
    <row r="1439">
      <c r="A1439" s="76" t="s">
        <v>1575</v>
      </c>
      <c r="B1439" s="76" t="s">
        <v>1698</v>
      </c>
      <c r="C1439" s="76" t="s">
        <v>1714</v>
      </c>
      <c r="D1439" s="76">
        <v>386.0</v>
      </c>
    </row>
    <row r="1440">
      <c r="A1440" s="76" t="s">
        <v>1576</v>
      </c>
      <c r="B1440" s="76" t="s">
        <v>1708</v>
      </c>
      <c r="C1440" s="76" t="s">
        <v>1773</v>
      </c>
      <c r="D1440" s="76">
        <v>48000.0</v>
      </c>
    </row>
    <row r="1441">
      <c r="A1441" s="76" t="s">
        <v>1577</v>
      </c>
      <c r="B1441" s="76" t="s">
        <v>1715</v>
      </c>
      <c r="C1441" s="76" t="s">
        <v>1752</v>
      </c>
      <c r="D1441" s="76">
        <v>1418.0</v>
      </c>
    </row>
    <row r="1442">
      <c r="A1442" s="76" t="s">
        <v>1578</v>
      </c>
      <c r="B1442" s="76" t="s">
        <v>1700</v>
      </c>
      <c r="C1442" s="76" t="s">
        <v>1733</v>
      </c>
      <c r="D1442" s="76">
        <v>2775.0</v>
      </c>
    </row>
    <row r="1443">
      <c r="A1443" s="76" t="s">
        <v>1579</v>
      </c>
    </row>
    <row r="1444">
      <c r="A1444" s="76" t="s">
        <v>1580</v>
      </c>
      <c r="B1444" s="76" t="s">
        <v>1698</v>
      </c>
      <c r="C1444" s="76" t="s">
        <v>1714</v>
      </c>
      <c r="D1444" s="76">
        <v>152.0</v>
      </c>
    </row>
    <row r="1445">
      <c r="A1445" s="76" t="s">
        <v>1581</v>
      </c>
      <c r="B1445" s="76" t="s">
        <v>1698</v>
      </c>
      <c r="C1445" s="76" t="s">
        <v>1714</v>
      </c>
      <c r="D1445" s="76">
        <v>253.0</v>
      </c>
    </row>
    <row r="1446">
      <c r="A1446" s="76" t="s">
        <v>1582</v>
      </c>
      <c r="B1446" s="76" t="s">
        <v>1735</v>
      </c>
      <c r="C1446" s="76" t="s">
        <v>1771</v>
      </c>
      <c r="D1446" s="76">
        <v>299.0</v>
      </c>
    </row>
    <row r="1447">
      <c r="A1447" s="76" t="s">
        <v>1583</v>
      </c>
      <c r="B1447" s="76" t="s">
        <v>1698</v>
      </c>
      <c r="C1447" s="76" t="s">
        <v>1699</v>
      </c>
      <c r="D1447" s="76">
        <v>660.0</v>
      </c>
    </row>
    <row r="1448">
      <c r="A1448" s="76" t="s">
        <v>1584</v>
      </c>
    </row>
    <row r="1449">
      <c r="A1449" s="76" t="s">
        <v>1585</v>
      </c>
      <c r="B1449" s="76" t="s">
        <v>1702</v>
      </c>
      <c r="C1449" s="76" t="s">
        <v>1703</v>
      </c>
      <c r="D1449" s="76">
        <v>5002.0</v>
      </c>
    </row>
    <row r="1450">
      <c r="A1450" s="76" t="s">
        <v>1586</v>
      </c>
      <c r="B1450" s="76" t="s">
        <v>1700</v>
      </c>
      <c r="C1450" s="76" t="s">
        <v>1774</v>
      </c>
      <c r="D1450" s="76">
        <v>9173.0</v>
      </c>
    </row>
    <row r="1451">
      <c r="A1451" s="76" t="s">
        <v>1587</v>
      </c>
      <c r="B1451" s="76" t="s">
        <v>1708</v>
      </c>
      <c r="C1451" s="76" t="s">
        <v>1773</v>
      </c>
      <c r="D1451" s="76">
        <v>768.0</v>
      </c>
    </row>
    <row r="1452">
      <c r="A1452" s="76" t="s">
        <v>1588</v>
      </c>
    </row>
    <row r="1453">
      <c r="A1453" s="76" t="s">
        <v>1589</v>
      </c>
      <c r="B1453" s="76" t="s">
        <v>1700</v>
      </c>
      <c r="C1453" s="76" t="s">
        <v>1728</v>
      </c>
      <c r="D1453" s="76">
        <v>4000.0</v>
      </c>
    </row>
    <row r="1454">
      <c r="A1454" s="76" t="s">
        <v>1590</v>
      </c>
      <c r="B1454" s="76" t="s">
        <v>1705</v>
      </c>
      <c r="C1454" s="76" t="s">
        <v>1793</v>
      </c>
      <c r="D1454" s="76">
        <v>775.0</v>
      </c>
    </row>
    <row r="1455">
      <c r="A1455" s="76" t="s">
        <v>1591</v>
      </c>
      <c r="B1455" s="76" t="s">
        <v>1708</v>
      </c>
      <c r="C1455" s="76" t="s">
        <v>1757</v>
      </c>
      <c r="D1455" s="76">
        <v>2700.0</v>
      </c>
    </row>
    <row r="1456">
      <c r="A1456" s="76" t="s">
        <v>1592</v>
      </c>
      <c r="B1456" s="76" t="s">
        <v>1698</v>
      </c>
      <c r="C1456" s="76" t="s">
        <v>1714</v>
      </c>
      <c r="D1456" s="76">
        <v>17.0</v>
      </c>
    </row>
    <row r="1457">
      <c r="A1457" s="76" t="s">
        <v>1593</v>
      </c>
      <c r="B1457" s="76" t="s">
        <v>1698</v>
      </c>
      <c r="C1457" s="76" t="s">
        <v>1714</v>
      </c>
      <c r="D1457" s="76">
        <v>33.0</v>
      </c>
    </row>
    <row r="1458">
      <c r="A1458" s="76" t="s">
        <v>1594</v>
      </c>
      <c r="B1458" s="76" t="s">
        <v>1698</v>
      </c>
      <c r="C1458" s="76" t="s">
        <v>1714</v>
      </c>
      <c r="D1458" s="76">
        <v>3000.0</v>
      </c>
    </row>
    <row r="1459">
      <c r="A1459" s="76" t="s">
        <v>1595</v>
      </c>
    </row>
    <row r="1460">
      <c r="A1460" s="76" t="s">
        <v>1596</v>
      </c>
      <c r="B1460" s="76" t="s">
        <v>1705</v>
      </c>
      <c r="C1460" s="76" t="s">
        <v>1706</v>
      </c>
      <c r="D1460" s="76">
        <v>22400.0</v>
      </c>
    </row>
    <row r="1461">
      <c r="A1461" s="76" t="s">
        <v>1597</v>
      </c>
    </row>
    <row r="1462">
      <c r="A1462" s="76" t="s">
        <v>1598</v>
      </c>
      <c r="B1462" s="76" t="s">
        <v>1698</v>
      </c>
      <c r="C1462" s="76" t="s">
        <v>1714</v>
      </c>
      <c r="D1462" s="76">
        <v>135.0</v>
      </c>
    </row>
    <row r="1463">
      <c r="A1463" s="76" t="s">
        <v>1599</v>
      </c>
      <c r="B1463" s="76" t="s">
        <v>1708</v>
      </c>
      <c r="C1463" s="76" t="s">
        <v>1747</v>
      </c>
      <c r="D1463" s="76">
        <v>4400.0</v>
      </c>
    </row>
    <row r="1464">
      <c r="A1464" s="76" t="s">
        <v>1600</v>
      </c>
      <c r="B1464" s="76" t="s">
        <v>1783</v>
      </c>
      <c r="C1464" s="76" t="s">
        <v>1784</v>
      </c>
      <c r="D1464" s="76">
        <v>516.0</v>
      </c>
    </row>
    <row r="1465">
      <c r="A1465" s="76" t="s">
        <v>1601</v>
      </c>
      <c r="B1465" s="76" t="s">
        <v>1698</v>
      </c>
      <c r="C1465" s="76" t="s">
        <v>1714</v>
      </c>
      <c r="D1465" s="76">
        <v>26.0</v>
      </c>
    </row>
    <row r="1466">
      <c r="A1466" s="76" t="s">
        <v>1602</v>
      </c>
      <c r="B1466" s="76" t="s">
        <v>1705</v>
      </c>
      <c r="C1466" s="76" t="s">
        <v>1793</v>
      </c>
      <c r="D1466" s="76">
        <v>90.0</v>
      </c>
    </row>
    <row r="1467">
      <c r="A1467" s="76" t="s">
        <v>1603</v>
      </c>
      <c r="B1467" s="76" t="s">
        <v>1702</v>
      </c>
      <c r="C1467" s="76" t="s">
        <v>1809</v>
      </c>
      <c r="D1467" s="76">
        <v>5361.0</v>
      </c>
    </row>
    <row r="1468">
      <c r="A1468" s="76" t="s">
        <v>1604</v>
      </c>
      <c r="B1468" s="76" t="s">
        <v>1735</v>
      </c>
      <c r="C1468" s="76" t="s">
        <v>1810</v>
      </c>
      <c r="D1468" s="76">
        <v>7900.0</v>
      </c>
    </row>
    <row r="1469">
      <c r="A1469" s="76" t="s">
        <v>1605</v>
      </c>
      <c r="B1469" s="76" t="s">
        <v>1698</v>
      </c>
      <c r="C1469" s="76" t="s">
        <v>1714</v>
      </c>
      <c r="D1469" s="76">
        <v>16.0</v>
      </c>
    </row>
    <row r="1470">
      <c r="A1470" s="76" t="s">
        <v>1606</v>
      </c>
      <c r="B1470" s="76" t="s">
        <v>1698</v>
      </c>
      <c r="C1470" s="76" t="s">
        <v>1714</v>
      </c>
      <c r="D1470" s="76">
        <v>185.0</v>
      </c>
    </row>
    <row r="1471">
      <c r="A1471" s="76" t="s">
        <v>1607</v>
      </c>
      <c r="B1471" s="76" t="s">
        <v>1698</v>
      </c>
      <c r="C1471" s="76" t="s">
        <v>1803</v>
      </c>
      <c r="D1471" s="76">
        <v>232000.0</v>
      </c>
    </row>
    <row r="1472">
      <c r="A1472" s="76" t="s">
        <v>1608</v>
      </c>
      <c r="B1472" s="76" t="s">
        <v>1700</v>
      </c>
      <c r="C1472" s="76" t="s">
        <v>1728</v>
      </c>
      <c r="D1472" s="76">
        <v>495.0</v>
      </c>
    </row>
    <row r="1473">
      <c r="A1473" s="76" t="s">
        <v>1609</v>
      </c>
      <c r="B1473" s="76" t="s">
        <v>1783</v>
      </c>
      <c r="C1473" s="76" t="s">
        <v>1784</v>
      </c>
      <c r="D1473" s="76">
        <v>443.0</v>
      </c>
    </row>
    <row r="1474">
      <c r="A1474" s="76" t="s">
        <v>1610</v>
      </c>
      <c r="B1474" s="76" t="s">
        <v>1708</v>
      </c>
      <c r="C1474" s="76" t="s">
        <v>1737</v>
      </c>
      <c r="D1474" s="76">
        <v>13300.0</v>
      </c>
    </row>
    <row r="1475">
      <c r="A1475" s="76" t="s">
        <v>1611</v>
      </c>
      <c r="B1475" s="76" t="s">
        <v>1702</v>
      </c>
      <c r="C1475" s="76" t="s">
        <v>1734</v>
      </c>
      <c r="D1475" s="76">
        <v>12736.0</v>
      </c>
    </row>
    <row r="1476">
      <c r="A1476" s="76" t="s">
        <v>1612</v>
      </c>
      <c r="B1476" s="76" t="s">
        <v>1708</v>
      </c>
      <c r="C1476" s="76" t="s">
        <v>1757</v>
      </c>
      <c r="D1476" s="76">
        <v>486.0</v>
      </c>
    </row>
    <row r="1477">
      <c r="A1477" s="76" t="s">
        <v>1613</v>
      </c>
      <c r="B1477" s="76" t="s">
        <v>1708</v>
      </c>
      <c r="C1477" s="76" t="s">
        <v>1779</v>
      </c>
      <c r="D1477" s="76">
        <v>4500.0</v>
      </c>
    </row>
    <row r="1478">
      <c r="A1478" s="76" t="s">
        <v>1614</v>
      </c>
      <c r="B1478" s="76" t="s">
        <v>1708</v>
      </c>
      <c r="C1478" s="76" t="s">
        <v>1766</v>
      </c>
      <c r="D1478" s="76">
        <v>14200.0</v>
      </c>
    </row>
    <row r="1479">
      <c r="A1479" s="76" t="s">
        <v>1615</v>
      </c>
      <c r="B1479" s="76" t="s">
        <v>1708</v>
      </c>
      <c r="C1479" s="76" t="s">
        <v>1731</v>
      </c>
      <c r="D1479" s="76">
        <v>77000.0</v>
      </c>
    </row>
    <row r="1480">
      <c r="A1480" s="76" t="s">
        <v>1616</v>
      </c>
    </row>
    <row r="1481">
      <c r="A1481" s="76" t="s">
        <v>1617</v>
      </c>
      <c r="B1481" s="76" t="s">
        <v>1708</v>
      </c>
      <c r="C1481" s="76" t="s">
        <v>1709</v>
      </c>
      <c r="D1481" s="76">
        <v>98.0</v>
      </c>
    </row>
    <row r="1482">
      <c r="A1482" s="76" t="s">
        <v>1618</v>
      </c>
      <c r="B1482" s="76" t="s">
        <v>1708</v>
      </c>
      <c r="C1482" s="76" t="s">
        <v>1737</v>
      </c>
      <c r="D1482" s="76">
        <v>209.0</v>
      </c>
    </row>
    <row r="1483">
      <c r="A1483" s="76" t="s">
        <v>1619</v>
      </c>
      <c r="B1483" s="76" t="s">
        <v>1702</v>
      </c>
      <c r="C1483" s="76" t="s">
        <v>1721</v>
      </c>
      <c r="D1483" s="76">
        <v>1451.0</v>
      </c>
    </row>
    <row r="1484">
      <c r="A1484" s="76" t="s">
        <v>1620</v>
      </c>
    </row>
    <row r="1485">
      <c r="A1485" s="76" t="s">
        <v>1621</v>
      </c>
    </row>
    <row r="1486">
      <c r="A1486" s="76" t="s">
        <v>1622</v>
      </c>
    </row>
    <row r="1487">
      <c r="A1487" s="76" t="s">
        <v>1623</v>
      </c>
      <c r="B1487" s="76" t="s">
        <v>1715</v>
      </c>
      <c r="C1487" s="76" t="s">
        <v>1750</v>
      </c>
      <c r="D1487" s="76">
        <v>2200000.0</v>
      </c>
    </row>
    <row r="1488">
      <c r="A1488" s="76" t="s">
        <v>1624</v>
      </c>
      <c r="B1488" s="76" t="s">
        <v>1702</v>
      </c>
      <c r="C1488" s="76" t="s">
        <v>1741</v>
      </c>
      <c r="D1488" s="76">
        <v>9000.0</v>
      </c>
    </row>
    <row r="1489">
      <c r="A1489" s="76" t="s">
        <v>1625</v>
      </c>
    </row>
    <row r="1490">
      <c r="A1490" s="76" t="s">
        <v>1626</v>
      </c>
      <c r="B1490" s="76" t="s">
        <v>1708</v>
      </c>
      <c r="C1490" s="76" t="s">
        <v>1709</v>
      </c>
      <c r="D1490" s="76">
        <v>11600.0</v>
      </c>
    </row>
    <row r="1491">
      <c r="A1491" s="76" t="s">
        <v>1627</v>
      </c>
      <c r="B1491" s="76" t="s">
        <v>1702</v>
      </c>
      <c r="C1491" s="76" t="s">
        <v>1788</v>
      </c>
      <c r="D1491" s="76">
        <v>5800.0</v>
      </c>
    </row>
    <row r="1492">
      <c r="A1492" s="76" t="s">
        <v>1628</v>
      </c>
      <c r="B1492" s="76" t="s">
        <v>1698</v>
      </c>
      <c r="C1492" s="76" t="s">
        <v>1714</v>
      </c>
      <c r="D1492" s="76">
        <v>301.0</v>
      </c>
    </row>
    <row r="1493">
      <c r="A1493" s="76" t="s">
        <v>1629</v>
      </c>
      <c r="B1493" s="76" t="s">
        <v>1702</v>
      </c>
      <c r="C1493" s="76" t="s">
        <v>1727</v>
      </c>
      <c r="D1493" s="76">
        <v>9023.0</v>
      </c>
    </row>
    <row r="1494">
      <c r="A1494" s="76" t="s">
        <v>1630</v>
      </c>
      <c r="B1494" s="76" t="s">
        <v>1729</v>
      </c>
      <c r="C1494" s="76" t="s">
        <v>1730</v>
      </c>
      <c r="D1494" s="76">
        <v>960.0</v>
      </c>
    </row>
    <row r="1495">
      <c r="A1495" s="76" t="s">
        <v>1631</v>
      </c>
      <c r="B1495" s="76" t="s">
        <v>1700</v>
      </c>
      <c r="C1495" s="76" t="s">
        <v>1769</v>
      </c>
      <c r="D1495" s="76">
        <v>28.0</v>
      </c>
    </row>
    <row r="1496">
      <c r="A1496" s="76" t="s">
        <v>1632</v>
      </c>
      <c r="B1496" s="76" t="s">
        <v>1708</v>
      </c>
      <c r="C1496" s="76" t="s">
        <v>1757</v>
      </c>
      <c r="D1496" s="76">
        <v>4000.0</v>
      </c>
    </row>
    <row r="1497">
      <c r="A1497" s="76" t="s">
        <v>1633</v>
      </c>
    </row>
    <row r="1498">
      <c r="A1498" s="76" t="s">
        <v>1634</v>
      </c>
    </row>
    <row r="1499">
      <c r="A1499" s="76" t="s">
        <v>1635</v>
      </c>
      <c r="B1499" s="76" t="s">
        <v>1700</v>
      </c>
      <c r="C1499" s="76" t="s">
        <v>1768</v>
      </c>
      <c r="D1499" s="76">
        <v>27500.0</v>
      </c>
    </row>
    <row r="1500">
      <c r="A1500" s="76" t="s">
        <v>1636</v>
      </c>
      <c r="B1500" s="76" t="s">
        <v>1698</v>
      </c>
      <c r="C1500" s="76" t="s">
        <v>1714</v>
      </c>
      <c r="D1500" s="76">
        <v>78.0</v>
      </c>
    </row>
    <row r="1501">
      <c r="A1501" s="76" t="s">
        <v>1637</v>
      </c>
    </row>
    <row r="1502">
      <c r="A1502" s="76" t="s">
        <v>1638</v>
      </c>
      <c r="B1502" s="76" t="s">
        <v>1698</v>
      </c>
      <c r="C1502" s="76" t="s">
        <v>1714</v>
      </c>
      <c r="D1502" s="76">
        <v>188.0</v>
      </c>
    </row>
    <row r="1503">
      <c r="A1503" s="76" t="s">
        <v>1639</v>
      </c>
      <c r="B1503" s="76" t="s">
        <v>1698</v>
      </c>
      <c r="C1503" s="76" t="s">
        <v>1699</v>
      </c>
      <c r="D1503" s="76">
        <v>153.0</v>
      </c>
    </row>
    <row r="1504">
      <c r="A1504" s="76" t="s">
        <v>1640</v>
      </c>
      <c r="B1504" s="76" t="s">
        <v>1705</v>
      </c>
      <c r="C1504" s="76" t="s">
        <v>1706</v>
      </c>
      <c r="D1504" s="76">
        <v>4891.0</v>
      </c>
    </row>
    <row r="1505">
      <c r="A1505" s="76" t="s">
        <v>1641</v>
      </c>
      <c r="B1505" s="76" t="s">
        <v>1698</v>
      </c>
      <c r="C1505" s="76" t="s">
        <v>1714</v>
      </c>
      <c r="D1505" s="76">
        <v>237.0</v>
      </c>
    </row>
    <row r="1506">
      <c r="A1506" s="76" t="s">
        <v>1642</v>
      </c>
      <c r="B1506" s="76" t="s">
        <v>1698</v>
      </c>
      <c r="C1506" s="76" t="s">
        <v>1714</v>
      </c>
      <c r="D1506" s="76">
        <v>166.0</v>
      </c>
    </row>
    <row r="1507">
      <c r="A1507" s="76" t="s">
        <v>1643</v>
      </c>
      <c r="B1507" s="76" t="s">
        <v>1698</v>
      </c>
      <c r="C1507" s="76" t="s">
        <v>1714</v>
      </c>
      <c r="D1507" s="76">
        <v>11.0</v>
      </c>
    </row>
    <row r="1508">
      <c r="A1508" s="76" t="s">
        <v>1644</v>
      </c>
      <c r="B1508" s="76" t="s">
        <v>1705</v>
      </c>
      <c r="C1508" s="76" t="s">
        <v>1720</v>
      </c>
      <c r="D1508" s="76">
        <v>2000.0</v>
      </c>
    </row>
    <row r="1509">
      <c r="A1509" s="76" t="s">
        <v>1645</v>
      </c>
    </row>
    <row r="1510">
      <c r="A1510" s="76" t="s">
        <v>1646</v>
      </c>
      <c r="B1510" s="76" t="s">
        <v>1702</v>
      </c>
      <c r="C1510" s="76" t="s">
        <v>1743</v>
      </c>
      <c r="D1510" s="76">
        <v>96000.0</v>
      </c>
    </row>
    <row r="1511">
      <c r="A1511" s="76" t="s">
        <v>1647</v>
      </c>
    </row>
    <row r="1512">
      <c r="A1512" s="76" t="s">
        <v>1648</v>
      </c>
      <c r="B1512" s="76" t="s">
        <v>1702</v>
      </c>
      <c r="C1512" s="76" t="s">
        <v>1711</v>
      </c>
      <c r="D1512" s="76">
        <v>12889.0</v>
      </c>
    </row>
    <row r="1513">
      <c r="A1513" s="76" t="s">
        <v>1649</v>
      </c>
      <c r="B1513" s="76" t="s">
        <v>1698</v>
      </c>
      <c r="C1513" s="76" t="s">
        <v>1714</v>
      </c>
      <c r="D1513" s="76">
        <v>65.0</v>
      </c>
    </row>
    <row r="1514">
      <c r="A1514" s="76" t="s">
        <v>1650</v>
      </c>
      <c r="B1514" s="76" t="s">
        <v>1702</v>
      </c>
      <c r="C1514" s="76" t="s">
        <v>1734</v>
      </c>
      <c r="D1514" s="76">
        <v>29000.0</v>
      </c>
    </row>
    <row r="1515">
      <c r="A1515" s="76" t="s">
        <v>1651</v>
      </c>
      <c r="B1515" s="76" t="s">
        <v>1708</v>
      </c>
      <c r="C1515" s="76" t="s">
        <v>1737</v>
      </c>
      <c r="D1515" s="76">
        <v>34000.0</v>
      </c>
    </row>
    <row r="1516">
      <c r="A1516" s="76" t="s">
        <v>1652</v>
      </c>
      <c r="B1516" s="76" t="s">
        <v>1708</v>
      </c>
      <c r="C1516" s="76" t="s">
        <v>1737</v>
      </c>
      <c r="D1516" s="76">
        <v>450000.0</v>
      </c>
    </row>
    <row r="1517">
      <c r="A1517" s="76" t="s">
        <v>1653</v>
      </c>
      <c r="B1517" s="76" t="s">
        <v>1698</v>
      </c>
      <c r="C1517" s="76" t="s">
        <v>1714</v>
      </c>
      <c r="D1517" s="76">
        <v>313.0</v>
      </c>
    </row>
    <row r="1518">
      <c r="A1518" s="76" t="s">
        <v>1654</v>
      </c>
      <c r="B1518" s="76" t="s">
        <v>1698</v>
      </c>
      <c r="C1518" s="76" t="s">
        <v>1714</v>
      </c>
      <c r="D1518" s="76">
        <v>141.0</v>
      </c>
    </row>
    <row r="1519">
      <c r="A1519" s="76" t="s">
        <v>1655</v>
      </c>
      <c r="B1519" s="76" t="s">
        <v>1698</v>
      </c>
      <c r="C1519" s="76" t="s">
        <v>1714</v>
      </c>
      <c r="D1519" s="76">
        <v>73.0</v>
      </c>
    </row>
    <row r="1520">
      <c r="A1520" s="76" t="s">
        <v>1656</v>
      </c>
      <c r="B1520" s="76" t="s">
        <v>1698</v>
      </c>
      <c r="C1520" s="76" t="s">
        <v>1714</v>
      </c>
      <c r="D1520" s="76">
        <v>859.0</v>
      </c>
    </row>
    <row r="1521">
      <c r="A1521" s="76" t="s">
        <v>1657</v>
      </c>
      <c r="B1521" s="76" t="s">
        <v>1702</v>
      </c>
      <c r="C1521" s="76" t="s">
        <v>1703</v>
      </c>
      <c r="D1521" s="76">
        <v>102233.0</v>
      </c>
    </row>
    <row r="1522">
      <c r="A1522" s="76" t="s">
        <v>1658</v>
      </c>
      <c r="B1522" s="76" t="s">
        <v>1698</v>
      </c>
      <c r="C1522" s="76" t="s">
        <v>1714</v>
      </c>
      <c r="D1522" s="76">
        <v>75.0</v>
      </c>
    </row>
    <row r="1523">
      <c r="A1523" s="76" t="s">
        <v>1659</v>
      </c>
      <c r="B1523" s="76" t="s">
        <v>1698</v>
      </c>
      <c r="C1523" s="76" t="s">
        <v>1714</v>
      </c>
      <c r="D1523" s="76">
        <v>56.0</v>
      </c>
    </row>
    <row r="1524">
      <c r="A1524" s="76" t="s">
        <v>1660</v>
      </c>
      <c r="B1524" s="76" t="s">
        <v>1698</v>
      </c>
      <c r="C1524" s="76" t="s">
        <v>1722</v>
      </c>
      <c r="D1524" s="76">
        <v>10600.0</v>
      </c>
    </row>
    <row r="1525">
      <c r="A1525" s="76" t="s">
        <v>1661</v>
      </c>
      <c r="B1525" s="76" t="s">
        <v>1708</v>
      </c>
      <c r="C1525" s="76" t="s">
        <v>1725</v>
      </c>
      <c r="D1525" s="76">
        <v>2575.0</v>
      </c>
    </row>
    <row r="1526">
      <c r="A1526" s="76" t="s">
        <v>1662</v>
      </c>
      <c r="B1526" s="76" t="s">
        <v>1698</v>
      </c>
      <c r="C1526" s="76" t="s">
        <v>1722</v>
      </c>
      <c r="D1526" s="76">
        <v>28.0</v>
      </c>
    </row>
  </sheetData>
  <drawing r:id="rId1"/>
</worksheet>
</file>